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aklcouncil-my.sharepoint.com/personal/tinkerr_aklc_govt_nz/Documents/Queue requests/Contribution/"/>
    </mc:Choice>
  </mc:AlternateContent>
  <xr:revisionPtr revIDLastSave="1" documentId="8_{14CBED31-CDC7-43D6-8860-7B6CDBCFB66E}" xr6:coauthVersionLast="47" xr6:coauthVersionMax="47" xr10:uidLastSave="{5C1F2ED3-A43C-453E-AD57-34C824946D22}"/>
  <bookViews>
    <workbookView xWindow="-110" yWindow="-110" windowWidth="19420" windowHeight="10300" tabRatio="763" xr2:uid="{00000000-000D-0000-FFFF-FFFF00000000}"/>
  </bookViews>
  <sheets>
    <sheet name="Cover sheet " sheetId="84" r:id="rId1"/>
    <sheet name="Overview" sheetId="81" r:id="rId2"/>
    <sheet name="Lists" sheetId="48" r:id="rId3"/>
    <sheet name="FA_Codes" sheetId="58" r:id="rId4"/>
    <sheet name="Planned_capex_starting_position" sheetId="41" r:id="rId5"/>
    <sheet name="O_CWP_TOT" sheetId="23" r:id="rId6"/>
    <sheet name="O_CWP_NOW" sheetId="5" r:id="rId7"/>
    <sheet name="O_CWP_FUT" sheetId="6" r:id="rId8"/>
    <sheet name="Sch_8_Planned" sheetId="76" r:id="rId9"/>
    <sheet name="Sch_8_consolidated_list" sheetId="79" r:id="rId10"/>
    <sheet name="Planned_capex_list" sheetId="8" state="hidden" r:id="rId11"/>
    <sheet name="gregdata" sheetId="13" state="hidden" r:id="rId12"/>
    <sheet name="DC_income" sheetId="24" state="hidden" r:id="rId13"/>
    <sheet name="Historic_capex_list" sheetId="10" state="hidden" r:id="rId14"/>
    <sheet name="Schedule8_Hist" sheetId="55" state="hidden" r:id="rId15"/>
    <sheet name="Schedule8_CI_trans" sheetId="56" state="hidden" r:id="rId16"/>
    <sheet name="Schedule8_Planned" sheetId="57" state="hidden" r:id="rId17"/>
    <sheet name="Revenue" sheetId="45" state="hidden" r:id="rId18"/>
    <sheet name="Funding_Area_Names" sheetId="33" state="hidden" r:id="rId19"/>
    <sheet name="Rev_for_allocation(Calc)" sheetId="34" state="hidden" r:id="rId20"/>
    <sheet name="Rev_for_allocation(Hard)" sheetId="35" state="hidden" r:id="rId21"/>
    <sheet name="Aggregation_of_rev_to_allocate" sheetId="36" state="hidden" r:id="rId22"/>
    <sheet name="Rev_and_int_data" sheetId="37" state="hidden" r:id="rId23"/>
    <sheet name="DC_Proj_desc" sheetId="73" state="hidden" r:id="rId24"/>
    <sheet name="Remaining budget" sheetId="59" state="hidden" r:id="rId25"/>
    <sheet name="Funding area mapping" sheetId="60" state="hidden" r:id="rId26"/>
    <sheet name="Interest_data" sheetId="39" state="hidden" r:id="rId27"/>
  </sheets>
  <definedNames>
    <definedName name="_xlnm._FilterDatabase" localSheetId="21" hidden="1">Aggregation_of_rev_to_allocate!$A$2:$X$139</definedName>
    <definedName name="_xlnm._FilterDatabase" localSheetId="0" hidden="1">'Cover sheet '!#REF!</definedName>
    <definedName name="_xlnm._FilterDatabase" localSheetId="23" hidden="1">DC_Proj_desc!$A$4:$I$4</definedName>
    <definedName name="_xlnm._FilterDatabase" localSheetId="3" hidden="1">FA_Codes!$A$1:$J$237</definedName>
    <definedName name="_xlnm._FilterDatabase" localSheetId="25" hidden="1">'Funding area mapping'!$A$6:$F$6</definedName>
    <definedName name="_xlnm._FilterDatabase" localSheetId="18" hidden="1">Funding_Area_Names!$A$1:$Q$1</definedName>
    <definedName name="_xlnm._FilterDatabase" localSheetId="13" hidden="1">Historic_capex_list!$A$8:$BY$644</definedName>
    <definedName name="_xlnm._FilterDatabase" localSheetId="2" hidden="1">Lists!$A$5:$H$5</definedName>
    <definedName name="_xlnm._FilterDatabase" localSheetId="7" hidden="1">O_CWP_FUT!$A$10:$AJ$218</definedName>
    <definedName name="_xlnm._FilterDatabase" localSheetId="6" hidden="1">O_CWP_NOW!$A$10:$AJ$19</definedName>
    <definedName name="_xlnm._FilterDatabase" localSheetId="5" hidden="1">O_CWP_TOT!$A$10:$AI$219</definedName>
    <definedName name="_xlnm._FilterDatabase" localSheetId="10" hidden="1">Planned_capex_list!$A$13:$BZ$854</definedName>
    <definedName name="_xlnm._FilterDatabase" localSheetId="4" hidden="1">Planned_capex_starting_position!$A$7:$BX$150</definedName>
    <definedName name="_xlnm._FilterDatabase" localSheetId="19" hidden="1">'Rev_for_allocation(Calc)'!$A$2:$M$251</definedName>
    <definedName name="_xlnm._FilterDatabase" localSheetId="20" hidden="1">'Rev_for_allocation(Hard)'!$A$2:$V$252</definedName>
    <definedName name="_xlnm._FilterDatabase" localSheetId="17" hidden="1">Revenue!$B$4:$F$4</definedName>
    <definedName name="_xlnm._FilterDatabase" localSheetId="9" hidden="1">Sch_8_consolidated_list!$A$4:$Q$19</definedName>
    <definedName name="_xlnm._FilterDatabase" localSheetId="8" hidden="1">Sch_8_Planned!$A$4:$M$79</definedName>
    <definedName name="CSF_I_FY13" localSheetId="23">OFFSET(#REF!,0,0,COUNTA(#REF!),1)</definedName>
    <definedName name="CSF_I_FY13" localSheetId="5">OFFSET(#REF!,0,0,COUNTA(#REF!),1)</definedName>
    <definedName name="CSF_I_FY13" localSheetId="8">OFFSET(#REF!,0,0,COUNTA(#REF!),1)</definedName>
    <definedName name="CSF_I_FY13">OFFSET(#REF!,0,0,COUNTA(#REF!),1)</definedName>
    <definedName name="HPdata">#REF!</definedName>
    <definedName name="_xlnm.Print_Area" localSheetId="23">DC_Proj_desc!$F$1:$I$4</definedName>
    <definedName name="_xlnm.Print_Area" localSheetId="3">FA_Codes!$A$1:$J$237</definedName>
    <definedName name="_xlnm.Print_Area" localSheetId="25">'Funding area mapping'!$A$1:$G$244</definedName>
    <definedName name="_xlnm.Print_Area" localSheetId="13">Historic_capex_list!$F$7:$T$506</definedName>
    <definedName name="_xlnm.Print_Area" localSheetId="7">O_CWP_FUT!$B$6:$O$220</definedName>
    <definedName name="_xlnm.Print_Area" localSheetId="6">O_CWP_NOW!$B$6:$O$21</definedName>
    <definedName name="_xlnm.Print_Area" localSheetId="5">O_CWP_TOT!$B$6:$O$219</definedName>
    <definedName name="_xlnm.Print_Area" localSheetId="10">Planned_capex_list!$G$10:$BO$848</definedName>
    <definedName name="_xlnm.Print_Area" localSheetId="4">Planned_capex_starting_position!$A$1:$BK$149</definedName>
    <definedName name="_xlnm.Print_Area" localSheetId="24">'Remaining budget'!$A$1:$K$231</definedName>
    <definedName name="_xlnm.Print_Area" localSheetId="8">Sch_8_Planned!$F$1:$P$4</definedName>
    <definedName name="_xlnm.Print_Titles" localSheetId="23">DC_Proj_desc!$1:$4</definedName>
    <definedName name="_xlnm.Print_Titles" localSheetId="3">FA_Codes!$1:$1</definedName>
    <definedName name="_xlnm.Print_Titles" localSheetId="25">'Funding area mapping'!$1:$6</definedName>
    <definedName name="_xlnm.Print_Titles" localSheetId="18">Funding_Area_Names!$1:$1</definedName>
    <definedName name="_xlnm.Print_Titles" localSheetId="13">Historic_capex_list!$F:$F,Historic_capex_list!$7:$8</definedName>
    <definedName name="_xlnm.Print_Titles" localSheetId="7">O_CWP_FUT!$6:$10</definedName>
    <definedName name="_xlnm.Print_Titles" localSheetId="6">O_CWP_NOW!$6:$10</definedName>
    <definedName name="_xlnm.Print_Titles" localSheetId="5">O_CWP_TOT!$6:$10</definedName>
    <definedName name="_xlnm.Print_Titles" localSheetId="10">Planned_capex_list!$G:$G,Planned_capex_list!$10:$13</definedName>
    <definedName name="_xlnm.Print_Titles" localSheetId="4">Planned_capex_starting_position!$1:$7</definedName>
    <definedName name="_xlnm.Print_Titles" localSheetId="24">'Remaining budget'!$1:$5</definedName>
    <definedName name="_xlnm.Print_Titles" localSheetId="19">'Rev_for_allocation(Calc)'!$1:$2</definedName>
    <definedName name="_xlnm.Print_Titles" localSheetId="8">Sch_8_Planned!$3:$4</definedName>
    <definedName name="TransportData" localSheetId="23">#REF!</definedName>
    <definedName name="TransportData" localSheetId="8">#REF!</definedName>
    <definedName name="TransportData">#REF!</definedName>
    <definedName name="Z_1DB52CAD_403B_4256_97F4_977FD85A83D4_.wvu.Cols" localSheetId="13" hidden="1">Historic_capex_list!#REF!</definedName>
    <definedName name="Z_1DB52CAD_403B_4256_97F4_977FD85A83D4_.wvu.Cols" localSheetId="10" hidden="1">Planned_capex_list!#REF!,Planned_capex_list!$L:$M,Planned_capex_list!#REF!,Planned_capex_list!#REF!,Planned_capex_list!#REF!</definedName>
    <definedName name="Z_1DB52CAD_403B_4256_97F4_977FD85A83D4_.wvu.FilterData" localSheetId="13" hidden="1">Historic_capex_list!$B$9:$Q$126</definedName>
    <definedName name="Z_1DB52CAD_403B_4256_97F4_977FD85A83D4_.wvu.FilterData" localSheetId="10" hidden="1">Planned_capex_list!$B$13:$AN$112</definedName>
    <definedName name="Z_1DB52CAD_403B_4256_97F4_977FD85A83D4_.wvu.Rows" localSheetId="10" hidden="1">Planned_capex_list!$848:$848</definedName>
    <definedName name="Z_22B0AD40_4309_454C_B70F_CB1EC1D4D6C3_.wvu.FilterData" localSheetId="10" hidden="1">Planned_capex_list!$B$13:$AN$112</definedName>
    <definedName name="Z_260BF193_089E_468D_8557_FCFEE87B6B13_.wvu.FilterData" localSheetId="10" hidden="1">Planned_capex_list!$B$13:$AN$112</definedName>
    <definedName name="Z_3AB61E18_EB07_4C92_9DFD_4619EF599593_.wvu.FilterData" localSheetId="10" hidden="1">Planned_capex_list!$B$13:$AN$112</definedName>
    <definedName name="Z_4C64E64B_2F9C_433E_B527_E3F09458B097_.wvu.FilterData" localSheetId="10" hidden="1">Planned_capex_list!$B$13:$AN$112</definedName>
    <definedName name="Z_4CB5074A_E16B_4E31_B838_49EE3EE7DA09_.wvu.FilterData" localSheetId="10" hidden="1">Planned_capex_list!#REF!</definedName>
    <definedName name="Z_5F7BCE1B_36F3_447A_8DD9_E51BEFF3AFBA_.wvu.Cols" localSheetId="13" hidden="1">Historic_capex_list!#REF!</definedName>
    <definedName name="Z_5F7BCE1B_36F3_447A_8DD9_E51BEFF3AFBA_.wvu.Cols" localSheetId="10" hidden="1">Planned_capex_list!#REF!</definedName>
    <definedName name="Z_5F7BCE1B_36F3_447A_8DD9_E51BEFF3AFBA_.wvu.FilterData" localSheetId="13" hidden="1">Historic_capex_list!$B$9:$Q$126</definedName>
    <definedName name="Z_5F7BCE1B_36F3_447A_8DD9_E51BEFF3AFBA_.wvu.FilterData" localSheetId="10" hidden="1">Planned_capex_list!$B$13:$AN$112</definedName>
    <definedName name="Z_5F7BCE1B_36F3_447A_8DD9_E51BEFF3AFBA_.wvu.Rows" localSheetId="10" hidden="1">Planned_capex_list!$848:$848</definedName>
    <definedName name="Z_70AD5AFB_B93B_4924_BAC1_AAD841BB2E6A_.wvu.FilterData" localSheetId="10" hidden="1">Planned_capex_list!$B$13:$AN$112</definedName>
    <definedName name="Z_830FBDC9_399C_4A1B_9848_0EF445819C0B_.wvu.FilterData" localSheetId="10" hidden="1">Planned_capex_list!$B$13:$AN$112</definedName>
    <definedName name="Z_A2EDE129_9A82_414C_9545_4AA6BCAEFA13_.wvu.Cols" localSheetId="13" hidden="1">Historic_capex_list!#REF!</definedName>
    <definedName name="Z_A2EDE129_9A82_414C_9545_4AA6BCAEFA13_.wvu.Cols" localSheetId="10" hidden="1">Planned_capex_list!#REF!</definedName>
    <definedName name="Z_A2EDE129_9A82_414C_9545_4AA6BCAEFA13_.wvu.FilterData" localSheetId="13" hidden="1">Historic_capex_list!$B$9:$Q$126</definedName>
    <definedName name="Z_A2EDE129_9A82_414C_9545_4AA6BCAEFA13_.wvu.FilterData" localSheetId="10" hidden="1">Planned_capex_list!$B$13:$AN$112</definedName>
    <definedName name="Z_A2EDE129_9A82_414C_9545_4AA6BCAEFA13_.wvu.Rows" localSheetId="10" hidden="1">Planned_capex_list!$848:$848</definedName>
    <definedName name="Z_BFB4608D_4945_446C_9A8C_C4729DADE1CC_.wvu.Cols" localSheetId="13" hidden="1">Historic_capex_list!#REF!</definedName>
    <definedName name="Z_BFB4608D_4945_446C_9A8C_C4729DADE1CC_.wvu.Cols" localSheetId="10" hidden="1">Planned_capex_list!#REF!,Planned_capex_list!$L:$M,Planned_capex_list!#REF!,Planned_capex_list!#REF!,Planned_capex_list!#REF!</definedName>
    <definedName name="Z_BFB4608D_4945_446C_9A8C_C4729DADE1CC_.wvu.FilterData" localSheetId="13" hidden="1">Historic_capex_list!$B$9:$Q$126</definedName>
    <definedName name="Z_BFB4608D_4945_446C_9A8C_C4729DADE1CC_.wvu.FilterData" localSheetId="10" hidden="1">Planned_capex_list!$B$13:$AN$112</definedName>
    <definedName name="Z_BFB4608D_4945_446C_9A8C_C4729DADE1CC_.wvu.Rows" localSheetId="10" hidden="1">Planned_capex_list!$848:$848</definedName>
    <definedName name="Z_CA487613_59F4_4323_AE1B_F412082281B7_.wvu.FilterData" localSheetId="10" hidden="1">Planned_capex_list!$B$13:$AN$112</definedName>
    <definedName name="Z_D2344B6A_7DBB_4B88_A6B8_4C4D8D984BE2_.wvu.Cols" localSheetId="10" hidden="1">Planned_capex_list!#REF!</definedName>
    <definedName name="Z_D2344B6A_7DBB_4B88_A6B8_4C4D8D984BE2_.wvu.FilterData" localSheetId="10" hidden="1">Planned_capex_list!$B$13:$AN$112</definedName>
    <definedName name="Z_FE9EA5ED_58F9_4D75_89ED_BF7F39555442_.wvu.FilterData" localSheetId="10" hidden="1">Planned_capex_list!$B$13:$AN$112</definedName>
  </definedNames>
  <calcPr calcId="191029"/>
  <customWorkbookViews>
    <customWorkbookView name="sandstc - Personal View" guid="{A2EDE129-9A82-414C-9545-4AA6BCAEFA13}" mergeInterval="0" personalView="1" maximized="1" xWindow="1" yWindow="1" windowWidth="1024" windowHeight="547" tabRatio="763" activeSheetId="8"/>
    <customWorkbookView name="stuppli - Personal View" guid="{5F7BCE1B-36F3-447A-8DD9-E51BEFF3AFBA}" mergeInterval="0" personalView="1" maximized="1" xWindow="1" yWindow="1" windowWidth="1680" windowHeight="829" tabRatio="763" activeSheetId="9"/>
    <customWorkbookView name="dauber - Personal View" guid="{4CB5074A-E16B-4E31-B838-49EE3EE7DA09}" mergeInterval="0" personalView="1" maximized="1" xWindow="1" yWindow="1" windowWidth="1024" windowHeight="547" tabRatio="763" activeSheetId="9"/>
    <customWorkbookView name="Claes Sandstrom - Personal View" guid="{D2344B6A-7DBB-4B88-A6B8-4C4D8D984BE2}" mergeInterval="0" personalView="1" maximized="1" windowWidth="1020" windowHeight="544" tabRatio="763" activeSheetId="8"/>
    <customWorkbookView name="youngs3 - Personal View" guid="{BFB4608D-4945-446C-9A8C-C4729DADE1CC}" mergeInterval="0" personalView="1" maximized="1" xWindow="1" yWindow="1" windowWidth="1680" windowHeight="828" tabRatio="763" activeSheetId="9"/>
    <customWorkbookView name="John Hall - Personal View" guid="{1DB52CAD-403B-4256-97F4-977FD85A83D4}" mergeInterval="0" personalView="1" maximized="1" windowWidth="1276" windowHeight="854" tabRatio="763" activeSheetId="9"/>
    <customWorkbookView name="Ghezzib - Personal View" guid="{1CB77D98-4AEF-4F29-8B05-C5D886F2ADBF}" mergeInterval="0" personalView="1" maximized="1" xWindow="1" yWindow="1" windowWidth="1400" windowHeight="830" tabRatio="763"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 i="41" l="1"/>
  <c r="AG8" i="41"/>
  <c r="AK8" i="41"/>
  <c r="C210" i="6"/>
  <c r="C209" i="6"/>
  <c r="C208" i="6"/>
  <c r="C207" i="6"/>
  <c r="C206" i="6"/>
  <c r="C205" i="6"/>
  <c r="C204" i="6"/>
  <c r="C203" i="6"/>
  <c r="C202" i="6"/>
  <c r="C201" i="6"/>
  <c r="C200" i="6"/>
  <c r="C199" i="6"/>
  <c r="C198" i="6"/>
  <c r="C197" i="6"/>
  <c r="C196" i="6"/>
  <c r="C195" i="6"/>
  <c r="C194" i="6"/>
  <c r="C193" i="6"/>
  <c r="C192" i="6"/>
  <c r="C189" i="6"/>
  <c r="C188" i="6"/>
  <c r="C187" i="6"/>
  <c r="C183" i="6"/>
  <c r="C179" i="6"/>
  <c r="C178" i="6"/>
  <c r="C177" i="6"/>
  <c r="C176" i="6"/>
  <c r="C175" i="6"/>
  <c r="C174" i="6"/>
  <c r="C173" i="6"/>
  <c r="C172" i="6"/>
  <c r="C171" i="6"/>
  <c r="C170" i="6"/>
  <c r="C169" i="6"/>
  <c r="C168" i="6"/>
  <c r="C167" i="6"/>
  <c r="C166" i="6"/>
  <c r="C165" i="6"/>
  <c r="C164" i="6"/>
  <c r="C163" i="6"/>
  <c r="C162" i="6"/>
  <c r="C161"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1" i="6"/>
  <c r="C40" i="6"/>
  <c r="C39" i="6"/>
  <c r="C38" i="6"/>
  <c r="C36" i="6"/>
  <c r="C35" i="6"/>
  <c r="C34" i="6"/>
  <c r="C33" i="6"/>
  <c r="C32" i="6"/>
  <c r="C31" i="6"/>
  <c r="C30" i="6"/>
  <c r="C29" i="6"/>
  <c r="C28" i="6"/>
  <c r="C27" i="6"/>
  <c r="C26" i="6"/>
  <c r="C25" i="6"/>
  <c r="C24" i="6"/>
  <c r="C23" i="6"/>
  <c r="C22" i="6"/>
  <c r="C21" i="6"/>
  <c r="C20" i="6"/>
  <c r="C19" i="6"/>
  <c r="C18" i="6"/>
  <c r="C17" i="6"/>
  <c r="C16" i="6"/>
  <c r="C15" i="6"/>
  <c r="C14" i="6"/>
  <c r="C13" i="6"/>
  <c r="C12" i="6"/>
  <c r="C11" i="6"/>
  <c r="C19" i="5"/>
  <c r="C18" i="5"/>
  <c r="C17" i="5"/>
  <c r="C16" i="5"/>
  <c r="C15" i="5"/>
  <c r="C14" i="5"/>
  <c r="C13" i="5"/>
  <c r="C12" i="5"/>
  <c r="C179" i="23"/>
  <c r="C178" i="23"/>
  <c r="C177" i="23"/>
  <c r="C176" i="23"/>
  <c r="C175" i="23"/>
  <c r="C174" i="23"/>
  <c r="C173" i="23"/>
  <c r="C172" i="23"/>
  <c r="C171" i="23"/>
  <c r="C170" i="23"/>
  <c r="C169" i="23"/>
  <c r="C168" i="23"/>
  <c r="C167" i="23"/>
  <c r="C166" i="23"/>
  <c r="C165" i="23"/>
  <c r="C164" i="23"/>
  <c r="C163" i="23"/>
  <c r="C162" i="23"/>
  <c r="C161" i="23"/>
  <c r="C159" i="23"/>
  <c r="C158" i="23"/>
  <c r="C157" i="23"/>
  <c r="C156" i="23"/>
  <c r="C155" i="23"/>
  <c r="C154" i="23"/>
  <c r="C153" i="23"/>
  <c r="C152" i="23"/>
  <c r="C151" i="23"/>
  <c r="C150" i="23"/>
  <c r="C149" i="23"/>
  <c r="C148" i="23"/>
  <c r="C147" i="23"/>
  <c r="C146" i="23"/>
  <c r="C145" i="23"/>
  <c r="C144" i="23"/>
  <c r="C143" i="23"/>
  <c r="C142" i="23"/>
  <c r="C141" i="23"/>
  <c r="C140" i="23"/>
  <c r="C139" i="23"/>
  <c r="C138" i="23"/>
  <c r="C137" i="23"/>
  <c r="C136" i="23"/>
  <c r="C135" i="23"/>
  <c r="C134" i="23"/>
  <c r="C133" i="23"/>
  <c r="C132" i="23"/>
  <c r="C126" i="23"/>
  <c r="C125" i="23"/>
  <c r="C124" i="23"/>
  <c r="C123" i="23"/>
  <c r="C122" i="23"/>
  <c r="C121" i="23"/>
  <c r="C120" i="23"/>
  <c r="C119" i="23"/>
  <c r="C118" i="23"/>
  <c r="C117" i="23"/>
  <c r="C116" i="23"/>
  <c r="C115" i="23"/>
  <c r="C114" i="23"/>
  <c r="C113" i="23"/>
  <c r="C112" i="23"/>
  <c r="C111" i="23"/>
  <c r="C110" i="23"/>
  <c r="C109" i="23"/>
  <c r="C108" i="23"/>
  <c r="C107" i="23"/>
  <c r="C106" i="23"/>
  <c r="C105" i="23"/>
  <c r="C104" i="23"/>
  <c r="C103" i="23"/>
  <c r="C102" i="23"/>
  <c r="C101" i="23"/>
  <c r="C100" i="23"/>
  <c r="C99" i="23"/>
  <c r="C98" i="23"/>
  <c r="C97" i="23"/>
  <c r="C96" i="23"/>
  <c r="C95" i="23"/>
  <c r="C94" i="23"/>
  <c r="C93" i="23"/>
  <c r="C92" i="23"/>
  <c r="C91" i="23"/>
  <c r="C90" i="23"/>
  <c r="C89" i="23"/>
  <c r="C88" i="23"/>
  <c r="C87" i="23"/>
  <c r="C86" i="23"/>
  <c r="C85" i="23"/>
  <c r="C84" i="23"/>
  <c r="C76" i="23"/>
  <c r="C75" i="23"/>
  <c r="C74" i="23"/>
  <c r="C73" i="23"/>
  <c r="C72" i="23"/>
  <c r="C71" i="23"/>
  <c r="C70" i="23"/>
  <c r="C69" i="23"/>
  <c r="C68" i="23"/>
  <c r="C67" i="23"/>
  <c r="C66" i="23"/>
  <c r="C65" i="23"/>
  <c r="C64" i="23"/>
  <c r="C63" i="23"/>
  <c r="C62" i="23"/>
  <c r="C61" i="23"/>
  <c r="C60" i="23"/>
  <c r="C59" i="23"/>
  <c r="C58" i="23"/>
  <c r="C57" i="23"/>
  <c r="C56" i="23"/>
  <c r="C55" i="23"/>
  <c r="C54" i="23"/>
  <c r="C53" i="23"/>
  <c r="C52" i="23"/>
  <c r="C51" i="23"/>
  <c r="C50" i="23"/>
  <c r="C49" i="23"/>
  <c r="C42" i="23"/>
  <c r="C41" i="23"/>
  <c r="C40" i="23"/>
  <c r="C39"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J244" i="58"/>
  <c r="G244" i="58"/>
  <c r="C244" i="58"/>
  <c r="E244" i="58"/>
  <c r="J243" i="58"/>
  <c r="G243" i="58"/>
  <c r="C243" i="58"/>
  <c r="E243" i="58"/>
  <c r="J242" i="58"/>
  <c r="G242" i="58"/>
  <c r="C242" i="58"/>
  <c r="E242" i="58"/>
  <c r="J241" i="58"/>
  <c r="G241" i="58"/>
  <c r="C241" i="58"/>
  <c r="E241" i="58"/>
  <c r="J240" i="58"/>
  <c r="G240" i="58"/>
  <c r="C240" i="58"/>
  <c r="E240" i="58"/>
  <c r="J239" i="58"/>
  <c r="G239" i="58"/>
  <c r="C239" i="58"/>
  <c r="E239" i="58"/>
  <c r="J238" i="58"/>
  <c r="G238" i="58"/>
  <c r="C238" i="58"/>
  <c r="E238" i="58"/>
  <c r="AB153" i="41"/>
  <c r="AA153" i="41"/>
  <c r="Z153" i="41"/>
  <c r="Y153" i="41"/>
  <c r="X153" i="41"/>
  <c r="W153" i="41"/>
  <c r="V153" i="41"/>
  <c r="U153" i="41"/>
  <c r="T153" i="41"/>
  <c r="S153" i="41"/>
  <c r="BU149" i="41"/>
  <c r="BR149" i="41"/>
  <c r="AW149" i="41"/>
  <c r="AJ149" i="41"/>
  <c r="BU148" i="41"/>
  <c r="BU147" i="41"/>
  <c r="BU146" i="41"/>
  <c r="BU145" i="41"/>
  <c r="BU144" i="41"/>
  <c r="BU143" i="41"/>
  <c r="BU142" i="41"/>
  <c r="BU141" i="41"/>
  <c r="BU140" i="41"/>
  <c r="BU139" i="41"/>
  <c r="BU138" i="41"/>
  <c r="BU137" i="41"/>
  <c r="BU136" i="41"/>
  <c r="BU135" i="41"/>
  <c r="BU134" i="41"/>
  <c r="BU133" i="41"/>
  <c r="BU132" i="41"/>
  <c r="BU131" i="41"/>
  <c r="BU130" i="41"/>
  <c r="BU129" i="41"/>
  <c r="BU128" i="41"/>
  <c r="BU127" i="41"/>
  <c r="BU126" i="41"/>
  <c r="BU125" i="41"/>
  <c r="BU124" i="41"/>
  <c r="BU123" i="41"/>
  <c r="BU122" i="41"/>
  <c r="BU121" i="41"/>
  <c r="BU120" i="41"/>
  <c r="BU119" i="41"/>
  <c r="BU118" i="41"/>
  <c r="BU117" i="41"/>
  <c r="BU116" i="41"/>
  <c r="BU115" i="41"/>
  <c r="BU114" i="41"/>
  <c r="BU113" i="41"/>
  <c r="BU112" i="41"/>
  <c r="BU111" i="41"/>
  <c r="BU110" i="41"/>
  <c r="BU109" i="41"/>
  <c r="BU108" i="41"/>
  <c r="BU107" i="41"/>
  <c r="BU106" i="41"/>
  <c r="BU105" i="41"/>
  <c r="BU104" i="41"/>
  <c r="BU103" i="41"/>
  <c r="BU102" i="41"/>
  <c r="BU101" i="41"/>
  <c r="BU100" i="41"/>
  <c r="BU99" i="41"/>
  <c r="BU98" i="41"/>
  <c r="BU97" i="41"/>
  <c r="BU96" i="41"/>
  <c r="BU95" i="41"/>
  <c r="BU94" i="41"/>
  <c r="BU93" i="41"/>
  <c r="BU92" i="41"/>
  <c r="BU91" i="41"/>
  <c r="BU90" i="41"/>
  <c r="BU89" i="41"/>
  <c r="BU88" i="41"/>
  <c r="BU87" i="41"/>
  <c r="BU86" i="41"/>
  <c r="BU85" i="41"/>
  <c r="BU84" i="41"/>
  <c r="BU83" i="41"/>
  <c r="BU82" i="41"/>
  <c r="BU81" i="41"/>
  <c r="BU80" i="41"/>
  <c r="BU79" i="41"/>
  <c r="BU78" i="41"/>
  <c r="BU77" i="41"/>
  <c r="BU76" i="41"/>
  <c r="BU75" i="41"/>
  <c r="BU74" i="41"/>
  <c r="BU73" i="41"/>
  <c r="BU72" i="41"/>
  <c r="BU71" i="41"/>
  <c r="BU70" i="41"/>
  <c r="BU69" i="41"/>
  <c r="BU68" i="41"/>
  <c r="BU67" i="41"/>
  <c r="BU66" i="41"/>
  <c r="BU65" i="41"/>
  <c r="BU64" i="41"/>
  <c r="BU63" i="41"/>
  <c r="BU62" i="41"/>
  <c r="BU61" i="41"/>
  <c r="BU60" i="41"/>
  <c r="BU59" i="41"/>
  <c r="BU58" i="41"/>
  <c r="BU57" i="41"/>
  <c r="BU56" i="41"/>
  <c r="BU55" i="41"/>
  <c r="BU54" i="41"/>
  <c r="BU53" i="41"/>
  <c r="BU52" i="41"/>
  <c r="BU51" i="41"/>
  <c r="BU50" i="41"/>
  <c r="BU49" i="41"/>
  <c r="BU48" i="41"/>
  <c r="BU47" i="41"/>
  <c r="BU46" i="41"/>
  <c r="BU45" i="41"/>
  <c r="BU44" i="41"/>
  <c r="BU43" i="41"/>
  <c r="BU42" i="41"/>
  <c r="BU41" i="41"/>
  <c r="BU40" i="41"/>
  <c r="BU39" i="41"/>
  <c r="BU38" i="41"/>
  <c r="BU37" i="41"/>
  <c r="BU36" i="41"/>
  <c r="BU35" i="41"/>
  <c r="BU34" i="41"/>
  <c r="BU33" i="41"/>
  <c r="BU32" i="41"/>
  <c r="BU31" i="41"/>
  <c r="BU30" i="41"/>
  <c r="BU29" i="41"/>
  <c r="BU28" i="41"/>
  <c r="BU27" i="41"/>
  <c r="BU26" i="41"/>
  <c r="BU25" i="41"/>
  <c r="BU24" i="41"/>
  <c r="BU23" i="41"/>
  <c r="BU22" i="41"/>
  <c r="BU21" i="41"/>
  <c r="BU20" i="41"/>
  <c r="BU19" i="41"/>
  <c r="BU18" i="41"/>
  <c r="BU17" i="41"/>
  <c r="BU16" i="41"/>
  <c r="BU15" i="41"/>
  <c r="BU14" i="41"/>
  <c r="BU13" i="41"/>
  <c r="BU12" i="41"/>
  <c r="BU11" i="41"/>
  <c r="BU10" i="41"/>
  <c r="BU9" i="41"/>
  <c r="BU8" i="41"/>
  <c r="Y151" i="41"/>
  <c r="AA151" i="41"/>
  <c r="T151" i="41"/>
  <c r="U151" i="41"/>
  <c r="V151" i="41"/>
  <c r="W151" i="41"/>
  <c r="X151" i="41"/>
  <c r="Z151" i="41"/>
  <c r="AB151" i="41"/>
  <c r="C210" i="23"/>
  <c r="C209" i="23"/>
  <c r="AC149" i="41"/>
  <c r="AG149" i="41"/>
  <c r="AK149" i="41"/>
  <c r="BQ149" i="41"/>
  <c r="AX149" i="41"/>
  <c r="AD151" i="41"/>
  <c r="S151" i="41"/>
  <c r="AQ149" i="41"/>
  <c r="BF149" i="41"/>
  <c r="AP149" i="41"/>
  <c r="BG149" i="41"/>
  <c r="BD149" i="41"/>
  <c r="BC149" i="41"/>
  <c r="AO149" i="41"/>
  <c r="AT149" i="41"/>
  <c r="BE149" i="41"/>
  <c r="AL149" i="41"/>
  <c r="AN149" i="41"/>
  <c r="AZ149" i="41"/>
  <c r="BB149" i="41"/>
  <c r="BH149" i="41"/>
  <c r="AS149" i="41"/>
  <c r="AU149" i="41"/>
  <c r="BA149" i="41"/>
  <c r="AR149" i="41"/>
  <c r="AM149" i="41"/>
  <c r="BI149" i="41"/>
  <c r="F1" i="41"/>
  <c r="G1" i="41"/>
  <c r="H1" i="41"/>
  <c r="I1" i="41"/>
  <c r="J1" i="41"/>
  <c r="K1" i="41"/>
  <c r="L1" i="41"/>
  <c r="M1" i="41"/>
  <c r="N1" i="41"/>
  <c r="O1" i="41"/>
  <c r="P1" i="41"/>
  <c r="Q1" i="41"/>
  <c r="R1" i="41"/>
  <c r="S1" i="41"/>
  <c r="T1" i="41"/>
  <c r="U1" i="41"/>
  <c r="V1" i="41"/>
  <c r="W1" i="41"/>
  <c r="X1" i="41"/>
  <c r="Y1" i="41"/>
  <c r="Z1" i="41"/>
  <c r="AA1" i="41"/>
  <c r="AB1" i="41"/>
  <c r="AC1" i="41"/>
  <c r="AD1" i="41"/>
  <c r="AE1" i="41"/>
  <c r="AF1" i="41"/>
  <c r="AG1" i="41"/>
  <c r="AH1" i="41"/>
  <c r="AI1" i="41"/>
  <c r="AJ1" i="41"/>
  <c r="AK1" i="41"/>
  <c r="AL1" i="41"/>
  <c r="AM1" i="41"/>
  <c r="AN1" i="41"/>
  <c r="AO1" i="41"/>
  <c r="AP1" i="41"/>
  <c r="AQ1" i="41"/>
  <c r="AR1" i="41"/>
  <c r="AS1" i="41"/>
  <c r="AT1" i="41"/>
  <c r="AU1" i="41"/>
  <c r="AV1" i="41"/>
  <c r="AW1" i="41"/>
  <c r="AX1" i="41"/>
  <c r="AY1" i="41"/>
  <c r="AZ1" i="41"/>
  <c r="BA1" i="41"/>
  <c r="BB1" i="41"/>
  <c r="BC1" i="41"/>
  <c r="BD1" i="41"/>
  <c r="BE1" i="41"/>
  <c r="BF1" i="41"/>
  <c r="BG1" i="41"/>
  <c r="BH1" i="41"/>
  <c r="BI1" i="41"/>
  <c r="BJ1" i="41"/>
  <c r="BK1" i="41"/>
  <c r="BR9" i="41"/>
  <c r="BS9" i="41"/>
  <c r="BR10" i="41"/>
  <c r="BS10" i="41"/>
  <c r="BR11" i="41"/>
  <c r="BS11" i="41"/>
  <c r="BR12" i="41"/>
  <c r="BS12" i="41"/>
  <c r="BR13" i="41"/>
  <c r="BS13" i="41"/>
  <c r="BR14" i="41"/>
  <c r="BS14" i="41"/>
  <c r="BR15" i="41"/>
  <c r="BS15" i="41"/>
  <c r="BR16" i="41"/>
  <c r="BS16" i="41"/>
  <c r="BR17" i="41"/>
  <c r="BS17" i="41"/>
  <c r="BR18" i="41"/>
  <c r="BS18" i="41"/>
  <c r="BR19" i="41"/>
  <c r="BS19" i="41"/>
  <c r="BR20" i="41"/>
  <c r="BS20" i="41"/>
  <c r="BR21" i="41"/>
  <c r="BS21" i="41"/>
  <c r="BR22" i="41"/>
  <c r="BS22" i="41"/>
  <c r="BR23" i="41"/>
  <c r="BS23" i="41"/>
  <c r="BR24" i="41"/>
  <c r="BS24" i="41"/>
  <c r="BR25" i="41"/>
  <c r="BS25" i="41"/>
  <c r="BR26" i="41"/>
  <c r="BS26" i="41"/>
  <c r="BR27" i="41"/>
  <c r="BS27" i="41"/>
  <c r="BR28" i="41"/>
  <c r="BS28" i="41"/>
  <c r="BR29" i="41"/>
  <c r="BS29" i="41"/>
  <c r="BR30" i="41"/>
  <c r="BS30" i="41"/>
  <c r="BR31" i="41"/>
  <c r="BS31" i="41"/>
  <c r="BR32" i="41"/>
  <c r="BS32" i="41"/>
  <c r="BR33" i="41"/>
  <c r="BS33" i="41"/>
  <c r="BR34" i="41"/>
  <c r="BS34" i="41"/>
  <c r="BR35" i="41"/>
  <c r="BS35" i="41"/>
  <c r="BR36" i="41"/>
  <c r="BS36" i="41"/>
  <c r="BR37" i="41"/>
  <c r="BS37" i="41"/>
  <c r="BR38" i="41"/>
  <c r="BS38" i="41"/>
  <c r="BR39" i="41"/>
  <c r="BS39" i="41"/>
  <c r="BR40" i="41"/>
  <c r="BS40" i="41"/>
  <c r="BR41" i="41"/>
  <c r="BS41" i="41"/>
  <c r="BR42" i="41"/>
  <c r="BS42" i="41"/>
  <c r="BR43" i="41"/>
  <c r="BS43" i="41"/>
  <c r="BR44" i="41"/>
  <c r="BS44" i="41"/>
  <c r="BR45" i="41"/>
  <c r="BS45" i="41"/>
  <c r="BR46" i="41"/>
  <c r="BS46" i="41"/>
  <c r="BR47" i="41"/>
  <c r="BS47" i="41"/>
  <c r="BR48" i="41"/>
  <c r="BS48" i="41"/>
  <c r="BR49" i="41"/>
  <c r="BS49" i="41"/>
  <c r="BR50" i="41"/>
  <c r="BS50" i="41"/>
  <c r="BR51" i="41"/>
  <c r="BS51" i="41"/>
  <c r="BR52" i="41"/>
  <c r="BS52" i="41"/>
  <c r="BR53" i="41"/>
  <c r="BS53" i="41"/>
  <c r="BR54" i="41"/>
  <c r="BS54" i="41"/>
  <c r="BR55" i="41"/>
  <c r="BS55" i="41"/>
  <c r="BR56" i="41"/>
  <c r="BS56" i="41"/>
  <c r="BR57" i="41"/>
  <c r="BS57" i="41"/>
  <c r="BR58" i="41"/>
  <c r="BS58" i="41"/>
  <c r="BR59" i="41"/>
  <c r="BS59" i="41"/>
  <c r="BR60" i="41"/>
  <c r="BS60" i="41"/>
  <c r="BR61" i="41"/>
  <c r="BS61" i="41"/>
  <c r="BR62" i="41"/>
  <c r="BS62" i="41"/>
  <c r="BR63" i="41"/>
  <c r="BS63" i="41"/>
  <c r="BR64" i="41"/>
  <c r="BS64" i="41"/>
  <c r="BR65" i="41"/>
  <c r="BS65" i="41"/>
  <c r="BR66" i="41"/>
  <c r="BS66" i="41"/>
  <c r="BR67" i="41"/>
  <c r="BS67" i="41"/>
  <c r="BR68" i="41"/>
  <c r="BS68" i="41"/>
  <c r="BR69" i="41"/>
  <c r="BS69" i="41"/>
  <c r="BR70" i="41"/>
  <c r="BS70" i="41"/>
  <c r="BR71" i="41"/>
  <c r="BS71" i="41"/>
  <c r="BR72" i="41"/>
  <c r="BS72" i="41"/>
  <c r="BR73" i="41"/>
  <c r="BS73" i="41"/>
  <c r="BR74" i="41"/>
  <c r="BS74" i="41"/>
  <c r="BR75" i="41"/>
  <c r="BS75" i="41"/>
  <c r="BR76" i="41"/>
  <c r="BS76" i="41"/>
  <c r="BR77" i="41"/>
  <c r="BS77" i="41"/>
  <c r="BR78" i="41"/>
  <c r="BS78" i="41"/>
  <c r="BR79" i="41"/>
  <c r="BS79" i="41"/>
  <c r="BR80" i="41"/>
  <c r="BS80" i="41"/>
  <c r="BR81" i="41"/>
  <c r="BS81" i="41"/>
  <c r="BR82" i="41"/>
  <c r="BS82" i="41"/>
  <c r="BR83" i="41"/>
  <c r="BS83" i="41"/>
  <c r="BR84" i="41"/>
  <c r="BS84" i="41"/>
  <c r="BR85" i="41"/>
  <c r="BS85" i="41"/>
  <c r="BR86" i="41"/>
  <c r="BS86" i="41"/>
  <c r="BR87" i="41"/>
  <c r="BS87" i="41"/>
  <c r="BR88" i="41"/>
  <c r="BS88" i="41"/>
  <c r="BR89" i="41"/>
  <c r="BS89" i="41"/>
  <c r="BR90" i="41"/>
  <c r="BS90" i="41"/>
  <c r="BR91" i="41"/>
  <c r="BS91" i="41"/>
  <c r="BR92" i="41"/>
  <c r="BS92" i="41"/>
  <c r="BR93" i="41"/>
  <c r="BS93" i="41"/>
  <c r="BR94" i="41"/>
  <c r="BS94" i="41"/>
  <c r="BR95" i="41"/>
  <c r="BS95" i="41"/>
  <c r="BR96" i="41"/>
  <c r="BS96" i="41"/>
  <c r="BR97" i="41"/>
  <c r="BS97" i="41"/>
  <c r="BR98" i="41"/>
  <c r="BS98" i="41"/>
  <c r="BR99" i="41"/>
  <c r="BS99" i="41"/>
  <c r="BR100" i="41"/>
  <c r="BS100" i="41"/>
  <c r="BR101" i="41"/>
  <c r="BS101" i="41"/>
  <c r="BR102" i="41"/>
  <c r="BS102" i="41"/>
  <c r="BR103" i="41"/>
  <c r="BS103" i="41"/>
  <c r="BR104" i="41"/>
  <c r="BS104" i="41"/>
  <c r="BR105" i="41"/>
  <c r="BS105" i="41"/>
  <c r="BR106" i="41"/>
  <c r="BS106" i="41"/>
  <c r="BR107" i="41"/>
  <c r="BS107" i="41"/>
  <c r="BR108" i="41"/>
  <c r="BS108" i="41"/>
  <c r="BR109" i="41"/>
  <c r="BS109" i="41"/>
  <c r="BR110" i="41"/>
  <c r="BS110" i="41"/>
  <c r="BR111" i="41"/>
  <c r="BS111" i="41"/>
  <c r="BR112" i="41"/>
  <c r="BS112" i="41"/>
  <c r="BR113" i="41"/>
  <c r="BS113" i="41"/>
  <c r="BR114" i="41"/>
  <c r="BS114" i="41"/>
  <c r="BR115" i="41"/>
  <c r="BS115" i="41"/>
  <c r="BR116" i="41"/>
  <c r="BS116" i="41"/>
  <c r="BR117" i="41"/>
  <c r="BS117" i="41"/>
  <c r="BR118" i="41"/>
  <c r="BS118" i="41"/>
  <c r="BR119" i="41"/>
  <c r="BS119" i="41"/>
  <c r="BR120" i="41"/>
  <c r="BS120" i="41"/>
  <c r="BR121" i="41"/>
  <c r="BS121" i="41"/>
  <c r="BR122" i="41"/>
  <c r="BS122" i="41"/>
  <c r="BR123" i="41"/>
  <c r="BS123" i="41"/>
  <c r="BR124" i="41"/>
  <c r="BS124" i="41"/>
  <c r="BR125" i="41"/>
  <c r="BS125" i="41"/>
  <c r="BR126" i="41"/>
  <c r="BS126" i="41"/>
  <c r="BR127" i="41"/>
  <c r="BS127" i="41"/>
  <c r="BR128" i="41"/>
  <c r="BS128" i="41"/>
  <c r="BR129" i="41"/>
  <c r="BS129" i="41"/>
  <c r="BR130" i="41"/>
  <c r="BS130" i="41"/>
  <c r="BR131" i="41"/>
  <c r="BS131" i="41"/>
  <c r="BR132" i="41"/>
  <c r="BS132" i="41"/>
  <c r="BR133" i="41"/>
  <c r="BS133" i="41"/>
  <c r="BR134" i="41"/>
  <c r="BS134" i="41"/>
  <c r="BR135" i="41"/>
  <c r="BS135" i="41"/>
  <c r="BR136" i="41"/>
  <c r="BS136" i="41"/>
  <c r="BR137" i="41"/>
  <c r="BS137" i="41"/>
  <c r="BR138" i="41"/>
  <c r="BS138" i="41"/>
  <c r="BR139" i="41"/>
  <c r="BS139" i="41"/>
  <c r="BR140" i="41"/>
  <c r="BS140" i="41"/>
  <c r="BR141" i="41"/>
  <c r="BS141" i="41"/>
  <c r="BR142" i="41"/>
  <c r="BS142" i="41"/>
  <c r="BR143" i="41"/>
  <c r="BS143" i="41"/>
  <c r="BR144" i="41"/>
  <c r="BS144" i="41"/>
  <c r="BR145" i="41"/>
  <c r="BS145" i="41"/>
  <c r="BR146" i="41"/>
  <c r="BS146" i="41"/>
  <c r="BR147" i="41"/>
  <c r="BS147" i="41"/>
  <c r="BR148" i="41"/>
  <c r="BR8" i="41"/>
  <c r="BS8" i="41"/>
  <c r="BL1" i="41"/>
  <c r="BM1" i="41"/>
  <c r="BN1" i="41"/>
  <c r="BO1" i="41"/>
  <c r="BP1" i="41"/>
  <c r="BQ1" i="41"/>
  <c r="BR1" i="41"/>
  <c r="BJ149" i="41"/>
  <c r="AV149" i="41"/>
  <c r="AW148" i="41"/>
  <c r="AW147" i="41"/>
  <c r="AW146" i="41"/>
  <c r="AJ146" i="41"/>
  <c r="AW145" i="41"/>
  <c r="AW144" i="41"/>
  <c r="AW143" i="41"/>
  <c r="AJ143" i="41"/>
  <c r="AW142" i="41"/>
  <c r="AJ142" i="41"/>
  <c r="AW141" i="41"/>
  <c r="AJ141" i="41"/>
  <c r="AW140" i="41"/>
  <c r="AW139" i="41"/>
  <c r="AW138" i="41"/>
  <c r="AJ138" i="41"/>
  <c r="AW137" i="41"/>
  <c r="AW136" i="41"/>
  <c r="AW135" i="41"/>
  <c r="AW134" i="41"/>
  <c r="AJ134" i="41"/>
  <c r="AW133" i="41"/>
  <c r="AJ133" i="41"/>
  <c r="AW132" i="41"/>
  <c r="AW131" i="41"/>
  <c r="AJ131" i="41"/>
  <c r="AW130" i="41"/>
  <c r="AW129" i="41"/>
  <c r="AJ129" i="41"/>
  <c r="AW128" i="41"/>
  <c r="AW127" i="41"/>
  <c r="AW126" i="41"/>
  <c r="AW125" i="41"/>
  <c r="AJ125" i="41"/>
  <c r="AW124" i="41"/>
  <c r="AW123" i="41"/>
  <c r="AW122" i="41"/>
  <c r="AW121" i="41"/>
  <c r="AW120" i="41"/>
  <c r="AW119" i="41"/>
  <c r="AJ119" i="41"/>
  <c r="AW118" i="41"/>
  <c r="AW117" i="41"/>
  <c r="AJ117" i="41"/>
  <c r="AW116" i="41"/>
  <c r="AW115" i="41"/>
  <c r="AW114" i="41"/>
  <c r="AW113" i="41"/>
  <c r="AJ113" i="41"/>
  <c r="AW112" i="41"/>
  <c r="AW111" i="41"/>
  <c r="AJ111" i="41"/>
  <c r="AW110" i="41"/>
  <c r="AW109" i="41"/>
  <c r="AJ109" i="41"/>
  <c r="AW108" i="41"/>
  <c r="AW107" i="41"/>
  <c r="AJ107" i="41"/>
  <c r="AW106" i="41"/>
  <c r="AW105" i="41"/>
  <c r="AJ105" i="41"/>
  <c r="AW104" i="41"/>
  <c r="AW103" i="41"/>
  <c r="AJ103" i="41"/>
  <c r="AW102" i="41"/>
  <c r="AW101" i="41"/>
  <c r="AJ101" i="41"/>
  <c r="AW100" i="41"/>
  <c r="AW99" i="41"/>
  <c r="AJ99" i="41"/>
  <c r="AW98" i="41"/>
  <c r="AW97" i="41"/>
  <c r="AJ97" i="41"/>
  <c r="AW96" i="41"/>
  <c r="AW95" i="41"/>
  <c r="AJ95" i="41"/>
  <c r="AW94" i="41"/>
  <c r="AW93" i="41"/>
  <c r="AJ93" i="41"/>
  <c r="AW92" i="41"/>
  <c r="AW91" i="41"/>
  <c r="AJ91" i="41"/>
  <c r="AW90" i="41"/>
  <c r="AW89" i="41"/>
  <c r="AJ89" i="41"/>
  <c r="AW88" i="41"/>
  <c r="AW87" i="41"/>
  <c r="AJ87" i="41"/>
  <c r="AW86" i="41"/>
  <c r="AW85" i="41"/>
  <c r="AJ85" i="41"/>
  <c r="AW84" i="41"/>
  <c r="AW83" i="41"/>
  <c r="AJ83" i="41"/>
  <c r="AW82" i="41"/>
  <c r="AW81" i="41"/>
  <c r="AJ81" i="41"/>
  <c r="AW80" i="41"/>
  <c r="AW79" i="41"/>
  <c r="AJ79" i="41"/>
  <c r="AW78" i="41"/>
  <c r="AW77" i="41"/>
  <c r="AJ77" i="41"/>
  <c r="AW76" i="41"/>
  <c r="AW75" i="41"/>
  <c r="AW74" i="41"/>
  <c r="AW73" i="41"/>
  <c r="AW72" i="41"/>
  <c r="AW71" i="41"/>
  <c r="AW70" i="41"/>
  <c r="AW69" i="41"/>
  <c r="AW68" i="41"/>
  <c r="AW67" i="41"/>
  <c r="AW66" i="41"/>
  <c r="AW65" i="41"/>
  <c r="AW64" i="41"/>
  <c r="AW63" i="41"/>
  <c r="AW62" i="41"/>
  <c r="AW61" i="41"/>
  <c r="AW60" i="41"/>
  <c r="AW59" i="41"/>
  <c r="AW58" i="41"/>
  <c r="AW57" i="41"/>
  <c r="AW56" i="41"/>
  <c r="AW55" i="41"/>
  <c r="AW54" i="41"/>
  <c r="AW53" i="41"/>
  <c r="AW52" i="41"/>
  <c r="AW51" i="41"/>
  <c r="AW50" i="41"/>
  <c r="AW49" i="41"/>
  <c r="AW48" i="41"/>
  <c r="AW47" i="41"/>
  <c r="AW46" i="41"/>
  <c r="AW45" i="41"/>
  <c r="AW44" i="41"/>
  <c r="AW43" i="41"/>
  <c r="AW42" i="41"/>
  <c r="AW41" i="41"/>
  <c r="AW40" i="41"/>
  <c r="AW39" i="41"/>
  <c r="AW38" i="41"/>
  <c r="AW37" i="41"/>
  <c r="AW36" i="41"/>
  <c r="AW35" i="41"/>
  <c r="AW34" i="41"/>
  <c r="AW33" i="41"/>
  <c r="AW32" i="41"/>
  <c r="AW31" i="41"/>
  <c r="AJ31" i="41"/>
  <c r="AW30" i="41"/>
  <c r="AW29" i="41"/>
  <c r="AW28" i="41"/>
  <c r="AW27" i="41"/>
  <c r="AW26" i="41"/>
  <c r="AW25" i="41"/>
  <c r="AJ25" i="41"/>
  <c r="AW24" i="41"/>
  <c r="AW23" i="41"/>
  <c r="AJ23" i="41"/>
  <c r="AW22" i="41"/>
  <c r="AW21" i="41"/>
  <c r="AW20" i="41"/>
  <c r="AW19" i="41"/>
  <c r="AJ19" i="41"/>
  <c r="AW18" i="41"/>
  <c r="AW17" i="41"/>
  <c r="AW16" i="41"/>
  <c r="AW15" i="41"/>
  <c r="AJ15" i="41"/>
  <c r="AW14" i="41"/>
  <c r="AW13" i="41"/>
  <c r="AW12" i="41"/>
  <c r="AW11" i="41"/>
  <c r="AJ11" i="41"/>
  <c r="AW10" i="41"/>
  <c r="AW9" i="41"/>
  <c r="AJ8" i="41"/>
  <c r="AW8" i="41"/>
  <c r="AC148" i="41"/>
  <c r="AC147" i="41"/>
  <c r="AC146" i="41"/>
  <c r="AC145" i="41"/>
  <c r="AG145" i="41"/>
  <c r="AC144" i="41"/>
  <c r="AG144" i="41"/>
  <c r="AC143" i="41"/>
  <c r="AC142" i="41"/>
  <c r="AG142" i="41"/>
  <c r="AC141" i="41"/>
  <c r="AG141" i="41"/>
  <c r="AC140" i="41"/>
  <c r="AG140" i="41"/>
  <c r="AC139" i="41"/>
  <c r="AC138" i="41"/>
  <c r="AC137" i="41"/>
  <c r="AG137" i="41"/>
  <c r="AC136" i="41"/>
  <c r="AG136" i="41"/>
  <c r="AC135" i="41"/>
  <c r="AC134" i="41"/>
  <c r="AG134" i="41"/>
  <c r="AC133" i="41"/>
  <c r="AG133" i="41"/>
  <c r="AC132" i="41"/>
  <c r="AG132" i="41"/>
  <c r="AC131" i="41"/>
  <c r="AG131" i="41"/>
  <c r="AC130" i="41"/>
  <c r="AG130" i="41"/>
  <c r="AC129" i="41"/>
  <c r="AG129" i="41"/>
  <c r="AC128" i="41"/>
  <c r="AG128" i="41"/>
  <c r="AC127" i="41"/>
  <c r="AG127" i="41"/>
  <c r="AC126" i="41"/>
  <c r="AG126" i="41"/>
  <c r="AC125" i="41"/>
  <c r="AG125" i="41"/>
  <c r="AK125" i="41"/>
  <c r="AC124" i="41"/>
  <c r="AG124" i="41"/>
  <c r="AC123" i="41"/>
  <c r="AG123" i="41"/>
  <c r="AC122" i="41"/>
  <c r="AG122" i="41"/>
  <c r="AC121" i="41"/>
  <c r="AG121" i="41"/>
  <c r="AC120" i="41"/>
  <c r="AG120" i="41"/>
  <c r="AC119" i="41"/>
  <c r="AC118" i="41"/>
  <c r="AG118" i="41"/>
  <c r="AC117" i="41"/>
  <c r="AG117" i="41"/>
  <c r="AC116" i="41"/>
  <c r="AG116" i="41"/>
  <c r="AC115" i="41"/>
  <c r="AC114" i="41"/>
  <c r="AG114" i="41"/>
  <c r="AC113" i="41"/>
  <c r="AG113" i="41"/>
  <c r="AC112" i="41"/>
  <c r="AG112" i="41"/>
  <c r="AC111" i="41"/>
  <c r="AG111" i="41"/>
  <c r="AC110" i="41"/>
  <c r="AC109" i="41"/>
  <c r="AG109" i="41"/>
  <c r="AC108" i="41"/>
  <c r="AG108" i="41"/>
  <c r="AC107" i="41"/>
  <c r="AG107" i="41"/>
  <c r="AC106" i="41"/>
  <c r="AC105" i="41"/>
  <c r="AG105" i="41"/>
  <c r="AC104" i="41"/>
  <c r="AG104" i="41"/>
  <c r="AC103" i="41"/>
  <c r="AG103" i="41"/>
  <c r="AC102" i="41"/>
  <c r="AG102" i="41"/>
  <c r="AC101" i="41"/>
  <c r="AG101" i="41"/>
  <c r="AC100" i="41"/>
  <c r="AG100" i="41"/>
  <c r="AC99" i="41"/>
  <c r="AG99" i="41"/>
  <c r="AC98" i="41"/>
  <c r="AG98" i="41"/>
  <c r="AC97" i="41"/>
  <c r="AG97" i="41"/>
  <c r="AC96" i="41"/>
  <c r="AG96" i="41"/>
  <c r="AC95" i="41"/>
  <c r="AG95" i="41"/>
  <c r="AC94" i="41"/>
  <c r="AG94" i="41"/>
  <c r="AC93" i="41"/>
  <c r="AG93" i="41"/>
  <c r="AC92" i="41"/>
  <c r="AG92" i="41"/>
  <c r="AC91" i="41"/>
  <c r="AG91" i="41"/>
  <c r="AC90" i="41"/>
  <c r="AG90" i="41"/>
  <c r="AC89" i="41"/>
  <c r="AG89" i="41"/>
  <c r="AC88" i="41"/>
  <c r="AG88" i="41"/>
  <c r="AC87" i="41"/>
  <c r="AG87" i="41"/>
  <c r="AC86" i="41"/>
  <c r="AG86" i="41"/>
  <c r="AC85" i="41"/>
  <c r="AG85" i="41"/>
  <c r="AC84" i="41"/>
  <c r="AG84" i="41"/>
  <c r="AC83" i="41"/>
  <c r="AG83" i="41"/>
  <c r="AC82" i="41"/>
  <c r="AG82" i="41"/>
  <c r="AC81" i="41"/>
  <c r="AG81" i="41"/>
  <c r="AC80" i="41"/>
  <c r="AG80" i="41"/>
  <c r="AC79" i="41"/>
  <c r="AG79" i="41"/>
  <c r="AC78" i="41"/>
  <c r="AG78" i="41"/>
  <c r="AC77" i="41"/>
  <c r="AG77" i="41"/>
  <c r="AC76" i="41"/>
  <c r="AG76" i="41"/>
  <c r="AC75" i="41"/>
  <c r="AG75" i="41"/>
  <c r="AC74" i="41"/>
  <c r="AG74" i="41"/>
  <c r="AC73" i="41"/>
  <c r="AG73" i="41"/>
  <c r="AK73" i="41"/>
  <c r="AC72" i="41"/>
  <c r="AG72" i="41"/>
  <c r="AC71" i="41"/>
  <c r="AG71" i="41"/>
  <c r="AC70" i="41"/>
  <c r="AG70" i="41"/>
  <c r="AC69" i="41"/>
  <c r="AG69" i="41"/>
  <c r="AK69" i="41"/>
  <c r="AC68" i="41"/>
  <c r="AG68" i="41"/>
  <c r="AK68" i="41"/>
  <c r="AC67" i="41"/>
  <c r="AG67" i="41"/>
  <c r="AC66" i="41"/>
  <c r="AG66" i="41"/>
  <c r="AC65" i="41"/>
  <c r="AG65" i="41"/>
  <c r="AK65" i="41"/>
  <c r="AC64" i="41"/>
  <c r="AG64" i="41"/>
  <c r="AC63" i="41"/>
  <c r="AG63" i="41"/>
  <c r="AC62" i="41"/>
  <c r="AG62" i="41"/>
  <c r="AC61" i="41"/>
  <c r="AG61" i="41"/>
  <c r="AK61" i="41"/>
  <c r="AC60" i="41"/>
  <c r="AG60" i="41"/>
  <c r="AC59" i="41"/>
  <c r="AG59" i="41"/>
  <c r="AC58" i="41"/>
  <c r="AG58" i="41"/>
  <c r="AC57" i="41"/>
  <c r="AG57" i="41"/>
  <c r="AK57" i="41"/>
  <c r="AC56" i="41"/>
  <c r="AG56" i="41"/>
  <c r="AC55" i="41"/>
  <c r="AG55" i="41"/>
  <c r="AC54" i="41"/>
  <c r="AG54" i="41"/>
  <c r="AC53" i="41"/>
  <c r="AG53" i="41"/>
  <c r="AC52" i="41"/>
  <c r="AG52" i="41"/>
  <c r="AC51" i="41"/>
  <c r="AG51" i="41"/>
  <c r="AC50" i="41"/>
  <c r="AG50" i="41"/>
  <c r="AC49" i="41"/>
  <c r="AG49" i="41"/>
  <c r="AK49" i="41"/>
  <c r="AC48" i="41"/>
  <c r="AG48" i="41"/>
  <c r="AC47" i="41"/>
  <c r="AG47" i="41"/>
  <c r="AC46" i="41"/>
  <c r="AG46" i="41"/>
  <c r="AC45" i="41"/>
  <c r="AG45" i="41"/>
  <c r="AK45" i="41"/>
  <c r="AC44" i="41"/>
  <c r="AG44" i="41"/>
  <c r="AC43" i="41"/>
  <c r="AG43" i="41"/>
  <c r="AC42" i="41"/>
  <c r="AG42" i="41"/>
  <c r="AC41" i="41"/>
  <c r="AG41" i="41"/>
  <c r="AK41" i="41"/>
  <c r="AC40" i="41"/>
  <c r="AG40" i="41"/>
  <c r="AC39" i="41"/>
  <c r="AG39" i="41"/>
  <c r="AC38" i="41"/>
  <c r="AG38" i="41"/>
  <c r="AC37" i="41"/>
  <c r="AG37" i="41"/>
  <c r="AK37" i="41"/>
  <c r="AC36" i="41"/>
  <c r="AG36" i="41"/>
  <c r="AC35" i="41"/>
  <c r="AG35" i="41"/>
  <c r="AC34" i="41"/>
  <c r="AG34" i="41"/>
  <c r="AC33" i="41"/>
  <c r="AG33" i="41"/>
  <c r="AK33" i="41"/>
  <c r="AC32" i="41"/>
  <c r="AG32" i="41"/>
  <c r="AC31" i="41"/>
  <c r="AG31" i="41"/>
  <c r="AC30" i="41"/>
  <c r="AG30" i="41"/>
  <c r="AC29" i="41"/>
  <c r="AG29" i="41"/>
  <c r="AK29" i="41"/>
  <c r="AC28" i="41"/>
  <c r="AC27" i="41"/>
  <c r="AG27" i="41"/>
  <c r="AC26" i="41"/>
  <c r="AC25" i="41"/>
  <c r="AG25" i="41"/>
  <c r="AK25" i="41"/>
  <c r="AC24" i="41"/>
  <c r="AC23" i="41"/>
  <c r="AG23" i="41"/>
  <c r="AC22" i="41"/>
  <c r="AG22" i="41"/>
  <c r="AC21" i="41"/>
  <c r="AG21" i="41"/>
  <c r="AK21" i="41"/>
  <c r="AC20" i="41"/>
  <c r="AG20" i="41"/>
  <c r="AC19" i="41"/>
  <c r="AG19" i="41"/>
  <c r="AC18" i="41"/>
  <c r="AC17" i="41"/>
  <c r="AG17" i="41"/>
  <c r="AK17" i="41"/>
  <c r="AC16" i="41"/>
  <c r="AC15" i="41"/>
  <c r="AG15" i="41"/>
  <c r="AC14" i="41"/>
  <c r="AG14" i="41"/>
  <c r="AK14" i="41"/>
  <c r="AC13" i="41"/>
  <c r="AG13" i="41"/>
  <c r="AC12" i="41"/>
  <c r="AG12" i="41"/>
  <c r="AC11" i="41"/>
  <c r="AG11" i="41"/>
  <c r="AC10" i="41"/>
  <c r="AG10" i="41"/>
  <c r="AC9" i="41"/>
  <c r="AG9" i="41"/>
  <c r="W154" i="41"/>
  <c r="W155" i="41"/>
  <c r="Z154" i="41"/>
  <c r="Z155" i="41"/>
  <c r="V154" i="41"/>
  <c r="V155" i="41"/>
  <c r="U154" i="41"/>
  <c r="U155" i="41"/>
  <c r="AB154" i="41"/>
  <c r="AB155" i="41"/>
  <c r="T154" i="41"/>
  <c r="T155" i="41"/>
  <c r="AA154" i="41"/>
  <c r="AA155" i="41"/>
  <c r="S154" i="41"/>
  <c r="S155" i="41"/>
  <c r="X154" i="41"/>
  <c r="X155" i="41"/>
  <c r="Y154" i="41"/>
  <c r="Y155" i="41"/>
  <c r="BN149" i="41"/>
  <c r="BK149" i="41"/>
  <c r="AC151" i="41"/>
  <c r="AW151" i="41"/>
  <c r="AC154" i="41"/>
  <c r="AW153" i="41"/>
  <c r="AX18" i="41"/>
  <c r="AQ18" i="41"/>
  <c r="AX17" i="41"/>
  <c r="AR17" i="41"/>
  <c r="AX25" i="41"/>
  <c r="AU25" i="41"/>
  <c r="AX28" i="41"/>
  <c r="AS28" i="41"/>
  <c r="AX16" i="41"/>
  <c r="AP16" i="41"/>
  <c r="AX9" i="41"/>
  <c r="AQ9" i="41"/>
  <c r="AX33" i="41"/>
  <c r="AU33" i="41"/>
  <c r="AX21" i="41"/>
  <c r="AU21" i="41"/>
  <c r="AC153" i="41"/>
  <c r="AX22" i="41"/>
  <c r="AT22" i="41"/>
  <c r="AX37" i="41"/>
  <c r="AM37" i="41"/>
  <c r="AX45" i="41"/>
  <c r="AU45" i="41"/>
  <c r="AX53" i="41"/>
  <c r="AM53" i="41"/>
  <c r="AX61" i="41"/>
  <c r="AM61" i="41"/>
  <c r="AJ121" i="41"/>
  <c r="AX24" i="41"/>
  <c r="AS24" i="41"/>
  <c r="AX20" i="41"/>
  <c r="AL20" i="41"/>
  <c r="AX57" i="41"/>
  <c r="AU57" i="41"/>
  <c r="AX8" i="41"/>
  <c r="AL8" i="41"/>
  <c r="AX10" i="41"/>
  <c r="AR10" i="41"/>
  <c r="AX32" i="41"/>
  <c r="AS32" i="41"/>
  <c r="AX41" i="41"/>
  <c r="AU41" i="41"/>
  <c r="AX49" i="41"/>
  <c r="AU49" i="41"/>
  <c r="AX65" i="41"/>
  <c r="AQ65" i="41"/>
  <c r="AX73" i="41"/>
  <c r="AS73" i="41"/>
  <c r="AX14" i="41"/>
  <c r="AX26" i="41"/>
  <c r="AO26" i="41"/>
  <c r="AX29" i="41"/>
  <c r="AT29" i="41"/>
  <c r="AX12" i="41"/>
  <c r="AO12" i="41"/>
  <c r="AX13" i="41"/>
  <c r="AM13" i="41"/>
  <c r="AX69" i="41"/>
  <c r="AQ69" i="41"/>
  <c r="AK30" i="41"/>
  <c r="AK46" i="41"/>
  <c r="AK54" i="41"/>
  <c r="AK62" i="41"/>
  <c r="AK70" i="41"/>
  <c r="AK32" i="41"/>
  <c r="AK40" i="41"/>
  <c r="AK56" i="41"/>
  <c r="AK64" i="41"/>
  <c r="AK48" i="41"/>
  <c r="AK10" i="41"/>
  <c r="AK34" i="41"/>
  <c r="AK42" i="41"/>
  <c r="AK50" i="41"/>
  <c r="AK58" i="41"/>
  <c r="AK66" i="41"/>
  <c r="AK12" i="41"/>
  <c r="AK20" i="41"/>
  <c r="AK36" i="41"/>
  <c r="AK44" i="41"/>
  <c r="AK52" i="41"/>
  <c r="AK60" i="41"/>
  <c r="AK76" i="41"/>
  <c r="AK100" i="41"/>
  <c r="AK116" i="41"/>
  <c r="AK132" i="41"/>
  <c r="AK78" i="41"/>
  <c r="AK86" i="41"/>
  <c r="AK94" i="41"/>
  <c r="AK102" i="41"/>
  <c r="AG110" i="41"/>
  <c r="AX110" i="41"/>
  <c r="AK118" i="41"/>
  <c r="AK126" i="41"/>
  <c r="AK134" i="41"/>
  <c r="AK142" i="41"/>
  <c r="AX11" i="41"/>
  <c r="BF11" i="41"/>
  <c r="AJ13" i="41"/>
  <c r="AG16" i="41"/>
  <c r="AG18" i="41"/>
  <c r="AJ27" i="41"/>
  <c r="AX36" i="41"/>
  <c r="AU36" i="41"/>
  <c r="AX38" i="41"/>
  <c r="AR38" i="41"/>
  <c r="AX55" i="41"/>
  <c r="AX59" i="41"/>
  <c r="AQ59" i="41"/>
  <c r="AX63" i="41"/>
  <c r="AQ63" i="41"/>
  <c r="AX70" i="41"/>
  <c r="AX78" i="41"/>
  <c r="AP78" i="41"/>
  <c r="AX86" i="41"/>
  <c r="AP86" i="41"/>
  <c r="AX94" i="41"/>
  <c r="AT94" i="41"/>
  <c r="AX102" i="41"/>
  <c r="AU102" i="41"/>
  <c r="AK15" i="41"/>
  <c r="AK23" i="41"/>
  <c r="AK31" i="41"/>
  <c r="AK39" i="41"/>
  <c r="AK47" i="41"/>
  <c r="AK55" i="41"/>
  <c r="AK63" i="41"/>
  <c r="AK71" i="41"/>
  <c r="AK79" i="41"/>
  <c r="AK87" i="41"/>
  <c r="AK95" i="41"/>
  <c r="AK103" i="41"/>
  <c r="AK111" i="41"/>
  <c r="AG119" i="41"/>
  <c r="AX119" i="41"/>
  <c r="BF119" i="41"/>
  <c r="AK127" i="41"/>
  <c r="AG135" i="41"/>
  <c r="AX135" i="41"/>
  <c r="AS135" i="41"/>
  <c r="AG143" i="41"/>
  <c r="AX143" i="41"/>
  <c r="AO143" i="41"/>
  <c r="AK22" i="41"/>
  <c r="AX23" i="41"/>
  <c r="BF23" i="41"/>
  <c r="AG28" i="41"/>
  <c r="AJ29" i="41"/>
  <c r="AX30" i="41"/>
  <c r="AQ30" i="41"/>
  <c r="AX34" i="41"/>
  <c r="AQ34" i="41"/>
  <c r="AX43" i="41"/>
  <c r="AM43" i="41"/>
  <c r="AX47" i="41"/>
  <c r="AM47" i="41"/>
  <c r="AX51" i="41"/>
  <c r="AX75" i="41"/>
  <c r="AT75" i="41"/>
  <c r="AX131" i="41"/>
  <c r="AL131" i="41"/>
  <c r="AK72" i="41"/>
  <c r="AK88" i="41"/>
  <c r="AK104" i="41"/>
  <c r="AK120" i="41"/>
  <c r="AK136" i="41"/>
  <c r="AX39" i="41"/>
  <c r="AU39" i="41"/>
  <c r="AJ65" i="41"/>
  <c r="AX72" i="41"/>
  <c r="AN72" i="41"/>
  <c r="AX80" i="41"/>
  <c r="AP80" i="41"/>
  <c r="AX88" i="41"/>
  <c r="AP88" i="41"/>
  <c r="AX96" i="41"/>
  <c r="AX104" i="41"/>
  <c r="AT104" i="41"/>
  <c r="AX112" i="41"/>
  <c r="AN112" i="41"/>
  <c r="AX123" i="41"/>
  <c r="AS123" i="41"/>
  <c r="AK80" i="41"/>
  <c r="AK96" i="41"/>
  <c r="AK112" i="41"/>
  <c r="AK128" i="41"/>
  <c r="AK144" i="41"/>
  <c r="AK81" i="41"/>
  <c r="AK89" i="41"/>
  <c r="AK97" i="41"/>
  <c r="AK105" i="41"/>
  <c r="AK113" i="41"/>
  <c r="AK121" i="41"/>
  <c r="AK137" i="41"/>
  <c r="AJ9" i="41"/>
  <c r="AX19" i="41"/>
  <c r="AT19" i="41"/>
  <c r="AJ21" i="41"/>
  <c r="AX35" i="41"/>
  <c r="AK82" i="41"/>
  <c r="AK98" i="41"/>
  <c r="AK114" i="41"/>
  <c r="AK130" i="41"/>
  <c r="AG146" i="41"/>
  <c r="AX146" i="41"/>
  <c r="BC146" i="41"/>
  <c r="AG24" i="41"/>
  <c r="AG26" i="41"/>
  <c r="AJ55" i="41"/>
  <c r="AJ57" i="41"/>
  <c r="AJ59" i="41"/>
  <c r="AJ61" i="41"/>
  <c r="AJ63" i="41"/>
  <c r="AX64" i="41"/>
  <c r="AN64" i="41"/>
  <c r="AJ69" i="41"/>
  <c r="AX82" i="41"/>
  <c r="AO82" i="41"/>
  <c r="AX90" i="41"/>
  <c r="AP90" i="41"/>
  <c r="AX98" i="41"/>
  <c r="AP98" i="41"/>
  <c r="AK74" i="41"/>
  <c r="AK90" i="41"/>
  <c r="AG106" i="41"/>
  <c r="AX106" i="41"/>
  <c r="AR106" i="41"/>
  <c r="AK122" i="41"/>
  <c r="AG138" i="41"/>
  <c r="AX138" i="41"/>
  <c r="BG138" i="41"/>
  <c r="AK11" i="41"/>
  <c r="AK19" i="41"/>
  <c r="AK27" i="41"/>
  <c r="AK35" i="41"/>
  <c r="AK43" i="41"/>
  <c r="AK51" i="41"/>
  <c r="AK59" i="41"/>
  <c r="AK67" i="41"/>
  <c r="AK75" i="41"/>
  <c r="AK83" i="41"/>
  <c r="AK91" i="41"/>
  <c r="AK99" i="41"/>
  <c r="AK107" i="41"/>
  <c r="AX115" i="41"/>
  <c r="AL115" i="41"/>
  <c r="AG115" i="41"/>
  <c r="AK123" i="41"/>
  <c r="AK131" i="41"/>
  <c r="AG139" i="41"/>
  <c r="AX139" i="41"/>
  <c r="AO139" i="41"/>
  <c r="AG147" i="41"/>
  <c r="AX147" i="41"/>
  <c r="AP147" i="41"/>
  <c r="AX15" i="41"/>
  <c r="AN15" i="41"/>
  <c r="AJ17" i="41"/>
  <c r="AK38" i="41"/>
  <c r="AJ43" i="41"/>
  <c r="AJ45" i="41"/>
  <c r="AJ47" i="41"/>
  <c r="AJ49" i="41"/>
  <c r="AJ51" i="41"/>
  <c r="AJ53" i="41"/>
  <c r="AX56" i="41"/>
  <c r="AR56" i="41"/>
  <c r="AX60" i="41"/>
  <c r="AX67" i="41"/>
  <c r="AP67" i="41"/>
  <c r="AX71" i="41"/>
  <c r="AQ71" i="41"/>
  <c r="AX74" i="41"/>
  <c r="AQ74" i="41"/>
  <c r="AX127" i="41"/>
  <c r="AR127" i="41"/>
  <c r="AK92" i="41"/>
  <c r="AK108" i="41"/>
  <c r="AK124" i="41"/>
  <c r="AK140" i="41"/>
  <c r="AX148" i="41"/>
  <c r="AM148" i="41"/>
  <c r="AG148" i="41"/>
  <c r="AJ39" i="41"/>
  <c r="AJ41" i="41"/>
  <c r="AX44" i="41"/>
  <c r="AR44" i="41"/>
  <c r="AX48" i="41"/>
  <c r="AN48" i="41"/>
  <c r="AX52" i="41"/>
  <c r="AX54" i="41"/>
  <c r="AN54" i="41"/>
  <c r="AX58" i="41"/>
  <c r="AN58" i="41"/>
  <c r="AX62" i="41"/>
  <c r="AX66" i="41"/>
  <c r="AQ66" i="41"/>
  <c r="AX68" i="41"/>
  <c r="AR68" i="41"/>
  <c r="AX76" i="41"/>
  <c r="AR76" i="41"/>
  <c r="AX84" i="41"/>
  <c r="AR84" i="41"/>
  <c r="AX92" i="41"/>
  <c r="AP92" i="41"/>
  <c r="AX100" i="41"/>
  <c r="AN100" i="41"/>
  <c r="AX108" i="41"/>
  <c r="AP108" i="41"/>
  <c r="AX132" i="41"/>
  <c r="AK84" i="41"/>
  <c r="AK77" i="41"/>
  <c r="AK85" i="41"/>
  <c r="AK93" i="41"/>
  <c r="AK101" i="41"/>
  <c r="AK109" i="41"/>
  <c r="AK117" i="41"/>
  <c r="AX27" i="41"/>
  <c r="AU27" i="41"/>
  <c r="AX31" i="41"/>
  <c r="AP31" i="41"/>
  <c r="AJ33" i="41"/>
  <c r="AJ35" i="41"/>
  <c r="AJ37" i="41"/>
  <c r="AX40" i="41"/>
  <c r="AR40" i="41"/>
  <c r="AX42" i="41"/>
  <c r="AQ42" i="41"/>
  <c r="AX46" i="41"/>
  <c r="AN46" i="41"/>
  <c r="AX50" i="41"/>
  <c r="AM50" i="41"/>
  <c r="AX140" i="41"/>
  <c r="AK9" i="41"/>
  <c r="AK13" i="41"/>
  <c r="AK53" i="41"/>
  <c r="AK145" i="41"/>
  <c r="AJ10" i="41"/>
  <c r="AJ14" i="41"/>
  <c r="AJ18" i="41"/>
  <c r="AJ22" i="41"/>
  <c r="AJ26" i="41"/>
  <c r="AJ30" i="41"/>
  <c r="AJ34" i="41"/>
  <c r="AJ38" i="41"/>
  <c r="AJ42" i="41"/>
  <c r="AJ46" i="41"/>
  <c r="AJ50" i="41"/>
  <c r="AJ54" i="41"/>
  <c r="AJ58" i="41"/>
  <c r="AJ62" i="41"/>
  <c r="AJ66" i="41"/>
  <c r="AJ70" i="41"/>
  <c r="AJ74" i="41"/>
  <c r="AJ120" i="41"/>
  <c r="AX121" i="41"/>
  <c r="AP121" i="41"/>
  <c r="AX122" i="41"/>
  <c r="AQ122" i="41"/>
  <c r="AJ127" i="41"/>
  <c r="AX128" i="41"/>
  <c r="AO128" i="41"/>
  <c r="AX129" i="41"/>
  <c r="BC129" i="41"/>
  <c r="AX137" i="41"/>
  <c r="AP137" i="41"/>
  <c r="AX142" i="41"/>
  <c r="AX120" i="41"/>
  <c r="AX125" i="41"/>
  <c r="BG125" i="41"/>
  <c r="AJ67" i="41"/>
  <c r="AJ71" i="41"/>
  <c r="AJ75" i="41"/>
  <c r="AJ118" i="41"/>
  <c r="AX79" i="41"/>
  <c r="AP79" i="41"/>
  <c r="AJ80" i="41"/>
  <c r="AX83" i="41"/>
  <c r="AT83" i="41"/>
  <c r="AJ84" i="41"/>
  <c r="AX87" i="41"/>
  <c r="BE87" i="41"/>
  <c r="AJ88" i="41"/>
  <c r="AX91" i="41"/>
  <c r="BG91" i="41"/>
  <c r="AJ92" i="41"/>
  <c r="AX95" i="41"/>
  <c r="BG95" i="41"/>
  <c r="AJ96" i="41"/>
  <c r="AX99" i="41"/>
  <c r="AP99" i="41"/>
  <c r="AJ100" i="41"/>
  <c r="AX103" i="41"/>
  <c r="BE103" i="41"/>
  <c r="AJ104" i="41"/>
  <c r="AX107" i="41"/>
  <c r="BD107" i="41"/>
  <c r="AJ108" i="41"/>
  <c r="AX111" i="41"/>
  <c r="AS111" i="41"/>
  <c r="AJ112" i="41"/>
  <c r="AJ116" i="41"/>
  <c r="AX117" i="41"/>
  <c r="BH117" i="41"/>
  <c r="AX118" i="41"/>
  <c r="AM118" i="41"/>
  <c r="AK129" i="41"/>
  <c r="AX130" i="41"/>
  <c r="AO130" i="41"/>
  <c r="AX134" i="41"/>
  <c r="AZ134" i="41"/>
  <c r="AJ135" i="41"/>
  <c r="AX136" i="41"/>
  <c r="AN136" i="41"/>
  <c r="AK133" i="41"/>
  <c r="AK141" i="41"/>
  <c r="AJ12" i="41"/>
  <c r="AJ16" i="41"/>
  <c r="AJ20" i="41"/>
  <c r="AJ24" i="41"/>
  <c r="AJ28" i="41"/>
  <c r="AJ32" i="41"/>
  <c r="AJ36" i="41"/>
  <c r="AJ40" i="41"/>
  <c r="AJ44" i="41"/>
  <c r="AJ48" i="41"/>
  <c r="AJ52" i="41"/>
  <c r="AJ56" i="41"/>
  <c r="AJ60" i="41"/>
  <c r="AJ64" i="41"/>
  <c r="AJ68" i="41"/>
  <c r="AJ72" i="41"/>
  <c r="AJ76" i="41"/>
  <c r="AJ115" i="41"/>
  <c r="AX116" i="41"/>
  <c r="AT116" i="41"/>
  <c r="AJ114" i="41"/>
  <c r="AJ124" i="41"/>
  <c r="AX124" i="41"/>
  <c r="AT124" i="41"/>
  <c r="AX144" i="41"/>
  <c r="AU144" i="41"/>
  <c r="AJ73" i="41"/>
  <c r="AX113" i="41"/>
  <c r="BH113" i="41"/>
  <c r="AX114" i="41"/>
  <c r="AP114" i="41"/>
  <c r="AJ123" i="41"/>
  <c r="AX126" i="41"/>
  <c r="AN126" i="41"/>
  <c r="AX77" i="41"/>
  <c r="AS77" i="41"/>
  <c r="AJ78" i="41"/>
  <c r="AX81" i="41"/>
  <c r="BF81" i="41"/>
  <c r="AJ82" i="41"/>
  <c r="AX85" i="41"/>
  <c r="BE85" i="41"/>
  <c r="AJ86" i="41"/>
  <c r="AX89" i="41"/>
  <c r="BE89" i="41"/>
  <c r="AJ90" i="41"/>
  <c r="AX93" i="41"/>
  <c r="BD93" i="41"/>
  <c r="AJ94" i="41"/>
  <c r="AX97" i="41"/>
  <c r="AJ98" i="41"/>
  <c r="AX101" i="41"/>
  <c r="BF101" i="41"/>
  <c r="AJ102" i="41"/>
  <c r="AX105" i="41"/>
  <c r="BE105" i="41"/>
  <c r="AJ106" i="41"/>
  <c r="AX109" i="41"/>
  <c r="BB109" i="41"/>
  <c r="AJ110" i="41"/>
  <c r="AJ122" i="41"/>
  <c r="AJ136" i="41"/>
  <c r="AJ126" i="41"/>
  <c r="AJ130" i="41"/>
  <c r="AJ147" i="41"/>
  <c r="AJ144" i="41"/>
  <c r="AJ128" i="41"/>
  <c r="AJ132" i="41"/>
  <c r="AX141" i="41"/>
  <c r="AJ145" i="41"/>
  <c r="AJ148" i="41"/>
  <c r="AJ139" i="41"/>
  <c r="AX145" i="41"/>
  <c r="AS145" i="41"/>
  <c r="AX133" i="41"/>
  <c r="BD133" i="41"/>
  <c r="AJ137" i="41"/>
  <c r="AJ140" i="41"/>
  <c r="AU8" i="41"/>
  <c r="AR8" i="41"/>
  <c r="BI8" i="41"/>
  <c r="AU12" i="41"/>
  <c r="AC155" i="41"/>
  <c r="BI25" i="41"/>
  <c r="AN12" i="41"/>
  <c r="AP25" i="41"/>
  <c r="AM18" i="41"/>
  <c r="BH146" i="41"/>
  <c r="BB146" i="41"/>
  <c r="BA119" i="41"/>
  <c r="AS12" i="41"/>
  <c r="AN94" i="41"/>
  <c r="AT12" i="41"/>
  <c r="BE25" i="41"/>
  <c r="AT25" i="41"/>
  <c r="AG151" i="41"/>
  <c r="AM12" i="41"/>
  <c r="AQ21" i="41"/>
  <c r="AT88" i="41"/>
  <c r="AQ12" i="41"/>
  <c r="AR12" i="41"/>
  <c r="BG25" i="41"/>
  <c r="AL12" i="41"/>
  <c r="AR26" i="41"/>
  <c r="AL69" i="41"/>
  <c r="AM26" i="41"/>
  <c r="AQ26" i="41"/>
  <c r="AL37" i="41"/>
  <c r="AU69" i="41"/>
  <c r="AP37" i="41"/>
  <c r="AU23" i="41"/>
  <c r="AS147" i="41"/>
  <c r="AL22" i="41"/>
  <c r="AT147" i="41"/>
  <c r="AO69" i="41"/>
  <c r="AL57" i="41"/>
  <c r="AQ16" i="41"/>
  <c r="AQ57" i="41"/>
  <c r="AO37" i="41"/>
  <c r="AT69" i="41"/>
  <c r="AL26" i="41"/>
  <c r="AM45" i="41"/>
  <c r="AN45" i="41"/>
  <c r="AR37" i="41"/>
  <c r="AO57" i="41"/>
  <c r="AL17" i="41"/>
  <c r="AR57" i="41"/>
  <c r="AO73" i="41"/>
  <c r="AP57" i="41"/>
  <c r="AL147" i="41"/>
  <c r="AQ72" i="41"/>
  <c r="AU94" i="41"/>
  <c r="AR49" i="41"/>
  <c r="AU30" i="41"/>
  <c r="AR22" i="41"/>
  <c r="AS37" i="41"/>
  <c r="AS57" i="41"/>
  <c r="AT37" i="41"/>
  <c r="AT57" i="41"/>
  <c r="AP12" i="41"/>
  <c r="AS22" i="41"/>
  <c r="AN22" i="41"/>
  <c r="AU22" i="41"/>
  <c r="AM49" i="41"/>
  <c r="AN37" i="41"/>
  <c r="AN57" i="41"/>
  <c r="AS49" i="41"/>
  <c r="AM46" i="41"/>
  <c r="AL49" i="41"/>
  <c r="AT49" i="41"/>
  <c r="AU9" i="41"/>
  <c r="AO22" i="41"/>
  <c r="AZ146" i="41"/>
  <c r="AN49" i="41"/>
  <c r="AT45" i="41"/>
  <c r="AL9" i="41"/>
  <c r="AP22" i="41"/>
  <c r="AO49" i="41"/>
  <c r="AP9" i="41"/>
  <c r="AM22" i="41"/>
  <c r="AP49" i="41"/>
  <c r="AS9" i="41"/>
  <c r="AQ22" i="41"/>
  <c r="AP148" i="41"/>
  <c r="AR53" i="41"/>
  <c r="AQ146" i="41"/>
  <c r="AO78" i="41"/>
  <c r="AO45" i="41"/>
  <c r="AM9" i="41"/>
  <c r="AQ41" i="41"/>
  <c r="AP26" i="41"/>
  <c r="AR123" i="41"/>
  <c r="AR78" i="41"/>
  <c r="AU123" i="41"/>
  <c r="AR135" i="41"/>
  <c r="AN26" i="41"/>
  <c r="AP45" i="41"/>
  <c r="AT26" i="41"/>
  <c r="AU112" i="41"/>
  <c r="BH25" i="41"/>
  <c r="AN123" i="41"/>
  <c r="BG146" i="41"/>
  <c r="BF146" i="41"/>
  <c r="BI146" i="41"/>
  <c r="BD146" i="41"/>
  <c r="AU115" i="41"/>
  <c r="AP33" i="41"/>
  <c r="AR9" i="41"/>
  <c r="AS45" i="41"/>
  <c r="AT9" i="41"/>
  <c r="AR45" i="41"/>
  <c r="BE146" i="41"/>
  <c r="AN38" i="41"/>
  <c r="AU26" i="41"/>
  <c r="AL45" i="41"/>
  <c r="AN9" i="41"/>
  <c r="AO9" i="41"/>
  <c r="AN65" i="41"/>
  <c r="AN42" i="41"/>
  <c r="AO25" i="41"/>
  <c r="AT148" i="41"/>
  <c r="AT67" i="41"/>
  <c r="AN90" i="41"/>
  <c r="AQ25" i="41"/>
  <c r="BA25" i="41"/>
  <c r="AR30" i="41"/>
  <c r="AM25" i="41"/>
  <c r="AR148" i="41"/>
  <c r="AU148" i="41"/>
  <c r="AM36" i="41"/>
  <c r="BB25" i="41"/>
  <c r="BD25" i="41"/>
  <c r="AR86" i="41"/>
  <c r="AU88" i="41"/>
  <c r="AN43" i="41"/>
  <c r="BC25" i="41"/>
  <c r="AS25" i="41"/>
  <c r="BH11" i="41"/>
  <c r="BF25" i="41"/>
  <c r="AL25" i="41"/>
  <c r="AZ25" i="41"/>
  <c r="AU137" i="41"/>
  <c r="AO122" i="41"/>
  <c r="AN16" i="41"/>
  <c r="AO17" i="41"/>
  <c r="AN17" i="41"/>
  <c r="AU17" i="41"/>
  <c r="AN122" i="41"/>
  <c r="AT78" i="41"/>
  <c r="AQ36" i="41"/>
  <c r="AU86" i="41"/>
  <c r="AT39" i="41"/>
  <c r="AP17" i="41"/>
  <c r="AT32" i="41"/>
  <c r="AO16" i="41"/>
  <c r="AS137" i="41"/>
  <c r="AQ134" i="41"/>
  <c r="AO137" i="41"/>
  <c r="AT86" i="41"/>
  <c r="AN78" i="41"/>
  <c r="AQ137" i="41"/>
  <c r="AU78" i="41"/>
  <c r="AM17" i="41"/>
  <c r="AO39" i="41"/>
  <c r="AS16" i="41"/>
  <c r="AN86" i="41"/>
  <c r="AL75" i="41"/>
  <c r="AM16" i="41"/>
  <c r="AQ17" i="41"/>
  <c r="AU16" i="41"/>
  <c r="AN75" i="41"/>
  <c r="AS75" i="41"/>
  <c r="AQ75" i="41"/>
  <c r="AS17" i="41"/>
  <c r="AR32" i="41"/>
  <c r="AT112" i="41"/>
  <c r="AO86" i="41"/>
  <c r="AN36" i="41"/>
  <c r="AM39" i="41"/>
  <c r="AN69" i="41"/>
  <c r="AT17" i="41"/>
  <c r="AR16" i="41"/>
  <c r="AN135" i="41"/>
  <c r="BD125" i="41"/>
  <c r="AR125" i="41"/>
  <c r="BH125" i="41"/>
  <c r="AP125" i="41"/>
  <c r="AU135" i="41"/>
  <c r="AP135" i="41"/>
  <c r="AO47" i="41"/>
  <c r="AR90" i="41"/>
  <c r="AU46" i="41"/>
  <c r="AP47" i="41"/>
  <c r="AO90" i="41"/>
  <c r="AU90" i="41"/>
  <c r="AO59" i="41"/>
  <c r="AP59" i="41"/>
  <c r="AT90" i="41"/>
  <c r="AR128" i="41"/>
  <c r="AM115" i="41"/>
  <c r="AO43" i="41"/>
  <c r="AT18" i="41"/>
  <c r="AR18" i="41"/>
  <c r="AL137" i="41"/>
  <c r="BB91" i="41"/>
  <c r="AU100" i="41"/>
  <c r="AM54" i="41"/>
  <c r="AR80" i="41"/>
  <c r="AR54" i="41"/>
  <c r="AN39" i="41"/>
  <c r="AS47" i="41"/>
  <c r="BH119" i="41"/>
  <c r="AS63" i="41"/>
  <c r="AL59" i="41"/>
  <c r="AP19" i="41"/>
  <c r="AO18" i="41"/>
  <c r="AR63" i="41"/>
  <c r="AL18" i="41"/>
  <c r="BD95" i="41"/>
  <c r="AO80" i="41"/>
  <c r="AZ91" i="41"/>
  <c r="AT100" i="41"/>
  <c r="AN80" i="41"/>
  <c r="AQ54" i="41"/>
  <c r="AL47" i="41"/>
  <c r="AT63" i="41"/>
  <c r="AS19" i="41"/>
  <c r="AP18" i="41"/>
  <c r="AQ115" i="41"/>
  <c r="AN130" i="41"/>
  <c r="AU122" i="41"/>
  <c r="AM30" i="41"/>
  <c r="AR112" i="41"/>
  <c r="AQ135" i="41"/>
  <c r="AQ43" i="41"/>
  <c r="AR69" i="41"/>
  <c r="AO61" i="41"/>
  <c r="AS18" i="41"/>
  <c r="AN128" i="41"/>
  <c r="AT137" i="41"/>
  <c r="AU80" i="41"/>
  <c r="AL135" i="41"/>
  <c r="AR46" i="41"/>
  <c r="BB15" i="41"/>
  <c r="AS69" i="41"/>
  <c r="AU28" i="41"/>
  <c r="AS21" i="41"/>
  <c r="AN18" i="41"/>
  <c r="AL28" i="41"/>
  <c r="AR25" i="41"/>
  <c r="AU54" i="41"/>
  <c r="AT128" i="41"/>
  <c r="AS128" i="41"/>
  <c r="AU147" i="41"/>
  <c r="AS122" i="41"/>
  <c r="AN30" i="41"/>
  <c r="AU18" i="41"/>
  <c r="AO135" i="41"/>
  <c r="AU63" i="41"/>
  <c r="AS43" i="41"/>
  <c r="BA19" i="41"/>
  <c r="AT24" i="41"/>
  <c r="AO147" i="41"/>
  <c r="BG119" i="41"/>
  <c r="BD103" i="41"/>
  <c r="BD87" i="41"/>
  <c r="BB111" i="41"/>
  <c r="AQ123" i="41"/>
  <c r="AZ79" i="41"/>
  <c r="AQ32" i="41"/>
  <c r="AP122" i="41"/>
  <c r="AR108" i="41"/>
  <c r="AR100" i="41"/>
  <c r="AT80" i="41"/>
  <c r="BC119" i="41"/>
  <c r="AQ67" i="41"/>
  <c r="BA15" i="41"/>
  <c r="AR39" i="41"/>
  <c r="AR59" i="41"/>
  <c r="BD23" i="41"/>
  <c r="BG11" i="41"/>
  <c r="AP11" i="41"/>
  <c r="AR130" i="41"/>
  <c r="BI125" i="41"/>
  <c r="BD117" i="41"/>
  <c r="AR94" i="41"/>
  <c r="BB95" i="41"/>
  <c r="AL123" i="41"/>
  <c r="AN111" i="41"/>
  <c r="AT115" i="41"/>
  <c r="AN108" i="41"/>
  <c r="AU50" i="41"/>
  <c r="AU119" i="41"/>
  <c r="AU32" i="41"/>
  <c r="AR33" i="41"/>
  <c r="AP13" i="41"/>
  <c r="AS39" i="41"/>
  <c r="AM59" i="41"/>
  <c r="AR43" i="41"/>
  <c r="AN63" i="41"/>
  <c r="AS59" i="41"/>
  <c r="BG19" i="41"/>
  <c r="AQ45" i="41"/>
  <c r="AN25" i="41"/>
  <c r="AT123" i="41"/>
  <c r="AN103" i="41"/>
  <c r="AZ119" i="41"/>
  <c r="AP123" i="41"/>
  <c r="AQ119" i="41"/>
  <c r="AM32" i="41"/>
  <c r="AP94" i="41"/>
  <c r="AS33" i="41"/>
  <c r="BE23" i="41"/>
  <c r="AO119" i="41"/>
  <c r="AP73" i="41"/>
  <c r="AL119" i="41"/>
  <c r="AL33" i="41"/>
  <c r="BE119" i="41"/>
  <c r="AR73" i="41"/>
  <c r="AM34" i="41"/>
  <c r="AO123" i="41"/>
  <c r="AT119" i="41"/>
  <c r="AR34" i="41"/>
  <c r="AT33" i="41"/>
  <c r="AO32" i="41"/>
  <c r="AQ73" i="41"/>
  <c r="AO94" i="41"/>
  <c r="AU73" i="41"/>
  <c r="AT73" i="41"/>
  <c r="AN33" i="41"/>
  <c r="AQ38" i="41"/>
  <c r="AP32" i="41"/>
  <c r="AN71" i="41"/>
  <c r="AZ87" i="41"/>
  <c r="AT92" i="41"/>
  <c r="AN73" i="41"/>
  <c r="BI119" i="41"/>
  <c r="AM73" i="41"/>
  <c r="AS95" i="41"/>
  <c r="AL73" i="41"/>
  <c r="AN32" i="41"/>
  <c r="AO33" i="41"/>
  <c r="BG15" i="41"/>
  <c r="AL32" i="41"/>
  <c r="AP102" i="41"/>
  <c r="AN102" i="41"/>
  <c r="AT102" i="41"/>
  <c r="AU110" i="41"/>
  <c r="AR110" i="41"/>
  <c r="AN110" i="41"/>
  <c r="AT110" i="41"/>
  <c r="AO110" i="41"/>
  <c r="AP110" i="41"/>
  <c r="AU104" i="41"/>
  <c r="AN104" i="41"/>
  <c r="AR104" i="41"/>
  <c r="AR102" i="41"/>
  <c r="AN82" i="41"/>
  <c r="AT82" i="41"/>
  <c r="AU82" i="41"/>
  <c r="AR82" i="41"/>
  <c r="AQ118" i="41"/>
  <c r="BI93" i="41"/>
  <c r="BB79" i="41"/>
  <c r="AT28" i="41"/>
  <c r="AP118" i="41"/>
  <c r="BH8" i="41"/>
  <c r="AQ28" i="41"/>
  <c r="AL41" i="41"/>
  <c r="AO148" i="41"/>
  <c r="AP117" i="41"/>
  <c r="AM28" i="41"/>
  <c r="BB119" i="41"/>
  <c r="AU108" i="41"/>
  <c r="AN87" i="41"/>
  <c r="AT71" i="41"/>
  <c r="AR28" i="41"/>
  <c r="AT108" i="41"/>
  <c r="AU58" i="41"/>
  <c r="AM135" i="41"/>
  <c r="AM119" i="41"/>
  <c r="AQ47" i="41"/>
  <c r="BE19" i="41"/>
  <c r="AP43" i="41"/>
  <c r="AN34" i="41"/>
  <c r="AP63" i="41"/>
  <c r="AT8" i="41"/>
  <c r="BD79" i="41"/>
  <c r="AR41" i="41"/>
  <c r="AS8" i="41"/>
  <c r="AS41" i="41"/>
  <c r="AM8" i="41"/>
  <c r="AO28" i="41"/>
  <c r="AN79" i="41"/>
  <c r="AR71" i="41"/>
  <c r="AP53" i="41"/>
  <c r="AP28" i="41"/>
  <c r="AM123" i="41"/>
  <c r="AU92" i="41"/>
  <c r="AR36" i="41"/>
  <c r="AN92" i="41"/>
  <c r="AQ76" i="41"/>
  <c r="AU34" i="41"/>
  <c r="AT135" i="41"/>
  <c r="AP75" i="41"/>
  <c r="AN28" i="41"/>
  <c r="AU59" i="41"/>
  <c r="AT27" i="41"/>
  <c r="AM63" i="41"/>
  <c r="AR47" i="41"/>
  <c r="AL43" i="41"/>
  <c r="AL63" i="41"/>
  <c r="BG23" i="41"/>
  <c r="AO23" i="41"/>
  <c r="AS26" i="41"/>
  <c r="BH131" i="41"/>
  <c r="BF131" i="41"/>
  <c r="AQ24" i="41"/>
  <c r="AR66" i="41"/>
  <c r="AR50" i="41"/>
  <c r="AP61" i="41"/>
  <c r="AU24" i="41"/>
  <c r="AR144" i="41"/>
  <c r="AM127" i="41"/>
  <c r="AL114" i="41"/>
  <c r="BD99" i="41"/>
  <c r="AO126" i="41"/>
  <c r="AZ131" i="41"/>
  <c r="AQ56" i="41"/>
  <c r="AM74" i="41"/>
  <c r="AQ44" i="41"/>
  <c r="AR74" i="41"/>
  <c r="AN24" i="41"/>
  <c r="AR24" i="41"/>
  <c r="AM29" i="41"/>
  <c r="BG8" i="41"/>
  <c r="BA8" i="41"/>
  <c r="AM24" i="41"/>
  <c r="AU53" i="41"/>
  <c r="AO144" i="41"/>
  <c r="AM144" i="41"/>
  <c r="AP127" i="41"/>
  <c r="AM40" i="41"/>
  <c r="BH105" i="41"/>
  <c r="BC131" i="41"/>
  <c r="AN50" i="41"/>
  <c r="AO102" i="41"/>
  <c r="AR88" i="41"/>
  <c r="BH87" i="41"/>
  <c r="BE8" i="41"/>
  <c r="AT41" i="41"/>
  <c r="AS53" i="41"/>
  <c r="AM21" i="41"/>
  <c r="AR61" i="41"/>
  <c r="BB19" i="41"/>
  <c r="AZ8" i="41"/>
  <c r="AP8" i="41"/>
  <c r="AT16" i="41"/>
  <c r="AQ144" i="41"/>
  <c r="AR129" i="41"/>
  <c r="AQ127" i="41"/>
  <c r="BB99" i="41"/>
  <c r="AQ131" i="41"/>
  <c r="AN99" i="41"/>
  <c r="AN88" i="41"/>
  <c r="AR75" i="41"/>
  <c r="BI138" i="41"/>
  <c r="AR58" i="41"/>
  <c r="BD8" i="41"/>
  <c r="AQ61" i="41"/>
  <c r="AN41" i="41"/>
  <c r="AL53" i="41"/>
  <c r="AS61" i="41"/>
  <c r="AL21" i="41"/>
  <c r="BC8" i="41"/>
  <c r="AQ8" i="41"/>
  <c r="AL24" i="41"/>
  <c r="AL16" i="41"/>
  <c r="AN138" i="41"/>
  <c r="AN144" i="41"/>
  <c r="AP129" i="41"/>
  <c r="AU127" i="41"/>
  <c r="AN114" i="41"/>
  <c r="AT131" i="41"/>
  <c r="AZ95" i="41"/>
  <c r="AU66" i="41"/>
  <c r="BC83" i="41"/>
  <c r="BH138" i="41"/>
  <c r="AN44" i="41"/>
  <c r="AO41" i="41"/>
  <c r="AT53" i="41"/>
  <c r="AL61" i="41"/>
  <c r="AT21" i="41"/>
  <c r="BF8" i="41"/>
  <c r="AO24" i="41"/>
  <c r="AR126" i="41"/>
  <c r="AP144" i="41"/>
  <c r="AS126" i="41"/>
  <c r="AL127" i="41"/>
  <c r="BH129" i="41"/>
  <c r="AN66" i="41"/>
  <c r="AQ40" i="41"/>
  <c r="AM66" i="41"/>
  <c r="BB129" i="41"/>
  <c r="AP71" i="41"/>
  <c r="AN56" i="41"/>
  <c r="AP41" i="41"/>
  <c r="AN53" i="41"/>
  <c r="AT61" i="41"/>
  <c r="AO21" i="41"/>
  <c r="AR21" i="41"/>
  <c r="AO8" i="41"/>
  <c r="AN8" i="41"/>
  <c r="AP24" i="41"/>
  <c r="AN21" i="41"/>
  <c r="AT127" i="41"/>
  <c r="BG131" i="41"/>
  <c r="BF129" i="41"/>
  <c r="BG103" i="41"/>
  <c r="BF79" i="41"/>
  <c r="AS103" i="41"/>
  <c r="AQ53" i="41"/>
  <c r="AM41" i="41"/>
  <c r="AO53" i="41"/>
  <c r="AN61" i="41"/>
  <c r="AP21" i="41"/>
  <c r="AO29" i="41"/>
  <c r="BB8" i="41"/>
  <c r="AR132" i="41"/>
  <c r="AO132" i="41"/>
  <c r="AU132" i="41"/>
  <c r="AQ62" i="41"/>
  <c r="AN62" i="41"/>
  <c r="AM62" i="41"/>
  <c r="AR62" i="41"/>
  <c r="AU62" i="41"/>
  <c r="AQ55" i="41"/>
  <c r="AT55" i="41"/>
  <c r="AS55" i="41"/>
  <c r="AR55" i="41"/>
  <c r="AM55" i="41"/>
  <c r="AO55" i="41"/>
  <c r="AU55" i="41"/>
  <c r="AM10" i="41"/>
  <c r="AQ10" i="41"/>
  <c r="AU10" i="41"/>
  <c r="AT10" i="41"/>
  <c r="AS10" i="41"/>
  <c r="AP10" i="41"/>
  <c r="AO10" i="41"/>
  <c r="AN10" i="41"/>
  <c r="AL10" i="41"/>
  <c r="AP141" i="41"/>
  <c r="BA141" i="41"/>
  <c r="BC141" i="41"/>
  <c r="BG141" i="41"/>
  <c r="AR20" i="41"/>
  <c r="AN20" i="41"/>
  <c r="AU20" i="41"/>
  <c r="AM20" i="41"/>
  <c r="AT20" i="41"/>
  <c r="AS20" i="41"/>
  <c r="AP20" i="41"/>
  <c r="AQ20" i="41"/>
  <c r="AO20" i="41"/>
  <c r="AQ142" i="41"/>
  <c r="BA142" i="41"/>
  <c r="BH142" i="41"/>
  <c r="AZ142" i="41"/>
  <c r="BE142" i="41"/>
  <c r="BF142" i="41"/>
  <c r="AM35" i="41"/>
  <c r="AL35" i="41"/>
  <c r="AS35" i="41"/>
  <c r="AR35" i="41"/>
  <c r="AP35" i="41"/>
  <c r="AO35" i="41"/>
  <c r="AN35" i="41"/>
  <c r="AM51" i="41"/>
  <c r="AP51" i="41"/>
  <c r="AO51" i="41"/>
  <c r="AN51" i="41"/>
  <c r="AQ51" i="41"/>
  <c r="AT51" i="41"/>
  <c r="AL51" i="41"/>
  <c r="AS51" i="41"/>
  <c r="AR51" i="41"/>
  <c r="AU136" i="41"/>
  <c r="AM136" i="41"/>
  <c r="AL136" i="41"/>
  <c r="AS136" i="41"/>
  <c r="AQ136" i="41"/>
  <c r="AN142" i="41"/>
  <c r="AT35" i="41"/>
  <c r="AU106" i="41"/>
  <c r="AO106" i="41"/>
  <c r="AN106" i="41"/>
  <c r="AT106" i="41"/>
  <c r="BD141" i="41"/>
  <c r="AT132" i="41"/>
  <c r="AR136" i="41"/>
  <c r="AP132" i="41"/>
  <c r="AR60" i="41"/>
  <c r="AN60" i="41"/>
  <c r="AQ60" i="41"/>
  <c r="AN55" i="41"/>
  <c r="AM132" i="41"/>
  <c r="BE83" i="41"/>
  <c r="BI83" i="41"/>
  <c r="BG83" i="41"/>
  <c r="BD83" i="41"/>
  <c r="AN83" i="41"/>
  <c r="BB83" i="41"/>
  <c r="AZ83" i="41"/>
  <c r="AR98" i="41"/>
  <c r="AN67" i="41"/>
  <c r="AL67" i="41"/>
  <c r="BA138" i="41"/>
  <c r="BB11" i="41"/>
  <c r="AR117" i="41"/>
  <c r="BD91" i="41"/>
  <c r="BB87" i="41"/>
  <c r="BI131" i="41"/>
  <c r="AN74" i="41"/>
  <c r="BI99" i="41"/>
  <c r="AR92" i="41"/>
  <c r="BI87" i="41"/>
  <c r="AU74" i="41"/>
  <c r="AU42" i="41"/>
  <c r="BE129" i="41"/>
  <c r="BB138" i="41"/>
  <c r="AU98" i="41"/>
  <c r="AS79" i="41"/>
  <c r="AP39" i="41"/>
  <c r="AS15" i="41"/>
  <c r="AM69" i="41"/>
  <c r="BC19" i="41"/>
  <c r="AO19" i="41"/>
  <c r="BC11" i="41"/>
  <c r="AU61" i="41"/>
  <c r="BA131" i="41"/>
  <c r="AM131" i="41"/>
  <c r="AP93" i="41"/>
  <c r="AQ48" i="41"/>
  <c r="BI103" i="41"/>
  <c r="BG87" i="41"/>
  <c r="BE138" i="41"/>
  <c r="BE131" i="41"/>
  <c r="AP131" i="41"/>
  <c r="AO98" i="41"/>
  <c r="AZ138" i="41"/>
  <c r="AN76" i="41"/>
  <c r="BI121" i="41"/>
  <c r="AT98" i="41"/>
  <c r="BB103" i="41"/>
  <c r="AU114" i="41"/>
  <c r="BF93" i="41"/>
  <c r="AU131" i="41"/>
  <c r="AZ117" i="41"/>
  <c r="AZ103" i="41"/>
  <c r="AN91" i="41"/>
  <c r="AL71" i="41"/>
  <c r="AS71" i="41"/>
  <c r="AM58" i="41"/>
  <c r="AR67" i="41"/>
  <c r="BC138" i="41"/>
  <c r="AS87" i="41"/>
  <c r="BI23" i="41"/>
  <c r="AL39" i="41"/>
  <c r="AN47" i="41"/>
  <c r="AP69" i="41"/>
  <c r="AZ19" i="41"/>
  <c r="BA23" i="41"/>
  <c r="BB23" i="41"/>
  <c r="AS11" i="41"/>
  <c r="AM33" i="41"/>
  <c r="AQ33" i="41"/>
  <c r="AQ138" i="41"/>
  <c r="AN98" i="41"/>
  <c r="BD131" i="41"/>
  <c r="BG93" i="41"/>
  <c r="BD138" i="41"/>
  <c r="AS67" i="41"/>
  <c r="BB117" i="41"/>
  <c r="BC99" i="41"/>
  <c r="BF19" i="41"/>
  <c r="AM23" i="41"/>
  <c r="BC23" i="41"/>
  <c r="AR120" i="41"/>
  <c r="AT120" i="41"/>
  <c r="AM52" i="41"/>
  <c r="AQ52" i="41"/>
  <c r="AN52" i="41"/>
  <c r="AU96" i="41"/>
  <c r="AP96" i="41"/>
  <c r="AN96" i="41"/>
  <c r="AR96" i="41"/>
  <c r="BH143" i="41"/>
  <c r="AQ143" i="41"/>
  <c r="AT143" i="41"/>
  <c r="BF143" i="41"/>
  <c r="BG143" i="41"/>
  <c r="AR143" i="41"/>
  <c r="BA143" i="41"/>
  <c r="AL143" i="41"/>
  <c r="BC143" i="41"/>
  <c r="AS143" i="41"/>
  <c r="BE143" i="41"/>
  <c r="BB143" i="41"/>
  <c r="AR70" i="41"/>
  <c r="AM70" i="41"/>
  <c r="AU70" i="41"/>
  <c r="AQ70" i="41"/>
  <c r="AZ141" i="41"/>
  <c r="AN70" i="41"/>
  <c r="AQ64" i="41"/>
  <c r="AT84" i="41"/>
  <c r="AO84" i="41"/>
  <c r="AU84" i="41"/>
  <c r="AP84" i="41"/>
  <c r="AN84" i="41"/>
  <c r="BD121" i="41"/>
  <c r="BB121" i="41"/>
  <c r="AR121" i="41"/>
  <c r="BG121" i="41"/>
  <c r="AM143" i="41"/>
  <c r="BB97" i="41"/>
  <c r="AS97" i="41"/>
  <c r="BC97" i="41"/>
  <c r="BH97" i="41"/>
  <c r="BG97" i="41"/>
  <c r="BE107" i="41"/>
  <c r="BI107" i="41"/>
  <c r="BB107" i="41"/>
  <c r="AT107" i="41"/>
  <c r="AN107" i="41"/>
  <c r="AL107" i="41"/>
  <c r="AZ107" i="41"/>
  <c r="AS107" i="41"/>
  <c r="BG107" i="41"/>
  <c r="BF107" i="41"/>
  <c r="AT96" i="41"/>
  <c r="AP145" i="41"/>
  <c r="AL145" i="41"/>
  <c r="AO145" i="41"/>
  <c r="AU145" i="41"/>
  <c r="AN145" i="41"/>
  <c r="AS141" i="41"/>
  <c r="AT141" i="41"/>
  <c r="BF141" i="41"/>
  <c r="BI141" i="41"/>
  <c r="BE111" i="41"/>
  <c r="BC111" i="41"/>
  <c r="BI111" i="41"/>
  <c r="AZ111" i="41"/>
  <c r="BD111" i="41"/>
  <c r="BF111" i="41"/>
  <c r="AP111" i="41"/>
  <c r="AT111" i="41"/>
  <c r="AT140" i="41"/>
  <c r="AU140" i="41"/>
  <c r="AM140" i="41"/>
  <c r="AP140" i="41"/>
  <c r="AO140" i="41"/>
  <c r="AR140" i="41"/>
  <c r="AU139" i="41"/>
  <c r="AT139" i="41"/>
  <c r="AP139" i="41"/>
  <c r="AL139" i="41"/>
  <c r="AS139" i="41"/>
  <c r="BF121" i="41"/>
  <c r="BD143" i="41"/>
  <c r="BH134" i="41"/>
  <c r="AN134" i="41"/>
  <c r="BE134" i="41"/>
  <c r="BF134" i="41"/>
  <c r="BC121" i="41"/>
  <c r="AO14" i="41"/>
  <c r="AS14" i="41"/>
  <c r="AT14" i="41"/>
  <c r="AS133" i="41"/>
  <c r="BG113" i="41"/>
  <c r="AS109" i="41"/>
  <c r="AN95" i="41"/>
  <c r="AU14" i="41"/>
  <c r="BI79" i="41"/>
  <c r="BH83" i="41"/>
  <c r="BG99" i="41"/>
  <c r="BC87" i="41"/>
  <c r="BC79" i="41"/>
  <c r="AT103" i="41"/>
  <c r="AT95" i="41"/>
  <c r="AT87" i="41"/>
  <c r="AT79" i="41"/>
  <c r="AQ58" i="41"/>
  <c r="AO65" i="41"/>
  <c r="AP29" i="41"/>
  <c r="AN29" i="41"/>
  <c r="AM57" i="41"/>
  <c r="AP109" i="41"/>
  <c r="AM14" i="41"/>
  <c r="BD109" i="41"/>
  <c r="BH79" i="41"/>
  <c r="AP103" i="41"/>
  <c r="AP95" i="41"/>
  <c r="AP87" i="41"/>
  <c r="AQ14" i="41"/>
  <c r="AQ29" i="41"/>
  <c r="AP65" i="41"/>
  <c r="AL14" i="41"/>
  <c r="AN14" i="41"/>
  <c r="AQ49" i="41"/>
  <c r="BI105" i="41"/>
  <c r="BF109" i="41"/>
  <c r="BC81" i="41"/>
  <c r="AL116" i="41"/>
  <c r="AL109" i="41"/>
  <c r="AL93" i="41"/>
  <c r="BF117" i="41"/>
  <c r="BF95" i="41"/>
  <c r="AR29" i="41"/>
  <c r="AP23" i="41"/>
  <c r="AR13" i="41"/>
  <c r="AN13" i="41"/>
  <c r="BI109" i="41"/>
  <c r="BG109" i="41"/>
  <c r="AZ99" i="41"/>
  <c r="BI95" i="41"/>
  <c r="BI91" i="41"/>
  <c r="BH103" i="41"/>
  <c r="BC103" i="41"/>
  <c r="BC95" i="41"/>
  <c r="BF83" i="41"/>
  <c r="AS99" i="41"/>
  <c r="AS91" i="41"/>
  <c r="AS83" i="41"/>
  <c r="AQ46" i="41"/>
  <c r="AS13" i="41"/>
  <c r="AQ13" i="41"/>
  <c r="AL65" i="41"/>
  <c r="AR65" i="41"/>
  <c r="AS29" i="41"/>
  <c r="AS23" i="41"/>
  <c r="AO11" i="41"/>
  <c r="BC109" i="41"/>
  <c r="AR116" i="41"/>
  <c r="BH99" i="41"/>
  <c r="AL99" i="41"/>
  <c r="AL91" i="41"/>
  <c r="AL83" i="41"/>
  <c r="AL13" i="41"/>
  <c r="AT65" i="41"/>
  <c r="AS65" i="41"/>
  <c r="AQ39" i="41"/>
  <c r="BH89" i="41"/>
  <c r="AN124" i="41"/>
  <c r="BH95" i="41"/>
  <c r="BF91" i="41"/>
  <c r="AT99" i="41"/>
  <c r="AT91" i="41"/>
  <c r="AR14" i="41"/>
  <c r="AT13" i="41"/>
  <c r="AM65" i="41"/>
  <c r="AL29" i="41"/>
  <c r="AU29" i="41"/>
  <c r="AL124" i="41"/>
  <c r="AO114" i="41"/>
  <c r="BC105" i="41"/>
  <c r="BC93" i="41"/>
  <c r="AT105" i="41"/>
  <c r="BH91" i="41"/>
  <c r="BF99" i="41"/>
  <c r="AO13" i="41"/>
  <c r="AU65" i="41"/>
  <c r="AP14" i="41"/>
  <c r="AU13" i="41"/>
  <c r="AQ37" i="41"/>
  <c r="AU37" i="41"/>
  <c r="AT144" i="41"/>
  <c r="BB141" i="41"/>
  <c r="AS130" i="41"/>
  <c r="BE122" i="41"/>
  <c r="BH122" i="41"/>
  <c r="BC122" i="41"/>
  <c r="BI122" i="41"/>
  <c r="BG122" i="41"/>
  <c r="BF122" i="41"/>
  <c r="BD122" i="41"/>
  <c r="BB122" i="41"/>
  <c r="BA122" i="41"/>
  <c r="AZ122" i="41"/>
  <c r="BI106" i="41"/>
  <c r="BA106" i="41"/>
  <c r="BE106" i="41"/>
  <c r="BF106" i="41"/>
  <c r="BD106" i="41"/>
  <c r="BC106" i="41"/>
  <c r="BB106" i="41"/>
  <c r="AZ106" i="41"/>
  <c r="BH106" i="41"/>
  <c r="BG106" i="41"/>
  <c r="BI97" i="41"/>
  <c r="AM93" i="41"/>
  <c r="AU93" i="41"/>
  <c r="AR93" i="41"/>
  <c r="AQ93" i="41"/>
  <c r="AO93" i="41"/>
  <c r="AN93" i="41"/>
  <c r="BC123" i="41"/>
  <c r="BA123" i="41"/>
  <c r="BF123" i="41"/>
  <c r="BI123" i="41"/>
  <c r="BH123" i="41"/>
  <c r="BG123" i="41"/>
  <c r="BE123" i="41"/>
  <c r="BD123" i="41"/>
  <c r="BB123" i="41"/>
  <c r="AZ123" i="41"/>
  <c r="BH109" i="41"/>
  <c r="BH93" i="41"/>
  <c r="BH77" i="41"/>
  <c r="AR124" i="41"/>
  <c r="BE114" i="41"/>
  <c r="BH114" i="41"/>
  <c r="BC114" i="41"/>
  <c r="AZ114" i="41"/>
  <c r="BI114" i="41"/>
  <c r="BG114" i="41"/>
  <c r="BF114" i="41"/>
  <c r="BD114" i="41"/>
  <c r="BB114" i="41"/>
  <c r="BA114" i="41"/>
  <c r="BC133" i="41"/>
  <c r="AP120" i="41"/>
  <c r="BC115" i="41"/>
  <c r="BA115" i="41"/>
  <c r="BF115" i="41"/>
  <c r="BB115" i="41"/>
  <c r="AZ115" i="41"/>
  <c r="BI115" i="41"/>
  <c r="BH115" i="41"/>
  <c r="BG115" i="41"/>
  <c r="BE115" i="41"/>
  <c r="BD115" i="41"/>
  <c r="AT109" i="41"/>
  <c r="AS89" i="41"/>
  <c r="AP85" i="41"/>
  <c r="AL81" i="41"/>
  <c r="AT77" i="41"/>
  <c r="BD60" i="41"/>
  <c r="BC60" i="41"/>
  <c r="BI60" i="41"/>
  <c r="BA60" i="41"/>
  <c r="BH60" i="41"/>
  <c r="AZ60" i="41"/>
  <c r="BG60" i="41"/>
  <c r="BE60" i="41"/>
  <c r="BF60" i="41"/>
  <c r="BB60" i="41"/>
  <c r="BD40" i="41"/>
  <c r="BC40" i="41"/>
  <c r="BI40" i="41"/>
  <c r="BA40" i="41"/>
  <c r="BH40" i="41"/>
  <c r="AZ40" i="41"/>
  <c r="BG40" i="41"/>
  <c r="BE40" i="41"/>
  <c r="BF40" i="41"/>
  <c r="BB40" i="41"/>
  <c r="BI24" i="41"/>
  <c r="BA24" i="41"/>
  <c r="BH24" i="41"/>
  <c r="AZ24" i="41"/>
  <c r="BE24" i="41"/>
  <c r="BD24" i="41"/>
  <c r="BB24" i="41"/>
  <c r="BG24" i="41"/>
  <c r="BF24" i="41"/>
  <c r="BC24" i="41"/>
  <c r="BD129" i="41"/>
  <c r="BE112" i="41"/>
  <c r="BI112" i="41"/>
  <c r="BA112" i="41"/>
  <c r="AZ112" i="41"/>
  <c r="BH112" i="41"/>
  <c r="BG112" i="41"/>
  <c r="BF112" i="41"/>
  <c r="BD112" i="41"/>
  <c r="BC112" i="41"/>
  <c r="BB112" i="41"/>
  <c r="BE108" i="41"/>
  <c r="BI108" i="41"/>
  <c r="BA108" i="41"/>
  <c r="AZ108" i="41"/>
  <c r="BH108" i="41"/>
  <c r="BG108" i="41"/>
  <c r="BF108" i="41"/>
  <c r="BD108" i="41"/>
  <c r="BC108" i="41"/>
  <c r="BB108" i="41"/>
  <c r="BE104" i="41"/>
  <c r="BI104" i="41"/>
  <c r="BA104" i="41"/>
  <c r="AZ104" i="41"/>
  <c r="BH104" i="41"/>
  <c r="BG104" i="41"/>
  <c r="BF104" i="41"/>
  <c r="BD104" i="41"/>
  <c r="BC104" i="41"/>
  <c r="BB104" i="41"/>
  <c r="BE100" i="41"/>
  <c r="BI100" i="41"/>
  <c r="BA100" i="41"/>
  <c r="AZ100" i="41"/>
  <c r="BH100" i="41"/>
  <c r="BG100" i="41"/>
  <c r="BF100" i="41"/>
  <c r="BD100" i="41"/>
  <c r="BC100" i="41"/>
  <c r="BB100" i="41"/>
  <c r="BE96" i="41"/>
  <c r="BI96" i="41"/>
  <c r="BA96" i="41"/>
  <c r="AZ96" i="41"/>
  <c r="BH96" i="41"/>
  <c r="BG96" i="41"/>
  <c r="BF96" i="41"/>
  <c r="BD96" i="41"/>
  <c r="BC96" i="41"/>
  <c r="BB96" i="41"/>
  <c r="BE92" i="41"/>
  <c r="BI92" i="41"/>
  <c r="BA92" i="41"/>
  <c r="AZ92" i="41"/>
  <c r="BH92" i="41"/>
  <c r="BG92" i="41"/>
  <c r="BF92" i="41"/>
  <c r="BD92" i="41"/>
  <c r="BC92" i="41"/>
  <c r="BB92" i="41"/>
  <c r="BE88" i="41"/>
  <c r="BI88" i="41"/>
  <c r="BA88" i="41"/>
  <c r="AZ88" i="41"/>
  <c r="BH88" i="41"/>
  <c r="BG88" i="41"/>
  <c r="BF88" i="41"/>
  <c r="BD88" i="41"/>
  <c r="BC88" i="41"/>
  <c r="BB88" i="41"/>
  <c r="BE84" i="41"/>
  <c r="BI84" i="41"/>
  <c r="BA84" i="41"/>
  <c r="AZ84" i="41"/>
  <c r="BH84" i="41"/>
  <c r="BG84" i="41"/>
  <c r="BF84" i="41"/>
  <c r="BD84" i="41"/>
  <c r="BC84" i="41"/>
  <c r="BB84" i="41"/>
  <c r="BE80" i="41"/>
  <c r="BI80" i="41"/>
  <c r="BA80" i="41"/>
  <c r="AZ80" i="41"/>
  <c r="BH80" i="41"/>
  <c r="BG80" i="41"/>
  <c r="BF80" i="41"/>
  <c r="BD80" i="41"/>
  <c r="BC80" i="41"/>
  <c r="BB80" i="41"/>
  <c r="AQ68" i="41"/>
  <c r="AM42" i="41"/>
  <c r="BA129" i="41"/>
  <c r="AU118" i="41"/>
  <c r="BG117" i="41"/>
  <c r="BB81" i="41"/>
  <c r="AQ124" i="41"/>
  <c r="BC107" i="41"/>
  <c r="BA101" i="41"/>
  <c r="BF87" i="41"/>
  <c r="AR145" i="41"/>
  <c r="BC127" i="41"/>
  <c r="BE127" i="41"/>
  <c r="BA127" i="41"/>
  <c r="BI127" i="41"/>
  <c r="AZ127" i="41"/>
  <c r="BF127" i="41"/>
  <c r="BB127" i="41"/>
  <c r="BH127" i="41"/>
  <c r="BG127" i="41"/>
  <c r="BD127" i="41"/>
  <c r="BI120" i="41"/>
  <c r="BA120" i="41"/>
  <c r="BD120" i="41"/>
  <c r="BH120" i="41"/>
  <c r="BG120" i="41"/>
  <c r="BF120" i="41"/>
  <c r="BE120" i="41"/>
  <c r="BC120" i="41"/>
  <c r="BB120" i="41"/>
  <c r="AZ120" i="41"/>
  <c r="BE117" i="41"/>
  <c r="AZ109" i="41"/>
  <c r="AL103" i="41"/>
  <c r="AZ93" i="41"/>
  <c r="AL87" i="41"/>
  <c r="AP83" i="41"/>
  <c r="AZ77" i="41"/>
  <c r="BH66" i="41"/>
  <c r="AZ66" i="41"/>
  <c r="BG66" i="41"/>
  <c r="BE66" i="41"/>
  <c r="BD66" i="41"/>
  <c r="BC66" i="41"/>
  <c r="BB66" i="41"/>
  <c r="BI66" i="41"/>
  <c r="BA66" i="41"/>
  <c r="BF66" i="41"/>
  <c r="BE26" i="41"/>
  <c r="BD26" i="41"/>
  <c r="BI26" i="41"/>
  <c r="BA26" i="41"/>
  <c r="BH26" i="41"/>
  <c r="AZ26" i="41"/>
  <c r="BB26" i="41"/>
  <c r="BG26" i="41"/>
  <c r="BF26" i="41"/>
  <c r="BC26" i="41"/>
  <c r="AM84" i="41"/>
  <c r="AL84" i="41"/>
  <c r="AS84" i="41"/>
  <c r="AQ84" i="41"/>
  <c r="AP66" i="41"/>
  <c r="AT66" i="41"/>
  <c r="AL66" i="41"/>
  <c r="AS66" i="41"/>
  <c r="AO66" i="41"/>
  <c r="AZ15" i="41"/>
  <c r="AN148" i="41"/>
  <c r="AL148" i="41"/>
  <c r="AS148" i="41"/>
  <c r="AQ148" i="41"/>
  <c r="AU60" i="41"/>
  <c r="AM60" i="41"/>
  <c r="AT60" i="41"/>
  <c r="AL60" i="41"/>
  <c r="AP60" i="41"/>
  <c r="AS60" i="41"/>
  <c r="AO60" i="41"/>
  <c r="AT47" i="41"/>
  <c r="BI45" i="41"/>
  <c r="BA45" i="41"/>
  <c r="BG45" i="41"/>
  <c r="BF45" i="41"/>
  <c r="BE45" i="41"/>
  <c r="BC45" i="41"/>
  <c r="BB45" i="41"/>
  <c r="BH45" i="41"/>
  <c r="BD45" i="41"/>
  <c r="AZ45" i="41"/>
  <c r="AT43" i="41"/>
  <c r="AO15" i="41"/>
  <c r="AR147" i="41"/>
  <c r="AQ147" i="41"/>
  <c r="AN147" i="41"/>
  <c r="AM147" i="41"/>
  <c r="AK115" i="41"/>
  <c r="AS106" i="41"/>
  <c r="AQ106" i="41"/>
  <c r="AM106" i="41"/>
  <c r="AL106" i="41"/>
  <c r="AQ116" i="41"/>
  <c r="AS90" i="41"/>
  <c r="AQ90" i="41"/>
  <c r="AM90" i="41"/>
  <c r="AL90" i="41"/>
  <c r="BE59" i="41"/>
  <c r="BC59" i="41"/>
  <c r="BB59" i="41"/>
  <c r="BI59" i="41"/>
  <c r="BA59" i="41"/>
  <c r="BG59" i="41"/>
  <c r="BF59" i="41"/>
  <c r="BH59" i="41"/>
  <c r="BD59" i="41"/>
  <c r="AZ59" i="41"/>
  <c r="AP55" i="41"/>
  <c r="AP106" i="41"/>
  <c r="AQ50" i="41"/>
  <c r="AQ19" i="41"/>
  <c r="BD19" i="41"/>
  <c r="AN19" i="41"/>
  <c r="AM19" i="41"/>
  <c r="AU19" i="41"/>
  <c r="AR19" i="41"/>
  <c r="BD11" i="41"/>
  <c r="BE77" i="41"/>
  <c r="BG31" i="41"/>
  <c r="BH15" i="41"/>
  <c r="AL31" i="41"/>
  <c r="AK135" i="41"/>
  <c r="AT36" i="41"/>
  <c r="AL36" i="41"/>
  <c r="AP36" i="41"/>
  <c r="AS36" i="41"/>
  <c r="AO36" i="41"/>
  <c r="BH19" i="41"/>
  <c r="BG13" i="41"/>
  <c r="BF13" i="41"/>
  <c r="BC13" i="41"/>
  <c r="BB13" i="41"/>
  <c r="BI13" i="41"/>
  <c r="BH13" i="41"/>
  <c r="BE13" i="41"/>
  <c r="BD13" i="41"/>
  <c r="BA13" i="41"/>
  <c r="AZ13" i="41"/>
  <c r="BI15" i="41"/>
  <c r="BI19" i="41"/>
  <c r="BB137" i="41"/>
  <c r="BG137" i="41"/>
  <c r="BF137" i="41"/>
  <c r="BE137" i="41"/>
  <c r="BC137" i="41"/>
  <c r="BA137" i="41"/>
  <c r="BH137" i="41"/>
  <c r="BI137" i="41"/>
  <c r="BD137" i="41"/>
  <c r="AZ137" i="41"/>
  <c r="AR141" i="41"/>
  <c r="AQ141" i="41"/>
  <c r="AO141" i="41"/>
  <c r="AN141" i="41"/>
  <c r="AM141" i="41"/>
  <c r="AU141" i="41"/>
  <c r="AL141" i="41"/>
  <c r="BH141" i="41"/>
  <c r="BI128" i="41"/>
  <c r="BA128" i="41"/>
  <c r="BG128" i="41"/>
  <c r="BD128" i="41"/>
  <c r="BC128" i="41"/>
  <c r="BH128" i="41"/>
  <c r="BF128" i="41"/>
  <c r="BE128" i="41"/>
  <c r="BB128" i="41"/>
  <c r="AZ128" i="41"/>
  <c r="BD144" i="41"/>
  <c r="BI144" i="41"/>
  <c r="BA144" i="41"/>
  <c r="BC144" i="41"/>
  <c r="BB144" i="41"/>
  <c r="AZ144" i="41"/>
  <c r="BH144" i="41"/>
  <c r="BG144" i="41"/>
  <c r="BF144" i="41"/>
  <c r="BE144" i="41"/>
  <c r="BF147" i="41"/>
  <c r="BC147" i="41"/>
  <c r="BD147" i="41"/>
  <c r="BB147" i="41"/>
  <c r="BA147" i="41"/>
  <c r="AZ147" i="41"/>
  <c r="BI147" i="41"/>
  <c r="BH147" i="41"/>
  <c r="BG147" i="41"/>
  <c r="BE147" i="41"/>
  <c r="BE130" i="41"/>
  <c r="BB130" i="41"/>
  <c r="BH130" i="41"/>
  <c r="BG130" i="41"/>
  <c r="BC130" i="41"/>
  <c r="BF130" i="41"/>
  <c r="BD130" i="41"/>
  <c r="BA130" i="41"/>
  <c r="AZ130" i="41"/>
  <c r="BI130" i="41"/>
  <c r="BI110" i="41"/>
  <c r="BA110" i="41"/>
  <c r="BE110" i="41"/>
  <c r="BF110" i="41"/>
  <c r="BD110" i="41"/>
  <c r="BC110" i="41"/>
  <c r="BB110" i="41"/>
  <c r="AZ110" i="41"/>
  <c r="BH110" i="41"/>
  <c r="BG110" i="41"/>
  <c r="BI101" i="41"/>
  <c r="AM97" i="41"/>
  <c r="AU97" i="41"/>
  <c r="AR97" i="41"/>
  <c r="AQ97" i="41"/>
  <c r="AO97" i="41"/>
  <c r="AN97" i="41"/>
  <c r="BE141" i="41"/>
  <c r="AS114" i="41"/>
  <c r="BF85" i="41"/>
  <c r="BF77" i="41"/>
  <c r="AZ133" i="41"/>
  <c r="AS93" i="41"/>
  <c r="AP89" i="41"/>
  <c r="AL85" i="41"/>
  <c r="AT81" i="41"/>
  <c r="BD76" i="41"/>
  <c r="BC76" i="41"/>
  <c r="BB76" i="41"/>
  <c r="BI76" i="41"/>
  <c r="BA76" i="41"/>
  <c r="BH76" i="41"/>
  <c r="AZ76" i="41"/>
  <c r="BG76" i="41"/>
  <c r="BF76" i="41"/>
  <c r="BE76" i="41"/>
  <c r="BC56" i="41"/>
  <c r="BI56" i="41"/>
  <c r="BA56" i="41"/>
  <c r="BH56" i="41"/>
  <c r="AZ56" i="41"/>
  <c r="BG56" i="41"/>
  <c r="BE56" i="41"/>
  <c r="BD56" i="41"/>
  <c r="BF56" i="41"/>
  <c r="BB56" i="41"/>
  <c r="BG129" i="41"/>
  <c r="BE118" i="41"/>
  <c r="BH118" i="41"/>
  <c r="BC118" i="41"/>
  <c r="BD118" i="41"/>
  <c r="BB118" i="41"/>
  <c r="BA118" i="41"/>
  <c r="AZ118" i="41"/>
  <c r="BI118" i="41"/>
  <c r="BG118" i="41"/>
  <c r="BF118" i="41"/>
  <c r="AQ114" i="41"/>
  <c r="BE67" i="41"/>
  <c r="BC67" i="41"/>
  <c r="BB67" i="41"/>
  <c r="BI67" i="41"/>
  <c r="BA67" i="41"/>
  <c r="BH67" i="41"/>
  <c r="AZ67" i="41"/>
  <c r="BG67" i="41"/>
  <c r="BF67" i="41"/>
  <c r="BD67" i="41"/>
  <c r="BC113" i="41"/>
  <c r="BA81" i="41"/>
  <c r="AM142" i="41"/>
  <c r="BI142" i="41"/>
  <c r="AL142" i="41"/>
  <c r="BG142" i="41"/>
  <c r="AU142" i="41"/>
  <c r="AT142" i="41"/>
  <c r="BD142" i="41"/>
  <c r="AS142" i="41"/>
  <c r="BB142" i="41"/>
  <c r="AP142" i="41"/>
  <c r="AO142" i="41"/>
  <c r="AR142" i="41"/>
  <c r="BC142" i="41"/>
  <c r="AM114" i="41"/>
  <c r="BG54" i="41"/>
  <c r="BE54" i="41"/>
  <c r="BD54" i="41"/>
  <c r="BC54" i="41"/>
  <c r="BI54" i="41"/>
  <c r="BA54" i="41"/>
  <c r="BH54" i="41"/>
  <c r="AZ54" i="41"/>
  <c r="BB54" i="41"/>
  <c r="BF54" i="41"/>
  <c r="AR42" i="41"/>
  <c r="BE14" i="41"/>
  <c r="BD14" i="41"/>
  <c r="BI14" i="41"/>
  <c r="BA14" i="41"/>
  <c r="BH14" i="41"/>
  <c r="AZ14" i="41"/>
  <c r="BF14" i="41"/>
  <c r="BC14" i="41"/>
  <c r="BB14" i="41"/>
  <c r="BG14" i="41"/>
  <c r="AU52" i="41"/>
  <c r="AT118" i="41"/>
  <c r="BE35" i="41"/>
  <c r="BC35" i="41"/>
  <c r="BB35" i="41"/>
  <c r="BI35" i="41"/>
  <c r="BA35" i="41"/>
  <c r="BG35" i="41"/>
  <c r="BF35" i="41"/>
  <c r="BH35" i="41"/>
  <c r="BD35" i="41"/>
  <c r="AZ35" i="41"/>
  <c r="BE81" i="41"/>
  <c r="AP62" i="41"/>
  <c r="AT62" i="41"/>
  <c r="AL62" i="41"/>
  <c r="AS62" i="41"/>
  <c r="AO62" i="41"/>
  <c r="BF15" i="41"/>
  <c r="AP74" i="41"/>
  <c r="AO74" i="41"/>
  <c r="AT74" i="41"/>
  <c r="AL74" i="41"/>
  <c r="AS74" i="41"/>
  <c r="AP15" i="41"/>
  <c r="AK147" i="41"/>
  <c r="AO115" i="41"/>
  <c r="AN115" i="41"/>
  <c r="AS115" i="41"/>
  <c r="AR115" i="41"/>
  <c r="AK106" i="41"/>
  <c r="BE55" i="41"/>
  <c r="BC55" i="41"/>
  <c r="BB55" i="41"/>
  <c r="BI55" i="41"/>
  <c r="BA55" i="41"/>
  <c r="BG55" i="41"/>
  <c r="BF55" i="41"/>
  <c r="BH55" i="41"/>
  <c r="BD55" i="41"/>
  <c r="AZ55" i="41"/>
  <c r="AR52" i="41"/>
  <c r="AO96" i="41"/>
  <c r="AM96" i="41"/>
  <c r="AL96" i="41"/>
  <c r="AS96" i="41"/>
  <c r="AQ96" i="41"/>
  <c r="BB31" i="41"/>
  <c r="AT31" i="41"/>
  <c r="BB29" i="41"/>
  <c r="BI29" i="41"/>
  <c r="BA29" i="41"/>
  <c r="BG29" i="41"/>
  <c r="BF29" i="41"/>
  <c r="BC29" i="41"/>
  <c r="BH29" i="41"/>
  <c r="BE29" i="41"/>
  <c r="BD29" i="41"/>
  <c r="AZ29" i="41"/>
  <c r="BH23" i="41"/>
  <c r="AR23" i="41"/>
  <c r="AQ23" i="41"/>
  <c r="AN23" i="41"/>
  <c r="AS86" i="41"/>
  <c r="AQ86" i="41"/>
  <c r="AM86" i="41"/>
  <c r="AL86" i="41"/>
  <c r="AK18" i="41"/>
  <c r="BI11" i="41"/>
  <c r="AU11" i="41"/>
  <c r="AR11" i="41"/>
  <c r="BE11" i="41"/>
  <c r="AQ11" i="41"/>
  <c r="AN11" i="41"/>
  <c r="BA11" i="41"/>
  <c r="AM11" i="41"/>
  <c r="AU51" i="41"/>
  <c r="AU15" i="41"/>
  <c r="AM101" i="41"/>
  <c r="AU101" i="41"/>
  <c r="AR101" i="41"/>
  <c r="AQ101" i="41"/>
  <c r="AO101" i="41"/>
  <c r="AN101" i="41"/>
  <c r="BG101" i="41"/>
  <c r="BG85" i="41"/>
  <c r="BG77" i="41"/>
  <c r="AS144" i="41"/>
  <c r="AL89" i="41"/>
  <c r="AT85" i="41"/>
  <c r="BD68" i="41"/>
  <c r="BC68" i="41"/>
  <c r="BI68" i="41"/>
  <c r="BA68" i="41"/>
  <c r="BH68" i="41"/>
  <c r="AZ68" i="41"/>
  <c r="BG68" i="41"/>
  <c r="BF68" i="41"/>
  <c r="BE68" i="41"/>
  <c r="BB68" i="41"/>
  <c r="BC52" i="41"/>
  <c r="BI52" i="41"/>
  <c r="BA52" i="41"/>
  <c r="BH52" i="41"/>
  <c r="AZ52" i="41"/>
  <c r="BG52" i="41"/>
  <c r="BE52" i="41"/>
  <c r="BD52" i="41"/>
  <c r="BB52" i="41"/>
  <c r="BF52" i="41"/>
  <c r="BD20" i="41"/>
  <c r="BI20" i="41"/>
  <c r="BA20" i="41"/>
  <c r="BH20" i="41"/>
  <c r="AZ20" i="41"/>
  <c r="BE20" i="41"/>
  <c r="BG20" i="41"/>
  <c r="BF20" i="41"/>
  <c r="BC20" i="41"/>
  <c r="BB20" i="41"/>
  <c r="AS118" i="41"/>
  <c r="BD113" i="41"/>
  <c r="BB93" i="41"/>
  <c r="BB77" i="41"/>
  <c r="AU120" i="41"/>
  <c r="AS120" i="41"/>
  <c r="AQ120" i="41"/>
  <c r="AN120" i="41"/>
  <c r="AM120" i="41"/>
  <c r="AL120" i="41"/>
  <c r="BA93" i="41"/>
  <c r="AR137" i="41"/>
  <c r="AN137" i="41"/>
  <c r="AM137" i="41"/>
  <c r="AP124" i="41"/>
  <c r="BA113" i="41"/>
  <c r="AZ97" i="41"/>
  <c r="AZ81" i="41"/>
  <c r="BH42" i="41"/>
  <c r="AZ42" i="41"/>
  <c r="BG42" i="41"/>
  <c r="BE42" i="41"/>
  <c r="BD42" i="41"/>
  <c r="BC42" i="41"/>
  <c r="BI42" i="41"/>
  <c r="BA42" i="41"/>
  <c r="BF42" i="41"/>
  <c r="BB42" i="41"/>
  <c r="BG34" i="41"/>
  <c r="BE34" i="41"/>
  <c r="BD34" i="41"/>
  <c r="BC34" i="41"/>
  <c r="BI34" i="41"/>
  <c r="BA34" i="41"/>
  <c r="BH34" i="41"/>
  <c r="AZ34" i="41"/>
  <c r="BF34" i="41"/>
  <c r="BB34" i="41"/>
  <c r="AT40" i="41"/>
  <c r="AL40" i="41"/>
  <c r="AP40" i="41"/>
  <c r="AS40" i="41"/>
  <c r="AO40" i="41"/>
  <c r="AR27" i="41"/>
  <c r="AN27" i="41"/>
  <c r="AM27" i="41"/>
  <c r="AL132" i="41"/>
  <c r="AS132" i="41"/>
  <c r="AQ132" i="41"/>
  <c r="AN132" i="41"/>
  <c r="AO100" i="41"/>
  <c r="AM100" i="41"/>
  <c r="AL100" i="41"/>
  <c r="AS100" i="41"/>
  <c r="AQ100" i="41"/>
  <c r="AU48" i="41"/>
  <c r="AT48" i="41"/>
  <c r="AL48" i="41"/>
  <c r="AP48" i="41"/>
  <c r="AM48" i="41"/>
  <c r="AS48" i="41"/>
  <c r="AO48" i="41"/>
  <c r="BF39" i="41"/>
  <c r="BE39" i="41"/>
  <c r="BC39" i="41"/>
  <c r="BB39" i="41"/>
  <c r="BI39" i="41"/>
  <c r="BA39" i="41"/>
  <c r="BG39" i="41"/>
  <c r="BH39" i="41"/>
  <c r="BD39" i="41"/>
  <c r="AZ39" i="41"/>
  <c r="AO127" i="41"/>
  <c r="AN127" i="41"/>
  <c r="BF51" i="41"/>
  <c r="BE51" i="41"/>
  <c r="BC51" i="41"/>
  <c r="BB51" i="41"/>
  <c r="BI51" i="41"/>
  <c r="BA51" i="41"/>
  <c r="BG51" i="41"/>
  <c r="BH51" i="41"/>
  <c r="BD51" i="41"/>
  <c r="AZ51" i="41"/>
  <c r="AN139" i="41"/>
  <c r="AM139" i="41"/>
  <c r="AR139" i="41"/>
  <c r="AQ139" i="41"/>
  <c r="BB61" i="41"/>
  <c r="BI61" i="41"/>
  <c r="BA61" i="41"/>
  <c r="BG61" i="41"/>
  <c r="BF61" i="41"/>
  <c r="BE61" i="41"/>
  <c r="BC61" i="41"/>
  <c r="BH61" i="41"/>
  <c r="BD61" i="41"/>
  <c r="AZ61" i="41"/>
  <c r="AQ27" i="41"/>
  <c r="BB9" i="41"/>
  <c r="BG9" i="41"/>
  <c r="BF9" i="41"/>
  <c r="BC9" i="41"/>
  <c r="BH9" i="41"/>
  <c r="BD9" i="41"/>
  <c r="BA9" i="41"/>
  <c r="AZ9" i="41"/>
  <c r="BI9" i="41"/>
  <c r="BE9" i="41"/>
  <c r="AR48" i="41"/>
  <c r="AT114" i="41"/>
  <c r="BE93" i="41"/>
  <c r="AU72" i="41"/>
  <c r="AM72" i="41"/>
  <c r="AT72" i="41"/>
  <c r="AL72" i="41"/>
  <c r="AS72" i="41"/>
  <c r="AP72" i="41"/>
  <c r="AO72" i="41"/>
  <c r="BC31" i="41"/>
  <c r="AU75" i="41"/>
  <c r="AM75" i="41"/>
  <c r="AN31" i="41"/>
  <c r="BE15" i="41"/>
  <c r="AS110" i="41"/>
  <c r="AQ110" i="41"/>
  <c r="AM110" i="41"/>
  <c r="AL110" i="41"/>
  <c r="AU43" i="41"/>
  <c r="AM133" i="41"/>
  <c r="AR133" i="41"/>
  <c r="AQ133" i="41"/>
  <c r="BH133" i="41"/>
  <c r="AO133" i="41"/>
  <c r="BF133" i="41"/>
  <c r="AL133" i="41"/>
  <c r="BA133" i="41"/>
  <c r="AU133" i="41"/>
  <c r="BF139" i="41"/>
  <c r="BC139" i="41"/>
  <c r="BI139" i="41"/>
  <c r="BH139" i="41"/>
  <c r="BG139" i="41"/>
  <c r="BE139" i="41"/>
  <c r="BD139" i="41"/>
  <c r="AZ139" i="41"/>
  <c r="BB139" i="41"/>
  <c r="BA139" i="41"/>
  <c r="BB145" i="41"/>
  <c r="BG145" i="41"/>
  <c r="BA145" i="41"/>
  <c r="AZ145" i="41"/>
  <c r="BI145" i="41"/>
  <c r="BH145" i="41"/>
  <c r="BF145" i="41"/>
  <c r="BE145" i="41"/>
  <c r="BD145" i="41"/>
  <c r="BC145" i="41"/>
  <c r="BD132" i="41"/>
  <c r="BI132" i="41"/>
  <c r="BA132" i="41"/>
  <c r="AZ132" i="41"/>
  <c r="BG132" i="41"/>
  <c r="BF132" i="41"/>
  <c r="BB132" i="41"/>
  <c r="BH132" i="41"/>
  <c r="BE132" i="41"/>
  <c r="BC132" i="41"/>
  <c r="AQ145" i="41"/>
  <c r="AM105" i="41"/>
  <c r="AU105" i="41"/>
  <c r="AR105" i="41"/>
  <c r="AQ105" i="41"/>
  <c r="AO105" i="41"/>
  <c r="AN105" i="41"/>
  <c r="BI86" i="41"/>
  <c r="BA86" i="41"/>
  <c r="BE86" i="41"/>
  <c r="BF86" i="41"/>
  <c r="BD86" i="41"/>
  <c r="BC86" i="41"/>
  <c r="BB86" i="41"/>
  <c r="AZ86" i="41"/>
  <c r="BH86" i="41"/>
  <c r="BG86" i="41"/>
  <c r="BI82" i="41"/>
  <c r="BA82" i="41"/>
  <c r="BE82" i="41"/>
  <c r="BF82" i="41"/>
  <c r="BD82" i="41"/>
  <c r="BC82" i="41"/>
  <c r="BB82" i="41"/>
  <c r="AZ82" i="41"/>
  <c r="BH82" i="41"/>
  <c r="BG82" i="41"/>
  <c r="BI78" i="41"/>
  <c r="BA78" i="41"/>
  <c r="BE78" i="41"/>
  <c r="BF78" i="41"/>
  <c r="BD78" i="41"/>
  <c r="BC78" i="41"/>
  <c r="BB78" i="41"/>
  <c r="AZ78" i="41"/>
  <c r="BH78" i="41"/>
  <c r="BG78" i="41"/>
  <c r="BB73" i="41"/>
  <c r="BI73" i="41"/>
  <c r="BA73" i="41"/>
  <c r="BH73" i="41"/>
  <c r="AZ73" i="41"/>
  <c r="BG73" i="41"/>
  <c r="BF73" i="41"/>
  <c r="BE73" i="41"/>
  <c r="BD73" i="41"/>
  <c r="BC73" i="41"/>
  <c r="BC101" i="41"/>
  <c r="BC85" i="41"/>
  <c r="BC77" i="41"/>
  <c r="BE133" i="41"/>
  <c r="AL118" i="41"/>
  <c r="AS101" i="41"/>
  <c r="AP97" i="41"/>
  <c r="AT89" i="41"/>
  <c r="BD36" i="41"/>
  <c r="BC36" i="41"/>
  <c r="BI36" i="41"/>
  <c r="BA36" i="41"/>
  <c r="BH36" i="41"/>
  <c r="AZ36" i="41"/>
  <c r="BG36" i="41"/>
  <c r="BE36" i="41"/>
  <c r="BF36" i="41"/>
  <c r="BB36" i="41"/>
  <c r="BI16" i="41"/>
  <c r="BA16" i="41"/>
  <c r="BH16" i="41"/>
  <c r="AZ16" i="41"/>
  <c r="BE16" i="41"/>
  <c r="BD16" i="41"/>
  <c r="BG16" i="41"/>
  <c r="BF16" i="41"/>
  <c r="BC16" i="41"/>
  <c r="BB16" i="41"/>
  <c r="AT136" i="41"/>
  <c r="AP136" i="41"/>
  <c r="AM117" i="41"/>
  <c r="AQ117" i="41"/>
  <c r="AO117" i="41"/>
  <c r="BA117" i="41"/>
  <c r="AN117" i="41"/>
  <c r="AL117" i="41"/>
  <c r="AU117" i="41"/>
  <c r="AT117" i="41"/>
  <c r="AS117" i="41"/>
  <c r="AS124" i="41"/>
  <c r="AO118" i="41"/>
  <c r="AQ125" i="41"/>
  <c r="AM125" i="41"/>
  <c r="AT125" i="41"/>
  <c r="AS125" i="41"/>
  <c r="BE125" i="41"/>
  <c r="AO125" i="41"/>
  <c r="AN125" i="41"/>
  <c r="AL125" i="41"/>
  <c r="AZ125" i="41"/>
  <c r="AU125" i="41"/>
  <c r="BA105" i="41"/>
  <c r="BH62" i="41"/>
  <c r="AZ62" i="41"/>
  <c r="BG62" i="41"/>
  <c r="BE62" i="41"/>
  <c r="BD62" i="41"/>
  <c r="BC62" i="41"/>
  <c r="BI62" i="41"/>
  <c r="BA62" i="41"/>
  <c r="BB62" i="41"/>
  <c r="BF62" i="41"/>
  <c r="BH22" i="41"/>
  <c r="AZ22" i="41"/>
  <c r="BE22" i="41"/>
  <c r="BD22" i="41"/>
  <c r="BI22" i="41"/>
  <c r="BA22" i="41"/>
  <c r="BG22" i="41"/>
  <c r="BF22" i="41"/>
  <c r="BC22" i="41"/>
  <c r="BB22" i="41"/>
  <c r="AP46" i="41"/>
  <c r="AT46" i="41"/>
  <c r="AL46" i="41"/>
  <c r="AS46" i="41"/>
  <c r="AO46" i="41"/>
  <c r="BB37" i="41"/>
  <c r="BI37" i="41"/>
  <c r="BA37" i="41"/>
  <c r="BG37" i="41"/>
  <c r="BF37" i="41"/>
  <c r="BE37" i="41"/>
  <c r="BC37" i="41"/>
  <c r="BH37" i="41"/>
  <c r="BD37" i="41"/>
  <c r="AZ37" i="41"/>
  <c r="AO27" i="41"/>
  <c r="AU124" i="41"/>
  <c r="BE97" i="41"/>
  <c r="AU76" i="41"/>
  <c r="AM76" i="41"/>
  <c r="AT76" i="41"/>
  <c r="AL76" i="41"/>
  <c r="AS76" i="41"/>
  <c r="AP76" i="41"/>
  <c r="AO76" i="41"/>
  <c r="AP58" i="41"/>
  <c r="AT58" i="41"/>
  <c r="AL58" i="41"/>
  <c r="AS58" i="41"/>
  <c r="AO58" i="41"/>
  <c r="AU71" i="41"/>
  <c r="AM71" i="41"/>
  <c r="AL15" i="41"/>
  <c r="AK139" i="41"/>
  <c r="AS82" i="41"/>
  <c r="AQ82" i="41"/>
  <c r="AM82" i="41"/>
  <c r="AL82" i="41"/>
  <c r="AU64" i="41"/>
  <c r="AM64" i="41"/>
  <c r="AT64" i="41"/>
  <c r="AL64" i="41"/>
  <c r="AP64" i="41"/>
  <c r="AO64" i="41"/>
  <c r="AS64" i="41"/>
  <c r="AP82" i="41"/>
  <c r="AU40" i="41"/>
  <c r="AO112" i="41"/>
  <c r="AM112" i="41"/>
  <c r="AL112" i="41"/>
  <c r="AS112" i="41"/>
  <c r="AQ112" i="41"/>
  <c r="BE31" i="41"/>
  <c r="AO131" i="41"/>
  <c r="AN131" i="41"/>
  <c r="AS131" i="41"/>
  <c r="AR131" i="41"/>
  <c r="AO31" i="41"/>
  <c r="AS119" i="41"/>
  <c r="AR119" i="41"/>
  <c r="BD119" i="41"/>
  <c r="AP119" i="41"/>
  <c r="AN119" i="41"/>
  <c r="AS102" i="41"/>
  <c r="AQ102" i="41"/>
  <c r="AM102" i="41"/>
  <c r="AL102" i="41"/>
  <c r="AZ31" i="41"/>
  <c r="AK16" i="41"/>
  <c r="AK110" i="41"/>
  <c r="BD140" i="41"/>
  <c r="BI140" i="41"/>
  <c r="BA140" i="41"/>
  <c r="BF140" i="41"/>
  <c r="BE140" i="41"/>
  <c r="BC140" i="41"/>
  <c r="BB140" i="41"/>
  <c r="AZ140" i="41"/>
  <c r="BH140" i="41"/>
  <c r="BG140" i="41"/>
  <c r="AT133" i="41"/>
  <c r="BD148" i="41"/>
  <c r="BI148" i="41"/>
  <c r="BA148" i="41"/>
  <c r="AZ148" i="41"/>
  <c r="BH148" i="41"/>
  <c r="BG148" i="41"/>
  <c r="BF148" i="41"/>
  <c r="BE148" i="41"/>
  <c r="BC148" i="41"/>
  <c r="BB148" i="41"/>
  <c r="AL144" i="41"/>
  <c r="AT145" i="41"/>
  <c r="AR113" i="41"/>
  <c r="AM109" i="41"/>
  <c r="AU109" i="41"/>
  <c r="AR109" i="41"/>
  <c r="AQ109" i="41"/>
  <c r="AO109" i="41"/>
  <c r="AN109" i="41"/>
  <c r="BI90" i="41"/>
  <c r="BA90" i="41"/>
  <c r="BE90" i="41"/>
  <c r="BF90" i="41"/>
  <c r="BD90" i="41"/>
  <c r="BC90" i="41"/>
  <c r="BB90" i="41"/>
  <c r="AZ90" i="41"/>
  <c r="BH90" i="41"/>
  <c r="BG90" i="41"/>
  <c r="AU126" i="41"/>
  <c r="AT126" i="41"/>
  <c r="AQ126" i="41"/>
  <c r="AP126" i="41"/>
  <c r="AM126" i="41"/>
  <c r="AL126" i="41"/>
  <c r="BC117" i="41"/>
  <c r="BH101" i="41"/>
  <c r="BH85" i="41"/>
  <c r="AO124" i="41"/>
  <c r="BI113" i="41"/>
  <c r="BI133" i="41"/>
  <c r="AS105" i="41"/>
  <c r="AP101" i="41"/>
  <c r="AL97" i="41"/>
  <c r="AT93" i="41"/>
  <c r="BD48" i="41"/>
  <c r="BC48" i="41"/>
  <c r="BI48" i="41"/>
  <c r="BA48" i="41"/>
  <c r="BH48" i="41"/>
  <c r="AZ48" i="41"/>
  <c r="BG48" i="41"/>
  <c r="BE48" i="41"/>
  <c r="BB48" i="41"/>
  <c r="BF48" i="41"/>
  <c r="BC32" i="41"/>
  <c r="BI32" i="41"/>
  <c r="BA32" i="41"/>
  <c r="BH32" i="41"/>
  <c r="AZ32" i="41"/>
  <c r="BG32" i="41"/>
  <c r="BE32" i="41"/>
  <c r="BD32" i="41"/>
  <c r="BF32" i="41"/>
  <c r="BB32" i="41"/>
  <c r="BI12" i="41"/>
  <c r="BA12" i="41"/>
  <c r="BH12" i="41"/>
  <c r="AZ12" i="41"/>
  <c r="BE12" i="41"/>
  <c r="BD12" i="41"/>
  <c r="BC12" i="41"/>
  <c r="BB12" i="41"/>
  <c r="BG12" i="41"/>
  <c r="BF12" i="41"/>
  <c r="BF135" i="41"/>
  <c r="BC135" i="41"/>
  <c r="BA135" i="41"/>
  <c r="AZ135" i="41"/>
  <c r="BH135" i="41"/>
  <c r="BG135" i="41"/>
  <c r="BB135" i="41"/>
  <c r="BI135" i="41"/>
  <c r="BE135" i="41"/>
  <c r="BD135" i="41"/>
  <c r="BC125" i="41"/>
  <c r="AO116" i="41"/>
  <c r="AR111" i="41"/>
  <c r="AQ111" i="41"/>
  <c r="BA111" i="41"/>
  <c r="AO111" i="41"/>
  <c r="AM111" i="41"/>
  <c r="BH111" i="41"/>
  <c r="AU111" i="41"/>
  <c r="AR107" i="41"/>
  <c r="AQ107" i="41"/>
  <c r="BA107" i="41"/>
  <c r="AO107" i="41"/>
  <c r="AM107" i="41"/>
  <c r="BH107" i="41"/>
  <c r="AU107" i="41"/>
  <c r="AR103" i="41"/>
  <c r="AQ103" i="41"/>
  <c r="BA103" i="41"/>
  <c r="AO103" i="41"/>
  <c r="AM103" i="41"/>
  <c r="AU103" i="41"/>
  <c r="AR99" i="41"/>
  <c r="AQ99" i="41"/>
  <c r="BA99" i="41"/>
  <c r="AO99" i="41"/>
  <c r="AM99" i="41"/>
  <c r="AU99" i="41"/>
  <c r="AR95" i="41"/>
  <c r="AQ95" i="41"/>
  <c r="BA95" i="41"/>
  <c r="AO95" i="41"/>
  <c r="AM95" i="41"/>
  <c r="AU95" i="41"/>
  <c r="AR91" i="41"/>
  <c r="AQ91" i="41"/>
  <c r="BA91" i="41"/>
  <c r="AO91" i="41"/>
  <c r="AM91" i="41"/>
  <c r="AU91" i="41"/>
  <c r="AR87" i="41"/>
  <c r="AQ87" i="41"/>
  <c r="BA87" i="41"/>
  <c r="AO87" i="41"/>
  <c r="AM87" i="41"/>
  <c r="AU87" i="41"/>
  <c r="AR83" i="41"/>
  <c r="AQ83" i="41"/>
  <c r="BA83" i="41"/>
  <c r="AO83" i="41"/>
  <c r="AM83" i="41"/>
  <c r="AU83" i="41"/>
  <c r="AR79" i="41"/>
  <c r="AQ79" i="41"/>
  <c r="BA79" i="41"/>
  <c r="AO79" i="41"/>
  <c r="AM79" i="41"/>
  <c r="AU79" i="41"/>
  <c r="AN118" i="41"/>
  <c r="BB105" i="41"/>
  <c r="BB89" i="41"/>
  <c r="BF75" i="41"/>
  <c r="BE75" i="41"/>
  <c r="BD75" i="41"/>
  <c r="BC75" i="41"/>
  <c r="BB75" i="41"/>
  <c r="BI75" i="41"/>
  <c r="BA75" i="41"/>
  <c r="BH75" i="41"/>
  <c r="AZ75" i="41"/>
  <c r="BG75" i="41"/>
  <c r="BB125" i="41"/>
  <c r="BG111" i="41"/>
  <c r="BF103" i="41"/>
  <c r="BC91" i="41"/>
  <c r="BA85" i="41"/>
  <c r="BG79" i="41"/>
  <c r="AT122" i="41"/>
  <c r="AR122" i="41"/>
  <c r="AM122" i="41"/>
  <c r="AL122" i="41"/>
  <c r="AL111" i="41"/>
  <c r="AP107" i="41"/>
  <c r="AZ101" i="41"/>
  <c r="AL95" i="41"/>
  <c r="AP91" i="41"/>
  <c r="AZ85" i="41"/>
  <c r="AL79" i="41"/>
  <c r="BH70" i="41"/>
  <c r="AZ70" i="41"/>
  <c r="BG70" i="41"/>
  <c r="BE70" i="41"/>
  <c r="BD70" i="41"/>
  <c r="BC70" i="41"/>
  <c r="BB70" i="41"/>
  <c r="BI70" i="41"/>
  <c r="BA70" i="41"/>
  <c r="BF70" i="41"/>
  <c r="BH50" i="41"/>
  <c r="AZ50" i="41"/>
  <c r="BG50" i="41"/>
  <c r="BE50" i="41"/>
  <c r="BD50" i="41"/>
  <c r="BC50" i="41"/>
  <c r="BI50" i="41"/>
  <c r="BA50" i="41"/>
  <c r="BF50" i="41"/>
  <c r="BB50" i="41"/>
  <c r="AN40" i="41"/>
  <c r="BH10" i="41"/>
  <c r="AZ10" i="41"/>
  <c r="BE10" i="41"/>
  <c r="BD10" i="41"/>
  <c r="BI10" i="41"/>
  <c r="BA10" i="41"/>
  <c r="BG10" i="41"/>
  <c r="BF10" i="41"/>
  <c r="BC10" i="41"/>
  <c r="BB10" i="41"/>
  <c r="AP27" i="41"/>
  <c r="AP115" i="41"/>
  <c r="BC15" i="41"/>
  <c r="AU67" i="41"/>
  <c r="AM67" i="41"/>
  <c r="AT56" i="41"/>
  <c r="AL56" i="41"/>
  <c r="AP56" i="41"/>
  <c r="AU56" i="41"/>
  <c r="AM56" i="41"/>
  <c r="AS56" i="41"/>
  <c r="AO56" i="41"/>
  <c r="BE47" i="41"/>
  <c r="BC47" i="41"/>
  <c r="BB47" i="41"/>
  <c r="BI47" i="41"/>
  <c r="BA47" i="41"/>
  <c r="BG47" i="41"/>
  <c r="BF47" i="41"/>
  <c r="BH47" i="41"/>
  <c r="BD47" i="41"/>
  <c r="AZ47" i="41"/>
  <c r="BF43" i="41"/>
  <c r="BE43" i="41"/>
  <c r="BC43" i="41"/>
  <c r="BB43" i="41"/>
  <c r="BI43" i="41"/>
  <c r="BA43" i="41"/>
  <c r="BG43" i="41"/>
  <c r="BH43" i="41"/>
  <c r="BD43" i="41"/>
  <c r="AZ43" i="41"/>
  <c r="AT15" i="41"/>
  <c r="AP138" i="41"/>
  <c r="AO138" i="41"/>
  <c r="AM138" i="41"/>
  <c r="AL138" i="41"/>
  <c r="AU138" i="41"/>
  <c r="AR138" i="41"/>
  <c r="BF138" i="41"/>
  <c r="AT138" i="41"/>
  <c r="AS138" i="41"/>
  <c r="BE79" i="41"/>
  <c r="AO63" i="41"/>
  <c r="AT59" i="41"/>
  <c r="BI57" i="41"/>
  <c r="BA57" i="41"/>
  <c r="BG57" i="41"/>
  <c r="BF57" i="41"/>
  <c r="BE57" i="41"/>
  <c r="BC57" i="41"/>
  <c r="BB57" i="41"/>
  <c r="BH57" i="41"/>
  <c r="BD57" i="41"/>
  <c r="AZ57" i="41"/>
  <c r="AL55" i="41"/>
  <c r="BI31" i="41"/>
  <c r="AU35" i="41"/>
  <c r="AQ35" i="41"/>
  <c r="AL19" i="41"/>
  <c r="AZ23" i="41"/>
  <c r="BE109" i="41"/>
  <c r="AO88" i="41"/>
  <c r="AM88" i="41"/>
  <c r="AL88" i="41"/>
  <c r="AS88" i="41"/>
  <c r="AQ88" i="41"/>
  <c r="BF31" i="41"/>
  <c r="AR72" i="41"/>
  <c r="AP34" i="41"/>
  <c r="AT34" i="41"/>
  <c r="AL34" i="41"/>
  <c r="AO34" i="41"/>
  <c r="AS34" i="41"/>
  <c r="AP30" i="41"/>
  <c r="AS30" i="41"/>
  <c r="AO30" i="41"/>
  <c r="AL30" i="41"/>
  <c r="AT30" i="41"/>
  <c r="AK28" i="41"/>
  <c r="AL23" i="41"/>
  <c r="AZ11" i="41"/>
  <c r="AK119" i="41"/>
  <c r="BE99" i="41"/>
  <c r="AS78" i="41"/>
  <c r="AQ78" i="41"/>
  <c r="AM78" i="41"/>
  <c r="AL78" i="41"/>
  <c r="BD15" i="41"/>
  <c r="AL11" i="41"/>
  <c r="AU47" i="41"/>
  <c r="AM145" i="41"/>
  <c r="AP133" i="41"/>
  <c r="BE126" i="41"/>
  <c r="BB126" i="41"/>
  <c r="BH126" i="41"/>
  <c r="BG126" i="41"/>
  <c r="BC126" i="41"/>
  <c r="AZ126" i="41"/>
  <c r="BI126" i="41"/>
  <c r="BF126" i="41"/>
  <c r="BD126" i="41"/>
  <c r="BA126" i="41"/>
  <c r="AP113" i="41"/>
  <c r="AM124" i="41"/>
  <c r="AZ113" i="41"/>
  <c r="BI94" i="41"/>
  <c r="BA94" i="41"/>
  <c r="BE94" i="41"/>
  <c r="BF94" i="41"/>
  <c r="BD94" i="41"/>
  <c r="BC94" i="41"/>
  <c r="BB94" i="41"/>
  <c r="AZ94" i="41"/>
  <c r="BH94" i="41"/>
  <c r="BG94" i="41"/>
  <c r="BI85" i="41"/>
  <c r="BI81" i="41"/>
  <c r="BI77" i="41"/>
  <c r="BB113" i="41"/>
  <c r="BF105" i="41"/>
  <c r="BF97" i="41"/>
  <c r="BF89" i="41"/>
  <c r="BG133" i="41"/>
  <c r="AP105" i="41"/>
  <c r="AL101" i="41"/>
  <c r="AT97" i="41"/>
  <c r="BC44" i="41"/>
  <c r="BI44" i="41"/>
  <c r="BA44" i="41"/>
  <c r="BH44" i="41"/>
  <c r="AZ44" i="41"/>
  <c r="BG44" i="41"/>
  <c r="BE44" i="41"/>
  <c r="BD44" i="41"/>
  <c r="BB44" i="41"/>
  <c r="BF44" i="41"/>
  <c r="BD134" i="41"/>
  <c r="AS134" i="41"/>
  <c r="BC134" i="41"/>
  <c r="AR134" i="41"/>
  <c r="BA134" i="41"/>
  <c r="AO134" i="41"/>
  <c r="AM134" i="41"/>
  <c r="AT134" i="41"/>
  <c r="BI134" i="41"/>
  <c r="BG134" i="41"/>
  <c r="BB134" i="41"/>
  <c r="AU134" i="41"/>
  <c r="AP134" i="41"/>
  <c r="AL134" i="41"/>
  <c r="AR114" i="41"/>
  <c r="BI117" i="41"/>
  <c r="BF125" i="41"/>
  <c r="BA97" i="41"/>
  <c r="AM121" i="41"/>
  <c r="AU121" i="41"/>
  <c r="BH121" i="41"/>
  <c r="AT121" i="41"/>
  <c r="BE121" i="41"/>
  <c r="AS121" i="41"/>
  <c r="AQ121" i="41"/>
  <c r="AO121" i="41"/>
  <c r="BA121" i="41"/>
  <c r="AN121" i="41"/>
  <c r="AZ121" i="41"/>
  <c r="AL121" i="41"/>
  <c r="BH74" i="41"/>
  <c r="AZ74" i="41"/>
  <c r="BG74" i="41"/>
  <c r="BF74" i="41"/>
  <c r="BE74" i="41"/>
  <c r="BD74" i="41"/>
  <c r="BC74" i="41"/>
  <c r="BB74" i="41"/>
  <c r="BI74" i="41"/>
  <c r="BA74" i="41"/>
  <c r="AN68" i="41"/>
  <c r="BH30" i="41"/>
  <c r="AZ30" i="41"/>
  <c r="BG30" i="41"/>
  <c r="BE30" i="41"/>
  <c r="BD30" i="41"/>
  <c r="BI30" i="41"/>
  <c r="BA30" i="41"/>
  <c r="BF30" i="41"/>
  <c r="BC30" i="41"/>
  <c r="BB30" i="41"/>
  <c r="BI33" i="41"/>
  <c r="BA33" i="41"/>
  <c r="BG33" i="41"/>
  <c r="BF33" i="41"/>
  <c r="BE33" i="41"/>
  <c r="BC33" i="41"/>
  <c r="BB33" i="41"/>
  <c r="BH33" i="41"/>
  <c r="BD33" i="41"/>
  <c r="AZ33" i="41"/>
  <c r="AS27" i="41"/>
  <c r="AO92" i="41"/>
  <c r="AM92" i="41"/>
  <c r="AL92" i="41"/>
  <c r="AS92" i="41"/>
  <c r="AQ92" i="41"/>
  <c r="AP54" i="41"/>
  <c r="AT54" i="41"/>
  <c r="AL54" i="41"/>
  <c r="AS54" i="41"/>
  <c r="AO54" i="41"/>
  <c r="AT44" i="41"/>
  <c r="AL44" i="41"/>
  <c r="AP44" i="41"/>
  <c r="AU44" i="41"/>
  <c r="AM44" i="41"/>
  <c r="AS44" i="41"/>
  <c r="AO44" i="41"/>
  <c r="BB41" i="41"/>
  <c r="BI41" i="41"/>
  <c r="BA41" i="41"/>
  <c r="BG41" i="41"/>
  <c r="BF41" i="41"/>
  <c r="BE41" i="41"/>
  <c r="BC41" i="41"/>
  <c r="BH41" i="41"/>
  <c r="BD41" i="41"/>
  <c r="AZ41" i="41"/>
  <c r="AP100" i="41"/>
  <c r="AK138" i="41"/>
  <c r="AS98" i="41"/>
  <c r="AQ98" i="41"/>
  <c r="AM98" i="41"/>
  <c r="AL98" i="41"/>
  <c r="AN59" i="41"/>
  <c r="AK26" i="41"/>
  <c r="BH31" i="41"/>
  <c r="AO67" i="41"/>
  <c r="BB65" i="41"/>
  <c r="BI65" i="41"/>
  <c r="BA65" i="41"/>
  <c r="BG65" i="41"/>
  <c r="BF65" i="41"/>
  <c r="BE65" i="41"/>
  <c r="BD65" i="41"/>
  <c r="BC65" i="41"/>
  <c r="BH65" i="41"/>
  <c r="AZ65" i="41"/>
  <c r="AP112" i="41"/>
  <c r="AT23" i="41"/>
  <c r="AU143" i="41"/>
  <c r="AZ143" i="41"/>
  <c r="BI143" i="41"/>
  <c r="AN143" i="41"/>
  <c r="AP143" i="41"/>
  <c r="AO75" i="41"/>
  <c r="BC27" i="41"/>
  <c r="BB27" i="41"/>
  <c r="BG27" i="41"/>
  <c r="BF27" i="41"/>
  <c r="BI27" i="41"/>
  <c r="BH27" i="41"/>
  <c r="BE27" i="41"/>
  <c r="BD27" i="41"/>
  <c r="BA27" i="41"/>
  <c r="AZ27" i="41"/>
  <c r="AT11" i="41"/>
  <c r="BI98" i="41"/>
  <c r="BA98" i="41"/>
  <c r="BE98" i="41"/>
  <c r="BF98" i="41"/>
  <c r="BD98" i="41"/>
  <c r="BC98" i="41"/>
  <c r="BB98" i="41"/>
  <c r="AZ98" i="41"/>
  <c r="BH98" i="41"/>
  <c r="BG98" i="41"/>
  <c r="BI89" i="41"/>
  <c r="AM85" i="41"/>
  <c r="AU85" i="41"/>
  <c r="AR85" i="41"/>
  <c r="AQ85" i="41"/>
  <c r="AO85" i="41"/>
  <c r="AN85" i="41"/>
  <c r="AM81" i="41"/>
  <c r="AU81" i="41"/>
  <c r="AR81" i="41"/>
  <c r="AQ81" i="41"/>
  <c r="AO81" i="41"/>
  <c r="AN81" i="41"/>
  <c r="AM77" i="41"/>
  <c r="AU77" i="41"/>
  <c r="AR77" i="41"/>
  <c r="AQ77" i="41"/>
  <c r="AO77" i="41"/>
  <c r="AN77" i="41"/>
  <c r="AM113" i="41"/>
  <c r="AL113" i="41"/>
  <c r="AU113" i="41"/>
  <c r="AT113" i="41"/>
  <c r="AS113" i="41"/>
  <c r="AQ113" i="41"/>
  <c r="AO113" i="41"/>
  <c r="AN113" i="41"/>
  <c r="BH81" i="41"/>
  <c r="BF113" i="41"/>
  <c r="BG105" i="41"/>
  <c r="BG89" i="41"/>
  <c r="BG81" i="41"/>
  <c r="BB133" i="41"/>
  <c r="AP116" i="41"/>
  <c r="AN116" i="41"/>
  <c r="AM116" i="41"/>
  <c r="AU116" i="41"/>
  <c r="AS116" i="41"/>
  <c r="AL105" i="41"/>
  <c r="AT101" i="41"/>
  <c r="AS81" i="41"/>
  <c r="AP77" i="41"/>
  <c r="BD72" i="41"/>
  <c r="BC72" i="41"/>
  <c r="BB72" i="41"/>
  <c r="BI72" i="41"/>
  <c r="BA72" i="41"/>
  <c r="BH72" i="41"/>
  <c r="AZ72" i="41"/>
  <c r="BG72" i="41"/>
  <c r="BF72" i="41"/>
  <c r="BE72" i="41"/>
  <c r="BD64" i="41"/>
  <c r="BC64" i="41"/>
  <c r="BI64" i="41"/>
  <c r="BA64" i="41"/>
  <c r="BH64" i="41"/>
  <c r="AZ64" i="41"/>
  <c r="BG64" i="41"/>
  <c r="BF64" i="41"/>
  <c r="BE64" i="41"/>
  <c r="BB64" i="41"/>
  <c r="AN133" i="41"/>
  <c r="BI116" i="41"/>
  <c r="BA116" i="41"/>
  <c r="BD116" i="41"/>
  <c r="BH116" i="41"/>
  <c r="BC116" i="41"/>
  <c r="BB116" i="41"/>
  <c r="AZ116" i="41"/>
  <c r="BG116" i="41"/>
  <c r="BF116" i="41"/>
  <c r="BE116" i="41"/>
  <c r="BE113" i="41"/>
  <c r="BD105" i="41"/>
  <c r="BD101" i="41"/>
  <c r="BD97" i="41"/>
  <c r="BD89" i="41"/>
  <c r="BD85" i="41"/>
  <c r="BD81" i="41"/>
  <c r="BD77" i="41"/>
  <c r="BB101" i="41"/>
  <c r="BB85" i="41"/>
  <c r="BA125" i="41"/>
  <c r="BA109" i="41"/>
  <c r="BA77" i="41"/>
  <c r="AQ129" i="41"/>
  <c r="AM129" i="41"/>
  <c r="AU129" i="41"/>
  <c r="AL129" i="41"/>
  <c r="AT129" i="41"/>
  <c r="AS129" i="41"/>
  <c r="BI129" i="41"/>
  <c r="AO129" i="41"/>
  <c r="AN129" i="41"/>
  <c r="AZ129" i="41"/>
  <c r="AO120" i="41"/>
  <c r="AZ105" i="41"/>
  <c r="AZ89" i="41"/>
  <c r="BG58" i="41"/>
  <c r="BE58" i="41"/>
  <c r="BD58" i="41"/>
  <c r="BC58" i="41"/>
  <c r="BI58" i="41"/>
  <c r="BA58" i="41"/>
  <c r="BH58" i="41"/>
  <c r="AZ58" i="41"/>
  <c r="BB58" i="41"/>
  <c r="BF58" i="41"/>
  <c r="BH38" i="41"/>
  <c r="AZ38" i="41"/>
  <c r="BG38" i="41"/>
  <c r="BE38" i="41"/>
  <c r="BD38" i="41"/>
  <c r="BC38" i="41"/>
  <c r="BI38" i="41"/>
  <c r="BA38" i="41"/>
  <c r="BF38" i="41"/>
  <c r="BB38" i="41"/>
  <c r="BE18" i="41"/>
  <c r="BD18" i="41"/>
  <c r="BI18" i="41"/>
  <c r="BA18" i="41"/>
  <c r="BH18" i="41"/>
  <c r="AZ18" i="41"/>
  <c r="BG18" i="41"/>
  <c r="BF18" i="41"/>
  <c r="BC18" i="41"/>
  <c r="BB18" i="41"/>
  <c r="AL27" i="41"/>
  <c r="BI53" i="41"/>
  <c r="BA53" i="41"/>
  <c r="BG53" i="41"/>
  <c r="BF53" i="41"/>
  <c r="BE53" i="41"/>
  <c r="BC53" i="41"/>
  <c r="BB53" i="41"/>
  <c r="BH53" i="41"/>
  <c r="BD53" i="41"/>
  <c r="AZ53" i="41"/>
  <c r="BB49" i="41"/>
  <c r="BI49" i="41"/>
  <c r="BA49" i="41"/>
  <c r="BG49" i="41"/>
  <c r="BF49" i="41"/>
  <c r="BE49" i="41"/>
  <c r="BC49" i="41"/>
  <c r="BH49" i="41"/>
  <c r="BD49" i="41"/>
  <c r="AZ49" i="41"/>
  <c r="AR31" i="41"/>
  <c r="BG17" i="41"/>
  <c r="BF17" i="41"/>
  <c r="BC17" i="41"/>
  <c r="BB17" i="41"/>
  <c r="BA17" i="41"/>
  <c r="BI17" i="41"/>
  <c r="BH17" i="41"/>
  <c r="BE17" i="41"/>
  <c r="BD17" i="41"/>
  <c r="AZ17" i="41"/>
  <c r="AS127" i="41"/>
  <c r="BE95" i="41"/>
  <c r="BF63" i="41"/>
  <c r="BE63" i="41"/>
  <c r="BC63" i="41"/>
  <c r="BB63" i="41"/>
  <c r="BI63" i="41"/>
  <c r="BA63" i="41"/>
  <c r="BG63" i="41"/>
  <c r="BH63" i="41"/>
  <c r="BD63" i="41"/>
  <c r="AZ63" i="41"/>
  <c r="AK24" i="41"/>
  <c r="AN146" i="41"/>
  <c r="AU146" i="41"/>
  <c r="AT146" i="41"/>
  <c r="AS146" i="41"/>
  <c r="AR146" i="41"/>
  <c r="AP146" i="41"/>
  <c r="BA146" i="41"/>
  <c r="AO146" i="41"/>
  <c r="AM146" i="41"/>
  <c r="AL146" i="41"/>
  <c r="AM31" i="41"/>
  <c r="AO104" i="41"/>
  <c r="AM104" i="41"/>
  <c r="AL104" i="41"/>
  <c r="AS104" i="41"/>
  <c r="AQ104" i="41"/>
  <c r="AP104" i="41"/>
  <c r="AR64" i="41"/>
  <c r="AK143" i="41"/>
  <c r="AS94" i="41"/>
  <c r="AQ94" i="41"/>
  <c r="AM94" i="41"/>
  <c r="AL94" i="41"/>
  <c r="AP70" i="41"/>
  <c r="AT70" i="41"/>
  <c r="AL70" i="41"/>
  <c r="AS70" i="41"/>
  <c r="AO70" i="41"/>
  <c r="AP38" i="41"/>
  <c r="AU38" i="41"/>
  <c r="AM38" i="41"/>
  <c r="AT38" i="41"/>
  <c r="AL38" i="41"/>
  <c r="AS38" i="41"/>
  <c r="AO38" i="41"/>
  <c r="BD136" i="41"/>
  <c r="BI136" i="41"/>
  <c r="BA136" i="41"/>
  <c r="BH136" i="41"/>
  <c r="BG136" i="41"/>
  <c r="BE136" i="41"/>
  <c r="BC136" i="41"/>
  <c r="BF136" i="41"/>
  <c r="BB136" i="41"/>
  <c r="AZ136" i="41"/>
  <c r="BI102" i="41"/>
  <c r="BA102" i="41"/>
  <c r="BE102" i="41"/>
  <c r="BF102" i="41"/>
  <c r="BD102" i="41"/>
  <c r="BC102" i="41"/>
  <c r="BB102" i="41"/>
  <c r="AZ102" i="41"/>
  <c r="BH102" i="41"/>
  <c r="BG102" i="41"/>
  <c r="AM89" i="41"/>
  <c r="AU89" i="41"/>
  <c r="AR89" i="41"/>
  <c r="AQ89" i="41"/>
  <c r="AO89" i="41"/>
  <c r="AN89" i="41"/>
  <c r="BI124" i="41"/>
  <c r="BA124" i="41"/>
  <c r="BG124" i="41"/>
  <c r="BD124" i="41"/>
  <c r="BH124" i="41"/>
  <c r="BB124" i="41"/>
  <c r="AZ124" i="41"/>
  <c r="BF124" i="41"/>
  <c r="BE124" i="41"/>
  <c r="BC124" i="41"/>
  <c r="BC89" i="41"/>
  <c r="AS85" i="41"/>
  <c r="AP81" i="41"/>
  <c r="AL77" i="41"/>
  <c r="BD28" i="41"/>
  <c r="BC28" i="41"/>
  <c r="BI28" i="41"/>
  <c r="BA28" i="41"/>
  <c r="BH28" i="41"/>
  <c r="AZ28" i="41"/>
  <c r="BE28" i="41"/>
  <c r="BG28" i="41"/>
  <c r="BF28" i="41"/>
  <c r="BB28" i="41"/>
  <c r="AM130" i="41"/>
  <c r="AP130" i="41"/>
  <c r="AL130" i="41"/>
  <c r="AU130" i="41"/>
  <c r="AT130" i="41"/>
  <c r="AQ130" i="41"/>
  <c r="BF71" i="41"/>
  <c r="BE71" i="41"/>
  <c r="BD71" i="41"/>
  <c r="BC71" i="41"/>
  <c r="BB71" i="41"/>
  <c r="BI71" i="41"/>
  <c r="BA71" i="41"/>
  <c r="BH71" i="41"/>
  <c r="AZ71" i="41"/>
  <c r="BG71" i="41"/>
  <c r="BA89" i="41"/>
  <c r="AU128" i="41"/>
  <c r="AQ128" i="41"/>
  <c r="AP128" i="41"/>
  <c r="AM128" i="41"/>
  <c r="AL128" i="41"/>
  <c r="AR118" i="41"/>
  <c r="BG46" i="41"/>
  <c r="BE46" i="41"/>
  <c r="BD46" i="41"/>
  <c r="BC46" i="41"/>
  <c r="BI46" i="41"/>
  <c r="BA46" i="41"/>
  <c r="BH46" i="41"/>
  <c r="AZ46" i="41"/>
  <c r="BF46" i="41"/>
  <c r="BB46" i="41"/>
  <c r="AS140" i="41"/>
  <c r="AQ140" i="41"/>
  <c r="AN140" i="41"/>
  <c r="AL140" i="41"/>
  <c r="AP50" i="41"/>
  <c r="AT50" i="41"/>
  <c r="AL50" i="41"/>
  <c r="AS50" i="41"/>
  <c r="AO50" i="41"/>
  <c r="AP42" i="41"/>
  <c r="AT42" i="41"/>
  <c r="AL42" i="41"/>
  <c r="AS42" i="41"/>
  <c r="AO42" i="41"/>
  <c r="AU31" i="41"/>
  <c r="AQ31" i="41"/>
  <c r="AO108" i="41"/>
  <c r="AM108" i="41"/>
  <c r="AL108" i="41"/>
  <c r="AS108" i="41"/>
  <c r="AQ108" i="41"/>
  <c r="AU68" i="41"/>
  <c r="AM68" i="41"/>
  <c r="AT68" i="41"/>
  <c r="AL68" i="41"/>
  <c r="AP68" i="41"/>
  <c r="AO68" i="41"/>
  <c r="AS68" i="41"/>
  <c r="AT52" i="41"/>
  <c r="AL52" i="41"/>
  <c r="AP52" i="41"/>
  <c r="AS52" i="41"/>
  <c r="AO52" i="41"/>
  <c r="AK148" i="41"/>
  <c r="AM15" i="41"/>
  <c r="AR15" i="41"/>
  <c r="AQ15" i="41"/>
  <c r="AO71" i="41"/>
  <c r="BB69" i="41"/>
  <c r="BI69" i="41"/>
  <c r="BA69" i="41"/>
  <c r="BG69" i="41"/>
  <c r="BF69" i="41"/>
  <c r="BE69" i="41"/>
  <c r="BD69" i="41"/>
  <c r="BC69" i="41"/>
  <c r="BH69" i="41"/>
  <c r="AZ69" i="41"/>
  <c r="AK146" i="41"/>
  <c r="BB21" i="41"/>
  <c r="BG21" i="41"/>
  <c r="BF21" i="41"/>
  <c r="BC21" i="41"/>
  <c r="BD21" i="41"/>
  <c r="BA21" i="41"/>
  <c r="AZ21" i="41"/>
  <c r="BI21" i="41"/>
  <c r="BH21" i="41"/>
  <c r="BE21" i="41"/>
  <c r="AO136" i="41"/>
  <c r="BE101" i="41"/>
  <c r="AM80" i="41"/>
  <c r="AL80" i="41"/>
  <c r="AS80" i="41"/>
  <c r="AQ80" i="41"/>
  <c r="BD31" i="41"/>
  <c r="AS31" i="41"/>
  <c r="BB131" i="41"/>
  <c r="BE91" i="41"/>
  <c r="BA31" i="41"/>
  <c r="BJ8" i="41"/>
  <c r="AV12" i="41"/>
  <c r="AU151" i="41"/>
  <c r="BA151" i="41"/>
  <c r="AK151" i="41"/>
  <c r="BG151" i="41"/>
  <c r="AT151" i="41"/>
  <c r="BB151" i="41"/>
  <c r="AM151" i="41"/>
  <c r="BH151" i="41"/>
  <c r="AN151" i="41"/>
  <c r="AL151" i="41"/>
  <c r="BD151" i="41"/>
  <c r="AR151" i="41"/>
  <c r="BE151" i="41"/>
  <c r="BI151" i="41"/>
  <c r="AO151" i="41"/>
  <c r="BF151" i="41"/>
  <c r="AQ151" i="41"/>
  <c r="AP151" i="41"/>
  <c r="AS151" i="41"/>
  <c r="BC151" i="41"/>
  <c r="AZ151" i="41"/>
  <c r="AV22" i="41"/>
  <c r="AV57" i="41"/>
  <c r="AV49" i="41"/>
  <c r="AV26" i="41"/>
  <c r="AK153" i="41"/>
  <c r="BJ146" i="41"/>
  <c r="AU153" i="41"/>
  <c r="BB153" i="41"/>
  <c r="AM153" i="41"/>
  <c r="BH153" i="41"/>
  <c r="AN153" i="41"/>
  <c r="AL153" i="41"/>
  <c r="BD153" i="41"/>
  <c r="AR153" i="41"/>
  <c r="BE153" i="41"/>
  <c r="BI153" i="41"/>
  <c r="AO153" i="41"/>
  <c r="BF153" i="41"/>
  <c r="AQ153" i="41"/>
  <c r="AP153" i="41"/>
  <c r="AS153" i="41"/>
  <c r="BC153" i="41"/>
  <c r="AZ153" i="41"/>
  <c r="AV69" i="41"/>
  <c r="BA153" i="41"/>
  <c r="BJ25" i="41"/>
  <c r="AV9" i="41"/>
  <c r="BG153" i="41"/>
  <c r="AT153" i="41"/>
  <c r="AV47" i="41"/>
  <c r="AV45" i="41"/>
  <c r="AV25" i="41"/>
  <c r="AV16" i="41"/>
  <c r="AV135" i="41"/>
  <c r="AV17" i="41"/>
  <c r="AV29" i="41"/>
  <c r="AV33" i="41"/>
  <c r="AV28" i="41"/>
  <c r="AV123" i="41"/>
  <c r="AV32" i="41"/>
  <c r="AV18" i="41"/>
  <c r="AV63" i="41"/>
  <c r="AV61" i="41"/>
  <c r="AV41" i="41"/>
  <c r="AV73" i="41"/>
  <c r="BJ119" i="41"/>
  <c r="AV65" i="41"/>
  <c r="AV75" i="41"/>
  <c r="AV37" i="41"/>
  <c r="BJ142" i="41"/>
  <c r="AV147" i="41"/>
  <c r="AV43" i="41"/>
  <c r="AV53" i="41"/>
  <c r="AV21" i="41"/>
  <c r="AV8" i="41"/>
  <c r="AV24" i="41"/>
  <c r="BJ83" i="41"/>
  <c r="AV109" i="41"/>
  <c r="AV115" i="41"/>
  <c r="BJ23" i="41"/>
  <c r="AV136" i="41"/>
  <c r="AV124" i="41"/>
  <c r="AV39" i="41"/>
  <c r="AV51" i="41"/>
  <c r="AV20" i="41"/>
  <c r="AV10" i="41"/>
  <c r="AV105" i="41"/>
  <c r="AV93" i="41"/>
  <c r="AV55" i="41"/>
  <c r="BJ141" i="41"/>
  <c r="AV114" i="41"/>
  <c r="BJ131" i="41"/>
  <c r="BJ138" i="41"/>
  <c r="BJ87" i="41"/>
  <c r="BJ95" i="41"/>
  <c r="BJ107" i="41"/>
  <c r="AV119" i="41"/>
  <c r="AV145" i="41"/>
  <c r="AV84" i="41"/>
  <c r="BJ111" i="41"/>
  <c r="AV35" i="41"/>
  <c r="AV13" i="41"/>
  <c r="AV62" i="41"/>
  <c r="BJ137" i="41"/>
  <c r="AV116" i="41"/>
  <c r="AV59" i="41"/>
  <c r="AV67" i="41"/>
  <c r="BJ79" i="41"/>
  <c r="AV91" i="41"/>
  <c r="BJ117" i="41"/>
  <c r="BJ140" i="41"/>
  <c r="AV139" i="41"/>
  <c r="AV78" i="41"/>
  <c r="BJ60" i="41"/>
  <c r="BJ17" i="41"/>
  <c r="BJ48" i="41"/>
  <c r="AV64" i="41"/>
  <c r="AV71" i="41"/>
  <c r="AV96" i="41"/>
  <c r="BJ19" i="41"/>
  <c r="BJ37" i="41"/>
  <c r="AV127" i="41"/>
  <c r="AV137" i="41"/>
  <c r="BJ56" i="41"/>
  <c r="BJ76" i="41"/>
  <c r="AV85" i="41"/>
  <c r="AV143" i="41"/>
  <c r="AV98" i="41"/>
  <c r="BJ134" i="41"/>
  <c r="AV79" i="41"/>
  <c r="BJ91" i="41"/>
  <c r="AV83" i="41"/>
  <c r="AV99" i="41"/>
  <c r="BJ103" i="41"/>
  <c r="AV107" i="41"/>
  <c r="BJ93" i="41"/>
  <c r="AV14" i="41"/>
  <c r="BJ143" i="41"/>
  <c r="BJ99" i="41"/>
  <c r="AV131" i="41"/>
  <c r="BJ62" i="41"/>
  <c r="AV142" i="41"/>
  <c r="AV31" i="41"/>
  <c r="AV81" i="41"/>
  <c r="BJ21" i="41"/>
  <c r="AV52" i="41"/>
  <c r="AV50" i="41"/>
  <c r="BJ102" i="41"/>
  <c r="BJ136" i="41"/>
  <c r="BJ58" i="41"/>
  <c r="BJ33" i="41"/>
  <c r="BJ11" i="41"/>
  <c r="BJ10" i="41"/>
  <c r="BJ85" i="41"/>
  <c r="BJ135" i="41"/>
  <c r="AV97" i="41"/>
  <c r="AV126" i="41"/>
  <c r="AV76" i="41"/>
  <c r="AV118" i="41"/>
  <c r="BJ86" i="41"/>
  <c r="BJ39" i="41"/>
  <c r="BJ20" i="41"/>
  <c r="BJ128" i="41"/>
  <c r="AV148" i="41"/>
  <c r="AV66" i="41"/>
  <c r="AV103" i="41"/>
  <c r="BJ84" i="41"/>
  <c r="BJ100" i="41"/>
  <c r="BJ89" i="41"/>
  <c r="BJ98" i="41"/>
  <c r="AV44" i="41"/>
  <c r="BJ74" i="41"/>
  <c r="AV134" i="41"/>
  <c r="BJ126" i="41"/>
  <c r="AV23" i="41"/>
  <c r="AV138" i="41"/>
  <c r="BJ90" i="41"/>
  <c r="BJ148" i="41"/>
  <c r="BJ73" i="41"/>
  <c r="BJ51" i="41"/>
  <c r="AV86" i="41"/>
  <c r="BJ29" i="41"/>
  <c r="BJ109" i="41"/>
  <c r="BJ115" i="41"/>
  <c r="BJ106" i="41"/>
  <c r="BJ122" i="41"/>
  <c r="AV70" i="41"/>
  <c r="BJ49" i="41"/>
  <c r="BJ64" i="41"/>
  <c r="AV113" i="41"/>
  <c r="BJ41" i="41"/>
  <c r="BJ94" i="41"/>
  <c r="BJ113" i="41"/>
  <c r="BJ43" i="41"/>
  <c r="AV95" i="41"/>
  <c r="AV144" i="41"/>
  <c r="BJ31" i="41"/>
  <c r="AV58" i="41"/>
  <c r="AV133" i="41"/>
  <c r="AV40" i="41"/>
  <c r="BJ34" i="41"/>
  <c r="BJ42" i="41"/>
  <c r="BJ52" i="41"/>
  <c r="AV89" i="41"/>
  <c r="BJ14" i="41"/>
  <c r="BJ67" i="41"/>
  <c r="BJ147" i="41"/>
  <c r="AV60" i="41"/>
  <c r="BJ15" i="41"/>
  <c r="BJ66" i="41"/>
  <c r="BJ127" i="41"/>
  <c r="BJ88" i="41"/>
  <c r="BJ104" i="41"/>
  <c r="BJ123" i="41"/>
  <c r="AV80" i="41"/>
  <c r="BJ69" i="41"/>
  <c r="AV42" i="41"/>
  <c r="AV77" i="41"/>
  <c r="AV38" i="41"/>
  <c r="BJ105" i="41"/>
  <c r="AV129" i="41"/>
  <c r="BJ72" i="41"/>
  <c r="BJ65" i="41"/>
  <c r="AV92" i="41"/>
  <c r="AV34" i="41"/>
  <c r="AV56" i="41"/>
  <c r="BJ50" i="41"/>
  <c r="BJ101" i="41"/>
  <c r="AV112" i="41"/>
  <c r="AV82" i="41"/>
  <c r="AV15" i="41"/>
  <c r="AV46" i="41"/>
  <c r="BJ16" i="41"/>
  <c r="BJ36" i="41"/>
  <c r="BJ132" i="41"/>
  <c r="AV132" i="41"/>
  <c r="AV120" i="41"/>
  <c r="BJ68" i="41"/>
  <c r="BJ55" i="41"/>
  <c r="BJ54" i="41"/>
  <c r="BJ133" i="41"/>
  <c r="AV141" i="41"/>
  <c r="BJ59" i="41"/>
  <c r="AV106" i="41"/>
  <c r="BJ45" i="41"/>
  <c r="BJ120" i="41"/>
  <c r="AV108" i="41"/>
  <c r="AV140" i="41"/>
  <c r="BJ46" i="41"/>
  <c r="AV130" i="41"/>
  <c r="BJ53" i="41"/>
  <c r="AV27" i="41"/>
  <c r="BJ38" i="41"/>
  <c r="BJ116" i="41"/>
  <c r="AV121" i="41"/>
  <c r="AV101" i="41"/>
  <c r="AV11" i="41"/>
  <c r="BJ47" i="41"/>
  <c r="BJ75" i="41"/>
  <c r="AV102" i="41"/>
  <c r="BJ78" i="41"/>
  <c r="AV72" i="41"/>
  <c r="BJ81" i="41"/>
  <c r="AV74" i="41"/>
  <c r="BJ110" i="41"/>
  <c r="AV36" i="41"/>
  <c r="BJ26" i="41"/>
  <c r="BJ77" i="41"/>
  <c r="BJ92" i="41"/>
  <c r="BJ108" i="41"/>
  <c r="BJ114" i="41"/>
  <c r="AV68" i="41"/>
  <c r="BJ28" i="41"/>
  <c r="BJ124" i="41"/>
  <c r="AV94" i="41"/>
  <c r="AV104" i="41"/>
  <c r="AV146" i="41"/>
  <c r="BJ129" i="41"/>
  <c r="BJ27" i="41"/>
  <c r="AV54" i="41"/>
  <c r="BJ121" i="41"/>
  <c r="BJ44" i="41"/>
  <c r="AV30" i="41"/>
  <c r="AV19" i="41"/>
  <c r="BJ57" i="41"/>
  <c r="BJ70" i="41"/>
  <c r="AV111" i="41"/>
  <c r="BJ12" i="41"/>
  <c r="BK12" i="41"/>
  <c r="BJ22" i="41"/>
  <c r="BJ125" i="41"/>
  <c r="AV110" i="41"/>
  <c r="BJ9" i="41"/>
  <c r="AV100" i="41"/>
  <c r="BJ118" i="41"/>
  <c r="BJ130" i="41"/>
  <c r="BJ13" i="41"/>
  <c r="BJ24" i="41"/>
  <c r="BJ40" i="41"/>
  <c r="AV128" i="41"/>
  <c r="BJ71" i="41"/>
  <c r="BJ63" i="41"/>
  <c r="BJ18" i="41"/>
  <c r="BJ30" i="41"/>
  <c r="AV88" i="41"/>
  <c r="AV122" i="41"/>
  <c r="BJ32" i="41"/>
  <c r="AV125" i="41"/>
  <c r="AV117" i="41"/>
  <c r="BJ82" i="41"/>
  <c r="BJ145" i="41"/>
  <c r="BJ139" i="41"/>
  <c r="BJ61" i="41"/>
  <c r="AV48" i="41"/>
  <c r="BJ97" i="41"/>
  <c r="BJ35" i="41"/>
  <c r="BJ144" i="41"/>
  <c r="AV90" i="41"/>
  <c r="AV87" i="41"/>
  <c r="BJ80" i="41"/>
  <c r="BJ96" i="41"/>
  <c r="BJ112" i="41"/>
  <c r="BK8" i="41"/>
  <c r="BN8" i="41"/>
  <c r="BK22" i="41"/>
  <c r="BK24" i="41"/>
  <c r="BK146" i="41"/>
  <c r="BK57" i="41"/>
  <c r="BK135" i="41"/>
  <c r="BK87" i="41"/>
  <c r="BK18" i="41"/>
  <c r="BK9" i="41"/>
  <c r="BK26" i="41"/>
  <c r="BK145" i="41"/>
  <c r="AV151" i="41"/>
  <c r="BJ151" i="41"/>
  <c r="BK61" i="41"/>
  <c r="BK69" i="41"/>
  <c r="BK49" i="41"/>
  <c r="BK25" i="41"/>
  <c r="BK45" i="41"/>
  <c r="BK53" i="41"/>
  <c r="BK103" i="41"/>
  <c r="BK47" i="41"/>
  <c r="BK16" i="41"/>
  <c r="BK65" i="41"/>
  <c r="BJ153" i="41"/>
  <c r="BK29" i="41"/>
  <c r="BK17" i="41"/>
  <c r="AV153" i="41"/>
  <c r="BK35" i="41"/>
  <c r="BK105" i="41"/>
  <c r="BK63" i="41"/>
  <c r="BK32" i="41"/>
  <c r="BK123" i="41"/>
  <c r="BK51" i="41"/>
  <c r="BK55" i="41"/>
  <c r="BK33" i="41"/>
  <c r="BK28" i="41"/>
  <c r="BK134" i="41"/>
  <c r="BK41" i="41"/>
  <c r="BK130" i="41"/>
  <c r="BK20" i="41"/>
  <c r="BK73" i="41"/>
  <c r="BK115" i="41"/>
  <c r="BK85" i="41"/>
  <c r="BK107" i="41"/>
  <c r="BK124" i="41"/>
  <c r="BK13" i="41"/>
  <c r="BK147" i="41"/>
  <c r="BK139" i="41"/>
  <c r="BK75" i="41"/>
  <c r="BK97" i="41"/>
  <c r="BK40" i="41"/>
  <c r="BK93" i="41"/>
  <c r="BK37" i="41"/>
  <c r="BK114" i="41"/>
  <c r="BK144" i="41"/>
  <c r="BK10" i="41"/>
  <c r="BK21" i="41"/>
  <c r="BK119" i="41"/>
  <c r="BK39" i="41"/>
  <c r="BK59" i="41"/>
  <c r="BK14" i="41"/>
  <c r="BK43" i="41"/>
  <c r="BK118" i="41"/>
  <c r="BK82" i="41"/>
  <c r="BK109" i="41"/>
  <c r="BK76" i="41"/>
  <c r="BK116" i="41"/>
  <c r="BK95" i="41"/>
  <c r="BK136" i="41"/>
  <c r="BK142" i="41"/>
  <c r="BK83" i="41"/>
  <c r="BK131" i="41"/>
  <c r="BK23" i="41"/>
  <c r="BK137" i="41"/>
  <c r="BK99" i="41"/>
  <c r="BK112" i="41"/>
  <c r="BK141" i="41"/>
  <c r="BK127" i="41"/>
  <c r="BK84" i="41"/>
  <c r="BK60" i="41"/>
  <c r="BK80" i="41"/>
  <c r="BK138" i="41"/>
  <c r="BK117" i="41"/>
  <c r="BK111" i="41"/>
  <c r="BK129" i="41"/>
  <c r="BK140" i="41"/>
  <c r="BK148" i="41"/>
  <c r="BK79" i="41"/>
  <c r="BK121" i="41"/>
  <c r="BK96" i="41"/>
  <c r="BK81" i="41"/>
  <c r="BK78" i="41"/>
  <c r="BK98" i="41"/>
  <c r="BK62" i="41"/>
  <c r="BK48" i="41"/>
  <c r="BK19" i="41"/>
  <c r="BK56" i="41"/>
  <c r="BK67" i="41"/>
  <c r="BK52" i="41"/>
  <c r="BK30" i="41"/>
  <c r="BK71" i="41"/>
  <c r="BK64" i="41"/>
  <c r="BK70" i="41"/>
  <c r="BK15" i="41"/>
  <c r="BK46" i="41"/>
  <c r="BK106" i="41"/>
  <c r="BK110" i="41"/>
  <c r="BK77" i="41"/>
  <c r="BK133" i="41"/>
  <c r="BK132" i="41"/>
  <c r="BK50" i="41"/>
  <c r="BK113" i="41"/>
  <c r="BK91" i="41"/>
  <c r="BK120" i="41"/>
  <c r="BK36" i="41"/>
  <c r="BK143" i="41"/>
  <c r="BK27" i="41"/>
  <c r="BK88" i="41"/>
  <c r="BK108" i="41"/>
  <c r="BK38" i="41"/>
  <c r="BK68" i="41"/>
  <c r="BK90" i="41"/>
  <c r="BK86" i="41"/>
  <c r="BK44" i="41"/>
  <c r="BK92" i="41"/>
  <c r="BK72" i="41"/>
  <c r="BK66" i="41"/>
  <c r="BK42" i="41"/>
  <c r="BK34" i="41"/>
  <c r="BK128" i="41"/>
  <c r="BK101" i="41"/>
  <c r="BK122" i="41"/>
  <c r="BK126" i="41"/>
  <c r="BK100" i="41"/>
  <c r="BK58" i="41"/>
  <c r="BK125" i="41"/>
  <c r="BK31" i="41"/>
  <c r="BK11" i="41"/>
  <c r="BK102" i="41"/>
  <c r="BK54" i="41"/>
  <c r="BK74" i="41"/>
  <c r="BK89" i="41"/>
  <c r="BK104" i="41"/>
  <c r="BK94" i="41"/>
  <c r="B518" i="73"/>
  <c r="E518" i="73"/>
  <c r="C518" i="73"/>
  <c r="D518" i="73"/>
  <c r="B519" i="73"/>
  <c r="E519" i="73"/>
  <c r="C519" i="73"/>
  <c r="D519" i="73"/>
  <c r="B520" i="73"/>
  <c r="E520" i="73"/>
  <c r="C520" i="73"/>
  <c r="D520" i="73"/>
  <c r="B521" i="73"/>
  <c r="C521" i="73"/>
  <c r="D521" i="73"/>
  <c r="E521" i="73"/>
  <c r="B522" i="73"/>
  <c r="E522" i="73"/>
  <c r="C522" i="73"/>
  <c r="D522" i="73"/>
  <c r="B5" i="73"/>
  <c r="C5" i="73"/>
  <c r="D5" i="73"/>
  <c r="E5" i="73"/>
  <c r="B6" i="73"/>
  <c r="E6" i="73"/>
  <c r="C6" i="73"/>
  <c r="D6" i="73"/>
  <c r="B254" i="73"/>
  <c r="E254" i="73"/>
  <c r="C254" i="73"/>
  <c r="D254" i="73"/>
  <c r="B255" i="73"/>
  <c r="E255" i="73"/>
  <c r="C255" i="73"/>
  <c r="D255" i="73"/>
  <c r="B256" i="73"/>
  <c r="E256" i="73"/>
  <c r="C256" i="73"/>
  <c r="D256" i="73"/>
  <c r="B523" i="73"/>
  <c r="E523" i="73"/>
  <c r="C523" i="73"/>
  <c r="D523" i="73"/>
  <c r="B524" i="73"/>
  <c r="E524" i="73"/>
  <c r="C524" i="73"/>
  <c r="D524" i="73"/>
  <c r="B525" i="73"/>
  <c r="E525" i="73"/>
  <c r="C525" i="73"/>
  <c r="D525" i="73"/>
  <c r="B526" i="73"/>
  <c r="E526" i="73"/>
  <c r="C526" i="73"/>
  <c r="D526" i="73"/>
  <c r="B527" i="73"/>
  <c r="E527" i="73"/>
  <c r="C527" i="73"/>
  <c r="D527" i="73"/>
  <c r="B528" i="73"/>
  <c r="E528" i="73"/>
  <c r="C528" i="73"/>
  <c r="D528" i="73"/>
  <c r="B529" i="73"/>
  <c r="E529" i="73"/>
  <c r="C529" i="73"/>
  <c r="D529" i="73"/>
  <c r="B530" i="73"/>
  <c r="C530" i="73"/>
  <c r="D530" i="73"/>
  <c r="E530" i="73"/>
  <c r="B531" i="73"/>
  <c r="E531" i="73"/>
  <c r="C531" i="73"/>
  <c r="D531" i="73"/>
  <c r="B532" i="73"/>
  <c r="C532" i="73"/>
  <c r="D532" i="73"/>
  <c r="E532" i="73"/>
  <c r="B257" i="73"/>
  <c r="E257" i="73"/>
  <c r="C257" i="73"/>
  <c r="D257" i="73"/>
  <c r="B258" i="73"/>
  <c r="E258" i="73"/>
  <c r="C258" i="73"/>
  <c r="D258" i="73"/>
  <c r="B259" i="73"/>
  <c r="E259" i="73"/>
  <c r="C259" i="73"/>
  <c r="D259" i="73"/>
  <c r="B260" i="73"/>
  <c r="C260" i="73"/>
  <c r="D260" i="73"/>
  <c r="E260" i="73"/>
  <c r="B261" i="73"/>
  <c r="E261" i="73"/>
  <c r="C261" i="73"/>
  <c r="D261" i="73"/>
  <c r="B7" i="73"/>
  <c r="C7" i="73"/>
  <c r="D7" i="73"/>
  <c r="E7" i="73"/>
  <c r="B262" i="73"/>
  <c r="E262" i="73"/>
  <c r="C262" i="73"/>
  <c r="D262" i="73"/>
  <c r="B147" i="73"/>
  <c r="C147" i="73"/>
  <c r="D147" i="73"/>
  <c r="E147" i="73"/>
  <c r="B8" i="73"/>
  <c r="E8" i="73"/>
  <c r="C8" i="73"/>
  <c r="D8" i="73"/>
  <c r="B148" i="73"/>
  <c r="E148" i="73"/>
  <c r="C148" i="73"/>
  <c r="D148" i="73"/>
  <c r="B263" i="73"/>
  <c r="E263" i="73"/>
  <c r="C263" i="73"/>
  <c r="D263" i="73"/>
  <c r="B264" i="73"/>
  <c r="E264" i="73"/>
  <c r="C264" i="73"/>
  <c r="D264" i="73"/>
  <c r="B149" i="73"/>
  <c r="E149" i="73"/>
  <c r="C149" i="73"/>
  <c r="D149" i="73"/>
  <c r="B265" i="73"/>
  <c r="E265" i="73"/>
  <c r="C265" i="73"/>
  <c r="D265" i="73"/>
  <c r="B266" i="73"/>
  <c r="E266" i="73"/>
  <c r="C266" i="73"/>
  <c r="D266" i="73"/>
  <c r="B267" i="73"/>
  <c r="C267" i="73"/>
  <c r="D267" i="73"/>
  <c r="E267" i="73"/>
  <c r="B150" i="73"/>
  <c r="E150" i="73"/>
  <c r="C150" i="73"/>
  <c r="D150" i="73"/>
  <c r="B268" i="73"/>
  <c r="E268" i="73"/>
  <c r="C268" i="73"/>
  <c r="D268" i="73"/>
  <c r="B113" i="73"/>
  <c r="E113" i="73"/>
  <c r="C113" i="73"/>
  <c r="D113" i="73"/>
  <c r="B151" i="73"/>
  <c r="C151" i="73"/>
  <c r="D151" i="73"/>
  <c r="E151" i="73"/>
  <c r="B269" i="73"/>
  <c r="E269" i="73"/>
  <c r="C269" i="73"/>
  <c r="D269" i="73"/>
  <c r="B152" i="73"/>
  <c r="C152" i="73"/>
  <c r="D152" i="73"/>
  <c r="E152" i="73"/>
  <c r="B270" i="73"/>
  <c r="E270" i="73"/>
  <c r="C270" i="73"/>
  <c r="D270" i="73"/>
  <c r="B9" i="73"/>
  <c r="E9" i="73"/>
  <c r="C9" i="73"/>
  <c r="D9" i="73"/>
  <c r="B153" i="73"/>
  <c r="E153" i="73"/>
  <c r="C153" i="73"/>
  <c r="D153" i="73"/>
  <c r="B10" i="73"/>
  <c r="E10" i="73"/>
  <c r="C10" i="73"/>
  <c r="D10" i="73"/>
  <c r="B271" i="73"/>
  <c r="E271" i="73"/>
  <c r="C271" i="73"/>
  <c r="D271" i="73"/>
  <c r="B154" i="73"/>
  <c r="E154" i="73"/>
  <c r="C154" i="73"/>
  <c r="D154" i="73"/>
  <c r="B155" i="73"/>
  <c r="E155" i="73"/>
  <c r="C155" i="73"/>
  <c r="D155" i="73"/>
  <c r="B156" i="73"/>
  <c r="E156" i="73"/>
  <c r="C156" i="73"/>
  <c r="D156" i="73"/>
  <c r="B157" i="73"/>
  <c r="E157" i="73"/>
  <c r="C157" i="73"/>
  <c r="D157" i="73"/>
  <c r="B272" i="73"/>
  <c r="C272" i="73"/>
  <c r="D272" i="73"/>
  <c r="E272" i="73"/>
  <c r="B273" i="73"/>
  <c r="E273" i="73"/>
  <c r="C273" i="73"/>
  <c r="D273" i="73"/>
  <c r="B114" i="73"/>
  <c r="E114" i="73"/>
  <c r="C114" i="73"/>
  <c r="D114" i="73"/>
  <c r="B274" i="73"/>
  <c r="E274" i="73"/>
  <c r="C274" i="73"/>
  <c r="D274" i="73"/>
  <c r="B275" i="73"/>
  <c r="C275" i="73"/>
  <c r="D275" i="73"/>
  <c r="E275" i="73"/>
  <c r="B276" i="73"/>
  <c r="E276" i="73"/>
  <c r="C276" i="73"/>
  <c r="D276" i="73"/>
  <c r="B11" i="73"/>
  <c r="C11" i="73"/>
  <c r="D11" i="73"/>
  <c r="E11" i="73"/>
  <c r="B12" i="73"/>
  <c r="E12" i="73"/>
  <c r="C12" i="73"/>
  <c r="D12" i="73"/>
  <c r="B277" i="73"/>
  <c r="E277" i="73"/>
  <c r="C277" i="73"/>
  <c r="D277" i="73"/>
  <c r="B158" i="73"/>
  <c r="E158" i="73"/>
  <c r="C158" i="73"/>
  <c r="D158" i="73"/>
  <c r="B278" i="73"/>
  <c r="E278" i="73"/>
  <c r="C278" i="73"/>
  <c r="D278" i="73"/>
  <c r="B159" i="73"/>
  <c r="E159" i="73"/>
  <c r="C159" i="73"/>
  <c r="D159" i="73"/>
  <c r="B160" i="73"/>
  <c r="E160" i="73"/>
  <c r="C160" i="73"/>
  <c r="D160" i="73"/>
  <c r="B13" i="73"/>
  <c r="E13" i="73"/>
  <c r="C13" i="73"/>
  <c r="D13" i="73"/>
  <c r="B279" i="73"/>
  <c r="C279" i="73"/>
  <c r="D279" i="73"/>
  <c r="E279" i="73"/>
  <c r="B280" i="73"/>
  <c r="E280" i="73"/>
  <c r="C280" i="73"/>
  <c r="D280" i="73"/>
  <c r="B533" i="73"/>
  <c r="C533" i="73"/>
  <c r="D533" i="73"/>
  <c r="E533" i="73"/>
  <c r="B534" i="73"/>
  <c r="E534" i="73"/>
  <c r="C534" i="73"/>
  <c r="D534" i="73"/>
  <c r="B14" i="73"/>
  <c r="E14" i="73"/>
  <c r="C14" i="73"/>
  <c r="D14" i="73"/>
  <c r="B15" i="73"/>
  <c r="E15" i="73"/>
  <c r="C15" i="73"/>
  <c r="D15" i="73"/>
  <c r="B535" i="73"/>
  <c r="C535" i="73"/>
  <c r="D535" i="73"/>
  <c r="E535" i="73"/>
  <c r="B536" i="73"/>
  <c r="E536" i="73"/>
  <c r="C536" i="73"/>
  <c r="D536" i="73"/>
  <c r="B537" i="73"/>
  <c r="C537" i="73"/>
  <c r="D537" i="73"/>
  <c r="E537" i="73"/>
  <c r="B538" i="73"/>
  <c r="E538" i="73"/>
  <c r="C538" i="73"/>
  <c r="D538" i="73"/>
  <c r="B16" i="73"/>
  <c r="E16" i="73"/>
  <c r="C16" i="73"/>
  <c r="D16" i="73"/>
  <c r="B17" i="73"/>
  <c r="E17" i="73"/>
  <c r="C17" i="73"/>
  <c r="D17" i="73"/>
  <c r="B281" i="73"/>
  <c r="E281" i="73"/>
  <c r="C281" i="73"/>
  <c r="D281" i="73"/>
  <c r="B539" i="73"/>
  <c r="E539" i="73"/>
  <c r="C539" i="73"/>
  <c r="D539" i="73"/>
  <c r="B540" i="73"/>
  <c r="E540" i="73"/>
  <c r="C540" i="73"/>
  <c r="D540" i="73"/>
  <c r="B541" i="73"/>
  <c r="E541" i="73"/>
  <c r="C541" i="73"/>
  <c r="D541" i="73"/>
  <c r="B542" i="73"/>
  <c r="C542" i="73"/>
  <c r="D542" i="73"/>
  <c r="E542" i="73"/>
  <c r="B282" i="73"/>
  <c r="E282" i="73"/>
  <c r="C282" i="73"/>
  <c r="D282" i="73"/>
  <c r="B18" i="73"/>
  <c r="C18" i="73"/>
  <c r="D18" i="73"/>
  <c r="E18" i="73"/>
  <c r="B19" i="73"/>
  <c r="E19" i="73"/>
  <c r="C19" i="73"/>
  <c r="D19" i="73"/>
  <c r="B161" i="73"/>
  <c r="E161" i="73"/>
  <c r="C161" i="73"/>
  <c r="D161" i="73"/>
  <c r="B162" i="73"/>
  <c r="E162" i="73"/>
  <c r="C162" i="73"/>
  <c r="D162" i="73"/>
  <c r="B283" i="73"/>
  <c r="C283" i="73"/>
  <c r="D283" i="73"/>
  <c r="E283" i="73"/>
  <c r="B284" i="73"/>
  <c r="E284" i="73"/>
  <c r="C284" i="73"/>
  <c r="D284" i="73"/>
  <c r="B20" i="73"/>
  <c r="C20" i="73"/>
  <c r="D20" i="73"/>
  <c r="E20" i="73"/>
  <c r="B21" i="73"/>
  <c r="E21" i="73"/>
  <c r="C21" i="73"/>
  <c r="D21" i="73"/>
  <c r="B543" i="73"/>
  <c r="E543" i="73"/>
  <c r="C543" i="73"/>
  <c r="D543" i="73"/>
  <c r="B115" i="73"/>
  <c r="E115" i="73"/>
  <c r="C115" i="73"/>
  <c r="D115" i="73"/>
  <c r="B22" i="73"/>
  <c r="E22" i="73"/>
  <c r="C22" i="73"/>
  <c r="D22" i="73"/>
  <c r="B23" i="73"/>
  <c r="E23" i="73"/>
  <c r="C23" i="73"/>
  <c r="D23" i="73"/>
  <c r="B24" i="73"/>
  <c r="E24" i="73"/>
  <c r="C24" i="73"/>
  <c r="D24" i="73"/>
  <c r="B25" i="73"/>
  <c r="E25" i="73"/>
  <c r="C25" i="73"/>
  <c r="D25" i="73"/>
  <c r="B285" i="73"/>
  <c r="C285" i="73"/>
  <c r="D285" i="73"/>
  <c r="E285" i="73"/>
  <c r="B286" i="73"/>
  <c r="E286" i="73"/>
  <c r="C286" i="73"/>
  <c r="D286" i="73"/>
  <c r="B287" i="73"/>
  <c r="C287" i="73"/>
  <c r="D287" i="73"/>
  <c r="E287" i="73"/>
  <c r="B288" i="73"/>
  <c r="E288" i="73"/>
  <c r="C288" i="73"/>
  <c r="D288" i="73"/>
  <c r="B289" i="73"/>
  <c r="E289" i="73"/>
  <c r="C289" i="73"/>
  <c r="D289" i="73"/>
  <c r="B290" i="73"/>
  <c r="E290" i="73"/>
  <c r="C290" i="73"/>
  <c r="D290" i="73"/>
  <c r="B26" i="73"/>
  <c r="C26" i="73"/>
  <c r="D26" i="73"/>
  <c r="E26" i="73"/>
  <c r="B27" i="73"/>
  <c r="E27" i="73"/>
  <c r="C27" i="73"/>
  <c r="D27" i="73"/>
  <c r="B28" i="73"/>
  <c r="C28" i="73"/>
  <c r="D28" i="73"/>
  <c r="E28" i="73"/>
  <c r="B291" i="73"/>
  <c r="E291" i="73"/>
  <c r="C291" i="73"/>
  <c r="D291" i="73"/>
  <c r="B292" i="73"/>
  <c r="E292" i="73"/>
  <c r="C292" i="73"/>
  <c r="D292" i="73"/>
  <c r="B293" i="73"/>
  <c r="E293" i="73"/>
  <c r="C293" i="73"/>
  <c r="D293" i="73"/>
  <c r="B544" i="73"/>
  <c r="E544" i="73"/>
  <c r="C544" i="73"/>
  <c r="D544" i="73"/>
  <c r="B545" i="73"/>
  <c r="E545" i="73"/>
  <c r="C545" i="73"/>
  <c r="D545" i="73"/>
  <c r="B29" i="73"/>
  <c r="E29" i="73"/>
  <c r="C29" i="73"/>
  <c r="D29" i="73"/>
  <c r="B294" i="73"/>
  <c r="E294" i="73"/>
  <c r="C294" i="73"/>
  <c r="D294" i="73"/>
  <c r="B295" i="73"/>
  <c r="C295" i="73"/>
  <c r="D295" i="73"/>
  <c r="E295" i="73"/>
  <c r="B296" i="73"/>
  <c r="E296" i="73"/>
  <c r="C296" i="73"/>
  <c r="D296" i="73"/>
  <c r="B297" i="73"/>
  <c r="C297" i="73"/>
  <c r="D297" i="73"/>
  <c r="E297" i="73"/>
  <c r="B546" i="73"/>
  <c r="E546" i="73"/>
  <c r="C546" i="73"/>
  <c r="D546" i="73"/>
  <c r="B547" i="73"/>
  <c r="E547" i="73"/>
  <c r="C547" i="73"/>
  <c r="D547" i="73"/>
  <c r="B548" i="73"/>
  <c r="E548" i="73"/>
  <c r="C548" i="73"/>
  <c r="D548" i="73"/>
  <c r="B298" i="73"/>
  <c r="C298" i="73"/>
  <c r="D298" i="73"/>
  <c r="E298" i="73"/>
  <c r="B299" i="73"/>
  <c r="E299" i="73"/>
  <c r="C299" i="73"/>
  <c r="D299" i="73"/>
  <c r="B300" i="73"/>
  <c r="C300" i="73"/>
  <c r="D300" i="73"/>
  <c r="E300" i="73"/>
  <c r="B549" i="73"/>
  <c r="E549" i="73"/>
  <c r="C549" i="73"/>
  <c r="D549" i="73"/>
  <c r="B301" i="73"/>
  <c r="E301" i="73"/>
  <c r="C301" i="73"/>
  <c r="D301" i="73"/>
  <c r="B302" i="73"/>
  <c r="E302" i="73"/>
  <c r="C302" i="73"/>
  <c r="D302" i="73"/>
  <c r="B303" i="73"/>
  <c r="E303" i="73"/>
  <c r="C303" i="73"/>
  <c r="D303" i="73"/>
  <c r="B304" i="73"/>
  <c r="E304" i="73"/>
  <c r="C304" i="73"/>
  <c r="D304" i="73"/>
  <c r="B305" i="73"/>
  <c r="E305" i="73"/>
  <c r="C305" i="73"/>
  <c r="D305" i="73"/>
  <c r="B306" i="73"/>
  <c r="E306" i="73"/>
  <c r="C306" i="73"/>
  <c r="D306" i="73"/>
  <c r="B307" i="73"/>
  <c r="C307" i="73"/>
  <c r="D307" i="73"/>
  <c r="E307" i="73"/>
  <c r="B550" i="73"/>
  <c r="E550" i="73"/>
  <c r="C550" i="73"/>
  <c r="D550" i="73"/>
  <c r="B30" i="73"/>
  <c r="C30" i="73"/>
  <c r="D30" i="73"/>
  <c r="E30" i="73"/>
  <c r="B31" i="73"/>
  <c r="E31" i="73"/>
  <c r="C31" i="73"/>
  <c r="D31" i="73"/>
  <c r="B551" i="73"/>
  <c r="E551" i="73"/>
  <c r="C551" i="73"/>
  <c r="D551" i="73"/>
  <c r="B552" i="73"/>
  <c r="E552" i="73"/>
  <c r="C552" i="73"/>
  <c r="D552" i="73"/>
  <c r="B553" i="73"/>
  <c r="C553" i="73"/>
  <c r="D553" i="73"/>
  <c r="E553" i="73"/>
  <c r="B554" i="73"/>
  <c r="E554" i="73"/>
  <c r="C554" i="73"/>
  <c r="D554" i="73"/>
  <c r="B555" i="73"/>
  <c r="C555" i="73"/>
  <c r="D555" i="73"/>
  <c r="E555" i="73"/>
  <c r="B556" i="73"/>
  <c r="E556" i="73"/>
  <c r="C556" i="73"/>
  <c r="D556" i="73"/>
  <c r="B308" i="73"/>
  <c r="E308" i="73"/>
  <c r="C308" i="73"/>
  <c r="D308" i="73"/>
  <c r="B309" i="73"/>
  <c r="E309" i="73"/>
  <c r="C309" i="73"/>
  <c r="D309" i="73"/>
  <c r="B557" i="73"/>
  <c r="E557" i="73"/>
  <c r="C557" i="73"/>
  <c r="D557" i="73"/>
  <c r="B32" i="73"/>
  <c r="E32" i="73"/>
  <c r="C32" i="73"/>
  <c r="D32" i="73"/>
  <c r="B33" i="73"/>
  <c r="E33" i="73"/>
  <c r="C33" i="73"/>
  <c r="D33" i="73"/>
  <c r="B558" i="73"/>
  <c r="E558" i="73"/>
  <c r="C558" i="73"/>
  <c r="D558" i="73"/>
  <c r="B559" i="73"/>
  <c r="C559" i="73"/>
  <c r="D559" i="73"/>
  <c r="E559" i="73"/>
  <c r="B560" i="73"/>
  <c r="E560" i="73"/>
  <c r="C560" i="73"/>
  <c r="D560" i="73"/>
  <c r="B561" i="73"/>
  <c r="C561" i="73"/>
  <c r="D561" i="73"/>
  <c r="E561" i="73"/>
  <c r="B562" i="73"/>
  <c r="E562" i="73"/>
  <c r="C562" i="73"/>
  <c r="D562" i="73"/>
  <c r="B563" i="73"/>
  <c r="E563" i="73"/>
  <c r="C563" i="73"/>
  <c r="D563" i="73"/>
  <c r="B564" i="73"/>
  <c r="E564" i="73"/>
  <c r="C564" i="73"/>
  <c r="D564" i="73"/>
  <c r="B565" i="73"/>
  <c r="C565" i="73"/>
  <c r="D565" i="73"/>
  <c r="E565" i="73"/>
  <c r="B566" i="73"/>
  <c r="E566" i="73"/>
  <c r="C566" i="73"/>
  <c r="D566" i="73"/>
  <c r="B567" i="73"/>
  <c r="C567" i="73"/>
  <c r="D567" i="73"/>
  <c r="E567" i="73"/>
  <c r="B568" i="73"/>
  <c r="E568" i="73"/>
  <c r="C568" i="73"/>
  <c r="D568" i="73"/>
  <c r="B569" i="73"/>
  <c r="E569" i="73"/>
  <c r="C569" i="73"/>
  <c r="D569" i="73"/>
  <c r="B34" i="73"/>
  <c r="E34" i="73"/>
  <c r="C34" i="73"/>
  <c r="D34" i="73"/>
  <c r="B570" i="73"/>
  <c r="E570" i="73"/>
  <c r="C570" i="73"/>
  <c r="D570" i="73"/>
  <c r="B35" i="73"/>
  <c r="E35" i="73"/>
  <c r="C35" i="73"/>
  <c r="D35" i="73"/>
  <c r="B36" i="73"/>
  <c r="E36" i="73"/>
  <c r="C36" i="73"/>
  <c r="D36" i="73"/>
  <c r="B37" i="73"/>
  <c r="E37" i="73"/>
  <c r="C37" i="73"/>
  <c r="D37" i="73"/>
  <c r="B38" i="73"/>
  <c r="C38" i="73"/>
  <c r="D38" i="73"/>
  <c r="E38" i="73"/>
  <c r="B39" i="73"/>
  <c r="E39" i="73"/>
  <c r="C39" i="73"/>
  <c r="D39" i="73"/>
  <c r="B40" i="73"/>
  <c r="C40" i="73"/>
  <c r="D40" i="73"/>
  <c r="E40" i="73"/>
  <c r="B41" i="73"/>
  <c r="E41" i="73"/>
  <c r="C41" i="73"/>
  <c r="D41" i="73"/>
  <c r="B42" i="73"/>
  <c r="E42" i="73"/>
  <c r="C42" i="73"/>
  <c r="D42" i="73"/>
  <c r="B43" i="73"/>
  <c r="E43" i="73"/>
  <c r="C43" i="73"/>
  <c r="D43" i="73"/>
  <c r="B163" i="73"/>
  <c r="C163" i="73"/>
  <c r="D163" i="73"/>
  <c r="E163" i="73"/>
  <c r="B164" i="73"/>
  <c r="E164" i="73"/>
  <c r="C164" i="73"/>
  <c r="D164" i="73"/>
  <c r="B571" i="73"/>
  <c r="C571" i="73"/>
  <c r="D571" i="73"/>
  <c r="E571" i="73"/>
  <c r="B572" i="73"/>
  <c r="C572" i="73"/>
  <c r="D572" i="73"/>
  <c r="E572" i="73"/>
  <c r="B573" i="73"/>
  <c r="C573" i="73"/>
  <c r="D573" i="73"/>
  <c r="E573" i="73"/>
  <c r="B574" i="73"/>
  <c r="C574" i="73"/>
  <c r="D574" i="73"/>
  <c r="E574" i="73"/>
  <c r="B165" i="73"/>
  <c r="C165" i="73"/>
  <c r="D165" i="73"/>
  <c r="E165" i="73"/>
  <c r="B310" i="73"/>
  <c r="C310" i="73"/>
  <c r="D310" i="73"/>
  <c r="E310" i="73"/>
  <c r="B575" i="73"/>
  <c r="C575" i="73"/>
  <c r="D575" i="73"/>
  <c r="E575" i="73"/>
  <c r="B576" i="73"/>
  <c r="C576" i="73"/>
  <c r="D576" i="73"/>
  <c r="E576" i="73"/>
  <c r="B44" i="73"/>
  <c r="C44" i="73"/>
  <c r="D44" i="73"/>
  <c r="E44" i="73"/>
  <c r="B311" i="73"/>
  <c r="C311" i="73"/>
  <c r="D311" i="73"/>
  <c r="E311" i="73"/>
  <c r="B577" i="73"/>
  <c r="C577" i="73"/>
  <c r="D577" i="73"/>
  <c r="E577" i="73"/>
  <c r="B578" i="73"/>
  <c r="C578" i="73"/>
  <c r="D578" i="73"/>
  <c r="E578" i="73"/>
  <c r="B312" i="73"/>
  <c r="C312" i="73"/>
  <c r="D312" i="73"/>
  <c r="E312" i="73"/>
  <c r="B313" i="73"/>
  <c r="C313" i="73"/>
  <c r="D313" i="73"/>
  <c r="E313" i="73"/>
  <c r="B314" i="73"/>
  <c r="C314" i="73"/>
  <c r="D314" i="73"/>
  <c r="E314" i="73"/>
  <c r="B315" i="73"/>
  <c r="C315" i="73"/>
  <c r="D315" i="73"/>
  <c r="E315" i="73"/>
  <c r="B316" i="73"/>
  <c r="C316" i="73"/>
  <c r="D316" i="73"/>
  <c r="E316" i="73"/>
  <c r="B317" i="73"/>
  <c r="C317" i="73"/>
  <c r="D317" i="73"/>
  <c r="E317" i="73"/>
  <c r="B318" i="73"/>
  <c r="C318" i="73"/>
  <c r="D318" i="73"/>
  <c r="E318" i="73"/>
  <c r="B319" i="73"/>
  <c r="C319" i="73"/>
  <c r="D319" i="73"/>
  <c r="E319" i="73"/>
  <c r="B320" i="73"/>
  <c r="C320" i="73"/>
  <c r="D320" i="73"/>
  <c r="E320" i="73"/>
  <c r="B321" i="73"/>
  <c r="C321" i="73"/>
  <c r="D321" i="73"/>
  <c r="E321" i="73"/>
  <c r="B322" i="73"/>
  <c r="C322" i="73"/>
  <c r="D322" i="73"/>
  <c r="E322" i="73"/>
  <c r="B323" i="73"/>
  <c r="C323" i="73"/>
  <c r="D323" i="73"/>
  <c r="E323" i="73"/>
  <c r="B324" i="73"/>
  <c r="C324" i="73"/>
  <c r="D324" i="73"/>
  <c r="E324" i="73"/>
  <c r="B116" i="73"/>
  <c r="C116" i="73"/>
  <c r="D116" i="73"/>
  <c r="E116" i="73"/>
  <c r="B117" i="73"/>
  <c r="C117" i="73"/>
  <c r="D117" i="73"/>
  <c r="E117" i="73"/>
  <c r="B118" i="73"/>
  <c r="C118" i="73"/>
  <c r="D118" i="73"/>
  <c r="E118" i="73"/>
  <c r="B119" i="73"/>
  <c r="C119" i="73"/>
  <c r="D119" i="73"/>
  <c r="E119" i="73"/>
  <c r="B120" i="73"/>
  <c r="C120" i="73"/>
  <c r="D120" i="73"/>
  <c r="E120" i="73"/>
  <c r="B121" i="73"/>
  <c r="C121" i="73"/>
  <c r="D121" i="73"/>
  <c r="E121" i="73"/>
  <c r="B579" i="73"/>
  <c r="C579" i="73"/>
  <c r="D579" i="73"/>
  <c r="E579" i="73"/>
  <c r="B580" i="73"/>
  <c r="C580" i="73"/>
  <c r="D580" i="73"/>
  <c r="E580" i="73"/>
  <c r="B581" i="73"/>
  <c r="C581" i="73"/>
  <c r="D581" i="73"/>
  <c r="E581" i="73"/>
  <c r="B582" i="73"/>
  <c r="C582" i="73"/>
  <c r="D582" i="73"/>
  <c r="E582" i="73"/>
  <c r="B583" i="73"/>
  <c r="C583" i="73"/>
  <c r="D583" i="73"/>
  <c r="E583" i="73"/>
  <c r="B584" i="73"/>
  <c r="C584" i="73"/>
  <c r="D584" i="73"/>
  <c r="E584" i="73"/>
  <c r="B585" i="73"/>
  <c r="E585" i="73"/>
  <c r="C585" i="73"/>
  <c r="D585" i="73"/>
  <c r="B586" i="73"/>
  <c r="C586" i="73"/>
  <c r="D586" i="73"/>
  <c r="E586" i="73"/>
  <c r="B325" i="73"/>
  <c r="E325" i="73"/>
  <c r="C325" i="73"/>
  <c r="D325" i="73"/>
  <c r="B326" i="73"/>
  <c r="C326" i="73"/>
  <c r="D326" i="73"/>
  <c r="E326" i="73"/>
  <c r="B327" i="73"/>
  <c r="E327" i="73"/>
  <c r="C327" i="73"/>
  <c r="D327" i="73"/>
  <c r="B328" i="73"/>
  <c r="C328" i="73"/>
  <c r="D328" i="73"/>
  <c r="E328" i="73"/>
  <c r="B329" i="73"/>
  <c r="E329" i="73"/>
  <c r="C329" i="73"/>
  <c r="D329" i="73"/>
  <c r="B330" i="73"/>
  <c r="C330" i="73"/>
  <c r="D330" i="73"/>
  <c r="E330" i="73"/>
  <c r="B331" i="73"/>
  <c r="E331" i="73"/>
  <c r="C331" i="73"/>
  <c r="D331" i="73"/>
  <c r="B332" i="73"/>
  <c r="C332" i="73"/>
  <c r="D332" i="73"/>
  <c r="E332" i="73"/>
  <c r="B333" i="73"/>
  <c r="E333" i="73"/>
  <c r="C333" i="73"/>
  <c r="D333" i="73"/>
  <c r="B334" i="73"/>
  <c r="C334" i="73"/>
  <c r="D334" i="73"/>
  <c r="E334" i="73"/>
  <c r="B335" i="73"/>
  <c r="E335" i="73"/>
  <c r="C335" i="73"/>
  <c r="D335" i="73"/>
  <c r="B336" i="73"/>
  <c r="C336" i="73"/>
  <c r="D336" i="73"/>
  <c r="E336" i="73"/>
  <c r="B337" i="73"/>
  <c r="E337" i="73"/>
  <c r="C337" i="73"/>
  <c r="D337" i="73"/>
  <c r="B338" i="73"/>
  <c r="C338" i="73"/>
  <c r="D338" i="73"/>
  <c r="E338" i="73"/>
  <c r="B587" i="73"/>
  <c r="E587" i="73"/>
  <c r="C587" i="73"/>
  <c r="D587" i="73"/>
  <c r="B588" i="73"/>
  <c r="C588" i="73"/>
  <c r="D588" i="73"/>
  <c r="E588" i="73"/>
  <c r="B122" i="73"/>
  <c r="E122" i="73"/>
  <c r="C122" i="73"/>
  <c r="D122" i="73"/>
  <c r="B123" i="73"/>
  <c r="C123" i="73"/>
  <c r="D123" i="73"/>
  <c r="E123" i="73"/>
  <c r="B45" i="73"/>
  <c r="E45" i="73"/>
  <c r="C45" i="73"/>
  <c r="D45" i="73"/>
  <c r="B339" i="73"/>
  <c r="C339" i="73"/>
  <c r="D339" i="73"/>
  <c r="E339" i="73"/>
  <c r="B340" i="73"/>
  <c r="E340" i="73"/>
  <c r="C340" i="73"/>
  <c r="D340" i="73"/>
  <c r="B589" i="73"/>
  <c r="C589" i="73"/>
  <c r="D589" i="73"/>
  <c r="E589" i="73"/>
  <c r="B590" i="73"/>
  <c r="E590" i="73"/>
  <c r="C590" i="73"/>
  <c r="D590" i="73"/>
  <c r="B591" i="73"/>
  <c r="C591" i="73"/>
  <c r="D591" i="73"/>
  <c r="E591" i="73"/>
  <c r="B592" i="73"/>
  <c r="E592" i="73"/>
  <c r="C592" i="73"/>
  <c r="D592" i="73"/>
  <c r="B593" i="73"/>
  <c r="C593" i="73"/>
  <c r="D593" i="73"/>
  <c r="E593" i="73"/>
  <c r="B166" i="73"/>
  <c r="E166" i="73"/>
  <c r="C166" i="73"/>
  <c r="D166" i="73"/>
  <c r="B167" i="73"/>
  <c r="C167" i="73"/>
  <c r="D167" i="73"/>
  <c r="E167" i="73"/>
  <c r="B168" i="73"/>
  <c r="E168" i="73"/>
  <c r="C168" i="73"/>
  <c r="D168" i="73"/>
  <c r="B169" i="73"/>
  <c r="C169" i="73"/>
  <c r="D169" i="73"/>
  <c r="E169" i="73"/>
  <c r="B170" i="73"/>
  <c r="E170" i="73"/>
  <c r="C170" i="73"/>
  <c r="D170" i="73"/>
  <c r="B124" i="73"/>
  <c r="C124" i="73"/>
  <c r="D124" i="73"/>
  <c r="E124" i="73"/>
  <c r="B125" i="73"/>
  <c r="E125" i="73"/>
  <c r="C125" i="73"/>
  <c r="D125" i="73"/>
  <c r="B126" i="73"/>
  <c r="C126" i="73"/>
  <c r="D126" i="73"/>
  <c r="E126" i="73"/>
  <c r="B46" i="73"/>
  <c r="E46" i="73"/>
  <c r="C46" i="73"/>
  <c r="D46" i="73"/>
  <c r="B47" i="73"/>
  <c r="C47" i="73"/>
  <c r="D47" i="73"/>
  <c r="E47" i="73"/>
  <c r="B48" i="73"/>
  <c r="E48" i="73"/>
  <c r="C48" i="73"/>
  <c r="D48" i="73"/>
  <c r="B594" i="73"/>
  <c r="E594" i="73"/>
  <c r="C594" i="73"/>
  <c r="D594" i="73"/>
  <c r="B341" i="73"/>
  <c r="C341" i="73"/>
  <c r="D341" i="73"/>
  <c r="E341" i="73"/>
  <c r="B342" i="73"/>
  <c r="E342" i="73"/>
  <c r="C342" i="73"/>
  <c r="D342" i="73"/>
  <c r="B343" i="73"/>
  <c r="E343" i="73"/>
  <c r="C343" i="73"/>
  <c r="D343" i="73"/>
  <c r="B344" i="73"/>
  <c r="E344" i="73"/>
  <c r="C344" i="73"/>
  <c r="D344" i="73"/>
  <c r="B345" i="73"/>
  <c r="C345" i="73"/>
  <c r="D345" i="73"/>
  <c r="E345" i="73"/>
  <c r="B346" i="73"/>
  <c r="E346" i="73"/>
  <c r="C346" i="73"/>
  <c r="D346" i="73"/>
  <c r="B347" i="73"/>
  <c r="C347" i="73"/>
  <c r="D347" i="73"/>
  <c r="E347" i="73"/>
  <c r="B348" i="73"/>
  <c r="E348" i="73"/>
  <c r="C348" i="73"/>
  <c r="D348" i="73"/>
  <c r="B349" i="73"/>
  <c r="C349" i="73"/>
  <c r="D349" i="73"/>
  <c r="E349" i="73"/>
  <c r="B350" i="73"/>
  <c r="E350" i="73"/>
  <c r="C350" i="73"/>
  <c r="D350" i="73"/>
  <c r="B351" i="73"/>
  <c r="E351" i="73"/>
  <c r="C351" i="73"/>
  <c r="D351" i="73"/>
  <c r="B352" i="73"/>
  <c r="E352" i="73"/>
  <c r="C352" i="73"/>
  <c r="D352" i="73"/>
  <c r="B595" i="73"/>
  <c r="E595" i="73"/>
  <c r="C595" i="73"/>
  <c r="D595" i="73"/>
  <c r="B49" i="73"/>
  <c r="E49" i="73"/>
  <c r="C49" i="73"/>
  <c r="D49" i="73"/>
  <c r="B50" i="73"/>
  <c r="E50" i="73"/>
  <c r="C50" i="73"/>
  <c r="D50" i="73"/>
  <c r="B51" i="73"/>
  <c r="E51" i="73"/>
  <c r="C51" i="73"/>
  <c r="D51" i="73"/>
  <c r="B52" i="73"/>
  <c r="C52" i="73"/>
  <c r="D52" i="73"/>
  <c r="E52" i="73"/>
  <c r="B53" i="73"/>
  <c r="E53" i="73"/>
  <c r="C53" i="73"/>
  <c r="D53" i="73"/>
  <c r="B171" i="73"/>
  <c r="E171" i="73"/>
  <c r="C171" i="73"/>
  <c r="D171" i="73"/>
  <c r="B596" i="73"/>
  <c r="E596" i="73"/>
  <c r="C596" i="73"/>
  <c r="D596" i="73"/>
  <c r="B597" i="73"/>
  <c r="C597" i="73"/>
  <c r="D597" i="73"/>
  <c r="E597" i="73"/>
  <c r="B353" i="73"/>
  <c r="E353" i="73"/>
  <c r="C353" i="73"/>
  <c r="D353" i="73"/>
  <c r="B172" i="73"/>
  <c r="C172" i="73"/>
  <c r="D172" i="73"/>
  <c r="E172" i="73"/>
  <c r="B54" i="73"/>
  <c r="E54" i="73"/>
  <c r="C54" i="73"/>
  <c r="D54" i="73"/>
  <c r="B55" i="73"/>
  <c r="C55" i="73"/>
  <c r="D55" i="73"/>
  <c r="E55" i="73"/>
  <c r="B354" i="73"/>
  <c r="E354" i="73"/>
  <c r="C354" i="73"/>
  <c r="D354" i="73"/>
  <c r="B355" i="73"/>
  <c r="E355" i="73"/>
  <c r="C355" i="73"/>
  <c r="D355" i="73"/>
  <c r="B356" i="73"/>
  <c r="E356" i="73"/>
  <c r="C356" i="73"/>
  <c r="D356" i="73"/>
  <c r="B357" i="73"/>
  <c r="E357" i="73"/>
  <c r="C357" i="73"/>
  <c r="D357" i="73"/>
  <c r="B358" i="73"/>
  <c r="E358" i="73"/>
  <c r="C358" i="73"/>
  <c r="D358" i="73"/>
  <c r="B359" i="73"/>
  <c r="E359" i="73"/>
  <c r="C359" i="73"/>
  <c r="D359" i="73"/>
  <c r="B360" i="73"/>
  <c r="E360" i="73"/>
  <c r="C360" i="73"/>
  <c r="D360" i="73"/>
  <c r="B361" i="73"/>
  <c r="C361" i="73"/>
  <c r="D361" i="73"/>
  <c r="E361" i="73"/>
  <c r="B362" i="73"/>
  <c r="E362" i="73"/>
  <c r="C362" i="73"/>
  <c r="D362" i="73"/>
  <c r="B363" i="73"/>
  <c r="C363" i="73"/>
  <c r="D363" i="73"/>
  <c r="E363" i="73"/>
  <c r="B364" i="73"/>
  <c r="E364" i="73"/>
  <c r="C364" i="73"/>
  <c r="D364" i="73"/>
  <c r="B365" i="73"/>
  <c r="C365" i="73"/>
  <c r="D365" i="73"/>
  <c r="E365" i="73"/>
  <c r="B366" i="73"/>
  <c r="E366" i="73"/>
  <c r="C366" i="73"/>
  <c r="D366" i="73"/>
  <c r="B598" i="73"/>
  <c r="C598" i="73"/>
  <c r="D598" i="73"/>
  <c r="E598" i="73"/>
  <c r="B599" i="73"/>
  <c r="E599" i="73"/>
  <c r="C599" i="73"/>
  <c r="D599" i="73"/>
  <c r="B173" i="73"/>
  <c r="C173" i="73"/>
  <c r="D173" i="73"/>
  <c r="E173" i="73"/>
  <c r="B367" i="73"/>
  <c r="E367" i="73"/>
  <c r="C367" i="73"/>
  <c r="D367" i="73"/>
  <c r="B174" i="73"/>
  <c r="E174" i="73"/>
  <c r="C174" i="73"/>
  <c r="D174" i="73"/>
  <c r="B175" i="73"/>
  <c r="E175" i="73"/>
  <c r="C175" i="73"/>
  <c r="D175" i="73"/>
  <c r="B176" i="73"/>
  <c r="E176" i="73"/>
  <c r="C176" i="73"/>
  <c r="D176" i="73"/>
  <c r="B177" i="73"/>
  <c r="E177" i="73"/>
  <c r="C177" i="73"/>
  <c r="D177" i="73"/>
  <c r="B178" i="73"/>
  <c r="E178" i="73"/>
  <c r="C178" i="73"/>
  <c r="D178" i="73"/>
  <c r="B179" i="73"/>
  <c r="E179" i="73"/>
  <c r="C179" i="73"/>
  <c r="D179" i="73"/>
  <c r="B600" i="73"/>
  <c r="C600" i="73"/>
  <c r="D600" i="73"/>
  <c r="E600" i="73"/>
  <c r="B601" i="73"/>
  <c r="E601" i="73"/>
  <c r="C601" i="73"/>
  <c r="D601" i="73"/>
  <c r="B368" i="73"/>
  <c r="C368" i="73"/>
  <c r="D368" i="73"/>
  <c r="E368" i="73"/>
  <c r="B602" i="73"/>
  <c r="E602" i="73"/>
  <c r="C602" i="73"/>
  <c r="D602" i="73"/>
  <c r="B603" i="73"/>
  <c r="C603" i="73"/>
  <c r="D603" i="73"/>
  <c r="E603" i="73"/>
  <c r="B604" i="73"/>
  <c r="E604" i="73"/>
  <c r="C604" i="73"/>
  <c r="D604" i="73"/>
  <c r="B605" i="73"/>
  <c r="C605" i="73"/>
  <c r="D605" i="73"/>
  <c r="E605" i="73"/>
  <c r="B180" i="73"/>
  <c r="E180" i="73"/>
  <c r="C180" i="73"/>
  <c r="D180" i="73"/>
  <c r="B181" i="73"/>
  <c r="C181" i="73"/>
  <c r="D181" i="73"/>
  <c r="E181" i="73"/>
  <c r="B182" i="73"/>
  <c r="E182" i="73"/>
  <c r="C182" i="73"/>
  <c r="D182" i="73"/>
  <c r="B183" i="73"/>
  <c r="E183" i="73"/>
  <c r="C183" i="73"/>
  <c r="D183" i="73"/>
  <c r="B184" i="73"/>
  <c r="E184" i="73"/>
  <c r="C184" i="73"/>
  <c r="D184" i="73"/>
  <c r="B185" i="73"/>
  <c r="E185" i="73"/>
  <c r="C185" i="73"/>
  <c r="D185" i="73"/>
  <c r="B186" i="73"/>
  <c r="E186" i="73"/>
  <c r="C186" i="73"/>
  <c r="D186" i="73"/>
  <c r="B369" i="73"/>
  <c r="E369" i="73"/>
  <c r="C369" i="73"/>
  <c r="D369" i="73"/>
  <c r="B370" i="73"/>
  <c r="E370" i="73"/>
  <c r="C370" i="73"/>
  <c r="D370" i="73"/>
  <c r="B371" i="73"/>
  <c r="C371" i="73"/>
  <c r="D371" i="73"/>
  <c r="E371" i="73"/>
  <c r="B372" i="73"/>
  <c r="E372" i="73"/>
  <c r="C372" i="73"/>
  <c r="D372" i="73"/>
  <c r="B373" i="73"/>
  <c r="C373" i="73"/>
  <c r="D373" i="73"/>
  <c r="E373" i="73"/>
  <c r="B374" i="73"/>
  <c r="E374" i="73"/>
  <c r="C374" i="73"/>
  <c r="D374" i="73"/>
  <c r="B375" i="73"/>
  <c r="C375" i="73"/>
  <c r="D375" i="73"/>
  <c r="E375" i="73"/>
  <c r="B376" i="73"/>
  <c r="E376" i="73"/>
  <c r="C376" i="73"/>
  <c r="D376" i="73"/>
  <c r="B377" i="73"/>
  <c r="C377" i="73"/>
  <c r="D377" i="73"/>
  <c r="E377" i="73"/>
  <c r="B378" i="73"/>
  <c r="E378" i="73"/>
  <c r="C378" i="73"/>
  <c r="D378" i="73"/>
  <c r="B379" i="73"/>
  <c r="C379" i="73"/>
  <c r="D379" i="73"/>
  <c r="E379" i="73"/>
  <c r="B380" i="73"/>
  <c r="E380" i="73"/>
  <c r="C380" i="73"/>
  <c r="D380" i="73"/>
  <c r="B381" i="73"/>
  <c r="E381" i="73"/>
  <c r="C381" i="73"/>
  <c r="D381" i="73"/>
  <c r="B127" i="73"/>
  <c r="E127" i="73"/>
  <c r="C127" i="73"/>
  <c r="D127" i="73"/>
  <c r="B128" i="73"/>
  <c r="E128" i="73"/>
  <c r="C128" i="73"/>
  <c r="D128" i="73"/>
  <c r="B129" i="73"/>
  <c r="E129" i="73"/>
  <c r="C129" i="73"/>
  <c r="D129" i="73"/>
  <c r="B130" i="73"/>
  <c r="E130" i="73"/>
  <c r="C130" i="73"/>
  <c r="D130" i="73"/>
  <c r="B606" i="73"/>
  <c r="E606" i="73"/>
  <c r="C606" i="73"/>
  <c r="D606" i="73"/>
  <c r="B382" i="73"/>
  <c r="C382" i="73"/>
  <c r="D382" i="73"/>
  <c r="E382" i="73"/>
  <c r="B383" i="73"/>
  <c r="E383" i="73"/>
  <c r="C383" i="73"/>
  <c r="D383" i="73"/>
  <c r="B384" i="73"/>
  <c r="E384" i="73"/>
  <c r="C384" i="73"/>
  <c r="D384" i="73"/>
  <c r="B385" i="73"/>
  <c r="E385" i="73"/>
  <c r="C385" i="73"/>
  <c r="D385" i="73"/>
  <c r="B386" i="73"/>
  <c r="C386" i="73"/>
  <c r="D386" i="73"/>
  <c r="E386" i="73"/>
  <c r="B387" i="73"/>
  <c r="E387" i="73"/>
  <c r="C387" i="73"/>
  <c r="D387" i="73"/>
  <c r="B388" i="73"/>
  <c r="C388" i="73"/>
  <c r="D388" i="73"/>
  <c r="E388" i="73"/>
  <c r="B389" i="73"/>
  <c r="E389" i="73"/>
  <c r="C389" i="73"/>
  <c r="D389" i="73"/>
  <c r="B390" i="73"/>
  <c r="C390" i="73"/>
  <c r="D390" i="73"/>
  <c r="E390" i="73"/>
  <c r="B391" i="73"/>
  <c r="E391" i="73"/>
  <c r="C391" i="73"/>
  <c r="D391" i="73"/>
  <c r="B392" i="73"/>
  <c r="E392" i="73"/>
  <c r="C392" i="73"/>
  <c r="D392" i="73"/>
  <c r="B393" i="73"/>
  <c r="E393" i="73"/>
  <c r="C393" i="73"/>
  <c r="D393" i="73"/>
  <c r="B394" i="73"/>
  <c r="E394" i="73"/>
  <c r="C394" i="73"/>
  <c r="D394" i="73"/>
  <c r="B395" i="73"/>
  <c r="E395" i="73"/>
  <c r="C395" i="73"/>
  <c r="D395" i="73"/>
  <c r="B396" i="73"/>
  <c r="E396" i="73"/>
  <c r="C396" i="73"/>
  <c r="D396" i="73"/>
  <c r="B397" i="73"/>
  <c r="E397" i="73"/>
  <c r="C397" i="73"/>
  <c r="D397" i="73"/>
  <c r="B398" i="73"/>
  <c r="C398" i="73"/>
  <c r="D398" i="73"/>
  <c r="E398" i="73"/>
  <c r="B399" i="73"/>
  <c r="E399" i="73"/>
  <c r="C399" i="73"/>
  <c r="D399" i="73"/>
  <c r="B400" i="73"/>
  <c r="E400" i="73"/>
  <c r="C400" i="73"/>
  <c r="D400" i="73"/>
  <c r="B401" i="73"/>
  <c r="E401" i="73"/>
  <c r="C401" i="73"/>
  <c r="D401" i="73"/>
  <c r="B402" i="73"/>
  <c r="C402" i="73"/>
  <c r="D402" i="73"/>
  <c r="E402" i="73"/>
  <c r="B403" i="73"/>
  <c r="E403" i="73"/>
  <c r="C403" i="73"/>
  <c r="D403" i="73"/>
  <c r="B607" i="73"/>
  <c r="C607" i="73"/>
  <c r="D607" i="73"/>
  <c r="E607" i="73"/>
  <c r="B404" i="73"/>
  <c r="E404" i="73"/>
  <c r="C404" i="73"/>
  <c r="D404" i="73"/>
  <c r="B56" i="73"/>
  <c r="C56" i="73"/>
  <c r="D56" i="73"/>
  <c r="E56" i="73"/>
  <c r="B57" i="73"/>
  <c r="E57" i="73"/>
  <c r="C57" i="73"/>
  <c r="D57" i="73"/>
  <c r="B58" i="73"/>
  <c r="E58" i="73"/>
  <c r="C58" i="73"/>
  <c r="D58" i="73"/>
  <c r="B59" i="73"/>
  <c r="E59" i="73"/>
  <c r="C59" i="73"/>
  <c r="D59" i="73"/>
  <c r="B60" i="73"/>
  <c r="E60" i="73"/>
  <c r="C60" i="73"/>
  <c r="D60" i="73"/>
  <c r="B61" i="73"/>
  <c r="E61" i="73"/>
  <c r="C61" i="73"/>
  <c r="D61" i="73"/>
  <c r="B62" i="73"/>
  <c r="E62" i="73"/>
  <c r="C62" i="73"/>
  <c r="D62" i="73"/>
  <c r="B63" i="73"/>
  <c r="E63" i="73"/>
  <c r="C63" i="73"/>
  <c r="D63" i="73"/>
  <c r="B64" i="73"/>
  <c r="C64" i="73"/>
  <c r="D64" i="73"/>
  <c r="E64" i="73"/>
  <c r="B65" i="73"/>
  <c r="E65" i="73"/>
  <c r="C65" i="73"/>
  <c r="D65" i="73"/>
  <c r="B66" i="73"/>
  <c r="E66" i="73"/>
  <c r="C66" i="73"/>
  <c r="D66" i="73"/>
  <c r="B67" i="73"/>
  <c r="E67" i="73"/>
  <c r="C67" i="73"/>
  <c r="D67" i="73"/>
  <c r="B608" i="73"/>
  <c r="C608" i="73"/>
  <c r="D608" i="73"/>
  <c r="E608" i="73"/>
  <c r="B609" i="73"/>
  <c r="E609" i="73"/>
  <c r="C609" i="73"/>
  <c r="D609" i="73"/>
  <c r="B610" i="73"/>
  <c r="C610" i="73"/>
  <c r="D610" i="73"/>
  <c r="E610" i="73"/>
  <c r="B405" i="73"/>
  <c r="E405" i="73"/>
  <c r="C405" i="73"/>
  <c r="D405" i="73"/>
  <c r="B406" i="73"/>
  <c r="C406" i="73"/>
  <c r="D406" i="73"/>
  <c r="E406" i="73"/>
  <c r="B68" i="73"/>
  <c r="E68" i="73"/>
  <c r="C68" i="73"/>
  <c r="D68" i="73"/>
  <c r="B187" i="73"/>
  <c r="E187" i="73"/>
  <c r="C187" i="73"/>
  <c r="D187" i="73"/>
  <c r="B611" i="73"/>
  <c r="E611" i="73"/>
  <c r="C611" i="73"/>
  <c r="D611" i="73"/>
  <c r="B188" i="73"/>
  <c r="C188" i="73"/>
  <c r="D188" i="73"/>
  <c r="E188" i="73"/>
  <c r="B189" i="73"/>
  <c r="E189" i="73"/>
  <c r="C189" i="73"/>
  <c r="D189" i="73"/>
  <c r="B190" i="73"/>
  <c r="E190" i="73"/>
  <c r="C190" i="73"/>
  <c r="D190" i="73"/>
  <c r="B191" i="73"/>
  <c r="E191" i="73"/>
  <c r="C191" i="73"/>
  <c r="D191" i="73"/>
  <c r="B192" i="73"/>
  <c r="C192" i="73"/>
  <c r="D192" i="73"/>
  <c r="E192" i="73"/>
  <c r="B193" i="73"/>
  <c r="E193" i="73"/>
  <c r="C193" i="73"/>
  <c r="D193" i="73"/>
  <c r="B194" i="73"/>
  <c r="E194" i="73"/>
  <c r="C194" i="73"/>
  <c r="D194" i="73"/>
  <c r="B195" i="73"/>
  <c r="E195" i="73"/>
  <c r="C195" i="73"/>
  <c r="D195" i="73"/>
  <c r="B196" i="73"/>
  <c r="C196" i="73"/>
  <c r="D196" i="73"/>
  <c r="E196" i="73"/>
  <c r="B197" i="73"/>
  <c r="E197" i="73"/>
  <c r="C197" i="73"/>
  <c r="D197" i="73"/>
  <c r="B198" i="73"/>
  <c r="C198" i="73"/>
  <c r="D198" i="73"/>
  <c r="E198" i="73"/>
  <c r="B199" i="73"/>
  <c r="E199" i="73"/>
  <c r="C199" i="73"/>
  <c r="D199" i="73"/>
  <c r="B612" i="73"/>
  <c r="C612" i="73"/>
  <c r="D612" i="73"/>
  <c r="E612" i="73"/>
  <c r="B69" i="73"/>
  <c r="E69" i="73"/>
  <c r="C69" i="73"/>
  <c r="D69" i="73"/>
  <c r="B70" i="73"/>
  <c r="E70" i="73"/>
  <c r="C70" i="73"/>
  <c r="D70" i="73"/>
  <c r="B407" i="73"/>
  <c r="E407" i="73"/>
  <c r="C407" i="73"/>
  <c r="D407" i="73"/>
  <c r="B408" i="73"/>
  <c r="C408" i="73"/>
  <c r="D408" i="73"/>
  <c r="E408" i="73"/>
  <c r="B409" i="73"/>
  <c r="E409" i="73"/>
  <c r="C409" i="73"/>
  <c r="D409" i="73"/>
  <c r="B410" i="73"/>
  <c r="E410" i="73"/>
  <c r="C410" i="73"/>
  <c r="D410" i="73"/>
  <c r="B613" i="73"/>
  <c r="E613" i="73"/>
  <c r="C613" i="73"/>
  <c r="D613" i="73"/>
  <c r="B614" i="73"/>
  <c r="C614" i="73"/>
  <c r="D614" i="73"/>
  <c r="E614" i="73"/>
  <c r="B615" i="73"/>
  <c r="E615" i="73"/>
  <c r="C615" i="73"/>
  <c r="D615" i="73"/>
  <c r="B616" i="73"/>
  <c r="E616" i="73"/>
  <c r="C616" i="73"/>
  <c r="D616" i="73"/>
  <c r="B71" i="73"/>
  <c r="E71" i="73"/>
  <c r="C71" i="73"/>
  <c r="D71" i="73"/>
  <c r="B72" i="73"/>
  <c r="C72" i="73"/>
  <c r="D72" i="73"/>
  <c r="E72" i="73"/>
  <c r="B617" i="73"/>
  <c r="E617" i="73"/>
  <c r="C617" i="73"/>
  <c r="D617" i="73"/>
  <c r="B73" i="73"/>
  <c r="C73" i="73"/>
  <c r="D73" i="73"/>
  <c r="E73" i="73"/>
  <c r="B131" i="73"/>
  <c r="E131" i="73"/>
  <c r="C131" i="73"/>
  <c r="D131" i="73"/>
  <c r="B132" i="73"/>
  <c r="C132" i="73"/>
  <c r="D132" i="73"/>
  <c r="E132" i="73"/>
  <c r="B133" i="73"/>
  <c r="E133" i="73"/>
  <c r="C133" i="73"/>
  <c r="D133" i="73"/>
  <c r="B134" i="73"/>
  <c r="E134" i="73"/>
  <c r="C134" i="73"/>
  <c r="D134" i="73"/>
  <c r="B135" i="73"/>
  <c r="E135" i="73"/>
  <c r="C135" i="73"/>
  <c r="D135" i="73"/>
  <c r="B136" i="73"/>
  <c r="C136" i="73"/>
  <c r="D136" i="73"/>
  <c r="E136" i="73"/>
  <c r="B137" i="73"/>
  <c r="E137" i="73"/>
  <c r="C137" i="73"/>
  <c r="D137" i="73"/>
  <c r="B138" i="73"/>
  <c r="E138" i="73"/>
  <c r="C138" i="73"/>
  <c r="D138" i="73"/>
  <c r="B139" i="73"/>
  <c r="E139" i="73"/>
  <c r="C139" i="73"/>
  <c r="D139" i="73"/>
  <c r="B140" i="73"/>
  <c r="C140" i="73"/>
  <c r="D140" i="73"/>
  <c r="E140" i="73"/>
  <c r="B141" i="73"/>
  <c r="E141" i="73"/>
  <c r="C141" i="73"/>
  <c r="D141" i="73"/>
  <c r="B142" i="73"/>
  <c r="E142" i="73"/>
  <c r="C142" i="73"/>
  <c r="D142" i="73"/>
  <c r="B143" i="73"/>
  <c r="E143" i="73"/>
  <c r="C143" i="73"/>
  <c r="D143" i="73"/>
  <c r="B144" i="73"/>
  <c r="C144" i="73"/>
  <c r="D144" i="73"/>
  <c r="E144" i="73"/>
  <c r="B145" i="73"/>
  <c r="E145" i="73"/>
  <c r="C145" i="73"/>
  <c r="D145" i="73"/>
  <c r="B146" i="73"/>
  <c r="C146" i="73"/>
  <c r="D146" i="73"/>
  <c r="E146" i="73"/>
  <c r="B74" i="73"/>
  <c r="E74" i="73"/>
  <c r="C74" i="73"/>
  <c r="D74" i="73"/>
  <c r="B75" i="73"/>
  <c r="C75" i="73"/>
  <c r="D75" i="73"/>
  <c r="E75" i="73"/>
  <c r="B76" i="73"/>
  <c r="E76" i="73"/>
  <c r="C76" i="73"/>
  <c r="D76" i="73"/>
  <c r="B77" i="73"/>
  <c r="C77" i="73"/>
  <c r="D77" i="73"/>
  <c r="E77" i="73"/>
  <c r="B78" i="73"/>
  <c r="E78" i="73"/>
  <c r="C78" i="73"/>
  <c r="D78" i="73"/>
  <c r="B79" i="73"/>
  <c r="C79" i="73"/>
  <c r="D79" i="73"/>
  <c r="E79" i="73"/>
  <c r="B200" i="73"/>
  <c r="E200" i="73"/>
  <c r="C200" i="73"/>
  <c r="D200" i="73"/>
  <c r="B80" i="73"/>
  <c r="C80" i="73"/>
  <c r="D80" i="73"/>
  <c r="E80" i="73"/>
  <c r="B81" i="73"/>
  <c r="E81" i="73"/>
  <c r="C81" i="73"/>
  <c r="D81" i="73"/>
  <c r="B201" i="73"/>
  <c r="C201" i="73"/>
  <c r="D201" i="73"/>
  <c r="E201" i="73"/>
  <c r="B202" i="73"/>
  <c r="E202" i="73"/>
  <c r="C202" i="73"/>
  <c r="D202" i="73"/>
  <c r="B203" i="73"/>
  <c r="C203" i="73"/>
  <c r="D203" i="73"/>
  <c r="E203" i="73"/>
  <c r="B82" i="73"/>
  <c r="E82" i="73"/>
  <c r="C82" i="73"/>
  <c r="D82" i="73"/>
  <c r="B204" i="73"/>
  <c r="C204" i="73"/>
  <c r="D204" i="73"/>
  <c r="E204" i="73"/>
  <c r="B205" i="73"/>
  <c r="E205" i="73"/>
  <c r="C205" i="73"/>
  <c r="D205" i="73"/>
  <c r="B206" i="73"/>
  <c r="C206" i="73"/>
  <c r="D206" i="73"/>
  <c r="E206" i="73"/>
  <c r="B207" i="73"/>
  <c r="E207" i="73"/>
  <c r="C207" i="73"/>
  <c r="D207" i="73"/>
  <c r="B83" i="73"/>
  <c r="C83" i="73"/>
  <c r="D83" i="73"/>
  <c r="E83" i="73"/>
  <c r="B208" i="73"/>
  <c r="E208" i="73"/>
  <c r="C208" i="73"/>
  <c r="D208" i="73"/>
  <c r="B84" i="73"/>
  <c r="C84" i="73"/>
  <c r="D84" i="73"/>
  <c r="E84" i="73"/>
  <c r="B85" i="73"/>
  <c r="E85" i="73"/>
  <c r="C85" i="73"/>
  <c r="D85" i="73"/>
  <c r="B86" i="73"/>
  <c r="C86" i="73"/>
  <c r="D86" i="73"/>
  <c r="E86" i="73"/>
  <c r="B87" i="73"/>
  <c r="E87" i="73"/>
  <c r="C87" i="73"/>
  <c r="D87" i="73"/>
  <c r="B88" i="73"/>
  <c r="C88" i="73"/>
  <c r="D88" i="73"/>
  <c r="E88" i="73"/>
  <c r="B89" i="73"/>
  <c r="E89" i="73"/>
  <c r="C89" i="73"/>
  <c r="D89" i="73"/>
  <c r="B209" i="73"/>
  <c r="C209" i="73"/>
  <c r="D209" i="73"/>
  <c r="E209" i="73"/>
  <c r="B210" i="73"/>
  <c r="E210" i="73"/>
  <c r="C210" i="73"/>
  <c r="D210" i="73"/>
  <c r="B211" i="73"/>
  <c r="C211" i="73"/>
  <c r="D211" i="73"/>
  <c r="E211" i="73"/>
  <c r="B212" i="73"/>
  <c r="E212" i="73"/>
  <c r="C212" i="73"/>
  <c r="D212" i="73"/>
  <c r="B213" i="73"/>
  <c r="C213" i="73"/>
  <c r="D213" i="73"/>
  <c r="E213" i="73"/>
  <c r="B214" i="73"/>
  <c r="E214" i="73"/>
  <c r="C214" i="73"/>
  <c r="D214" i="73"/>
  <c r="B215" i="73"/>
  <c r="C215" i="73"/>
  <c r="D215" i="73"/>
  <c r="E215" i="73"/>
  <c r="B216" i="73"/>
  <c r="E216" i="73"/>
  <c r="C216" i="73"/>
  <c r="D216" i="73"/>
  <c r="B90" i="73"/>
  <c r="C90" i="73"/>
  <c r="D90" i="73"/>
  <c r="E90" i="73"/>
  <c r="B91" i="73"/>
  <c r="E91" i="73"/>
  <c r="C91" i="73"/>
  <c r="D91" i="73"/>
  <c r="B92" i="73"/>
  <c r="C92" i="73"/>
  <c r="D92" i="73"/>
  <c r="E92" i="73"/>
  <c r="B93" i="73"/>
  <c r="E93" i="73"/>
  <c r="C93" i="73"/>
  <c r="D93" i="73"/>
  <c r="B217" i="73"/>
  <c r="C217" i="73"/>
  <c r="D217" i="73"/>
  <c r="E217" i="73"/>
  <c r="B411" i="73"/>
  <c r="E411" i="73"/>
  <c r="C411" i="73"/>
  <c r="D411" i="73"/>
  <c r="B412" i="73"/>
  <c r="C412" i="73"/>
  <c r="D412" i="73"/>
  <c r="E412" i="73"/>
  <c r="B413" i="73"/>
  <c r="E413" i="73"/>
  <c r="C413" i="73"/>
  <c r="D413" i="73"/>
  <c r="B414" i="73"/>
  <c r="C414" i="73"/>
  <c r="D414" i="73"/>
  <c r="E414" i="73"/>
  <c r="B415" i="73"/>
  <c r="E415" i="73"/>
  <c r="C415" i="73"/>
  <c r="D415" i="73"/>
  <c r="B416" i="73"/>
  <c r="C416" i="73"/>
  <c r="D416" i="73"/>
  <c r="E416" i="73"/>
  <c r="B417" i="73"/>
  <c r="E417" i="73"/>
  <c r="C417" i="73"/>
  <c r="D417" i="73"/>
  <c r="B418" i="73"/>
  <c r="C418" i="73"/>
  <c r="D418" i="73"/>
  <c r="E418" i="73"/>
  <c r="B419" i="73"/>
  <c r="E419" i="73"/>
  <c r="C419" i="73"/>
  <c r="D419" i="73"/>
  <c r="B420" i="73"/>
  <c r="C420" i="73"/>
  <c r="D420" i="73"/>
  <c r="E420" i="73"/>
  <c r="B421" i="73"/>
  <c r="E421" i="73"/>
  <c r="C421" i="73"/>
  <c r="D421" i="73"/>
  <c r="B422" i="73"/>
  <c r="C422" i="73"/>
  <c r="D422" i="73"/>
  <c r="E422" i="73"/>
  <c r="B423" i="73"/>
  <c r="E423" i="73"/>
  <c r="C423" i="73"/>
  <c r="D423" i="73"/>
  <c r="B424" i="73"/>
  <c r="C424" i="73"/>
  <c r="D424" i="73"/>
  <c r="E424" i="73"/>
  <c r="B425" i="73"/>
  <c r="E425" i="73"/>
  <c r="C425" i="73"/>
  <c r="D425" i="73"/>
  <c r="B426" i="73"/>
  <c r="C426" i="73"/>
  <c r="D426" i="73"/>
  <c r="E426" i="73"/>
  <c r="B427" i="73"/>
  <c r="E427" i="73"/>
  <c r="C427" i="73"/>
  <c r="D427" i="73"/>
  <c r="B428" i="73"/>
  <c r="C428" i="73"/>
  <c r="D428" i="73"/>
  <c r="E428" i="73"/>
  <c r="B429" i="73"/>
  <c r="E429" i="73"/>
  <c r="C429" i="73"/>
  <c r="D429" i="73"/>
  <c r="B430" i="73"/>
  <c r="C430" i="73"/>
  <c r="D430" i="73"/>
  <c r="E430" i="73"/>
  <c r="B431" i="73"/>
  <c r="E431" i="73"/>
  <c r="C431" i="73"/>
  <c r="D431" i="73"/>
  <c r="B432" i="73"/>
  <c r="C432" i="73"/>
  <c r="D432" i="73"/>
  <c r="E432" i="73"/>
  <c r="B433" i="73"/>
  <c r="E433" i="73"/>
  <c r="C433" i="73"/>
  <c r="D433" i="73"/>
  <c r="B434" i="73"/>
  <c r="C434" i="73"/>
  <c r="D434" i="73"/>
  <c r="E434" i="73"/>
  <c r="B435" i="73"/>
  <c r="E435" i="73"/>
  <c r="C435" i="73"/>
  <c r="D435" i="73"/>
  <c r="B436" i="73"/>
  <c r="C436" i="73"/>
  <c r="D436" i="73"/>
  <c r="E436" i="73"/>
  <c r="B437" i="73"/>
  <c r="E437" i="73"/>
  <c r="C437" i="73"/>
  <c r="D437" i="73"/>
  <c r="B438" i="73"/>
  <c r="C438" i="73"/>
  <c r="D438" i="73"/>
  <c r="E438" i="73"/>
  <c r="B439" i="73"/>
  <c r="E439" i="73"/>
  <c r="C439" i="73"/>
  <c r="D439" i="73"/>
  <c r="B440" i="73"/>
  <c r="C440" i="73"/>
  <c r="D440" i="73"/>
  <c r="E440" i="73"/>
  <c r="B441" i="73"/>
  <c r="E441" i="73"/>
  <c r="C441" i="73"/>
  <c r="D441" i="73"/>
  <c r="B442" i="73"/>
  <c r="C442" i="73"/>
  <c r="D442" i="73"/>
  <c r="E442" i="73"/>
  <c r="B443" i="73"/>
  <c r="E443" i="73"/>
  <c r="C443" i="73"/>
  <c r="D443" i="73"/>
  <c r="B444" i="73"/>
  <c r="C444" i="73"/>
  <c r="D444" i="73"/>
  <c r="E444" i="73"/>
  <c r="B445" i="73"/>
  <c r="E445" i="73"/>
  <c r="C445" i="73"/>
  <c r="D445" i="73"/>
  <c r="B446" i="73"/>
  <c r="C446" i="73"/>
  <c r="D446" i="73"/>
  <c r="E446" i="73"/>
  <c r="B447" i="73"/>
  <c r="E447" i="73"/>
  <c r="C447" i="73"/>
  <c r="D447" i="73"/>
  <c r="B448" i="73"/>
  <c r="C448" i="73"/>
  <c r="D448" i="73"/>
  <c r="E448" i="73"/>
  <c r="B449" i="73"/>
  <c r="E449" i="73"/>
  <c r="C449" i="73"/>
  <c r="D449" i="73"/>
  <c r="B450" i="73"/>
  <c r="C450" i="73"/>
  <c r="D450" i="73"/>
  <c r="E450" i="73"/>
  <c r="B451" i="73"/>
  <c r="E451" i="73"/>
  <c r="C451" i="73"/>
  <c r="D451" i="73"/>
  <c r="B452" i="73"/>
  <c r="C452" i="73"/>
  <c r="D452" i="73"/>
  <c r="E452" i="73"/>
  <c r="B453" i="73"/>
  <c r="E453" i="73"/>
  <c r="C453" i="73"/>
  <c r="D453" i="73"/>
  <c r="B454" i="73"/>
  <c r="C454" i="73"/>
  <c r="D454" i="73"/>
  <c r="E454" i="73"/>
  <c r="B455" i="73"/>
  <c r="E455" i="73"/>
  <c r="C455" i="73"/>
  <c r="D455" i="73"/>
  <c r="B456" i="73"/>
  <c r="C456" i="73"/>
  <c r="D456" i="73"/>
  <c r="E456" i="73"/>
  <c r="B457" i="73"/>
  <c r="E457" i="73"/>
  <c r="C457" i="73"/>
  <c r="D457" i="73"/>
  <c r="B458" i="73"/>
  <c r="E458" i="73"/>
  <c r="C458" i="73"/>
  <c r="D458" i="73"/>
  <c r="B459" i="73"/>
  <c r="E459" i="73"/>
  <c r="C459" i="73"/>
  <c r="D459" i="73"/>
  <c r="B460" i="73"/>
  <c r="E460" i="73"/>
  <c r="C460" i="73"/>
  <c r="D460" i="73"/>
  <c r="B461" i="73"/>
  <c r="E461" i="73"/>
  <c r="C461" i="73"/>
  <c r="D461" i="73"/>
  <c r="B462" i="73"/>
  <c r="E462" i="73"/>
  <c r="C462" i="73"/>
  <c r="D462" i="73"/>
  <c r="B463" i="73"/>
  <c r="E463" i="73"/>
  <c r="C463" i="73"/>
  <c r="D463" i="73"/>
  <c r="B464" i="73"/>
  <c r="E464" i="73"/>
  <c r="C464" i="73"/>
  <c r="D464" i="73"/>
  <c r="B465" i="73"/>
  <c r="E465" i="73"/>
  <c r="C465" i="73"/>
  <c r="D465" i="73"/>
  <c r="B466" i="73"/>
  <c r="E466" i="73"/>
  <c r="C466" i="73"/>
  <c r="D466" i="73"/>
  <c r="B467" i="73"/>
  <c r="E467" i="73"/>
  <c r="C467" i="73"/>
  <c r="D467" i="73"/>
  <c r="B468" i="73"/>
  <c r="E468" i="73"/>
  <c r="C468" i="73"/>
  <c r="D468" i="73"/>
  <c r="B469" i="73"/>
  <c r="E469" i="73"/>
  <c r="C469" i="73"/>
  <c r="D469" i="73"/>
  <c r="B470" i="73"/>
  <c r="E470" i="73"/>
  <c r="C470" i="73"/>
  <c r="D470" i="73"/>
  <c r="B471" i="73"/>
  <c r="E471" i="73"/>
  <c r="C471" i="73"/>
  <c r="D471" i="73"/>
  <c r="B472" i="73"/>
  <c r="E472" i="73"/>
  <c r="C472" i="73"/>
  <c r="D472" i="73"/>
  <c r="B473" i="73"/>
  <c r="E473" i="73"/>
  <c r="C473" i="73"/>
  <c r="D473" i="73"/>
  <c r="B474" i="73"/>
  <c r="E474" i="73"/>
  <c r="C474" i="73"/>
  <c r="D474" i="73"/>
  <c r="B475" i="73"/>
  <c r="E475" i="73"/>
  <c r="C475" i="73"/>
  <c r="D475" i="73"/>
  <c r="B476" i="73"/>
  <c r="E476" i="73"/>
  <c r="C476" i="73"/>
  <c r="D476" i="73"/>
  <c r="B477" i="73"/>
  <c r="E477" i="73"/>
  <c r="C477" i="73"/>
  <c r="D477" i="73"/>
  <c r="B478" i="73"/>
  <c r="E478" i="73"/>
  <c r="C478" i="73"/>
  <c r="D478" i="73"/>
  <c r="B479" i="73"/>
  <c r="E479" i="73"/>
  <c r="C479" i="73"/>
  <c r="D479" i="73"/>
  <c r="B480" i="73"/>
  <c r="E480" i="73"/>
  <c r="C480" i="73"/>
  <c r="D480" i="73"/>
  <c r="B481" i="73"/>
  <c r="E481" i="73"/>
  <c r="C481" i="73"/>
  <c r="D481" i="73"/>
  <c r="B482" i="73"/>
  <c r="E482" i="73"/>
  <c r="C482" i="73"/>
  <c r="D482" i="73"/>
  <c r="B483" i="73"/>
  <c r="E483" i="73"/>
  <c r="C483" i="73"/>
  <c r="D483" i="73"/>
  <c r="B484" i="73"/>
  <c r="E484" i="73"/>
  <c r="C484" i="73"/>
  <c r="D484" i="73"/>
  <c r="B485" i="73"/>
  <c r="E485" i="73"/>
  <c r="C485" i="73"/>
  <c r="D485" i="73"/>
  <c r="B486" i="73"/>
  <c r="E486" i="73"/>
  <c r="C486" i="73"/>
  <c r="D486" i="73"/>
  <c r="B487" i="73"/>
  <c r="E487" i="73"/>
  <c r="C487" i="73"/>
  <c r="D487" i="73"/>
  <c r="B488" i="73"/>
  <c r="E488" i="73"/>
  <c r="C488" i="73"/>
  <c r="D488" i="73"/>
  <c r="B489" i="73"/>
  <c r="E489" i="73"/>
  <c r="C489" i="73"/>
  <c r="D489" i="73"/>
  <c r="B490" i="73"/>
  <c r="E490" i="73"/>
  <c r="C490" i="73"/>
  <c r="D490" i="73"/>
  <c r="B491" i="73"/>
  <c r="E491" i="73"/>
  <c r="C491" i="73"/>
  <c r="D491" i="73"/>
  <c r="B492" i="73"/>
  <c r="E492" i="73"/>
  <c r="C492" i="73"/>
  <c r="D492" i="73"/>
  <c r="B493" i="73"/>
  <c r="E493" i="73"/>
  <c r="C493" i="73"/>
  <c r="D493" i="73"/>
  <c r="B494" i="73"/>
  <c r="E494" i="73"/>
  <c r="C494" i="73"/>
  <c r="D494" i="73"/>
  <c r="B495" i="73"/>
  <c r="E495" i="73"/>
  <c r="C495" i="73"/>
  <c r="D495" i="73"/>
  <c r="B496" i="73"/>
  <c r="E496" i="73"/>
  <c r="C496" i="73"/>
  <c r="D496" i="73"/>
  <c r="B497" i="73"/>
  <c r="E497" i="73"/>
  <c r="C497" i="73"/>
  <c r="D497" i="73"/>
  <c r="B498" i="73"/>
  <c r="E498" i="73"/>
  <c r="C498" i="73"/>
  <c r="D498" i="73"/>
  <c r="B499" i="73"/>
  <c r="E499" i="73"/>
  <c r="C499" i="73"/>
  <c r="D499" i="73"/>
  <c r="B500" i="73"/>
  <c r="E500" i="73"/>
  <c r="C500" i="73"/>
  <c r="D500" i="73"/>
  <c r="B501" i="73"/>
  <c r="E501" i="73"/>
  <c r="C501" i="73"/>
  <c r="D501" i="73"/>
  <c r="B502" i="73"/>
  <c r="E502" i="73"/>
  <c r="C502" i="73"/>
  <c r="D502" i="73"/>
  <c r="B503" i="73"/>
  <c r="E503" i="73"/>
  <c r="C503" i="73"/>
  <c r="D503" i="73"/>
  <c r="B504" i="73"/>
  <c r="E504" i="73"/>
  <c r="C504" i="73"/>
  <c r="D504" i="73"/>
  <c r="B505" i="73"/>
  <c r="E505" i="73"/>
  <c r="C505" i="73"/>
  <c r="D505" i="73"/>
  <c r="B506" i="73"/>
  <c r="E506" i="73"/>
  <c r="C506" i="73"/>
  <c r="D506" i="73"/>
  <c r="B507" i="73"/>
  <c r="E507" i="73"/>
  <c r="C507" i="73"/>
  <c r="D507" i="73"/>
  <c r="B508" i="73"/>
  <c r="E508" i="73"/>
  <c r="C508" i="73"/>
  <c r="D508" i="73"/>
  <c r="B509" i="73"/>
  <c r="E509" i="73"/>
  <c r="C509" i="73"/>
  <c r="D509" i="73"/>
  <c r="B510" i="73"/>
  <c r="E510" i="73"/>
  <c r="C510" i="73"/>
  <c r="D510" i="73"/>
  <c r="B511" i="73"/>
  <c r="E511" i="73"/>
  <c r="C511" i="73"/>
  <c r="D511" i="73"/>
  <c r="B512" i="73"/>
  <c r="E512" i="73"/>
  <c r="C512" i="73"/>
  <c r="D512" i="73"/>
  <c r="B513" i="73"/>
  <c r="E513" i="73"/>
  <c r="C513" i="73"/>
  <c r="D513" i="73"/>
  <c r="B514" i="73"/>
  <c r="E514" i="73"/>
  <c r="C514" i="73"/>
  <c r="D514" i="73"/>
  <c r="B515" i="73"/>
  <c r="E515" i="73"/>
  <c r="C515" i="73"/>
  <c r="D515" i="73"/>
  <c r="B516" i="73"/>
  <c r="E516" i="73"/>
  <c r="C516" i="73"/>
  <c r="D516" i="73"/>
  <c r="B517" i="73"/>
  <c r="E517" i="73"/>
  <c r="C517" i="73"/>
  <c r="D517" i="73"/>
  <c r="B218" i="73"/>
  <c r="E218" i="73"/>
  <c r="C218" i="73"/>
  <c r="D218" i="73"/>
  <c r="B219" i="73"/>
  <c r="E219" i="73"/>
  <c r="C219" i="73"/>
  <c r="D219" i="73"/>
  <c r="B220" i="73"/>
  <c r="E220" i="73"/>
  <c r="C220" i="73"/>
  <c r="D220" i="73"/>
  <c r="B94" i="73"/>
  <c r="E94" i="73"/>
  <c r="C94" i="73"/>
  <c r="D94" i="73"/>
  <c r="B95" i="73"/>
  <c r="E95" i="73"/>
  <c r="C95" i="73"/>
  <c r="D95" i="73"/>
  <c r="B96" i="73"/>
  <c r="E96" i="73"/>
  <c r="C96" i="73"/>
  <c r="D96" i="73"/>
  <c r="B221" i="73"/>
  <c r="E221" i="73"/>
  <c r="C221" i="73"/>
  <c r="D221" i="73"/>
  <c r="B222" i="73"/>
  <c r="E222" i="73"/>
  <c r="C222" i="73"/>
  <c r="D222" i="73"/>
  <c r="B223" i="73"/>
  <c r="E223" i="73"/>
  <c r="C223" i="73"/>
  <c r="D223" i="73"/>
  <c r="B97" i="73"/>
  <c r="E97" i="73"/>
  <c r="C97" i="73"/>
  <c r="D97" i="73"/>
  <c r="B224" i="73"/>
  <c r="E224" i="73"/>
  <c r="C224" i="73"/>
  <c r="D224" i="73"/>
  <c r="B98" i="73"/>
  <c r="E98" i="73"/>
  <c r="C98" i="73"/>
  <c r="D98" i="73"/>
  <c r="B225" i="73"/>
  <c r="E225" i="73"/>
  <c r="C225" i="73"/>
  <c r="D225" i="73"/>
  <c r="B99" i="73"/>
  <c r="E99" i="73"/>
  <c r="C99" i="73"/>
  <c r="D99" i="73"/>
  <c r="B100" i="73"/>
  <c r="E100" i="73"/>
  <c r="C100" i="73"/>
  <c r="D100" i="73"/>
  <c r="B226" i="73"/>
  <c r="E226" i="73"/>
  <c r="C226" i="73"/>
  <c r="D226" i="73"/>
  <c r="B227" i="73"/>
  <c r="E227" i="73"/>
  <c r="C227" i="73"/>
  <c r="D227" i="73"/>
  <c r="B101" i="73"/>
  <c r="E101" i="73"/>
  <c r="C101" i="73"/>
  <c r="D101" i="73"/>
  <c r="B102" i="73"/>
  <c r="E102" i="73"/>
  <c r="C102" i="73"/>
  <c r="D102" i="73"/>
  <c r="B228" i="73"/>
  <c r="E228" i="73"/>
  <c r="C228" i="73"/>
  <c r="D228" i="73"/>
  <c r="B229" i="73"/>
  <c r="E229" i="73"/>
  <c r="C229" i="73"/>
  <c r="D229" i="73"/>
  <c r="B103" i="73"/>
  <c r="E103" i="73"/>
  <c r="C103" i="73"/>
  <c r="D103" i="73"/>
  <c r="B104" i="73"/>
  <c r="E104" i="73"/>
  <c r="C104" i="73"/>
  <c r="D104" i="73"/>
  <c r="B105" i="73"/>
  <c r="E105" i="73"/>
  <c r="C105" i="73"/>
  <c r="D105" i="73"/>
  <c r="B230" i="73"/>
  <c r="E230" i="73"/>
  <c r="C230" i="73"/>
  <c r="D230" i="73"/>
  <c r="B231" i="73"/>
  <c r="E231" i="73"/>
  <c r="C231" i="73"/>
  <c r="D231" i="73"/>
  <c r="B106" i="73"/>
  <c r="E106" i="73"/>
  <c r="C106" i="73"/>
  <c r="D106" i="73"/>
  <c r="B107" i="73"/>
  <c r="E107" i="73"/>
  <c r="C107" i="73"/>
  <c r="D107" i="73"/>
  <c r="B232" i="73"/>
  <c r="E232" i="73"/>
  <c r="C232" i="73"/>
  <c r="D232" i="73"/>
  <c r="B233" i="73"/>
  <c r="E233" i="73"/>
  <c r="C233" i="73"/>
  <c r="D233" i="73"/>
  <c r="B234" i="73"/>
  <c r="E234" i="73"/>
  <c r="C234" i="73"/>
  <c r="D234" i="73"/>
  <c r="B108" i="73"/>
  <c r="E108" i="73"/>
  <c r="C108" i="73"/>
  <c r="D108" i="73"/>
  <c r="B109" i="73"/>
  <c r="E109" i="73"/>
  <c r="C109" i="73"/>
  <c r="D109" i="73"/>
  <c r="B235" i="73"/>
  <c r="E235" i="73"/>
  <c r="C235" i="73"/>
  <c r="D235" i="73"/>
  <c r="B236" i="73"/>
  <c r="E236" i="73"/>
  <c r="C236" i="73"/>
  <c r="D236" i="73"/>
  <c r="B237" i="73"/>
  <c r="E237" i="73"/>
  <c r="C237" i="73"/>
  <c r="D237" i="73"/>
  <c r="B238" i="73"/>
  <c r="E238" i="73"/>
  <c r="C238" i="73"/>
  <c r="D238" i="73"/>
  <c r="B110" i="73"/>
  <c r="E110" i="73"/>
  <c r="C110" i="73"/>
  <c r="D110" i="73"/>
  <c r="B239" i="73"/>
  <c r="E239" i="73"/>
  <c r="C239" i="73"/>
  <c r="D239" i="73"/>
  <c r="B240" i="73"/>
  <c r="E240" i="73"/>
  <c r="C240" i="73"/>
  <c r="D240" i="73"/>
  <c r="B241" i="73"/>
  <c r="E241" i="73"/>
  <c r="C241" i="73"/>
  <c r="D241" i="73"/>
  <c r="B111" i="73"/>
  <c r="E111" i="73"/>
  <c r="C111" i="73"/>
  <c r="D111" i="73"/>
  <c r="B242" i="73"/>
  <c r="E242" i="73"/>
  <c r="C242" i="73"/>
  <c r="D242" i="73"/>
  <c r="B243" i="73"/>
  <c r="E243" i="73"/>
  <c r="C243" i="73"/>
  <c r="D243" i="73"/>
  <c r="B244" i="73"/>
  <c r="E244" i="73"/>
  <c r="C244" i="73"/>
  <c r="D244" i="73"/>
  <c r="B112" i="73"/>
  <c r="E112" i="73"/>
  <c r="C112" i="73"/>
  <c r="D112" i="73"/>
  <c r="B245" i="73"/>
  <c r="E245" i="73"/>
  <c r="C245" i="73"/>
  <c r="D245" i="73"/>
  <c r="B246" i="73"/>
  <c r="E246" i="73"/>
  <c r="C246" i="73"/>
  <c r="D246" i="73"/>
  <c r="B247" i="73"/>
  <c r="E247" i="73"/>
  <c r="C247" i="73"/>
  <c r="D247" i="73"/>
  <c r="B248" i="73"/>
  <c r="E248" i="73"/>
  <c r="C248" i="73"/>
  <c r="D248" i="73"/>
  <c r="B249" i="73"/>
  <c r="E249" i="73"/>
  <c r="C249" i="73"/>
  <c r="D249" i="73"/>
  <c r="B250" i="73"/>
  <c r="E250" i="73"/>
  <c r="C250" i="73"/>
  <c r="D250" i="73"/>
  <c r="B251" i="73"/>
  <c r="E251" i="73"/>
  <c r="C251" i="73"/>
  <c r="D251" i="73"/>
  <c r="B252" i="73"/>
  <c r="E252" i="73"/>
  <c r="C252" i="73"/>
  <c r="D252" i="73"/>
  <c r="B253" i="73"/>
  <c r="E253" i="73"/>
  <c r="C253" i="73"/>
  <c r="D253" i="73"/>
  <c r="B618" i="73"/>
  <c r="E618" i="73"/>
  <c r="C618" i="73"/>
  <c r="D618" i="73"/>
  <c r="B619" i="73"/>
  <c r="E619" i="73"/>
  <c r="C619" i="73"/>
  <c r="D619" i="73"/>
  <c r="B620" i="73"/>
  <c r="E620" i="73"/>
  <c r="C620" i="73"/>
  <c r="D620" i="73"/>
  <c r="B621" i="73"/>
  <c r="E621" i="73"/>
  <c r="C621" i="73"/>
  <c r="D621" i="73"/>
  <c r="B622" i="73"/>
  <c r="E622" i="73"/>
  <c r="C622" i="73"/>
  <c r="D622" i="73"/>
  <c r="J3" i="58"/>
  <c r="J4" i="58"/>
  <c r="J5" i="58"/>
  <c r="J6" i="58"/>
  <c r="J7" i="58"/>
  <c r="J8" i="58"/>
  <c r="J9" i="58"/>
  <c r="J10" i="58"/>
  <c r="J11" i="58"/>
  <c r="J12" i="58"/>
  <c r="J13" i="58"/>
  <c r="J14" i="58"/>
  <c r="J15" i="58"/>
  <c r="J16" i="58"/>
  <c r="J17" i="58"/>
  <c r="J18" i="58"/>
  <c r="J19" i="58"/>
  <c r="J20" i="58"/>
  <c r="J21" i="58"/>
  <c r="J22" i="58"/>
  <c r="J23" i="58"/>
  <c r="J24" i="58"/>
  <c r="J25" i="58"/>
  <c r="J26" i="58"/>
  <c r="J27" i="58"/>
  <c r="J28" i="58"/>
  <c r="J29" i="58"/>
  <c r="J30" i="58"/>
  <c r="J31" i="58"/>
  <c r="J32" i="58"/>
  <c r="J33"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J68" i="58"/>
  <c r="J69" i="58"/>
  <c r="J70" i="58"/>
  <c r="J71" i="58"/>
  <c r="J72" i="58"/>
  <c r="J73" i="58"/>
  <c r="J74" i="58"/>
  <c r="J75" i="58"/>
  <c r="J76" i="58"/>
  <c r="J77" i="58"/>
  <c r="J78" i="58"/>
  <c r="J79" i="58"/>
  <c r="J80" i="58"/>
  <c r="J81" i="58"/>
  <c r="J82" i="58"/>
  <c r="J83" i="58"/>
  <c r="J84" i="58"/>
  <c r="J85" i="58"/>
  <c r="J86" i="58"/>
  <c r="J87" i="58"/>
  <c r="J88" i="58"/>
  <c r="J89" i="58"/>
  <c r="J90" i="58"/>
  <c r="J91" i="58"/>
  <c r="J92" i="58"/>
  <c r="J93" i="58"/>
  <c r="J94" i="58"/>
  <c r="J95" i="58"/>
  <c r="J96" i="58"/>
  <c r="J97" i="58"/>
  <c r="J98" i="58"/>
  <c r="J99" i="58"/>
  <c r="J100" i="58"/>
  <c r="J101" i="58"/>
  <c r="J102" i="58"/>
  <c r="J103" i="58"/>
  <c r="J104" i="58"/>
  <c r="J105" i="58"/>
  <c r="J106" i="58"/>
  <c r="J107" i="58"/>
  <c r="J108" i="58"/>
  <c r="J109" i="58"/>
  <c r="J110" i="58"/>
  <c r="J111" i="58"/>
  <c r="J112" i="58"/>
  <c r="J113" i="58"/>
  <c r="J114" i="58"/>
  <c r="J115" i="58"/>
  <c r="J116" i="58"/>
  <c r="J117" i="58"/>
  <c r="J118" i="58"/>
  <c r="J119" i="58"/>
  <c r="J120" i="58"/>
  <c r="J121" i="58"/>
  <c r="J122" i="58"/>
  <c r="J123" i="58"/>
  <c r="J124" i="58"/>
  <c r="J125" i="58"/>
  <c r="J126" i="58"/>
  <c r="J127" i="58"/>
  <c r="J128" i="58"/>
  <c r="J129" i="58"/>
  <c r="J130" i="58"/>
  <c r="J131" i="58"/>
  <c r="J132" i="58"/>
  <c r="J133" i="58"/>
  <c r="J134" i="58"/>
  <c r="J135" i="58"/>
  <c r="J136" i="58"/>
  <c r="J137" i="58"/>
  <c r="J138" i="58"/>
  <c r="J139" i="58"/>
  <c r="J140" i="58"/>
  <c r="J141" i="58"/>
  <c r="J142" i="58"/>
  <c r="J143" i="58"/>
  <c r="J144" i="58"/>
  <c r="J145" i="58"/>
  <c r="J146" i="58"/>
  <c r="J147" i="58"/>
  <c r="J148" i="58"/>
  <c r="J149" i="58"/>
  <c r="J150" i="58"/>
  <c r="J151" i="58"/>
  <c r="J152" i="58"/>
  <c r="J153" i="58"/>
  <c r="J154" i="58"/>
  <c r="J155" i="58"/>
  <c r="J156" i="58"/>
  <c r="J157" i="58"/>
  <c r="J158" i="58"/>
  <c r="J159" i="58"/>
  <c r="J160" i="58"/>
  <c r="J161" i="58"/>
  <c r="J162" i="58"/>
  <c r="J163" i="58"/>
  <c r="J164" i="58"/>
  <c r="J165" i="58"/>
  <c r="J166" i="58"/>
  <c r="J167" i="58"/>
  <c r="J168" i="58"/>
  <c r="J169" i="58"/>
  <c r="J170" i="58"/>
  <c r="J171" i="58"/>
  <c r="J172" i="58"/>
  <c r="J173" i="58"/>
  <c r="J174" i="58"/>
  <c r="J175" i="58"/>
  <c r="J176" i="58"/>
  <c r="J177" i="58"/>
  <c r="J178" i="58"/>
  <c r="J179" i="58"/>
  <c r="J180" i="58"/>
  <c r="J181" i="58"/>
  <c r="J182" i="58"/>
  <c r="J183" i="58"/>
  <c r="J184" i="58"/>
  <c r="J185" i="58"/>
  <c r="J186" i="58"/>
  <c r="J187" i="58"/>
  <c r="J188" i="58"/>
  <c r="J189" i="58"/>
  <c r="J190" i="58"/>
  <c r="J191" i="58"/>
  <c r="J192" i="58"/>
  <c r="J193" i="58"/>
  <c r="J194" i="58"/>
  <c r="J195" i="58"/>
  <c r="J196" i="58"/>
  <c r="J197" i="58"/>
  <c r="J198" i="58"/>
  <c r="J199" i="58"/>
  <c r="J200" i="58"/>
  <c r="J201" i="58"/>
  <c r="J202" i="58"/>
  <c r="J203" i="58"/>
  <c r="J204" i="58"/>
  <c r="J205" i="58"/>
  <c r="J206" i="58"/>
  <c r="J207" i="58"/>
  <c r="J208" i="58"/>
  <c r="J209" i="58"/>
  <c r="J210" i="58"/>
  <c r="J211" i="58"/>
  <c r="J212" i="58"/>
  <c r="J213" i="58"/>
  <c r="J214" i="58"/>
  <c r="J215" i="58"/>
  <c r="J216" i="58"/>
  <c r="J217" i="58"/>
  <c r="J218" i="58"/>
  <c r="J219" i="58"/>
  <c r="J220" i="58"/>
  <c r="J221" i="58"/>
  <c r="J222" i="58"/>
  <c r="J223" i="58"/>
  <c r="J224" i="58"/>
  <c r="J225" i="58"/>
  <c r="J226" i="58"/>
  <c r="J227" i="58"/>
  <c r="J228" i="58"/>
  <c r="J229" i="58"/>
  <c r="J230" i="58"/>
  <c r="J231" i="58"/>
  <c r="J232" i="58"/>
  <c r="J233" i="58"/>
  <c r="J234" i="58"/>
  <c r="J235" i="58"/>
  <c r="J236" i="58"/>
  <c r="J237" i="58"/>
  <c r="J2" i="58"/>
  <c r="BQ146" i="41"/>
  <c r="BQ145" i="41"/>
  <c r="BQ144" i="41"/>
  <c r="BQ143" i="41"/>
  <c r="BQ141" i="41"/>
  <c r="BQ138" i="41"/>
  <c r="BQ137" i="41"/>
  <c r="BQ136" i="41"/>
  <c r="BQ135" i="41"/>
  <c r="BQ131" i="41"/>
  <c r="BQ129" i="41"/>
  <c r="BQ128" i="41"/>
  <c r="BQ127" i="41"/>
  <c r="BQ123" i="41"/>
  <c r="BQ121" i="41"/>
  <c r="BQ120" i="41"/>
  <c r="BQ119" i="41"/>
  <c r="BQ118" i="41"/>
  <c r="BQ115" i="41"/>
  <c r="BQ114" i="41"/>
  <c r="BQ113" i="41"/>
  <c r="BQ112" i="41"/>
  <c r="BQ111" i="41"/>
  <c r="BQ107" i="41"/>
  <c r="BQ105" i="41"/>
  <c r="BQ104" i="41"/>
  <c r="BQ103" i="41"/>
  <c r="BQ97" i="41"/>
  <c r="BQ96" i="41"/>
  <c r="BQ95" i="41"/>
  <c r="BQ89" i="41"/>
  <c r="BQ88" i="41"/>
  <c r="BQ87" i="41"/>
  <c r="BQ85" i="41"/>
  <c r="BQ83" i="41"/>
  <c r="BQ81" i="41"/>
  <c r="BQ80" i="41"/>
  <c r="BQ79" i="41"/>
  <c r="BQ75" i="41"/>
  <c r="BQ73" i="41"/>
  <c r="BQ72" i="41"/>
  <c r="BQ71" i="41"/>
  <c r="BQ67" i="41"/>
  <c r="BQ66" i="41"/>
  <c r="BQ65" i="41"/>
  <c r="BQ64" i="41"/>
  <c r="BQ63" i="41"/>
  <c r="BQ59" i="41"/>
  <c r="BQ57" i="41"/>
  <c r="BQ56" i="41"/>
  <c r="BQ55" i="41"/>
  <c r="BQ51" i="41"/>
  <c r="BQ50" i="41"/>
  <c r="BQ49" i="41"/>
  <c r="BQ48" i="41"/>
  <c r="BQ47" i="41"/>
  <c r="BQ41" i="41"/>
  <c r="BQ40" i="41"/>
  <c r="BQ39" i="41"/>
  <c r="BQ33" i="41"/>
  <c r="BQ32" i="41"/>
  <c r="BQ31" i="41"/>
  <c r="BQ25" i="41"/>
  <c r="BQ24" i="41"/>
  <c r="BQ23" i="41"/>
  <c r="BQ19" i="41"/>
  <c r="BQ18" i="41"/>
  <c r="BQ17" i="41"/>
  <c r="BQ16" i="41"/>
  <c r="BQ15" i="41"/>
  <c r="BQ9" i="41"/>
  <c r="BP150" i="41"/>
  <c r="BQ8" i="41"/>
  <c r="BQ12" i="41"/>
  <c r="BQ20" i="41"/>
  <c r="BQ28" i="41"/>
  <c r="BQ36" i="41"/>
  <c r="BQ44" i="41"/>
  <c r="BQ52" i="41"/>
  <c r="BQ60" i="41"/>
  <c r="BQ68" i="41"/>
  <c r="BQ76" i="41"/>
  <c r="BQ84" i="41"/>
  <c r="BQ92" i="41"/>
  <c r="BQ100" i="41"/>
  <c r="BQ108" i="41"/>
  <c r="BQ116" i="41"/>
  <c r="BQ124" i="41"/>
  <c r="BQ132" i="41"/>
  <c r="BQ140" i="41"/>
  <c r="BQ148" i="41"/>
  <c r="BQ13" i="41"/>
  <c r="BQ21" i="41"/>
  <c r="BQ29" i="41"/>
  <c r="BQ37" i="41"/>
  <c r="BQ45" i="41"/>
  <c r="BQ53" i="41"/>
  <c r="BQ61" i="41"/>
  <c r="BQ69" i="41"/>
  <c r="BQ77" i="41"/>
  <c r="BQ93" i="41"/>
  <c r="BQ101" i="41"/>
  <c r="BQ109" i="41"/>
  <c r="BQ117" i="41"/>
  <c r="BQ125" i="41"/>
  <c r="BQ133" i="41"/>
  <c r="BQ14" i="41"/>
  <c r="BQ22" i="41"/>
  <c r="BQ30" i="41"/>
  <c r="BQ38" i="41"/>
  <c r="BQ46" i="41"/>
  <c r="BQ54" i="41"/>
  <c r="BQ62" i="41"/>
  <c r="BQ70" i="41"/>
  <c r="BQ78" i="41"/>
  <c r="BQ86" i="41"/>
  <c r="BQ94" i="41"/>
  <c r="BQ102" i="41"/>
  <c r="BQ110" i="41"/>
  <c r="BQ126" i="41"/>
  <c r="BQ134" i="41"/>
  <c r="BQ142" i="41"/>
  <c r="BQ10" i="41"/>
  <c r="BQ26" i="41"/>
  <c r="BQ34" i="41"/>
  <c r="BQ42" i="41"/>
  <c r="BQ58" i="41"/>
  <c r="BQ74" i="41"/>
  <c r="BQ82" i="41"/>
  <c r="BQ90" i="41"/>
  <c r="BQ98" i="41"/>
  <c r="BQ106" i="41"/>
  <c r="BQ122" i="41"/>
  <c r="BQ130" i="41"/>
  <c r="BQ11" i="41"/>
  <c r="BQ27" i="41"/>
  <c r="BQ35" i="41"/>
  <c r="BQ43" i="41"/>
  <c r="BQ91" i="41"/>
  <c r="BQ99" i="41"/>
  <c r="BQ139" i="41"/>
  <c r="BQ147" i="41"/>
  <c r="BQ151" i="41"/>
  <c r="BN13" i="41"/>
  <c r="BN11" i="41"/>
  <c r="BN117" i="41"/>
  <c r="BN130" i="41"/>
  <c r="BN126" i="41"/>
  <c r="BN52" i="41"/>
  <c r="BN92" i="41"/>
  <c r="BN112" i="41"/>
  <c r="BN41" i="41"/>
  <c r="BN38" i="41"/>
  <c r="BN27" i="41"/>
  <c r="BN10" i="41"/>
  <c r="BN20" i="41"/>
  <c r="BN37" i="41"/>
  <c r="BN119" i="41"/>
  <c r="BN50" i="41"/>
  <c r="BN127" i="41"/>
  <c r="BN141" i="41"/>
  <c r="BN15" i="41"/>
  <c r="BN75" i="41"/>
  <c r="BN12" i="41"/>
  <c r="BN103" i="41"/>
  <c r="BN123" i="41"/>
  <c r="BN30" i="41"/>
  <c r="BN133" i="41"/>
  <c r="BN67" i="41"/>
  <c r="BN88" i="41"/>
  <c r="BN84" i="41"/>
  <c r="BN60" i="41"/>
  <c r="BN63" i="41"/>
  <c r="BN96" i="41"/>
  <c r="BN118" i="41"/>
  <c r="BN76" i="41"/>
  <c r="BN34" i="41"/>
  <c r="BN57" i="41"/>
  <c r="BN89" i="41"/>
  <c r="BN100" i="41"/>
  <c r="BN61" i="41"/>
  <c r="BN106" i="41"/>
  <c r="BN148" i="41"/>
  <c r="BN134" i="41"/>
  <c r="BN105" i="41"/>
  <c r="BN99" i="41"/>
  <c r="BN107" i="41"/>
  <c r="BN22" i="41"/>
  <c r="BN65" i="41"/>
  <c r="BN58" i="41"/>
  <c r="BN32" i="41"/>
  <c r="BN115" i="41"/>
  <c r="BN24" i="41"/>
  <c r="BN59" i="41"/>
  <c r="BN116" i="41"/>
  <c r="BN128" i="41"/>
  <c r="BN97" i="41"/>
  <c r="BN45" i="41"/>
  <c r="BN95" i="41"/>
  <c r="BN94" i="41"/>
  <c r="BN101" i="41"/>
  <c r="BN113" i="41"/>
  <c r="BN125" i="41"/>
  <c r="BN78" i="41"/>
  <c r="BN31" i="41"/>
  <c r="BN85" i="41"/>
  <c r="BN36" i="41"/>
  <c r="BN143" i="41"/>
  <c r="BN55" i="41"/>
  <c r="BN54" i="41"/>
  <c r="BN131" i="41"/>
  <c r="BN146" i="41"/>
  <c r="BN64" i="41"/>
  <c r="BN23" i="41"/>
  <c r="BN21" i="41"/>
  <c r="BN93" i="41"/>
  <c r="BN142" i="41"/>
  <c r="BN62" i="41"/>
  <c r="BN90" i="41"/>
  <c r="BN135" i="41"/>
  <c r="BN91" i="41"/>
  <c r="BN136" i="41"/>
  <c r="BN144" i="41"/>
  <c r="BN71" i="41"/>
  <c r="BN35" i="41"/>
  <c r="BN68" i="41"/>
  <c r="BN121" i="41"/>
  <c r="BN53" i="41"/>
  <c r="BN80" i="41"/>
  <c r="BN42" i="41"/>
  <c r="BN46" i="41"/>
  <c r="BN147" i="41"/>
  <c r="BN47" i="41"/>
  <c r="BN39" i="41"/>
  <c r="BN98" i="41"/>
  <c r="BN145" i="41"/>
  <c r="BN109" i="41"/>
  <c r="BN77" i="41"/>
  <c r="BN122" i="41"/>
  <c r="BN132" i="41"/>
  <c r="BN111" i="41"/>
  <c r="BN86" i="41"/>
  <c r="BN73" i="41"/>
  <c r="BN138" i="41"/>
  <c r="BN124" i="41"/>
  <c r="BN19" i="41"/>
  <c r="BN102" i="41"/>
  <c r="BN18" i="41"/>
  <c r="BN25" i="41"/>
  <c r="BN40" i="41"/>
  <c r="BN120" i="41"/>
  <c r="BN129" i="41"/>
  <c r="BN114" i="41"/>
  <c r="BN28" i="41"/>
  <c r="BN51" i="41"/>
  <c r="BN87" i="41"/>
  <c r="BN108" i="41"/>
  <c r="BN43" i="41"/>
  <c r="BN49" i="41"/>
  <c r="BN14" i="41"/>
  <c r="BN56" i="41"/>
  <c r="BN104" i="41"/>
  <c r="BN26" i="41"/>
  <c r="BN29" i="41"/>
  <c r="BN81" i="41"/>
  <c r="BN70" i="41"/>
  <c r="BN9" i="41"/>
  <c r="BN16" i="41"/>
  <c r="BN139" i="41"/>
  <c r="BN83" i="41"/>
  <c r="BN79" i="41"/>
  <c r="BN110" i="41"/>
  <c r="BN69" i="41"/>
  <c r="BN72" i="41"/>
  <c r="BN137" i="41"/>
  <c r="BN44" i="41"/>
  <c r="BN48" i="41"/>
  <c r="BN33" i="41"/>
  <c r="BN140" i="41"/>
  <c r="BN17" i="41"/>
  <c r="BN74" i="41"/>
  <c r="BN82" i="41"/>
  <c r="BN66" i="41"/>
  <c r="BN151" i="41"/>
  <c r="BN153" i="41"/>
  <c r="BN155" i="41"/>
  <c r="BO153" i="41"/>
  <c r="G237" i="58"/>
  <c r="G236" i="58"/>
  <c r="G235" i="58"/>
  <c r="G234" i="58"/>
  <c r="G233" i="58"/>
  <c r="G232" i="58"/>
  <c r="G231" i="58"/>
  <c r="G230" i="58"/>
  <c r="G229" i="58"/>
  <c r="G228" i="58"/>
  <c r="G227" i="58"/>
  <c r="G226" i="58"/>
  <c r="G225" i="58"/>
  <c r="C237" i="58"/>
  <c r="E237" i="58"/>
  <c r="C236" i="58"/>
  <c r="E236" i="58"/>
  <c r="C235" i="58"/>
  <c r="E235" i="58"/>
  <c r="C234" i="58"/>
  <c r="E234" i="58"/>
  <c r="C233" i="58"/>
  <c r="E233" i="58"/>
  <c r="C232" i="58"/>
  <c r="E232" i="58"/>
  <c r="C231" i="58"/>
  <c r="E231" i="58"/>
  <c r="C230" i="58"/>
  <c r="E230" i="58"/>
  <c r="C229" i="58"/>
  <c r="E229" i="58"/>
  <c r="C228" i="58"/>
  <c r="E228" i="58"/>
  <c r="C227" i="58"/>
  <c r="E227" i="58"/>
  <c r="C226" i="58"/>
  <c r="E226" i="58"/>
  <c r="C225" i="58"/>
  <c r="E225" i="58"/>
  <c r="G224" i="58"/>
  <c r="C224" i="58"/>
  <c r="E224" i="58"/>
  <c r="G223" i="58"/>
  <c r="C223" i="58"/>
  <c r="E223" i="58"/>
  <c r="G222" i="58"/>
  <c r="C222" i="58"/>
  <c r="E222" i="58"/>
  <c r="G221" i="58"/>
  <c r="C221" i="58"/>
  <c r="E221" i="58"/>
  <c r="G220" i="58"/>
  <c r="C220" i="58"/>
  <c r="E220" i="58"/>
  <c r="G219" i="58"/>
  <c r="C219" i="58"/>
  <c r="E219" i="58"/>
  <c r="G218" i="58"/>
  <c r="C218" i="58"/>
  <c r="E218" i="58"/>
  <c r="G217" i="58"/>
  <c r="C217" i="58"/>
  <c r="E217" i="58"/>
  <c r="G216" i="58"/>
  <c r="C216" i="58"/>
  <c r="E216" i="58"/>
  <c r="G215" i="58"/>
  <c r="C215" i="58"/>
  <c r="E215" i="58"/>
  <c r="G214" i="58"/>
  <c r="C214" i="58"/>
  <c r="E214" i="58"/>
  <c r="G213" i="58"/>
  <c r="E213" i="58"/>
  <c r="C213" i="58"/>
  <c r="G212" i="58"/>
  <c r="C212" i="58"/>
  <c r="E212" i="58"/>
  <c r="G211" i="58"/>
  <c r="C211" i="58"/>
  <c r="E211" i="58"/>
  <c r="G210" i="58"/>
  <c r="C210" i="58"/>
  <c r="E210" i="58"/>
  <c r="G209" i="58"/>
  <c r="C209" i="58"/>
  <c r="G208" i="58"/>
  <c r="C208" i="58"/>
  <c r="E208" i="58"/>
  <c r="G207" i="58"/>
  <c r="C207" i="58"/>
  <c r="E207" i="58"/>
  <c r="G206" i="58"/>
  <c r="C206" i="58"/>
  <c r="E206" i="58"/>
  <c r="G205" i="58"/>
  <c r="C205" i="58"/>
  <c r="G204" i="58"/>
  <c r="C204" i="58"/>
  <c r="E204" i="58"/>
  <c r="G203" i="58"/>
  <c r="C203" i="58"/>
  <c r="E203" i="58"/>
  <c r="G202" i="58"/>
  <c r="C202" i="58"/>
  <c r="E202" i="58"/>
  <c r="G201" i="58"/>
  <c r="C201" i="58"/>
  <c r="E201" i="58"/>
  <c r="G200" i="58"/>
  <c r="C200" i="58"/>
  <c r="E200" i="58"/>
  <c r="G199" i="58"/>
  <c r="C199" i="58"/>
  <c r="E199" i="58"/>
  <c r="G198" i="58"/>
  <c r="C198" i="58"/>
  <c r="E198" i="58"/>
  <c r="G197" i="58"/>
  <c r="C197" i="58"/>
  <c r="E197" i="58"/>
  <c r="G196" i="58"/>
  <c r="C196" i="58"/>
  <c r="E196" i="58"/>
  <c r="G195" i="58"/>
  <c r="C195" i="58"/>
  <c r="E195" i="58"/>
  <c r="G194" i="58"/>
  <c r="C194" i="58"/>
  <c r="E194" i="58"/>
  <c r="G193" i="58"/>
  <c r="C193" i="58"/>
  <c r="E193" i="58"/>
  <c r="G192" i="58"/>
  <c r="C192" i="58"/>
  <c r="E192" i="58"/>
  <c r="G191" i="58"/>
  <c r="C191" i="58"/>
  <c r="E191" i="58"/>
  <c r="G190" i="58"/>
  <c r="C190" i="58"/>
  <c r="E190" i="58"/>
  <c r="G189" i="58"/>
  <c r="C189" i="58"/>
  <c r="E189" i="58"/>
  <c r="G188" i="58"/>
  <c r="C188" i="58"/>
  <c r="E188" i="58"/>
  <c r="G187" i="58"/>
  <c r="C187" i="58"/>
  <c r="E187" i="58"/>
  <c r="G186" i="58"/>
  <c r="C186" i="58"/>
  <c r="E186" i="58"/>
  <c r="G185" i="58"/>
  <c r="C185" i="58"/>
  <c r="E185" i="58"/>
  <c r="G184" i="58"/>
  <c r="C184" i="58"/>
  <c r="E184" i="58"/>
  <c r="G183" i="58"/>
  <c r="C183" i="58"/>
  <c r="E183" i="58"/>
  <c r="G182" i="58"/>
  <c r="C182" i="58"/>
  <c r="E182" i="58"/>
  <c r="G181" i="58"/>
  <c r="C181" i="58"/>
  <c r="E181" i="58"/>
  <c r="G180" i="58"/>
  <c r="C180" i="58"/>
  <c r="E180" i="58"/>
  <c r="G179" i="58"/>
  <c r="C179" i="58"/>
  <c r="E179" i="58"/>
  <c r="G178" i="58"/>
  <c r="C178" i="58"/>
  <c r="E178" i="58"/>
  <c r="G177" i="58"/>
  <c r="C177" i="58"/>
  <c r="E177" i="58"/>
  <c r="G176" i="58"/>
  <c r="C176" i="58"/>
  <c r="E176" i="58"/>
  <c r="G175" i="58"/>
  <c r="C175" i="58"/>
  <c r="E175" i="58"/>
  <c r="G174" i="58"/>
  <c r="C174" i="58"/>
  <c r="E174" i="58"/>
  <c r="G173" i="58"/>
  <c r="C173" i="58"/>
  <c r="E173" i="58"/>
  <c r="G172" i="58"/>
  <c r="C172" i="58"/>
  <c r="E172" i="58"/>
  <c r="G171" i="58"/>
  <c r="C171" i="58"/>
  <c r="E171" i="58"/>
  <c r="G170" i="58"/>
  <c r="C170" i="58"/>
  <c r="E170" i="58"/>
  <c r="G169" i="58"/>
  <c r="C169" i="58"/>
  <c r="E169" i="58"/>
  <c r="G168" i="58"/>
  <c r="C168" i="58"/>
  <c r="E168" i="58"/>
  <c r="G167" i="58"/>
  <c r="C167" i="58"/>
  <c r="E167" i="58"/>
  <c r="G166" i="58"/>
  <c r="C166" i="58"/>
  <c r="E166" i="58"/>
  <c r="G165" i="58"/>
  <c r="C165" i="58"/>
  <c r="E165" i="58"/>
  <c r="G164" i="58"/>
  <c r="C164" i="58"/>
  <c r="E164" i="58"/>
  <c r="G163" i="58"/>
  <c r="C163" i="58"/>
  <c r="E163" i="58"/>
  <c r="G162" i="58"/>
  <c r="C162" i="58"/>
  <c r="E162" i="58"/>
  <c r="G161" i="58"/>
  <c r="C161" i="58"/>
  <c r="E161" i="58"/>
  <c r="G160" i="58"/>
  <c r="C160" i="58"/>
  <c r="E160" i="58"/>
  <c r="G159" i="58"/>
  <c r="C159" i="58"/>
  <c r="E159" i="58"/>
  <c r="G158" i="58"/>
  <c r="C158" i="58"/>
  <c r="E158" i="58"/>
  <c r="G157" i="58"/>
  <c r="C157" i="58"/>
  <c r="E157" i="58"/>
  <c r="G156" i="58"/>
  <c r="C156" i="58"/>
  <c r="E156" i="58"/>
  <c r="G155" i="58"/>
  <c r="C155" i="58"/>
  <c r="E155" i="58"/>
  <c r="G154" i="58"/>
  <c r="C154" i="58"/>
  <c r="E154" i="58"/>
  <c r="G153" i="58"/>
  <c r="C153" i="58"/>
  <c r="E153" i="58"/>
  <c r="G152" i="58"/>
  <c r="C152" i="58"/>
  <c r="E152" i="58"/>
  <c r="G151" i="58"/>
  <c r="C151" i="58"/>
  <c r="E151" i="58"/>
  <c r="G150" i="58"/>
  <c r="C150" i="58"/>
  <c r="E150" i="58"/>
  <c r="G149" i="58"/>
  <c r="C149" i="58"/>
  <c r="E149" i="58"/>
  <c r="G148" i="58"/>
  <c r="C148" i="58"/>
  <c r="E148" i="58"/>
  <c r="G147" i="58"/>
  <c r="C147" i="58"/>
  <c r="E147" i="58"/>
  <c r="G146" i="58"/>
  <c r="C146" i="58"/>
  <c r="E146" i="58"/>
  <c r="G145" i="58"/>
  <c r="C145" i="58"/>
  <c r="E145" i="58"/>
  <c r="G144" i="58"/>
  <c r="C144" i="58"/>
  <c r="E144" i="58"/>
  <c r="G143" i="58"/>
  <c r="C143" i="58"/>
  <c r="E143" i="58"/>
  <c r="G142" i="58"/>
  <c r="C142" i="58"/>
  <c r="E142" i="58"/>
  <c r="G141" i="58"/>
  <c r="C141" i="58"/>
  <c r="E141" i="58"/>
  <c r="G140" i="58"/>
  <c r="C140" i="58"/>
  <c r="E140" i="58"/>
  <c r="G139" i="58"/>
  <c r="C139" i="58"/>
  <c r="E139" i="58"/>
  <c r="G138" i="58"/>
  <c r="C138" i="58"/>
  <c r="E138" i="58"/>
  <c r="G137" i="58"/>
  <c r="C137" i="58"/>
  <c r="E137" i="58"/>
  <c r="G136" i="58"/>
  <c r="C136" i="58"/>
  <c r="E136" i="58"/>
  <c r="G135" i="58"/>
  <c r="C135" i="58"/>
  <c r="E135" i="58"/>
  <c r="G134" i="58"/>
  <c r="C134" i="58"/>
  <c r="E134" i="58"/>
  <c r="G133" i="58"/>
  <c r="C133" i="58"/>
  <c r="E133" i="58"/>
  <c r="G132" i="58"/>
  <c r="C132" i="58"/>
  <c r="E132" i="58"/>
  <c r="G131" i="58"/>
  <c r="C131" i="58"/>
  <c r="E131" i="58"/>
  <c r="G130" i="58"/>
  <c r="C130" i="58"/>
  <c r="E130" i="58"/>
  <c r="G129" i="58"/>
  <c r="C129" i="58"/>
  <c r="E129" i="58"/>
  <c r="G128" i="58"/>
  <c r="C128" i="58"/>
  <c r="E128" i="58"/>
  <c r="G127" i="58"/>
  <c r="C127" i="58"/>
  <c r="E127" i="58"/>
  <c r="G126" i="58"/>
  <c r="C126" i="58"/>
  <c r="E126" i="58"/>
  <c r="G125" i="58"/>
  <c r="C125" i="58"/>
  <c r="E125" i="58"/>
  <c r="G124" i="58"/>
  <c r="C124" i="58"/>
  <c r="E124" i="58"/>
  <c r="G123" i="58"/>
  <c r="C123" i="58"/>
  <c r="E123" i="58"/>
  <c r="G122" i="58"/>
  <c r="C122" i="58"/>
  <c r="E122" i="58"/>
  <c r="G121" i="58"/>
  <c r="C121" i="58"/>
  <c r="E121" i="58"/>
  <c r="G120" i="58"/>
  <c r="C120" i="58"/>
  <c r="E120" i="58"/>
  <c r="G119" i="58"/>
  <c r="C119" i="58"/>
  <c r="E119" i="58"/>
  <c r="G118" i="58"/>
  <c r="C118" i="58"/>
  <c r="E118" i="58"/>
  <c r="G117" i="58"/>
  <c r="C117" i="58"/>
  <c r="E117" i="58"/>
  <c r="G116" i="58"/>
  <c r="C116" i="58"/>
  <c r="E116" i="58"/>
  <c r="G115" i="58"/>
  <c r="C115" i="58"/>
  <c r="E115" i="58"/>
  <c r="G114" i="58"/>
  <c r="C114" i="58"/>
  <c r="E114" i="58"/>
  <c r="G113" i="58"/>
  <c r="C113" i="58"/>
  <c r="E113" i="58"/>
  <c r="G112" i="58"/>
  <c r="C112" i="58"/>
  <c r="E112" i="58"/>
  <c r="G111" i="58"/>
  <c r="C111" i="58"/>
  <c r="E111" i="58"/>
  <c r="G110" i="58"/>
  <c r="C110" i="58"/>
  <c r="E110" i="58"/>
  <c r="G109" i="58"/>
  <c r="C109" i="58"/>
  <c r="E109" i="58"/>
  <c r="G108" i="58"/>
  <c r="C108" i="58"/>
  <c r="E108" i="58"/>
  <c r="G107" i="58"/>
  <c r="C107" i="58"/>
  <c r="E107" i="58"/>
  <c r="G106" i="58"/>
  <c r="C106" i="58"/>
  <c r="E106" i="58"/>
  <c r="G105" i="58"/>
  <c r="C105" i="58"/>
  <c r="E105" i="58"/>
  <c r="G104" i="58"/>
  <c r="C104" i="58"/>
  <c r="E104" i="58"/>
  <c r="G103" i="58"/>
  <c r="C103" i="58"/>
  <c r="E103" i="58"/>
  <c r="G102" i="58"/>
  <c r="C102" i="58"/>
  <c r="E102" i="58"/>
  <c r="G101" i="58"/>
  <c r="C101" i="58"/>
  <c r="E101" i="58"/>
  <c r="G100" i="58"/>
  <c r="C100" i="58"/>
  <c r="E100" i="58"/>
  <c r="G99" i="58"/>
  <c r="C99" i="58"/>
  <c r="E99" i="58"/>
  <c r="G98" i="58"/>
  <c r="C98" i="58"/>
  <c r="E98" i="58"/>
  <c r="G97" i="58"/>
  <c r="C97" i="58"/>
  <c r="E97" i="58"/>
  <c r="G96" i="58"/>
  <c r="C96" i="58"/>
  <c r="E96" i="58"/>
  <c r="G95" i="58"/>
  <c r="C95" i="58"/>
  <c r="E95" i="58"/>
  <c r="G94" i="58"/>
  <c r="C94" i="58"/>
  <c r="E94" i="58"/>
  <c r="G93" i="58"/>
  <c r="C93" i="58"/>
  <c r="E93" i="58"/>
  <c r="G92" i="58"/>
  <c r="C92" i="58"/>
  <c r="E92" i="58"/>
  <c r="G91" i="58"/>
  <c r="C91" i="58"/>
  <c r="E91" i="58"/>
  <c r="G90" i="58"/>
  <c r="C90" i="58"/>
  <c r="E90" i="58"/>
  <c r="G89" i="58"/>
  <c r="C89" i="58"/>
  <c r="E89" i="58"/>
  <c r="G88" i="58"/>
  <c r="C88" i="58"/>
  <c r="E88" i="58"/>
  <c r="G87" i="58"/>
  <c r="C87" i="58"/>
  <c r="E87" i="58"/>
  <c r="G86" i="58"/>
  <c r="C86" i="58"/>
  <c r="E86" i="58"/>
  <c r="G85" i="58"/>
  <c r="C85" i="58"/>
  <c r="E85" i="58"/>
  <c r="G84" i="58"/>
  <c r="C84" i="58"/>
  <c r="E84" i="58"/>
  <c r="G83" i="58"/>
  <c r="C83" i="58"/>
  <c r="E83" i="58"/>
  <c r="G82" i="58"/>
  <c r="C82" i="58"/>
  <c r="E82" i="58"/>
  <c r="G81" i="58"/>
  <c r="C81" i="58"/>
  <c r="E81" i="58"/>
  <c r="G80" i="58"/>
  <c r="C80" i="58"/>
  <c r="E80" i="58"/>
  <c r="G79" i="58"/>
  <c r="C79" i="58"/>
  <c r="E79" i="58"/>
  <c r="G78" i="58"/>
  <c r="C78" i="58"/>
  <c r="E78" i="58"/>
  <c r="G77" i="58"/>
  <c r="C77" i="58"/>
  <c r="E77" i="58"/>
  <c r="G76" i="58"/>
  <c r="C76" i="58"/>
  <c r="E76" i="58"/>
  <c r="G75" i="58"/>
  <c r="C75" i="58"/>
  <c r="E75" i="58"/>
  <c r="G74" i="58"/>
  <c r="C74" i="58"/>
  <c r="E74" i="58"/>
  <c r="G73" i="58"/>
  <c r="C73" i="58"/>
  <c r="E73" i="58"/>
  <c r="G72" i="58"/>
  <c r="C72" i="58"/>
  <c r="E72" i="58"/>
  <c r="G71" i="58"/>
  <c r="C71" i="58"/>
  <c r="E71" i="58"/>
  <c r="G70" i="58"/>
  <c r="C70" i="58"/>
  <c r="E70" i="58"/>
  <c r="G69" i="58"/>
  <c r="C69" i="58"/>
  <c r="E69" i="58"/>
  <c r="G68" i="58"/>
  <c r="C68" i="58"/>
  <c r="E68" i="58"/>
  <c r="G67" i="58"/>
  <c r="C67" i="58"/>
  <c r="E67" i="58"/>
  <c r="G66" i="58"/>
  <c r="C66" i="58"/>
  <c r="E66" i="58"/>
  <c r="G65" i="58"/>
  <c r="C65" i="58"/>
  <c r="E65" i="58"/>
  <c r="G64" i="58"/>
  <c r="C64" i="58"/>
  <c r="E64" i="58"/>
  <c r="G63" i="58"/>
  <c r="C63" i="58"/>
  <c r="E63" i="58"/>
  <c r="G62" i="58"/>
  <c r="C62" i="58"/>
  <c r="E62" i="58"/>
  <c r="G61" i="58"/>
  <c r="C61" i="58"/>
  <c r="E61" i="58"/>
  <c r="G60" i="58"/>
  <c r="C60" i="58"/>
  <c r="E60" i="58"/>
  <c r="G59" i="58"/>
  <c r="C59" i="58"/>
  <c r="E59" i="58"/>
  <c r="G58" i="58"/>
  <c r="C58" i="58"/>
  <c r="E58" i="58"/>
  <c r="G57" i="58"/>
  <c r="C57" i="58"/>
  <c r="E57" i="58"/>
  <c r="G56" i="58"/>
  <c r="C56" i="58"/>
  <c r="E56" i="58"/>
  <c r="G55" i="58"/>
  <c r="C55" i="58"/>
  <c r="E55" i="58"/>
  <c r="G54" i="58"/>
  <c r="C54" i="58"/>
  <c r="E54" i="58"/>
  <c r="G53" i="58"/>
  <c r="C53" i="58"/>
  <c r="E53" i="58"/>
  <c r="G52" i="58"/>
  <c r="C52" i="58"/>
  <c r="E52" i="58"/>
  <c r="G51" i="58"/>
  <c r="C51" i="58"/>
  <c r="E51" i="58"/>
  <c r="G50" i="58"/>
  <c r="C50" i="58"/>
  <c r="E50" i="58"/>
  <c r="G49" i="58"/>
  <c r="C49" i="58"/>
  <c r="E49" i="58"/>
  <c r="G48" i="58"/>
  <c r="C48" i="58"/>
  <c r="E48" i="58"/>
  <c r="G47" i="58"/>
  <c r="C47" i="58"/>
  <c r="E47" i="58"/>
  <c r="G46" i="58"/>
  <c r="C46" i="58"/>
  <c r="E46" i="58"/>
  <c r="G45" i="58"/>
  <c r="C45" i="58"/>
  <c r="E45" i="58"/>
  <c r="G44" i="58"/>
  <c r="C44" i="58"/>
  <c r="E44" i="58"/>
  <c r="G43" i="58"/>
  <c r="C43" i="58"/>
  <c r="E43" i="58"/>
  <c r="G42" i="58"/>
  <c r="C42" i="58"/>
  <c r="E42" i="58"/>
  <c r="G41" i="58"/>
  <c r="C41" i="58"/>
  <c r="E41" i="58"/>
  <c r="G40" i="58"/>
  <c r="C40" i="58"/>
  <c r="E40" i="58"/>
  <c r="G39" i="58"/>
  <c r="C39" i="58"/>
  <c r="E39" i="58"/>
  <c r="G38" i="58"/>
  <c r="C38" i="58"/>
  <c r="E38" i="58"/>
  <c r="G37" i="58"/>
  <c r="C37" i="58"/>
  <c r="E37" i="58"/>
  <c r="G36" i="58"/>
  <c r="C36" i="58"/>
  <c r="E36" i="58"/>
  <c r="G35" i="58"/>
  <c r="C35" i="58"/>
  <c r="E35" i="58"/>
  <c r="G34" i="58"/>
  <c r="C34" i="58"/>
  <c r="E34" i="58"/>
  <c r="G33" i="58"/>
  <c r="C33" i="58"/>
  <c r="E33" i="58"/>
  <c r="G32" i="58"/>
  <c r="C32" i="58"/>
  <c r="E32" i="58"/>
  <c r="G31" i="58"/>
  <c r="C31" i="58"/>
  <c r="E31" i="58"/>
  <c r="G30" i="58"/>
  <c r="C30" i="58"/>
  <c r="E30" i="58"/>
  <c r="G29" i="58"/>
  <c r="C29" i="58"/>
  <c r="AF149" i="41"/>
  <c r="G28" i="58"/>
  <c r="C28" i="58"/>
  <c r="E28" i="58"/>
  <c r="G27" i="58"/>
  <c r="C27" i="58"/>
  <c r="E27" i="58"/>
  <c r="G26" i="58"/>
  <c r="C26" i="58"/>
  <c r="E26" i="58"/>
  <c r="G25" i="58"/>
  <c r="C25" i="58"/>
  <c r="E25" i="58"/>
  <c r="G24" i="58"/>
  <c r="C24" i="58"/>
  <c r="E24" i="58"/>
  <c r="G23" i="58"/>
  <c r="C23" i="58"/>
  <c r="E23" i="58"/>
  <c r="G22" i="58"/>
  <c r="C22" i="58"/>
  <c r="E22" i="58"/>
  <c r="G21" i="58"/>
  <c r="C21" i="58"/>
  <c r="E21" i="58"/>
  <c r="G20" i="58"/>
  <c r="C20" i="58"/>
  <c r="E20" i="58"/>
  <c r="G19" i="58"/>
  <c r="C19" i="58"/>
  <c r="E19" i="58"/>
  <c r="G18" i="58"/>
  <c r="C18" i="58"/>
  <c r="E18" i="58"/>
  <c r="G17" i="58"/>
  <c r="C17" i="58"/>
  <c r="E17" i="58"/>
  <c r="G16" i="58"/>
  <c r="C16" i="58"/>
  <c r="E16" i="58"/>
  <c r="G15" i="58"/>
  <c r="C15" i="58"/>
  <c r="E15" i="58"/>
  <c r="G14" i="58"/>
  <c r="C14" i="58"/>
  <c r="E14" i="58"/>
  <c r="G13" i="58"/>
  <c r="C13" i="58"/>
  <c r="E13" i="58"/>
  <c r="G12" i="58"/>
  <c r="C12" i="58"/>
  <c r="E12" i="58"/>
  <c r="G11" i="58"/>
  <c r="C11" i="58"/>
  <c r="E11" i="58"/>
  <c r="G10" i="58"/>
  <c r="C10" i="58"/>
  <c r="E10" i="58"/>
  <c r="G9" i="58"/>
  <c r="C9" i="58"/>
  <c r="E9" i="58"/>
  <c r="G8" i="58"/>
  <c r="C8" i="58"/>
  <c r="E8" i="58"/>
  <c r="G7" i="58"/>
  <c r="C7" i="58"/>
  <c r="E7" i="58"/>
  <c r="G6" i="58"/>
  <c r="C6" i="58"/>
  <c r="E6" i="58"/>
  <c r="G5" i="58"/>
  <c r="C5" i="58"/>
  <c r="E5" i="58"/>
  <c r="G4" i="58"/>
  <c r="C4" i="58"/>
  <c r="E4" i="58"/>
  <c r="G3" i="58"/>
  <c r="C3" i="58"/>
  <c r="E3" i="58"/>
  <c r="G2" i="58"/>
  <c r="C2" i="58"/>
  <c r="E2" i="58"/>
  <c r="C37" i="6"/>
  <c r="C38" i="23"/>
  <c r="C11" i="5"/>
  <c r="BP149" i="41"/>
  <c r="BL149" i="41"/>
  <c r="BO149" i="41"/>
  <c r="AH149" i="41"/>
  <c r="E29" i="58"/>
  <c r="AF146" i="41"/>
  <c r="AF106" i="41"/>
  <c r="AF98" i="41"/>
  <c r="AF90" i="41"/>
  <c r="AF82" i="41"/>
  <c r="AF74" i="41"/>
  <c r="AF66" i="41"/>
  <c r="AF58" i="41"/>
  <c r="AF50" i="41"/>
  <c r="AF42" i="41"/>
  <c r="AF34" i="41"/>
  <c r="AF26" i="41"/>
  <c r="AF18" i="41"/>
  <c r="AF10" i="41"/>
  <c r="AF145" i="41"/>
  <c r="AF105" i="41"/>
  <c r="AF97" i="41"/>
  <c r="AF89" i="41"/>
  <c r="AF81" i="41"/>
  <c r="AF73" i="41"/>
  <c r="AF65" i="41"/>
  <c r="AF57" i="41"/>
  <c r="AF49" i="41"/>
  <c r="AF41" i="41"/>
  <c r="AF33" i="41"/>
  <c r="AF25" i="41"/>
  <c r="AF17" i="41"/>
  <c r="AF9" i="41"/>
  <c r="AF144" i="41"/>
  <c r="AF104" i="41"/>
  <c r="AF96" i="41"/>
  <c r="AF88" i="41"/>
  <c r="AF80" i="41"/>
  <c r="AF72" i="41"/>
  <c r="AF64" i="41"/>
  <c r="AF56" i="41"/>
  <c r="AF48" i="41"/>
  <c r="AF40" i="41"/>
  <c r="AF32" i="41"/>
  <c r="AF24" i="41"/>
  <c r="AF16" i="41"/>
  <c r="AF8" i="41"/>
  <c r="AF143" i="41"/>
  <c r="AF103" i="41"/>
  <c r="AF95" i="41"/>
  <c r="AF87" i="41"/>
  <c r="AF79" i="41"/>
  <c r="AF71" i="41"/>
  <c r="AF63" i="41"/>
  <c r="AF55" i="41"/>
  <c r="AF47" i="41"/>
  <c r="AF39" i="41"/>
  <c r="AF31" i="41"/>
  <c r="AF23" i="41"/>
  <c r="AF15" i="41"/>
  <c r="AF142" i="41"/>
  <c r="AF102" i="41"/>
  <c r="AF94" i="41"/>
  <c r="AF86" i="41"/>
  <c r="AF78" i="41"/>
  <c r="AF70" i="41"/>
  <c r="AF62" i="41"/>
  <c r="AF54" i="41"/>
  <c r="AF46" i="41"/>
  <c r="AF38" i="41"/>
  <c r="AF30" i="41"/>
  <c r="AF22" i="41"/>
  <c r="AF14" i="41"/>
  <c r="AF141" i="41"/>
  <c r="AF101" i="41"/>
  <c r="AF93" i="41"/>
  <c r="AF85" i="41"/>
  <c r="AF77" i="41"/>
  <c r="AF69" i="41"/>
  <c r="AF61" i="41"/>
  <c r="AF53" i="41"/>
  <c r="AF45" i="41"/>
  <c r="AF37" i="41"/>
  <c r="AF29" i="41"/>
  <c r="AF21" i="41"/>
  <c r="AF13" i="41"/>
  <c r="AF140" i="41"/>
  <c r="AF100" i="41"/>
  <c r="AF92" i="41"/>
  <c r="AF84" i="41"/>
  <c r="AF76" i="41"/>
  <c r="AF68" i="41"/>
  <c r="AF60" i="41"/>
  <c r="AF52" i="41"/>
  <c r="AF44" i="41"/>
  <c r="AF36" i="41"/>
  <c r="AF28" i="41"/>
  <c r="AF20" i="41"/>
  <c r="AF12" i="41"/>
  <c r="AF147" i="41"/>
  <c r="AF139" i="41"/>
  <c r="AF99" i="41"/>
  <c r="AF91" i="41"/>
  <c r="AF83" i="41"/>
  <c r="AF75" i="41"/>
  <c r="AF67" i="41"/>
  <c r="AF59" i="41"/>
  <c r="AF51" i="41"/>
  <c r="AF43" i="41"/>
  <c r="AF35" i="41"/>
  <c r="AF27" i="41"/>
  <c r="AF19" i="41"/>
  <c r="AF11" i="41"/>
  <c r="E209" i="58"/>
  <c r="AF134" i="41"/>
  <c r="AF126" i="41"/>
  <c r="AF118" i="41"/>
  <c r="AF110" i="41"/>
  <c r="AF133" i="41"/>
  <c r="AF125" i="41"/>
  <c r="AF117" i="41"/>
  <c r="AF109" i="41"/>
  <c r="AF148" i="41"/>
  <c r="AF132" i="41"/>
  <c r="AF124" i="41"/>
  <c r="AF116" i="41"/>
  <c r="AF108" i="41"/>
  <c r="AF131" i="41"/>
  <c r="AF123" i="41"/>
  <c r="AF115" i="41"/>
  <c r="AF107" i="41"/>
  <c r="AF138" i="41"/>
  <c r="AF130" i="41"/>
  <c r="AF122" i="41"/>
  <c r="AF114" i="41"/>
  <c r="AF137" i="41"/>
  <c r="AF129" i="41"/>
  <c r="AF121" i="41"/>
  <c r="AF113" i="41"/>
  <c r="AF136" i="41"/>
  <c r="AF128" i="41"/>
  <c r="AF120" i="41"/>
  <c r="AF112" i="41"/>
  <c r="AF135" i="41"/>
  <c r="AF127" i="41"/>
  <c r="AF119" i="41"/>
  <c r="AF111" i="41"/>
  <c r="E205" i="58"/>
  <c r="C197" i="23"/>
  <c r="C201" i="23"/>
  <c r="C205" i="23"/>
  <c r="C183" i="23"/>
  <c r="C187" i="23"/>
  <c r="C194" i="23"/>
  <c r="C198" i="23"/>
  <c r="C202" i="23"/>
  <c r="C206" i="23"/>
  <c r="C12" i="23"/>
  <c r="C188" i="23"/>
  <c r="C192" i="23"/>
  <c r="C195" i="23"/>
  <c r="C199" i="23"/>
  <c r="C203" i="23"/>
  <c r="C207" i="23"/>
  <c r="C189" i="23"/>
  <c r="C193" i="23"/>
  <c r="C196" i="23"/>
  <c r="C200" i="23"/>
  <c r="C204" i="23"/>
  <c r="C208" i="23"/>
  <c r="H37" i="6"/>
  <c r="E37" i="6"/>
  <c r="J37" i="6"/>
  <c r="W178" i="41"/>
  <c r="S172" i="41"/>
  <c r="X174" i="41"/>
  <c r="X173" i="41"/>
  <c r="T176" i="41"/>
  <c r="W173" i="41"/>
  <c r="AB176" i="41"/>
  <c r="T174" i="41"/>
  <c r="T169" i="41"/>
  <c r="S174" i="41"/>
  <c r="Z174" i="41"/>
  <c r="W175" i="41"/>
  <c r="S169" i="41"/>
  <c r="AA175" i="41"/>
  <c r="Y177" i="41"/>
  <c r="U171" i="41"/>
  <c r="X170" i="41"/>
  <c r="Z172" i="41"/>
  <c r="Z169" i="41"/>
  <c r="Y172" i="41"/>
  <c r="T172" i="41"/>
  <c r="V173" i="41"/>
  <c r="Z173" i="41"/>
  <c r="U173" i="41"/>
  <c r="Z170" i="41"/>
  <c r="Y174" i="41"/>
  <c r="X178" i="41"/>
  <c r="AB175" i="41"/>
  <c r="W176" i="41"/>
  <c r="AA176" i="41"/>
  <c r="W170" i="41"/>
  <c r="V178" i="41"/>
  <c r="AB171" i="41"/>
  <c r="U178" i="41"/>
  <c r="AA171" i="41"/>
  <c r="AB178" i="41"/>
  <c r="X172" i="41"/>
  <c r="AA178" i="41"/>
  <c r="W172" i="41"/>
  <c r="V175" i="41"/>
  <c r="AA173" i="41"/>
  <c r="Z177" i="41"/>
  <c r="W174" i="41"/>
  <c r="AA177" i="41"/>
  <c r="S176" i="41"/>
  <c r="Y169" i="41"/>
  <c r="X177" i="41"/>
  <c r="T171" i="41"/>
  <c r="W177" i="41"/>
  <c r="S171" i="41"/>
  <c r="T178" i="41"/>
  <c r="Z171" i="41"/>
  <c r="S178" i="41"/>
  <c r="Y171" i="41"/>
  <c r="V171" i="41"/>
  <c r="S173" i="41"/>
  <c r="AB172" i="41"/>
  <c r="W169" i="41"/>
  <c r="S170" i="41"/>
  <c r="U175" i="41"/>
  <c r="X169" i="41"/>
  <c r="Z176" i="41"/>
  <c r="V170" i="41"/>
  <c r="Y176" i="41"/>
  <c r="U170" i="41"/>
  <c r="V177" i="41"/>
  <c r="AB170" i="41"/>
  <c r="U177" i="41"/>
  <c r="AA170" i="41"/>
  <c r="Y178" i="41"/>
  <c r="U172" i="41"/>
  <c r="X176" i="41"/>
  <c r="T170" i="41"/>
  <c r="Y173" i="41"/>
  <c r="T173" i="41"/>
  <c r="T175" i="41"/>
  <c r="X175" i="41"/>
  <c r="S175" i="41"/>
  <c r="T177" i="41"/>
  <c r="Z175" i="41"/>
  <c r="V176" i="41"/>
  <c r="Y175" i="41"/>
  <c r="U169" i="41"/>
  <c r="S177" i="41"/>
  <c r="Y170" i="41"/>
  <c r="V169" i="41"/>
  <c r="AA172" i="41"/>
  <c r="AB169" i="41"/>
  <c r="V174" i="41"/>
  <c r="X171" i="41"/>
  <c r="U174" i="41"/>
  <c r="V172" i="41"/>
  <c r="AB174" i="41"/>
  <c r="AB173" i="41"/>
  <c r="AA174" i="41"/>
  <c r="Z178" i="41"/>
  <c r="U176" i="41"/>
  <c r="AA169" i="41"/>
  <c r="AB177" i="41"/>
  <c r="W171" i="41"/>
  <c r="BA165" i="41"/>
  <c r="AQ158" i="41"/>
  <c r="W161" i="41"/>
  <c r="BQ163" i="41"/>
  <c r="BC164" i="41"/>
  <c r="BD161" i="41"/>
  <c r="BE158" i="41"/>
  <c r="AW163" i="41"/>
  <c r="AV160" i="41"/>
  <c r="AP158" i="41"/>
  <c r="AB162" i="41"/>
  <c r="AB158" i="41"/>
  <c r="BA159" i="41"/>
  <c r="AN163" i="41"/>
  <c r="AW158" i="41"/>
  <c r="S162" i="41"/>
  <c r="BQ162" i="41"/>
  <c r="BN162" i="41"/>
  <c r="BG165" i="41"/>
  <c r="BJ164" i="41"/>
  <c r="BB164" i="41"/>
  <c r="BE163" i="41"/>
  <c r="BH162" i="41"/>
  <c r="BF160" i="41"/>
  <c r="AQ164" i="41"/>
  <c r="AU160" i="41"/>
  <c r="W164" i="41"/>
  <c r="Y159" i="41"/>
  <c r="BQ161" i="41"/>
  <c r="BN161" i="41"/>
  <c r="BF165" i="41"/>
  <c r="BI164" i="41"/>
  <c r="BA164" i="41"/>
  <c r="BD163" i="41"/>
  <c r="BG162" i="41"/>
  <c r="BJ161" i="41"/>
  <c r="BB161" i="41"/>
  <c r="BE160" i="41"/>
  <c r="BH159" i="41"/>
  <c r="AZ159" i="41"/>
  <c r="BC158" i="41"/>
  <c r="AS165" i="41"/>
  <c r="AK165" i="41"/>
  <c r="AP164" i="41"/>
  <c r="AU163" i="41"/>
  <c r="AM163" i="41"/>
  <c r="AR162" i="41"/>
  <c r="AW161" i="41"/>
  <c r="AO161" i="41"/>
  <c r="AT160" i="41"/>
  <c r="AL160" i="41"/>
  <c r="AQ159" i="41"/>
  <c r="AV158" i="41"/>
  <c r="AN158" i="41"/>
  <c r="AB165" i="41"/>
  <c r="T165" i="41"/>
  <c r="V164" i="41"/>
  <c r="X163" i="41"/>
  <c r="Z162" i="41"/>
  <c r="AB161" i="41"/>
  <c r="T161" i="41"/>
  <c r="V160" i="41"/>
  <c r="X159" i="41"/>
  <c r="Z158" i="41"/>
  <c r="Z159" i="41"/>
  <c r="BI159" i="41"/>
  <c r="AV163" i="41"/>
  <c r="AM160" i="41"/>
  <c r="AA162" i="41"/>
  <c r="S158" i="41"/>
  <c r="BQ160" i="41"/>
  <c r="BN160" i="41"/>
  <c r="BE165" i="41"/>
  <c r="BH164" i="41"/>
  <c r="AZ164" i="41"/>
  <c r="BC163" i="41"/>
  <c r="BF162" i="41"/>
  <c r="BI161" i="41"/>
  <c r="BA161" i="41"/>
  <c r="BD160" i="41"/>
  <c r="BG159" i="41"/>
  <c r="BJ158" i="41"/>
  <c r="BB158" i="41"/>
  <c r="AR165" i="41"/>
  <c r="AW164" i="41"/>
  <c r="AO164" i="41"/>
  <c r="AT163" i="41"/>
  <c r="AL163" i="41"/>
  <c r="AQ162" i="41"/>
  <c r="AV161" i="41"/>
  <c r="AN161" i="41"/>
  <c r="AS160" i="41"/>
  <c r="AK160" i="41"/>
  <c r="AP159" i="41"/>
  <c r="AU158" i="41"/>
  <c r="AM158" i="41"/>
  <c r="AA165" i="41"/>
  <c r="S165" i="41"/>
  <c r="U164" i="41"/>
  <c r="W163" i="41"/>
  <c r="Y162" i="41"/>
  <c r="AA161" i="41"/>
  <c r="S161" i="41"/>
  <c r="U160" i="41"/>
  <c r="W159" i="41"/>
  <c r="Y158" i="41"/>
  <c r="Z160" i="41"/>
  <c r="BQ164" i="41"/>
  <c r="BD164" i="41"/>
  <c r="BB162" i="41"/>
  <c r="AZ160" i="41"/>
  <c r="AV165" i="41"/>
  <c r="AK164" i="41"/>
  <c r="AR161" i="41"/>
  <c r="AO160" i="41"/>
  <c r="W165" i="41"/>
  <c r="S163" i="41"/>
  <c r="S159" i="41"/>
  <c r="BN163" i="41"/>
  <c r="BI162" i="41"/>
  <c r="BJ159" i="41"/>
  <c r="AM165" i="41"/>
  <c r="AT162" i="41"/>
  <c r="AN160" i="41"/>
  <c r="X164" i="41"/>
  <c r="V161" i="41"/>
  <c r="AZ162" i="41"/>
  <c r="AT165" i="41"/>
  <c r="AK162" i="41"/>
  <c r="U165" i="41"/>
  <c r="U161" i="41"/>
  <c r="BQ159" i="41"/>
  <c r="BN159" i="41"/>
  <c r="BD165" i="41"/>
  <c r="BG164" i="41"/>
  <c r="BJ163" i="41"/>
  <c r="BB163" i="41"/>
  <c r="BE162" i="41"/>
  <c r="BH161" i="41"/>
  <c r="AZ161" i="41"/>
  <c r="BC160" i="41"/>
  <c r="BF159" i="41"/>
  <c r="BI158" i="41"/>
  <c r="BA158" i="41"/>
  <c r="AQ165" i="41"/>
  <c r="AV164" i="41"/>
  <c r="AN164" i="41"/>
  <c r="AS163" i="41"/>
  <c r="AK163" i="41"/>
  <c r="AP162" i="41"/>
  <c r="AU161" i="41"/>
  <c r="AM161" i="41"/>
  <c r="AR160" i="41"/>
  <c r="AW159" i="41"/>
  <c r="AO159" i="41"/>
  <c r="AT158" i="41"/>
  <c r="AL158" i="41"/>
  <c r="Z165" i="41"/>
  <c r="AB164" i="41"/>
  <c r="T164" i="41"/>
  <c r="V163" i="41"/>
  <c r="X162" i="41"/>
  <c r="Z161" i="41"/>
  <c r="AB160" i="41"/>
  <c r="T160" i="41"/>
  <c r="V159" i="41"/>
  <c r="X158" i="41"/>
  <c r="BQ165" i="41"/>
  <c r="BJ165" i="41"/>
  <c r="BE164" i="41"/>
  <c r="AZ163" i="41"/>
  <c r="BF161" i="41"/>
  <c r="BA160" i="41"/>
  <c r="BG158" i="41"/>
  <c r="AT164" i="41"/>
  <c r="AQ163" i="41"/>
  <c r="AN162" i="41"/>
  <c r="AK161" i="41"/>
  <c r="AU159" i="41"/>
  <c r="AR158" i="41"/>
  <c r="Z164" i="41"/>
  <c r="V162" i="41"/>
  <c r="AB159" i="41"/>
  <c r="V158" i="41"/>
  <c r="BI165" i="41"/>
  <c r="BJ162" i="41"/>
  <c r="BH160" i="41"/>
  <c r="BF158" i="41"/>
  <c r="AS164" i="41"/>
  <c r="AU162" i="41"/>
  <c r="AW160" i="41"/>
  <c r="AL159" i="41"/>
  <c r="AA163" i="41"/>
  <c r="Y160" i="41"/>
  <c r="U158" i="41"/>
  <c r="AZ165" i="41"/>
  <c r="BA162" i="41"/>
  <c r="BB159" i="41"/>
  <c r="AU165" i="41"/>
  <c r="AO163" i="41"/>
  <c r="AQ161" i="41"/>
  <c r="AK159" i="41"/>
  <c r="Z163" i="41"/>
  <c r="X160" i="41"/>
  <c r="T158" i="41"/>
  <c r="BD158" i="41"/>
  <c r="AS162" i="41"/>
  <c r="AR159" i="41"/>
  <c r="Y163" i="41"/>
  <c r="AA158" i="41"/>
  <c r="BQ158" i="41"/>
  <c r="BN158" i="41"/>
  <c r="BC165" i="41"/>
  <c r="BF164" i="41"/>
  <c r="BI163" i="41"/>
  <c r="BA163" i="41"/>
  <c r="BD162" i="41"/>
  <c r="BG161" i="41"/>
  <c r="BJ160" i="41"/>
  <c r="BB160" i="41"/>
  <c r="BE159" i="41"/>
  <c r="BH158" i="41"/>
  <c r="AZ158" i="41"/>
  <c r="AP165" i="41"/>
  <c r="AU164" i="41"/>
  <c r="AM164" i="41"/>
  <c r="AR163" i="41"/>
  <c r="AW162" i="41"/>
  <c r="AO162" i="41"/>
  <c r="AT161" i="41"/>
  <c r="AL161" i="41"/>
  <c r="AQ160" i="41"/>
  <c r="AV159" i="41"/>
  <c r="AN159" i="41"/>
  <c r="AS158" i="41"/>
  <c r="AK158" i="41"/>
  <c r="Y165" i="41"/>
  <c r="AA164" i="41"/>
  <c r="S164" i="41"/>
  <c r="U163" i="41"/>
  <c r="W162" i="41"/>
  <c r="Y161" i="41"/>
  <c r="AA160" i="41"/>
  <c r="S160" i="41"/>
  <c r="U159" i="41"/>
  <c r="W158" i="41"/>
  <c r="BN165" i="41"/>
  <c r="BB165" i="41"/>
  <c r="BH163" i="41"/>
  <c r="BC162" i="41"/>
  <c r="BI160" i="41"/>
  <c r="BD159" i="41"/>
  <c r="AW165" i="41"/>
  <c r="AO165" i="41"/>
  <c r="AL164" i="41"/>
  <c r="AV162" i="41"/>
  <c r="AS161" i="41"/>
  <c r="AP160" i="41"/>
  <c r="AM159" i="41"/>
  <c r="X165" i="41"/>
  <c r="AB163" i="41"/>
  <c r="T163" i="41"/>
  <c r="X161" i="41"/>
  <c r="T159" i="41"/>
  <c r="BN164" i="41"/>
  <c r="BG163" i="41"/>
  <c r="BE161" i="41"/>
  <c r="BC159" i="41"/>
  <c r="AN165" i="41"/>
  <c r="AP163" i="41"/>
  <c r="AM162" i="41"/>
  <c r="AT159" i="41"/>
  <c r="Y164" i="41"/>
  <c r="U162" i="41"/>
  <c r="AA159" i="41"/>
  <c r="BH165" i="41"/>
  <c r="BF163" i="41"/>
  <c r="BG160" i="41"/>
  <c r="AR164" i="41"/>
  <c r="AL162" i="41"/>
  <c r="AS159" i="41"/>
  <c r="V165" i="41"/>
  <c r="T162" i="41"/>
  <c r="BC161" i="41"/>
  <c r="AL165" i="41"/>
  <c r="AP161" i="41"/>
  <c r="AO158" i="41"/>
  <c r="W160" i="41"/>
  <c r="AC170" i="41"/>
  <c r="AC175" i="41"/>
  <c r="AC177" i="41"/>
  <c r="AC169" i="41"/>
  <c r="AC173" i="41"/>
  <c r="AC176" i="41"/>
  <c r="AC178" i="41"/>
  <c r="AC172" i="41"/>
  <c r="AC174" i="41"/>
  <c r="AC171" i="41"/>
  <c r="AH51" i="41"/>
  <c r="BL51" i="41"/>
  <c r="BL147" i="41"/>
  <c r="AH147" i="41"/>
  <c r="AH68" i="41"/>
  <c r="BL68" i="41"/>
  <c r="BL29" i="41"/>
  <c r="AH29" i="41"/>
  <c r="BL93" i="41"/>
  <c r="AH93" i="41"/>
  <c r="BL54" i="41"/>
  <c r="AH54" i="41"/>
  <c r="AH15" i="41"/>
  <c r="BL15" i="41"/>
  <c r="AH79" i="41"/>
  <c r="BL79" i="41"/>
  <c r="AH32" i="41"/>
  <c r="BL32" i="41"/>
  <c r="BL96" i="41"/>
  <c r="AH96" i="41"/>
  <c r="AH49" i="41"/>
  <c r="BL49" i="41"/>
  <c r="BL145" i="41"/>
  <c r="AH145" i="41"/>
  <c r="BL66" i="41"/>
  <c r="AH66" i="41"/>
  <c r="AH59" i="41"/>
  <c r="BL59" i="41"/>
  <c r="BL12" i="41"/>
  <c r="AH12" i="41"/>
  <c r="AH76" i="41"/>
  <c r="BL76" i="41"/>
  <c r="AH37" i="41"/>
  <c r="BL37" i="41"/>
  <c r="AH101" i="41"/>
  <c r="BL101" i="41"/>
  <c r="BL62" i="41"/>
  <c r="AH62" i="41"/>
  <c r="AH23" i="41"/>
  <c r="BL23" i="41"/>
  <c r="AH87" i="41"/>
  <c r="BL87" i="41"/>
  <c r="BL40" i="41"/>
  <c r="AH40" i="41"/>
  <c r="BL104" i="41"/>
  <c r="AH104" i="41"/>
  <c r="AH57" i="41"/>
  <c r="BL57" i="41"/>
  <c r="AH10" i="41"/>
  <c r="BL10" i="41"/>
  <c r="BL74" i="41"/>
  <c r="AH74" i="41"/>
  <c r="BL67" i="41"/>
  <c r="AH67" i="41"/>
  <c r="AH20" i="41"/>
  <c r="BL20" i="41"/>
  <c r="AH84" i="41"/>
  <c r="BL84" i="41"/>
  <c r="AH45" i="41"/>
  <c r="BL45" i="41"/>
  <c r="AH141" i="41"/>
  <c r="BL141" i="41"/>
  <c r="BL70" i="41"/>
  <c r="AH70" i="41"/>
  <c r="BL31" i="41"/>
  <c r="AH31" i="41"/>
  <c r="AH95" i="41"/>
  <c r="BL95" i="41"/>
  <c r="BL48" i="41"/>
  <c r="AH48" i="41"/>
  <c r="BL144" i="41"/>
  <c r="AH144" i="41"/>
  <c r="AH65" i="41"/>
  <c r="BL65" i="41"/>
  <c r="BL18" i="41"/>
  <c r="AH18" i="41"/>
  <c r="BL82" i="41"/>
  <c r="AH82" i="41"/>
  <c r="AH11" i="41"/>
  <c r="BL11" i="41"/>
  <c r="AH75" i="41"/>
  <c r="BL75" i="41"/>
  <c r="AH28" i="41"/>
  <c r="BL28" i="41"/>
  <c r="BL92" i="41"/>
  <c r="AH92" i="41"/>
  <c r="AH53" i="41"/>
  <c r="BL53" i="41"/>
  <c r="BL14" i="41"/>
  <c r="AH14" i="41"/>
  <c r="AH78" i="41"/>
  <c r="BL78" i="41"/>
  <c r="AH39" i="41"/>
  <c r="BL39" i="41"/>
  <c r="AH103" i="41"/>
  <c r="BL103" i="41"/>
  <c r="BL56" i="41"/>
  <c r="AH56" i="41"/>
  <c r="BL9" i="41"/>
  <c r="AH9" i="41"/>
  <c r="BL73" i="41"/>
  <c r="AH73" i="41"/>
  <c r="BL26" i="41"/>
  <c r="AH26" i="41"/>
  <c r="AH90" i="41"/>
  <c r="BL90" i="41"/>
  <c r="AH19" i="41"/>
  <c r="BL19" i="41"/>
  <c r="AH83" i="41"/>
  <c r="BL83" i="41"/>
  <c r="AH36" i="41"/>
  <c r="BL36" i="41"/>
  <c r="BL100" i="41"/>
  <c r="AH100" i="41"/>
  <c r="AH61" i="41"/>
  <c r="BL61" i="41"/>
  <c r="AH22" i="41"/>
  <c r="BL22" i="41"/>
  <c r="AH86" i="41"/>
  <c r="BL86" i="41"/>
  <c r="AH47" i="41"/>
  <c r="BL47" i="41"/>
  <c r="BL143" i="41"/>
  <c r="AH143" i="41"/>
  <c r="AH64" i="41"/>
  <c r="BL64" i="41"/>
  <c r="AH17" i="41"/>
  <c r="BL17" i="41"/>
  <c r="AH81" i="41"/>
  <c r="BL81" i="41"/>
  <c r="AH34" i="41"/>
  <c r="BL34" i="41"/>
  <c r="AH98" i="41"/>
  <c r="BL98" i="41"/>
  <c r="AH27" i="41"/>
  <c r="BL27" i="41"/>
  <c r="AH91" i="41"/>
  <c r="BL91" i="41"/>
  <c r="AH44" i="41"/>
  <c r="BL44" i="41"/>
  <c r="AH140" i="41"/>
  <c r="BL140" i="41"/>
  <c r="BL69" i="41"/>
  <c r="AH69" i="41"/>
  <c r="BL30" i="41"/>
  <c r="AH30" i="41"/>
  <c r="AH94" i="41"/>
  <c r="BL94" i="41"/>
  <c r="AH55" i="41"/>
  <c r="BL55" i="41"/>
  <c r="BL8" i="41"/>
  <c r="AH8" i="41"/>
  <c r="AH72" i="41"/>
  <c r="BL72" i="41"/>
  <c r="AH25" i="41"/>
  <c r="BL25" i="41"/>
  <c r="BL89" i="41"/>
  <c r="AH89" i="41"/>
  <c r="AH42" i="41"/>
  <c r="BL42" i="41"/>
  <c r="AH106" i="41"/>
  <c r="BL106" i="41"/>
  <c r="AH35" i="41"/>
  <c r="BL35" i="41"/>
  <c r="AH99" i="41"/>
  <c r="BL99" i="41"/>
  <c r="AH52" i="41"/>
  <c r="BL52" i="41"/>
  <c r="AH13" i="41"/>
  <c r="BL13" i="41"/>
  <c r="BL77" i="41"/>
  <c r="AH77" i="41"/>
  <c r="BL38" i="41"/>
  <c r="AH38" i="41"/>
  <c r="AH102" i="41"/>
  <c r="BL102" i="41"/>
  <c r="AH63" i="41"/>
  <c r="BL63" i="41"/>
  <c r="BL16" i="41"/>
  <c r="AH16" i="41"/>
  <c r="BL80" i="41"/>
  <c r="AH80" i="41"/>
  <c r="AH33" i="41"/>
  <c r="BL33" i="41"/>
  <c r="AH97" i="41"/>
  <c r="BL97" i="41"/>
  <c r="AH50" i="41"/>
  <c r="BL50" i="41"/>
  <c r="AH146" i="41"/>
  <c r="BL146" i="41"/>
  <c r="AH43" i="41"/>
  <c r="BL43" i="41"/>
  <c r="BL139" i="41"/>
  <c r="AH139" i="41"/>
  <c r="AH60" i="41"/>
  <c r="BL60" i="41"/>
  <c r="BL21" i="41"/>
  <c r="AH21" i="41"/>
  <c r="AH85" i="41"/>
  <c r="BL85" i="41"/>
  <c r="BL46" i="41"/>
  <c r="AH46" i="41"/>
  <c r="BL142" i="41"/>
  <c r="AH142" i="41"/>
  <c r="BL71" i="41"/>
  <c r="AH71" i="41"/>
  <c r="BL24" i="41"/>
  <c r="AH24" i="41"/>
  <c r="BL88" i="41"/>
  <c r="AH88" i="41"/>
  <c r="AH41" i="41"/>
  <c r="BL41" i="41"/>
  <c r="AH105" i="41"/>
  <c r="BL105" i="41"/>
  <c r="BL58" i="41"/>
  <c r="AH58" i="41"/>
  <c r="BL136" i="41"/>
  <c r="AH136" i="41"/>
  <c r="BL121" i="41"/>
  <c r="AH121" i="41"/>
  <c r="BL130" i="41"/>
  <c r="AH130" i="41"/>
  <c r="AH131" i="41"/>
  <c r="BL131" i="41"/>
  <c r="AH148" i="41"/>
  <c r="BL148" i="41"/>
  <c r="AH117" i="41"/>
  <c r="BL117" i="41"/>
  <c r="AH111" i="41"/>
  <c r="BL111" i="41"/>
  <c r="AH129" i="41"/>
  <c r="BL129" i="41"/>
  <c r="BL138" i="41"/>
  <c r="AH138" i="41"/>
  <c r="AH125" i="41"/>
  <c r="BL125" i="41"/>
  <c r="AH119" i="41"/>
  <c r="BL119" i="41"/>
  <c r="AH137" i="41"/>
  <c r="BL137" i="41"/>
  <c r="AH133" i="41"/>
  <c r="BL133" i="41"/>
  <c r="AH110" i="41"/>
  <c r="BL110" i="41"/>
  <c r="AH127" i="41"/>
  <c r="BL127" i="41"/>
  <c r="AH118" i="41"/>
  <c r="BL118" i="41"/>
  <c r="BL135" i="41"/>
  <c r="AH135" i="41"/>
  <c r="BL108" i="41"/>
  <c r="AH108" i="41"/>
  <c r="AH126" i="41"/>
  <c r="BL126" i="41"/>
  <c r="AH112" i="41"/>
  <c r="BL112" i="41"/>
  <c r="AH107" i="41"/>
  <c r="AC162" i="41"/>
  <c r="BL107" i="41"/>
  <c r="AC163" i="41"/>
  <c r="AC158" i="41"/>
  <c r="AC164" i="41"/>
  <c r="AC160" i="41"/>
  <c r="AC159" i="41"/>
  <c r="AC165" i="41"/>
  <c r="AC161" i="41"/>
  <c r="BL116" i="41"/>
  <c r="AH116" i="41"/>
  <c r="AH134" i="41"/>
  <c r="BL134" i="41"/>
  <c r="AH120" i="41"/>
  <c r="BL120" i="41"/>
  <c r="AH114" i="41"/>
  <c r="BL114" i="41"/>
  <c r="BL115" i="41"/>
  <c r="AH115" i="41"/>
  <c r="AH124" i="41"/>
  <c r="BL124" i="41"/>
  <c r="AH128" i="41"/>
  <c r="BL128" i="41"/>
  <c r="AH113" i="41"/>
  <c r="BL113" i="41"/>
  <c r="AH122" i="41"/>
  <c r="BL122" i="41"/>
  <c r="AH123" i="41"/>
  <c r="BL123" i="41"/>
  <c r="AH132" i="41"/>
  <c r="BL132" i="41"/>
  <c r="AH109" i="41"/>
  <c r="BL109" i="41"/>
  <c r="BP113" i="41"/>
  <c r="BO113" i="41"/>
  <c r="BP45" i="41"/>
  <c r="BO45" i="41"/>
  <c r="BP109" i="41"/>
  <c r="BO109" i="41"/>
  <c r="BP46" i="41"/>
  <c r="BO46" i="41"/>
  <c r="BP110" i="41"/>
  <c r="BO110" i="41"/>
  <c r="BP47" i="41"/>
  <c r="BO47" i="41"/>
  <c r="BP111" i="41"/>
  <c r="BO111" i="41"/>
  <c r="BP145" i="41"/>
  <c r="BO145" i="41"/>
  <c r="BP40" i="41"/>
  <c r="BO40" i="41"/>
  <c r="BP104" i="41"/>
  <c r="BO104" i="41"/>
  <c r="BP34" i="41"/>
  <c r="BO34" i="41"/>
  <c r="BP98" i="41"/>
  <c r="BO98" i="41"/>
  <c r="BP27" i="41"/>
  <c r="BO27" i="41"/>
  <c r="BP91" i="41"/>
  <c r="BO91" i="41"/>
  <c r="BP20" i="41"/>
  <c r="BO20" i="41"/>
  <c r="BP84" i="41"/>
  <c r="BO84" i="41"/>
  <c r="BP148" i="41"/>
  <c r="BO148" i="41"/>
  <c r="BP137" i="41"/>
  <c r="BO137" i="41"/>
  <c r="BP53" i="41"/>
  <c r="BO53" i="41"/>
  <c r="BP117" i="41"/>
  <c r="BO117" i="41"/>
  <c r="BP54" i="41"/>
  <c r="BO54" i="41"/>
  <c r="BP118" i="41"/>
  <c r="BO118" i="41"/>
  <c r="BP55" i="41"/>
  <c r="BO55" i="41"/>
  <c r="BP119" i="41"/>
  <c r="BO119" i="41"/>
  <c r="BP48" i="41"/>
  <c r="BO48" i="41"/>
  <c r="BP112" i="41"/>
  <c r="BO112" i="41"/>
  <c r="BP42" i="41"/>
  <c r="BO42" i="41"/>
  <c r="BP106" i="41"/>
  <c r="BO106" i="41"/>
  <c r="BP35" i="41"/>
  <c r="BO35" i="41"/>
  <c r="BP99" i="41"/>
  <c r="BO99" i="41"/>
  <c r="BP28" i="41"/>
  <c r="BO28" i="41"/>
  <c r="BP92" i="41"/>
  <c r="BO92" i="41"/>
  <c r="BP9" i="41"/>
  <c r="BO9" i="41"/>
  <c r="BP61" i="41"/>
  <c r="BO61" i="41"/>
  <c r="BP125" i="41"/>
  <c r="BO125" i="41"/>
  <c r="BP62" i="41"/>
  <c r="BO62" i="41"/>
  <c r="BP126" i="41"/>
  <c r="BO126" i="41"/>
  <c r="BP63" i="41"/>
  <c r="BO63" i="41"/>
  <c r="BP127" i="41"/>
  <c r="BO127" i="41"/>
  <c r="BP56" i="41"/>
  <c r="BO56" i="41"/>
  <c r="BP120" i="41"/>
  <c r="BO120" i="41"/>
  <c r="BP50" i="41"/>
  <c r="BO50" i="41"/>
  <c r="BP114" i="41"/>
  <c r="BO114" i="41"/>
  <c r="BP43" i="41"/>
  <c r="BO43" i="41"/>
  <c r="BP107" i="41"/>
  <c r="BO107" i="41"/>
  <c r="BP36" i="41"/>
  <c r="BO36" i="41"/>
  <c r="BP100" i="41"/>
  <c r="BO100" i="41"/>
  <c r="BP33" i="41"/>
  <c r="BO33" i="41"/>
  <c r="BP69" i="41"/>
  <c r="BO69" i="41"/>
  <c r="BP133" i="41"/>
  <c r="BO133" i="41"/>
  <c r="BP70" i="41"/>
  <c r="BO70" i="41"/>
  <c r="BP134" i="41"/>
  <c r="BO134" i="41"/>
  <c r="BP71" i="41"/>
  <c r="BO71" i="41"/>
  <c r="BP135" i="41"/>
  <c r="BO135" i="41"/>
  <c r="BP17" i="41"/>
  <c r="BO17" i="41"/>
  <c r="BP64" i="41"/>
  <c r="BO64" i="41"/>
  <c r="BP128" i="41"/>
  <c r="BO128" i="41"/>
  <c r="BP58" i="41"/>
  <c r="BO58" i="41"/>
  <c r="BP122" i="41"/>
  <c r="BO122" i="41"/>
  <c r="BP51" i="41"/>
  <c r="BO51" i="41"/>
  <c r="BP115" i="41"/>
  <c r="BO115" i="41"/>
  <c r="BP44" i="41"/>
  <c r="BO44" i="41"/>
  <c r="BP108" i="41"/>
  <c r="BO108" i="41"/>
  <c r="BP57" i="41"/>
  <c r="BO57" i="41"/>
  <c r="BP13" i="41"/>
  <c r="BO13" i="41"/>
  <c r="BP77" i="41"/>
  <c r="BO77" i="41"/>
  <c r="BP141" i="41"/>
  <c r="BO141" i="41"/>
  <c r="BP14" i="41"/>
  <c r="BO14" i="41"/>
  <c r="BP78" i="41"/>
  <c r="BO78" i="41"/>
  <c r="BP142" i="41"/>
  <c r="BO142" i="41"/>
  <c r="BP15" i="41"/>
  <c r="BO15" i="41"/>
  <c r="BP79" i="41"/>
  <c r="BO79" i="41"/>
  <c r="BP143" i="41"/>
  <c r="BO143" i="41"/>
  <c r="BP41" i="41"/>
  <c r="BO41" i="41"/>
  <c r="BP8" i="41"/>
  <c r="BO8" i="41"/>
  <c r="BP72" i="41"/>
  <c r="BO72" i="41"/>
  <c r="BP136" i="41"/>
  <c r="BO136" i="41"/>
  <c r="BP25" i="41"/>
  <c r="BO25" i="41"/>
  <c r="BP66" i="41"/>
  <c r="BO66" i="41"/>
  <c r="BP130" i="41"/>
  <c r="BO130" i="41"/>
  <c r="BP59" i="41"/>
  <c r="BO59" i="41"/>
  <c r="BP123" i="41"/>
  <c r="BO123" i="41"/>
  <c r="BP52" i="41"/>
  <c r="BO52" i="41"/>
  <c r="BP116" i="41"/>
  <c r="BO116" i="41"/>
  <c r="BP65" i="41"/>
  <c r="BO65" i="41"/>
  <c r="BP21" i="41"/>
  <c r="BO21" i="41"/>
  <c r="BP85" i="41"/>
  <c r="BO85" i="41"/>
  <c r="BP22" i="41"/>
  <c r="BO22" i="41"/>
  <c r="BP86" i="41"/>
  <c r="BO86" i="41"/>
  <c r="BP23" i="41"/>
  <c r="BO23" i="41"/>
  <c r="BP87" i="41"/>
  <c r="BO87" i="41"/>
  <c r="BP73" i="41"/>
  <c r="BO73" i="41"/>
  <c r="BP16" i="41"/>
  <c r="BO16" i="41"/>
  <c r="BP80" i="41"/>
  <c r="BO80" i="41"/>
  <c r="BP144" i="41"/>
  <c r="BO144" i="41"/>
  <c r="BP49" i="41"/>
  <c r="BO49" i="41"/>
  <c r="BP10" i="41"/>
  <c r="BO10" i="41"/>
  <c r="BP74" i="41"/>
  <c r="BO74" i="41"/>
  <c r="BP138" i="41"/>
  <c r="BO138" i="41"/>
  <c r="BP67" i="41"/>
  <c r="BO67" i="41"/>
  <c r="BP131" i="41"/>
  <c r="BO131" i="41"/>
  <c r="BP60" i="41"/>
  <c r="BO60" i="41"/>
  <c r="BP124" i="41"/>
  <c r="BO124" i="41"/>
  <c r="BP81" i="41"/>
  <c r="BO81" i="41"/>
  <c r="BP29" i="41"/>
  <c r="BO29" i="41"/>
  <c r="BP93" i="41"/>
  <c r="BO93" i="41"/>
  <c r="BP30" i="41"/>
  <c r="BO30" i="41"/>
  <c r="BP94" i="41"/>
  <c r="BO94" i="41"/>
  <c r="BP31" i="41"/>
  <c r="BO31" i="41"/>
  <c r="BP95" i="41"/>
  <c r="BO95" i="41"/>
  <c r="BP97" i="41"/>
  <c r="BO97" i="41"/>
  <c r="BP24" i="41"/>
  <c r="BO24" i="41"/>
  <c r="BP88" i="41"/>
  <c r="BO88" i="41"/>
  <c r="BP89" i="41"/>
  <c r="BO89" i="41"/>
  <c r="BP18" i="41"/>
  <c r="BO18" i="41"/>
  <c r="BP82" i="41"/>
  <c r="BO82" i="41"/>
  <c r="BP146" i="41"/>
  <c r="BO146" i="41"/>
  <c r="BP11" i="41"/>
  <c r="BO11" i="41"/>
  <c r="BP75" i="41"/>
  <c r="BO75" i="41"/>
  <c r="BP139" i="41"/>
  <c r="BO139" i="41"/>
  <c r="BP68" i="41"/>
  <c r="BO68" i="41"/>
  <c r="BP132" i="41"/>
  <c r="BO132" i="41"/>
  <c r="BP105" i="41"/>
  <c r="BO105" i="41"/>
  <c r="BP37" i="41"/>
  <c r="BO37" i="41"/>
  <c r="BP101" i="41"/>
  <c r="BO101" i="41"/>
  <c r="BP38" i="41"/>
  <c r="BO38" i="41"/>
  <c r="BP102" i="41"/>
  <c r="BO102" i="41"/>
  <c r="BP39" i="41"/>
  <c r="BO39" i="41"/>
  <c r="BP103" i="41"/>
  <c r="BO103" i="41"/>
  <c r="BP129" i="41"/>
  <c r="BO129" i="41"/>
  <c r="BP32" i="41"/>
  <c r="BO32" i="41"/>
  <c r="BP96" i="41"/>
  <c r="BO96" i="41"/>
  <c r="BP121" i="41"/>
  <c r="BO121" i="41"/>
  <c r="BP26" i="41"/>
  <c r="BO26" i="41"/>
  <c r="BP90" i="41"/>
  <c r="BO90" i="41"/>
  <c r="BP19" i="41"/>
  <c r="BO19" i="41"/>
  <c r="BP83" i="41"/>
  <c r="BO83" i="41"/>
  <c r="BP147" i="41"/>
  <c r="BO147" i="41"/>
  <c r="BP12" i="41"/>
  <c r="BO12" i="41"/>
  <c r="BP76" i="41"/>
  <c r="BO76" i="41"/>
  <c r="BP140" i="41"/>
  <c r="BO140" i="41"/>
  <c r="BL310" i="41"/>
  <c r="BL260" i="41"/>
  <c r="H11" i="48"/>
  <c r="H10" i="48"/>
  <c r="H9" i="48"/>
  <c r="H8" i="48"/>
  <c r="H7" i="48"/>
  <c r="H6" i="48"/>
  <c r="P21" i="76"/>
  <c r="P18" i="76"/>
  <c r="P14" i="76"/>
  <c r="P13" i="76"/>
  <c r="P11" i="76"/>
  <c r="P10" i="76"/>
  <c r="P24" i="76"/>
  <c r="P70" i="76"/>
  <c r="P62" i="76"/>
  <c r="P54" i="76"/>
  <c r="P46" i="76"/>
  <c r="P38" i="76"/>
  <c r="P30" i="76"/>
  <c r="P22" i="76"/>
  <c r="P6" i="76"/>
  <c r="P40" i="76"/>
  <c r="P63" i="76"/>
  <c r="P15" i="76"/>
  <c r="P77" i="76"/>
  <c r="P69" i="76"/>
  <c r="P61" i="76"/>
  <c r="P53" i="76"/>
  <c r="P45" i="76"/>
  <c r="P37" i="76"/>
  <c r="P29" i="76"/>
  <c r="P5" i="76"/>
  <c r="P48" i="76"/>
  <c r="P8" i="76"/>
  <c r="P47" i="76"/>
  <c r="P76" i="76"/>
  <c r="P68" i="76"/>
  <c r="P60" i="76"/>
  <c r="P52" i="76"/>
  <c r="P44" i="76"/>
  <c r="P36" i="76"/>
  <c r="P28" i="76"/>
  <c r="P20" i="76"/>
  <c r="P12" i="76"/>
  <c r="P56" i="76"/>
  <c r="P71" i="76"/>
  <c r="P23" i="76"/>
  <c r="P75" i="76"/>
  <c r="P67" i="76"/>
  <c r="P59" i="76"/>
  <c r="P51" i="76"/>
  <c r="P43" i="76"/>
  <c r="P35" i="76"/>
  <c r="P27" i="76"/>
  <c r="P19" i="76"/>
  <c r="P64" i="76"/>
  <c r="P39" i="76"/>
  <c r="P74" i="76"/>
  <c r="P66" i="76"/>
  <c r="P58" i="76"/>
  <c r="P50" i="76"/>
  <c r="P42" i="76"/>
  <c r="P34" i="76"/>
  <c r="P26" i="76"/>
  <c r="P32" i="76"/>
  <c r="P31" i="76"/>
  <c r="P73" i="76"/>
  <c r="P65" i="76"/>
  <c r="P57" i="76"/>
  <c r="P49" i="76"/>
  <c r="P41" i="76"/>
  <c r="P33" i="76"/>
  <c r="P25" i="76"/>
  <c r="P17" i="76"/>
  <c r="P9" i="76"/>
  <c r="P72" i="76"/>
  <c r="P16" i="76"/>
  <c r="P55" i="76"/>
  <c r="P7" i="76"/>
  <c r="X179" i="41"/>
  <c r="V179" i="41"/>
  <c r="AK166" i="41"/>
  <c r="AB179" i="41"/>
  <c r="S179" i="41"/>
  <c r="W179" i="41"/>
  <c r="Y179" i="41"/>
  <c r="U179" i="41"/>
  <c r="Z179" i="41"/>
  <c r="BH166" i="41"/>
  <c r="BD166" i="41"/>
  <c r="AA179" i="41"/>
  <c r="T179" i="41"/>
  <c r="AZ166" i="41"/>
  <c r="W166" i="41"/>
  <c r="AN166" i="41"/>
  <c r="BQ166" i="41"/>
  <c r="V166" i="41"/>
  <c r="V181" i="41"/>
  <c r="V182" i="41"/>
  <c r="BA166" i="41"/>
  <c r="AM166" i="41"/>
  <c r="Z166" i="41"/>
  <c r="AO166" i="41"/>
  <c r="X166" i="41"/>
  <c r="BI166" i="41"/>
  <c r="AU166" i="41"/>
  <c r="AW166" i="41"/>
  <c r="BE166" i="41"/>
  <c r="BG166" i="41"/>
  <c r="S166" i="41"/>
  <c r="T166" i="41"/>
  <c r="AL166" i="41"/>
  <c r="AV166" i="41"/>
  <c r="BN166" i="41"/>
  <c r="BF166" i="41"/>
  <c r="AR166" i="41"/>
  <c r="AT166" i="41"/>
  <c r="AB166" i="41"/>
  <c r="AS166" i="41"/>
  <c r="U166" i="41"/>
  <c r="BB166" i="41"/>
  <c r="AA166" i="41"/>
  <c r="Y166" i="41"/>
  <c r="BJ166" i="41"/>
  <c r="AP166" i="41"/>
  <c r="AQ166" i="41"/>
  <c r="BM149" i="41"/>
  <c r="BC166" i="41"/>
  <c r="I8" i="76"/>
  <c r="E7" i="76"/>
  <c r="I72" i="76"/>
  <c r="E71" i="76"/>
  <c r="I67" i="76"/>
  <c r="H75" i="76"/>
  <c r="B74" i="76"/>
  <c r="G74" i="76"/>
  <c r="I63" i="76"/>
  <c r="H62" i="76"/>
  <c r="E66" i="76"/>
  <c r="B64" i="76"/>
  <c r="G64" i="76"/>
  <c r="H76" i="76"/>
  <c r="I55" i="76"/>
  <c r="E54" i="76"/>
  <c r="I60" i="76"/>
  <c r="E59" i="76"/>
  <c r="I9" i="76"/>
  <c r="H8" i="76"/>
  <c r="B7" i="76"/>
  <c r="G7" i="76"/>
  <c r="H72" i="76"/>
  <c r="B71" i="76"/>
  <c r="G71" i="76"/>
  <c r="H67" i="76"/>
  <c r="E75" i="76"/>
  <c r="I65" i="76"/>
  <c r="H63" i="76"/>
  <c r="B66" i="76"/>
  <c r="G66" i="76"/>
  <c r="E76" i="76"/>
  <c r="H55" i="76"/>
  <c r="B54" i="76"/>
  <c r="G54" i="76"/>
  <c r="H60" i="76"/>
  <c r="B59" i="76"/>
  <c r="G59" i="76"/>
  <c r="E64" i="76"/>
  <c r="B58" i="76"/>
  <c r="G58" i="76"/>
  <c r="H9" i="76"/>
  <c r="E8" i="76"/>
  <c r="I5" i="76"/>
  <c r="I73" i="76"/>
  <c r="E72" i="76"/>
  <c r="I68" i="76"/>
  <c r="B75" i="76"/>
  <c r="G75" i="76"/>
  <c r="H65" i="76"/>
  <c r="E63" i="76"/>
  <c r="E62" i="76"/>
  <c r="B76" i="76"/>
  <c r="G76" i="76"/>
  <c r="I56" i="76"/>
  <c r="E55" i="76"/>
  <c r="I51" i="76"/>
  <c r="E60" i="76"/>
  <c r="I53" i="76"/>
  <c r="H51" i="76"/>
  <c r="H53" i="76"/>
  <c r="E74" i="76"/>
  <c r="H66" i="76"/>
  <c r="B57" i="76"/>
  <c r="G57" i="76"/>
  <c r="E9" i="76"/>
  <c r="B8" i="76"/>
  <c r="G8" i="76"/>
  <c r="H5" i="76"/>
  <c r="H73" i="76"/>
  <c r="B72" i="76"/>
  <c r="G72" i="76"/>
  <c r="H68" i="76"/>
  <c r="E67" i="76"/>
  <c r="E65" i="76"/>
  <c r="B63" i="76"/>
  <c r="G63" i="76"/>
  <c r="B62" i="76"/>
  <c r="G62" i="76"/>
  <c r="I61" i="76"/>
  <c r="H56" i="76"/>
  <c r="B55" i="76"/>
  <c r="G55" i="76"/>
  <c r="B60" i="76"/>
  <c r="G60" i="76"/>
  <c r="B70" i="76"/>
  <c r="G70" i="76"/>
  <c r="I76" i="76"/>
  <c r="H54" i="76"/>
  <c r="B9" i="76"/>
  <c r="G9" i="76"/>
  <c r="I6" i="76"/>
  <c r="E5" i="76"/>
  <c r="E73" i="76"/>
  <c r="I69" i="76"/>
  <c r="E68" i="76"/>
  <c r="B67" i="76"/>
  <c r="G67" i="76"/>
  <c r="I70" i="76"/>
  <c r="B65" i="76"/>
  <c r="G65" i="76"/>
  <c r="H61" i="76"/>
  <c r="I58" i="76"/>
  <c r="E56" i="76"/>
  <c r="I52" i="76"/>
  <c r="E51" i="76"/>
  <c r="I57" i="76"/>
  <c r="E53" i="76"/>
  <c r="B69" i="76"/>
  <c r="G69" i="76"/>
  <c r="H59" i="76"/>
  <c r="H6" i="76"/>
  <c r="B5" i="76"/>
  <c r="G5" i="76"/>
  <c r="B73" i="76"/>
  <c r="G73" i="76"/>
  <c r="H69" i="76"/>
  <c r="B68" i="76"/>
  <c r="G68" i="76"/>
  <c r="I74" i="76"/>
  <c r="H70" i="76"/>
  <c r="I64" i="76"/>
  <c r="E61" i="76"/>
  <c r="H58" i="76"/>
  <c r="B56" i="76"/>
  <c r="G56" i="76"/>
  <c r="H52" i="76"/>
  <c r="B51" i="76"/>
  <c r="G51" i="76"/>
  <c r="H57" i="76"/>
  <c r="B53" i="76"/>
  <c r="G53" i="76"/>
  <c r="B6" i="76"/>
  <c r="G6" i="76"/>
  <c r="I75" i="76"/>
  <c r="I62" i="76"/>
  <c r="I7" i="76"/>
  <c r="E6" i="76"/>
  <c r="I71" i="76"/>
  <c r="E69" i="76"/>
  <c r="H74" i="76"/>
  <c r="E70" i="76"/>
  <c r="I66" i="76"/>
  <c r="H64" i="76"/>
  <c r="B61" i="76"/>
  <c r="G61" i="76"/>
  <c r="E58" i="76"/>
  <c r="I54" i="76"/>
  <c r="E52" i="76"/>
  <c r="I59" i="76"/>
  <c r="E57" i="76"/>
  <c r="H7" i="76"/>
  <c r="H71" i="76"/>
  <c r="B52" i="76"/>
  <c r="G52" i="76"/>
  <c r="E11" i="76"/>
  <c r="B12" i="76"/>
  <c r="G12" i="76"/>
  <c r="H15" i="76"/>
  <c r="H16" i="76"/>
  <c r="I17" i="76"/>
  <c r="B20" i="76"/>
  <c r="G20" i="76"/>
  <c r="E26" i="76"/>
  <c r="H29" i="76"/>
  <c r="I38" i="76"/>
  <c r="E30" i="76"/>
  <c r="I31" i="76"/>
  <c r="B39" i="76"/>
  <c r="G39" i="76"/>
  <c r="H40" i="76"/>
  <c r="B43" i="76"/>
  <c r="G43" i="76"/>
  <c r="H44" i="76"/>
  <c r="B47" i="76"/>
  <c r="G47" i="76"/>
  <c r="H48" i="76"/>
  <c r="H24" i="76"/>
  <c r="E10" i="76"/>
  <c r="E12" i="76"/>
  <c r="I15" i="76"/>
  <c r="I16" i="76"/>
  <c r="H19" i="76"/>
  <c r="E20" i="76"/>
  <c r="B22" i="76"/>
  <c r="G22" i="76"/>
  <c r="B23" i="76"/>
  <c r="G23" i="76"/>
  <c r="H25" i="76"/>
  <c r="H26" i="76"/>
  <c r="I29" i="76"/>
  <c r="B28" i="76"/>
  <c r="G28" i="76"/>
  <c r="H30" i="76"/>
  <c r="E39" i="76"/>
  <c r="I40" i="76"/>
  <c r="E43" i="76"/>
  <c r="I44" i="76"/>
  <c r="I24" i="76"/>
  <c r="H10" i="76"/>
  <c r="H11" i="76"/>
  <c r="H12" i="76"/>
  <c r="I19" i="76"/>
  <c r="E23" i="76"/>
  <c r="I25" i="76"/>
  <c r="I26" i="76"/>
  <c r="E28" i="76"/>
  <c r="I30" i="76"/>
  <c r="B33" i="76"/>
  <c r="G33" i="76"/>
  <c r="H39" i="76"/>
  <c r="B42" i="76"/>
  <c r="G42" i="76"/>
  <c r="H43" i="76"/>
  <c r="B46" i="76"/>
  <c r="G46" i="76"/>
  <c r="I10" i="76"/>
  <c r="I11" i="76"/>
  <c r="I12" i="76"/>
  <c r="H20" i="76"/>
  <c r="E22" i="76"/>
  <c r="B27" i="76"/>
  <c r="G27" i="76"/>
  <c r="H28" i="76"/>
  <c r="B32" i="76"/>
  <c r="G32" i="76"/>
  <c r="E33" i="76"/>
  <c r="I39" i="76"/>
  <c r="E42" i="76"/>
  <c r="I43" i="76"/>
  <c r="E46" i="76"/>
  <c r="I47" i="76"/>
  <c r="E37" i="76"/>
  <c r="B13" i="76"/>
  <c r="B19" i="76"/>
  <c r="G19" i="76"/>
  <c r="I20" i="76"/>
  <c r="H22" i="76"/>
  <c r="H23" i="76"/>
  <c r="E27" i="76"/>
  <c r="I28" i="76"/>
  <c r="E32" i="76"/>
  <c r="H33" i="76"/>
  <c r="B41" i="76"/>
  <c r="G41" i="76"/>
  <c r="H42" i="76"/>
  <c r="B45" i="76"/>
  <c r="G45" i="76"/>
  <c r="H46" i="76"/>
  <c r="B49" i="76"/>
  <c r="G49" i="76"/>
  <c r="H37" i="76"/>
  <c r="H36" i="76"/>
  <c r="B21" i="76"/>
  <c r="G21" i="76"/>
  <c r="I46" i="76"/>
  <c r="I37" i="76"/>
  <c r="I36" i="76"/>
  <c r="B18" i="76"/>
  <c r="G18" i="76"/>
  <c r="E13" i="76"/>
  <c r="B16" i="76"/>
  <c r="G16" i="76"/>
  <c r="B17" i="76"/>
  <c r="G17" i="76"/>
  <c r="I22" i="76"/>
  <c r="I23" i="76"/>
  <c r="B38" i="76"/>
  <c r="G38" i="76"/>
  <c r="H27" i="76"/>
  <c r="B31" i="76"/>
  <c r="G31" i="76"/>
  <c r="H32" i="76"/>
  <c r="I33" i="76"/>
  <c r="E41" i="76"/>
  <c r="I42" i="76"/>
  <c r="E45" i="76"/>
  <c r="E49" i="76"/>
  <c r="E21" i="76"/>
  <c r="H21" i="76"/>
  <c r="B24" i="76"/>
  <c r="G24" i="76"/>
  <c r="B15" i="76"/>
  <c r="G15" i="76"/>
  <c r="E16" i="76"/>
  <c r="E17" i="76"/>
  <c r="E19" i="76"/>
  <c r="B25" i="76"/>
  <c r="G25" i="76"/>
  <c r="B26" i="76"/>
  <c r="G26" i="76"/>
  <c r="B29" i="76"/>
  <c r="G29" i="76"/>
  <c r="E38" i="76"/>
  <c r="I27" i="76"/>
  <c r="E31" i="76"/>
  <c r="I32" i="76"/>
  <c r="B40" i="76"/>
  <c r="G40" i="76"/>
  <c r="H41" i="76"/>
  <c r="B44" i="76"/>
  <c r="G44" i="76"/>
  <c r="H45" i="76"/>
  <c r="B48" i="76"/>
  <c r="G48" i="76"/>
  <c r="H49" i="76"/>
  <c r="B10" i="76"/>
  <c r="G10" i="76"/>
  <c r="E24" i="76"/>
  <c r="H31" i="76"/>
  <c r="E36" i="76"/>
  <c r="I18" i="76"/>
  <c r="I21" i="76"/>
  <c r="B11" i="76"/>
  <c r="G11" i="76"/>
  <c r="I41" i="76"/>
  <c r="E48" i="76"/>
  <c r="H17" i="76"/>
  <c r="E25" i="76"/>
  <c r="E47" i="76"/>
  <c r="B37" i="76"/>
  <c r="G37" i="76"/>
  <c r="I48" i="76"/>
  <c r="E15" i="76"/>
  <c r="E40" i="76"/>
  <c r="H47" i="76"/>
  <c r="E29" i="76"/>
  <c r="H38" i="76"/>
  <c r="E44" i="76"/>
  <c r="E18" i="76"/>
  <c r="B36" i="76"/>
  <c r="G36" i="76"/>
  <c r="H18" i="76"/>
  <c r="B30" i="76"/>
  <c r="G30" i="76"/>
  <c r="I45" i="76"/>
  <c r="I49" i="76"/>
  <c r="B15" i="79"/>
  <c r="G15" i="79"/>
  <c r="B13" i="79"/>
  <c r="G13" i="79"/>
  <c r="E11" i="79"/>
  <c r="E9" i="79"/>
  <c r="E8" i="79"/>
  <c r="B7" i="79"/>
  <c r="G7" i="79"/>
  <c r="E15" i="79"/>
  <c r="E16" i="79"/>
  <c r="B11" i="79"/>
  <c r="G11" i="79"/>
  <c r="B9" i="79"/>
  <c r="G9" i="79"/>
  <c r="B8" i="79"/>
  <c r="G8" i="79"/>
  <c r="B16" i="79"/>
  <c r="G16" i="79"/>
  <c r="E12" i="79"/>
  <c r="E10" i="79"/>
  <c r="E6" i="79"/>
  <c r="E7" i="79"/>
  <c r="E14" i="79"/>
  <c r="B12" i="79"/>
  <c r="G12" i="79"/>
  <c r="B10" i="79"/>
  <c r="G10" i="79"/>
  <c r="B6" i="79"/>
  <c r="G6" i="79"/>
  <c r="E5" i="79"/>
  <c r="B14" i="79"/>
  <c r="G14" i="79"/>
  <c r="B5" i="79"/>
  <c r="G5" i="79"/>
  <c r="E13" i="79"/>
  <c r="AC179" i="41"/>
  <c r="BM122" i="41"/>
  <c r="BM113" i="41"/>
  <c r="BM111" i="41"/>
  <c r="BM120" i="41"/>
  <c r="BM116" i="41"/>
  <c r="BM127" i="41"/>
  <c r="BM137" i="41"/>
  <c r="BM121" i="41"/>
  <c r="BM123" i="41"/>
  <c r="BM114" i="41"/>
  <c r="AC166" i="41"/>
  <c r="BM117" i="41"/>
  <c r="BM115" i="41"/>
  <c r="BM112" i="41"/>
  <c r="BM133" i="41"/>
  <c r="BM131" i="41"/>
  <c r="BM130" i="41"/>
  <c r="BM132" i="41"/>
  <c r="BM124" i="41"/>
  <c r="BM95" i="41"/>
  <c r="BM81" i="41"/>
  <c r="BM93" i="41"/>
  <c r="BM76" i="41"/>
  <c r="BM32" i="41"/>
  <c r="BM15" i="41"/>
  <c r="BM140" i="41"/>
  <c r="BM85" i="41"/>
  <c r="BM82" i="41"/>
  <c r="BM58" i="41"/>
  <c r="BM98" i="41"/>
  <c r="BM65" i="41"/>
  <c r="BM101" i="41"/>
  <c r="BM67" i="41"/>
  <c r="BM87" i="41"/>
  <c r="BM73" i="41"/>
  <c r="BM100" i="41"/>
  <c r="BM28" i="41"/>
  <c r="BM49" i="41"/>
  <c r="BM21" i="41"/>
  <c r="BM36" i="41"/>
  <c r="BM8" i="41"/>
  <c r="BM97" i="41"/>
  <c r="BM45" i="41"/>
  <c r="BM34" i="41"/>
  <c r="BM17" i="41"/>
  <c r="BM61" i="41"/>
  <c r="BM142" i="41"/>
  <c r="BM79" i="41"/>
  <c r="BM50" i="41"/>
  <c r="BM104" i="41"/>
  <c r="BM48" i="41"/>
  <c r="BM77" i="41"/>
  <c r="BM37" i="41"/>
  <c r="BM64" i="41"/>
  <c r="BM35" i="41"/>
  <c r="BM84" i="41"/>
  <c r="BM88" i="41"/>
  <c r="BM68" i="41"/>
  <c r="BM146" i="41"/>
  <c r="BM42" i="41"/>
  <c r="BM60" i="41"/>
  <c r="BM106" i="41"/>
  <c r="BM13" i="41"/>
  <c r="BM27" i="41"/>
  <c r="BM141" i="41"/>
  <c r="BM46" i="41"/>
  <c r="BM56" i="41"/>
  <c r="BM78" i="41"/>
  <c r="BM55" i="41"/>
  <c r="BM24" i="41"/>
  <c r="BM53" i="41"/>
  <c r="BM30" i="41"/>
  <c r="BM51" i="41"/>
  <c r="BM47" i="41"/>
  <c r="BM20" i="41"/>
  <c r="BM33" i="41"/>
  <c r="BM57" i="41"/>
  <c r="BM74" i="41"/>
  <c r="BM107" i="41"/>
  <c r="BM72" i="41"/>
  <c r="BM31" i="41"/>
  <c r="BM59" i="41"/>
  <c r="BM145" i="41"/>
  <c r="BM139" i="41"/>
  <c r="BM29" i="41"/>
  <c r="BM40" i="41"/>
  <c r="BM70" i="41"/>
  <c r="BM105" i="41"/>
  <c r="BM80" i="41"/>
  <c r="BM92" i="41"/>
  <c r="BM99" i="41"/>
  <c r="BM69" i="41"/>
  <c r="BM102" i="41"/>
  <c r="BM54" i="41"/>
  <c r="BM25" i="41"/>
  <c r="BM94" i="41"/>
  <c r="BM52" i="41"/>
  <c r="BM90" i="41"/>
  <c r="BM147" i="41"/>
  <c r="BM19" i="41"/>
  <c r="BM62" i="41"/>
  <c r="BM43" i="41"/>
  <c r="BM71" i="41"/>
  <c r="BM12" i="41"/>
  <c r="BM91" i="41"/>
  <c r="BM96" i="41"/>
  <c r="BM11" i="41"/>
  <c r="BM89" i="41"/>
  <c r="BM44" i="41"/>
  <c r="BM16" i="41"/>
  <c r="BM14" i="41"/>
  <c r="BM103" i="41"/>
  <c r="BM39" i="41"/>
  <c r="BM22" i="41"/>
  <c r="BM66" i="41"/>
  <c r="BM143" i="41"/>
  <c r="BM10" i="41"/>
  <c r="BM9" i="41"/>
  <c r="BM86" i="41"/>
  <c r="BM26" i="41"/>
  <c r="BM83" i="41"/>
  <c r="BM75" i="41"/>
  <c r="BM63" i="41"/>
  <c r="BM23" i="41"/>
  <c r="BM18" i="41"/>
  <c r="BM144" i="41"/>
  <c r="BM41" i="41"/>
  <c r="BM38" i="41"/>
  <c r="BM126" i="41"/>
  <c r="BM118" i="41"/>
  <c r="BM110" i="41"/>
  <c r="BM119" i="41"/>
  <c r="BM129" i="41"/>
  <c r="BM135" i="41"/>
  <c r="BM125" i="41"/>
  <c r="BM128" i="41"/>
  <c r="BM134" i="41"/>
  <c r="BM138" i="41"/>
  <c r="BM148" i="41"/>
  <c r="BM136" i="41"/>
  <c r="BM109" i="41"/>
  <c r="BM108" i="41"/>
  <c r="BL392" i="41"/>
  <c r="BL388" i="41"/>
  <c r="BL376" i="41"/>
  <c r="BL336" i="41"/>
  <c r="BL328" i="41"/>
  <c r="BL316" i="41"/>
  <c r="BL304" i="41"/>
  <c r="BL302" i="41"/>
  <c r="BL300" i="41"/>
  <c r="BL296" i="41"/>
  <c r="BL292" i="41"/>
  <c r="BL276" i="41"/>
  <c r="BL268" i="41"/>
  <c r="BL238" i="41"/>
  <c r="BL214" i="41"/>
  <c r="BL178" i="41"/>
  <c r="BL176" i="41"/>
  <c r="BL170" i="41"/>
  <c r="BL158" i="41"/>
  <c r="BL156" i="41"/>
  <c r="BL150" i="41"/>
  <c r="BL413" i="41"/>
  <c r="BL405" i="41"/>
  <c r="BL391" i="41"/>
  <c r="BL381" i="41"/>
  <c r="BL373" i="41"/>
  <c r="BL349" i="41"/>
  <c r="BL337" i="41"/>
  <c r="BL325" i="41"/>
  <c r="BL323" i="41"/>
  <c r="BL291" i="41"/>
  <c r="BL269" i="41"/>
  <c r="BL267" i="41"/>
  <c r="BL263" i="41"/>
  <c r="BL259" i="41"/>
  <c r="BL249" i="41"/>
  <c r="BL235" i="41"/>
  <c r="BL233" i="41"/>
  <c r="BL231" i="41"/>
  <c r="BL205" i="41"/>
  <c r="BL201" i="41"/>
  <c r="BL195" i="41"/>
  <c r="BL189" i="41"/>
  <c r="BL173" i="41"/>
  <c r="BL379" i="41"/>
  <c r="BL382" i="41"/>
  <c r="BL394" i="41"/>
  <c r="BL364" i="41"/>
  <c r="BL264" i="41"/>
  <c r="BL192" i="41"/>
  <c r="BL244" i="41"/>
  <c r="BL165" i="41"/>
  <c r="BL196" i="41"/>
  <c r="BL270" i="41"/>
  <c r="BL285" i="41"/>
  <c r="BL157" i="41"/>
  <c r="BL245" i="41"/>
  <c r="BL209" i="41"/>
  <c r="BL370" i="41"/>
  <c r="BL351" i="41"/>
  <c r="BL197" i="41"/>
  <c r="BL161" i="41"/>
  <c r="BL213" i="41"/>
  <c r="BL261" i="41"/>
  <c r="BL295" i="41"/>
  <c r="BL181" i="41"/>
  <c r="BL256" i="41"/>
  <c r="BL301" i="41"/>
  <c r="BL395" i="41"/>
  <c r="BL334" i="41"/>
  <c r="BL212" i="41"/>
  <c r="BL248" i="41"/>
  <c r="BL331" i="41"/>
  <c r="BL402" i="41"/>
  <c r="BL155" i="41"/>
  <c r="BL159" i="41"/>
  <c r="BL279" i="41"/>
  <c r="BL290" i="41"/>
  <c r="BL180" i="41"/>
  <c r="BL262" i="41"/>
  <c r="BL363" i="41"/>
  <c r="BL367" i="41"/>
  <c r="BL162" i="41"/>
  <c r="BL184" i="41"/>
  <c r="BL241" i="41"/>
  <c r="BL289" i="41"/>
  <c r="BL383" i="41"/>
  <c r="BL408" i="41"/>
  <c r="BL182" i="41"/>
  <c r="BL410" i="41"/>
  <c r="BL163" i="41"/>
  <c r="BL193" i="41"/>
  <c r="BL153" i="41"/>
  <c r="BL208" i="41"/>
  <c r="BL217" i="41"/>
  <c r="BL199" i="41"/>
  <c r="BL194" i="41"/>
  <c r="BL232" i="41"/>
  <c r="BL225" i="41"/>
  <c r="BL218" i="41"/>
  <c r="BL250" i="41"/>
  <c r="BL224" i="41"/>
  <c r="BL228" i="41"/>
  <c r="BL229" i="41"/>
  <c r="BL257" i="41"/>
  <c r="BL273" i="41"/>
  <c r="BL274" i="41"/>
  <c r="BL278" i="41"/>
  <c r="BL272" i="41"/>
  <c r="BL277" i="41"/>
  <c r="BL306" i="41"/>
  <c r="BL283" i="41"/>
  <c r="BL318" i="41"/>
  <c r="BL319" i="41"/>
  <c r="BL335" i="41"/>
  <c r="BL314" i="41"/>
  <c r="BL315" i="41"/>
  <c r="BL305" i="41"/>
  <c r="BL332" i="41"/>
  <c r="BL366" i="41"/>
  <c r="BL330" i="41"/>
  <c r="BL347" i="41"/>
  <c r="BL350" i="41"/>
  <c r="BL357" i="41"/>
  <c r="BL362" i="41"/>
  <c r="BL386" i="41"/>
  <c r="BL399" i="41"/>
  <c r="BL396" i="41"/>
  <c r="BL403" i="41"/>
  <c r="BL404" i="41"/>
  <c r="BL398" i="41"/>
  <c r="X181" i="41"/>
  <c r="X182" i="41"/>
  <c r="Y181" i="41"/>
  <c r="Y182" i="41"/>
  <c r="W181" i="41"/>
  <c r="W182" i="41"/>
  <c r="Z181" i="41"/>
  <c r="Z182" i="41"/>
  <c r="U181" i="41"/>
  <c r="U182" i="41"/>
  <c r="A13" i="76"/>
  <c r="D13" i="76"/>
  <c r="G13" i="76"/>
  <c r="T181" i="41"/>
  <c r="T182" i="41"/>
  <c r="S181" i="41"/>
  <c r="S182" i="41"/>
  <c r="AA181" i="41"/>
  <c r="AA182" i="41"/>
  <c r="AB181" i="41"/>
  <c r="AB182" i="41"/>
  <c r="A61" i="76"/>
  <c r="A6" i="76"/>
  <c r="A51" i="76"/>
  <c r="A65" i="76"/>
  <c r="A55" i="76"/>
  <c r="A76" i="76"/>
  <c r="A54" i="76"/>
  <c r="A5" i="76"/>
  <c r="A69" i="76"/>
  <c r="A75" i="76"/>
  <c r="A56" i="76"/>
  <c r="A62" i="76"/>
  <c r="A58" i="76"/>
  <c r="A52" i="76"/>
  <c r="A68" i="76"/>
  <c r="A70" i="76"/>
  <c r="A63" i="76"/>
  <c r="A57" i="76"/>
  <c r="A66" i="76"/>
  <c r="A9" i="76"/>
  <c r="A74" i="76"/>
  <c r="A73" i="76"/>
  <c r="A72" i="76"/>
  <c r="A71" i="76"/>
  <c r="A60" i="76"/>
  <c r="A53" i="76"/>
  <c r="A67" i="76"/>
  <c r="A8" i="76"/>
  <c r="A59" i="76"/>
  <c r="A7" i="76"/>
  <c r="A64" i="76"/>
  <c r="A17" i="76"/>
  <c r="A37" i="76"/>
  <c r="A16" i="76"/>
  <c r="A47" i="76"/>
  <c r="A49" i="76"/>
  <c r="A32" i="76"/>
  <c r="A22" i="76"/>
  <c r="A45" i="76"/>
  <c r="A27" i="76"/>
  <c r="A46" i="76"/>
  <c r="A20" i="76"/>
  <c r="A36" i="76"/>
  <c r="A48" i="76"/>
  <c r="A43" i="76"/>
  <c r="A29" i="76"/>
  <c r="A31" i="76"/>
  <c r="A21" i="76"/>
  <c r="A41" i="76"/>
  <c r="A19" i="76"/>
  <c r="A42" i="76"/>
  <c r="A33" i="76"/>
  <c r="A11" i="76"/>
  <c r="A44" i="76"/>
  <c r="A26" i="76"/>
  <c r="A39" i="76"/>
  <c r="A25" i="76"/>
  <c r="A15" i="76"/>
  <c r="A38" i="76"/>
  <c r="A18" i="76"/>
  <c r="A12" i="76"/>
  <c r="A30" i="76"/>
  <c r="A10" i="76"/>
  <c r="A40" i="76"/>
  <c r="A24" i="76"/>
  <c r="A28" i="76"/>
  <c r="A23" i="76"/>
  <c r="A8" i="79"/>
  <c r="A9" i="79"/>
  <c r="A6" i="79"/>
  <c r="A16" i="79"/>
  <c r="A11" i="79"/>
  <c r="A13" i="79"/>
  <c r="A14" i="79"/>
  <c r="A10" i="79"/>
  <c r="A12" i="79"/>
  <c r="A15" i="79"/>
  <c r="A5" i="79"/>
  <c r="A7" i="79"/>
  <c r="AC181" i="41"/>
  <c r="AC182" i="41"/>
  <c r="BL339" i="41"/>
  <c r="BL216" i="41"/>
  <c r="BL354" i="41"/>
  <c r="BL240" i="41"/>
  <c r="BL346" i="41"/>
  <c r="BL355" i="41"/>
  <c r="BL338" i="41"/>
  <c r="BL185" i="41"/>
  <c r="BL177" i="41"/>
  <c r="BL200" i="41"/>
  <c r="BL154" i="41"/>
  <c r="BL378" i="41"/>
  <c r="BL294" i="41"/>
  <c r="BL411" i="41"/>
  <c r="BL387" i="41"/>
  <c r="BL344" i="41"/>
  <c r="BL293" i="41"/>
  <c r="BL168" i="41"/>
  <c r="BL393" i="41"/>
  <c r="BL327" i="41"/>
  <c r="BL239" i="41"/>
  <c r="BL309" i="41"/>
  <c r="BL322" i="41"/>
  <c r="BL286" i="41"/>
  <c r="BL174" i="41"/>
  <c r="BL172" i="41"/>
  <c r="BL380" i="41"/>
  <c r="BL333" i="41"/>
  <c r="BL303" i="41"/>
  <c r="BL258" i="41"/>
  <c r="BL223" i="41"/>
  <c r="BL222" i="41"/>
  <c r="BL255" i="41"/>
  <c r="BL348" i="41"/>
  <c r="BL311" i="41"/>
  <c r="BL179" i="41"/>
  <c r="BL175" i="41"/>
  <c r="BL326" i="41"/>
  <c r="BL390" i="41"/>
  <c r="BL361" i="41"/>
  <c r="BL297" i="41"/>
  <c r="BL210" i="41"/>
  <c r="BL406" i="41"/>
  <c r="BL412" i="41"/>
  <c r="BL251" i="41"/>
  <c r="BL282" i="41"/>
  <c r="BL384" i="41"/>
  <c r="BL320" i="41"/>
  <c r="BL254" i="41"/>
  <c r="BL247" i="41"/>
  <c r="BL187" i="41"/>
  <c r="BL375" i="41"/>
  <c r="BL356" i="41"/>
  <c r="BL360" i="41"/>
  <c r="BL343" i="41"/>
  <c r="BL324" i="41"/>
  <c r="BL252" i="41"/>
  <c r="BL234" i="41"/>
  <c r="BL409" i="41"/>
  <c r="BL284" i="41"/>
  <c r="BL186" i="41"/>
  <c r="BL167" i="41"/>
  <c r="BL237" i="41"/>
  <c r="BL280" i="41"/>
  <c r="BL407" i="41"/>
  <c r="BL377" i="41"/>
  <c r="BL342" i="41"/>
  <c r="BL340" i="41"/>
  <c r="BL313" i="41"/>
  <c r="BL298" i="41"/>
  <c r="BL220" i="41"/>
  <c r="BL191" i="41"/>
  <c r="BL203" i="41"/>
  <c r="BL160" i="41"/>
  <c r="BL221" i="41"/>
  <c r="BL202" i="41"/>
  <c r="BL219" i="41"/>
  <c r="BL359" i="41"/>
  <c r="BL171" i="41"/>
  <c r="BL265" i="41"/>
  <c r="BL389" i="41"/>
  <c r="BL281" i="41"/>
  <c r="BL236" i="41"/>
  <c r="BL207" i="41"/>
  <c r="BL206" i="41"/>
  <c r="BL253" i="41"/>
  <c r="BL188" i="41"/>
  <c r="BL372" i="41"/>
  <c r="BL374" i="41"/>
  <c r="BL358" i="41"/>
  <c r="BL345" i="41"/>
  <c r="BL341" i="41"/>
  <c r="BL312" i="41"/>
  <c r="BL299" i="41"/>
  <c r="BL266" i="41"/>
  <c r="BL190" i="41"/>
  <c r="BL204" i="41"/>
  <c r="BL329" i="41"/>
  <c r="BL308" i="41"/>
  <c r="BL211" i="41"/>
  <c r="BL401" i="41"/>
  <c r="BL397" i="41"/>
  <c r="BL307" i="41"/>
  <c r="BL226" i="41"/>
  <c r="BL169" i="41"/>
  <c r="BL368" i="41"/>
  <c r="BL385" i="41"/>
  <c r="BL246" i="41"/>
  <c r="BL198" i="41"/>
  <c r="BL243" i="41"/>
  <c r="BL365" i="41"/>
  <c r="BL166" i="41"/>
  <c r="BL371" i="41"/>
  <c r="BL353" i="41"/>
  <c r="BL369" i="41"/>
  <c r="BL275" i="41"/>
  <c r="BL271" i="41"/>
  <c r="BL242" i="41"/>
  <c r="BL164" i="41"/>
  <c r="BL215" i="41"/>
  <c r="BL321" i="41"/>
  <c r="BL317" i="41"/>
  <c r="BL352" i="41"/>
  <c r="BL227" i="41"/>
  <c r="BL183" i="41"/>
  <c r="BL230" i="41"/>
  <c r="BL400" i="41"/>
  <c r="BL287" i="41"/>
  <c r="BL288" i="41"/>
  <c r="J74" i="76"/>
  <c r="E17" i="79"/>
  <c r="H17" i="79"/>
  <c r="I17" i="79"/>
  <c r="I77" i="76"/>
  <c r="B17" i="79"/>
  <c r="G17" i="79"/>
  <c r="D53" i="76"/>
  <c r="F53" i="76"/>
  <c r="F60" i="76"/>
  <c r="D60" i="76"/>
  <c r="J9" i="76"/>
  <c r="K6" i="76"/>
  <c r="J55" i="76"/>
  <c r="J53" i="76"/>
  <c r="J76" i="76"/>
  <c r="K51" i="76"/>
  <c r="K71" i="76"/>
  <c r="K67" i="76"/>
  <c r="J64" i="76"/>
  <c r="F54" i="76"/>
  <c r="D54" i="76"/>
  <c r="J60" i="76"/>
  <c r="J72" i="76"/>
  <c r="K66" i="76"/>
  <c r="K68" i="76"/>
  <c r="K8" i="76"/>
  <c r="F72" i="76"/>
  <c r="D72" i="76"/>
  <c r="J8" i="76"/>
  <c r="K7" i="76"/>
  <c r="J7" i="76"/>
  <c r="K57" i="76"/>
  <c r="K75" i="76"/>
  <c r="J52" i="76"/>
  <c r="J75" i="76"/>
  <c r="F55" i="76"/>
  <c r="D55" i="76"/>
  <c r="F51" i="76"/>
  <c r="D51" i="76"/>
  <c r="J51" i="76"/>
  <c r="J62" i="76"/>
  <c r="D67" i="76"/>
  <c r="F67" i="76"/>
  <c r="J71" i="76"/>
  <c r="K63" i="76"/>
  <c r="K70" i="76"/>
  <c r="F64" i="76"/>
  <c r="D64" i="76"/>
  <c r="D71" i="76"/>
  <c r="F71" i="76"/>
  <c r="D73" i="76"/>
  <c r="F73" i="76"/>
  <c r="J73" i="76"/>
  <c r="F74" i="76"/>
  <c r="D74" i="76"/>
  <c r="F63" i="76"/>
  <c r="D63" i="76"/>
  <c r="K60" i="76"/>
  <c r="J63" i="76"/>
  <c r="K74" i="76"/>
  <c r="M74" i="76"/>
  <c r="N74" i="76"/>
  <c r="D56" i="76"/>
  <c r="F56" i="76"/>
  <c r="F76" i="76"/>
  <c r="D76" i="76"/>
  <c r="D6" i="76"/>
  <c r="F6" i="76"/>
  <c r="J66" i="76"/>
  <c r="J61" i="76"/>
  <c r="J57" i="76"/>
  <c r="K53" i="76"/>
  <c r="K55" i="76"/>
  <c r="J56" i="76"/>
  <c r="F66" i="76"/>
  <c r="D66" i="76"/>
  <c r="K54" i="76"/>
  <c r="K9" i="76"/>
  <c r="K61" i="76"/>
  <c r="K5" i="76"/>
  <c r="D65" i="76"/>
  <c r="F65" i="76"/>
  <c r="F7" i="76"/>
  <c r="D7" i="76"/>
  <c r="J6" i="76"/>
  <c r="K56" i="76"/>
  <c r="F62" i="76"/>
  <c r="D62" i="76"/>
  <c r="F69" i="76"/>
  <c r="D69" i="76"/>
  <c r="J70" i="76"/>
  <c r="K58" i="76"/>
  <c r="J67" i="76"/>
  <c r="F75" i="76"/>
  <c r="D75" i="76"/>
  <c r="F8" i="76"/>
  <c r="D8" i="76"/>
  <c r="J54" i="76"/>
  <c r="D9" i="76"/>
  <c r="F9" i="76"/>
  <c r="K65" i="76"/>
  <c r="K69" i="76"/>
  <c r="F68" i="76"/>
  <c r="D68" i="76"/>
  <c r="D52" i="76"/>
  <c r="F52" i="76"/>
  <c r="J59" i="76"/>
  <c r="F5" i="76"/>
  <c r="D5" i="76"/>
  <c r="J5" i="76"/>
  <c r="K59" i="76"/>
  <c r="F61" i="76"/>
  <c r="D61" i="76"/>
  <c r="J69" i="76"/>
  <c r="D59" i="76"/>
  <c r="F59" i="76"/>
  <c r="K52" i="76"/>
  <c r="K72" i="76"/>
  <c r="J58" i="76"/>
  <c r="F57" i="76"/>
  <c r="D57" i="76"/>
  <c r="F70" i="76"/>
  <c r="D70" i="76"/>
  <c r="K62" i="76"/>
  <c r="K73" i="76"/>
  <c r="D58" i="76"/>
  <c r="F58" i="76"/>
  <c r="K64" i="76"/>
  <c r="J68" i="76"/>
  <c r="K76" i="76"/>
  <c r="J65" i="76"/>
  <c r="K49" i="76"/>
  <c r="K18" i="76"/>
  <c r="K32" i="76"/>
  <c r="K33" i="76"/>
  <c r="K37" i="76"/>
  <c r="K21" i="76"/>
  <c r="K20" i="76"/>
  <c r="K15" i="76"/>
  <c r="K17" i="76"/>
  <c r="K41" i="76"/>
  <c r="K30" i="76"/>
  <c r="K44" i="76"/>
  <c r="K25" i="76"/>
  <c r="K38" i="76"/>
  <c r="K47" i="76"/>
  <c r="K31" i="76"/>
  <c r="K10" i="76"/>
  <c r="K48" i="76"/>
  <c r="K43" i="76"/>
  <c r="J45" i="76"/>
  <c r="K40" i="76"/>
  <c r="K16" i="76"/>
  <c r="K12" i="76"/>
  <c r="K26" i="76"/>
  <c r="K36" i="76"/>
  <c r="K24" i="76"/>
  <c r="K45" i="76"/>
  <c r="K28" i="76"/>
  <c r="K19" i="76"/>
  <c r="K11" i="76"/>
  <c r="K29" i="76"/>
  <c r="K39" i="76"/>
  <c r="K42" i="76"/>
  <c r="K23" i="76"/>
  <c r="K22" i="76"/>
  <c r="K46" i="76"/>
  <c r="K27" i="76"/>
  <c r="J33" i="76"/>
  <c r="J26" i="76"/>
  <c r="J37" i="76"/>
  <c r="J12" i="76"/>
  <c r="F21" i="76"/>
  <c r="D21" i="76"/>
  <c r="D48" i="76"/>
  <c r="F48" i="76"/>
  <c r="F10" i="76"/>
  <c r="D10" i="76"/>
  <c r="D44" i="76"/>
  <c r="F44" i="76"/>
  <c r="J21" i="76"/>
  <c r="F42" i="76"/>
  <c r="D42" i="76"/>
  <c r="J17" i="76"/>
  <c r="J15" i="76"/>
  <c r="D20" i="76"/>
  <c r="F20" i="76"/>
  <c r="J30" i="76"/>
  <c r="D49" i="76"/>
  <c r="F49" i="76"/>
  <c r="J46" i="76"/>
  <c r="J20" i="76"/>
  <c r="J28" i="76"/>
  <c r="J44" i="76"/>
  <c r="J27" i="76"/>
  <c r="D43" i="76"/>
  <c r="F43" i="76"/>
  <c r="J16" i="76"/>
  <c r="D37" i="76"/>
  <c r="F37" i="76"/>
  <c r="D12" i="76"/>
  <c r="F12" i="76"/>
  <c r="D23" i="76"/>
  <c r="F23" i="76"/>
  <c r="J49" i="76"/>
  <c r="F39" i="76"/>
  <c r="D39" i="76"/>
  <c r="J48" i="76"/>
  <c r="J38" i="76"/>
  <c r="J29" i="76"/>
  <c r="J22" i="76"/>
  <c r="F15" i="76"/>
  <c r="D15" i="76"/>
  <c r="J32" i="76"/>
  <c r="F11" i="76"/>
  <c r="D11" i="76"/>
  <c r="D19" i="76"/>
  <c r="F19" i="76"/>
  <c r="D31" i="76"/>
  <c r="F31" i="76"/>
  <c r="J10" i="76"/>
  <c r="F45" i="76"/>
  <c r="D45" i="76"/>
  <c r="J24" i="76"/>
  <c r="J39" i="76"/>
  <c r="D17" i="76"/>
  <c r="F17" i="76"/>
  <c r="D36" i="76"/>
  <c r="F36" i="76"/>
  <c r="D32" i="76"/>
  <c r="F32" i="76"/>
  <c r="D28" i="76"/>
  <c r="F28" i="76"/>
  <c r="D24" i="76"/>
  <c r="F24" i="76"/>
  <c r="J23" i="76"/>
  <c r="J18" i="76"/>
  <c r="J42" i="76"/>
  <c r="D46" i="76"/>
  <c r="F46" i="76"/>
  <c r="J19" i="76"/>
  <c r="F22" i="76"/>
  <c r="D22" i="76"/>
  <c r="J31" i="76"/>
  <c r="F30" i="76"/>
  <c r="D30" i="76"/>
  <c r="F18" i="76"/>
  <c r="D18" i="76"/>
  <c r="J43" i="76"/>
  <c r="J40" i="76"/>
  <c r="F27" i="76"/>
  <c r="D27" i="76"/>
  <c r="J47" i="76"/>
  <c r="D40" i="76"/>
  <c r="F40" i="76"/>
  <c r="D38" i="76"/>
  <c r="F38" i="76"/>
  <c r="D25" i="76"/>
  <c r="F25" i="76"/>
  <c r="F26" i="76"/>
  <c r="D26" i="76"/>
  <c r="F33" i="76"/>
  <c r="D33" i="76"/>
  <c r="D41" i="76"/>
  <c r="F41" i="76"/>
  <c r="D29" i="76"/>
  <c r="F29" i="76"/>
  <c r="J41" i="76"/>
  <c r="J36" i="76"/>
  <c r="J25" i="76"/>
  <c r="D47" i="76"/>
  <c r="F47" i="76"/>
  <c r="D16" i="76"/>
  <c r="F16" i="76"/>
  <c r="J11" i="76"/>
  <c r="F13" i="79"/>
  <c r="D13" i="79"/>
  <c r="F9" i="79"/>
  <c r="D9" i="79"/>
  <c r="F10" i="79"/>
  <c r="D10" i="79"/>
  <c r="F11" i="79"/>
  <c r="D11" i="79"/>
  <c r="F12" i="79"/>
  <c r="D12" i="79"/>
  <c r="F8" i="79"/>
  <c r="D8" i="79"/>
  <c r="F7" i="79"/>
  <c r="D7" i="79"/>
  <c r="F15" i="79"/>
  <c r="D15" i="79"/>
  <c r="F16" i="79"/>
  <c r="D16" i="79"/>
  <c r="F14" i="79"/>
  <c r="D14" i="79"/>
  <c r="F6" i="79"/>
  <c r="D6" i="79"/>
  <c r="F5" i="79"/>
  <c r="D5" i="79"/>
  <c r="J17" i="79"/>
  <c r="K17" i="79"/>
  <c r="H35" i="76"/>
  <c r="I13" i="76"/>
  <c r="I35" i="76"/>
  <c r="H77" i="76"/>
  <c r="H34" i="76"/>
  <c r="E77" i="76"/>
  <c r="E50" i="76"/>
  <c r="E34" i="76"/>
  <c r="H13" i="76"/>
  <c r="H50" i="76"/>
  <c r="E35" i="76"/>
  <c r="I14" i="76"/>
  <c r="I34" i="76"/>
  <c r="E14" i="76"/>
  <c r="B35" i="76"/>
  <c r="G35" i="76"/>
  <c r="I50" i="76"/>
  <c r="B34" i="76"/>
  <c r="G34" i="76"/>
  <c r="B50" i="76"/>
  <c r="G50" i="76"/>
  <c r="H14" i="76"/>
  <c r="B77" i="76"/>
  <c r="G77" i="76"/>
  <c r="B14" i="76"/>
  <c r="K35" i="76"/>
  <c r="J35" i="76"/>
  <c r="K34" i="76"/>
  <c r="K50" i="76"/>
  <c r="J50" i="76"/>
  <c r="J34" i="76"/>
  <c r="J13" i="76"/>
  <c r="K13" i="76"/>
  <c r="K14" i="76"/>
  <c r="K77" i="76"/>
  <c r="J14" i="76"/>
  <c r="J77" i="76"/>
  <c r="K81" i="76"/>
  <c r="G14" i="76"/>
  <c r="K84" i="76"/>
  <c r="J92" i="76"/>
  <c r="K92" i="76"/>
  <c r="K91" i="76"/>
  <c r="K86" i="76"/>
  <c r="K85" i="76"/>
  <c r="K82" i="76"/>
  <c r="J91" i="76"/>
  <c r="K87" i="76"/>
  <c r="K83" i="76"/>
  <c r="K88" i="76"/>
  <c r="M72" i="76"/>
  <c r="N72" i="76"/>
  <c r="M76" i="76"/>
  <c r="N76" i="76"/>
  <c r="L67" i="76"/>
  <c r="L68" i="76"/>
  <c r="M52" i="76"/>
  <c r="N52" i="76"/>
  <c r="L33" i="76"/>
  <c r="A17" i="79"/>
  <c r="L51" i="76"/>
  <c r="M69" i="76"/>
  <c r="N69" i="76"/>
  <c r="M56" i="76"/>
  <c r="N56" i="76"/>
  <c r="M73" i="76"/>
  <c r="N73" i="76"/>
  <c r="M55" i="76"/>
  <c r="N55" i="76"/>
  <c r="L6" i="76"/>
  <c r="M75" i="76"/>
  <c r="N75" i="76"/>
  <c r="L58" i="76"/>
  <c r="M60" i="76"/>
  <c r="N60" i="76"/>
  <c r="M8" i="76"/>
  <c r="N8" i="76"/>
  <c r="L57" i="76"/>
  <c r="M12" i="76"/>
  <c r="N12" i="76"/>
  <c r="M54" i="76"/>
  <c r="N54" i="76"/>
  <c r="L12" i="76"/>
  <c r="L64" i="76"/>
  <c r="L53" i="76"/>
  <c r="M62" i="76"/>
  <c r="N62" i="76"/>
  <c r="M9" i="76"/>
  <c r="N9" i="76"/>
  <c r="M65" i="76"/>
  <c r="N65" i="76"/>
  <c r="M5" i="76"/>
  <c r="N5" i="76"/>
  <c r="M58" i="76"/>
  <c r="N58" i="76"/>
  <c r="M53" i="76"/>
  <c r="N53" i="76"/>
  <c r="L52" i="76"/>
  <c r="L8" i="76"/>
  <c r="M67" i="76"/>
  <c r="N67" i="76"/>
  <c r="M59" i="76"/>
  <c r="N59" i="76"/>
  <c r="L59" i="76"/>
  <c r="L73" i="76"/>
  <c r="M68" i="76"/>
  <c r="N68" i="76"/>
  <c r="M64" i="76"/>
  <c r="N64" i="76"/>
  <c r="M70" i="76"/>
  <c r="N70" i="76"/>
  <c r="L70" i="76"/>
  <c r="M61" i="76"/>
  <c r="N61" i="76"/>
  <c r="L61" i="76"/>
  <c r="M71" i="76"/>
  <c r="N71" i="76"/>
  <c r="L71" i="76"/>
  <c r="M57" i="76"/>
  <c r="N57" i="76"/>
  <c r="M51" i="76"/>
  <c r="N51" i="76"/>
  <c r="L55" i="76"/>
  <c r="L54" i="76"/>
  <c r="L75" i="76"/>
  <c r="M7" i="76"/>
  <c r="N7" i="76"/>
  <c r="L7" i="76"/>
  <c r="L72" i="76"/>
  <c r="L76" i="76"/>
  <c r="L85" i="76"/>
  <c r="L56" i="76"/>
  <c r="M66" i="76"/>
  <c r="N66" i="76"/>
  <c r="L66" i="76"/>
  <c r="M63" i="76"/>
  <c r="N63" i="76"/>
  <c r="L63" i="76"/>
  <c r="L60" i="76"/>
  <c r="M6" i="76"/>
  <c r="N6" i="76"/>
  <c r="L65" i="76"/>
  <c r="L5" i="76"/>
  <c r="L62" i="76"/>
  <c r="L9" i="76"/>
  <c r="L69" i="76"/>
  <c r="L74" i="76"/>
  <c r="M33" i="76"/>
  <c r="N33" i="76"/>
  <c r="M45" i="76"/>
  <c r="N45" i="76"/>
  <c r="L26" i="76"/>
  <c r="L37" i="76"/>
  <c r="M37" i="76"/>
  <c r="N37" i="76"/>
  <c r="L45" i="76"/>
  <c r="M26" i="76"/>
  <c r="N26" i="76"/>
  <c r="L48" i="76"/>
  <c r="M48" i="76"/>
  <c r="N48" i="76"/>
  <c r="L43" i="76"/>
  <c r="M43" i="76"/>
  <c r="N43" i="76"/>
  <c r="L42" i="76"/>
  <c r="M42" i="76"/>
  <c r="N42" i="76"/>
  <c r="L24" i="76"/>
  <c r="M24" i="76"/>
  <c r="N24" i="76"/>
  <c r="L28" i="76"/>
  <c r="M28" i="76"/>
  <c r="N28" i="76"/>
  <c r="L16" i="76"/>
  <c r="M16" i="76"/>
  <c r="N16" i="76"/>
  <c r="L44" i="76"/>
  <c r="M44" i="76"/>
  <c r="N44" i="76"/>
  <c r="L25" i="76"/>
  <c r="M25" i="76"/>
  <c r="N25" i="76"/>
  <c r="L23" i="76"/>
  <c r="M23" i="76"/>
  <c r="N23" i="76"/>
  <c r="L22" i="76"/>
  <c r="M22" i="76"/>
  <c r="N22" i="76"/>
  <c r="L20" i="76"/>
  <c r="M20" i="76"/>
  <c r="N20" i="76"/>
  <c r="L21" i="76"/>
  <c r="M21" i="76"/>
  <c r="N21" i="76"/>
  <c r="L36" i="76"/>
  <c r="M36" i="76"/>
  <c r="N36" i="76"/>
  <c r="L19" i="76"/>
  <c r="M19" i="76"/>
  <c r="N19" i="76"/>
  <c r="L29" i="76"/>
  <c r="M29" i="76"/>
  <c r="N29" i="76"/>
  <c r="L30" i="76"/>
  <c r="M30" i="76"/>
  <c r="N30" i="76"/>
  <c r="L41" i="76"/>
  <c r="M41" i="76"/>
  <c r="N41" i="76"/>
  <c r="L47" i="76"/>
  <c r="M47" i="76"/>
  <c r="N47" i="76"/>
  <c r="L11" i="76"/>
  <c r="M11" i="76"/>
  <c r="N11" i="76"/>
  <c r="L40" i="76"/>
  <c r="M40" i="76"/>
  <c r="N40" i="76"/>
  <c r="L39" i="76"/>
  <c r="M39" i="76"/>
  <c r="N39" i="76"/>
  <c r="L10" i="76"/>
  <c r="M10" i="76"/>
  <c r="N10" i="76"/>
  <c r="L49" i="76"/>
  <c r="M49" i="76"/>
  <c r="N49" i="76"/>
  <c r="L38" i="76"/>
  <c r="M38" i="76"/>
  <c r="N38" i="76"/>
  <c r="L27" i="76"/>
  <c r="M27" i="76"/>
  <c r="N27" i="76"/>
  <c r="L46" i="76"/>
  <c r="M46" i="76"/>
  <c r="N46" i="76"/>
  <c r="L15" i="76"/>
  <c r="M15" i="76"/>
  <c r="N15" i="76"/>
  <c r="L31" i="76"/>
  <c r="M31" i="76"/>
  <c r="N31" i="76"/>
  <c r="L18" i="76"/>
  <c r="M18" i="76"/>
  <c r="N18" i="76"/>
  <c r="L32" i="76"/>
  <c r="M32" i="76"/>
  <c r="N32" i="76"/>
  <c r="L17" i="76"/>
  <c r="M17" i="76"/>
  <c r="N17" i="76"/>
  <c r="M17" i="79"/>
  <c r="N17" i="79"/>
  <c r="L17" i="79"/>
  <c r="J81" i="76"/>
  <c r="J88" i="76"/>
  <c r="J87" i="76"/>
  <c r="J86" i="76"/>
  <c r="J84" i="76"/>
  <c r="J85" i="76"/>
  <c r="J83" i="76"/>
  <c r="J82" i="76"/>
  <c r="A14" i="76"/>
  <c r="D14" i="76"/>
  <c r="A34" i="76"/>
  <c r="A35" i="76"/>
  <c r="A77" i="76"/>
  <c r="A50" i="76"/>
  <c r="L34" i="76"/>
  <c r="L77" i="76"/>
  <c r="L91" i="76"/>
  <c r="M13" i="76"/>
  <c r="N13" i="76"/>
  <c r="L50" i="76"/>
  <c r="L13" i="76"/>
  <c r="M34" i="76"/>
  <c r="N34" i="76"/>
  <c r="L35" i="76"/>
  <c r="M35" i="76"/>
  <c r="N35" i="76"/>
  <c r="M50" i="76"/>
  <c r="N50" i="76"/>
  <c r="M77" i="76"/>
  <c r="N77" i="76"/>
  <c r="J78" i="76"/>
  <c r="J79" i="76"/>
  <c r="K78" i="76"/>
  <c r="K79" i="76"/>
  <c r="L92" i="76"/>
  <c r="L14" i="76"/>
  <c r="M14" i="76"/>
  <c r="N14" i="76"/>
  <c r="L83" i="76"/>
  <c r="L84" i="76"/>
  <c r="L88" i="76"/>
  <c r="L82" i="76"/>
  <c r="L87" i="76"/>
  <c r="L86" i="76"/>
  <c r="L93" i="76"/>
  <c r="J93" i="76"/>
  <c r="K93" i="76"/>
  <c r="L81" i="76"/>
  <c r="K89" i="76"/>
  <c r="F17" i="79"/>
  <c r="D17" i="79"/>
  <c r="F34" i="76"/>
  <c r="D34" i="76"/>
  <c r="F50" i="76"/>
  <c r="D50" i="76"/>
  <c r="L14" i="79"/>
  <c r="F35" i="76"/>
  <c r="D35" i="76"/>
  <c r="F77" i="76"/>
  <c r="D77" i="76"/>
  <c r="L6" i="79"/>
  <c r="K16" i="79"/>
  <c r="K13" i="79"/>
  <c r="J15" i="79"/>
  <c r="J27" i="79"/>
  <c r="F14" i="76"/>
  <c r="F13" i="76"/>
  <c r="J89" i="76"/>
  <c r="L78" i="76"/>
  <c r="L79" i="76"/>
  <c r="J95" i="76"/>
  <c r="J96" i="76"/>
  <c r="L89" i="76"/>
  <c r="L95" i="76"/>
  <c r="L96" i="76"/>
  <c r="K95" i="76"/>
  <c r="K96" i="76"/>
  <c r="J8" i="79"/>
  <c r="K8" i="79"/>
  <c r="J7" i="79"/>
  <c r="J13" i="79"/>
  <c r="J24" i="79"/>
  <c r="L7" i="79"/>
  <c r="L13" i="79"/>
  <c r="L8" i="79"/>
  <c r="K7" i="79"/>
  <c r="K12" i="79"/>
  <c r="L9" i="79"/>
  <c r="L12" i="79"/>
  <c r="K14" i="79"/>
  <c r="K10" i="79"/>
  <c r="L11" i="79"/>
  <c r="J9" i="79"/>
  <c r="L10" i="79"/>
  <c r="L16" i="79"/>
  <c r="K5" i="79"/>
  <c r="L5" i="79"/>
  <c r="J5" i="79"/>
  <c r="K11" i="79"/>
  <c r="J11" i="79"/>
  <c r="K6" i="79"/>
  <c r="J10" i="79"/>
  <c r="J16" i="79"/>
  <c r="J25" i="79"/>
  <c r="K15" i="79"/>
  <c r="M15" i="79"/>
  <c r="N15" i="79"/>
  <c r="J6" i="79"/>
  <c r="L15" i="79"/>
  <c r="J12" i="79"/>
  <c r="K9" i="79"/>
  <c r="J14" i="79"/>
  <c r="J26" i="79"/>
  <c r="M13" i="79"/>
  <c r="N13" i="79"/>
  <c r="M8" i="79"/>
  <c r="N8" i="79"/>
  <c r="M12" i="79"/>
  <c r="N12" i="79"/>
  <c r="M7" i="79"/>
  <c r="N7" i="79"/>
  <c r="J21" i="79"/>
  <c r="J22" i="79"/>
  <c r="M9" i="79"/>
  <c r="N9" i="79"/>
  <c r="M14" i="79"/>
  <c r="N14" i="79"/>
  <c r="M10" i="79"/>
  <c r="N10" i="79"/>
  <c r="J23" i="79"/>
  <c r="M11" i="79"/>
  <c r="N11" i="79"/>
  <c r="L18" i="79"/>
  <c r="L19" i="79"/>
  <c r="J28" i="79"/>
  <c r="J18" i="79"/>
  <c r="J19" i="79"/>
  <c r="M5" i="79"/>
  <c r="N5" i="79"/>
  <c r="K18" i="79"/>
  <c r="K19" i="79"/>
  <c r="M6" i="79"/>
  <c r="N6" i="79"/>
  <c r="M16" i="79"/>
  <c r="N16" i="79"/>
  <c r="J29" i="79"/>
  <c r="A1" i="41"/>
  <c r="CA845" i="8"/>
  <c r="CA844" i="8"/>
  <c r="CA843" i="8"/>
  <c r="CA842" i="8"/>
  <c r="CA841" i="8"/>
  <c r="CA840" i="8"/>
  <c r="CA839" i="8"/>
  <c r="CA838" i="8"/>
  <c r="CA837" i="8"/>
  <c r="CA836" i="8"/>
  <c r="CA835" i="8"/>
  <c r="CA834" i="8"/>
  <c r="CA833" i="8"/>
  <c r="CA832" i="8"/>
  <c r="CA831" i="8"/>
  <c r="CA830" i="8"/>
  <c r="CA829" i="8"/>
  <c r="CA828" i="8"/>
  <c r="CA827" i="8"/>
  <c r="CA826" i="8"/>
  <c r="CA825" i="8"/>
  <c r="CA824" i="8"/>
  <c r="CA823" i="8"/>
  <c r="CA822" i="8"/>
  <c r="CA821" i="8"/>
  <c r="CA820" i="8"/>
  <c r="CA819" i="8"/>
  <c r="CA818" i="8"/>
  <c r="CA817" i="8"/>
  <c r="CA816" i="8"/>
  <c r="CA815" i="8"/>
  <c r="CA814" i="8"/>
  <c r="CA813" i="8"/>
  <c r="CA812" i="8"/>
  <c r="CA811" i="8"/>
  <c r="CA810" i="8"/>
  <c r="CA809" i="8"/>
  <c r="CA808" i="8"/>
  <c r="CA807" i="8"/>
  <c r="CA806" i="8"/>
  <c r="CA805" i="8"/>
  <c r="CA804" i="8"/>
  <c r="CA803" i="8"/>
  <c r="CA802" i="8"/>
  <c r="CA801" i="8"/>
  <c r="CA800" i="8"/>
  <c r="CA799" i="8"/>
  <c r="CA798" i="8"/>
  <c r="CA797" i="8"/>
  <c r="CA796" i="8"/>
  <c r="CA795" i="8"/>
  <c r="CA794" i="8"/>
  <c r="CA793" i="8"/>
  <c r="CA792" i="8"/>
  <c r="CA791" i="8"/>
  <c r="CA790" i="8"/>
  <c r="CA789" i="8"/>
  <c r="CA788" i="8"/>
  <c r="CA787" i="8"/>
  <c r="CA786" i="8"/>
  <c r="CA785" i="8"/>
  <c r="CA784" i="8"/>
  <c r="CA783" i="8"/>
  <c r="CA782" i="8"/>
  <c r="CA781" i="8"/>
  <c r="CA780" i="8"/>
  <c r="CA779" i="8"/>
  <c r="CA778" i="8"/>
  <c r="CA777" i="8"/>
  <c r="CA776" i="8"/>
  <c r="CA775" i="8"/>
  <c r="CA774" i="8"/>
  <c r="CA773" i="8"/>
  <c r="CA772" i="8"/>
  <c r="CA771" i="8"/>
  <c r="CA770" i="8"/>
  <c r="CA769" i="8"/>
  <c r="CA768" i="8"/>
  <c r="CA767" i="8"/>
  <c r="CA766" i="8"/>
  <c r="CA765" i="8"/>
  <c r="CA764" i="8"/>
  <c r="CA763" i="8"/>
  <c r="CA762" i="8"/>
  <c r="CA761" i="8"/>
  <c r="CA760" i="8"/>
  <c r="CA759" i="8"/>
  <c r="CA758" i="8"/>
  <c r="CA757" i="8"/>
  <c r="CA756" i="8"/>
  <c r="CA755" i="8"/>
  <c r="CA754" i="8"/>
  <c r="CA753" i="8"/>
  <c r="CA752" i="8"/>
  <c r="CA751" i="8"/>
  <c r="CA750" i="8"/>
  <c r="CA749" i="8"/>
  <c r="CA748" i="8"/>
  <c r="CA747" i="8"/>
  <c r="CA746" i="8"/>
  <c r="CA745" i="8"/>
  <c r="CA744" i="8"/>
  <c r="CA743" i="8"/>
  <c r="CA742" i="8"/>
  <c r="CA741" i="8"/>
  <c r="CA740" i="8"/>
  <c r="CA739" i="8"/>
  <c r="CA738" i="8"/>
  <c r="CA737" i="8"/>
  <c r="CA736" i="8"/>
  <c r="CA735" i="8"/>
  <c r="CA734" i="8"/>
  <c r="CA733" i="8"/>
  <c r="CA732" i="8"/>
  <c r="CA731" i="8"/>
  <c r="CA730" i="8"/>
  <c r="CA729" i="8"/>
  <c r="CA728" i="8"/>
  <c r="CA727" i="8"/>
  <c r="CA726" i="8"/>
  <c r="CA725" i="8"/>
  <c r="CA724" i="8"/>
  <c r="CA723" i="8"/>
  <c r="CA722" i="8"/>
  <c r="CA721" i="8"/>
  <c r="CA720" i="8"/>
  <c r="CA719" i="8"/>
  <c r="CA718" i="8"/>
  <c r="CA717" i="8"/>
  <c r="CA716" i="8"/>
  <c r="CA715" i="8"/>
  <c r="CA714" i="8"/>
  <c r="CA713" i="8"/>
  <c r="CA712" i="8"/>
  <c r="CA711" i="8"/>
  <c r="CA710" i="8"/>
  <c r="CA709" i="8"/>
  <c r="CA708" i="8"/>
  <c r="CA707" i="8"/>
  <c r="CA706" i="8"/>
  <c r="CA705" i="8"/>
  <c r="CA704" i="8"/>
  <c r="CA703" i="8"/>
  <c r="CA702" i="8"/>
  <c r="CA701" i="8"/>
  <c r="CA700" i="8"/>
  <c r="CA699" i="8"/>
  <c r="CA698" i="8"/>
  <c r="CA697" i="8"/>
  <c r="CA696" i="8"/>
  <c r="CA695" i="8"/>
  <c r="CA694" i="8"/>
  <c r="CA693" i="8"/>
  <c r="CA692" i="8"/>
  <c r="CA691" i="8"/>
  <c r="CA690" i="8"/>
  <c r="CA689" i="8"/>
  <c r="CA688" i="8"/>
  <c r="CA687" i="8"/>
  <c r="CA686" i="8"/>
  <c r="CA685" i="8"/>
  <c r="CA684" i="8"/>
  <c r="CA683" i="8"/>
  <c r="CA682" i="8"/>
  <c r="CA681" i="8"/>
  <c r="CA680" i="8"/>
  <c r="CA679" i="8"/>
  <c r="CA678" i="8"/>
  <c r="CA677" i="8"/>
  <c r="CA676" i="8"/>
  <c r="CA675" i="8"/>
  <c r="CA674" i="8"/>
  <c r="CA673" i="8"/>
  <c r="CA672" i="8"/>
  <c r="CA671" i="8"/>
  <c r="CA670" i="8"/>
  <c r="CA669" i="8"/>
  <c r="CA668" i="8"/>
  <c r="CA667" i="8"/>
  <c r="CA666" i="8"/>
  <c r="CA665" i="8"/>
  <c r="CA664" i="8"/>
  <c r="CA663" i="8"/>
  <c r="CA662" i="8"/>
  <c r="CA661" i="8"/>
  <c r="CA660" i="8"/>
  <c r="CA659" i="8"/>
  <c r="CA658" i="8"/>
  <c r="CA657" i="8"/>
  <c r="CA656" i="8"/>
  <c r="CA655" i="8"/>
  <c r="CA654" i="8"/>
  <c r="CA653" i="8"/>
  <c r="CA652" i="8"/>
  <c r="CA651" i="8"/>
  <c r="CA650" i="8"/>
  <c r="CA649" i="8"/>
  <c r="CA648" i="8"/>
  <c r="CA647" i="8"/>
  <c r="CA646" i="8"/>
  <c r="CA645" i="8"/>
  <c r="CA644" i="8"/>
  <c r="CA643" i="8"/>
  <c r="CA642" i="8"/>
  <c r="CA641" i="8"/>
  <c r="CA640" i="8"/>
  <c r="CA639" i="8"/>
  <c r="CA638" i="8"/>
  <c r="CA637" i="8"/>
  <c r="CA636" i="8"/>
  <c r="CA635" i="8"/>
  <c r="CA634" i="8"/>
  <c r="CA633" i="8"/>
  <c r="CA632" i="8"/>
  <c r="CA631" i="8"/>
  <c r="CA630" i="8"/>
  <c r="CA629" i="8"/>
  <c r="CA628" i="8"/>
  <c r="CA627" i="8"/>
  <c r="CA626" i="8"/>
  <c r="CA625" i="8"/>
  <c r="CA624" i="8"/>
  <c r="CA623" i="8"/>
  <c r="CA622" i="8"/>
  <c r="CA621" i="8"/>
  <c r="CA620" i="8"/>
  <c r="CA619" i="8"/>
  <c r="CA618" i="8"/>
  <c r="CA617" i="8"/>
  <c r="CA616" i="8"/>
  <c r="CA615" i="8"/>
  <c r="CA614" i="8"/>
  <c r="CA613" i="8"/>
  <c r="CA612" i="8"/>
  <c r="CA611" i="8"/>
  <c r="CA610" i="8"/>
  <c r="CA609" i="8"/>
  <c r="CA608" i="8"/>
  <c r="CA607" i="8"/>
  <c r="CA606" i="8"/>
  <c r="CA605" i="8"/>
  <c r="CA604" i="8"/>
  <c r="CA603" i="8"/>
  <c r="CA602" i="8"/>
  <c r="CA601" i="8"/>
  <c r="CA600" i="8"/>
  <c r="CA599" i="8"/>
  <c r="CA598" i="8"/>
  <c r="CA597" i="8"/>
  <c r="CA596" i="8"/>
  <c r="CA595" i="8"/>
  <c r="CA594" i="8"/>
  <c r="CA593" i="8"/>
  <c r="CA592" i="8"/>
  <c r="CA591" i="8"/>
  <c r="CA590" i="8"/>
  <c r="CA589" i="8"/>
  <c r="CA588" i="8"/>
  <c r="CA587" i="8"/>
  <c r="CA586" i="8"/>
  <c r="CA585" i="8"/>
  <c r="CA584" i="8"/>
  <c r="CA583" i="8"/>
  <c r="CA582" i="8"/>
  <c r="CA581" i="8"/>
  <c r="CA580" i="8"/>
  <c r="CA579" i="8"/>
  <c r="CA578" i="8"/>
  <c r="CA577" i="8"/>
  <c r="CA576" i="8"/>
  <c r="CA575" i="8"/>
  <c r="CA574" i="8"/>
  <c r="CA573" i="8"/>
  <c r="CA572" i="8"/>
  <c r="CA571" i="8"/>
  <c r="CA570" i="8"/>
  <c r="CA569" i="8"/>
  <c r="CA568" i="8"/>
  <c r="CA567" i="8"/>
  <c r="CA566" i="8"/>
  <c r="CA565" i="8"/>
  <c r="CA564" i="8"/>
  <c r="CA563" i="8"/>
  <c r="CA562" i="8"/>
  <c r="CA561" i="8"/>
  <c r="CA560" i="8"/>
  <c r="CA559" i="8"/>
  <c r="CA558" i="8"/>
  <c r="CA557" i="8"/>
  <c r="CA556" i="8"/>
  <c r="CA555" i="8"/>
  <c r="CA554" i="8"/>
  <c r="CA553" i="8"/>
  <c r="CA552" i="8"/>
  <c r="CA551" i="8"/>
  <c r="CA550" i="8"/>
  <c r="CA549" i="8"/>
  <c r="CA548" i="8"/>
  <c r="CA547" i="8"/>
  <c r="CA546" i="8"/>
  <c r="CA545" i="8"/>
  <c r="CA544" i="8"/>
  <c r="CA543" i="8"/>
  <c r="CA542" i="8"/>
  <c r="CA541" i="8"/>
  <c r="CA540" i="8"/>
  <c r="CA539" i="8"/>
  <c r="CA538" i="8"/>
  <c r="CA537" i="8"/>
  <c r="CA536" i="8"/>
  <c r="CA535" i="8"/>
  <c r="CA534" i="8"/>
  <c r="CA533" i="8"/>
  <c r="CA532" i="8"/>
  <c r="CA531" i="8"/>
  <c r="CA530" i="8"/>
  <c r="CA529" i="8"/>
  <c r="CA528" i="8"/>
  <c r="CA527" i="8"/>
  <c r="CA526" i="8"/>
  <c r="CA525" i="8"/>
  <c r="CA524" i="8"/>
  <c r="CA523" i="8"/>
  <c r="CA522" i="8"/>
  <c r="CA521" i="8"/>
  <c r="CA520" i="8"/>
  <c r="CA519" i="8"/>
  <c r="CA518" i="8"/>
  <c r="CA517" i="8"/>
  <c r="CA516" i="8"/>
  <c r="CA515" i="8"/>
  <c r="CA514" i="8"/>
  <c r="CA513" i="8"/>
  <c r="CA512" i="8"/>
  <c r="CA511" i="8"/>
  <c r="CA510" i="8"/>
  <c r="CA509" i="8"/>
  <c r="CA508" i="8"/>
  <c r="CA507" i="8"/>
  <c r="CA506" i="8"/>
  <c r="CA505" i="8"/>
  <c r="CA504" i="8"/>
  <c r="CA503" i="8"/>
  <c r="CA502" i="8"/>
  <c r="CA501" i="8"/>
  <c r="CA500" i="8"/>
  <c r="CA499" i="8"/>
  <c r="CA498" i="8"/>
  <c r="CA497" i="8"/>
  <c r="CA496" i="8"/>
  <c r="CA495" i="8"/>
  <c r="CA494" i="8"/>
  <c r="CA493" i="8"/>
  <c r="CA492" i="8"/>
  <c r="CA491" i="8"/>
  <c r="CA490" i="8"/>
  <c r="CA489" i="8"/>
  <c r="CA488" i="8"/>
  <c r="CA487" i="8"/>
  <c r="CA486" i="8"/>
  <c r="CA485" i="8"/>
  <c r="CA484" i="8"/>
  <c r="CA483" i="8"/>
  <c r="CA482" i="8"/>
  <c r="CA481" i="8"/>
  <c r="CA480" i="8"/>
  <c r="CA479" i="8"/>
  <c r="CA478" i="8"/>
  <c r="CA477" i="8"/>
  <c r="CA476" i="8"/>
  <c r="CA475" i="8"/>
  <c r="CA474" i="8"/>
  <c r="CA473" i="8"/>
  <c r="CA472" i="8"/>
  <c r="CA471" i="8"/>
  <c r="CA470" i="8"/>
  <c r="CA469" i="8"/>
  <c r="CA468" i="8"/>
  <c r="CA467" i="8"/>
  <c r="CA466" i="8"/>
  <c r="CA465" i="8"/>
  <c r="CA464" i="8"/>
  <c r="CA463" i="8"/>
  <c r="CA462" i="8"/>
  <c r="CA461" i="8"/>
  <c r="CA460" i="8"/>
  <c r="CA459" i="8"/>
  <c r="CA458" i="8"/>
  <c r="CA457" i="8"/>
  <c r="CA456" i="8"/>
  <c r="CA455" i="8"/>
  <c r="CA454" i="8"/>
  <c r="CA453" i="8"/>
  <c r="CA452" i="8"/>
  <c r="CA451" i="8"/>
  <c r="CA450" i="8"/>
  <c r="CA449" i="8"/>
  <c r="CA448" i="8"/>
  <c r="CA447" i="8"/>
  <c r="CA446" i="8"/>
  <c r="CA445" i="8"/>
  <c r="CA444" i="8"/>
  <c r="CA443" i="8"/>
  <c r="CA442" i="8"/>
  <c r="CA441" i="8"/>
  <c r="CA440" i="8"/>
  <c r="CA439" i="8"/>
  <c r="CA438" i="8"/>
  <c r="CA437" i="8"/>
  <c r="CA436" i="8"/>
  <c r="CA435" i="8"/>
  <c r="CA434" i="8"/>
  <c r="CA433" i="8"/>
  <c r="CA432" i="8"/>
  <c r="CA431" i="8"/>
  <c r="CA430" i="8"/>
  <c r="CA429" i="8"/>
  <c r="CA428" i="8"/>
  <c r="CA427" i="8"/>
  <c r="CA426" i="8"/>
  <c r="CA425" i="8"/>
  <c r="CA424" i="8"/>
  <c r="CA423" i="8"/>
  <c r="CA422" i="8"/>
  <c r="CA421" i="8"/>
  <c r="CA420" i="8"/>
  <c r="CA419" i="8"/>
  <c r="CA418" i="8"/>
  <c r="CA417" i="8"/>
  <c r="CA416" i="8"/>
  <c r="CA415" i="8"/>
  <c r="CA414" i="8"/>
  <c r="CA413" i="8"/>
  <c r="CA412" i="8"/>
  <c r="CA411" i="8"/>
  <c r="CA410" i="8"/>
  <c r="CA409" i="8"/>
  <c r="CA408" i="8"/>
  <c r="CA407" i="8"/>
  <c r="CA406" i="8"/>
  <c r="CA405" i="8"/>
  <c r="CA404" i="8"/>
  <c r="CA403" i="8"/>
  <c r="CA402" i="8"/>
  <c r="CA401" i="8"/>
  <c r="CA400" i="8"/>
  <c r="CA399" i="8"/>
  <c r="CA398" i="8"/>
  <c r="CA397" i="8"/>
  <c r="CA396" i="8"/>
  <c r="CA395" i="8"/>
  <c r="CA394" i="8"/>
  <c r="CA393" i="8"/>
  <c r="CA392" i="8"/>
  <c r="CA391" i="8"/>
  <c r="CA390" i="8"/>
  <c r="CA389" i="8"/>
  <c r="CA388" i="8"/>
  <c r="CA387" i="8"/>
  <c r="CA386" i="8"/>
  <c r="CA385" i="8"/>
  <c r="CA384" i="8"/>
  <c r="CA383" i="8"/>
  <c r="CA382" i="8"/>
  <c r="CA381" i="8"/>
  <c r="CA380" i="8"/>
  <c r="CA379" i="8"/>
  <c r="CA378" i="8"/>
  <c r="CA377" i="8"/>
  <c r="CA376" i="8"/>
  <c r="CA375" i="8"/>
  <c r="CA374" i="8"/>
  <c r="CA373" i="8"/>
  <c r="CA372" i="8"/>
  <c r="CA371" i="8"/>
  <c r="CA370" i="8"/>
  <c r="CA369" i="8"/>
  <c r="CA368" i="8"/>
  <c r="CA367" i="8"/>
  <c r="CA366" i="8"/>
  <c r="CA365" i="8"/>
  <c r="CA364" i="8"/>
  <c r="CA363" i="8"/>
  <c r="CA362" i="8"/>
  <c r="CA361" i="8"/>
  <c r="CA360" i="8"/>
  <c r="CA359" i="8"/>
  <c r="CA358" i="8"/>
  <c r="CA357" i="8"/>
  <c r="CA356" i="8"/>
  <c r="CA355" i="8"/>
  <c r="CA354" i="8"/>
  <c r="CA353" i="8"/>
  <c r="CA352" i="8"/>
  <c r="CA351" i="8"/>
  <c r="CA350" i="8"/>
  <c r="CA349" i="8"/>
  <c r="CA348" i="8"/>
  <c r="CA347" i="8"/>
  <c r="CA346" i="8"/>
  <c r="CA345" i="8"/>
  <c r="CA344" i="8"/>
  <c r="CA343" i="8"/>
  <c r="CA342" i="8"/>
  <c r="CA341" i="8"/>
  <c r="CA340" i="8"/>
  <c r="CA339" i="8"/>
  <c r="CA338" i="8"/>
  <c r="CA337" i="8"/>
  <c r="CA336" i="8"/>
  <c r="CA335" i="8"/>
  <c r="CA334" i="8"/>
  <c r="CA333" i="8"/>
  <c r="CA332" i="8"/>
  <c r="CA331" i="8"/>
  <c r="CA330" i="8"/>
  <c r="CA329" i="8"/>
  <c r="CA328" i="8"/>
  <c r="CA327" i="8"/>
  <c r="CA326" i="8"/>
  <c r="CA325" i="8"/>
  <c r="CA324" i="8"/>
  <c r="CA323" i="8"/>
  <c r="CA322" i="8"/>
  <c r="CA321" i="8"/>
  <c r="CA320" i="8"/>
  <c r="CA319" i="8"/>
  <c r="CA318" i="8"/>
  <c r="CA317" i="8"/>
  <c r="CA316" i="8"/>
  <c r="CA315" i="8"/>
  <c r="CA314" i="8"/>
  <c r="CA313" i="8"/>
  <c r="CA312" i="8"/>
  <c r="CA311" i="8"/>
  <c r="CA310" i="8"/>
  <c r="CA309" i="8"/>
  <c r="CA308" i="8"/>
  <c r="CA307" i="8"/>
  <c r="CA306" i="8"/>
  <c r="CA305" i="8"/>
  <c r="CA304" i="8"/>
  <c r="CA303" i="8"/>
  <c r="CA302" i="8"/>
  <c r="CA301" i="8"/>
  <c r="CA300" i="8"/>
  <c r="CA299" i="8"/>
  <c r="CA298" i="8"/>
  <c r="CA297" i="8"/>
  <c r="CA296" i="8"/>
  <c r="CA295" i="8"/>
  <c r="CA294" i="8"/>
  <c r="CA293" i="8"/>
  <c r="CA292" i="8"/>
  <c r="CA291" i="8"/>
  <c r="CA290" i="8"/>
  <c r="CA289" i="8"/>
  <c r="CA288" i="8"/>
  <c r="CA287" i="8"/>
  <c r="CA286" i="8"/>
  <c r="CA285" i="8"/>
  <c r="CA284" i="8"/>
  <c r="CA283" i="8"/>
  <c r="CA282" i="8"/>
  <c r="CA281" i="8"/>
  <c r="CA280" i="8"/>
  <c r="CA279" i="8"/>
  <c r="CA278" i="8"/>
  <c r="CA277" i="8"/>
  <c r="CA276" i="8"/>
  <c r="CA275" i="8"/>
  <c r="CA274" i="8"/>
  <c r="CA273" i="8"/>
  <c r="CA272" i="8"/>
  <c r="CA271" i="8"/>
  <c r="CA270" i="8"/>
  <c r="CA269" i="8"/>
  <c r="CA268" i="8"/>
  <c r="CA267" i="8"/>
  <c r="CA266" i="8"/>
  <c r="CA265" i="8"/>
  <c r="CA264" i="8"/>
  <c r="CA263" i="8"/>
  <c r="CA262" i="8"/>
  <c r="CA261" i="8"/>
  <c r="CA260" i="8"/>
  <c r="CA259" i="8"/>
  <c r="CA258" i="8"/>
  <c r="CA257" i="8"/>
  <c r="CA256" i="8"/>
  <c r="CA255" i="8"/>
  <c r="CA254" i="8"/>
  <c r="CA253" i="8"/>
  <c r="CA252" i="8"/>
  <c r="CA251" i="8"/>
  <c r="CA250" i="8"/>
  <c r="CA249" i="8"/>
  <c r="CA248" i="8"/>
  <c r="CA247" i="8"/>
  <c r="CA246" i="8"/>
  <c r="CA245" i="8"/>
  <c r="CA244" i="8"/>
  <c r="CA243" i="8"/>
  <c r="CA242" i="8"/>
  <c r="CA241" i="8"/>
  <c r="CA240" i="8"/>
  <c r="CA239" i="8"/>
  <c r="CA238" i="8"/>
  <c r="CA237" i="8"/>
  <c r="CA236" i="8"/>
  <c r="CA235" i="8"/>
  <c r="CA234" i="8"/>
  <c r="CA233" i="8"/>
  <c r="CA232" i="8"/>
  <c r="CA231" i="8"/>
  <c r="CA230" i="8"/>
  <c r="CA229" i="8"/>
  <c r="CA228" i="8"/>
  <c r="CA227" i="8"/>
  <c r="CA226" i="8"/>
  <c r="CA225" i="8"/>
  <c r="CA224" i="8"/>
  <c r="CA223" i="8"/>
  <c r="CA222" i="8"/>
  <c r="CA221" i="8"/>
  <c r="CA220" i="8"/>
  <c r="CA219" i="8"/>
  <c r="CA218" i="8"/>
  <c r="CA217" i="8"/>
  <c r="CA216" i="8"/>
  <c r="CA215" i="8"/>
  <c r="CA214" i="8"/>
  <c r="CA213" i="8"/>
  <c r="CA212" i="8"/>
  <c r="CA211" i="8"/>
  <c r="CA210" i="8"/>
  <c r="CA209" i="8"/>
  <c r="CA208" i="8"/>
  <c r="CA207" i="8"/>
  <c r="CA206" i="8"/>
  <c r="CA205" i="8"/>
  <c r="CA204" i="8"/>
  <c r="CA203" i="8"/>
  <c r="CA202" i="8"/>
  <c r="CA201" i="8"/>
  <c r="CA200" i="8"/>
  <c r="CA199" i="8"/>
  <c r="CA198" i="8"/>
  <c r="CA197" i="8"/>
  <c r="CA196" i="8"/>
  <c r="CA195" i="8"/>
  <c r="CA194" i="8"/>
  <c r="CA193" i="8"/>
  <c r="CA192" i="8"/>
  <c r="CA191" i="8"/>
  <c r="CA190" i="8"/>
  <c r="CA189" i="8"/>
  <c r="CA188" i="8"/>
  <c r="CA187" i="8"/>
  <c r="CA186" i="8"/>
  <c r="CA185" i="8"/>
  <c r="CA184" i="8"/>
  <c r="CA183" i="8"/>
  <c r="CA182" i="8"/>
  <c r="CA181" i="8"/>
  <c r="CA180" i="8"/>
  <c r="CA179" i="8"/>
  <c r="CA178" i="8"/>
  <c r="CA177" i="8"/>
  <c r="CA176" i="8"/>
  <c r="CA175" i="8"/>
  <c r="CA174" i="8"/>
  <c r="CA173" i="8"/>
  <c r="CA172" i="8"/>
  <c r="CA171" i="8"/>
  <c r="CA170" i="8"/>
  <c r="CA169" i="8"/>
  <c r="CA168" i="8"/>
  <c r="CA167" i="8"/>
  <c r="CA166" i="8"/>
  <c r="CA165" i="8"/>
  <c r="CA164" i="8"/>
  <c r="CA163" i="8"/>
  <c r="CA162" i="8"/>
  <c r="CA161" i="8"/>
  <c r="CA160" i="8"/>
  <c r="CA159" i="8"/>
  <c r="CA158" i="8"/>
  <c r="CA157" i="8"/>
  <c r="CA156" i="8"/>
  <c r="CA155" i="8"/>
  <c r="CA154" i="8"/>
  <c r="CA153" i="8"/>
  <c r="CA152" i="8"/>
  <c r="CA151" i="8"/>
  <c r="CA150" i="8"/>
  <c r="CA149" i="8"/>
  <c r="CA148" i="8"/>
  <c r="CA147" i="8"/>
  <c r="CA146" i="8"/>
  <c r="CA145" i="8"/>
  <c r="CA144" i="8"/>
  <c r="CA143" i="8"/>
  <c r="CA142" i="8"/>
  <c r="CA141" i="8"/>
  <c r="CA140" i="8"/>
  <c r="CA139" i="8"/>
  <c r="CA138" i="8"/>
  <c r="CA137" i="8"/>
  <c r="CA136" i="8"/>
  <c r="CA135" i="8"/>
  <c r="CA134" i="8"/>
  <c r="CA133" i="8"/>
  <c r="CA132" i="8"/>
  <c r="CA131" i="8"/>
  <c r="CA130" i="8"/>
  <c r="CA129" i="8"/>
  <c r="CA128" i="8"/>
  <c r="CA127" i="8"/>
  <c r="CA126" i="8"/>
  <c r="CA125" i="8"/>
  <c r="CA124" i="8"/>
  <c r="CA123" i="8"/>
  <c r="CA122" i="8"/>
  <c r="CA121" i="8"/>
  <c r="CA120" i="8"/>
  <c r="CA119" i="8"/>
  <c r="CA118" i="8"/>
  <c r="CA117" i="8"/>
  <c r="CA116" i="8"/>
  <c r="CA115" i="8"/>
  <c r="CA114" i="8"/>
  <c r="CA113" i="8"/>
  <c r="CA112" i="8"/>
  <c r="CA111" i="8"/>
  <c r="CA110" i="8"/>
  <c r="CA109" i="8"/>
  <c r="CA108" i="8"/>
  <c r="CA107" i="8"/>
  <c r="CA106" i="8"/>
  <c r="CA105" i="8"/>
  <c r="CA104" i="8"/>
  <c r="CA103" i="8"/>
  <c r="CA102" i="8"/>
  <c r="CA101" i="8"/>
  <c r="CA100" i="8"/>
  <c r="CA99" i="8"/>
  <c r="CA98" i="8"/>
  <c r="CA97" i="8"/>
  <c r="CA96" i="8"/>
  <c r="CA95" i="8"/>
  <c r="CA94" i="8"/>
  <c r="CA93" i="8"/>
  <c r="CA92" i="8"/>
  <c r="CA91" i="8"/>
  <c r="CA90" i="8"/>
  <c r="CA89" i="8"/>
  <c r="CA88" i="8"/>
  <c r="CA87" i="8"/>
  <c r="CA86" i="8"/>
  <c r="CA85" i="8"/>
  <c r="CA84" i="8"/>
  <c r="CA83" i="8"/>
  <c r="CA82" i="8"/>
  <c r="CA81" i="8"/>
  <c r="CA80" i="8"/>
  <c r="CA79" i="8"/>
  <c r="CA78" i="8"/>
  <c r="CA77" i="8"/>
  <c r="CA76" i="8"/>
  <c r="CA75" i="8"/>
  <c r="CA74" i="8"/>
  <c r="CA73" i="8"/>
  <c r="CA72" i="8"/>
  <c r="CA71" i="8"/>
  <c r="CA70" i="8"/>
  <c r="CA69" i="8"/>
  <c r="CA68" i="8"/>
  <c r="CA67" i="8"/>
  <c r="CA66" i="8"/>
  <c r="CA65" i="8"/>
  <c r="CA64" i="8"/>
  <c r="CA63" i="8"/>
  <c r="CA62" i="8"/>
  <c r="CA61" i="8"/>
  <c r="CA60" i="8"/>
  <c r="CA59" i="8"/>
  <c r="CA58" i="8"/>
  <c r="CA57" i="8"/>
  <c r="CA56" i="8"/>
  <c r="CA55" i="8"/>
  <c r="CA54" i="8"/>
  <c r="CA53" i="8"/>
  <c r="CA52" i="8"/>
  <c r="CA51" i="8"/>
  <c r="CA50" i="8"/>
  <c r="CA49" i="8"/>
  <c r="CA48" i="8"/>
  <c r="CA47" i="8"/>
  <c r="CA46" i="8"/>
  <c r="CA45" i="8"/>
  <c r="CA44" i="8"/>
  <c r="CA43" i="8"/>
  <c r="CA42" i="8"/>
  <c r="CA41" i="8"/>
  <c r="CA40" i="8"/>
  <c r="CA39" i="8"/>
  <c r="CA38" i="8"/>
  <c r="CA37" i="8"/>
  <c r="CA36" i="8"/>
  <c r="CA35" i="8"/>
  <c r="CA34" i="8"/>
  <c r="CA33" i="8"/>
  <c r="CA32" i="8"/>
  <c r="CA31" i="8"/>
  <c r="CA30" i="8"/>
  <c r="CA29" i="8"/>
  <c r="CA28" i="8"/>
  <c r="CA27" i="8"/>
  <c r="CA26" i="8"/>
  <c r="CA25" i="8"/>
  <c r="CA24" i="8"/>
  <c r="CA23" i="8"/>
  <c r="CA22" i="8"/>
  <c r="CA21" i="8"/>
  <c r="CA20" i="8"/>
  <c r="CA19" i="8"/>
  <c r="CA18" i="8"/>
  <c r="CA17" i="8"/>
  <c r="CA16" i="8"/>
  <c r="CA15" i="8"/>
  <c r="CA14" i="8"/>
  <c r="C197" i="59"/>
  <c r="K230" i="59"/>
  <c r="I230" i="59"/>
  <c r="J7" i="59"/>
  <c r="C103" i="59"/>
  <c r="J206" i="59"/>
  <c r="C212" i="59"/>
  <c r="J142" i="59"/>
  <c r="C195" i="59"/>
  <c r="J38" i="59"/>
  <c r="C118" i="59"/>
  <c r="J6" i="59"/>
  <c r="C92" i="59"/>
  <c r="J221" i="59"/>
  <c r="C142" i="59"/>
  <c r="J213" i="59"/>
  <c r="C219" i="59"/>
  <c r="J205" i="59"/>
  <c r="C211" i="59"/>
  <c r="J197" i="59"/>
  <c r="C202" i="59"/>
  <c r="J189" i="59"/>
  <c r="C225" i="59"/>
  <c r="J181" i="59"/>
  <c r="C188" i="59"/>
  <c r="J173" i="59"/>
  <c r="C179" i="59"/>
  <c r="J165" i="59"/>
  <c r="C171" i="59"/>
  <c r="J157" i="59"/>
  <c r="C162" i="59"/>
  <c r="J149" i="59"/>
  <c r="C153" i="59"/>
  <c r="J141" i="59"/>
  <c r="C194" i="59"/>
  <c r="J133" i="59"/>
  <c r="C42" i="59"/>
  <c r="J125" i="59"/>
  <c r="C33" i="59"/>
  <c r="J117" i="59"/>
  <c r="C24" i="59"/>
  <c r="J109" i="59"/>
  <c r="C15" i="59"/>
  <c r="J101" i="59"/>
  <c r="C7" i="59"/>
  <c r="J93" i="59"/>
  <c r="C17" i="59"/>
  <c r="J85" i="59"/>
  <c r="C79" i="59"/>
  <c r="J77" i="59"/>
  <c r="C70" i="59"/>
  <c r="J69" i="59"/>
  <c r="C62" i="59"/>
  <c r="J61" i="59"/>
  <c r="C53" i="59"/>
  <c r="J53" i="59"/>
  <c r="C87" i="59"/>
  <c r="J45" i="59"/>
  <c r="C126" i="59"/>
  <c r="J37" i="59"/>
  <c r="C117" i="59"/>
  <c r="J29" i="59"/>
  <c r="C108" i="59"/>
  <c r="J21" i="59"/>
  <c r="C99" i="59"/>
  <c r="J13" i="59"/>
  <c r="C133" i="59"/>
  <c r="J214" i="59"/>
  <c r="C221" i="59"/>
  <c r="J190" i="59"/>
  <c r="C226" i="59"/>
  <c r="J158" i="59"/>
  <c r="C163" i="59"/>
  <c r="J134" i="59"/>
  <c r="C43" i="59"/>
  <c r="J118" i="59"/>
  <c r="C25" i="59"/>
  <c r="J102" i="59"/>
  <c r="C8" i="59"/>
  <c r="J86" i="59"/>
  <c r="C80" i="59"/>
  <c r="J70" i="59"/>
  <c r="C63" i="59"/>
  <c r="J46" i="59"/>
  <c r="C127" i="59"/>
  <c r="J228" i="59"/>
  <c r="C138" i="59"/>
  <c r="J220" i="59"/>
  <c r="C141" i="59"/>
  <c r="J212" i="59"/>
  <c r="C218" i="59"/>
  <c r="J204" i="59"/>
  <c r="C210" i="59"/>
  <c r="J196" i="59"/>
  <c r="C201" i="59"/>
  <c r="J188" i="59"/>
  <c r="C224" i="59"/>
  <c r="J180" i="59"/>
  <c r="C187" i="59"/>
  <c r="J172" i="59"/>
  <c r="C178" i="59"/>
  <c r="J164" i="59"/>
  <c r="C170" i="59"/>
  <c r="J156" i="59"/>
  <c r="C161" i="59"/>
  <c r="J148" i="59"/>
  <c r="C152" i="59"/>
  <c r="J140" i="59"/>
  <c r="C193" i="59"/>
  <c r="J132" i="59"/>
  <c r="C41" i="59"/>
  <c r="J124" i="59"/>
  <c r="C32" i="59"/>
  <c r="J116" i="59"/>
  <c r="C23" i="59"/>
  <c r="J108" i="59"/>
  <c r="C14" i="59"/>
  <c r="J100" i="59"/>
  <c r="C48" i="59"/>
  <c r="J92" i="59"/>
  <c r="C6" i="59"/>
  <c r="J84" i="59"/>
  <c r="C78" i="59"/>
  <c r="J76" i="59"/>
  <c r="C69" i="59"/>
  <c r="J68" i="59"/>
  <c r="C61" i="59"/>
  <c r="J60" i="59"/>
  <c r="C52" i="59"/>
  <c r="J52" i="59"/>
  <c r="C82" i="59"/>
  <c r="J44" i="59"/>
  <c r="C124" i="59"/>
  <c r="J36" i="59"/>
  <c r="C116" i="59"/>
  <c r="J28" i="59"/>
  <c r="C107" i="59"/>
  <c r="J20" i="59"/>
  <c r="C98" i="59"/>
  <c r="J12" i="59"/>
  <c r="C132" i="59"/>
  <c r="J174" i="59"/>
  <c r="C181" i="59"/>
  <c r="J22" i="59"/>
  <c r="C100" i="59"/>
  <c r="J227" i="59"/>
  <c r="C137" i="59"/>
  <c r="J219" i="59"/>
  <c r="C140" i="59"/>
  <c r="J211" i="59"/>
  <c r="C217" i="59"/>
  <c r="J203" i="59"/>
  <c r="C208" i="59"/>
  <c r="J195" i="59"/>
  <c r="C200" i="59"/>
  <c r="J187" i="59"/>
  <c r="C220" i="59"/>
  <c r="J179" i="59"/>
  <c r="C186" i="59"/>
  <c r="J171" i="59"/>
  <c r="C177" i="59"/>
  <c r="J163" i="59"/>
  <c r="C168" i="59"/>
  <c r="J155" i="59"/>
  <c r="C160" i="59"/>
  <c r="J147" i="59"/>
  <c r="C151" i="59"/>
  <c r="J139" i="59"/>
  <c r="C191" i="59"/>
  <c r="J131" i="59"/>
  <c r="C40" i="59"/>
  <c r="J123" i="59"/>
  <c r="C31" i="59"/>
  <c r="J115" i="59"/>
  <c r="C22" i="59"/>
  <c r="J107" i="59"/>
  <c r="C13" i="59"/>
  <c r="J99" i="59"/>
  <c r="C47" i="59"/>
  <c r="J91" i="59"/>
  <c r="C86" i="59"/>
  <c r="J83" i="59"/>
  <c r="C77" i="59"/>
  <c r="J75" i="59"/>
  <c r="C68" i="59"/>
  <c r="J67" i="59"/>
  <c r="C59" i="59"/>
  <c r="J59" i="59"/>
  <c r="C51" i="59"/>
  <c r="J51" i="59"/>
  <c r="C71" i="59"/>
  <c r="J43" i="59"/>
  <c r="C123" i="59"/>
  <c r="J35" i="59"/>
  <c r="C115" i="59"/>
  <c r="J27" i="59"/>
  <c r="C106" i="59"/>
  <c r="J19" i="59"/>
  <c r="C97" i="59"/>
  <c r="J11" i="59"/>
  <c r="C131" i="59"/>
  <c r="J166" i="59"/>
  <c r="C172" i="59"/>
  <c r="J30" i="59"/>
  <c r="C109" i="59"/>
  <c r="J226" i="59"/>
  <c r="C136" i="59"/>
  <c r="J218" i="59"/>
  <c r="C139" i="59"/>
  <c r="J210" i="59"/>
  <c r="C216" i="59"/>
  <c r="J202" i="59"/>
  <c r="C207" i="59"/>
  <c r="J194" i="59"/>
  <c r="C199" i="59"/>
  <c r="J186" i="59"/>
  <c r="C209" i="59"/>
  <c r="J178" i="59"/>
  <c r="C185" i="59"/>
  <c r="J170" i="59"/>
  <c r="C176" i="59"/>
  <c r="J162" i="59"/>
  <c r="C167" i="59"/>
  <c r="J154" i="59"/>
  <c r="C159" i="59"/>
  <c r="J146" i="59"/>
  <c r="C150" i="59"/>
  <c r="J138" i="59"/>
  <c r="C180" i="59"/>
  <c r="J130" i="59"/>
  <c r="C38" i="59"/>
  <c r="J122" i="59"/>
  <c r="C30" i="59"/>
  <c r="J114" i="59"/>
  <c r="C21" i="59"/>
  <c r="J106" i="59"/>
  <c r="C12" i="59"/>
  <c r="J98" i="59"/>
  <c r="C46" i="59"/>
  <c r="J90" i="59"/>
  <c r="C85" i="59"/>
  <c r="J82" i="59"/>
  <c r="C76" i="59"/>
  <c r="J74" i="59"/>
  <c r="C67" i="59"/>
  <c r="J66" i="59"/>
  <c r="C58" i="59"/>
  <c r="J58" i="59"/>
  <c r="C50" i="59"/>
  <c r="J50" i="59"/>
  <c r="C60" i="59"/>
  <c r="J42" i="59"/>
  <c r="C122" i="59"/>
  <c r="J34" i="59"/>
  <c r="C113" i="59"/>
  <c r="J26" i="59"/>
  <c r="C105" i="59"/>
  <c r="J18" i="59"/>
  <c r="C96" i="59"/>
  <c r="J10" i="59"/>
  <c r="C130" i="59"/>
  <c r="J182" i="59"/>
  <c r="C189" i="59"/>
  <c r="J14" i="59"/>
  <c r="C134" i="59"/>
  <c r="J225" i="59"/>
  <c r="C146" i="59"/>
  <c r="J217" i="59"/>
  <c r="C135" i="59"/>
  <c r="J209" i="59"/>
  <c r="C215" i="59"/>
  <c r="J201" i="59"/>
  <c r="C206" i="59"/>
  <c r="J193" i="59"/>
  <c r="C229" i="59"/>
  <c r="J185" i="59"/>
  <c r="C198" i="59"/>
  <c r="J177" i="59"/>
  <c r="C184" i="59"/>
  <c r="J169" i="59"/>
  <c r="C175" i="59"/>
  <c r="J161" i="59"/>
  <c r="C166" i="59"/>
  <c r="J153" i="59"/>
  <c r="C157" i="59"/>
  <c r="J145" i="59"/>
  <c r="C149" i="59"/>
  <c r="J137" i="59"/>
  <c r="C169" i="59"/>
  <c r="J129" i="59"/>
  <c r="C37" i="59"/>
  <c r="J121" i="59"/>
  <c r="C29" i="59"/>
  <c r="J113" i="59"/>
  <c r="C20" i="59"/>
  <c r="J105" i="59"/>
  <c r="C11" i="59"/>
  <c r="J97" i="59"/>
  <c r="C45" i="59"/>
  <c r="J89" i="59"/>
  <c r="C84" i="59"/>
  <c r="J81" i="59"/>
  <c r="C75" i="59"/>
  <c r="J73" i="59"/>
  <c r="C66" i="59"/>
  <c r="J65" i="59"/>
  <c r="C57" i="59"/>
  <c r="J57" i="59"/>
  <c r="C91" i="59"/>
  <c r="J49" i="59"/>
  <c r="C49" i="59"/>
  <c r="J41" i="59"/>
  <c r="C121" i="59"/>
  <c r="J33" i="59"/>
  <c r="C112" i="59"/>
  <c r="J25" i="59"/>
  <c r="C104" i="59"/>
  <c r="J17" i="59"/>
  <c r="C95" i="59"/>
  <c r="J9" i="59"/>
  <c r="C125" i="59"/>
  <c r="J222" i="59"/>
  <c r="C143" i="59"/>
  <c r="J198" i="59"/>
  <c r="C203" i="59"/>
  <c r="J150" i="59"/>
  <c r="C154" i="59"/>
  <c r="J126" i="59"/>
  <c r="C34" i="59"/>
  <c r="J110" i="59"/>
  <c r="C16" i="59"/>
  <c r="J94" i="59"/>
  <c r="C28" i="59"/>
  <c r="J78" i="59"/>
  <c r="C72" i="59"/>
  <c r="J62" i="59"/>
  <c r="C54" i="59"/>
  <c r="J54" i="59"/>
  <c r="C88" i="59"/>
  <c r="J224" i="59"/>
  <c r="C145" i="59"/>
  <c r="J216" i="59"/>
  <c r="C223" i="59"/>
  <c r="J208" i="59"/>
  <c r="C214" i="59"/>
  <c r="J200" i="59"/>
  <c r="C205" i="59"/>
  <c r="J192" i="59"/>
  <c r="C228" i="59"/>
  <c r="J184" i="59"/>
  <c r="C192" i="59"/>
  <c r="J176" i="59"/>
  <c r="C183" i="59"/>
  <c r="J168" i="59"/>
  <c r="C174" i="59"/>
  <c r="J160" i="59"/>
  <c r="C165" i="59"/>
  <c r="J152" i="59"/>
  <c r="C156" i="59"/>
  <c r="J144" i="59"/>
  <c r="C148" i="59"/>
  <c r="J136" i="59"/>
  <c r="C158" i="59"/>
  <c r="J128" i="59"/>
  <c r="C36" i="59"/>
  <c r="J120" i="59"/>
  <c r="C27" i="59"/>
  <c r="J112" i="59"/>
  <c r="C19" i="59"/>
  <c r="J104" i="59"/>
  <c r="C10" i="59"/>
  <c r="J96" i="59"/>
  <c r="C44" i="59"/>
  <c r="J88" i="59"/>
  <c r="C83" i="59"/>
  <c r="J80" i="59"/>
  <c r="C74" i="59"/>
  <c r="J72" i="59"/>
  <c r="C65" i="59"/>
  <c r="J64" i="59"/>
  <c r="C56" i="59"/>
  <c r="J56" i="59"/>
  <c r="C90" i="59"/>
  <c r="J48" i="59"/>
  <c r="C129" i="59"/>
  <c r="J40" i="59"/>
  <c r="C120" i="59"/>
  <c r="J32" i="59"/>
  <c r="C111" i="59"/>
  <c r="J24" i="59"/>
  <c r="C102" i="59"/>
  <c r="J16" i="59"/>
  <c r="C94" i="59"/>
  <c r="J8" i="59"/>
  <c r="C114" i="59"/>
  <c r="J223" i="59"/>
  <c r="C144" i="59"/>
  <c r="J215" i="59"/>
  <c r="C222" i="59"/>
  <c r="J207" i="59"/>
  <c r="C213" i="59"/>
  <c r="J199" i="59"/>
  <c r="C204" i="59"/>
  <c r="J191" i="59"/>
  <c r="C227" i="59"/>
  <c r="J183" i="59"/>
  <c r="C190" i="59"/>
  <c r="J175" i="59"/>
  <c r="C182" i="59"/>
  <c r="J167" i="59"/>
  <c r="C173" i="59"/>
  <c r="J159" i="59"/>
  <c r="C164" i="59"/>
  <c r="J151" i="59"/>
  <c r="C155" i="59"/>
  <c r="J143" i="59"/>
  <c r="C196" i="59"/>
  <c r="J135" i="59"/>
  <c r="C147" i="59"/>
  <c r="J127" i="59"/>
  <c r="C35" i="59"/>
  <c r="J119" i="59"/>
  <c r="C26" i="59"/>
  <c r="J111" i="59"/>
  <c r="C18" i="59"/>
  <c r="J103" i="59"/>
  <c r="C9" i="59"/>
  <c r="J95" i="59"/>
  <c r="C39" i="59"/>
  <c r="J87" i="59"/>
  <c r="C81" i="59"/>
  <c r="J79" i="59"/>
  <c r="C73" i="59"/>
  <c r="J71" i="59"/>
  <c r="C64" i="59"/>
  <c r="J63" i="59"/>
  <c r="C55" i="59"/>
  <c r="J55" i="59"/>
  <c r="C89" i="59"/>
  <c r="J47" i="59"/>
  <c r="C128" i="59"/>
  <c r="J39" i="59"/>
  <c r="C119" i="59"/>
  <c r="J31" i="59"/>
  <c r="C110" i="59"/>
  <c r="J23" i="59"/>
  <c r="C101" i="59"/>
  <c r="J15" i="59"/>
  <c r="C93" i="59"/>
  <c r="J230" i="59"/>
  <c r="C230" i="59"/>
  <c r="H122" i="6"/>
  <c r="H32" i="6"/>
  <c r="L144" i="6"/>
  <c r="F136" i="6"/>
  <c r="E145" i="6"/>
  <c r="G165" i="6"/>
  <c r="K101" i="6"/>
  <c r="H30" i="6"/>
  <c r="F66" i="6"/>
  <c r="N18" i="6"/>
  <c r="E102" i="6"/>
  <c r="E213" i="6"/>
  <c r="M205" i="6"/>
  <c r="L191" i="6"/>
  <c r="L182" i="6"/>
  <c r="L213" i="6"/>
  <c r="L205" i="6"/>
  <c r="K191" i="6"/>
  <c r="N184" i="6"/>
  <c r="L178" i="6"/>
  <c r="E215" i="6"/>
  <c r="L208" i="6"/>
  <c r="K185" i="6"/>
  <c r="F217" i="6"/>
  <c r="K210" i="6"/>
  <c r="E209" i="6"/>
  <c r="I202" i="6"/>
  <c r="J185" i="6"/>
  <c r="G173" i="6"/>
  <c r="N214" i="6"/>
  <c r="M207" i="6"/>
  <c r="K184" i="6"/>
  <c r="N216" i="6"/>
  <c r="H210" i="6"/>
  <c r="F202" i="6"/>
  <c r="F188" i="6"/>
  <c r="L180" i="6"/>
  <c r="K176" i="6"/>
  <c r="L217" i="6"/>
  <c r="G188" i="6"/>
  <c r="K178" i="6"/>
  <c r="I171" i="6"/>
  <c r="N165" i="6"/>
  <c r="M156" i="6"/>
  <c r="G150" i="6"/>
  <c r="I146" i="6"/>
  <c r="J217" i="6"/>
  <c r="E191" i="6"/>
  <c r="M179" i="6"/>
  <c r="H172" i="6"/>
  <c r="I157" i="6"/>
  <c r="N150" i="6"/>
  <c r="I208" i="6"/>
  <c r="F174" i="6"/>
  <c r="K167" i="6"/>
  <c r="J159" i="6"/>
  <c r="J181" i="6"/>
  <c r="E174" i="6"/>
  <c r="M166" i="6"/>
  <c r="I159" i="6"/>
  <c r="N152" i="6"/>
  <c r="H148" i="6"/>
  <c r="I141" i="6"/>
  <c r="N173" i="6"/>
  <c r="L166" i="6"/>
  <c r="K158" i="6"/>
  <c r="E152" i="6"/>
  <c r="J147" i="6"/>
  <c r="H204" i="6"/>
  <c r="E179" i="6"/>
  <c r="G170" i="6"/>
  <c r="G194" i="6"/>
  <c r="K175" i="6"/>
  <c r="L168" i="6"/>
  <c r="K160" i="6"/>
  <c r="E154" i="6"/>
  <c r="J143" i="6"/>
  <c r="J174" i="6"/>
  <c r="K131" i="6"/>
  <c r="E125" i="6"/>
  <c r="J119" i="6"/>
  <c r="M107" i="6"/>
  <c r="E194" i="6"/>
  <c r="M150" i="6"/>
  <c r="J131" i="6"/>
  <c r="L125" i="6"/>
  <c r="K118" i="6"/>
  <c r="H105" i="6"/>
  <c r="I154" i="6"/>
  <c r="I131" i="6"/>
  <c r="N124" i="6"/>
  <c r="N120" i="6"/>
  <c r="J111" i="6"/>
  <c r="N98" i="6"/>
  <c r="M178" i="6"/>
  <c r="G152" i="6"/>
  <c r="H131" i="6"/>
  <c r="M124" i="6"/>
  <c r="J114" i="6"/>
  <c r="E162" i="6"/>
  <c r="I144" i="6"/>
  <c r="M129" i="6"/>
  <c r="I122" i="6"/>
  <c r="H118" i="6"/>
  <c r="J176" i="6"/>
  <c r="K149" i="6"/>
  <c r="I127" i="6"/>
  <c r="J122" i="6"/>
  <c r="L32" i="6"/>
  <c r="F144" i="6"/>
  <c r="G65" i="6"/>
  <c r="L139" i="6"/>
  <c r="E165" i="6"/>
  <c r="F101" i="6"/>
  <c r="E30" i="6"/>
  <c r="F13" i="6"/>
  <c r="G19" i="6"/>
  <c r="N218" i="6"/>
  <c r="H212" i="6"/>
  <c r="E205" i="6"/>
  <c r="G190" i="6"/>
  <c r="M218" i="6"/>
  <c r="G212" i="6"/>
  <c r="N204" i="6"/>
  <c r="N190" i="6"/>
  <c r="F184" i="6"/>
  <c r="H214" i="6"/>
  <c r="G207" i="6"/>
  <c r="J191" i="6"/>
  <c r="M184" i="6"/>
  <c r="I216" i="6"/>
  <c r="I194" i="6"/>
  <c r="L184" i="6"/>
  <c r="J172" i="6"/>
  <c r="F214" i="6"/>
  <c r="E207" i="6"/>
  <c r="H191" i="6"/>
  <c r="H182" i="6"/>
  <c r="F216" i="6"/>
  <c r="N194" i="6"/>
  <c r="I187" i="6"/>
  <c r="N175" i="6"/>
  <c r="M214" i="6"/>
  <c r="H185" i="6"/>
  <c r="L170" i="6"/>
  <c r="F165" i="6"/>
  <c r="E156" i="6"/>
  <c r="J149" i="6"/>
  <c r="L145" i="6"/>
  <c r="K214" i="6"/>
  <c r="E188" i="6"/>
  <c r="H178" i="6"/>
  <c r="H171" i="6"/>
  <c r="M165" i="6"/>
  <c r="L156" i="6"/>
  <c r="F150" i="6"/>
  <c r="H205" i="6"/>
  <c r="F173" i="6"/>
  <c r="N166" i="6"/>
  <c r="M158" i="6"/>
  <c r="E173" i="6"/>
  <c r="E166" i="6"/>
  <c r="L158" i="6"/>
  <c r="F152" i="6"/>
  <c r="K147" i="6"/>
  <c r="M139" i="6"/>
  <c r="K209" i="6"/>
  <c r="N172" i="6"/>
  <c r="N157" i="6"/>
  <c r="H151" i="6"/>
  <c r="E146" i="6"/>
  <c r="M194" i="6"/>
  <c r="J169" i="6"/>
  <c r="E186" i="6"/>
  <c r="K174" i="6"/>
  <c r="G167" i="6"/>
  <c r="N159" i="6"/>
  <c r="H153" i="6"/>
  <c r="M148" i="6"/>
  <c r="N141" i="6"/>
  <c r="K168" i="6"/>
  <c r="M147" i="6"/>
  <c r="N130" i="6"/>
  <c r="H124" i="6"/>
  <c r="L118" i="6"/>
  <c r="E107" i="6"/>
  <c r="M130" i="6"/>
  <c r="G124" i="6"/>
  <c r="N117" i="6"/>
  <c r="J104" i="6"/>
  <c r="M191" i="6"/>
  <c r="J152" i="6"/>
  <c r="I104" i="6"/>
  <c r="F141" i="6"/>
  <c r="M144" i="6"/>
  <c r="J164" i="6"/>
  <c r="I139" i="6"/>
  <c r="M136" i="6"/>
  <c r="N101" i="6"/>
  <c r="J142" i="6"/>
  <c r="I13" i="6"/>
  <c r="F19" i="6"/>
  <c r="F218" i="6"/>
  <c r="K211" i="6"/>
  <c r="G204" i="6"/>
  <c r="L188" i="6"/>
  <c r="E218" i="6"/>
  <c r="J211" i="6"/>
  <c r="F204" i="6"/>
  <c r="F190" i="6"/>
  <c r="K182" i="6"/>
  <c r="K213" i="6"/>
  <c r="K205" i="6"/>
  <c r="M190" i="6"/>
  <c r="E184" i="6"/>
  <c r="L215" i="6"/>
  <c r="K208" i="6"/>
  <c r="I182" i="6"/>
  <c r="M171" i="6"/>
  <c r="I213" i="6"/>
  <c r="I205" i="6"/>
  <c r="K190" i="6"/>
  <c r="K181" i="6"/>
  <c r="J177" i="6"/>
  <c r="I215" i="6"/>
  <c r="H208" i="6"/>
  <c r="F194" i="6"/>
  <c r="L186" i="6"/>
  <c r="L179" i="6"/>
  <c r="F175" i="6"/>
  <c r="N211" i="6"/>
  <c r="G182" i="6"/>
  <c r="L177" i="6"/>
  <c r="G169" i="6"/>
  <c r="H164" i="6"/>
  <c r="H155" i="6"/>
  <c r="N144" i="6"/>
  <c r="L211" i="6"/>
  <c r="F185" i="6"/>
  <c r="K170" i="6"/>
  <c r="G164" i="6"/>
  <c r="G155" i="6"/>
  <c r="I149" i="6"/>
  <c r="G202" i="6"/>
  <c r="K179" i="6"/>
  <c r="F172" i="6"/>
  <c r="F166" i="6"/>
  <c r="E158" i="6"/>
  <c r="G208" i="6"/>
  <c r="E172" i="6"/>
  <c r="G157" i="6"/>
  <c r="I151" i="6"/>
  <c r="N146" i="6"/>
  <c r="E139" i="6"/>
  <c r="L207" i="6"/>
  <c r="H179" i="6"/>
  <c r="E171" i="6"/>
  <c r="J165" i="6"/>
  <c r="F157" i="6"/>
  <c r="K150" i="6"/>
  <c r="E216" i="6"/>
  <c r="K186" i="6"/>
  <c r="J215" i="6"/>
  <c r="M180" i="6"/>
  <c r="K173" i="6"/>
  <c r="J166" i="6"/>
  <c r="F159" i="6"/>
  <c r="K152" i="6"/>
  <c r="E148" i="6"/>
  <c r="J139" i="6"/>
  <c r="L143" i="6"/>
  <c r="F130" i="6"/>
  <c r="M122" i="6"/>
  <c r="G117" i="6"/>
  <c r="I105" i="6"/>
  <c r="J173" i="6"/>
  <c r="E130" i="6"/>
  <c r="L122" i="6"/>
  <c r="F117" i="6"/>
  <c r="L103" i="6"/>
  <c r="J150" i="6"/>
  <c r="G129" i="6"/>
  <c r="I123" i="6"/>
  <c r="J118" i="6"/>
  <c r="K107" i="6"/>
  <c r="L95" i="6"/>
  <c r="H167" i="6"/>
  <c r="N129" i="6"/>
  <c r="E113" i="6"/>
  <c r="F156" i="6"/>
  <c r="M141" i="6"/>
  <c r="H128" i="6"/>
  <c r="L113" i="6"/>
  <c r="I166" i="6"/>
  <c r="F148" i="6"/>
  <c r="M131" i="6"/>
  <c r="G125" i="6"/>
  <c r="L119" i="6"/>
  <c r="M108" i="6"/>
  <c r="M157" i="6"/>
  <c r="M138" i="6"/>
  <c r="K126" i="6"/>
  <c r="N114" i="6"/>
  <c r="J105" i="6"/>
  <c r="E96" i="6"/>
  <c r="G118" i="6"/>
  <c r="I87" i="6"/>
  <c r="F79" i="6"/>
  <c r="F71" i="6"/>
  <c r="M60" i="6"/>
  <c r="M51" i="6"/>
  <c r="J117" i="6"/>
  <c r="F95" i="6"/>
  <c r="G81" i="6"/>
  <c r="I75" i="6"/>
  <c r="N67" i="6"/>
  <c r="G53" i="6"/>
  <c r="M105" i="6"/>
  <c r="N93" i="6"/>
  <c r="F81" i="6"/>
  <c r="E67" i="6"/>
  <c r="N53" i="6"/>
  <c r="N131" i="6"/>
  <c r="J98" i="6"/>
  <c r="J82" i="6"/>
  <c r="M19" i="6"/>
  <c r="E141" i="6"/>
  <c r="M146" i="6"/>
  <c r="M164" i="6"/>
  <c r="I98" i="6"/>
  <c r="G87" i="6"/>
  <c r="H101" i="6"/>
  <c r="N105" i="6"/>
  <c r="N143" i="6"/>
  <c r="H19" i="6"/>
  <c r="I217" i="6"/>
  <c r="N210" i="6"/>
  <c r="H209" i="6"/>
  <c r="J203" i="6"/>
  <c r="G187" i="6"/>
  <c r="H217" i="6"/>
  <c r="M210" i="6"/>
  <c r="G209" i="6"/>
  <c r="I203" i="6"/>
  <c r="K188" i="6"/>
  <c r="N181" i="6"/>
  <c r="M177" i="6"/>
  <c r="N212" i="6"/>
  <c r="M204" i="6"/>
  <c r="E190" i="6"/>
  <c r="J182" i="6"/>
  <c r="G214" i="6"/>
  <c r="N207" i="6"/>
  <c r="I191" i="6"/>
  <c r="L181" i="6"/>
  <c r="K177" i="6"/>
  <c r="J218" i="6"/>
  <c r="L212" i="6"/>
  <c r="K204" i="6"/>
  <c r="H188" i="6"/>
  <c r="N180" i="6"/>
  <c r="M176" i="6"/>
  <c r="L214" i="6"/>
  <c r="K207" i="6"/>
  <c r="G185" i="6"/>
  <c r="G178" i="6"/>
  <c r="I174" i="6"/>
  <c r="J180" i="6"/>
  <c r="I176" i="6"/>
  <c r="J168" i="6"/>
  <c r="L162" i="6"/>
  <c r="K154" i="6"/>
  <c r="H143" i="6"/>
  <c r="E182" i="6"/>
  <c r="I177" i="6"/>
  <c r="N169" i="6"/>
  <c r="K162" i="6"/>
  <c r="J154" i="6"/>
  <c r="J190" i="6"/>
  <c r="F178" i="6"/>
  <c r="G171" i="6"/>
  <c r="H157" i="6"/>
  <c r="F205" i="6"/>
  <c r="F171" i="6"/>
  <c r="K165" i="6"/>
  <c r="J156" i="6"/>
  <c r="L150" i="6"/>
  <c r="F146" i="6"/>
  <c r="G138" i="6"/>
  <c r="J204" i="6"/>
  <c r="H170" i="6"/>
  <c r="L164" i="6"/>
  <c r="I156" i="6"/>
  <c r="N149" i="6"/>
  <c r="F213" i="6"/>
  <c r="G181" i="6"/>
  <c r="L175" i="6"/>
  <c r="K212" i="6"/>
  <c r="L172" i="6"/>
  <c r="I158" i="6"/>
  <c r="N151" i="6"/>
  <c r="H147" i="6"/>
  <c r="L138" i="6"/>
  <c r="J160" i="6"/>
  <c r="I142" i="6"/>
  <c r="I129" i="6"/>
  <c r="E122" i="6"/>
  <c r="M114" i="6"/>
  <c r="K104" i="6"/>
  <c r="E168" i="6"/>
  <c r="L147" i="6"/>
  <c r="H129" i="6"/>
  <c r="L114" i="6"/>
  <c r="J100" i="6"/>
  <c r="K172" i="6"/>
  <c r="J128" i="6"/>
  <c r="K122" i="6"/>
  <c r="M117" i="6"/>
  <c r="K103" i="6"/>
  <c r="H93" i="6"/>
  <c r="I165" i="6"/>
  <c r="L148" i="6"/>
  <c r="F129" i="6"/>
  <c r="E150" i="6"/>
  <c r="G139" i="6"/>
  <c r="K127" i="6"/>
  <c r="H111" i="6"/>
  <c r="I164" i="6"/>
  <c r="L146" i="6"/>
  <c r="E131" i="6"/>
  <c r="J124" i="6"/>
  <c r="N118" i="6"/>
  <c r="E108" i="6"/>
  <c r="F155" i="6"/>
  <c r="N125" i="6"/>
  <c r="N121" i="6"/>
  <c r="F114" i="6"/>
  <c r="L104" i="6"/>
  <c r="G95" i="6"/>
  <c r="N108" i="6"/>
  <c r="G84" i="6"/>
  <c r="I78" i="6"/>
  <c r="H70" i="6"/>
  <c r="E60" i="6"/>
  <c r="E51" i="6"/>
  <c r="I111" i="6"/>
  <c r="E93" i="6"/>
  <c r="J80" i="6"/>
  <c r="F67" i="6"/>
  <c r="N177" i="6"/>
  <c r="G104" i="6"/>
  <c r="N92" i="6"/>
  <c r="I80" i="6"/>
  <c r="J72" i="6"/>
  <c r="I65" i="6"/>
  <c r="F53" i="6"/>
  <c r="E126" i="6"/>
  <c r="N95" i="6"/>
  <c r="M81" i="6"/>
  <c r="G75" i="6"/>
  <c r="I74" i="6"/>
  <c r="L67" i="6"/>
  <c r="M56" i="6"/>
  <c r="K166" i="6"/>
  <c r="M100" i="6"/>
  <c r="L93" i="6"/>
  <c r="F139" i="6"/>
  <c r="H146" i="6"/>
  <c r="N164" i="6"/>
  <c r="M98" i="6"/>
  <c r="E87" i="6"/>
  <c r="M101" i="6"/>
  <c r="G105" i="6"/>
  <c r="I143" i="6"/>
  <c r="M137" i="6"/>
  <c r="L216" i="6"/>
  <c r="F210" i="6"/>
  <c r="L202" i="6"/>
  <c r="J186" i="6"/>
  <c r="K216" i="6"/>
  <c r="E210" i="6"/>
  <c r="K202" i="6"/>
  <c r="N187" i="6"/>
  <c r="F181" i="6"/>
  <c r="L218" i="6"/>
  <c r="F212" i="6"/>
  <c r="E204" i="6"/>
  <c r="J188" i="6"/>
  <c r="M181" i="6"/>
  <c r="J213" i="6"/>
  <c r="F207" i="6"/>
  <c r="L190" i="6"/>
  <c r="G180" i="6"/>
  <c r="N176" i="6"/>
  <c r="M217" i="6"/>
  <c r="G211" i="6"/>
  <c r="N203" i="6"/>
  <c r="K187" i="6"/>
  <c r="F180" i="6"/>
  <c r="E176" i="6"/>
  <c r="G213" i="6"/>
  <c r="G205" i="6"/>
  <c r="N191" i="6"/>
  <c r="I184" i="6"/>
  <c r="L173" i="6"/>
  <c r="H175" i="6"/>
  <c r="M167" i="6"/>
  <c r="I160" i="6"/>
  <c r="N153" i="6"/>
  <c r="H139" i="6"/>
  <c r="E180" i="6"/>
  <c r="H176" i="6"/>
  <c r="F169" i="6"/>
  <c r="H160" i="6"/>
  <c r="M153" i="6"/>
  <c r="E214" i="6"/>
  <c r="J187" i="6"/>
  <c r="J170" i="6"/>
  <c r="L165" i="6"/>
  <c r="K156" i="6"/>
  <c r="E202" i="6"/>
  <c r="J179" i="6"/>
  <c r="I170" i="6"/>
  <c r="E164" i="6"/>
  <c r="M155" i="6"/>
  <c r="G149" i="6"/>
  <c r="I145" i="6"/>
  <c r="J137" i="6"/>
  <c r="M186" i="6"/>
  <c r="K169" i="6"/>
  <c r="H162" i="6"/>
  <c r="L155" i="6"/>
  <c r="F149" i="6"/>
  <c r="G210" i="6"/>
  <c r="M174" i="6"/>
  <c r="L171" i="6"/>
  <c r="L157" i="6"/>
  <c r="F151" i="6"/>
  <c r="K146" i="6"/>
  <c r="G137" i="6"/>
  <c r="K157" i="6"/>
  <c r="N139" i="6"/>
  <c r="L128" i="6"/>
  <c r="E114" i="6"/>
  <c r="M103" i="6"/>
  <c r="K143" i="6"/>
  <c r="K128" i="6"/>
  <c r="G113" i="6"/>
  <c r="M99" i="6"/>
  <c r="N167" i="6"/>
  <c r="N148" i="6"/>
  <c r="M127" i="6"/>
  <c r="E117" i="6"/>
  <c r="M102" i="6"/>
  <c r="J92" i="6"/>
  <c r="G162" i="6"/>
  <c r="G147" i="6"/>
  <c r="I128" i="6"/>
  <c r="J121" i="6"/>
  <c r="N185" i="6"/>
  <c r="E138" i="6"/>
  <c r="N126" i="6"/>
  <c r="I121" i="6"/>
  <c r="G108" i="6"/>
  <c r="H158" i="6"/>
  <c r="H145" i="6"/>
  <c r="H130" i="6"/>
  <c r="M123" i="6"/>
  <c r="F118" i="6"/>
  <c r="G107" i="6"/>
  <c r="G153" i="6"/>
  <c r="I93" i="6"/>
  <c r="G141" i="6"/>
  <c r="N27" i="6"/>
  <c r="N142" i="6"/>
  <c r="K66" i="6"/>
  <c r="K117" i="6"/>
  <c r="M59" i="6"/>
  <c r="K58" i="6"/>
  <c r="N69" i="6"/>
  <c r="E120" i="6"/>
  <c r="J214" i="6"/>
  <c r="F208" i="6"/>
  <c r="E185" i="6"/>
  <c r="F215" i="6"/>
  <c r="E208" i="6"/>
  <c r="I186" i="6"/>
  <c r="J216" i="6"/>
  <c r="L210" i="6"/>
  <c r="F209" i="6"/>
  <c r="J202" i="6"/>
  <c r="E187" i="6"/>
  <c r="H180" i="6"/>
  <c r="K218" i="6"/>
  <c r="E212" i="6"/>
  <c r="L204" i="6"/>
  <c r="L187" i="6"/>
  <c r="G179" i="6"/>
  <c r="I175" i="6"/>
  <c r="H216" i="6"/>
  <c r="H202" i="6"/>
  <c r="F186" i="6"/>
  <c r="F179" i="6"/>
  <c r="H218" i="6"/>
  <c r="M211" i="6"/>
  <c r="L203" i="6"/>
  <c r="I190" i="6"/>
  <c r="F182" i="6"/>
  <c r="J171" i="6"/>
  <c r="I173" i="6"/>
  <c r="H166" i="6"/>
  <c r="G158" i="6"/>
  <c r="I152" i="6"/>
  <c r="N147" i="6"/>
  <c r="E137" i="6"/>
  <c r="M202" i="6"/>
  <c r="G174" i="6"/>
  <c r="L167" i="6"/>
  <c r="N158" i="6"/>
  <c r="H152" i="6"/>
  <c r="G176" i="6"/>
  <c r="E169" i="6"/>
  <c r="J162" i="6"/>
  <c r="M216" i="6"/>
  <c r="H187" i="6"/>
  <c r="G168" i="6"/>
  <c r="N160" i="6"/>
  <c r="H154" i="6"/>
  <c r="M143" i="6"/>
  <c r="H213" i="6"/>
  <c r="M175" i="6"/>
  <c r="F168" i="6"/>
  <c r="E160" i="6"/>
  <c r="J153" i="6"/>
  <c r="I209" i="6"/>
  <c r="M172" i="6"/>
  <c r="F170" i="6"/>
  <c r="N162" i="6"/>
  <c r="J155" i="6"/>
  <c r="L149" i="6"/>
  <c r="F145" i="6"/>
  <c r="H215" i="6"/>
  <c r="E151" i="6"/>
  <c r="I137" i="6"/>
  <c r="J126" i="6"/>
  <c r="M121" i="6"/>
  <c r="L111" i="6"/>
  <c r="I101" i="6"/>
  <c r="L154" i="6"/>
  <c r="H137" i="6"/>
  <c r="F127" i="6"/>
  <c r="L121" i="6"/>
  <c r="J108" i="6"/>
  <c r="G98" i="6"/>
  <c r="M159" i="6"/>
  <c r="H138" i="6"/>
  <c r="H126" i="6"/>
  <c r="N113" i="6"/>
  <c r="I100" i="6"/>
  <c r="H156" i="6"/>
  <c r="F138" i="6"/>
  <c r="G126" i="6"/>
  <c r="G119" i="6"/>
  <c r="M170" i="6"/>
  <c r="E147" i="6"/>
  <c r="G131" i="6"/>
  <c r="I125" i="6"/>
  <c r="N119" i="6"/>
  <c r="K203" i="6"/>
  <c r="I153" i="6"/>
  <c r="N138" i="6"/>
  <c r="N128" i="6"/>
  <c r="G122" i="6"/>
  <c r="G114" i="6"/>
  <c r="J175" i="6"/>
  <c r="H149" i="6"/>
  <c r="J129" i="6"/>
  <c r="L123" i="6"/>
  <c r="K119" i="6"/>
  <c r="E111" i="6"/>
  <c r="J101" i="6"/>
  <c r="E92" i="6"/>
  <c r="F100" i="6"/>
  <c r="E82" i="6"/>
  <c r="J75" i="6"/>
  <c r="L74" i="6"/>
  <c r="G67" i="6"/>
  <c r="L58" i="6"/>
  <c r="M182" i="6"/>
  <c r="L102" i="6"/>
  <c r="N84" i="6"/>
  <c r="H78" i="6"/>
  <c r="E71" i="6"/>
  <c r="F59" i="6"/>
  <c r="M126" i="6"/>
  <c r="N99" i="6"/>
  <c r="E84" i="6"/>
  <c r="J77" i="6"/>
  <c r="F70" i="6"/>
  <c r="J58" i="6"/>
  <c r="F50" i="6"/>
  <c r="L105" i="6"/>
  <c r="N87" i="6"/>
  <c r="K79" i="6"/>
  <c r="K71" i="6"/>
  <c r="J60" i="6"/>
  <c r="M53" i="6"/>
  <c r="H125" i="6"/>
  <c r="M95" i="6"/>
  <c r="G80" i="6"/>
  <c r="F65" i="6"/>
  <c r="H141" i="6"/>
  <c r="E27" i="6"/>
  <c r="M145" i="6"/>
  <c r="M66" i="6"/>
  <c r="G123" i="6"/>
  <c r="E59" i="6"/>
  <c r="G66" i="6"/>
  <c r="E69" i="6"/>
  <c r="J120" i="6"/>
  <c r="M213" i="6"/>
  <c r="I207" i="6"/>
  <c r="G184" i="6"/>
  <c r="I214" i="6"/>
  <c r="H207" i="6"/>
  <c r="L185" i="6"/>
  <c r="I179" i="6"/>
  <c r="M215" i="6"/>
  <c r="J194" i="6"/>
  <c r="H186" i="6"/>
  <c r="N217" i="6"/>
  <c r="H211" i="6"/>
  <c r="M209" i="6"/>
  <c r="G203" i="6"/>
  <c r="G186" i="6"/>
  <c r="J178" i="6"/>
  <c r="L174" i="6"/>
  <c r="K215" i="6"/>
  <c r="J208" i="6"/>
  <c r="H194" i="6"/>
  <c r="I185" i="6"/>
  <c r="I178" i="6"/>
  <c r="K217" i="6"/>
  <c r="E211" i="6"/>
  <c r="J209" i="6"/>
  <c r="N202" i="6"/>
  <c r="N188" i="6"/>
  <c r="I181" i="6"/>
  <c r="H177" i="6"/>
  <c r="G218" i="6"/>
  <c r="G191" i="6"/>
  <c r="I172" i="6"/>
  <c r="J157" i="6"/>
  <c r="L151" i="6"/>
  <c r="F147" i="6"/>
  <c r="H173" i="6"/>
  <c r="G166" i="6"/>
  <c r="F158" i="6"/>
  <c r="K151" i="6"/>
  <c r="E175" i="6"/>
  <c r="H168" i="6"/>
  <c r="G160" i="6"/>
  <c r="N213" i="6"/>
  <c r="H184" i="6"/>
  <c r="F177" i="6"/>
  <c r="J167" i="6"/>
  <c r="F160" i="6"/>
  <c r="K153" i="6"/>
  <c r="E143" i="6"/>
  <c r="I210" i="6"/>
  <c r="N174" i="6"/>
  <c r="I167" i="6"/>
  <c r="H159" i="6"/>
  <c r="M152" i="6"/>
  <c r="G148" i="6"/>
  <c r="J207" i="6"/>
  <c r="N171" i="6"/>
  <c r="M203" i="6"/>
  <c r="L176" i="6"/>
  <c r="I169" i="6"/>
  <c r="F162" i="6"/>
  <c r="M154" i="6"/>
  <c r="H144" i="6"/>
  <c r="E149" i="6"/>
  <c r="M125" i="6"/>
  <c r="E121" i="6"/>
  <c r="K108" i="6"/>
  <c r="I212" i="6"/>
  <c r="L152" i="6"/>
  <c r="I126" i="6"/>
  <c r="I119" i="6"/>
  <c r="L107" i="6"/>
  <c r="K96" i="6"/>
  <c r="N156" i="6"/>
  <c r="F137" i="6"/>
  <c r="K125" i="6"/>
  <c r="K121" i="6"/>
  <c r="F113" i="6"/>
  <c r="L99" i="6"/>
  <c r="M188" i="6"/>
  <c r="F154" i="6"/>
  <c r="J125" i="6"/>
  <c r="I118" i="6"/>
  <c r="F167" i="6"/>
  <c r="K145" i="6"/>
  <c r="J130" i="6"/>
  <c r="L124" i="6"/>
  <c r="F119" i="6"/>
  <c r="K180" i="6"/>
  <c r="J151" i="6"/>
  <c r="L137" i="6"/>
  <c r="F128" i="6"/>
  <c r="J113" i="6"/>
  <c r="M168" i="6"/>
  <c r="M128" i="6"/>
  <c r="N122" i="6"/>
  <c r="M118" i="6"/>
  <c r="L108" i="6"/>
  <c r="L100" i="6"/>
  <c r="K155" i="6"/>
  <c r="H96" i="6"/>
  <c r="H81" i="6"/>
  <c r="I66" i="6"/>
  <c r="H56" i="6"/>
  <c r="L153" i="6"/>
  <c r="E100" i="6"/>
  <c r="F84" i="6"/>
  <c r="K77" i="6"/>
  <c r="G70" i="6"/>
  <c r="F93" i="6"/>
  <c r="G143" i="6"/>
  <c r="N209" i="6"/>
  <c r="I188" i="6"/>
  <c r="N186" i="6"/>
  <c r="N182" i="6"/>
  <c r="L159" i="6"/>
  <c r="K159" i="6"/>
  <c r="H190" i="6"/>
  <c r="H181" i="6"/>
  <c r="M173" i="6"/>
  <c r="I138" i="6"/>
  <c r="E127" i="6"/>
  <c r="L91" i="6"/>
  <c r="M120" i="6"/>
  <c r="F126" i="6"/>
  <c r="E144" i="6"/>
  <c r="F111" i="6"/>
  <c r="G130" i="6"/>
  <c r="I120" i="6"/>
  <c r="F103" i="6"/>
  <c r="G103" i="6"/>
  <c r="G76" i="6"/>
  <c r="L68" i="6"/>
  <c r="J49" i="6"/>
  <c r="H87" i="6"/>
  <c r="N59" i="6"/>
  <c r="E101" i="6"/>
  <c r="N81" i="6"/>
  <c r="K60" i="6"/>
  <c r="E170" i="6"/>
  <c r="L92" i="6"/>
  <c r="I77" i="6"/>
  <c r="L59" i="6"/>
  <c r="M50" i="6"/>
  <c r="J99" i="6"/>
  <c r="L81" i="6"/>
  <c r="H72" i="6"/>
  <c r="I60" i="6"/>
  <c r="I51" i="6"/>
  <c r="K120" i="6"/>
  <c r="K95" i="6"/>
  <c r="H82" i="6"/>
  <c r="M75" i="6"/>
  <c r="G74" i="6"/>
  <c r="L66" i="6"/>
  <c r="N55" i="6"/>
  <c r="I103" i="6"/>
  <c r="L83" i="6"/>
  <c r="F77" i="6"/>
  <c r="L69" i="6"/>
  <c r="I59" i="6"/>
  <c r="G51" i="6"/>
  <c r="H103" i="6"/>
  <c r="F91" i="6"/>
  <c r="G79" i="6"/>
  <c r="E72" i="6"/>
  <c r="L65" i="6"/>
  <c r="K43" i="6"/>
  <c r="J35" i="6"/>
  <c r="M28" i="6"/>
  <c r="I22" i="6"/>
  <c r="E15" i="6"/>
  <c r="F47" i="6"/>
  <c r="K40" i="6"/>
  <c r="J32" i="6"/>
  <c r="L24" i="6"/>
  <c r="K19" i="6"/>
  <c r="G11" i="6"/>
  <c r="M47" i="6"/>
  <c r="G41" i="6"/>
  <c r="N33" i="6"/>
  <c r="M27" i="6"/>
  <c r="M21" i="6"/>
  <c r="F14" i="6"/>
  <c r="L47" i="6"/>
  <c r="F41" i="6"/>
  <c r="E33" i="6"/>
  <c r="H25" i="6"/>
  <c r="K18" i="6"/>
  <c r="F46" i="6"/>
  <c r="K39" i="6"/>
  <c r="E38" i="6"/>
  <c r="I31" i="6"/>
  <c r="G25" i="6"/>
  <c r="F20" i="6"/>
  <c r="H45" i="6"/>
  <c r="G37" i="6"/>
  <c r="H31" i="6"/>
  <c r="F25" i="6"/>
  <c r="I18" i="6"/>
  <c r="E43" i="6"/>
  <c r="L35" i="6"/>
  <c r="G28" i="6"/>
  <c r="E13" i="6"/>
  <c r="F45" i="6"/>
  <c r="I30" i="6"/>
  <c r="F24" i="6"/>
  <c r="K16" i="6"/>
  <c r="M65" i="6"/>
  <c r="K137" i="6"/>
  <c r="M208" i="6"/>
  <c r="H203" i="6"/>
  <c r="F153" i="6"/>
  <c r="E153" i="6"/>
  <c r="E178" i="6"/>
  <c r="E177" i="6"/>
  <c r="N154" i="6"/>
  <c r="N127" i="6"/>
  <c r="F124" i="6"/>
  <c r="K171" i="6"/>
  <c r="M113" i="6"/>
  <c r="G136" i="6"/>
  <c r="E128" i="6"/>
  <c r="E118" i="6"/>
  <c r="G99" i="6"/>
  <c r="H95" i="6"/>
  <c r="K65" i="6"/>
  <c r="J127" i="6"/>
  <c r="I83" i="6"/>
  <c r="G56" i="6"/>
  <c r="K98" i="6"/>
  <c r="L79" i="6"/>
  <c r="J74" i="6"/>
  <c r="M149" i="6"/>
  <c r="F87" i="6"/>
  <c r="L76" i="6"/>
  <c r="I72" i="6"/>
  <c r="E50" i="6"/>
  <c r="H98" i="6"/>
  <c r="J79" i="6"/>
  <c r="J71" i="6"/>
  <c r="K59" i="6"/>
  <c r="L50" i="6"/>
  <c r="H114" i="6"/>
  <c r="J93" i="6"/>
  <c r="K81" i="6"/>
  <c r="E75" i="6"/>
  <c r="N65" i="6"/>
  <c r="F55" i="6"/>
  <c r="H100" i="6"/>
  <c r="G82" i="6"/>
  <c r="I76" i="6"/>
  <c r="N74" i="6"/>
  <c r="N68" i="6"/>
  <c r="J50" i="6"/>
  <c r="L101" i="6"/>
  <c r="J87" i="6"/>
  <c r="J78" i="6"/>
  <c r="G71" i="6"/>
  <c r="M58" i="6"/>
  <c r="N42" i="6"/>
  <c r="M34" i="6"/>
  <c r="E28" i="6"/>
  <c r="H14" i="6"/>
  <c r="I46" i="6"/>
  <c r="N39" i="6"/>
  <c r="H38" i="6"/>
  <c r="L31" i="6"/>
  <c r="N23" i="6"/>
  <c r="M18" i="6"/>
  <c r="E47" i="6"/>
  <c r="J40" i="6"/>
  <c r="F33" i="6"/>
  <c r="G26" i="6"/>
  <c r="E21" i="6"/>
  <c r="K12" i="6"/>
  <c r="G46" i="6"/>
  <c r="I40" i="6"/>
  <c r="N38" i="6"/>
  <c r="J31" i="6"/>
  <c r="J24" i="6"/>
  <c r="G16" i="6"/>
  <c r="I45" i="6"/>
  <c r="L30" i="6"/>
  <c r="I24" i="6"/>
  <c r="N16" i="6"/>
  <c r="K44" i="6"/>
  <c r="J36" i="6"/>
  <c r="K30" i="6"/>
  <c r="H24" i="6"/>
  <c r="M16" i="6"/>
  <c r="H59" i="6"/>
  <c r="H42" i="6"/>
  <c r="G34" i="6"/>
  <c r="I27" i="6"/>
  <c r="G12" i="6"/>
  <c r="I44" i="6"/>
  <c r="H36" i="6"/>
  <c r="K29" i="6"/>
  <c r="H23" i="6"/>
  <c r="N15" i="6"/>
  <c r="G146" i="6"/>
  <c r="G215" i="6"/>
  <c r="K194" i="6"/>
  <c r="M187" i="6"/>
  <c r="N179" i="6"/>
  <c r="K148" i="6"/>
  <c r="F211" i="6"/>
  <c r="L169" i="6"/>
  <c r="N168" i="6"/>
  <c r="N178" i="6"/>
  <c r="K138" i="6"/>
  <c r="G159" i="6"/>
  <c r="L120" i="6"/>
  <c r="K129" i="6"/>
  <c r="H127" i="6"/>
  <c r="H117" i="6"/>
  <c r="M96" i="6"/>
  <c r="F92" i="6"/>
  <c r="K61" i="6"/>
  <c r="L82" i="6"/>
  <c r="K74" i="6"/>
  <c r="J55" i="6"/>
  <c r="F96" i="6"/>
  <c r="G78" i="6"/>
  <c r="N56" i="6"/>
  <c r="L84" i="6"/>
  <c r="M70" i="6"/>
  <c r="K92" i="6"/>
  <c r="M78" i="6"/>
  <c r="L70" i="6"/>
  <c r="N49" i="6"/>
  <c r="F105" i="6"/>
  <c r="I92" i="6"/>
  <c r="N80" i="6"/>
  <c r="G72" i="6"/>
  <c r="N61" i="6"/>
  <c r="K53" i="6"/>
  <c r="H99" i="6"/>
  <c r="J81" i="6"/>
  <c r="L75" i="6"/>
  <c r="F74" i="6"/>
  <c r="F68" i="6"/>
  <c r="N58" i="6"/>
  <c r="L49" i="6"/>
  <c r="G100" i="6"/>
  <c r="H84" i="6"/>
  <c r="M77" i="6"/>
  <c r="I70" i="6"/>
  <c r="I50" i="6"/>
  <c r="F42" i="6"/>
  <c r="E34" i="6"/>
  <c r="G27" i="6"/>
  <c r="G21" i="6"/>
  <c r="K13" i="6"/>
  <c r="L45" i="6"/>
  <c r="F39" i="6"/>
  <c r="K37" i="6"/>
  <c r="G30" i="6"/>
  <c r="F23" i="6"/>
  <c r="E18" i="6"/>
  <c r="H46" i="6"/>
  <c r="M39" i="6"/>
  <c r="G38" i="6"/>
  <c r="I32" i="6"/>
  <c r="I25" i="6"/>
  <c r="H20" i="6"/>
  <c r="N11" i="6"/>
  <c r="J45" i="6"/>
  <c r="L39" i="6"/>
  <c r="F38" i="6"/>
  <c r="M30" i="6"/>
  <c r="L23" i="6"/>
  <c r="J15" i="6"/>
  <c r="N60" i="6"/>
  <c r="L44" i="6"/>
  <c r="K36" i="6"/>
  <c r="N29" i="6"/>
  <c r="K23" i="6"/>
  <c r="F16" i="6"/>
  <c r="F60" i="6"/>
  <c r="N43" i="6"/>
  <c r="M35" i="6"/>
  <c r="M29" i="6"/>
  <c r="J23" i="6"/>
  <c r="E16" i="6"/>
  <c r="E49" i="6"/>
  <c r="K41" i="6"/>
  <c r="J33" i="6"/>
  <c r="K26" i="6"/>
  <c r="I21" i="6"/>
  <c r="J11" i="6"/>
  <c r="L43" i="6"/>
  <c r="K35" i="6"/>
  <c r="N28" i="6"/>
  <c r="J22" i="6"/>
  <c r="F15" i="6"/>
  <c r="K164" i="6"/>
  <c r="F187" i="6"/>
  <c r="E181" i="6"/>
  <c r="F176" i="6"/>
  <c r="I218" i="6"/>
  <c r="G172" i="6"/>
  <c r="J138" i="6"/>
  <c r="J184" i="6"/>
  <c r="I162" i="6"/>
  <c r="M160" i="6"/>
  <c r="N170" i="6"/>
  <c r="G127" i="6"/>
  <c r="K111" i="6"/>
  <c r="H119" i="6"/>
  <c r="H150" i="6"/>
  <c r="E159" i="6"/>
  <c r="I114" i="6"/>
  <c r="L126" i="6"/>
  <c r="L160" i="6"/>
  <c r="F125" i="6"/>
  <c r="I113" i="6"/>
  <c r="K93" i="6"/>
  <c r="J83" i="6"/>
  <c r="G59" i="6"/>
  <c r="H108" i="6"/>
  <c r="M79" i="6"/>
  <c r="K72" i="6"/>
  <c r="M151" i="6"/>
  <c r="E95" i="6"/>
  <c r="M76" i="6"/>
  <c r="L71" i="6"/>
  <c r="F56" i="6"/>
  <c r="J107" i="6"/>
  <c r="G83" i="6"/>
  <c r="E70" i="6"/>
  <c r="I58" i="6"/>
  <c r="F131" i="6"/>
  <c r="M87" i="6"/>
  <c r="E78" i="6"/>
  <c r="F69" i="6"/>
  <c r="F49" i="6"/>
  <c r="J103" i="6"/>
  <c r="I91" i="6"/>
  <c r="F80" i="6"/>
  <c r="I71" i="6"/>
  <c r="H60" i="6"/>
  <c r="L96" i="6"/>
  <c r="M80" i="6"/>
  <c r="I67" i="6"/>
  <c r="F58" i="6"/>
  <c r="J158" i="6"/>
  <c r="F99" i="6"/>
  <c r="K83" i="6"/>
  <c r="E77" i="6"/>
  <c r="K69" i="6"/>
  <c r="G47" i="6"/>
  <c r="I41" i="6"/>
  <c r="H33" i="6"/>
  <c r="I26" i="6"/>
  <c r="J20" i="6"/>
  <c r="M12" i="6"/>
  <c r="G44" i="6"/>
  <c r="N36" i="6"/>
  <c r="I29" i="6"/>
  <c r="H22" i="6"/>
  <c r="I16" i="6"/>
  <c r="K45" i="6"/>
  <c r="E39" i="6"/>
  <c r="K31" i="6"/>
  <c r="K24" i="6"/>
  <c r="J19" i="6"/>
  <c r="F11" i="6"/>
  <c r="M44" i="6"/>
  <c r="I37" i="6"/>
  <c r="G29" i="6"/>
  <c r="N22" i="6"/>
  <c r="M14" i="6"/>
  <c r="L55" i="6"/>
  <c r="G43" i="6"/>
  <c r="N35" i="6"/>
  <c r="F29" i="6"/>
  <c r="M22" i="6"/>
  <c r="I15" i="6"/>
  <c r="F51" i="6"/>
  <c r="F43" i="6"/>
  <c r="E35" i="6"/>
  <c r="E29" i="6"/>
  <c r="L22" i="6"/>
  <c r="H15" i="6"/>
  <c r="I47" i="6"/>
  <c r="N40" i="6"/>
  <c r="M32" i="6"/>
  <c r="M25" i="6"/>
  <c r="L20" i="6"/>
  <c r="I53" i="6"/>
  <c r="G42" i="6"/>
  <c r="N34" i="6"/>
  <c r="F28" i="6"/>
  <c r="I14" i="6"/>
  <c r="N208" i="6"/>
  <c r="I180" i="6"/>
  <c r="E217" i="6"/>
  <c r="J212" i="6"/>
  <c r="E203" i="6"/>
  <c r="N205" i="6"/>
  <c r="G177" i="6"/>
  <c r="E155" i="6"/>
  <c r="G154" i="6"/>
  <c r="H165" i="6"/>
  <c r="E99" i="6"/>
  <c r="K114" i="6"/>
  <c r="J144" i="6"/>
  <c r="J148" i="6"/>
  <c r="I107" i="6"/>
  <c r="E123" i="6"/>
  <c r="G151" i="6"/>
  <c r="I124" i="6"/>
  <c r="M111" i="6"/>
  <c r="M92" i="6"/>
  <c r="M82" i="6"/>
  <c r="H104" i="6"/>
  <c r="E79" i="6"/>
  <c r="M71" i="6"/>
  <c r="K141" i="6"/>
  <c r="M91" i="6"/>
  <c r="E76" i="6"/>
  <c r="N70" i="6"/>
  <c r="I55" i="6"/>
  <c r="F104" i="6"/>
  <c r="E81" i="6"/>
  <c r="G69" i="6"/>
  <c r="E56" i="6"/>
  <c r="H121" i="6"/>
  <c r="K84" i="6"/>
  <c r="H77" i="6"/>
  <c r="H68" i="6"/>
  <c r="H58" i="6"/>
  <c r="I148" i="6"/>
  <c r="K100" i="6"/>
  <c r="L87" i="6"/>
  <c r="I79" i="6"/>
  <c r="K70" i="6"/>
  <c r="J59" i="6"/>
  <c r="L129" i="6"/>
  <c r="J95" i="6"/>
  <c r="E80" i="6"/>
  <c r="N72" i="6"/>
  <c r="E65" i="6"/>
  <c r="J56" i="6"/>
  <c r="J145" i="6"/>
  <c r="I96" i="6"/>
  <c r="N82" i="6"/>
  <c r="H76" i="6"/>
  <c r="M74" i="6"/>
  <c r="M68" i="6"/>
  <c r="J46" i="6"/>
  <c r="L40" i="6"/>
  <c r="K32" i="6"/>
  <c r="K25" i="6"/>
  <c r="L19" i="6"/>
  <c r="E12" i="6"/>
  <c r="J43" i="6"/>
  <c r="F36" i="6"/>
  <c r="L28" i="6"/>
  <c r="L15" i="6"/>
  <c r="N44" i="6"/>
  <c r="M36" i="6"/>
  <c r="N30" i="6"/>
  <c r="M23" i="6"/>
  <c r="L18" i="6"/>
  <c r="E44" i="6"/>
  <c r="L36" i="6"/>
  <c r="J28" i="6"/>
  <c r="F22" i="6"/>
  <c r="E14" i="6"/>
  <c r="H51" i="6"/>
  <c r="J42" i="6"/>
  <c r="F35" i="6"/>
  <c r="I28" i="6"/>
  <c r="E22" i="6"/>
  <c r="L14" i="6"/>
  <c r="G49" i="6"/>
  <c r="I42" i="6"/>
  <c r="H34" i="6"/>
  <c r="H28" i="6"/>
  <c r="K14" i="6"/>
  <c r="L46" i="6"/>
  <c r="F40" i="6"/>
  <c r="K38" i="6"/>
  <c r="E32" i="6"/>
  <c r="E25" i="6"/>
  <c r="L16" i="6"/>
  <c r="K50" i="6"/>
  <c r="J41" i="6"/>
  <c r="F34" i="6"/>
  <c r="H27" i="6"/>
  <c r="L13" i="6"/>
  <c r="L117" i="6"/>
  <c r="L194" i="6"/>
  <c r="M212" i="6"/>
  <c r="J210" i="6"/>
  <c r="M169" i="6"/>
  <c r="G156" i="6"/>
  <c r="H113" i="6"/>
  <c r="M162" i="6"/>
  <c r="I108" i="6"/>
  <c r="K130" i="6"/>
  <c r="F143" i="6"/>
  <c r="H169" i="6"/>
  <c r="G121" i="6"/>
  <c r="J146" i="6"/>
  <c r="F122" i="6"/>
  <c r="N107" i="6"/>
  <c r="G144" i="6"/>
  <c r="K80" i="6"/>
  <c r="L72" i="6"/>
  <c r="K55" i="6"/>
  <c r="L98" i="6"/>
  <c r="N76" i="6"/>
  <c r="I69" i="6"/>
  <c r="G111" i="6"/>
  <c r="M84" i="6"/>
  <c r="H75" i="6"/>
  <c r="H69" i="6"/>
  <c r="K51" i="6"/>
  <c r="N100" i="6"/>
  <c r="H80" i="6"/>
  <c r="I68" i="6"/>
  <c r="H55" i="6"/>
  <c r="H107" i="6"/>
  <c r="N83" i="6"/>
  <c r="K76" i="6"/>
  <c r="K67" i="6"/>
  <c r="L56" i="6"/>
  <c r="N137" i="6"/>
  <c r="I99" i="6"/>
  <c r="J84" i="6"/>
  <c r="L78" i="6"/>
  <c r="M69" i="6"/>
  <c r="M119" i="6"/>
  <c r="H92" i="6"/>
  <c r="H79" i="6"/>
  <c r="F72" i="6"/>
  <c r="M61" i="6"/>
  <c r="M55" i="6"/>
  <c r="F123" i="6"/>
  <c r="I95" i="6"/>
  <c r="F82" i="6"/>
  <c r="K75" i="6"/>
  <c r="E74" i="6"/>
  <c r="E68" i="6"/>
  <c r="M45" i="6"/>
  <c r="G39" i="6"/>
  <c r="I38" i="6"/>
  <c r="M31" i="6"/>
  <c r="M24" i="6"/>
  <c r="F18" i="6"/>
  <c r="H11" i="6"/>
  <c r="E58" i="6"/>
  <c r="M42" i="6"/>
  <c r="I35" i="6"/>
  <c r="F27" i="6"/>
  <c r="N21" i="6"/>
  <c r="G14" i="6"/>
  <c r="F44" i="6"/>
  <c r="E36" i="6"/>
  <c r="F30" i="6"/>
  <c r="E23" i="6"/>
  <c r="H16" i="6"/>
  <c r="I56" i="6"/>
  <c r="H43" i="6"/>
  <c r="G35" i="6"/>
  <c r="L27" i="6"/>
  <c r="J12" i="6"/>
  <c r="I49" i="6"/>
  <c r="M41" i="6"/>
  <c r="I34" i="6"/>
  <c r="K27" i="6"/>
  <c r="I12" i="6"/>
  <c r="J47" i="6"/>
  <c r="L41" i="6"/>
  <c r="F61" i="6"/>
  <c r="M185" i="6"/>
  <c r="G217" i="6"/>
  <c r="L209" i="6"/>
  <c r="I204" i="6"/>
  <c r="H174" i="6"/>
  <c r="G175" i="6"/>
  <c r="F164" i="6"/>
  <c r="K144" i="6"/>
  <c r="I150" i="6"/>
  <c r="E103" i="6"/>
  <c r="I147" i="6"/>
  <c r="G101" i="6"/>
  <c r="L127" i="6"/>
  <c r="I155" i="6"/>
  <c r="I117" i="6"/>
  <c r="G145" i="6"/>
  <c r="F107" i="6"/>
  <c r="G128" i="6"/>
  <c r="N79" i="6"/>
  <c r="N71" i="6"/>
  <c r="H53" i="6"/>
  <c r="G96" i="6"/>
  <c r="F76" i="6"/>
  <c r="K68" i="6"/>
  <c r="F108" i="6"/>
  <c r="H83" i="6"/>
  <c r="J68" i="6"/>
  <c r="N50" i="6"/>
  <c r="K99" i="6"/>
  <c r="N78" i="6"/>
  <c r="N66" i="6"/>
  <c r="E53" i="6"/>
  <c r="K105" i="6"/>
  <c r="F83" i="6"/>
  <c r="N75" i="6"/>
  <c r="H74" i="6"/>
  <c r="E66" i="6"/>
  <c r="G55" i="6"/>
  <c r="I130" i="6"/>
  <c r="E98" i="6"/>
  <c r="M83" i="6"/>
  <c r="G77" i="6"/>
  <c r="G68" i="6"/>
  <c r="G58" i="6"/>
  <c r="K113" i="6"/>
  <c r="K87" i="6"/>
  <c r="K78" i="6"/>
  <c r="H71" i="6"/>
  <c r="E61" i="6"/>
  <c r="E55" i="6"/>
  <c r="E119" i="6"/>
  <c r="G93" i="6"/>
  <c r="I81" i="6"/>
  <c r="H67" i="6"/>
  <c r="E45" i="6"/>
  <c r="L37" i="6"/>
  <c r="E31" i="6"/>
  <c r="E24" i="6"/>
  <c r="J16" i="6"/>
  <c r="G50" i="6"/>
  <c r="E42" i="6"/>
  <c r="L34" i="6"/>
  <c r="H26" i="6"/>
  <c r="F21" i="6"/>
  <c r="J13" i="6"/>
  <c r="N51" i="6"/>
  <c r="I43" i="6"/>
  <c r="H35" i="6"/>
  <c r="H29" i="6"/>
  <c r="G22" i="6"/>
  <c r="K15" i="6"/>
  <c r="L51" i="6"/>
  <c r="K42" i="6"/>
  <c r="J34" i="6"/>
  <c r="N26" i="6"/>
  <c r="L21" i="6"/>
  <c r="M11" i="6"/>
  <c r="K47" i="6"/>
  <c r="E41" i="6"/>
  <c r="L33" i="6"/>
  <c r="M26" i="6"/>
  <c r="K21" i="6"/>
  <c r="L11" i="6"/>
  <c r="M46" i="6"/>
  <c r="G40" i="6"/>
  <c r="N32" i="6"/>
  <c r="L26" i="6"/>
  <c r="M20" i="6"/>
  <c r="H12" i="6"/>
  <c r="J44" i="6"/>
  <c r="F37" i="6"/>
  <c r="J30" i="6"/>
  <c r="I23" i="6"/>
  <c r="J14" i="6"/>
  <c r="N155" i="6"/>
  <c r="E129" i="6"/>
  <c r="J69" i="6"/>
  <c r="M67" i="6"/>
  <c r="I82" i="6"/>
  <c r="J76" i="6"/>
  <c r="J70" i="6"/>
  <c r="J66" i="6"/>
  <c r="N47" i="6"/>
  <c r="L42" i="6"/>
  <c r="M38" i="6"/>
  <c r="L38" i="6"/>
  <c r="K11" i="6"/>
  <c r="L29" i="6"/>
  <c r="K46" i="6"/>
  <c r="I33" i="6"/>
  <c r="G18" i="6"/>
  <c r="H16" i="5"/>
  <c r="I15" i="5"/>
  <c r="H19" i="5"/>
  <c r="G15" i="5"/>
  <c r="N19" i="5"/>
  <c r="J13" i="5"/>
  <c r="G18" i="5"/>
  <c r="L15" i="5"/>
  <c r="K19" i="5"/>
  <c r="G13" i="5"/>
  <c r="N215" i="6"/>
  <c r="G216" i="6"/>
  <c r="H50" i="6"/>
  <c r="H49" i="6"/>
  <c r="F75" i="6"/>
  <c r="G60" i="6"/>
  <c r="H44" i="6"/>
  <c r="H41" i="6"/>
  <c r="M33" i="6"/>
  <c r="G32" i="6"/>
  <c r="K33" i="6"/>
  <c r="G45" i="6"/>
  <c r="G24" i="6"/>
  <c r="N45" i="6"/>
  <c r="N31" i="6"/>
  <c r="N12" i="6"/>
  <c r="J15" i="5"/>
  <c r="K14" i="5"/>
  <c r="J18" i="5"/>
  <c r="I211" i="6"/>
  <c r="N111" i="6"/>
  <c r="N91" i="6"/>
  <c r="M93" i="6"/>
  <c r="J67" i="6"/>
  <c r="J53" i="6"/>
  <c r="K34" i="6"/>
  <c r="F26" i="6"/>
  <c r="E26" i="6"/>
  <c r="F32" i="6"/>
  <c r="M43" i="6"/>
  <c r="K22" i="6"/>
  <c r="M40" i="6"/>
  <c r="F31" i="6"/>
  <c r="F12" i="6"/>
  <c r="L14" i="5"/>
  <c r="M13" i="5"/>
  <c r="L17" i="5"/>
  <c r="K13" i="5"/>
  <c r="H18" i="5"/>
  <c r="K16" i="5"/>
  <c r="F14" i="5"/>
  <c r="E18" i="5"/>
  <c r="J205" i="6"/>
  <c r="N145" i="6"/>
  <c r="L131" i="6"/>
  <c r="F78" i="6"/>
  <c r="G61" i="6"/>
  <c r="K56" i="6"/>
  <c r="N104" i="6"/>
  <c r="G36" i="6"/>
  <c r="G33" i="6"/>
  <c r="K28" i="6"/>
  <c r="G20" i="6"/>
  <c r="N20" i="6"/>
  <c r="J27" i="6"/>
  <c r="I39" i="6"/>
  <c r="G15" i="6"/>
  <c r="E40" i="6"/>
  <c r="J26" i="6"/>
  <c r="I11" i="6"/>
  <c r="N13" i="5"/>
  <c r="I19" i="5"/>
  <c r="E13" i="5"/>
  <c r="N16" i="5"/>
  <c r="G19" i="5"/>
  <c r="J17" i="5"/>
  <c r="M15" i="5"/>
  <c r="L19" i="5"/>
  <c r="H13" i="5"/>
  <c r="G17" i="5"/>
  <c r="G11" i="5"/>
  <c r="F203" i="6"/>
  <c r="E157" i="6"/>
  <c r="F121" i="6"/>
  <c r="L60" i="6"/>
  <c r="L53" i="6"/>
  <c r="E105" i="6"/>
  <c r="G92" i="6"/>
  <c r="J29" i="6"/>
  <c r="J25" i="6"/>
  <c r="E11" i="6"/>
  <c r="N25" i="6"/>
  <c r="M13" i="6"/>
  <c r="H39" i="6"/>
  <c r="L25" i="6"/>
  <c r="J19" i="5"/>
  <c r="F13" i="5"/>
  <c r="K18" i="5"/>
  <c r="F16" i="5"/>
  <c r="I18" i="5"/>
  <c r="L16" i="5"/>
  <c r="E15" i="5"/>
  <c r="N18" i="5"/>
  <c r="I16" i="5"/>
  <c r="H11" i="5"/>
  <c r="F191" i="6"/>
  <c r="L130" i="6"/>
  <c r="N103" i="6"/>
  <c r="K102" i="6"/>
  <c r="H61" i="6"/>
  <c r="K124" i="6"/>
  <c r="I84" i="6"/>
  <c r="L80" i="6"/>
  <c r="G23" i="6"/>
  <c r="I20" i="6"/>
  <c r="N14" i="6"/>
  <c r="E46" i="6"/>
  <c r="J21" i="6"/>
  <c r="N37" i="6"/>
  <c r="N24" i="6"/>
  <c r="L18" i="5"/>
  <c r="M17" i="5"/>
  <c r="H15" i="5"/>
  <c r="K17" i="5"/>
  <c r="N15" i="5"/>
  <c r="G14" i="5"/>
  <c r="E167" i="6"/>
  <c r="J96" i="6"/>
  <c r="M104" i="6"/>
  <c r="K82" i="6"/>
  <c r="J51" i="6"/>
  <c r="N96" i="6"/>
  <c r="N77" i="6"/>
  <c r="M15" i="6"/>
  <c r="L12" i="6"/>
  <c r="K49" i="6"/>
  <c r="N46" i="6"/>
  <c r="J39" i="6"/>
  <c r="E20" i="6"/>
  <c r="I36" i="6"/>
  <c r="J38" i="6"/>
  <c r="H21" i="6"/>
  <c r="N17" i="5"/>
  <c r="E17" i="5"/>
  <c r="J14" i="5"/>
  <c r="M16" i="5"/>
  <c r="F15" i="5"/>
  <c r="M19" i="5"/>
  <c r="I13" i="5"/>
  <c r="H17" i="5"/>
  <c r="M14" i="5"/>
  <c r="I11" i="5"/>
  <c r="K11" i="5"/>
  <c r="L11" i="5"/>
  <c r="I168" i="6"/>
  <c r="E124" i="6"/>
  <c r="L77" i="6"/>
  <c r="E104" i="6"/>
  <c r="E83" i="6"/>
  <c r="M72" i="6"/>
  <c r="M49" i="6"/>
  <c r="N41" i="6"/>
  <c r="H40" i="6"/>
  <c r="N13" i="6"/>
  <c r="G31" i="6"/>
  <c r="H47" i="6"/>
  <c r="M37" i="6"/>
  <c r="K20" i="6"/>
  <c r="F17" i="5"/>
  <c r="G16" i="5"/>
  <c r="L13" i="5"/>
  <c r="E16" i="5"/>
  <c r="H14" i="5"/>
  <c r="E19" i="5"/>
  <c r="J16" i="5"/>
  <c r="E14" i="5"/>
  <c r="I17" i="5"/>
  <c r="M18" i="5"/>
  <c r="F19" i="5"/>
  <c r="K15" i="5"/>
  <c r="F11" i="5"/>
  <c r="H62" i="6"/>
  <c r="I62" i="6"/>
  <c r="E11" i="5"/>
  <c r="N11" i="5"/>
  <c r="E62" i="6"/>
  <c r="I14" i="5"/>
  <c r="F18" i="5"/>
  <c r="J11" i="5"/>
  <c r="M11" i="5"/>
  <c r="L62" i="6"/>
  <c r="N14" i="5"/>
  <c r="K62" i="6"/>
  <c r="J91" i="6"/>
  <c r="G62" i="6"/>
  <c r="G91" i="6"/>
  <c r="K123" i="6"/>
  <c r="I102" i="6"/>
  <c r="E19" i="6"/>
  <c r="I136" i="6"/>
  <c r="J62" i="6"/>
  <c r="L97" i="6"/>
  <c r="N135" i="6"/>
  <c r="J52" i="6"/>
  <c r="H12" i="5"/>
  <c r="N63" i="6"/>
  <c r="L63" i="6"/>
  <c r="N134" i="6"/>
  <c r="N88" i="6"/>
  <c r="E88" i="6"/>
  <c r="N140" i="6"/>
  <c r="M57" i="6"/>
  <c r="N112" i="6"/>
  <c r="F54" i="6"/>
  <c r="I94" i="6"/>
  <c r="N64" i="6"/>
  <c r="F115" i="6"/>
  <c r="G120" i="6"/>
  <c r="M17" i="6"/>
  <c r="E163" i="6"/>
  <c r="F63" i="6"/>
  <c r="I134" i="6"/>
  <c r="J140" i="6"/>
  <c r="J57" i="6"/>
  <c r="I133" i="6"/>
  <c r="M116" i="6"/>
  <c r="K64" i="6"/>
  <c r="F120" i="6"/>
  <c r="J163" i="6"/>
  <c r="H97" i="6"/>
  <c r="K91" i="6"/>
  <c r="K52" i="6"/>
  <c r="G88" i="6"/>
  <c r="N57" i="6"/>
  <c r="H142" i="6"/>
  <c r="H18" i="6"/>
  <c r="K139" i="6"/>
  <c r="K12" i="5"/>
  <c r="H13" i="6"/>
  <c r="L136" i="6"/>
  <c r="G142" i="6"/>
  <c r="I19" i="6"/>
  <c r="J136" i="6"/>
  <c r="F142" i="6"/>
  <c r="G97" i="6"/>
  <c r="K97" i="6"/>
  <c r="E97" i="6"/>
  <c r="L12" i="5"/>
  <c r="K135" i="6"/>
  <c r="F102" i="6"/>
  <c r="H52" i="6"/>
  <c r="I97" i="6"/>
  <c r="F88" i="6"/>
  <c r="K140" i="6"/>
  <c r="M54" i="6"/>
  <c r="K115" i="6"/>
  <c r="E17" i="6"/>
  <c r="N102" i="6"/>
  <c r="L135" i="6"/>
  <c r="M63" i="6"/>
  <c r="F64" i="6"/>
  <c r="H102" i="6"/>
  <c r="M62" i="6"/>
  <c r="G13" i="6"/>
  <c r="L142" i="6"/>
  <c r="M142" i="6"/>
  <c r="L141" i="6"/>
  <c r="E12" i="5"/>
  <c r="I135" i="6"/>
  <c r="G135" i="6"/>
  <c r="M12" i="5"/>
  <c r="F52" i="6"/>
  <c r="K63" i="6"/>
  <c r="M134" i="6"/>
  <c r="G134" i="6"/>
  <c r="L88" i="6"/>
  <c r="G140" i="6"/>
  <c r="I140" i="6"/>
  <c r="I57" i="6"/>
  <c r="G133" i="6"/>
  <c r="L54" i="6"/>
  <c r="K116" i="6"/>
  <c r="J64" i="6"/>
  <c r="M115" i="6"/>
  <c r="G132" i="6"/>
  <c r="L17" i="6"/>
  <c r="I163" i="6"/>
  <c r="J88" i="6"/>
  <c r="F57" i="6"/>
  <c r="I54" i="6"/>
  <c r="L64" i="6"/>
  <c r="I115" i="6"/>
  <c r="G17" i="6"/>
  <c r="J61" i="6"/>
  <c r="J102" i="6"/>
  <c r="G63" i="6"/>
  <c r="F112" i="6"/>
  <c r="F17" i="6"/>
  <c r="J123" i="6"/>
  <c r="F98" i="6"/>
  <c r="N19" i="6"/>
  <c r="J18" i="6"/>
  <c r="N136" i="6"/>
  <c r="N97" i="6"/>
  <c r="H135" i="6"/>
  <c r="F135" i="6"/>
  <c r="N52" i="6"/>
  <c r="I12" i="5"/>
  <c r="J63" i="6"/>
  <c r="E134" i="6"/>
  <c r="F134" i="6"/>
  <c r="M88" i="6"/>
  <c r="M140" i="6"/>
  <c r="L57" i="6"/>
  <c r="H57" i="6"/>
  <c r="F133" i="6"/>
  <c r="J54" i="6"/>
  <c r="M64" i="6"/>
  <c r="I64" i="6"/>
  <c r="L115" i="6"/>
  <c r="L132" i="6"/>
  <c r="K17" i="6"/>
  <c r="H64" i="6"/>
  <c r="I17" i="6"/>
  <c r="G12" i="5"/>
  <c r="I52" i="6"/>
  <c r="H63" i="6"/>
  <c r="M90" i="6"/>
  <c r="L140" i="6"/>
  <c r="G73" i="6"/>
  <c r="E54" i="6"/>
  <c r="G115" i="6"/>
  <c r="H17" i="6"/>
  <c r="J141" i="6"/>
  <c r="I61" i="6"/>
  <c r="K136" i="6"/>
  <c r="F140" i="6"/>
  <c r="H120" i="6"/>
  <c r="E136" i="6"/>
  <c r="K142" i="6"/>
  <c r="J65" i="6"/>
  <c r="G102" i="6"/>
  <c r="J12" i="5"/>
  <c r="J97" i="6"/>
  <c r="J135" i="6"/>
  <c r="N12" i="5"/>
  <c r="G52" i="6"/>
  <c r="L52" i="6"/>
  <c r="I63" i="6"/>
  <c r="L134" i="6"/>
  <c r="F90" i="6"/>
  <c r="K88" i="6"/>
  <c r="E140" i="6"/>
  <c r="K57" i="6"/>
  <c r="G57" i="6"/>
  <c r="K54" i="6"/>
  <c r="H54" i="6"/>
  <c r="E64" i="6"/>
  <c r="J115" i="6"/>
  <c r="J17" i="6"/>
  <c r="M52" i="6"/>
  <c r="H134" i="6"/>
  <c r="M97" i="6"/>
  <c r="H88" i="6"/>
  <c r="N54" i="6"/>
  <c r="I85" i="6"/>
  <c r="H65" i="6"/>
  <c r="F12" i="5"/>
  <c r="H66" i="6"/>
  <c r="E135" i="6"/>
  <c r="J134" i="6"/>
  <c r="N94" i="6"/>
  <c r="N62" i="6"/>
  <c r="L61" i="6"/>
  <c r="E142" i="6"/>
  <c r="E91" i="6"/>
  <c r="H136" i="6"/>
  <c r="F62" i="6"/>
  <c r="H91" i="6"/>
  <c r="M135" i="6"/>
  <c r="F97" i="6"/>
  <c r="E52" i="6"/>
  <c r="E63" i="6"/>
  <c r="K134" i="6"/>
  <c r="G90" i="6"/>
  <c r="I88" i="6"/>
  <c r="H140" i="6"/>
  <c r="E57" i="6"/>
  <c r="K112" i="6"/>
  <c r="G54" i="6"/>
  <c r="E161" i="6"/>
  <c r="G64" i="6"/>
  <c r="H115" i="6"/>
  <c r="E115" i="6"/>
  <c r="N17" i="6"/>
  <c r="K85" i="6"/>
  <c r="N123" i="6"/>
  <c r="H123" i="6"/>
  <c r="N115" i="6"/>
  <c r="G116" i="6"/>
  <c r="E85" i="6"/>
  <c r="N161" i="6"/>
  <c r="L161" i="6"/>
  <c r="F116" i="6"/>
  <c r="J48" i="6"/>
  <c r="M163" i="6"/>
  <c r="I116" i="6"/>
  <c r="H48" i="6"/>
  <c r="I86" i="6"/>
  <c r="E89" i="6"/>
  <c r="N73" i="6"/>
  <c r="N90" i="6"/>
  <c r="G163" i="6"/>
  <c r="J94" i="6"/>
  <c r="L112" i="6"/>
  <c r="G89" i="6"/>
  <c r="J89" i="6"/>
  <c r="M106" i="6"/>
  <c r="H94" i="6"/>
  <c r="L106" i="6"/>
  <c r="F106" i="6"/>
  <c r="G110" i="6"/>
  <c r="I90" i="6"/>
  <c r="I73" i="6"/>
  <c r="L109" i="6"/>
  <c r="M132" i="6"/>
  <c r="E90" i="6"/>
  <c r="N163" i="6"/>
  <c r="E109" i="6"/>
  <c r="M86" i="6"/>
  <c r="I161" i="6"/>
  <c r="K161" i="6"/>
  <c r="L94" i="6"/>
  <c r="H89" i="6"/>
  <c r="J73" i="6"/>
  <c r="J132" i="6"/>
  <c r="N89" i="6"/>
  <c r="K94" i="6"/>
  <c r="E94" i="6"/>
  <c r="E86" i="6"/>
  <c r="H112" i="6"/>
  <c r="F85" i="6"/>
  <c r="H85" i="6"/>
  <c r="N116" i="6"/>
  <c r="N132" i="6"/>
  <c r="M161" i="6"/>
  <c r="L85" i="6"/>
  <c r="F110" i="6"/>
  <c r="K73" i="6"/>
  <c r="N133" i="6"/>
  <c r="H86" i="6"/>
  <c r="K48" i="6"/>
  <c r="L90" i="6"/>
  <c r="I89" i="6"/>
  <c r="K110" i="6"/>
  <c r="H106" i="6"/>
  <c r="M133" i="6"/>
  <c r="L133" i="6"/>
  <c r="E132" i="6"/>
  <c r="N85" i="6"/>
  <c r="H73" i="6"/>
  <c r="M94" i="6"/>
  <c r="L116" i="6"/>
  <c r="M48" i="6"/>
  <c r="N48" i="6"/>
  <c r="J90" i="6"/>
  <c r="H163" i="6"/>
  <c r="K163" i="6"/>
  <c r="N106" i="6"/>
  <c r="L89" i="6"/>
  <c r="K86" i="6"/>
  <c r="N110" i="6"/>
  <c r="J109" i="6"/>
  <c r="E110" i="6"/>
  <c r="M109" i="6"/>
  <c r="K106" i="6"/>
  <c r="I132" i="6"/>
  <c r="F86" i="6"/>
  <c r="H116" i="6"/>
  <c r="J116" i="6"/>
  <c r="F109" i="6"/>
  <c r="F161" i="6"/>
  <c r="F163" i="6"/>
  <c r="I112" i="6"/>
  <c r="L86" i="6"/>
  <c r="L110" i="6"/>
  <c r="M112" i="6"/>
  <c r="G48" i="6"/>
  <c r="F48" i="6"/>
  <c r="H110" i="6"/>
  <c r="M85" i="6"/>
  <c r="G85" i="6"/>
  <c r="I106" i="6"/>
  <c r="N109" i="6"/>
  <c r="E133" i="6"/>
  <c r="H109" i="6"/>
  <c r="G109" i="6"/>
  <c r="I109" i="6"/>
  <c r="G112" i="6"/>
  <c r="K109" i="6"/>
  <c r="H90" i="6"/>
  <c r="L163" i="6"/>
  <c r="L73" i="6"/>
  <c r="J133" i="6"/>
  <c r="H161" i="6"/>
  <c r="K90" i="6"/>
  <c r="K133" i="6"/>
  <c r="E48" i="6"/>
  <c r="J106" i="6"/>
  <c r="G94" i="6"/>
  <c r="I48" i="6"/>
  <c r="M89" i="6"/>
  <c r="K132" i="6"/>
  <c r="J110" i="6"/>
  <c r="G161" i="6"/>
  <c r="J112" i="6"/>
  <c r="F132" i="6"/>
  <c r="F73" i="6"/>
  <c r="H133" i="6"/>
  <c r="G106" i="6"/>
  <c r="M73" i="6"/>
  <c r="L48" i="6"/>
  <c r="N86" i="6"/>
  <c r="G86" i="6"/>
  <c r="E106" i="6"/>
  <c r="I110" i="6"/>
  <c r="H132" i="6"/>
  <c r="E73" i="6"/>
  <c r="F94" i="6"/>
  <c r="F89" i="6"/>
  <c r="M110" i="6"/>
  <c r="E116" i="6"/>
  <c r="E112" i="6"/>
  <c r="J161" i="6"/>
  <c r="J86" i="6"/>
  <c r="J85" i="6"/>
  <c r="K89" i="6"/>
  <c r="G192" i="6"/>
  <c r="N201" i="6"/>
  <c r="I201" i="6"/>
  <c r="F195" i="6"/>
  <c r="M197" i="6"/>
  <c r="E206" i="6"/>
  <c r="F206" i="6"/>
  <c r="L193" i="6"/>
  <c r="G206" i="6"/>
  <c r="H192" i="6"/>
  <c r="F201" i="6"/>
  <c r="M195" i="6"/>
  <c r="N195" i="6"/>
  <c r="E197" i="6"/>
  <c r="L206" i="6"/>
  <c r="G200" i="6"/>
  <c r="K193" i="6"/>
  <c r="I192" i="6"/>
  <c r="M201" i="6"/>
  <c r="E195" i="6"/>
  <c r="J195" i="6"/>
  <c r="L197" i="6"/>
  <c r="K206" i="6"/>
  <c r="G193" i="6"/>
  <c r="J193" i="6"/>
  <c r="J192" i="6"/>
  <c r="E201" i="6"/>
  <c r="L195" i="6"/>
  <c r="I196" i="6"/>
  <c r="K197" i="6"/>
  <c r="J206" i="6"/>
  <c r="N193" i="6"/>
  <c r="I193" i="6"/>
  <c r="F197" i="6"/>
  <c r="L192" i="6"/>
  <c r="L201" i="6"/>
  <c r="K195" i="6"/>
  <c r="F196" i="6"/>
  <c r="J197" i="6"/>
  <c r="N206" i="6"/>
  <c r="F193" i="6"/>
  <c r="H183" i="6"/>
  <c r="M206" i="6"/>
  <c r="N192" i="6"/>
  <c r="K192" i="6"/>
  <c r="H201" i="6"/>
  <c r="I195" i="6"/>
  <c r="G197" i="6"/>
  <c r="I197" i="6"/>
  <c r="I206" i="6"/>
  <c r="M193" i="6"/>
  <c r="J183" i="6"/>
  <c r="F192" i="6"/>
  <c r="E192" i="6"/>
  <c r="K201" i="6"/>
  <c r="H195" i="6"/>
  <c r="N197" i="6"/>
  <c r="H197" i="6"/>
  <c r="H206" i="6"/>
  <c r="E193" i="6"/>
  <c r="M192" i="6"/>
  <c r="G201" i="6"/>
  <c r="J201" i="6"/>
  <c r="G195" i="6"/>
  <c r="H193" i="6"/>
  <c r="L183" i="6"/>
  <c r="N183" i="6"/>
  <c r="I198" i="6"/>
  <c r="M200" i="6"/>
  <c r="I200" i="6"/>
  <c r="N200" i="6"/>
  <c r="G198" i="6"/>
  <c r="H198" i="6"/>
  <c r="L199" i="6"/>
  <c r="E199" i="6"/>
  <c r="H199" i="6"/>
  <c r="G199" i="6"/>
  <c r="G196" i="6"/>
  <c r="N196" i="6"/>
  <c r="L198" i="6"/>
  <c r="E198" i="6"/>
  <c r="I199" i="6"/>
  <c r="F199" i="6"/>
  <c r="K196" i="6"/>
  <c r="F183" i="6"/>
  <c r="E183" i="6"/>
  <c r="J198" i="6"/>
  <c r="N198" i="6"/>
  <c r="F198" i="6"/>
  <c r="H189" i="6"/>
  <c r="I189" i="6"/>
  <c r="K198" i="6"/>
  <c r="M196" i="6"/>
  <c r="E189" i="6"/>
  <c r="L200" i="6"/>
  <c r="G189" i="6"/>
  <c r="M198" i="6"/>
  <c r="H200" i="6"/>
  <c r="M183" i="6"/>
  <c r="N189" i="6"/>
  <c r="F200" i="6"/>
  <c r="K199" i="6"/>
  <c r="K183" i="6"/>
  <c r="J189" i="6"/>
  <c r="F189" i="6"/>
  <c r="L189" i="6"/>
  <c r="M189" i="6"/>
  <c r="J200" i="6"/>
  <c r="M199" i="6"/>
  <c r="J196" i="6"/>
  <c r="H196" i="6"/>
  <c r="J199" i="6"/>
  <c r="K189" i="6"/>
  <c r="I183" i="6"/>
  <c r="L196" i="6"/>
  <c r="E196" i="6"/>
  <c r="G183" i="6"/>
  <c r="N199" i="6"/>
  <c r="E200" i="6"/>
  <c r="K200" i="6"/>
  <c r="B146" i="59"/>
  <c r="B26" i="59"/>
  <c r="B129" i="59"/>
  <c r="B144" i="59"/>
  <c r="B40" i="59"/>
  <c r="B127" i="59"/>
  <c r="B86" i="59"/>
  <c r="B29" i="59"/>
  <c r="B140" i="59"/>
  <c r="B187" i="59"/>
  <c r="B138" i="59"/>
  <c r="B121" i="59"/>
  <c r="B136" i="59"/>
  <c r="B32" i="59"/>
  <c r="B119" i="59"/>
  <c r="B78" i="59"/>
  <c r="B141" i="59"/>
  <c r="B124" i="59"/>
  <c r="B35" i="59"/>
  <c r="B123" i="59"/>
  <c r="B84" i="59"/>
  <c r="B122" i="59"/>
  <c r="B113" i="59"/>
  <c r="B128" i="59"/>
  <c r="B223" i="59"/>
  <c r="B103" i="59"/>
  <c r="B222" i="59"/>
  <c r="B70" i="59"/>
  <c r="B125" i="59"/>
  <c r="B116" i="59"/>
  <c r="B91" i="59"/>
  <c r="B90" i="59"/>
  <c r="B81" i="59"/>
  <c r="B120" i="59"/>
  <c r="B215" i="59"/>
  <c r="B79" i="59"/>
  <c r="B214" i="59"/>
  <c r="B38" i="59"/>
  <c r="B221" i="59"/>
  <c r="B117" i="59"/>
  <c r="B27" i="59"/>
  <c r="B218" i="59"/>
  <c r="B82" i="59"/>
  <c r="B217" i="59"/>
  <c r="B73" i="59"/>
  <c r="B216" i="59"/>
  <c r="B112" i="59"/>
  <c r="B207" i="59"/>
  <c r="B71" i="59"/>
  <c r="B206" i="59"/>
  <c r="B30" i="59"/>
  <c r="B213" i="59"/>
  <c r="B85" i="59"/>
  <c r="B115" i="59"/>
  <c r="B210" i="59"/>
  <c r="B74" i="59"/>
  <c r="B185" i="59"/>
  <c r="B41" i="59"/>
  <c r="B208" i="59"/>
  <c r="B80" i="59"/>
  <c r="B47" i="59"/>
  <c r="B190" i="59"/>
  <c r="B205" i="59"/>
  <c r="B77" i="59"/>
  <c r="B228" i="59"/>
  <c r="B60" i="59"/>
  <c r="B211" i="59"/>
  <c r="B43" i="59"/>
  <c r="B186" i="59"/>
  <c r="B42" i="59"/>
  <c r="B145" i="59"/>
  <c r="B33" i="59"/>
  <c r="B192" i="59"/>
  <c r="B72" i="59"/>
  <c r="B167" i="59"/>
  <c r="B39" i="59"/>
  <c r="B126" i="59"/>
  <c r="B197" i="59"/>
  <c r="B69" i="59"/>
  <c r="B212" i="59"/>
  <c r="B36" i="59"/>
  <c r="B83" i="59"/>
  <c r="B219" i="59"/>
  <c r="B34" i="59"/>
  <c r="B137" i="59"/>
  <c r="B17" i="59"/>
  <c r="B184" i="59"/>
  <c r="B48" i="59"/>
  <c r="B143" i="59"/>
  <c r="B31" i="59"/>
  <c r="B118" i="59"/>
  <c r="B189" i="59"/>
  <c r="B37" i="59"/>
  <c r="B188" i="59"/>
  <c r="B28" i="59"/>
  <c r="B139" i="59"/>
  <c r="B75" i="59"/>
  <c r="B76" i="59"/>
  <c r="E141" i="59"/>
  <c r="D141" i="59"/>
  <c r="E140" i="59"/>
  <c r="D140" i="59"/>
  <c r="E127" i="59"/>
  <c r="D127" i="59"/>
  <c r="E26" i="59"/>
  <c r="D26" i="59"/>
  <c r="E28" i="59"/>
  <c r="D28" i="59"/>
  <c r="E137" i="59"/>
  <c r="D137" i="59"/>
  <c r="E69" i="59"/>
  <c r="D69" i="59"/>
  <c r="E186" i="59"/>
  <c r="D186" i="59"/>
  <c r="E211" i="59"/>
  <c r="D211" i="59"/>
  <c r="E190" i="59"/>
  <c r="D190" i="59"/>
  <c r="E41" i="59"/>
  <c r="D41" i="59"/>
  <c r="E30" i="59"/>
  <c r="D30" i="59"/>
  <c r="E221" i="59"/>
  <c r="D221" i="59"/>
  <c r="E120" i="59"/>
  <c r="D120" i="59"/>
  <c r="E103" i="59"/>
  <c r="D103" i="59"/>
  <c r="E136" i="59"/>
  <c r="D136" i="59"/>
  <c r="E29" i="59"/>
  <c r="D29" i="59"/>
  <c r="E146" i="59"/>
  <c r="D146" i="59"/>
  <c r="E17" i="59"/>
  <c r="D17" i="59"/>
  <c r="E167" i="59"/>
  <c r="D167" i="59"/>
  <c r="E188" i="59"/>
  <c r="D188" i="59"/>
  <c r="E31" i="59"/>
  <c r="D31" i="59"/>
  <c r="E197" i="59"/>
  <c r="D197" i="59"/>
  <c r="E72" i="59"/>
  <c r="D72" i="59"/>
  <c r="E60" i="59"/>
  <c r="D60" i="59"/>
  <c r="E185" i="59"/>
  <c r="D185" i="59"/>
  <c r="E206" i="59"/>
  <c r="D206" i="59"/>
  <c r="E73" i="59"/>
  <c r="D73" i="59"/>
  <c r="E223" i="59"/>
  <c r="D223" i="59"/>
  <c r="E122" i="59"/>
  <c r="D122" i="59"/>
  <c r="E84" i="59"/>
  <c r="D84" i="59"/>
  <c r="E40" i="59"/>
  <c r="D40" i="59"/>
  <c r="E143" i="59"/>
  <c r="D143" i="59"/>
  <c r="E34" i="59"/>
  <c r="D34" i="59"/>
  <c r="E192" i="59"/>
  <c r="D192" i="59"/>
  <c r="E228" i="59"/>
  <c r="D228" i="59"/>
  <c r="E47" i="59"/>
  <c r="D47" i="59"/>
  <c r="E217" i="59"/>
  <c r="D217" i="59"/>
  <c r="E38" i="59"/>
  <c r="D38" i="59"/>
  <c r="E125" i="59"/>
  <c r="D125" i="59"/>
  <c r="E123" i="59"/>
  <c r="D123" i="59"/>
  <c r="E78" i="59"/>
  <c r="D78" i="59"/>
  <c r="E144" i="59"/>
  <c r="D144" i="59"/>
  <c r="E139" i="59"/>
  <c r="D139" i="59"/>
  <c r="E216" i="59"/>
  <c r="D216" i="59"/>
  <c r="E32" i="59"/>
  <c r="D32" i="59"/>
  <c r="E76" i="59"/>
  <c r="D76" i="59"/>
  <c r="E37" i="59"/>
  <c r="D37" i="59"/>
  <c r="E219" i="59"/>
  <c r="D219" i="59"/>
  <c r="E74" i="59"/>
  <c r="D74" i="59"/>
  <c r="E115" i="59"/>
  <c r="D115" i="59"/>
  <c r="E71" i="59"/>
  <c r="D71" i="59"/>
  <c r="E214" i="59"/>
  <c r="D214" i="59"/>
  <c r="E81" i="59"/>
  <c r="D81" i="59"/>
  <c r="E128" i="59"/>
  <c r="D128" i="59"/>
  <c r="E35" i="59"/>
  <c r="D35" i="59"/>
  <c r="E121" i="59"/>
  <c r="D121" i="59"/>
  <c r="E118" i="59"/>
  <c r="D118" i="59"/>
  <c r="E43" i="59"/>
  <c r="D43" i="59"/>
  <c r="E189" i="59"/>
  <c r="D189" i="59"/>
  <c r="E48" i="59"/>
  <c r="D48" i="59"/>
  <c r="E83" i="59"/>
  <c r="D83" i="59"/>
  <c r="E126" i="59"/>
  <c r="D126" i="59"/>
  <c r="E33" i="59"/>
  <c r="D33" i="59"/>
  <c r="E77" i="59"/>
  <c r="D77" i="59"/>
  <c r="E210" i="59"/>
  <c r="D210" i="59"/>
  <c r="E207" i="59"/>
  <c r="D207" i="59"/>
  <c r="E82" i="59"/>
  <c r="D82" i="59"/>
  <c r="E27" i="59"/>
  <c r="D27" i="59"/>
  <c r="E124" i="59"/>
  <c r="D124" i="59"/>
  <c r="E86" i="59"/>
  <c r="D86" i="59"/>
  <c r="E42" i="59"/>
  <c r="D42" i="59"/>
  <c r="E117" i="59"/>
  <c r="D117" i="59"/>
  <c r="E116" i="59"/>
  <c r="D116" i="59"/>
  <c r="E75" i="59"/>
  <c r="D75" i="59"/>
  <c r="E184" i="59"/>
  <c r="D184" i="59"/>
  <c r="E36" i="59"/>
  <c r="D36" i="59"/>
  <c r="E145" i="59"/>
  <c r="D145" i="59"/>
  <c r="E205" i="59"/>
  <c r="D205" i="59"/>
  <c r="E80" i="59"/>
  <c r="D80" i="59"/>
  <c r="E85" i="59"/>
  <c r="D85" i="59"/>
  <c r="E218" i="59"/>
  <c r="D218" i="59"/>
  <c r="E79" i="59"/>
  <c r="D79" i="59"/>
  <c r="E70" i="59"/>
  <c r="D70" i="59"/>
  <c r="E119" i="59"/>
  <c r="D119" i="59"/>
  <c r="E187" i="59"/>
  <c r="D187" i="59"/>
  <c r="E129" i="59"/>
  <c r="D129" i="59"/>
  <c r="E212" i="59"/>
  <c r="D212" i="59"/>
  <c r="E39" i="59"/>
  <c r="D39" i="59"/>
  <c r="E208" i="59"/>
  <c r="D208" i="59"/>
  <c r="E213" i="59"/>
  <c r="D213" i="59"/>
  <c r="E112" i="59"/>
  <c r="D112" i="59"/>
  <c r="E215" i="59"/>
  <c r="D215" i="59"/>
  <c r="E90" i="59"/>
  <c r="D90" i="59"/>
  <c r="E91" i="59"/>
  <c r="D91" i="59"/>
  <c r="E222" i="59"/>
  <c r="D222" i="59"/>
  <c r="E113" i="59"/>
  <c r="D113" i="59"/>
  <c r="E138" i="59"/>
  <c r="D138" i="59"/>
  <c r="F278" i="45"/>
  <c r="F277" i="45"/>
  <c r="E277" i="45"/>
  <c r="D277" i="45"/>
  <c r="F275" i="45"/>
  <c r="E275" i="45"/>
  <c r="D275" i="45"/>
  <c r="C277" i="45"/>
  <c r="C275" i="45"/>
  <c r="AI832" i="8"/>
  <c r="AN890" i="8"/>
  <c r="AM890" i="8"/>
  <c r="AN885" i="8"/>
  <c r="AM885" i="8"/>
  <c r="AN884" i="8"/>
  <c r="AN880" i="8"/>
  <c r="AM880" i="8"/>
  <c r="AN879" i="8"/>
  <c r="AM879" i="8"/>
  <c r="AO890" i="8"/>
  <c r="AO879" i="8"/>
  <c r="AO880" i="8"/>
  <c r="AO885" i="8"/>
  <c r="B833" i="8"/>
  <c r="B832" i="8"/>
  <c r="AJ844" i="8"/>
  <c r="AJ843" i="8"/>
  <c r="AJ842" i="8"/>
  <c r="AK842" i="8"/>
  <c r="AJ839" i="8"/>
  <c r="AK839" i="8"/>
  <c r="AJ837" i="8"/>
  <c r="AK837" i="8"/>
  <c r="AJ834" i="8"/>
  <c r="AK834" i="8"/>
  <c r="AJ833" i="8"/>
  <c r="AR844" i="8"/>
  <c r="AZ836" i="8"/>
  <c r="AR836" i="8"/>
  <c r="AV835" i="8"/>
  <c r="AK845" i="8"/>
  <c r="BL845" i="8"/>
  <c r="U845" i="8"/>
  <c r="Y845" i="8"/>
  <c r="AA845" i="8"/>
  <c r="T838" i="8"/>
  <c r="S838" i="8"/>
  <c r="R838" i="8"/>
  <c r="Q838" i="8"/>
  <c r="P838" i="8"/>
  <c r="O838" i="8"/>
  <c r="N838" i="8"/>
  <c r="M838" i="8"/>
  <c r="L838" i="8"/>
  <c r="K838" i="8"/>
  <c r="Y847" i="8"/>
  <c r="AA847" i="8"/>
  <c r="Y846" i="8"/>
  <c r="AA846" i="8"/>
  <c r="Y844" i="8"/>
  <c r="AA844" i="8"/>
  <c r="Y843" i="8"/>
  <c r="AA843" i="8"/>
  <c r="Y842" i="8"/>
  <c r="AA842" i="8"/>
  <c r="Y839" i="8"/>
  <c r="AA839" i="8"/>
  <c r="Y837" i="8"/>
  <c r="AA837" i="8"/>
  <c r="Y836" i="8"/>
  <c r="AA836" i="8"/>
  <c r="Y835" i="8"/>
  <c r="AA835" i="8"/>
  <c r="Y834" i="8"/>
  <c r="AA834" i="8"/>
  <c r="Y833" i="8"/>
  <c r="AA833" i="8"/>
  <c r="U847" i="8"/>
  <c r="U846" i="8"/>
  <c r="U844" i="8"/>
  <c r="U843" i="8"/>
  <c r="U842" i="8"/>
  <c r="U839" i="8"/>
  <c r="U837" i="8"/>
  <c r="U836" i="8"/>
  <c r="U835" i="8"/>
  <c r="U834" i="8"/>
  <c r="U833" i="8"/>
  <c r="AI840" i="8"/>
  <c r="T840" i="8"/>
  <c r="S840" i="8"/>
  <c r="R840" i="8"/>
  <c r="Q840" i="8"/>
  <c r="P840" i="8"/>
  <c r="O840" i="8"/>
  <c r="N840" i="8"/>
  <c r="M840" i="8"/>
  <c r="L840" i="8"/>
  <c r="K840" i="8"/>
  <c r="T832" i="8"/>
  <c r="S832" i="8"/>
  <c r="AZ832" i="8"/>
  <c r="R832" i="8"/>
  <c r="AY832" i="8"/>
  <c r="Q832" i="8"/>
  <c r="AX832" i="8"/>
  <c r="P832" i="8"/>
  <c r="O832" i="8"/>
  <c r="N832" i="8"/>
  <c r="M832" i="8"/>
  <c r="L832" i="8"/>
  <c r="K832" i="8"/>
  <c r="AR832" i="8"/>
  <c r="AK847" i="8"/>
  <c r="AK846" i="8"/>
  <c r="AK844" i="8"/>
  <c r="AK843" i="8"/>
  <c r="AK841" i="8"/>
  <c r="AK840" i="8"/>
  <c r="AK838" i="8"/>
  <c r="AK836" i="8"/>
  <c r="BI836" i="8"/>
  <c r="AK835" i="8"/>
  <c r="BE835" i="8"/>
  <c r="AK833" i="8"/>
  <c r="AK832" i="8"/>
  <c r="AI847" i="8"/>
  <c r="AI846" i="8"/>
  <c r="AI843" i="8"/>
  <c r="AV843" i="8"/>
  <c r="AI841" i="8"/>
  <c r="BE841" i="8"/>
  <c r="AI838" i="8"/>
  <c r="AZ838" i="8"/>
  <c r="B508" i="10"/>
  <c r="B507" i="10"/>
  <c r="AH507" i="10"/>
  <c r="P519" i="10"/>
  <c r="AN888" i="8"/>
  <c r="O519" i="10"/>
  <c r="P518" i="10"/>
  <c r="AN887" i="8"/>
  <c r="O518" i="10"/>
  <c r="P517" i="10"/>
  <c r="AN886" i="8"/>
  <c r="O517" i="10"/>
  <c r="P514" i="10"/>
  <c r="AN883" i="8"/>
  <c r="O514" i="10"/>
  <c r="P513" i="10"/>
  <c r="O513" i="10"/>
  <c r="P512" i="10"/>
  <c r="AN881" i="8"/>
  <c r="O512" i="10"/>
  <c r="P510" i="10"/>
  <c r="O510" i="10"/>
  <c r="P509" i="10"/>
  <c r="AN878" i="8"/>
  <c r="O509" i="10"/>
  <c r="O508" i="10"/>
  <c r="P508" i="10"/>
  <c r="AN877" i="8"/>
  <c r="U672" i="10"/>
  <c r="U671" i="10"/>
  <c r="U670" i="10"/>
  <c r="U669" i="10"/>
  <c r="U668" i="10"/>
  <c r="S676" i="10"/>
  <c r="U676" i="10"/>
  <c r="S675" i="10"/>
  <c r="U675" i="10"/>
  <c r="S674" i="10"/>
  <c r="U674" i="10"/>
  <c r="S673" i="10"/>
  <c r="U673" i="10"/>
  <c r="S672" i="10"/>
  <c r="S671" i="10"/>
  <c r="S670" i="10"/>
  <c r="S669" i="10"/>
  <c r="S666" i="10"/>
  <c r="U666" i="10"/>
  <c r="S665" i="10"/>
  <c r="U665" i="10"/>
  <c r="S667" i="10"/>
  <c r="U667" i="10"/>
  <c r="T677" i="10"/>
  <c r="O677" i="10"/>
  <c r="P677" i="10"/>
  <c r="R667" i="10"/>
  <c r="R677" i="10"/>
  <c r="M676" i="10"/>
  <c r="M675" i="10"/>
  <c r="M674" i="10"/>
  <c r="M673" i="10"/>
  <c r="M672" i="10"/>
  <c r="M671" i="10"/>
  <c r="M670" i="10"/>
  <c r="M669" i="10"/>
  <c r="M666" i="10"/>
  <c r="M665" i="10"/>
  <c r="M664" i="10"/>
  <c r="M667" i="10"/>
  <c r="N519" i="10"/>
  <c r="Q519" i="10"/>
  <c r="N518" i="10"/>
  <c r="Q518" i="10"/>
  <c r="N517" i="10"/>
  <c r="Q517" i="10"/>
  <c r="N516" i="10"/>
  <c r="Q516" i="10"/>
  <c r="N515" i="10"/>
  <c r="Q515" i="10"/>
  <c r="N514" i="10"/>
  <c r="Q514" i="10"/>
  <c r="N513" i="10"/>
  <c r="Q513" i="10"/>
  <c r="N512" i="10"/>
  <c r="Q512" i="10"/>
  <c r="N511" i="10"/>
  <c r="Q511" i="10"/>
  <c r="N510" i="10"/>
  <c r="Q510" i="10"/>
  <c r="N509" i="10"/>
  <c r="Q509" i="10"/>
  <c r="N508" i="10"/>
  <c r="Q508" i="10"/>
  <c r="P507" i="10"/>
  <c r="AN876" i="8"/>
  <c r="O507" i="10"/>
  <c r="N507" i="10"/>
  <c r="Q507" i="10"/>
  <c r="BE843" i="8"/>
  <c r="AN882" i="8"/>
  <c r="AN889" i="8"/>
  <c r="BG832" i="8"/>
  <c r="BI840" i="8"/>
  <c r="BE840" i="8"/>
  <c r="AV841" i="8"/>
  <c r="BF840" i="8"/>
  <c r="BH832" i="8"/>
  <c r="BE832" i="8"/>
  <c r="BC840" i="8"/>
  <c r="BK840" i="8"/>
  <c r="BF832" i="8"/>
  <c r="BD840" i="8"/>
  <c r="BL840" i="8"/>
  <c r="K841" i="8"/>
  <c r="U841" i="8"/>
  <c r="BL839" i="8"/>
  <c r="BL837" i="8"/>
  <c r="AZ834" i="8"/>
  <c r="BL843" i="8"/>
  <c r="BL835" i="8"/>
  <c r="BH844" i="8"/>
  <c r="BG840" i="8"/>
  <c r="BI832" i="8"/>
  <c r="AV837" i="8"/>
  <c r="AZ844" i="8"/>
  <c r="BH836" i="8"/>
  <c r="BH840" i="8"/>
  <c r="AR834" i="8"/>
  <c r="BE837" i="8"/>
  <c r="BI844" i="8"/>
  <c r="BH842" i="8"/>
  <c r="BC832" i="8"/>
  <c r="BK832" i="8"/>
  <c r="AX840" i="8"/>
  <c r="AV839" i="8"/>
  <c r="AV845" i="8"/>
  <c r="BL841" i="8"/>
  <c r="BL833" i="8"/>
  <c r="BH834" i="8"/>
  <c r="BD832" i="8"/>
  <c r="BL832" i="8"/>
  <c r="AY840" i="8"/>
  <c r="BI834" i="8"/>
  <c r="BE839" i="8"/>
  <c r="BE845" i="8"/>
  <c r="AX838" i="8"/>
  <c r="BC838" i="8"/>
  <c r="BK838" i="8"/>
  <c r="BD838" i="8"/>
  <c r="BL838" i="8"/>
  <c r="AT838" i="8"/>
  <c r="AR838" i="8"/>
  <c r="AY838" i="8"/>
  <c r="BF838" i="8"/>
  <c r="BG838" i="8"/>
  <c r="BH838" i="8"/>
  <c r="BI838" i="8"/>
  <c r="AS832" i="8"/>
  <c r="BA832" i="8"/>
  <c r="BJ832" i="8"/>
  <c r="AW833" i="8"/>
  <c r="BF833" i="8"/>
  <c r="AS834" i="8"/>
  <c r="BA834" i="8"/>
  <c r="BJ834" i="8"/>
  <c r="AW835" i="8"/>
  <c r="BF835" i="8"/>
  <c r="AS836" i="8"/>
  <c r="BA836" i="8"/>
  <c r="BJ836" i="8"/>
  <c r="AW837" i="8"/>
  <c r="BF837" i="8"/>
  <c r="AS838" i="8"/>
  <c r="BA838" i="8"/>
  <c r="BJ838" i="8"/>
  <c r="AW839" i="8"/>
  <c r="BF839" i="8"/>
  <c r="AS840" i="8"/>
  <c r="BA840" i="8"/>
  <c r="BJ840" i="8"/>
  <c r="AW841" i="8"/>
  <c r="BF841" i="8"/>
  <c r="AS842" i="8"/>
  <c r="BA842" i="8"/>
  <c r="BJ842" i="8"/>
  <c r="AW843" i="8"/>
  <c r="BF843" i="8"/>
  <c r="AS844" i="8"/>
  <c r="BA844" i="8"/>
  <c r="BJ844" i="8"/>
  <c r="AW845" i="8"/>
  <c r="BF845" i="8"/>
  <c r="AR840" i="8"/>
  <c r="AR842" i="8"/>
  <c r="AZ842" i="8"/>
  <c r="BI842" i="8"/>
  <c r="AT832" i="8"/>
  <c r="AX833" i="8"/>
  <c r="BG833" i="8"/>
  <c r="AT834" i="8"/>
  <c r="BC834" i="8"/>
  <c r="BK834" i="8"/>
  <c r="AX835" i="8"/>
  <c r="BG835" i="8"/>
  <c r="AT836" i="8"/>
  <c r="BC836" i="8"/>
  <c r="BK836" i="8"/>
  <c r="AX837" i="8"/>
  <c r="BG837" i="8"/>
  <c r="AX839" i="8"/>
  <c r="BG839" i="8"/>
  <c r="AT840" i="8"/>
  <c r="AX841" i="8"/>
  <c r="BG841" i="8"/>
  <c r="AT842" i="8"/>
  <c r="BC842" i="8"/>
  <c r="BK842" i="8"/>
  <c r="AX843" i="8"/>
  <c r="BG843" i="8"/>
  <c r="AT844" i="8"/>
  <c r="BC844" i="8"/>
  <c r="BK844" i="8"/>
  <c r="AX845" i="8"/>
  <c r="BG845" i="8"/>
  <c r="AZ840" i="8"/>
  <c r="AU832" i="8"/>
  <c r="AY833" i="8"/>
  <c r="BH833" i="8"/>
  <c r="AU834" i="8"/>
  <c r="BD834" i="8"/>
  <c r="BL834" i="8"/>
  <c r="AY835" i="8"/>
  <c r="BH835" i="8"/>
  <c r="AU836" i="8"/>
  <c r="BD836" i="8"/>
  <c r="BL836" i="8"/>
  <c r="AY837" i="8"/>
  <c r="BH837" i="8"/>
  <c r="AU838" i="8"/>
  <c r="AY839" i="8"/>
  <c r="BH839" i="8"/>
  <c r="AU840" i="8"/>
  <c r="AY841" i="8"/>
  <c r="BH841" i="8"/>
  <c r="AU842" i="8"/>
  <c r="BD842" i="8"/>
  <c r="BL842" i="8"/>
  <c r="AY843" i="8"/>
  <c r="BH843" i="8"/>
  <c r="AU844" i="8"/>
  <c r="BD844" i="8"/>
  <c r="BL844" i="8"/>
  <c r="AY845" i="8"/>
  <c r="BH845" i="8"/>
  <c r="U838" i="8"/>
  <c r="AV832" i="8"/>
  <c r="AR833" i="8"/>
  <c r="AZ833" i="8"/>
  <c r="BI833" i="8"/>
  <c r="AV834" i="8"/>
  <c r="BE834" i="8"/>
  <c r="AR835" i="8"/>
  <c r="AZ835" i="8"/>
  <c r="BI835" i="8"/>
  <c r="AV836" i="8"/>
  <c r="BE836" i="8"/>
  <c r="AR837" i="8"/>
  <c r="AZ837" i="8"/>
  <c r="BI837" i="8"/>
  <c r="AV838" i="8"/>
  <c r="BE838" i="8"/>
  <c r="AR839" i="8"/>
  <c r="AZ839" i="8"/>
  <c r="BI839" i="8"/>
  <c r="AV840" i="8"/>
  <c r="AZ841" i="8"/>
  <c r="BI841" i="8"/>
  <c r="AV842" i="8"/>
  <c r="BE842" i="8"/>
  <c r="AR843" i="8"/>
  <c r="AZ843" i="8"/>
  <c r="BI843" i="8"/>
  <c r="AV844" i="8"/>
  <c r="BE844" i="8"/>
  <c r="AR845" i="8"/>
  <c r="AZ845" i="8"/>
  <c r="BI845" i="8"/>
  <c r="BE833" i="8"/>
  <c r="AW832" i="8"/>
  <c r="AS833" i="8"/>
  <c r="BA833" i="8"/>
  <c r="BJ833" i="8"/>
  <c r="AW834" i="8"/>
  <c r="BF834" i="8"/>
  <c r="AS835" i="8"/>
  <c r="BA835" i="8"/>
  <c r="BJ835" i="8"/>
  <c r="AW836" i="8"/>
  <c r="BF836" i="8"/>
  <c r="AS837" i="8"/>
  <c r="BA837" i="8"/>
  <c r="BJ837" i="8"/>
  <c r="AW838" i="8"/>
  <c r="AS839" i="8"/>
  <c r="BA839" i="8"/>
  <c r="BJ839" i="8"/>
  <c r="AW840" i="8"/>
  <c r="AS841" i="8"/>
  <c r="BA841" i="8"/>
  <c r="BJ841" i="8"/>
  <c r="AW842" i="8"/>
  <c r="BF842" i="8"/>
  <c r="AS843" i="8"/>
  <c r="BA843" i="8"/>
  <c r="BJ843" i="8"/>
  <c r="AW844" i="8"/>
  <c r="BF844" i="8"/>
  <c r="AS845" i="8"/>
  <c r="BA845" i="8"/>
  <c r="BJ845" i="8"/>
  <c r="AV833" i="8"/>
  <c r="AT833" i="8"/>
  <c r="BC833" i="8"/>
  <c r="BK833" i="8"/>
  <c r="AX834" i="8"/>
  <c r="BG834" i="8"/>
  <c r="AT835" i="8"/>
  <c r="BC835" i="8"/>
  <c r="BK835" i="8"/>
  <c r="AX836" i="8"/>
  <c r="BG836" i="8"/>
  <c r="AT837" i="8"/>
  <c r="BC837" i="8"/>
  <c r="BK837" i="8"/>
  <c r="AT839" i="8"/>
  <c r="BC839" i="8"/>
  <c r="BK839" i="8"/>
  <c r="AT841" i="8"/>
  <c r="BK841" i="8"/>
  <c r="AX842" i="8"/>
  <c r="BG842" i="8"/>
  <c r="AT843" i="8"/>
  <c r="BC843" i="8"/>
  <c r="BK843" i="8"/>
  <c r="AX844" i="8"/>
  <c r="BG844" i="8"/>
  <c r="AT845" i="8"/>
  <c r="BC845" i="8"/>
  <c r="BK845" i="8"/>
  <c r="AU833" i="8"/>
  <c r="BD833" i="8"/>
  <c r="AY834" i="8"/>
  <c r="AU835" i="8"/>
  <c r="BD835" i="8"/>
  <c r="AY836" i="8"/>
  <c r="AU837" i="8"/>
  <c r="BD837" i="8"/>
  <c r="AU839" i="8"/>
  <c r="BD839" i="8"/>
  <c r="AU841" i="8"/>
  <c r="BD841" i="8"/>
  <c r="AY842" i="8"/>
  <c r="AU843" i="8"/>
  <c r="BD843" i="8"/>
  <c r="AY844" i="8"/>
  <c r="AU845" i="8"/>
  <c r="BD845" i="8"/>
  <c r="AM845" i="8"/>
  <c r="AL845" i="8"/>
  <c r="AN845" i="8"/>
  <c r="Y838" i="8"/>
  <c r="AA838" i="8"/>
  <c r="AN838" i="8"/>
  <c r="Y832" i="8"/>
  <c r="AA832" i="8"/>
  <c r="AN832" i="8"/>
  <c r="U840" i="8"/>
  <c r="Y840" i="8"/>
  <c r="AA840" i="8"/>
  <c r="AL840" i="8"/>
  <c r="AN833" i="8"/>
  <c r="AM833" i="8"/>
  <c r="AM877" i="8"/>
  <c r="AO877" i="8"/>
  <c r="AL833" i="8"/>
  <c r="AM842" i="8"/>
  <c r="AM886" i="8"/>
  <c r="AO886" i="8"/>
  <c r="AL842" i="8"/>
  <c r="AN842" i="8"/>
  <c r="AM835" i="8"/>
  <c r="AN835" i="8"/>
  <c r="AL835" i="8"/>
  <c r="AM843" i="8"/>
  <c r="AM887" i="8"/>
  <c r="AO887" i="8"/>
  <c r="AN843" i="8"/>
  <c r="AN844" i="8"/>
  <c r="AM844" i="8"/>
  <c r="AM888" i="8"/>
  <c r="AO888" i="8"/>
  <c r="AL844" i="8"/>
  <c r="AN836" i="8"/>
  <c r="AM836" i="8"/>
  <c r="AL836" i="8"/>
  <c r="AL837" i="8"/>
  <c r="AN837" i="8"/>
  <c r="AM837" i="8"/>
  <c r="AM881" i="8"/>
  <c r="AO881" i="8"/>
  <c r="AM834" i="8"/>
  <c r="AM878" i="8"/>
  <c r="AO878" i="8"/>
  <c r="AL834" i="8"/>
  <c r="AN834" i="8"/>
  <c r="AL846" i="8"/>
  <c r="AN846" i="8"/>
  <c r="AM846" i="8"/>
  <c r="AN839" i="8"/>
  <c r="AM839" i="8"/>
  <c r="AM883" i="8"/>
  <c r="AO883" i="8"/>
  <c r="AL839" i="8"/>
  <c r="AN847" i="8"/>
  <c r="AM847" i="8"/>
  <c r="AL847" i="8"/>
  <c r="U832" i="8"/>
  <c r="U677" i="10"/>
  <c r="S677" i="10"/>
  <c r="BC841" i="8"/>
  <c r="AR841" i="8"/>
  <c r="Y841" i="8"/>
  <c r="AA841" i="8"/>
  <c r="BO840" i="8"/>
  <c r="AM889" i="8"/>
  <c r="AO889" i="8"/>
  <c r="AM882" i="8"/>
  <c r="AO882" i="8"/>
  <c r="BN834" i="8"/>
  <c r="BN844" i="8"/>
  <c r="BN840" i="8"/>
  <c r="BN832" i="8"/>
  <c r="BN842" i="8"/>
  <c r="BO843" i="8"/>
  <c r="BO839" i="8"/>
  <c r="BO835" i="8"/>
  <c r="BN843" i="8"/>
  <c r="BO832" i="8"/>
  <c r="BO845" i="8"/>
  <c r="BN845" i="8"/>
  <c r="BO838" i="8"/>
  <c r="BN838" i="8"/>
  <c r="BO834" i="8"/>
  <c r="BO842" i="8"/>
  <c r="BN836" i="8"/>
  <c r="BN839" i="8"/>
  <c r="AM832" i="8"/>
  <c r="AM876" i="8"/>
  <c r="AO876" i="8"/>
  <c r="BN835" i="8"/>
  <c r="BO833" i="8"/>
  <c r="AL832" i="8"/>
  <c r="BN841" i="8"/>
  <c r="BN837" i="8"/>
  <c r="BO836" i="8"/>
  <c r="BO841" i="8"/>
  <c r="BO844" i="8"/>
  <c r="BO837" i="8"/>
  <c r="BN833" i="8"/>
  <c r="AM838" i="8"/>
  <c r="AL838" i="8"/>
  <c r="AM840" i="8"/>
  <c r="AN840" i="8"/>
  <c r="AM884" i="8"/>
  <c r="AO884" i="8"/>
  <c r="AL841" i="8"/>
  <c r="AM841" i="8"/>
  <c r="AN841" i="8"/>
  <c r="L192" i="10"/>
  <c r="P651" i="10"/>
  <c r="P654" i="10"/>
  <c r="N192" i="10"/>
  <c r="N191" i="10"/>
  <c r="K192" i="10"/>
  <c r="P655" i="10"/>
  <c r="B14" i="8"/>
  <c r="Q28" i="33"/>
  <c r="Q233" i="33"/>
  <c r="Q131" i="33"/>
  <c r="Q130" i="33"/>
  <c r="Q152" i="33"/>
  <c r="Q151" i="33"/>
  <c r="Q150" i="33"/>
  <c r="Q149" i="33"/>
  <c r="Q148" i="33"/>
  <c r="Q147" i="33"/>
  <c r="Q146" i="33"/>
  <c r="Q145" i="33"/>
  <c r="Q144" i="33"/>
  <c r="Q143" i="33"/>
  <c r="Q142" i="33"/>
  <c r="Q141" i="33"/>
  <c r="P255" i="10"/>
  <c r="AR478" i="8"/>
  <c r="AS478" i="8"/>
  <c r="AT478" i="8"/>
  <c r="AU478" i="8"/>
  <c r="AV478" i="8"/>
  <c r="AW478" i="8"/>
  <c r="AX478" i="8"/>
  <c r="AY478" i="8"/>
  <c r="AZ478" i="8"/>
  <c r="BA478" i="8"/>
  <c r="BC478" i="8"/>
  <c r="BD478" i="8"/>
  <c r="BE478" i="8"/>
  <c r="BF478" i="8"/>
  <c r="BG478" i="8"/>
  <c r="BH478" i="8"/>
  <c r="BI478" i="8"/>
  <c r="BJ478" i="8"/>
  <c r="BK478" i="8"/>
  <c r="BL478" i="8"/>
  <c r="AR786" i="8"/>
  <c r="AS786" i="8"/>
  <c r="AT786" i="8"/>
  <c r="AU786" i="8"/>
  <c r="AV786" i="8"/>
  <c r="AW786" i="8"/>
  <c r="AX786" i="8"/>
  <c r="AY786" i="8"/>
  <c r="AZ786" i="8"/>
  <c r="BA786" i="8"/>
  <c r="AR807" i="8"/>
  <c r="AS807" i="8"/>
  <c r="AT807" i="8"/>
  <c r="AU807" i="8"/>
  <c r="AV807" i="8"/>
  <c r="AW807" i="8"/>
  <c r="AX807" i="8"/>
  <c r="AY807" i="8"/>
  <c r="AZ807" i="8"/>
  <c r="BA807" i="8"/>
  <c r="BN786" i="8"/>
  <c r="BN807" i="8"/>
  <c r="BN478" i="8"/>
  <c r="BO478" i="8"/>
  <c r="B845"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C885" i="8"/>
  <c r="D885" i="8"/>
  <c r="D914" i="8"/>
  <c r="D906" i="8"/>
  <c r="D898" i="8"/>
  <c r="D890" i="8"/>
  <c r="D874" i="8"/>
  <c r="D861" i="8"/>
  <c r="D868" i="8"/>
  <c r="D924" i="8"/>
  <c r="D913" i="8"/>
  <c r="D905" i="8"/>
  <c r="D897" i="8"/>
  <c r="D889" i="8"/>
  <c r="D909" i="8"/>
  <c r="D921" i="8"/>
  <c r="D912" i="8"/>
  <c r="D904" i="8"/>
  <c r="D896" i="8"/>
  <c r="D888" i="8"/>
  <c r="D901" i="8"/>
  <c r="D869" i="8"/>
  <c r="D920" i="8"/>
  <c r="D911" i="8"/>
  <c r="D903" i="8"/>
  <c r="D895" i="8"/>
  <c r="D887" i="8"/>
  <c r="D879" i="8"/>
  <c r="D871" i="8"/>
  <c r="D863" i="8"/>
  <c r="D917" i="8"/>
  <c r="D876" i="8"/>
  <c r="D919" i="8"/>
  <c r="D910" i="8"/>
  <c r="D902" i="8"/>
  <c r="D894" i="8"/>
  <c r="D886" i="8"/>
  <c r="D878" i="8"/>
  <c r="D870" i="8"/>
  <c r="D862" i="8"/>
  <c r="D893" i="8"/>
  <c r="D916" i="8"/>
  <c r="D915" i="8"/>
  <c r="D907" i="8"/>
  <c r="D899" i="8"/>
  <c r="D891" i="8"/>
  <c r="D883" i="8"/>
  <c r="D882" i="8"/>
  <c r="D877" i="8"/>
  <c r="D884" i="8"/>
  <c r="D918" i="8"/>
  <c r="D922" i="8"/>
  <c r="D923" i="8"/>
  <c r="Y826" i="8"/>
  <c r="Y809" i="8"/>
  <c r="U809" i="8"/>
  <c r="AI806" i="8"/>
  <c r="AI805" i="8"/>
  <c r="AI804" i="8"/>
  <c r="AI800" i="8"/>
  <c r="AI799" i="8"/>
  <c r="AI798" i="8"/>
  <c r="AI797" i="8"/>
  <c r="AI796" i="8"/>
  <c r="AI795" i="8"/>
  <c r="AI794" i="8"/>
  <c r="AI793" i="8"/>
  <c r="AY798" i="8"/>
  <c r="AR798" i="8"/>
  <c r="AZ798" i="8"/>
  <c r="BA798" i="8"/>
  <c r="AT798" i="8"/>
  <c r="AS798" i="8"/>
  <c r="AU798" i="8"/>
  <c r="AV798" i="8"/>
  <c r="AW798" i="8"/>
  <c r="AX798" i="8"/>
  <c r="AU795" i="8"/>
  <c r="AV795" i="8"/>
  <c r="AW795" i="8"/>
  <c r="AX795" i="8"/>
  <c r="AY795" i="8"/>
  <c r="AR795" i="8"/>
  <c r="AZ795" i="8"/>
  <c r="AS795" i="8"/>
  <c r="BA795" i="8"/>
  <c r="AT795" i="8"/>
  <c r="AT799" i="8"/>
  <c r="AU799" i="8"/>
  <c r="AV799" i="8"/>
  <c r="AW799" i="8"/>
  <c r="AX799" i="8"/>
  <c r="AY799" i="8"/>
  <c r="AR799" i="8"/>
  <c r="AZ799" i="8"/>
  <c r="AS799" i="8"/>
  <c r="BA799" i="8"/>
  <c r="AU793" i="8"/>
  <c r="AV793" i="8"/>
  <c r="AW793" i="8"/>
  <c r="AX793" i="8"/>
  <c r="AY793" i="8"/>
  <c r="AR793" i="8"/>
  <c r="AZ793" i="8"/>
  <c r="AS793" i="8"/>
  <c r="BA793" i="8"/>
  <c r="AT793" i="8"/>
  <c r="AY794" i="8"/>
  <c r="AR794" i="8"/>
  <c r="AZ794" i="8"/>
  <c r="AS794" i="8"/>
  <c r="BA794" i="8"/>
  <c r="AT794" i="8"/>
  <c r="AU794" i="8"/>
  <c r="AV794" i="8"/>
  <c r="AW794" i="8"/>
  <c r="AX794" i="8"/>
  <c r="AX796" i="8"/>
  <c r="AY796" i="8"/>
  <c r="AR796" i="8"/>
  <c r="AZ796" i="8"/>
  <c r="AS796" i="8"/>
  <c r="BA796" i="8"/>
  <c r="AT796" i="8"/>
  <c r="AU796" i="8"/>
  <c r="AV796" i="8"/>
  <c r="AW796" i="8"/>
  <c r="AX800" i="8"/>
  <c r="AY800" i="8"/>
  <c r="AR800" i="8"/>
  <c r="AZ800" i="8"/>
  <c r="BA800" i="8"/>
  <c r="AS800" i="8"/>
  <c r="AT800" i="8"/>
  <c r="AU800" i="8"/>
  <c r="AV800" i="8"/>
  <c r="AW800" i="8"/>
  <c r="AV804" i="8"/>
  <c r="AX804" i="8"/>
  <c r="AY804" i="8"/>
  <c r="AR804" i="8"/>
  <c r="BA804" i="8"/>
  <c r="AZ804" i="8"/>
  <c r="AS804" i="8"/>
  <c r="AT804" i="8"/>
  <c r="AU804" i="8"/>
  <c r="AW804" i="8"/>
  <c r="AZ805" i="8"/>
  <c r="AS805" i="8"/>
  <c r="BA805" i="8"/>
  <c r="AT805" i="8"/>
  <c r="AU805" i="8"/>
  <c r="AV805" i="8"/>
  <c r="AW805" i="8"/>
  <c r="AX805" i="8"/>
  <c r="AY805" i="8"/>
  <c r="AR805" i="8"/>
  <c r="AU806" i="8"/>
  <c r="AW806" i="8"/>
  <c r="AX806" i="8"/>
  <c r="AY806" i="8"/>
  <c r="AR806" i="8"/>
  <c r="AZ806" i="8"/>
  <c r="AS806" i="8"/>
  <c r="BA806" i="8"/>
  <c r="AT806" i="8"/>
  <c r="AV806" i="8"/>
  <c r="BA797" i="8"/>
  <c r="AT797" i="8"/>
  <c r="AU797" i="8"/>
  <c r="AV797" i="8"/>
  <c r="AW797" i="8"/>
  <c r="AX797" i="8"/>
  <c r="AY797" i="8"/>
  <c r="AR797" i="8"/>
  <c r="AZ797" i="8"/>
  <c r="AS797" i="8"/>
  <c r="BP581" i="10"/>
  <c r="AY581" i="10"/>
  <c r="AX581" i="10"/>
  <c r="AM581" i="10"/>
  <c r="AN581" i="10"/>
  <c r="AQ581" i="10"/>
  <c r="AC581" i="10"/>
  <c r="P581" i="10"/>
  <c r="BN581" i="10"/>
  <c r="O581" i="10"/>
  <c r="N581" i="10"/>
  <c r="Q581" i="10"/>
  <c r="B581" i="10"/>
  <c r="BP580" i="10"/>
  <c r="AY580" i="10"/>
  <c r="AX580" i="10"/>
  <c r="AM580" i="10"/>
  <c r="AN580" i="10"/>
  <c r="AQ580" i="10"/>
  <c r="AC580" i="10"/>
  <c r="P580" i="10"/>
  <c r="BN580" i="10"/>
  <c r="O580" i="10"/>
  <c r="N580" i="10"/>
  <c r="Q580" i="10"/>
  <c r="B580" i="10"/>
  <c r="BN806" i="8"/>
  <c r="BN804" i="8"/>
  <c r="BN794" i="8"/>
  <c r="BN800" i="8"/>
  <c r="BN793" i="8"/>
  <c r="BN795" i="8"/>
  <c r="BN797" i="8"/>
  <c r="BN805" i="8"/>
  <c r="BN796" i="8"/>
  <c r="BN799" i="8"/>
  <c r="BN798" i="8"/>
  <c r="BC581" i="10"/>
  <c r="BE581" i="10"/>
  <c r="BF581" i="10"/>
  <c r="BX581" i="10"/>
  <c r="BL581" i="10"/>
  <c r="BD581" i="10"/>
  <c r="BK581" i="10"/>
  <c r="BM581" i="10"/>
  <c r="AD581" i="10"/>
  <c r="AR581" i="10"/>
  <c r="BW581" i="10"/>
  <c r="BK580" i="10"/>
  <c r="BX580" i="10"/>
  <c r="BL580" i="10"/>
  <c r="BD580" i="10"/>
  <c r="BM580" i="10"/>
  <c r="BC580" i="10"/>
  <c r="BE580" i="10"/>
  <c r="BF580" i="10"/>
  <c r="AD580" i="10"/>
  <c r="AR580" i="10"/>
  <c r="BW580" i="10"/>
  <c r="AE581" i="10"/>
  <c r="AO581" i="10"/>
  <c r="AP581" i="10"/>
  <c r="AS581" i="10"/>
  <c r="AF581" i="10"/>
  <c r="AZ581" i="10"/>
  <c r="BA581" i="10"/>
  <c r="AE580" i="10"/>
  <c r="AO580" i="10"/>
  <c r="AP580" i="10"/>
  <c r="AS580" i="10"/>
  <c r="AF580" i="10"/>
  <c r="AZ580" i="10"/>
  <c r="BA580" i="10"/>
  <c r="K424" i="10"/>
  <c r="K425" i="10"/>
  <c r="AW425" i="10"/>
  <c r="AX425" i="10"/>
  <c r="BP425" i="10"/>
  <c r="AM425" i="10"/>
  <c r="AC425" i="10"/>
  <c r="N425" i="10"/>
  <c r="B425" i="10"/>
  <c r="Q425" i="10"/>
  <c r="BD425" i="10"/>
  <c r="P425" i="10"/>
  <c r="BC425" i="10"/>
  <c r="O425" i="10"/>
  <c r="AD425" i="10"/>
  <c r="AY425" i="10"/>
  <c r="BE425" i="10"/>
  <c r="BF425" i="10"/>
  <c r="BX425" i="10"/>
  <c r="BN425" i="10"/>
  <c r="BM425" i="10"/>
  <c r="BL425" i="10"/>
  <c r="BW425" i="10"/>
  <c r="BK425" i="10"/>
  <c r="AF425" i="10"/>
  <c r="AG425" i="10"/>
  <c r="AN425" i="10"/>
  <c r="AE425" i="10"/>
  <c r="AO425" i="10"/>
  <c r="AZ425" i="10"/>
  <c r="BA425" i="10"/>
  <c r="AP425" i="10"/>
  <c r="AS425" i="10"/>
  <c r="AQ425" i="10"/>
  <c r="AR425" i="10"/>
  <c r="N641" i="8"/>
  <c r="AK641" i="8"/>
  <c r="AI641" i="8"/>
  <c r="V641" i="8"/>
  <c r="X641" i="8"/>
  <c r="AK640" i="8"/>
  <c r="AI640" i="8"/>
  <c r="V640" i="8"/>
  <c r="X640" i="8"/>
  <c r="Y640" i="8"/>
  <c r="AA640" i="8"/>
  <c r="AV640" i="8"/>
  <c r="BE640" i="8"/>
  <c r="AX640" i="8"/>
  <c r="BG640" i="8"/>
  <c r="AY640" i="8"/>
  <c r="BH640" i="8"/>
  <c r="AT640" i="8"/>
  <c r="BC640" i="8"/>
  <c r="BK640" i="8"/>
  <c r="BF640" i="8"/>
  <c r="AR640" i="8"/>
  <c r="BI640" i="8"/>
  <c r="AS640" i="8"/>
  <c r="BJ640" i="8"/>
  <c r="AU640" i="8"/>
  <c r="BL640" i="8"/>
  <c r="AW640" i="8"/>
  <c r="AZ640" i="8"/>
  <c r="BA640" i="8"/>
  <c r="BD640" i="8"/>
  <c r="AS641" i="8"/>
  <c r="BA641" i="8"/>
  <c r="AW641" i="8"/>
  <c r="AX641" i="8"/>
  <c r="BH641" i="8"/>
  <c r="AY641" i="8"/>
  <c r="BI641" i="8"/>
  <c r="AZ641" i="8"/>
  <c r="BJ641" i="8"/>
  <c r="BC641" i="8"/>
  <c r="BK641" i="8"/>
  <c r="AR641" i="8"/>
  <c r="BD641" i="8"/>
  <c r="BL641" i="8"/>
  <c r="AT641" i="8"/>
  <c r="BE641" i="8"/>
  <c r="AV641" i="8"/>
  <c r="BG641" i="8"/>
  <c r="AU641" i="8"/>
  <c r="BF641" i="8"/>
  <c r="Y641" i="8"/>
  <c r="AA641" i="8"/>
  <c r="AM641" i="8"/>
  <c r="BU641" i="8"/>
  <c r="AM640" i="8"/>
  <c r="BU640" i="8"/>
  <c r="AN640" i="8"/>
  <c r="BV640" i="8"/>
  <c r="AL640" i="8"/>
  <c r="BN641" i="8"/>
  <c r="BO640" i="8"/>
  <c r="BN640" i="8"/>
  <c r="BO641" i="8"/>
  <c r="AN641" i="8"/>
  <c r="BV641" i="8"/>
  <c r="AL641" i="8"/>
  <c r="BT641" i="8"/>
  <c r="BW641" i="8"/>
  <c r="BT640" i="8"/>
  <c r="BW640" i="8"/>
  <c r="AK802" i="8"/>
  <c r="AI802" i="8"/>
  <c r="Y802" i="8"/>
  <c r="AA802" i="8"/>
  <c r="V802" i="8"/>
  <c r="X802" i="8"/>
  <c r="U802" i="8"/>
  <c r="AI801" i="8"/>
  <c r="AI803" i="8"/>
  <c r="AI809" i="8"/>
  <c r="AZ803" i="8"/>
  <c r="AS803" i="8"/>
  <c r="AT803" i="8"/>
  <c r="AU803" i="8"/>
  <c r="AV803" i="8"/>
  <c r="AW803" i="8"/>
  <c r="AX803" i="8"/>
  <c r="AY803" i="8"/>
  <c r="AR803" i="8"/>
  <c r="BA803" i="8"/>
  <c r="AZ801" i="8"/>
  <c r="AS801" i="8"/>
  <c r="AT801" i="8"/>
  <c r="AU801" i="8"/>
  <c r="AV801" i="8"/>
  <c r="AW801" i="8"/>
  <c r="AX801" i="8"/>
  <c r="AY801" i="8"/>
  <c r="AR801" i="8"/>
  <c r="BA801" i="8"/>
  <c r="BE802" i="8"/>
  <c r="AW802" i="8"/>
  <c r="AX802" i="8"/>
  <c r="BG802" i="8"/>
  <c r="AY802" i="8"/>
  <c r="BH802" i="8"/>
  <c r="AZ802" i="8"/>
  <c r="BI802" i="8"/>
  <c r="BJ802" i="8"/>
  <c r="AR802" i="8"/>
  <c r="AS802" i="8"/>
  <c r="BA802" i="8"/>
  <c r="AT802" i="8"/>
  <c r="BC802" i="8"/>
  <c r="BK802" i="8"/>
  <c r="AU802" i="8"/>
  <c r="BD802" i="8"/>
  <c r="BL802" i="8"/>
  <c r="AV802" i="8"/>
  <c r="BF802" i="8"/>
  <c r="AW809" i="8"/>
  <c r="AX809" i="8"/>
  <c r="AY809" i="8"/>
  <c r="AR809" i="8"/>
  <c r="AZ809" i="8"/>
  <c r="BA809" i="8"/>
  <c r="AS809" i="8"/>
  <c r="AT809" i="8"/>
  <c r="AU809" i="8"/>
  <c r="AV809" i="8"/>
  <c r="AM802" i="8"/>
  <c r="AL802" i="8"/>
  <c r="AN802" i="8"/>
  <c r="BO802" i="8"/>
  <c r="BN809" i="8"/>
  <c r="BN801" i="8"/>
  <c r="BN802" i="8"/>
  <c r="BN803" i="8"/>
  <c r="P210" i="10"/>
  <c r="O210" i="10"/>
  <c r="N210" i="10"/>
  <c r="Q210" i="10"/>
  <c r="P209" i="10"/>
  <c r="O209" i="10"/>
  <c r="N209" i="10"/>
  <c r="Q209" i="10"/>
  <c r="O191" i="10"/>
  <c r="P191" i="10"/>
  <c r="Q191" i="10"/>
  <c r="O192" i="10"/>
  <c r="P192" i="10"/>
  <c r="Q192" i="10"/>
  <c r="P417" i="10"/>
  <c r="Q417" i="10"/>
  <c r="P418" i="10"/>
  <c r="Q418" i="10"/>
  <c r="Q651" i="10"/>
  <c r="O188" i="10"/>
  <c r="P188" i="10"/>
  <c r="Q188" i="10"/>
  <c r="K451" i="10"/>
  <c r="AK810" i="8"/>
  <c r="AI810" i="8"/>
  <c r="Y794" i="8"/>
  <c r="AA794" i="8"/>
  <c r="Y795" i="8"/>
  <c r="AA795" i="8"/>
  <c r="Y796" i="8"/>
  <c r="AA796" i="8"/>
  <c r="Y797" i="8"/>
  <c r="AA797" i="8"/>
  <c r="Y798" i="8"/>
  <c r="AA798" i="8"/>
  <c r="Y799" i="8"/>
  <c r="AA799" i="8"/>
  <c r="Y800" i="8"/>
  <c r="AA800" i="8"/>
  <c r="Y801" i="8"/>
  <c r="AA801" i="8"/>
  <c r="Y803" i="8"/>
  <c r="AA803" i="8"/>
  <c r="Y804" i="8"/>
  <c r="AA804" i="8"/>
  <c r="Y805" i="8"/>
  <c r="AA805" i="8"/>
  <c r="Y806" i="8"/>
  <c r="AA806" i="8"/>
  <c r="Y793" i="8"/>
  <c r="AA793" i="8"/>
  <c r="AS810" i="8"/>
  <c r="BJ810" i="8"/>
  <c r="BC810" i="8"/>
  <c r="BK810" i="8"/>
  <c r="AU810" i="8"/>
  <c r="BD810" i="8"/>
  <c r="BL810" i="8"/>
  <c r="AV810" i="8"/>
  <c r="BE810" i="8"/>
  <c r="AW810" i="8"/>
  <c r="BF810" i="8"/>
  <c r="AX810" i="8"/>
  <c r="BG810" i="8"/>
  <c r="AY810" i="8"/>
  <c r="BH810" i="8"/>
  <c r="AR810" i="8"/>
  <c r="AZ810" i="8"/>
  <c r="BI810" i="8"/>
  <c r="BA810" i="8"/>
  <c r="AT810" i="8"/>
  <c r="U810" i="8"/>
  <c r="Y810" i="8"/>
  <c r="AA810" i="8"/>
  <c r="AN810" i="8"/>
  <c r="BO810" i="8"/>
  <c r="BN810" i="8"/>
  <c r="AL810" i="8"/>
  <c r="AM810" i="8"/>
  <c r="AK807" i="8"/>
  <c r="Y807" i="8"/>
  <c r="AA807" i="8"/>
  <c r="U807" i="8"/>
  <c r="AK794" i="8"/>
  <c r="AK786" i="8"/>
  <c r="BL786" i="8"/>
  <c r="BE786" i="8"/>
  <c r="BF786" i="8"/>
  <c r="BG786" i="8"/>
  <c r="BH786" i="8"/>
  <c r="BI786" i="8"/>
  <c r="BJ786" i="8"/>
  <c r="BC786" i="8"/>
  <c r="BK786" i="8"/>
  <c r="BD786" i="8"/>
  <c r="BG794" i="8"/>
  <c r="BH794" i="8"/>
  <c r="BK794" i="8"/>
  <c r="BF794" i="8"/>
  <c r="BC794" i="8"/>
  <c r="BI794" i="8"/>
  <c r="BD794" i="8"/>
  <c r="BL794" i="8"/>
  <c r="BJ794" i="8"/>
  <c r="BE794" i="8"/>
  <c r="BH807" i="8"/>
  <c r="BI807" i="8"/>
  <c r="BJ807" i="8"/>
  <c r="BC807" i="8"/>
  <c r="BK807" i="8"/>
  <c r="BL807" i="8"/>
  <c r="BD807" i="8"/>
  <c r="BE807" i="8"/>
  <c r="BF807" i="8"/>
  <c r="BG807" i="8"/>
  <c r="AL807" i="8"/>
  <c r="AN807" i="8"/>
  <c r="AM807" i="8"/>
  <c r="AL794" i="8"/>
  <c r="U794" i="8"/>
  <c r="Y786" i="8"/>
  <c r="AA786" i="8"/>
  <c r="AM786" i="8"/>
  <c r="U786" i="8"/>
  <c r="BO786" i="8"/>
  <c r="BO807" i="8"/>
  <c r="BO794" i="8"/>
  <c r="AL786" i="8"/>
  <c r="AN794" i="8"/>
  <c r="AN786" i="8"/>
  <c r="AM794" i="8"/>
  <c r="AK795" i="8"/>
  <c r="AK796" i="8"/>
  <c r="AK797" i="8"/>
  <c r="AK798" i="8"/>
  <c r="AK799" i="8"/>
  <c r="AK800" i="8"/>
  <c r="AK801" i="8"/>
  <c r="AK809" i="8"/>
  <c r="AK803" i="8"/>
  <c r="AK804" i="8"/>
  <c r="AK805" i="8"/>
  <c r="AK806" i="8"/>
  <c r="U806" i="8"/>
  <c r="U805" i="8"/>
  <c r="U804" i="8"/>
  <c r="U803" i="8"/>
  <c r="U801" i="8"/>
  <c r="U800" i="8"/>
  <c r="U799" i="8"/>
  <c r="U798" i="8"/>
  <c r="U797" i="8"/>
  <c r="U796" i="8"/>
  <c r="U795" i="8"/>
  <c r="AL796" i="8"/>
  <c r="AL797" i="8"/>
  <c r="AM798" i="8"/>
  <c r="AL799" i="8"/>
  <c r="AM800" i="8"/>
  <c r="AL801" i="8"/>
  <c r="AA809" i="8"/>
  <c r="AL803" i="8"/>
  <c r="AL805" i="8"/>
  <c r="AM806" i="8"/>
  <c r="BD809" i="8"/>
  <c r="BL809" i="8"/>
  <c r="BK809" i="8"/>
  <c r="BF809" i="8"/>
  <c r="BE809" i="8"/>
  <c r="BJ809" i="8"/>
  <c r="BH809" i="8"/>
  <c r="BG809" i="8"/>
  <c r="BC809" i="8"/>
  <c r="BI809" i="8"/>
  <c r="BI799" i="8"/>
  <c r="BC799" i="8"/>
  <c r="BF799" i="8"/>
  <c r="BK799" i="8"/>
  <c r="BG799" i="8"/>
  <c r="BD799" i="8"/>
  <c r="BL799" i="8"/>
  <c r="BH799" i="8"/>
  <c r="BJ799" i="8"/>
  <c r="BE799" i="8"/>
  <c r="BG806" i="8"/>
  <c r="BJ806" i="8"/>
  <c r="BH806" i="8"/>
  <c r="BC806" i="8"/>
  <c r="BK806" i="8"/>
  <c r="BE806" i="8"/>
  <c r="BI806" i="8"/>
  <c r="BD806" i="8"/>
  <c r="BL806" i="8"/>
  <c r="BF806" i="8"/>
  <c r="BG798" i="8"/>
  <c r="BE798" i="8"/>
  <c r="BJ798" i="8"/>
  <c r="BH798" i="8"/>
  <c r="BK798" i="8"/>
  <c r="BC798" i="8"/>
  <c r="BI798" i="8"/>
  <c r="BD798" i="8"/>
  <c r="BL798" i="8"/>
  <c r="BF798" i="8"/>
  <c r="BK801" i="8"/>
  <c r="BG801" i="8"/>
  <c r="BD801" i="8"/>
  <c r="BL801" i="8"/>
  <c r="BH801" i="8"/>
  <c r="BE801" i="8"/>
  <c r="BJ801" i="8"/>
  <c r="BI801" i="8"/>
  <c r="BC801" i="8"/>
  <c r="BF801" i="8"/>
  <c r="BI797" i="8"/>
  <c r="BC797" i="8"/>
  <c r="BF797" i="8"/>
  <c r="BK797" i="8"/>
  <c r="BJ797" i="8"/>
  <c r="BG797" i="8"/>
  <c r="BD797" i="8"/>
  <c r="BL797" i="8"/>
  <c r="BH797" i="8"/>
  <c r="BE797" i="8"/>
  <c r="BF800" i="8"/>
  <c r="BG800" i="8"/>
  <c r="BJ800" i="8"/>
  <c r="BC800" i="8"/>
  <c r="BE800" i="8"/>
  <c r="BK800" i="8"/>
  <c r="BH800" i="8"/>
  <c r="BI800" i="8"/>
  <c r="BD800" i="8"/>
  <c r="BL800" i="8"/>
  <c r="BI805" i="8"/>
  <c r="BL805" i="8"/>
  <c r="BE805" i="8"/>
  <c r="BH805" i="8"/>
  <c r="BD805" i="8"/>
  <c r="BJ805" i="8"/>
  <c r="BC805" i="8"/>
  <c r="BF805" i="8"/>
  <c r="BK805" i="8"/>
  <c r="BG805" i="8"/>
  <c r="BH804" i="8"/>
  <c r="BC804" i="8"/>
  <c r="BK804" i="8"/>
  <c r="BI804" i="8"/>
  <c r="BD804" i="8"/>
  <c r="BF804" i="8"/>
  <c r="BL804" i="8"/>
  <c r="BJ804" i="8"/>
  <c r="BE804" i="8"/>
  <c r="BG804" i="8"/>
  <c r="BI796" i="8"/>
  <c r="BD796" i="8"/>
  <c r="BE796" i="8"/>
  <c r="BJ796" i="8"/>
  <c r="BC796" i="8"/>
  <c r="BH796" i="8"/>
  <c r="BF796" i="8"/>
  <c r="BK796" i="8"/>
  <c r="BG796" i="8"/>
  <c r="BL796" i="8"/>
  <c r="BE803" i="8"/>
  <c r="BJ803" i="8"/>
  <c r="BI803" i="8"/>
  <c r="BF803" i="8"/>
  <c r="BC803" i="8"/>
  <c r="BG803" i="8"/>
  <c r="BK803" i="8"/>
  <c r="BD803" i="8"/>
  <c r="BL803" i="8"/>
  <c r="BH803" i="8"/>
  <c r="BE795" i="8"/>
  <c r="BI795" i="8"/>
  <c r="BF795" i="8"/>
  <c r="BC795" i="8"/>
  <c r="BG795" i="8"/>
  <c r="BJ795" i="8"/>
  <c r="BD795" i="8"/>
  <c r="BL795" i="8"/>
  <c r="BH795" i="8"/>
  <c r="BK795" i="8"/>
  <c r="AL798" i="8"/>
  <c r="AN804" i="8"/>
  <c r="AL804" i="8"/>
  <c r="AM804" i="8"/>
  <c r="AN809" i="8"/>
  <c r="AL809" i="8"/>
  <c r="AM809" i="8"/>
  <c r="AN795" i="8"/>
  <c r="AL795" i="8"/>
  <c r="AM795" i="8"/>
  <c r="AM801" i="8"/>
  <c r="AN797" i="8"/>
  <c r="AN796" i="8"/>
  <c r="AN803" i="8"/>
  <c r="AN801" i="8"/>
  <c r="AN805" i="8"/>
  <c r="AL806" i="8"/>
  <c r="AL800" i="8"/>
  <c r="AM796" i="8"/>
  <c r="AN806" i="8"/>
  <c r="AM805" i="8"/>
  <c r="AM803" i="8"/>
  <c r="AN800" i="8"/>
  <c r="AM799" i="8"/>
  <c r="AN798" i="8"/>
  <c r="AM797" i="8"/>
  <c r="AN799" i="8"/>
  <c r="BO800" i="8"/>
  <c r="BO806" i="8"/>
  <c r="BO796" i="8"/>
  <c r="BO805" i="8"/>
  <c r="BO797" i="8"/>
  <c r="BO799" i="8"/>
  <c r="BO804" i="8"/>
  <c r="BO795" i="8"/>
  <c r="BO803" i="8"/>
  <c r="BO801" i="8"/>
  <c r="BO798" i="8"/>
  <c r="BO809" i="8"/>
  <c r="V573" i="8"/>
  <c r="Y573" i="8"/>
  <c r="AA573" i="8"/>
  <c r="AK573" i="8"/>
  <c r="AI573" i="8"/>
  <c r="U573" i="8"/>
  <c r="AS573" i="8"/>
  <c r="BA573" i="8"/>
  <c r="BJ573" i="8"/>
  <c r="AT573" i="8"/>
  <c r="BC573" i="8"/>
  <c r="BK573" i="8"/>
  <c r="AU573" i="8"/>
  <c r="BD573" i="8"/>
  <c r="BL573" i="8"/>
  <c r="AV573" i="8"/>
  <c r="BE573" i="8"/>
  <c r="AW573" i="8"/>
  <c r="BF573" i="8"/>
  <c r="AX573" i="8"/>
  <c r="BG573" i="8"/>
  <c r="AY573" i="8"/>
  <c r="BH573" i="8"/>
  <c r="AR573" i="8"/>
  <c r="AZ573" i="8"/>
  <c r="BI573" i="8"/>
  <c r="AL573" i="8"/>
  <c r="AM573" i="8"/>
  <c r="AN573" i="8"/>
  <c r="BW589" i="10"/>
  <c r="BW590" i="10"/>
  <c r="BX590" i="10"/>
  <c r="BW591" i="10"/>
  <c r="BX591" i="10"/>
  <c r="BW592" i="10"/>
  <c r="BW593" i="10"/>
  <c r="BX593" i="10"/>
  <c r="BO573" i="8"/>
  <c r="BN573" i="8"/>
  <c r="L856" i="8"/>
  <c r="M856" i="8"/>
  <c r="N856" i="8"/>
  <c r="O856" i="8"/>
  <c r="P856" i="8"/>
  <c r="Q856" i="8"/>
  <c r="R856" i="8"/>
  <c r="S856" i="8"/>
  <c r="T856" i="8"/>
  <c r="K856" i="8"/>
  <c r="AC192" i="10"/>
  <c r="AD192" i="10"/>
  <c r="AW192" i="10"/>
  <c r="AY192" i="10"/>
  <c r="AM192" i="10"/>
  <c r="B192" i="10"/>
  <c r="BC192" i="10"/>
  <c r="BW192" i="10"/>
  <c r="BN192" i="10"/>
  <c r="BP192" i="10"/>
  <c r="AN192" i="10"/>
  <c r="AE192" i="10"/>
  <c r="AO192" i="10"/>
  <c r="AF192" i="10"/>
  <c r="AG192" i="10"/>
  <c r="AX192" i="10"/>
  <c r="BP401" i="10"/>
  <c r="AW401" i="10"/>
  <c r="AY401" i="10"/>
  <c r="AM401" i="10"/>
  <c r="AN401" i="10"/>
  <c r="AQ401" i="10"/>
  <c r="AC401" i="10"/>
  <c r="B401" i="10"/>
  <c r="N401" i="10"/>
  <c r="Q401" i="10"/>
  <c r="BX401" i="10"/>
  <c r="P401" i="10"/>
  <c r="O401" i="10"/>
  <c r="AZ192" i="10"/>
  <c r="BA192" i="10"/>
  <c r="BE192" i="10"/>
  <c r="BF192" i="10"/>
  <c r="BM192" i="10"/>
  <c r="BD192" i="10"/>
  <c r="BX192" i="10"/>
  <c r="BC401" i="10"/>
  <c r="BE401" i="10"/>
  <c r="BF401" i="10"/>
  <c r="BW401" i="10"/>
  <c r="BL192" i="10"/>
  <c r="BM401" i="10"/>
  <c r="AP192" i="10"/>
  <c r="AS192" i="10"/>
  <c r="BK192" i="10"/>
  <c r="BL401" i="10"/>
  <c r="BK401" i="10"/>
  <c r="BN401" i="10"/>
  <c r="BD401" i="10"/>
  <c r="AR401" i="10"/>
  <c r="AD401" i="10"/>
  <c r="AX401" i="10"/>
  <c r="AZ401" i="10"/>
  <c r="BA401" i="10"/>
  <c r="AQ192" i="10"/>
  <c r="AR192" i="10"/>
  <c r="AE401" i="10"/>
  <c r="AO401" i="10"/>
  <c r="AP401" i="10"/>
  <c r="AS401" i="10"/>
  <c r="AF401" i="10"/>
  <c r="AG401" i="10"/>
  <c r="AK629" i="8"/>
  <c r="AI629" i="8"/>
  <c r="AE629" i="8"/>
  <c r="V629" i="8"/>
  <c r="X629" i="8"/>
  <c r="Y629" i="8"/>
  <c r="AA629" i="8"/>
  <c r="U629" i="8"/>
  <c r="AW629" i="8"/>
  <c r="BF629" i="8"/>
  <c r="AX629" i="8"/>
  <c r="BG629" i="8"/>
  <c r="AY629" i="8"/>
  <c r="BH629" i="8"/>
  <c r="AR629" i="8"/>
  <c r="AZ629" i="8"/>
  <c r="BI629" i="8"/>
  <c r="AS629" i="8"/>
  <c r="BA629" i="8"/>
  <c r="BJ629" i="8"/>
  <c r="AU629" i="8"/>
  <c r="BD629" i="8"/>
  <c r="BL629" i="8"/>
  <c r="AV629" i="8"/>
  <c r="BE629" i="8"/>
  <c r="BC629" i="8"/>
  <c r="BK629" i="8"/>
  <c r="AT629" i="8"/>
  <c r="AL629" i="8"/>
  <c r="AM629" i="8"/>
  <c r="BU629" i="8"/>
  <c r="AN629" i="8"/>
  <c r="BV629" i="8"/>
  <c r="AK670" i="8"/>
  <c r="AI670" i="8"/>
  <c r="AE670" i="8"/>
  <c r="V670" i="8"/>
  <c r="X670" i="8"/>
  <c r="Y670" i="8"/>
  <c r="AA670" i="8"/>
  <c r="AK668" i="8"/>
  <c r="AI668" i="8"/>
  <c r="AE668" i="8"/>
  <c r="V668" i="8"/>
  <c r="X668" i="8"/>
  <c r="Y668" i="8"/>
  <c r="AA668" i="8"/>
  <c r="AK647" i="8"/>
  <c r="AI647" i="8"/>
  <c r="AE647" i="8"/>
  <c r="V647" i="8"/>
  <c r="X647" i="8"/>
  <c r="Y647" i="8"/>
  <c r="AA647" i="8"/>
  <c r="AK646" i="8"/>
  <c r="AI646" i="8"/>
  <c r="AE646" i="8"/>
  <c r="V646" i="8"/>
  <c r="X646" i="8"/>
  <c r="Y646" i="8"/>
  <c r="AA646" i="8"/>
  <c r="AK645" i="8"/>
  <c r="AI645" i="8"/>
  <c r="AE645" i="8"/>
  <c r="V645" i="8"/>
  <c r="X645" i="8"/>
  <c r="Y645" i="8"/>
  <c r="AA645" i="8"/>
  <c r="U645" i="8"/>
  <c r="U646" i="8"/>
  <c r="U647" i="8"/>
  <c r="U668" i="8"/>
  <c r="U670" i="8"/>
  <c r="AV647" i="8"/>
  <c r="BE647" i="8"/>
  <c r="AW647" i="8"/>
  <c r="BF647" i="8"/>
  <c r="AX647" i="8"/>
  <c r="BG647" i="8"/>
  <c r="AY647" i="8"/>
  <c r="BH647" i="8"/>
  <c r="AR647" i="8"/>
  <c r="AZ647" i="8"/>
  <c r="BI647" i="8"/>
  <c r="AS647" i="8"/>
  <c r="BA647" i="8"/>
  <c r="BJ647" i="8"/>
  <c r="AT647" i="8"/>
  <c r="BC647" i="8"/>
  <c r="BK647" i="8"/>
  <c r="AU647" i="8"/>
  <c r="BD647" i="8"/>
  <c r="BL647" i="8"/>
  <c r="BN629" i="8"/>
  <c r="AX668" i="8"/>
  <c r="BG668" i="8"/>
  <c r="AY668" i="8"/>
  <c r="BH668" i="8"/>
  <c r="AR668" i="8"/>
  <c r="AZ668" i="8"/>
  <c r="BI668" i="8"/>
  <c r="AS668" i="8"/>
  <c r="BA668" i="8"/>
  <c r="BJ668" i="8"/>
  <c r="AT668" i="8"/>
  <c r="BC668" i="8"/>
  <c r="BK668" i="8"/>
  <c r="AU668" i="8"/>
  <c r="BD668" i="8"/>
  <c r="BL668" i="8"/>
  <c r="AV668" i="8"/>
  <c r="BE668" i="8"/>
  <c r="AW668" i="8"/>
  <c r="BF668" i="8"/>
  <c r="BO629" i="8"/>
  <c r="AW645" i="8"/>
  <c r="BF645" i="8"/>
  <c r="AX645" i="8"/>
  <c r="BG645" i="8"/>
  <c r="AY645" i="8"/>
  <c r="BH645" i="8"/>
  <c r="AR645" i="8"/>
  <c r="AZ645" i="8"/>
  <c r="BI645" i="8"/>
  <c r="AS645" i="8"/>
  <c r="BA645" i="8"/>
  <c r="BJ645" i="8"/>
  <c r="AT645" i="8"/>
  <c r="BC645" i="8"/>
  <c r="BK645" i="8"/>
  <c r="AU645" i="8"/>
  <c r="BD645" i="8"/>
  <c r="BL645" i="8"/>
  <c r="AV645" i="8"/>
  <c r="BE645" i="8"/>
  <c r="AR646" i="8"/>
  <c r="AZ646" i="8"/>
  <c r="BI646" i="8"/>
  <c r="AS646" i="8"/>
  <c r="BA646" i="8"/>
  <c r="BJ646" i="8"/>
  <c r="AT646" i="8"/>
  <c r="BC646" i="8"/>
  <c r="BK646" i="8"/>
  <c r="AU646" i="8"/>
  <c r="BD646" i="8"/>
  <c r="BL646" i="8"/>
  <c r="AV646" i="8"/>
  <c r="BE646" i="8"/>
  <c r="AW646" i="8"/>
  <c r="BF646" i="8"/>
  <c r="AX646" i="8"/>
  <c r="BG646" i="8"/>
  <c r="AY646" i="8"/>
  <c r="BH646" i="8"/>
  <c r="AV670" i="8"/>
  <c r="BE670" i="8"/>
  <c r="AW670" i="8"/>
  <c r="BF670" i="8"/>
  <c r="AX670" i="8"/>
  <c r="BG670" i="8"/>
  <c r="AY670" i="8"/>
  <c r="BH670" i="8"/>
  <c r="AR670" i="8"/>
  <c r="AZ670" i="8"/>
  <c r="BI670" i="8"/>
  <c r="AS670" i="8"/>
  <c r="BA670" i="8"/>
  <c r="BJ670" i="8"/>
  <c r="AT670" i="8"/>
  <c r="BC670" i="8"/>
  <c r="BK670" i="8"/>
  <c r="AU670" i="8"/>
  <c r="BD670" i="8"/>
  <c r="BL670" i="8"/>
  <c r="AN670" i="8"/>
  <c r="BV670" i="8"/>
  <c r="AM670" i="8"/>
  <c r="BU670" i="8"/>
  <c r="AN668" i="8"/>
  <c r="BV668" i="8"/>
  <c r="AM668" i="8"/>
  <c r="BU668" i="8"/>
  <c r="AN645" i="8"/>
  <c r="BV645" i="8"/>
  <c r="AM645" i="8"/>
  <c r="BU645" i="8"/>
  <c r="AN647" i="8"/>
  <c r="BV647" i="8"/>
  <c r="AM647" i="8"/>
  <c r="BU647" i="8"/>
  <c r="AL645" i="8"/>
  <c r="AL668" i="8"/>
  <c r="AN646" i="8"/>
  <c r="BV646" i="8"/>
  <c r="AM646" i="8"/>
  <c r="BU646" i="8"/>
  <c r="AL646" i="8"/>
  <c r="AL647" i="8"/>
  <c r="AL670" i="8"/>
  <c r="BO647" i="8"/>
  <c r="BN646" i="8"/>
  <c r="BO645" i="8"/>
  <c r="BN670" i="8"/>
  <c r="BO646" i="8"/>
  <c r="BO670" i="8"/>
  <c r="BN668" i="8"/>
  <c r="BN645" i="8"/>
  <c r="BO668" i="8"/>
  <c r="BN647" i="8"/>
  <c r="BT629" i="8"/>
  <c r="BW629" i="8"/>
  <c r="BT646" i="8"/>
  <c r="BW646" i="8"/>
  <c r="BT647" i="8"/>
  <c r="BW647" i="8"/>
  <c r="BT645" i="8"/>
  <c r="BW645" i="8"/>
  <c r="BT670" i="8"/>
  <c r="BW670" i="8"/>
  <c r="BT668" i="8"/>
  <c r="BW668" i="8"/>
  <c r="BS588" i="10"/>
  <c r="BQ588" i="10"/>
  <c r="BO588" i="10"/>
  <c r="BS587" i="10"/>
  <c r="BQ587" i="10"/>
  <c r="BO587" i="10"/>
  <c r="BP586" i="10"/>
  <c r="BP585" i="10"/>
  <c r="BP584" i="10"/>
  <c r="BP583" i="10"/>
  <c r="BP582" i="10"/>
  <c r="BP579" i="10"/>
  <c r="BP578" i="10"/>
  <c r="BP577" i="10"/>
  <c r="BP576" i="10"/>
  <c r="BP575" i="10"/>
  <c r="BP574" i="10"/>
  <c r="BP573" i="10"/>
  <c r="BP572" i="10"/>
  <c r="BP571" i="10"/>
  <c r="BP570" i="10"/>
  <c r="BP569" i="10"/>
  <c r="BP568" i="10"/>
  <c r="BP567" i="10"/>
  <c r="BP566" i="10"/>
  <c r="BP565" i="10"/>
  <c r="BP564" i="10"/>
  <c r="BP563" i="10"/>
  <c r="BP562" i="10"/>
  <c r="BP561" i="10"/>
  <c r="BP560" i="10"/>
  <c r="BP559" i="10"/>
  <c r="BP558" i="10"/>
  <c r="BP557" i="10"/>
  <c r="BP556" i="10"/>
  <c r="BP555" i="10"/>
  <c r="BP554" i="10"/>
  <c r="BP553" i="10"/>
  <c r="BP552" i="10"/>
  <c r="BP551" i="10"/>
  <c r="BP550" i="10"/>
  <c r="BP549" i="10"/>
  <c r="BP548" i="10"/>
  <c r="BP547" i="10"/>
  <c r="BP546" i="10"/>
  <c r="BP545" i="10"/>
  <c r="BP544" i="10"/>
  <c r="BP543" i="10"/>
  <c r="BP542" i="10"/>
  <c r="BP541" i="10"/>
  <c r="BP540" i="10"/>
  <c r="BP539" i="10"/>
  <c r="BP538" i="10"/>
  <c r="BP537" i="10"/>
  <c r="BP536" i="10"/>
  <c r="BP535" i="10"/>
  <c r="BP534" i="10"/>
  <c r="BP533" i="10"/>
  <c r="BP532" i="10"/>
  <c r="BP531" i="10"/>
  <c r="BP530" i="10"/>
  <c r="BP529" i="10"/>
  <c r="BP528" i="10"/>
  <c r="BP527" i="10"/>
  <c r="BP526" i="10"/>
  <c r="BP525" i="10"/>
  <c r="BP524" i="10"/>
  <c r="BP523" i="10"/>
  <c r="BP522" i="10"/>
  <c r="BP521" i="10"/>
  <c r="BP520" i="10"/>
  <c r="BP159" i="10"/>
  <c r="BP158" i="10"/>
  <c r="BP157" i="10"/>
  <c r="BP156" i="10"/>
  <c r="BP506" i="10"/>
  <c r="BP398" i="10"/>
  <c r="BP220" i="10"/>
  <c r="BP155" i="10"/>
  <c r="BP505" i="10"/>
  <c r="BP504" i="10"/>
  <c r="BP154" i="10"/>
  <c r="BP153" i="10"/>
  <c r="BP397" i="10"/>
  <c r="BP152" i="10"/>
  <c r="BP503" i="10"/>
  <c r="BP502" i="10"/>
  <c r="BP150" i="10"/>
  <c r="BP151" i="10"/>
  <c r="BP149" i="10"/>
  <c r="BP148" i="10"/>
  <c r="BP501" i="10"/>
  <c r="BP164" i="10"/>
  <c r="BP147" i="10"/>
  <c r="BP146" i="10"/>
  <c r="BP145" i="10"/>
  <c r="BP144" i="10"/>
  <c r="BP143" i="10"/>
  <c r="BP142" i="10"/>
  <c r="BP141" i="10"/>
  <c r="BP140" i="10"/>
  <c r="BP139" i="10"/>
  <c r="BP138" i="10"/>
  <c r="BP137" i="10"/>
  <c r="BP136" i="10"/>
  <c r="BP135" i="10"/>
  <c r="BP134" i="10"/>
  <c r="BP133" i="10"/>
  <c r="BP396" i="10"/>
  <c r="BP500" i="10"/>
  <c r="BP131" i="10"/>
  <c r="BP130" i="10"/>
  <c r="BP129" i="10"/>
  <c r="BP128" i="10"/>
  <c r="BP127" i="10"/>
  <c r="BP499" i="10"/>
  <c r="BP498" i="10"/>
  <c r="BP219" i="10"/>
  <c r="BP126" i="10"/>
  <c r="BP125" i="10"/>
  <c r="BP124" i="10"/>
  <c r="BP123" i="10"/>
  <c r="BP122" i="10"/>
  <c r="BP121" i="10"/>
  <c r="BP120" i="10"/>
  <c r="BP119" i="10"/>
  <c r="BP118" i="10"/>
  <c r="BP117" i="10"/>
  <c r="BP116" i="10"/>
  <c r="BP115" i="10"/>
  <c r="BP114" i="10"/>
  <c r="BP113" i="10"/>
  <c r="BP112" i="10"/>
  <c r="BP111" i="10"/>
  <c r="BP110" i="10"/>
  <c r="BP497" i="10"/>
  <c r="BP496" i="10"/>
  <c r="BP395" i="10"/>
  <c r="BP394" i="10"/>
  <c r="BP393" i="10"/>
  <c r="BP495" i="10"/>
  <c r="BP494" i="10"/>
  <c r="BP493" i="10"/>
  <c r="BP70" i="10"/>
  <c r="BP392" i="10"/>
  <c r="BP391" i="10"/>
  <c r="BP390" i="10"/>
  <c r="BP389" i="10"/>
  <c r="BP388" i="10"/>
  <c r="BP387" i="10"/>
  <c r="BP386" i="10"/>
  <c r="BP385" i="10"/>
  <c r="BP384" i="10"/>
  <c r="BP383" i="10"/>
  <c r="BP382" i="10"/>
  <c r="BP381" i="10"/>
  <c r="BP380" i="10"/>
  <c r="BP379" i="10"/>
  <c r="BP378" i="10"/>
  <c r="BP377" i="10"/>
  <c r="BP376" i="10"/>
  <c r="BP375" i="10"/>
  <c r="BP374" i="10"/>
  <c r="BP373" i="10"/>
  <c r="BP372" i="10"/>
  <c r="BP371" i="10"/>
  <c r="BP370" i="10"/>
  <c r="BP369" i="10"/>
  <c r="BP368" i="10"/>
  <c r="BP367" i="10"/>
  <c r="BP366" i="10"/>
  <c r="BP365" i="10"/>
  <c r="BP364" i="10"/>
  <c r="BP363" i="10"/>
  <c r="BP362" i="10"/>
  <c r="BP361" i="10"/>
  <c r="BP360" i="10"/>
  <c r="BP359" i="10"/>
  <c r="BP358" i="10"/>
  <c r="BP357" i="10"/>
  <c r="BP356" i="10"/>
  <c r="BP355" i="10"/>
  <c r="BP354" i="10"/>
  <c r="BP353" i="10"/>
  <c r="BP352" i="10"/>
  <c r="BP351" i="10"/>
  <c r="BP350" i="10"/>
  <c r="BP349" i="10"/>
  <c r="BP348" i="10"/>
  <c r="BP347" i="10"/>
  <c r="BP346" i="10"/>
  <c r="BP345" i="10"/>
  <c r="BP344" i="10"/>
  <c r="BP343" i="10"/>
  <c r="BP342" i="10"/>
  <c r="BP341" i="10"/>
  <c r="BP340" i="10"/>
  <c r="BP339" i="10"/>
  <c r="BP338" i="10"/>
  <c r="BP337" i="10"/>
  <c r="BP336" i="10"/>
  <c r="BP335" i="10"/>
  <c r="BP334" i="10"/>
  <c r="BP333" i="10"/>
  <c r="BP332" i="10"/>
  <c r="BP327" i="10"/>
  <c r="BP331" i="10"/>
  <c r="BP330" i="10"/>
  <c r="BP329" i="10"/>
  <c r="BP328" i="10"/>
  <c r="BP492" i="10"/>
  <c r="BP326" i="10"/>
  <c r="BP181" i="10"/>
  <c r="BP180" i="10"/>
  <c r="BP179" i="10"/>
  <c r="BP178" i="10"/>
  <c r="BP325" i="10"/>
  <c r="BP324" i="10"/>
  <c r="BP323" i="10"/>
  <c r="BP322" i="10"/>
  <c r="BP321" i="10"/>
  <c r="BP255" i="10"/>
  <c r="BP254" i="10"/>
  <c r="BP253" i="10"/>
  <c r="BP491" i="10"/>
  <c r="BP320" i="10"/>
  <c r="BP109" i="10"/>
  <c r="BP108" i="10"/>
  <c r="BP107" i="10"/>
  <c r="BP106" i="10"/>
  <c r="BP105" i="10"/>
  <c r="BP104" i="10"/>
  <c r="BP103" i="10"/>
  <c r="BP102" i="10"/>
  <c r="BP101" i="10"/>
  <c r="BP100" i="10"/>
  <c r="BP99" i="10"/>
  <c r="BP98" i="10"/>
  <c r="BP97" i="10"/>
  <c r="BP490" i="10"/>
  <c r="BP95" i="10"/>
  <c r="BP489" i="10"/>
  <c r="BP488" i="10"/>
  <c r="BP486" i="10"/>
  <c r="BP487" i="10"/>
  <c r="BP319" i="10"/>
  <c r="BP485" i="10"/>
  <c r="BP484" i="10"/>
  <c r="BP94" i="10"/>
  <c r="BP93" i="10"/>
  <c r="BP92" i="10"/>
  <c r="BP91" i="10"/>
  <c r="BP90" i="10"/>
  <c r="BP318" i="10"/>
  <c r="BP317" i="10"/>
  <c r="BP89" i="10"/>
  <c r="BP316" i="10"/>
  <c r="BP483" i="10"/>
  <c r="BP482" i="10"/>
  <c r="BP32" i="10"/>
  <c r="BP163" i="10"/>
  <c r="BP162" i="10"/>
  <c r="BP88" i="10"/>
  <c r="BP87" i="10"/>
  <c r="BP86" i="10"/>
  <c r="BP481" i="10"/>
  <c r="BP315" i="10"/>
  <c r="BP314" i="10"/>
  <c r="BP96" i="10"/>
  <c r="BP85" i="10"/>
  <c r="BP217" i="10"/>
  <c r="BP216" i="10"/>
  <c r="BP215" i="10"/>
  <c r="BP214" i="10"/>
  <c r="BP213" i="10"/>
  <c r="BP212" i="10"/>
  <c r="BP211" i="10"/>
  <c r="BP84" i="10"/>
  <c r="BP313" i="10"/>
  <c r="BP83" i="10"/>
  <c r="BP82" i="10"/>
  <c r="BP81" i="10"/>
  <c r="BP80" i="10"/>
  <c r="BP79" i="10"/>
  <c r="BP78" i="10"/>
  <c r="BP480" i="10"/>
  <c r="BP312" i="10"/>
  <c r="BP479" i="10"/>
  <c r="BP478" i="10"/>
  <c r="BP477" i="10"/>
  <c r="BP476" i="10"/>
  <c r="BP311" i="10"/>
  <c r="BP77" i="10"/>
  <c r="BP76" i="10"/>
  <c r="BP75" i="10"/>
  <c r="BP74" i="10"/>
  <c r="BP310" i="10"/>
  <c r="BP309" i="10"/>
  <c r="BP210" i="10"/>
  <c r="BP209" i="10"/>
  <c r="BP208" i="10"/>
  <c r="BP207" i="10"/>
  <c r="BP177" i="10"/>
  <c r="BP176" i="10"/>
  <c r="BP175" i="10"/>
  <c r="BP73" i="10"/>
  <c r="BP72" i="10"/>
  <c r="BP37" i="10"/>
  <c r="BP475" i="10"/>
  <c r="BP474" i="10"/>
  <c r="BP473" i="10"/>
  <c r="BP472" i="10"/>
  <c r="BP471" i="10"/>
  <c r="BP71" i="10"/>
  <c r="BP308" i="10"/>
  <c r="BP307" i="10"/>
  <c r="BP306" i="10"/>
  <c r="BP305" i="10"/>
  <c r="BP205" i="10"/>
  <c r="BP204" i="10"/>
  <c r="BP174" i="10"/>
  <c r="BP173" i="10"/>
  <c r="BP470" i="10"/>
  <c r="BP469" i="10"/>
  <c r="BP69" i="10"/>
  <c r="BP304" i="10"/>
  <c r="BP161" i="10"/>
  <c r="BP160" i="10"/>
  <c r="BP68" i="10"/>
  <c r="BP67" i="10"/>
  <c r="BP66" i="10"/>
  <c r="BP303" i="10"/>
  <c r="BP302" i="10"/>
  <c r="BP287" i="10"/>
  <c r="BP203" i="10"/>
  <c r="BP202" i="10"/>
  <c r="BP201" i="10"/>
  <c r="BP200" i="10"/>
  <c r="BP199" i="10"/>
  <c r="BP286" i="10"/>
  <c r="BP468" i="10"/>
  <c r="BP467" i="10"/>
  <c r="BP466" i="10"/>
  <c r="BP465" i="10"/>
  <c r="BP464" i="10"/>
  <c r="BP463" i="10"/>
  <c r="BP285" i="10"/>
  <c r="BP284" i="10"/>
  <c r="BP172" i="10"/>
  <c r="BP171" i="10"/>
  <c r="BP170" i="10"/>
  <c r="BP169" i="10"/>
  <c r="BP168" i="10"/>
  <c r="BP167" i="10"/>
  <c r="BP462" i="10"/>
  <c r="BP461" i="10"/>
  <c r="BP64" i="10"/>
  <c r="BP63" i="10"/>
  <c r="BP460" i="10"/>
  <c r="BP459" i="10"/>
  <c r="BP458" i="10"/>
  <c r="BP283" i="10"/>
  <c r="BP457" i="10"/>
  <c r="BP62" i="10"/>
  <c r="BP61" i="10"/>
  <c r="BP132" i="10"/>
  <c r="BP60" i="10"/>
  <c r="BP456" i="10"/>
  <c r="BP282" i="10"/>
  <c r="BP59" i="10"/>
  <c r="BP198" i="10"/>
  <c r="BP281" i="10"/>
  <c r="BP455" i="10"/>
  <c r="BP280" i="10"/>
  <c r="BP279" i="10"/>
  <c r="BP58" i="10"/>
  <c r="BP454" i="10"/>
  <c r="BP453" i="10"/>
  <c r="BP452" i="10"/>
  <c r="BP278" i="10"/>
  <c r="BP277" i="10"/>
  <c r="BP451" i="10"/>
  <c r="BP450" i="10"/>
  <c r="BP449" i="10"/>
  <c r="BP57" i="10"/>
  <c r="BP56" i="10"/>
  <c r="BP55" i="10"/>
  <c r="BP54" i="10"/>
  <c r="BP53" i="10"/>
  <c r="BP52" i="10"/>
  <c r="BP51" i="10"/>
  <c r="BP50" i="10"/>
  <c r="BP49" i="10"/>
  <c r="BP48" i="10"/>
  <c r="BP47" i="10"/>
  <c r="BP448" i="10"/>
  <c r="BP46" i="10"/>
  <c r="BP45" i="10"/>
  <c r="BP166" i="10"/>
  <c r="BP44" i="10"/>
  <c r="BP276" i="10"/>
  <c r="BP447" i="10"/>
  <c r="BP446" i="10"/>
  <c r="BP275" i="10"/>
  <c r="BP43" i="10"/>
  <c r="BP42" i="10"/>
  <c r="BP41" i="10"/>
  <c r="BP40" i="10"/>
  <c r="BP445" i="10"/>
  <c r="BP274" i="10"/>
  <c r="BP273" i="10"/>
  <c r="BP442" i="10"/>
  <c r="BP441" i="10"/>
  <c r="BP440" i="10"/>
  <c r="BP439" i="10"/>
  <c r="BP438" i="10"/>
  <c r="BP437" i="10"/>
  <c r="BP436" i="10"/>
  <c r="BP435" i="10"/>
  <c r="BP272" i="10"/>
  <c r="BP434" i="10"/>
  <c r="BP271" i="10"/>
  <c r="BP433" i="10"/>
  <c r="BP270" i="10"/>
  <c r="BP39" i="10"/>
  <c r="BP269" i="10"/>
  <c r="BP38" i="10"/>
  <c r="BP268" i="10"/>
  <c r="BP267" i="10"/>
  <c r="BP432" i="10"/>
  <c r="BP266" i="10"/>
  <c r="BP265" i="10"/>
  <c r="BP431" i="10"/>
  <c r="BP430" i="10"/>
  <c r="BP429" i="10"/>
  <c r="BP428" i="10"/>
  <c r="BP427" i="10"/>
  <c r="BP264" i="10"/>
  <c r="BP426" i="10"/>
  <c r="BP424" i="10"/>
  <c r="BP36" i="10"/>
  <c r="BP35" i="10"/>
  <c r="BP34" i="10"/>
  <c r="BP33" i="10"/>
  <c r="BP423" i="10"/>
  <c r="BP263" i="10"/>
  <c r="BP262" i="10"/>
  <c r="BP261" i="10"/>
  <c r="BP260" i="10"/>
  <c r="BP259" i="10"/>
  <c r="BP258" i="10"/>
  <c r="BP257" i="10"/>
  <c r="BP256" i="10"/>
  <c r="BP422" i="10"/>
  <c r="BP421" i="10"/>
  <c r="BP252" i="10"/>
  <c r="BP251" i="10"/>
  <c r="BP420" i="10"/>
  <c r="BP197" i="10"/>
  <c r="BP196" i="10"/>
  <c r="BP419" i="10"/>
  <c r="BP418" i="10"/>
  <c r="BP417" i="10"/>
  <c r="BP416" i="10"/>
  <c r="BP415" i="10"/>
  <c r="BP414" i="10"/>
  <c r="BP444" i="10"/>
  <c r="BP443" i="10"/>
  <c r="BP195" i="10"/>
  <c r="BP194" i="10"/>
  <c r="BP193" i="10"/>
  <c r="BP413" i="10"/>
  <c r="BP412" i="10"/>
  <c r="BP411" i="10"/>
  <c r="BP31" i="10"/>
  <c r="BP250" i="10"/>
  <c r="BP249" i="10"/>
  <c r="BP248" i="10"/>
  <c r="BP247" i="10"/>
  <c r="BP410" i="10"/>
  <c r="BP409" i="10"/>
  <c r="BP30" i="10"/>
  <c r="BP65" i="10"/>
  <c r="BP29" i="10"/>
  <c r="BP28" i="10"/>
  <c r="BP27" i="10"/>
  <c r="BP26" i="10"/>
  <c r="BP25" i="10"/>
  <c r="BP24" i="10"/>
  <c r="BP408" i="10"/>
  <c r="BP165" i="10"/>
  <c r="BP407" i="10"/>
  <c r="BP301" i="10"/>
  <c r="BP300" i="10"/>
  <c r="BP299" i="10"/>
  <c r="BP298" i="10"/>
  <c r="BP297" i="10"/>
  <c r="BP296" i="10"/>
  <c r="BP295" i="10"/>
  <c r="BP294" i="10"/>
  <c r="BP293" i="10"/>
  <c r="BP292" i="10"/>
  <c r="BP291" i="10"/>
  <c r="BP290" i="10"/>
  <c r="BP289" i="10"/>
  <c r="BP288" i="10"/>
  <c r="BP190" i="10"/>
  <c r="BP189" i="10"/>
  <c r="BP23" i="10"/>
  <c r="BP246" i="10"/>
  <c r="BP22" i="10"/>
  <c r="BP245" i="10"/>
  <c r="BP21" i="10"/>
  <c r="BP20" i="10"/>
  <c r="BP19" i="10"/>
  <c r="BP18" i="10"/>
  <c r="BP17" i="10"/>
  <c r="BP16" i="10"/>
  <c r="BP15" i="10"/>
  <c r="BP244" i="10"/>
  <c r="BP243" i="10"/>
  <c r="BP406" i="10"/>
  <c r="BP405" i="10"/>
  <c r="BP188" i="10"/>
  <c r="BP14" i="10"/>
  <c r="BP404" i="10"/>
  <c r="BP242" i="10"/>
  <c r="BP241" i="10"/>
  <c r="BP240" i="10"/>
  <c r="BP239" i="10"/>
  <c r="BP238" i="10"/>
  <c r="BP237" i="10"/>
  <c r="BP13" i="10"/>
  <c r="BP191" i="10"/>
  <c r="BP12" i="10"/>
  <c r="BP236" i="10"/>
  <c r="BP403" i="10"/>
  <c r="BP11" i="10"/>
  <c r="BP218" i="10"/>
  <c r="BP187" i="10"/>
  <c r="BP186" i="10"/>
  <c r="BP185" i="10"/>
  <c r="BP184" i="10"/>
  <c r="BP183" i="10"/>
  <c r="BP182" i="10"/>
  <c r="BP235" i="10"/>
  <c r="BP206" i="10"/>
  <c r="BP10" i="10"/>
  <c r="BP402" i="10"/>
  <c r="BP234" i="10"/>
  <c r="BP400" i="10"/>
  <c r="BP233" i="10"/>
  <c r="BP232" i="10"/>
  <c r="BP399" i="10"/>
  <c r="BP231" i="10"/>
  <c r="BP230" i="10"/>
  <c r="BP229" i="10"/>
  <c r="BP228" i="10"/>
  <c r="BP9" i="10"/>
  <c r="BP227" i="10"/>
  <c r="BP226" i="10"/>
  <c r="BP225" i="10"/>
  <c r="BP224" i="10"/>
  <c r="BP223" i="10"/>
  <c r="BP222" i="10"/>
  <c r="BP221" i="10"/>
  <c r="BR7" i="10"/>
  <c r="BR425" i="10"/>
  <c r="BR580" i="10"/>
  <c r="BR581" i="10"/>
  <c r="BR401" i="10"/>
  <c r="BR192" i="10"/>
  <c r="BR569" i="10"/>
  <c r="BR434" i="10"/>
  <c r="BR218" i="10"/>
  <c r="BR221" i="10"/>
  <c r="BR258" i="10"/>
  <c r="BR405" i="10"/>
  <c r="BR235" i="10"/>
  <c r="BR65" i="10"/>
  <c r="BR233" i="10"/>
  <c r="BR49" i="10"/>
  <c r="BR19" i="10"/>
  <c r="BR13" i="10"/>
  <c r="BR228" i="10"/>
  <c r="BR227" i="10"/>
  <c r="BR399" i="10"/>
  <c r="BR10" i="10"/>
  <c r="BR186" i="10"/>
  <c r="BR239" i="10"/>
  <c r="BR188" i="10"/>
  <c r="BR190" i="10"/>
  <c r="BR31" i="10"/>
  <c r="BR423" i="10"/>
  <c r="BR440" i="10"/>
  <c r="BR57" i="10"/>
  <c r="BR404" i="10"/>
  <c r="BR295" i="10"/>
  <c r="BR444" i="10"/>
  <c r="BR427" i="10"/>
  <c r="BR41" i="10"/>
  <c r="BR167" i="10"/>
  <c r="BR151" i="10"/>
  <c r="BR225" i="10"/>
  <c r="BR231" i="10"/>
  <c r="BR184" i="10"/>
  <c r="BR12" i="10"/>
  <c r="BR223" i="10"/>
  <c r="BR229" i="10"/>
  <c r="BR234" i="10"/>
  <c r="BR182" i="10"/>
  <c r="BR403" i="10"/>
  <c r="BR242" i="10"/>
  <c r="BR243" i="10"/>
  <c r="BR165" i="10"/>
  <c r="BR197" i="10"/>
  <c r="BR267" i="10"/>
  <c r="BR44" i="10"/>
  <c r="BR470" i="10"/>
  <c r="BR17" i="10"/>
  <c r="BR23" i="10"/>
  <c r="BR293" i="10"/>
  <c r="BR301" i="10"/>
  <c r="BR28" i="10"/>
  <c r="BR249" i="10"/>
  <c r="BR195" i="10"/>
  <c r="BR419" i="10"/>
  <c r="BR256" i="10"/>
  <c r="BR426" i="10"/>
  <c r="BR266" i="10"/>
  <c r="BR433" i="10"/>
  <c r="BR438" i="10"/>
  <c r="BR445" i="10"/>
  <c r="BR447" i="10"/>
  <c r="BR48" i="10"/>
  <c r="BR55" i="10"/>
  <c r="BR453" i="10"/>
  <c r="BR463" i="10"/>
  <c r="BR308" i="10"/>
  <c r="BR353" i="10"/>
  <c r="BR533" i="10"/>
  <c r="BR224" i="10"/>
  <c r="BR9" i="10"/>
  <c r="BR230" i="10"/>
  <c r="BR232" i="10"/>
  <c r="BR400" i="10"/>
  <c r="BR402" i="10"/>
  <c r="BR206" i="10"/>
  <c r="BR183" i="10"/>
  <c r="BR185" i="10"/>
  <c r="BR187" i="10"/>
  <c r="BR11" i="10"/>
  <c r="BR236" i="10"/>
  <c r="BR191" i="10"/>
  <c r="BR237" i="10"/>
  <c r="BR238" i="10"/>
  <c r="BR240" i="10"/>
  <c r="BR241" i="10"/>
  <c r="BR14" i="10"/>
  <c r="BR406" i="10"/>
  <c r="BR244" i="10"/>
  <c r="BR15" i="10"/>
  <c r="BR22" i="10"/>
  <c r="BR291" i="10"/>
  <c r="BR299" i="10"/>
  <c r="BR26" i="10"/>
  <c r="BR247" i="10"/>
  <c r="BR193" i="10"/>
  <c r="BR417" i="10"/>
  <c r="BR421" i="10"/>
  <c r="BR262" i="10"/>
  <c r="BR36" i="10"/>
  <c r="BR431" i="10"/>
  <c r="BR39" i="10"/>
  <c r="BR436" i="10"/>
  <c r="BR273" i="10"/>
  <c r="BR448" i="10"/>
  <c r="BR53" i="10"/>
  <c r="BR59" i="10"/>
  <c r="BR199" i="10"/>
  <c r="BR37" i="10"/>
  <c r="BR385" i="10"/>
  <c r="BR586" i="10"/>
  <c r="BR578" i="10"/>
  <c r="BR570" i="10"/>
  <c r="BR562" i="10"/>
  <c r="BR579" i="10"/>
  <c r="BR571" i="10"/>
  <c r="BR563" i="10"/>
  <c r="BR558" i="10"/>
  <c r="BR556" i="10"/>
  <c r="BR554" i="10"/>
  <c r="BR552" i="10"/>
  <c r="BR550" i="10"/>
  <c r="BR548" i="10"/>
  <c r="BR546" i="10"/>
  <c r="BR544" i="10"/>
  <c r="BR542" i="10"/>
  <c r="BR540" i="10"/>
  <c r="BR538" i="10"/>
  <c r="BR536" i="10"/>
  <c r="BR534" i="10"/>
  <c r="BR532" i="10"/>
  <c r="BR530" i="10"/>
  <c r="BR528" i="10"/>
  <c r="BR526" i="10"/>
  <c r="BR524" i="10"/>
  <c r="BR522" i="10"/>
  <c r="BR520" i="10"/>
  <c r="BR158" i="10"/>
  <c r="BR156" i="10"/>
  <c r="BR398" i="10"/>
  <c r="BR155" i="10"/>
  <c r="BR504" i="10"/>
  <c r="BR153" i="10"/>
  <c r="BR152" i="10"/>
  <c r="BR503" i="10"/>
  <c r="BR150" i="10"/>
  <c r="BR149" i="10"/>
  <c r="BR501" i="10"/>
  <c r="BR147" i="10"/>
  <c r="BR145" i="10"/>
  <c r="BR143" i="10"/>
  <c r="BR141" i="10"/>
  <c r="BR139" i="10"/>
  <c r="BR137" i="10"/>
  <c r="BR135" i="10"/>
  <c r="BR396" i="10"/>
  <c r="BR131" i="10"/>
  <c r="BR129" i="10"/>
  <c r="BR127" i="10"/>
  <c r="BR498" i="10"/>
  <c r="BR126" i="10"/>
  <c r="BR124" i="10"/>
  <c r="BR122" i="10"/>
  <c r="BR120" i="10"/>
  <c r="BR118" i="10"/>
  <c r="BR116" i="10"/>
  <c r="BR114" i="10"/>
  <c r="BR112" i="10"/>
  <c r="BR110" i="10"/>
  <c r="BR496" i="10"/>
  <c r="BR394" i="10"/>
  <c r="BR495" i="10"/>
  <c r="BR493" i="10"/>
  <c r="BR392" i="10"/>
  <c r="BR390" i="10"/>
  <c r="BR388" i="10"/>
  <c r="BR386" i="10"/>
  <c r="BR384" i="10"/>
  <c r="BR382" i="10"/>
  <c r="BR380" i="10"/>
  <c r="BR378" i="10"/>
  <c r="BR376" i="10"/>
  <c r="BR374" i="10"/>
  <c r="BR372" i="10"/>
  <c r="BR370" i="10"/>
  <c r="BR368" i="10"/>
  <c r="BR366" i="10"/>
  <c r="BR364" i="10"/>
  <c r="BR362" i="10"/>
  <c r="BR360" i="10"/>
  <c r="BR358" i="10"/>
  <c r="BR356" i="10"/>
  <c r="BR354" i="10"/>
  <c r="BR352" i="10"/>
  <c r="BR584" i="10"/>
  <c r="BR576" i="10"/>
  <c r="BR568" i="10"/>
  <c r="BR560" i="10"/>
  <c r="BR573" i="10"/>
  <c r="BR565" i="10"/>
  <c r="BR582" i="10"/>
  <c r="BR566" i="10"/>
  <c r="BR575" i="10"/>
  <c r="BR559" i="10"/>
  <c r="BR551" i="10"/>
  <c r="BR543" i="10"/>
  <c r="BR535" i="10"/>
  <c r="BR527" i="10"/>
  <c r="BR159" i="10"/>
  <c r="BR505" i="10"/>
  <c r="BR502" i="10"/>
  <c r="BR146" i="10"/>
  <c r="BR138" i="10"/>
  <c r="BR500" i="10"/>
  <c r="BR219" i="10"/>
  <c r="BR119" i="10"/>
  <c r="BR111" i="10"/>
  <c r="BR494" i="10"/>
  <c r="BR387" i="10"/>
  <c r="BR379" i="10"/>
  <c r="BR371" i="10"/>
  <c r="BR363" i="10"/>
  <c r="BR355" i="10"/>
  <c r="BR350" i="10"/>
  <c r="BR348" i="10"/>
  <c r="BR346" i="10"/>
  <c r="BR344" i="10"/>
  <c r="BR342" i="10"/>
  <c r="BR340" i="10"/>
  <c r="BR338" i="10"/>
  <c r="BR336" i="10"/>
  <c r="BR334" i="10"/>
  <c r="BR332" i="10"/>
  <c r="BR331" i="10"/>
  <c r="BR329" i="10"/>
  <c r="BR492" i="10"/>
  <c r="BR181" i="10"/>
  <c r="BR179" i="10"/>
  <c r="BR325" i="10"/>
  <c r="BR324" i="10"/>
  <c r="BR322" i="10"/>
  <c r="BR255" i="10"/>
  <c r="BR253" i="10"/>
  <c r="BR320" i="10"/>
  <c r="BR108" i="10"/>
  <c r="BR106" i="10"/>
  <c r="BR104" i="10"/>
  <c r="BR102" i="10"/>
  <c r="BR100" i="10"/>
  <c r="BR98" i="10"/>
  <c r="BR490" i="10"/>
  <c r="BR489" i="10"/>
  <c r="BR486" i="10"/>
  <c r="BR319" i="10"/>
  <c r="BR484" i="10"/>
  <c r="BR94" i="10"/>
  <c r="BR92" i="10"/>
  <c r="BR90" i="10"/>
  <c r="BR317" i="10"/>
  <c r="BR483" i="10"/>
  <c r="BR482" i="10"/>
  <c r="BR162" i="10"/>
  <c r="BR87" i="10"/>
  <c r="BR481" i="10"/>
  <c r="BR314" i="10"/>
  <c r="BR85" i="10"/>
  <c r="BR216" i="10"/>
  <c r="BR214" i="10"/>
  <c r="BR212" i="10"/>
  <c r="BR84" i="10"/>
  <c r="BR83" i="10"/>
  <c r="BR81" i="10"/>
  <c r="BR79" i="10"/>
  <c r="BR480" i="10"/>
  <c r="BR479" i="10"/>
  <c r="BR477" i="10"/>
  <c r="BR311" i="10"/>
  <c r="BR76" i="10"/>
  <c r="BR74" i="10"/>
  <c r="BR309" i="10"/>
  <c r="BR209" i="10"/>
  <c r="BR207" i="10"/>
  <c r="BR176" i="10"/>
  <c r="BR175" i="10"/>
  <c r="BR72" i="10"/>
  <c r="BR475" i="10"/>
  <c r="BR473" i="10"/>
  <c r="BR471" i="10"/>
  <c r="BR71" i="10"/>
  <c r="BR307" i="10"/>
  <c r="BR305" i="10"/>
  <c r="BR204" i="10"/>
  <c r="BR173" i="10"/>
  <c r="BR469" i="10"/>
  <c r="BR304" i="10"/>
  <c r="BR160" i="10"/>
  <c r="BR67" i="10"/>
  <c r="BR303" i="10"/>
  <c r="BR287" i="10"/>
  <c r="BR202" i="10"/>
  <c r="BR200" i="10"/>
  <c r="BR286" i="10"/>
  <c r="BR468" i="10"/>
  <c r="BR466" i="10"/>
  <c r="BR464" i="10"/>
  <c r="BR285" i="10"/>
  <c r="BR172" i="10"/>
  <c r="BR170" i="10"/>
  <c r="BR168" i="10"/>
  <c r="BR462" i="10"/>
  <c r="BR64" i="10"/>
  <c r="BR460" i="10"/>
  <c r="BR458" i="10"/>
  <c r="BR457" i="10"/>
  <c r="BR61" i="10"/>
  <c r="BR60" i="10"/>
  <c r="BR282" i="10"/>
  <c r="BR198" i="10"/>
  <c r="BR455" i="10"/>
  <c r="BR279" i="10"/>
  <c r="BR454" i="10"/>
  <c r="BR452" i="10"/>
  <c r="BR277" i="10"/>
  <c r="BR450" i="10"/>
  <c r="BR564" i="10"/>
  <c r="BR577" i="10"/>
  <c r="BR561" i="10"/>
  <c r="BR553" i="10"/>
  <c r="BR545" i="10"/>
  <c r="BR537" i="10"/>
  <c r="BR529" i="10"/>
  <c r="BR521" i="10"/>
  <c r="BR220" i="10"/>
  <c r="BR164" i="10"/>
  <c r="BR140" i="10"/>
  <c r="BR133" i="10"/>
  <c r="BR499" i="10"/>
  <c r="BR121" i="10"/>
  <c r="BR113" i="10"/>
  <c r="BR393" i="10"/>
  <c r="BR389" i="10"/>
  <c r="BR381" i="10"/>
  <c r="BR373" i="10"/>
  <c r="BR365" i="10"/>
  <c r="BR357" i="10"/>
  <c r="BR574" i="10"/>
  <c r="BR583" i="10"/>
  <c r="BR567" i="10"/>
  <c r="BR555" i="10"/>
  <c r="BR547" i="10"/>
  <c r="BR539" i="10"/>
  <c r="BR531" i="10"/>
  <c r="BR523" i="10"/>
  <c r="BR506" i="10"/>
  <c r="BR397" i="10"/>
  <c r="BR148" i="10"/>
  <c r="BR142" i="10"/>
  <c r="BR134" i="10"/>
  <c r="BR128" i="10"/>
  <c r="BR123" i="10"/>
  <c r="BR115" i="10"/>
  <c r="BR395" i="10"/>
  <c r="BR391" i="10"/>
  <c r="BR383" i="10"/>
  <c r="BR375" i="10"/>
  <c r="BR367" i="10"/>
  <c r="BR359" i="10"/>
  <c r="BR351" i="10"/>
  <c r="BR349" i="10"/>
  <c r="BR347" i="10"/>
  <c r="BR345" i="10"/>
  <c r="BR343" i="10"/>
  <c r="BR341" i="10"/>
  <c r="BR339" i="10"/>
  <c r="BR337" i="10"/>
  <c r="BR335" i="10"/>
  <c r="BR333" i="10"/>
  <c r="BR327" i="10"/>
  <c r="BR330" i="10"/>
  <c r="BR328" i="10"/>
  <c r="BR326" i="10"/>
  <c r="BR180" i="10"/>
  <c r="BR178" i="10"/>
  <c r="BR323" i="10"/>
  <c r="BR321" i="10"/>
  <c r="BR254" i="10"/>
  <c r="BR491" i="10"/>
  <c r="BR109" i="10"/>
  <c r="BR107" i="10"/>
  <c r="BR105" i="10"/>
  <c r="BR103" i="10"/>
  <c r="BR101" i="10"/>
  <c r="BR99" i="10"/>
  <c r="BR97" i="10"/>
  <c r="BR95" i="10"/>
  <c r="BR488" i="10"/>
  <c r="BR487" i="10"/>
  <c r="BR485" i="10"/>
  <c r="BR93" i="10"/>
  <c r="BR91" i="10"/>
  <c r="BR318" i="10"/>
  <c r="BR89" i="10"/>
  <c r="BR316" i="10"/>
  <c r="BR32" i="10"/>
  <c r="BR163" i="10"/>
  <c r="BR88" i="10"/>
  <c r="BR86" i="10"/>
  <c r="BR315" i="10"/>
  <c r="BR96" i="10"/>
  <c r="BR217" i="10"/>
  <c r="BR215" i="10"/>
  <c r="BR213" i="10"/>
  <c r="BR211" i="10"/>
  <c r="BR313" i="10"/>
  <c r="BR82" i="10"/>
  <c r="BR80" i="10"/>
  <c r="BR78" i="10"/>
  <c r="BR312" i="10"/>
  <c r="BR478" i="10"/>
  <c r="BR476" i="10"/>
  <c r="BR77" i="10"/>
  <c r="BR75" i="10"/>
  <c r="BR310" i="10"/>
  <c r="BR210" i="10"/>
  <c r="BR208" i="10"/>
  <c r="BR177" i="10"/>
  <c r="BR572" i="10"/>
  <c r="BR557" i="10"/>
  <c r="BR525" i="10"/>
  <c r="BR144" i="10"/>
  <c r="BR117" i="10"/>
  <c r="BR377" i="10"/>
  <c r="BR73" i="10"/>
  <c r="BR174" i="10"/>
  <c r="BR68" i="10"/>
  <c r="BR201" i="10"/>
  <c r="BR465" i="10"/>
  <c r="BR169" i="10"/>
  <c r="BR459" i="10"/>
  <c r="BR456" i="10"/>
  <c r="BR58" i="10"/>
  <c r="BR449" i="10"/>
  <c r="BR549" i="10"/>
  <c r="BR157" i="10"/>
  <c r="BR136" i="10"/>
  <c r="BR497" i="10"/>
  <c r="BR369" i="10"/>
  <c r="BR472" i="10"/>
  <c r="BR205" i="10"/>
  <c r="BR161" i="10"/>
  <c r="BR203" i="10"/>
  <c r="BR467" i="10"/>
  <c r="BR171" i="10"/>
  <c r="BR63" i="10"/>
  <c r="BR132" i="10"/>
  <c r="BR280" i="10"/>
  <c r="BR451" i="10"/>
  <c r="BR56" i="10"/>
  <c r="BR54" i="10"/>
  <c r="BR52" i="10"/>
  <c r="BR50" i="10"/>
  <c r="BR47" i="10"/>
  <c r="BR46" i="10"/>
  <c r="BR166" i="10"/>
  <c r="BR276" i="10"/>
  <c r="BR446" i="10"/>
  <c r="BR275" i="10"/>
  <c r="BR42" i="10"/>
  <c r="BR40" i="10"/>
  <c r="BR274" i="10"/>
  <c r="BR442" i="10"/>
  <c r="BR439" i="10"/>
  <c r="BR437" i="10"/>
  <c r="BR435" i="10"/>
  <c r="BR271" i="10"/>
  <c r="BR270" i="10"/>
  <c r="BR269" i="10"/>
  <c r="BR268" i="10"/>
  <c r="BR432" i="10"/>
  <c r="BR265" i="10"/>
  <c r="BR430" i="10"/>
  <c r="BR428" i="10"/>
  <c r="BR264" i="10"/>
  <c r="BR424" i="10"/>
  <c r="BR35" i="10"/>
  <c r="BR33" i="10"/>
  <c r="BR263" i="10"/>
  <c r="BR261" i="10"/>
  <c r="BR259" i="10"/>
  <c r="BR257" i="10"/>
  <c r="BR422" i="10"/>
  <c r="BR252" i="10"/>
  <c r="BR420" i="10"/>
  <c r="BR196" i="10"/>
  <c r="BR418" i="10"/>
  <c r="BR416" i="10"/>
  <c r="BR414" i="10"/>
  <c r="BR443" i="10"/>
  <c r="BR194" i="10"/>
  <c r="BR413" i="10"/>
  <c r="BR411" i="10"/>
  <c r="BR250" i="10"/>
  <c r="BR248" i="10"/>
  <c r="BR410" i="10"/>
  <c r="BR30" i="10"/>
  <c r="BR29" i="10"/>
  <c r="BR27" i="10"/>
  <c r="BR25" i="10"/>
  <c r="BR408" i="10"/>
  <c r="BR407" i="10"/>
  <c r="BR300" i="10"/>
  <c r="BR298" i="10"/>
  <c r="BR296" i="10"/>
  <c r="BR294" i="10"/>
  <c r="BR292" i="10"/>
  <c r="BR290" i="10"/>
  <c r="BR288" i="10"/>
  <c r="BR189" i="10"/>
  <c r="BR246" i="10"/>
  <c r="BR245" i="10"/>
  <c r="BR20" i="10"/>
  <c r="BR18" i="10"/>
  <c r="BR16" i="10"/>
  <c r="BR585" i="10"/>
  <c r="BR541" i="10"/>
  <c r="BR154" i="10"/>
  <c r="BR130" i="10"/>
  <c r="BR70" i="10"/>
  <c r="BR361" i="10"/>
  <c r="BR474" i="10"/>
  <c r="BR306" i="10"/>
  <c r="BR69" i="10"/>
  <c r="BR302" i="10"/>
  <c r="BR284" i="10"/>
  <c r="BR461" i="10"/>
  <c r="BR62" i="10"/>
  <c r="BR281" i="10"/>
  <c r="BR278" i="10"/>
  <c r="BR222" i="10"/>
  <c r="BR226" i="10"/>
  <c r="BR21" i="10"/>
  <c r="BR289" i="10"/>
  <c r="BR297" i="10"/>
  <c r="BR24" i="10"/>
  <c r="BR409" i="10"/>
  <c r="BR412" i="10"/>
  <c r="BR415" i="10"/>
  <c r="BR251" i="10"/>
  <c r="BR260" i="10"/>
  <c r="BR34" i="10"/>
  <c r="BR429" i="10"/>
  <c r="BR38" i="10"/>
  <c r="BR272" i="10"/>
  <c r="BR441" i="10"/>
  <c r="BR43" i="10"/>
  <c r="BR45" i="10"/>
  <c r="BR51" i="10"/>
  <c r="BR283" i="10"/>
  <c r="BR66" i="10"/>
  <c r="BR125" i="10"/>
  <c r="BP587" i="10"/>
  <c r="BP588" i="10"/>
  <c r="AK602" i="8"/>
  <c r="AF601" i="8"/>
  <c r="BR587" i="10"/>
  <c r="BR588" i="10"/>
  <c r="BV265" i="8"/>
  <c r="BU265" i="8"/>
  <c r="AE605" i="8"/>
  <c r="AE623" i="8"/>
  <c r="AE624" i="8"/>
  <c r="AE622" i="8"/>
  <c r="AE653" i="8"/>
  <c r="AE618" i="8"/>
  <c r="AE634" i="8"/>
  <c r="AE654" i="8"/>
  <c r="AE633" i="8"/>
  <c r="AE632" i="8"/>
  <c r="AE616" i="8"/>
  <c r="AE615" i="8"/>
  <c r="AE586" i="8"/>
  <c r="AE666" i="8"/>
  <c r="AE631" i="8"/>
  <c r="AE630" i="8"/>
  <c r="AE614" i="8"/>
  <c r="AE613" i="8"/>
  <c r="AE652" i="8"/>
  <c r="AE612" i="8"/>
  <c r="AE611" i="8"/>
  <c r="AE610" i="8"/>
  <c r="AE608" i="8"/>
  <c r="AE607" i="8"/>
  <c r="AE627" i="8"/>
  <c r="AE606" i="8"/>
  <c r="AE651" i="8"/>
  <c r="AE626" i="8"/>
  <c r="AE625" i="8"/>
  <c r="AE604" i="8"/>
  <c r="AE603" i="8"/>
  <c r="AE620" i="8"/>
  <c r="AE655" i="8"/>
  <c r="AE599" i="8"/>
  <c r="AE600" i="8"/>
  <c r="AE619" i="8"/>
  <c r="AE598" i="8"/>
  <c r="AE588" i="8"/>
  <c r="AE609" i="8"/>
  <c r="AE587" i="8"/>
  <c r="AE585" i="8"/>
  <c r="P572" i="10"/>
  <c r="BW572" i="10"/>
  <c r="P553" i="10"/>
  <c r="BW553" i="10"/>
  <c r="N586" i="10"/>
  <c r="N585" i="10"/>
  <c r="Q585" i="10"/>
  <c r="BX585" i="10"/>
  <c r="N584" i="10"/>
  <c r="Q584" i="10"/>
  <c r="BX584" i="10"/>
  <c r="N583" i="10"/>
  <c r="Q583" i="10"/>
  <c r="N582" i="10"/>
  <c r="N579" i="10"/>
  <c r="Q579" i="10"/>
  <c r="N578" i="10"/>
  <c r="N577" i="10"/>
  <c r="Q577" i="10"/>
  <c r="BX577" i="10"/>
  <c r="N576" i="10"/>
  <c r="Q576" i="10"/>
  <c r="BX576" i="10"/>
  <c r="N575" i="10"/>
  <c r="Q575" i="10"/>
  <c r="N574" i="10"/>
  <c r="N573" i="10"/>
  <c r="Q573" i="10"/>
  <c r="BX573" i="10"/>
  <c r="N572" i="10"/>
  <c r="Q572" i="10"/>
  <c r="N571" i="10"/>
  <c r="Q571" i="10"/>
  <c r="BX571" i="10"/>
  <c r="N570" i="10"/>
  <c r="Q570" i="10"/>
  <c r="BX570" i="10"/>
  <c r="N569" i="10"/>
  <c r="Q569" i="10"/>
  <c r="BX569" i="10"/>
  <c r="N568" i="10"/>
  <c r="Q568" i="10"/>
  <c r="N567" i="10"/>
  <c r="Q567" i="10"/>
  <c r="BX567" i="10"/>
  <c r="N566" i="10"/>
  <c r="Q566" i="10"/>
  <c r="BX566" i="10"/>
  <c r="N565" i="10"/>
  <c r="Q565" i="10"/>
  <c r="BX565" i="10"/>
  <c r="N564" i="10"/>
  <c r="Q564" i="10"/>
  <c r="N563" i="10"/>
  <c r="Q563" i="10"/>
  <c r="BX563" i="10"/>
  <c r="N562" i="10"/>
  <c r="Q562" i="10"/>
  <c r="BX562" i="10"/>
  <c r="N561" i="10"/>
  <c r="Q561" i="10"/>
  <c r="BX561" i="10"/>
  <c r="N560" i="10"/>
  <c r="Q560" i="10"/>
  <c r="N559" i="10"/>
  <c r="Q559" i="10"/>
  <c r="BX559" i="10"/>
  <c r="N558" i="10"/>
  <c r="N557" i="10"/>
  <c r="Q557" i="10"/>
  <c r="BX557" i="10"/>
  <c r="N556" i="10"/>
  <c r="Q556" i="10"/>
  <c r="N555" i="10"/>
  <c r="Q555" i="10"/>
  <c r="BX555" i="10"/>
  <c r="N554" i="10"/>
  <c r="Q554" i="10"/>
  <c r="BX554" i="10"/>
  <c r="N553" i="10"/>
  <c r="Q553" i="10"/>
  <c r="BX553" i="10"/>
  <c r="N552" i="10"/>
  <c r="Q552" i="10"/>
  <c r="N551" i="10"/>
  <c r="Q551" i="10"/>
  <c r="BX551" i="10"/>
  <c r="N550" i="10"/>
  <c r="Q550" i="10"/>
  <c r="BX550" i="10"/>
  <c r="N549" i="10"/>
  <c r="Q549" i="10"/>
  <c r="BX549" i="10"/>
  <c r="N548" i="10"/>
  <c r="Q548" i="10"/>
  <c r="N547" i="10"/>
  <c r="Q547" i="10"/>
  <c r="BX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159" i="10"/>
  <c r="N158" i="10"/>
  <c r="N157" i="10"/>
  <c r="N156" i="10"/>
  <c r="N506" i="10"/>
  <c r="N398" i="10"/>
  <c r="N220" i="10"/>
  <c r="N155" i="10"/>
  <c r="N505" i="10"/>
  <c r="N504" i="10"/>
  <c r="N154" i="10"/>
  <c r="N153" i="10"/>
  <c r="N397" i="10"/>
  <c r="N152" i="10"/>
  <c r="N503" i="10"/>
  <c r="N502" i="10"/>
  <c r="N150" i="10"/>
  <c r="N151" i="10"/>
  <c r="N149" i="10"/>
  <c r="N148" i="10"/>
  <c r="N501" i="10"/>
  <c r="N164" i="10"/>
  <c r="N147" i="10"/>
  <c r="N146" i="10"/>
  <c r="N145" i="10"/>
  <c r="N144" i="10"/>
  <c r="N143" i="10"/>
  <c r="N142" i="10"/>
  <c r="N141" i="10"/>
  <c r="N140" i="10"/>
  <c r="N139" i="10"/>
  <c r="N138" i="10"/>
  <c r="N137" i="10"/>
  <c r="N136" i="10"/>
  <c r="N135" i="10"/>
  <c r="N134" i="10"/>
  <c r="N133" i="10"/>
  <c r="N396" i="10"/>
  <c r="N500" i="10"/>
  <c r="N131" i="10"/>
  <c r="N130" i="10"/>
  <c r="N129" i="10"/>
  <c r="N128" i="10"/>
  <c r="N127" i="10"/>
  <c r="N499" i="10"/>
  <c r="N498" i="10"/>
  <c r="N219" i="10"/>
  <c r="N126" i="10"/>
  <c r="N125" i="10"/>
  <c r="N124" i="10"/>
  <c r="N123" i="10"/>
  <c r="N122" i="10"/>
  <c r="N121" i="10"/>
  <c r="N120" i="10"/>
  <c r="N119" i="10"/>
  <c r="N118" i="10"/>
  <c r="N117" i="10"/>
  <c r="N116" i="10"/>
  <c r="N115" i="10"/>
  <c r="N114" i="10"/>
  <c r="N113" i="10"/>
  <c r="N112" i="10"/>
  <c r="N111" i="10"/>
  <c r="N110" i="10"/>
  <c r="N497" i="10"/>
  <c r="N496" i="10"/>
  <c r="N395" i="10"/>
  <c r="N394" i="10"/>
  <c r="N393" i="10"/>
  <c r="N495" i="10"/>
  <c r="N494" i="10"/>
  <c r="N493" i="10"/>
  <c r="N70"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27" i="10"/>
  <c r="N331" i="10"/>
  <c r="N330" i="10"/>
  <c r="N329" i="10"/>
  <c r="N328" i="10"/>
  <c r="N492" i="10"/>
  <c r="N326" i="10"/>
  <c r="N181" i="10"/>
  <c r="N180" i="10"/>
  <c r="N179" i="10"/>
  <c r="N178" i="10"/>
  <c r="N325" i="10"/>
  <c r="N324" i="10"/>
  <c r="N323" i="10"/>
  <c r="N322" i="10"/>
  <c r="N321" i="10"/>
  <c r="N255" i="10"/>
  <c r="N254" i="10"/>
  <c r="N253" i="10"/>
  <c r="N491" i="10"/>
  <c r="N320" i="10"/>
  <c r="N109" i="10"/>
  <c r="N108" i="10"/>
  <c r="N107" i="10"/>
  <c r="N106" i="10"/>
  <c r="N105" i="10"/>
  <c r="N104" i="10"/>
  <c r="N103" i="10"/>
  <c r="N102" i="10"/>
  <c r="N101" i="10"/>
  <c r="N100" i="10"/>
  <c r="N99" i="10"/>
  <c r="N98" i="10"/>
  <c r="N97" i="10"/>
  <c r="N490" i="10"/>
  <c r="N95" i="10"/>
  <c r="N489" i="10"/>
  <c r="N488" i="10"/>
  <c r="N486" i="10"/>
  <c r="N487" i="10"/>
  <c r="N319" i="10"/>
  <c r="N485" i="10"/>
  <c r="N484" i="10"/>
  <c r="N94" i="10"/>
  <c r="N93" i="10"/>
  <c r="N92" i="10"/>
  <c r="N91" i="10"/>
  <c r="N90" i="10"/>
  <c r="N318" i="10"/>
  <c r="N317" i="10"/>
  <c r="N89" i="10"/>
  <c r="N316" i="10"/>
  <c r="N483" i="10"/>
  <c r="N482" i="10"/>
  <c r="N32" i="10"/>
  <c r="N163" i="10"/>
  <c r="N162" i="10"/>
  <c r="N88" i="10"/>
  <c r="N87" i="10"/>
  <c r="N86" i="10"/>
  <c r="N481" i="10"/>
  <c r="N315" i="10"/>
  <c r="N314" i="10"/>
  <c r="N96" i="10"/>
  <c r="N85" i="10"/>
  <c r="N217" i="10"/>
  <c r="N216" i="10"/>
  <c r="N215" i="10"/>
  <c r="N214" i="10"/>
  <c r="N213" i="10"/>
  <c r="N212" i="10"/>
  <c r="N211" i="10"/>
  <c r="N84" i="10"/>
  <c r="N313" i="10"/>
  <c r="N83" i="10"/>
  <c r="N82" i="10"/>
  <c r="N81" i="10"/>
  <c r="N80" i="10"/>
  <c r="N79" i="10"/>
  <c r="N78" i="10"/>
  <c r="N480" i="10"/>
  <c r="N312" i="10"/>
  <c r="N479" i="10"/>
  <c r="N478" i="10"/>
  <c r="N477" i="10"/>
  <c r="N476" i="10"/>
  <c r="N311" i="10"/>
  <c r="N77" i="10"/>
  <c r="N76" i="10"/>
  <c r="N75" i="10"/>
  <c r="N74" i="10"/>
  <c r="N310" i="10"/>
  <c r="N309" i="10"/>
  <c r="N208" i="10"/>
  <c r="N207" i="10"/>
  <c r="N177" i="10"/>
  <c r="N176" i="10"/>
  <c r="N175" i="10"/>
  <c r="N73" i="10"/>
  <c r="N72" i="10"/>
  <c r="N37" i="10"/>
  <c r="N475" i="10"/>
  <c r="N474" i="10"/>
  <c r="N473" i="10"/>
  <c r="N472" i="10"/>
  <c r="N471" i="10"/>
  <c r="N71" i="10"/>
  <c r="N308" i="10"/>
  <c r="N307" i="10"/>
  <c r="N306" i="10"/>
  <c r="N305" i="10"/>
  <c r="N205" i="10"/>
  <c r="N204" i="10"/>
  <c r="N174" i="10"/>
  <c r="N173" i="10"/>
  <c r="N470" i="10"/>
  <c r="N469" i="10"/>
  <c r="N69" i="10"/>
  <c r="N304" i="10"/>
  <c r="N161" i="10"/>
  <c r="N160" i="10"/>
  <c r="N68" i="10"/>
  <c r="N67" i="10"/>
  <c r="N66" i="10"/>
  <c r="N303" i="10"/>
  <c r="N302" i="10"/>
  <c r="N287" i="10"/>
  <c r="N203" i="10"/>
  <c r="N202" i="10"/>
  <c r="N201" i="10"/>
  <c r="N200" i="10"/>
  <c r="N199" i="10"/>
  <c r="N286" i="10"/>
  <c r="N468" i="10"/>
  <c r="N467" i="10"/>
  <c r="N466" i="10"/>
  <c r="N465" i="10"/>
  <c r="N464" i="10"/>
  <c r="N463" i="10"/>
  <c r="N285" i="10"/>
  <c r="N284" i="10"/>
  <c r="N172" i="10"/>
  <c r="N171" i="10"/>
  <c r="N170" i="10"/>
  <c r="N169" i="10"/>
  <c r="N168" i="10"/>
  <c r="N167" i="10"/>
  <c r="N462" i="10"/>
  <c r="N461" i="10"/>
  <c r="N64" i="10"/>
  <c r="N63" i="10"/>
  <c r="N460" i="10"/>
  <c r="N459" i="10"/>
  <c r="N458" i="10"/>
  <c r="N283" i="10"/>
  <c r="N457" i="10"/>
  <c r="N62" i="10"/>
  <c r="N61" i="10"/>
  <c r="N132" i="10"/>
  <c r="N60" i="10"/>
  <c r="N456" i="10"/>
  <c r="N282" i="10"/>
  <c r="N59" i="10"/>
  <c r="N198" i="10"/>
  <c r="N281" i="10"/>
  <c r="N455" i="10"/>
  <c r="N280" i="10"/>
  <c r="N279" i="10"/>
  <c r="N58" i="10"/>
  <c r="N454" i="10"/>
  <c r="N453" i="10"/>
  <c r="N452" i="10"/>
  <c r="N278" i="10"/>
  <c r="N277" i="10"/>
  <c r="N451" i="10"/>
  <c r="N450" i="10"/>
  <c r="N449" i="10"/>
  <c r="N57" i="10"/>
  <c r="N56" i="10"/>
  <c r="N55" i="10"/>
  <c r="N54" i="10"/>
  <c r="N53" i="10"/>
  <c r="N52" i="10"/>
  <c r="N51" i="10"/>
  <c r="N50" i="10"/>
  <c r="N49" i="10"/>
  <c r="N48" i="10"/>
  <c r="N47" i="10"/>
  <c r="N448" i="10"/>
  <c r="N46" i="10"/>
  <c r="N45" i="10"/>
  <c r="N166" i="10"/>
  <c r="N44" i="10"/>
  <c r="N276" i="10"/>
  <c r="N447" i="10"/>
  <c r="N446" i="10"/>
  <c r="N275" i="10"/>
  <c r="N43" i="10"/>
  <c r="N42" i="10"/>
  <c r="N41" i="10"/>
  <c r="N40" i="10"/>
  <c r="N445" i="10"/>
  <c r="N274" i="10"/>
  <c r="N273" i="10"/>
  <c r="N442" i="10"/>
  <c r="N441" i="10"/>
  <c r="N440" i="10"/>
  <c r="N439" i="10"/>
  <c r="N438" i="10"/>
  <c r="N437" i="10"/>
  <c r="N436" i="10"/>
  <c r="N435" i="10"/>
  <c r="N272" i="10"/>
  <c r="N434" i="10"/>
  <c r="N271" i="10"/>
  <c r="N433" i="10"/>
  <c r="N270" i="10"/>
  <c r="N39" i="10"/>
  <c r="N269" i="10"/>
  <c r="N38" i="10"/>
  <c r="N268" i="10"/>
  <c r="N267" i="10"/>
  <c r="N432" i="10"/>
  <c r="N266" i="10"/>
  <c r="N265" i="10"/>
  <c r="N431" i="10"/>
  <c r="N430" i="10"/>
  <c r="N429" i="10"/>
  <c r="N428" i="10"/>
  <c r="N427" i="10"/>
  <c r="N264" i="10"/>
  <c r="N426" i="10"/>
  <c r="N424" i="10"/>
  <c r="N36" i="10"/>
  <c r="N35" i="10"/>
  <c r="N34" i="10"/>
  <c r="N33" i="10"/>
  <c r="N423" i="10"/>
  <c r="N263" i="10"/>
  <c r="N262" i="10"/>
  <c r="N261" i="10"/>
  <c r="N260" i="10"/>
  <c r="N259" i="10"/>
  <c r="N258" i="10"/>
  <c r="N257" i="10"/>
  <c r="N256" i="10"/>
  <c r="N422" i="10"/>
  <c r="N421" i="10"/>
  <c r="N252" i="10"/>
  <c r="N251" i="10"/>
  <c r="N420" i="10"/>
  <c r="N197" i="10"/>
  <c r="N196" i="10"/>
  <c r="N419" i="10"/>
  <c r="N416" i="10"/>
  <c r="N415" i="10"/>
  <c r="N414" i="10"/>
  <c r="N444" i="10"/>
  <c r="N443" i="10"/>
  <c r="N195" i="10"/>
  <c r="N194" i="10"/>
  <c r="N193" i="10"/>
  <c r="N413" i="10"/>
  <c r="N412" i="10"/>
  <c r="N411" i="10"/>
  <c r="N31" i="10"/>
  <c r="N250" i="10"/>
  <c r="N249" i="10"/>
  <c r="N248" i="10"/>
  <c r="N247" i="10"/>
  <c r="N410" i="10"/>
  <c r="N409" i="10"/>
  <c r="N30" i="10"/>
  <c r="N65" i="10"/>
  <c r="N29" i="10"/>
  <c r="N28" i="10"/>
  <c r="N27" i="10"/>
  <c r="N26" i="10"/>
  <c r="N25" i="10"/>
  <c r="N24" i="10"/>
  <c r="N408" i="10"/>
  <c r="N165" i="10"/>
  <c r="N407" i="10"/>
  <c r="N301" i="10"/>
  <c r="N300" i="10"/>
  <c r="N299" i="10"/>
  <c r="N298" i="10"/>
  <c r="N297" i="10"/>
  <c r="N296" i="10"/>
  <c r="N295" i="10"/>
  <c r="N294" i="10"/>
  <c r="N293" i="10"/>
  <c r="N292" i="10"/>
  <c r="N291" i="10"/>
  <c r="N290" i="10"/>
  <c r="N289" i="10"/>
  <c r="N288" i="10"/>
  <c r="N190" i="10"/>
  <c r="N189" i="10"/>
  <c r="N23" i="10"/>
  <c r="N246" i="10"/>
  <c r="N22" i="10"/>
  <c r="N245" i="10"/>
  <c r="N21" i="10"/>
  <c r="N20" i="10"/>
  <c r="N19" i="10"/>
  <c r="N18" i="10"/>
  <c r="N17" i="10"/>
  <c r="N16" i="10"/>
  <c r="N15" i="10"/>
  <c r="N244" i="10"/>
  <c r="N243" i="10"/>
  <c r="N406" i="10"/>
  <c r="N405" i="10"/>
  <c r="N14" i="10"/>
  <c r="N404" i="10"/>
  <c r="N242" i="10"/>
  <c r="N241" i="10"/>
  <c r="N240" i="10"/>
  <c r="N239" i="10"/>
  <c r="N238" i="10"/>
  <c r="N237" i="10"/>
  <c r="N13" i="10"/>
  <c r="N12" i="10"/>
  <c r="N236" i="10"/>
  <c r="N403" i="10"/>
  <c r="N11" i="10"/>
  <c r="N218" i="10"/>
  <c r="N187" i="10"/>
  <c r="N186" i="10"/>
  <c r="N185" i="10"/>
  <c r="N184" i="10"/>
  <c r="N183" i="10"/>
  <c r="N182" i="10"/>
  <c r="N235" i="10"/>
  <c r="N206" i="10"/>
  <c r="N10" i="10"/>
  <c r="N402" i="10"/>
  <c r="N234" i="10"/>
  <c r="N400" i="10"/>
  <c r="N233" i="10"/>
  <c r="N232" i="10"/>
  <c r="N399" i="10"/>
  <c r="N231" i="10"/>
  <c r="N230" i="10"/>
  <c r="N229" i="10"/>
  <c r="N228" i="10"/>
  <c r="N9" i="10"/>
  <c r="N227" i="10"/>
  <c r="N226" i="10"/>
  <c r="N225" i="10"/>
  <c r="N224" i="10"/>
  <c r="N223" i="10"/>
  <c r="N222" i="10"/>
  <c r="B586" i="10"/>
  <c r="B585" i="10"/>
  <c r="B584" i="10"/>
  <c r="B583" i="10"/>
  <c r="B582"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159" i="10"/>
  <c r="B158" i="10"/>
  <c r="B157" i="10"/>
  <c r="B156" i="10"/>
  <c r="B506" i="10"/>
  <c r="B398" i="10"/>
  <c r="B220" i="10"/>
  <c r="B155" i="10"/>
  <c r="B505" i="10"/>
  <c r="B504" i="10"/>
  <c r="B154" i="10"/>
  <c r="B153" i="10"/>
  <c r="B397" i="10"/>
  <c r="B152" i="10"/>
  <c r="B503" i="10"/>
  <c r="B502" i="10"/>
  <c r="B150" i="10"/>
  <c r="B151" i="10"/>
  <c r="B149" i="10"/>
  <c r="B148" i="10"/>
  <c r="B501" i="10"/>
  <c r="B164" i="10"/>
  <c r="B147" i="10"/>
  <c r="B146" i="10"/>
  <c r="B145" i="10"/>
  <c r="B144" i="10"/>
  <c r="B143" i="10"/>
  <c r="B142" i="10"/>
  <c r="B141" i="10"/>
  <c r="B140" i="10"/>
  <c r="B139" i="10"/>
  <c r="B138" i="10"/>
  <c r="B137" i="10"/>
  <c r="B136" i="10"/>
  <c r="B135" i="10"/>
  <c r="B134" i="10"/>
  <c r="B133" i="10"/>
  <c r="B396" i="10"/>
  <c r="B500" i="10"/>
  <c r="B131" i="10"/>
  <c r="B130" i="10"/>
  <c r="B129" i="10"/>
  <c r="B128" i="10"/>
  <c r="B127" i="10"/>
  <c r="B499" i="10"/>
  <c r="B498" i="10"/>
  <c r="B219" i="10"/>
  <c r="B126" i="10"/>
  <c r="B125" i="10"/>
  <c r="B124" i="10"/>
  <c r="B123" i="10"/>
  <c r="B122" i="10"/>
  <c r="B121" i="10"/>
  <c r="B120" i="10"/>
  <c r="B119" i="10"/>
  <c r="B118" i="10"/>
  <c r="B117" i="10"/>
  <c r="B116" i="10"/>
  <c r="B115" i="10"/>
  <c r="B114" i="10"/>
  <c r="B113" i="10"/>
  <c r="B112" i="10"/>
  <c r="B111" i="10"/>
  <c r="B110" i="10"/>
  <c r="B497" i="10"/>
  <c r="B496" i="10"/>
  <c r="B395" i="10"/>
  <c r="B394" i="10"/>
  <c r="B393" i="10"/>
  <c r="B495" i="10"/>
  <c r="B494" i="10"/>
  <c r="B493" i="10"/>
  <c r="B70"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1" i="10"/>
  <c r="B350" i="10"/>
  <c r="B349" i="10"/>
  <c r="B348" i="10"/>
  <c r="B347" i="10"/>
  <c r="B346" i="10"/>
  <c r="B345" i="10"/>
  <c r="B344" i="10"/>
  <c r="B343" i="10"/>
  <c r="B342" i="10"/>
  <c r="B341" i="10"/>
  <c r="B340" i="10"/>
  <c r="B339" i="10"/>
  <c r="B338" i="10"/>
  <c r="B337" i="10"/>
  <c r="B336" i="10"/>
  <c r="B335" i="10"/>
  <c r="B334" i="10"/>
  <c r="B333" i="10"/>
  <c r="B332" i="10"/>
  <c r="B327" i="10"/>
  <c r="B331" i="10"/>
  <c r="B330" i="10"/>
  <c r="B329" i="10"/>
  <c r="B328" i="10"/>
  <c r="B492" i="10"/>
  <c r="B326" i="10"/>
  <c r="B181" i="10"/>
  <c r="B180" i="10"/>
  <c r="B179" i="10"/>
  <c r="B178" i="10"/>
  <c r="B325" i="10"/>
  <c r="B324" i="10"/>
  <c r="B323" i="10"/>
  <c r="B322" i="10"/>
  <c r="B321" i="10"/>
  <c r="B255" i="10"/>
  <c r="B254" i="10"/>
  <c r="B253" i="10"/>
  <c r="B491" i="10"/>
  <c r="B320" i="10"/>
  <c r="B109" i="10"/>
  <c r="B108" i="10"/>
  <c r="B107" i="10"/>
  <c r="B106" i="10"/>
  <c r="B105" i="10"/>
  <c r="B104" i="10"/>
  <c r="B103" i="10"/>
  <c r="B102" i="10"/>
  <c r="B101" i="10"/>
  <c r="B100" i="10"/>
  <c r="B99" i="10"/>
  <c r="B98" i="10"/>
  <c r="B97" i="10"/>
  <c r="B490" i="10"/>
  <c r="B95" i="10"/>
  <c r="B489" i="10"/>
  <c r="B488" i="10"/>
  <c r="B486" i="10"/>
  <c r="B487" i="10"/>
  <c r="B319" i="10"/>
  <c r="B485" i="10"/>
  <c r="B484" i="10"/>
  <c r="B94" i="10"/>
  <c r="B93" i="10"/>
  <c r="B92" i="10"/>
  <c r="B91" i="10"/>
  <c r="B90" i="10"/>
  <c r="B318" i="10"/>
  <c r="B317" i="10"/>
  <c r="B89" i="10"/>
  <c r="B316" i="10"/>
  <c r="B483" i="10"/>
  <c r="B482" i="10"/>
  <c r="B32" i="10"/>
  <c r="B163" i="10"/>
  <c r="B162" i="10"/>
  <c r="B88" i="10"/>
  <c r="B87" i="10"/>
  <c r="B86" i="10"/>
  <c r="B481" i="10"/>
  <c r="B315" i="10"/>
  <c r="B314" i="10"/>
  <c r="B96" i="10"/>
  <c r="B85" i="10"/>
  <c r="B217" i="10"/>
  <c r="B216" i="10"/>
  <c r="B215" i="10"/>
  <c r="B214" i="10"/>
  <c r="B213" i="10"/>
  <c r="B212" i="10"/>
  <c r="B211" i="10"/>
  <c r="B84" i="10"/>
  <c r="B313" i="10"/>
  <c r="B83" i="10"/>
  <c r="B82" i="10"/>
  <c r="B81" i="10"/>
  <c r="B80" i="10"/>
  <c r="B79" i="10"/>
  <c r="B78" i="10"/>
  <c r="B480" i="10"/>
  <c r="B312" i="10"/>
  <c r="B479" i="10"/>
  <c r="B478" i="10"/>
  <c r="B477" i="10"/>
  <c r="B476" i="10"/>
  <c r="B311" i="10"/>
  <c r="B77" i="10"/>
  <c r="B76" i="10"/>
  <c r="B75" i="10"/>
  <c r="B74" i="10"/>
  <c r="B310" i="10"/>
  <c r="B309" i="10"/>
  <c r="B210" i="10"/>
  <c r="B209" i="10"/>
  <c r="B208" i="10"/>
  <c r="B207" i="10"/>
  <c r="B177" i="10"/>
  <c r="B176" i="10"/>
  <c r="B175" i="10"/>
  <c r="B73" i="10"/>
  <c r="B72" i="10"/>
  <c r="B37" i="10"/>
  <c r="B475" i="10"/>
  <c r="B474" i="10"/>
  <c r="B473" i="10"/>
  <c r="B472" i="10"/>
  <c r="B471" i="10"/>
  <c r="B71" i="10"/>
  <c r="B308" i="10"/>
  <c r="B307" i="10"/>
  <c r="B306" i="10"/>
  <c r="B305" i="10"/>
  <c r="B205" i="10"/>
  <c r="B204" i="10"/>
  <c r="B174" i="10"/>
  <c r="B173" i="10"/>
  <c r="B470" i="10"/>
  <c r="B469" i="10"/>
  <c r="B69" i="10"/>
  <c r="B304" i="10"/>
  <c r="B161" i="10"/>
  <c r="B160" i="10"/>
  <c r="B68" i="10"/>
  <c r="B67" i="10"/>
  <c r="B66" i="10"/>
  <c r="B303" i="10"/>
  <c r="B302" i="10"/>
  <c r="B287" i="10"/>
  <c r="B203" i="10"/>
  <c r="B202" i="10"/>
  <c r="B201" i="10"/>
  <c r="B200" i="10"/>
  <c r="B199" i="10"/>
  <c r="B286" i="10"/>
  <c r="B468" i="10"/>
  <c r="B467" i="10"/>
  <c r="B466" i="10"/>
  <c r="B465" i="10"/>
  <c r="B464" i="10"/>
  <c r="B463" i="10"/>
  <c r="B285" i="10"/>
  <c r="B284" i="10"/>
  <c r="B172" i="10"/>
  <c r="B171" i="10"/>
  <c r="B170" i="10"/>
  <c r="B169" i="10"/>
  <c r="B168" i="10"/>
  <c r="B167" i="10"/>
  <c r="B462" i="10"/>
  <c r="B461" i="10"/>
  <c r="B64" i="10"/>
  <c r="B63" i="10"/>
  <c r="B460" i="10"/>
  <c r="B459" i="10"/>
  <c r="B458" i="10"/>
  <c r="B283" i="10"/>
  <c r="B457" i="10"/>
  <c r="B62" i="10"/>
  <c r="B61" i="10"/>
  <c r="B132" i="10"/>
  <c r="B60" i="10"/>
  <c r="B456" i="10"/>
  <c r="B282" i="10"/>
  <c r="B59" i="10"/>
  <c r="B198" i="10"/>
  <c r="B281" i="10"/>
  <c r="B455" i="10"/>
  <c r="B280" i="10"/>
  <c r="B279" i="10"/>
  <c r="B58" i="10"/>
  <c r="B454" i="10"/>
  <c r="B453" i="10"/>
  <c r="B452" i="10"/>
  <c r="B278" i="10"/>
  <c r="B277" i="10"/>
  <c r="B451" i="10"/>
  <c r="B450" i="10"/>
  <c r="B449" i="10"/>
  <c r="B57" i="10"/>
  <c r="B56" i="10"/>
  <c r="B55" i="10"/>
  <c r="B54" i="10"/>
  <c r="B53" i="10"/>
  <c r="B52" i="10"/>
  <c r="B51" i="10"/>
  <c r="B50" i="10"/>
  <c r="B49" i="10"/>
  <c r="B48" i="10"/>
  <c r="B47" i="10"/>
  <c r="B448" i="10"/>
  <c r="B46" i="10"/>
  <c r="B45" i="10"/>
  <c r="B166" i="10"/>
  <c r="B44" i="10"/>
  <c r="B276" i="10"/>
  <c r="B447" i="10"/>
  <c r="B446" i="10"/>
  <c r="B275" i="10"/>
  <c r="B43" i="10"/>
  <c r="B42" i="10"/>
  <c r="B41" i="10"/>
  <c r="B40" i="10"/>
  <c r="B445" i="10"/>
  <c r="B274" i="10"/>
  <c r="B273" i="10"/>
  <c r="B442" i="10"/>
  <c r="B441" i="10"/>
  <c r="B440" i="10"/>
  <c r="B439" i="10"/>
  <c r="B438" i="10"/>
  <c r="B437" i="10"/>
  <c r="B436" i="10"/>
  <c r="B435" i="10"/>
  <c r="B272" i="10"/>
  <c r="B434" i="10"/>
  <c r="B271" i="10"/>
  <c r="B433" i="10"/>
  <c r="B270" i="10"/>
  <c r="B39" i="10"/>
  <c r="B269" i="10"/>
  <c r="B38" i="10"/>
  <c r="B268" i="10"/>
  <c r="B267" i="10"/>
  <c r="B432" i="10"/>
  <c r="B266" i="10"/>
  <c r="B265" i="10"/>
  <c r="B431" i="10"/>
  <c r="B430" i="10"/>
  <c r="B429" i="10"/>
  <c r="B428" i="10"/>
  <c r="B427" i="10"/>
  <c r="B264" i="10"/>
  <c r="B426" i="10"/>
  <c r="B424" i="10"/>
  <c r="B36" i="10"/>
  <c r="B35" i="10"/>
  <c r="B34" i="10"/>
  <c r="B33" i="10"/>
  <c r="B423" i="10"/>
  <c r="B263" i="10"/>
  <c r="B262" i="10"/>
  <c r="B261" i="10"/>
  <c r="B260" i="10"/>
  <c r="B259" i="10"/>
  <c r="B258" i="10"/>
  <c r="B257" i="10"/>
  <c r="B256" i="10"/>
  <c r="B422" i="10"/>
  <c r="B421" i="10"/>
  <c r="B252" i="10"/>
  <c r="B251" i="10"/>
  <c r="B420" i="10"/>
  <c r="B197" i="10"/>
  <c r="B196" i="10"/>
  <c r="B419" i="10"/>
  <c r="B418" i="10"/>
  <c r="B417" i="10"/>
  <c r="B416" i="10"/>
  <c r="B415" i="10"/>
  <c r="B414" i="10"/>
  <c r="B444" i="10"/>
  <c r="B443" i="10"/>
  <c r="B195" i="10"/>
  <c r="B194" i="10"/>
  <c r="B193" i="10"/>
  <c r="B413" i="10"/>
  <c r="B412" i="10"/>
  <c r="B411" i="10"/>
  <c r="B31" i="10"/>
  <c r="B250" i="10"/>
  <c r="B249" i="10"/>
  <c r="B248" i="10"/>
  <c r="B247" i="10"/>
  <c r="B410" i="10"/>
  <c r="B409" i="10"/>
  <c r="B30" i="10"/>
  <c r="B65" i="10"/>
  <c r="B29" i="10"/>
  <c r="B28" i="10"/>
  <c r="B27" i="10"/>
  <c r="B26" i="10"/>
  <c r="B24" i="10"/>
  <c r="B408" i="10"/>
  <c r="B165" i="10"/>
  <c r="B407" i="10"/>
  <c r="B301" i="10"/>
  <c r="B300" i="10"/>
  <c r="B299" i="10"/>
  <c r="B298" i="10"/>
  <c r="B297" i="10"/>
  <c r="B296" i="10"/>
  <c r="B295" i="10"/>
  <c r="B294" i="10"/>
  <c r="B293" i="10"/>
  <c r="B292" i="10"/>
  <c r="B291" i="10"/>
  <c r="B290" i="10"/>
  <c r="B289" i="10"/>
  <c r="B288" i="10"/>
  <c r="B190" i="10"/>
  <c r="B189" i="10"/>
  <c r="B23" i="10"/>
  <c r="B246" i="10"/>
  <c r="B22" i="10"/>
  <c r="B245" i="10"/>
  <c r="B21" i="10"/>
  <c r="B20" i="10"/>
  <c r="B19" i="10"/>
  <c r="B18" i="10"/>
  <c r="B17" i="10"/>
  <c r="B16" i="10"/>
  <c r="B15" i="10"/>
  <c r="B244" i="10"/>
  <c r="B243" i="10"/>
  <c r="B406" i="10"/>
  <c r="B405" i="10"/>
  <c r="B188" i="10"/>
  <c r="B14" i="10"/>
  <c r="B404" i="10"/>
  <c r="B242" i="10"/>
  <c r="B241" i="10"/>
  <c r="B240" i="10"/>
  <c r="B239" i="10"/>
  <c r="B238" i="10"/>
  <c r="B237" i="10"/>
  <c r="B13" i="10"/>
  <c r="B191" i="10"/>
  <c r="B12" i="10"/>
  <c r="B236" i="10"/>
  <c r="B403" i="10"/>
  <c r="B11" i="10"/>
  <c r="B218" i="10"/>
  <c r="B187" i="10"/>
  <c r="B186" i="10"/>
  <c r="B185" i="10"/>
  <c r="B184" i="10"/>
  <c r="B183" i="10"/>
  <c r="B182" i="10"/>
  <c r="B235" i="10"/>
  <c r="B206" i="10"/>
  <c r="B10" i="10"/>
  <c r="B402" i="10"/>
  <c r="B234" i="10"/>
  <c r="B400" i="10"/>
  <c r="B233" i="10"/>
  <c r="B232" i="10"/>
  <c r="B399" i="10"/>
  <c r="B231" i="10"/>
  <c r="B230" i="10"/>
  <c r="B229" i="10"/>
  <c r="B228" i="10"/>
  <c r="B9" i="10"/>
  <c r="B227" i="10"/>
  <c r="B226" i="10"/>
  <c r="B225" i="10"/>
  <c r="B224" i="10"/>
  <c r="B223" i="10"/>
  <c r="B222" i="10"/>
  <c r="P586" i="10"/>
  <c r="O586" i="10"/>
  <c r="Q586" i="10"/>
  <c r="BX586" i="10"/>
  <c r="P585" i="10"/>
  <c r="BW585" i="10"/>
  <c r="O585" i="10"/>
  <c r="AR585" i="10"/>
  <c r="P584" i="10"/>
  <c r="BW584" i="10"/>
  <c r="O584" i="10"/>
  <c r="AR584" i="10"/>
  <c r="P583" i="10"/>
  <c r="O583" i="10"/>
  <c r="AR583" i="10"/>
  <c r="P582" i="10"/>
  <c r="BW582" i="10"/>
  <c r="O582" i="10"/>
  <c r="Q582" i="10"/>
  <c r="BX582" i="10"/>
  <c r="P579" i="10"/>
  <c r="O579" i="10"/>
  <c r="P578" i="10"/>
  <c r="BW578" i="10"/>
  <c r="O578" i="10"/>
  <c r="AR578" i="10"/>
  <c r="Q578" i="10"/>
  <c r="BX578" i="10"/>
  <c r="P577" i="10"/>
  <c r="BW577" i="10"/>
  <c r="O577" i="10"/>
  <c r="AR577" i="10"/>
  <c r="P576" i="10"/>
  <c r="BW576" i="10"/>
  <c r="O576" i="10"/>
  <c r="AR576" i="10"/>
  <c r="P575" i="10"/>
  <c r="O575" i="10"/>
  <c r="AR575" i="10"/>
  <c r="P574" i="10"/>
  <c r="BW574" i="10"/>
  <c r="O574" i="10"/>
  <c r="AR574" i="10"/>
  <c r="Q574" i="10"/>
  <c r="BX574" i="10"/>
  <c r="P573" i="10"/>
  <c r="BW573" i="10"/>
  <c r="O573" i="10"/>
  <c r="AR573" i="10"/>
  <c r="BC572" i="10"/>
  <c r="O572" i="10"/>
  <c r="AR572" i="10"/>
  <c r="P571" i="10"/>
  <c r="O571" i="10"/>
  <c r="AR571" i="10"/>
  <c r="P570" i="10"/>
  <c r="BW570" i="10"/>
  <c r="O570" i="10"/>
  <c r="AR570" i="10"/>
  <c r="P569" i="10"/>
  <c r="O569" i="10"/>
  <c r="AR569" i="10"/>
  <c r="P568" i="10"/>
  <c r="O568" i="10"/>
  <c r="AR568" i="10"/>
  <c r="P567" i="10"/>
  <c r="O567" i="10"/>
  <c r="AR567" i="10"/>
  <c r="P566" i="10"/>
  <c r="BW566" i="10"/>
  <c r="O566" i="10"/>
  <c r="AR566" i="10"/>
  <c r="P565" i="10"/>
  <c r="O565" i="10"/>
  <c r="AR565" i="10"/>
  <c r="P564" i="10"/>
  <c r="BW564" i="10"/>
  <c r="O564" i="10"/>
  <c r="AR564" i="10"/>
  <c r="P563" i="10"/>
  <c r="O563" i="10"/>
  <c r="AR563" i="10"/>
  <c r="P562" i="10"/>
  <c r="O562" i="10"/>
  <c r="AR562" i="10"/>
  <c r="P561" i="10"/>
  <c r="BW561" i="10"/>
  <c r="O561" i="10"/>
  <c r="AR561" i="10"/>
  <c r="P560" i="10"/>
  <c r="O560" i="10"/>
  <c r="AR560" i="10"/>
  <c r="P559" i="10"/>
  <c r="O559" i="10"/>
  <c r="AR559" i="10"/>
  <c r="P558" i="10"/>
  <c r="O558" i="10"/>
  <c r="AR558" i="10"/>
  <c r="Q558" i="10"/>
  <c r="BX558" i="10"/>
  <c r="P557" i="10"/>
  <c r="O557" i="10"/>
  <c r="AR557" i="10"/>
  <c r="P556" i="10"/>
  <c r="O556" i="10"/>
  <c r="AR556" i="10"/>
  <c r="P555" i="10"/>
  <c r="O555" i="10"/>
  <c r="AR555" i="10"/>
  <c r="P554" i="10"/>
  <c r="O554" i="10"/>
  <c r="AR554" i="10"/>
  <c r="BC553" i="10"/>
  <c r="O553" i="10"/>
  <c r="AR553" i="10"/>
  <c r="P552" i="10"/>
  <c r="O552" i="10"/>
  <c r="AR552" i="10"/>
  <c r="P551" i="10"/>
  <c r="O551" i="10"/>
  <c r="AR551" i="10"/>
  <c r="P550" i="10"/>
  <c r="O550" i="10"/>
  <c r="AR550" i="10"/>
  <c r="P549" i="10"/>
  <c r="O549" i="10"/>
  <c r="AR549" i="10"/>
  <c r="P548" i="10"/>
  <c r="O548" i="10"/>
  <c r="AR548" i="10"/>
  <c r="P547" i="10"/>
  <c r="O547" i="10"/>
  <c r="AR547" i="10"/>
  <c r="AY586" i="10"/>
  <c r="AX586" i="10"/>
  <c r="AM586" i="10"/>
  <c r="AN586" i="10"/>
  <c r="AQ586" i="10"/>
  <c r="AY585" i="10"/>
  <c r="AX585" i="10"/>
  <c r="AM585" i="10"/>
  <c r="AN585" i="10"/>
  <c r="AQ585" i="10"/>
  <c r="AY584" i="10"/>
  <c r="AX584" i="10"/>
  <c r="AM584" i="10"/>
  <c r="AN584" i="10"/>
  <c r="AQ584" i="10"/>
  <c r="AY583" i="10"/>
  <c r="AX583" i="10"/>
  <c r="AM583" i="10"/>
  <c r="AN583" i="10"/>
  <c r="AQ583" i="10"/>
  <c r="AY582" i="10"/>
  <c r="AX582" i="10"/>
  <c r="AM582" i="10"/>
  <c r="AN582" i="10"/>
  <c r="AQ582" i="10"/>
  <c r="AY579" i="10"/>
  <c r="AX579" i="10"/>
  <c r="AM579" i="10"/>
  <c r="AN579" i="10"/>
  <c r="AQ579" i="10"/>
  <c r="AY578" i="10"/>
  <c r="AX578" i="10"/>
  <c r="AM578" i="10"/>
  <c r="AN578" i="10"/>
  <c r="AQ578" i="10"/>
  <c r="AY577" i="10"/>
  <c r="AX577" i="10"/>
  <c r="AM577" i="10"/>
  <c r="AN577" i="10"/>
  <c r="AQ577" i="10"/>
  <c r="AY576" i="10"/>
  <c r="AX576" i="10"/>
  <c r="AM576" i="10"/>
  <c r="AN576" i="10"/>
  <c r="AQ576" i="10"/>
  <c r="AY575" i="10"/>
  <c r="AX575" i="10"/>
  <c r="AM575" i="10"/>
  <c r="AN575" i="10"/>
  <c r="AQ575" i="10"/>
  <c r="AY574" i="10"/>
  <c r="AX574" i="10"/>
  <c r="AM574" i="10"/>
  <c r="AN574" i="10"/>
  <c r="AQ574" i="10"/>
  <c r="AY573" i="10"/>
  <c r="AX573" i="10"/>
  <c r="AM573" i="10"/>
  <c r="AN573" i="10"/>
  <c r="AQ573" i="10"/>
  <c r="AY572" i="10"/>
  <c r="AX572" i="10"/>
  <c r="AM572" i="10"/>
  <c r="AN572" i="10"/>
  <c r="AQ572" i="10"/>
  <c r="AY571" i="10"/>
  <c r="AX571" i="10"/>
  <c r="AM571" i="10"/>
  <c r="AN571" i="10"/>
  <c r="AQ571" i="10"/>
  <c r="AY570" i="10"/>
  <c r="AX570" i="10"/>
  <c r="AM570" i="10"/>
  <c r="AN570" i="10"/>
  <c r="AQ570" i="10"/>
  <c r="AY569" i="10"/>
  <c r="AX569" i="10"/>
  <c r="AM569" i="10"/>
  <c r="AN569" i="10"/>
  <c r="AQ569" i="10"/>
  <c r="AY568" i="10"/>
  <c r="AX568" i="10"/>
  <c r="AM568" i="10"/>
  <c r="AN568" i="10"/>
  <c r="AQ568" i="10"/>
  <c r="AY567" i="10"/>
  <c r="AX567" i="10"/>
  <c r="AM567" i="10"/>
  <c r="AN567" i="10"/>
  <c r="AQ567" i="10"/>
  <c r="AY566" i="10"/>
  <c r="AX566" i="10"/>
  <c r="AM566" i="10"/>
  <c r="AN566" i="10"/>
  <c r="AQ566" i="10"/>
  <c r="AY565" i="10"/>
  <c r="AX565" i="10"/>
  <c r="AM565" i="10"/>
  <c r="AN565" i="10"/>
  <c r="AQ565" i="10"/>
  <c r="AY564" i="10"/>
  <c r="AX564" i="10"/>
  <c r="AM564" i="10"/>
  <c r="AN564" i="10"/>
  <c r="AQ564" i="10"/>
  <c r="AY563" i="10"/>
  <c r="AX563" i="10"/>
  <c r="AM563" i="10"/>
  <c r="AN563" i="10"/>
  <c r="AQ563" i="10"/>
  <c r="AY562" i="10"/>
  <c r="AX562" i="10"/>
  <c r="AM562" i="10"/>
  <c r="AN562" i="10"/>
  <c r="AQ562" i="10"/>
  <c r="AY561" i="10"/>
  <c r="AX561" i="10"/>
  <c r="AM561" i="10"/>
  <c r="AN561" i="10"/>
  <c r="AQ561" i="10"/>
  <c r="AY560" i="10"/>
  <c r="AX560" i="10"/>
  <c r="AM560" i="10"/>
  <c r="AN560" i="10"/>
  <c r="AQ560" i="10"/>
  <c r="AY559" i="10"/>
  <c r="AX559" i="10"/>
  <c r="AM559" i="10"/>
  <c r="AN559" i="10"/>
  <c r="AQ559" i="10"/>
  <c r="AY558" i="10"/>
  <c r="AX558" i="10"/>
  <c r="AM558" i="10"/>
  <c r="AN558" i="10"/>
  <c r="AQ558" i="10"/>
  <c r="AY557" i="10"/>
  <c r="AX557" i="10"/>
  <c r="AM557" i="10"/>
  <c r="AN557" i="10"/>
  <c r="AQ557" i="10"/>
  <c r="AY556" i="10"/>
  <c r="AX556" i="10"/>
  <c r="AM556" i="10"/>
  <c r="AN556" i="10"/>
  <c r="AQ556" i="10"/>
  <c r="AY555" i="10"/>
  <c r="AX555" i="10"/>
  <c r="AM555" i="10"/>
  <c r="AN555" i="10"/>
  <c r="AQ555" i="10"/>
  <c r="AY554" i="10"/>
  <c r="AX554" i="10"/>
  <c r="AM554" i="10"/>
  <c r="AN554" i="10"/>
  <c r="AQ554" i="10"/>
  <c r="BN553" i="10"/>
  <c r="AY553" i="10"/>
  <c r="AX553" i="10"/>
  <c r="AM553" i="10"/>
  <c r="AN553" i="10"/>
  <c r="AQ553" i="10"/>
  <c r="AY552" i="10"/>
  <c r="AX552" i="10"/>
  <c r="AM552" i="10"/>
  <c r="AN552" i="10"/>
  <c r="AQ552" i="10"/>
  <c r="AY551" i="10"/>
  <c r="AX551" i="10"/>
  <c r="AM551" i="10"/>
  <c r="AN551" i="10"/>
  <c r="AQ551" i="10"/>
  <c r="AY550" i="10"/>
  <c r="AX550" i="10"/>
  <c r="AM550" i="10"/>
  <c r="AN550" i="10"/>
  <c r="AQ550" i="10"/>
  <c r="AY549" i="10"/>
  <c r="AX549" i="10"/>
  <c r="AM549" i="10"/>
  <c r="AN549" i="10"/>
  <c r="AQ549" i="10"/>
  <c r="AY548" i="10"/>
  <c r="AX548" i="10"/>
  <c r="AM548" i="10"/>
  <c r="AN548" i="10"/>
  <c r="AQ548" i="10"/>
  <c r="AY547" i="10"/>
  <c r="AX547" i="10"/>
  <c r="AM547" i="10"/>
  <c r="AN547" i="10"/>
  <c r="AQ547" i="10"/>
  <c r="AL588" i="10"/>
  <c r="AL587" i="10"/>
  <c r="BN550" i="10"/>
  <c r="BW550" i="10"/>
  <c r="BN552" i="10"/>
  <c r="BW552" i="10"/>
  <c r="BN559" i="10"/>
  <c r="BW559" i="10"/>
  <c r="BN568" i="10"/>
  <c r="BW568" i="10"/>
  <c r="BN575" i="10"/>
  <c r="BW575" i="10"/>
  <c r="BD575" i="10"/>
  <c r="BX575" i="10"/>
  <c r="BD579" i="10"/>
  <c r="BX579" i="10"/>
  <c r="BD583" i="10"/>
  <c r="BX583" i="10"/>
  <c r="BC547" i="10"/>
  <c r="BE547" i="10"/>
  <c r="BF547" i="10"/>
  <c r="BW547" i="10"/>
  <c r="BC549" i="10"/>
  <c r="BE549" i="10"/>
  <c r="BF549" i="10"/>
  <c r="BW549" i="10"/>
  <c r="BN554" i="10"/>
  <c r="BW554" i="10"/>
  <c r="BN556" i="10"/>
  <c r="BW556" i="10"/>
  <c r="BN563" i="10"/>
  <c r="BW563" i="10"/>
  <c r="BC565" i="10"/>
  <c r="BE565" i="10"/>
  <c r="BF565" i="10"/>
  <c r="BW565" i="10"/>
  <c r="BN579" i="10"/>
  <c r="BW579" i="10"/>
  <c r="BN586" i="10"/>
  <c r="BW586" i="10"/>
  <c r="BD548" i="10"/>
  <c r="BX548" i="10"/>
  <c r="BD552" i="10"/>
  <c r="BX552" i="10"/>
  <c r="BD556" i="10"/>
  <c r="BX556" i="10"/>
  <c r="BD560" i="10"/>
  <c r="BX560" i="10"/>
  <c r="BD564" i="10"/>
  <c r="BX564" i="10"/>
  <c r="BD568" i="10"/>
  <c r="BX568" i="10"/>
  <c r="BD572" i="10"/>
  <c r="BX572" i="10"/>
  <c r="BN551" i="10"/>
  <c r="BW551" i="10"/>
  <c r="BN558" i="10"/>
  <c r="BW558" i="10"/>
  <c r="BC560" i="10"/>
  <c r="BE560" i="10"/>
  <c r="BF560" i="10"/>
  <c r="BW560" i="10"/>
  <c r="BN567" i="10"/>
  <c r="BW567" i="10"/>
  <c r="BN569" i="10"/>
  <c r="BW569" i="10"/>
  <c r="BN583" i="10"/>
  <c r="BW583" i="10"/>
  <c r="BN548" i="10"/>
  <c r="BW548" i="10"/>
  <c r="BC555" i="10"/>
  <c r="BE555" i="10"/>
  <c r="BF555" i="10"/>
  <c r="BW555" i="10"/>
  <c r="BC557" i="10"/>
  <c r="BE557" i="10"/>
  <c r="BF557" i="10"/>
  <c r="BW557" i="10"/>
  <c r="BN562" i="10"/>
  <c r="BW562" i="10"/>
  <c r="BN571" i="10"/>
  <c r="BW571" i="10"/>
  <c r="BK555" i="10"/>
  <c r="BN547" i="10"/>
  <c r="BC579" i="10"/>
  <c r="BE579" i="10"/>
  <c r="BF579" i="10"/>
  <c r="BL556" i="10"/>
  <c r="BL572" i="10"/>
  <c r="BD547" i="10"/>
  <c r="BL547" i="10"/>
  <c r="BD551" i="10"/>
  <c r="BL551" i="10"/>
  <c r="BD555" i="10"/>
  <c r="BL555" i="10"/>
  <c r="BL559" i="10"/>
  <c r="BD563" i="10"/>
  <c r="BL563" i="10"/>
  <c r="BD567" i="10"/>
  <c r="BL567" i="10"/>
  <c r="BD571" i="10"/>
  <c r="BL571" i="10"/>
  <c r="BL574" i="10"/>
  <c r="BD578" i="10"/>
  <c r="BL578" i="10"/>
  <c r="BD582" i="10"/>
  <c r="BL582" i="10"/>
  <c r="BD586" i="10"/>
  <c r="BL586" i="10"/>
  <c r="BL560" i="10"/>
  <c r="BL575" i="10"/>
  <c r="BD550" i="10"/>
  <c r="BL550" i="10"/>
  <c r="BD554" i="10"/>
  <c r="BL554" i="10"/>
  <c r="BD558" i="10"/>
  <c r="BL558" i="10"/>
  <c r="BD562" i="10"/>
  <c r="BL562" i="10"/>
  <c r="BD566" i="10"/>
  <c r="BL566" i="10"/>
  <c r="BD570" i="10"/>
  <c r="BL570" i="10"/>
  <c r="BD573" i="10"/>
  <c r="BL573" i="10"/>
  <c r="BD577" i="10"/>
  <c r="BL577" i="10"/>
  <c r="BD585" i="10"/>
  <c r="BL585" i="10"/>
  <c r="BL548" i="10"/>
  <c r="BL564" i="10"/>
  <c r="BL579" i="10"/>
  <c r="BD549" i="10"/>
  <c r="BL549" i="10"/>
  <c r="BD553" i="10"/>
  <c r="BL553" i="10"/>
  <c r="BD557" i="10"/>
  <c r="BL557" i="10"/>
  <c r="BD561" i="10"/>
  <c r="BL561" i="10"/>
  <c r="BD565" i="10"/>
  <c r="BL565" i="10"/>
  <c r="BD569" i="10"/>
  <c r="BL569" i="10"/>
  <c r="BD576" i="10"/>
  <c r="BL576" i="10"/>
  <c r="BD584" i="10"/>
  <c r="BL584" i="10"/>
  <c r="BL552" i="10"/>
  <c r="BL568" i="10"/>
  <c r="BL583" i="10"/>
  <c r="BK551" i="10"/>
  <c r="BC569" i="10"/>
  <c r="BE569" i="10"/>
  <c r="BF569" i="10"/>
  <c r="BN557" i="10"/>
  <c r="BK574" i="10"/>
  <c r="BN555" i="10"/>
  <c r="BC548" i="10"/>
  <c r="BE548" i="10"/>
  <c r="BF548" i="10"/>
  <c r="BK584" i="10"/>
  <c r="BK554" i="10"/>
  <c r="BK570" i="10"/>
  <c r="BK558" i="10"/>
  <c r="BK566" i="10"/>
  <c r="BK560" i="10"/>
  <c r="BM564" i="10"/>
  <c r="BK577" i="10"/>
  <c r="BK585" i="10"/>
  <c r="BK548" i="10"/>
  <c r="BC562" i="10"/>
  <c r="BE562" i="10"/>
  <c r="BF562" i="10"/>
  <c r="BK550" i="10"/>
  <c r="BC559" i="10"/>
  <c r="BE559" i="10"/>
  <c r="BF559" i="10"/>
  <c r="BC586" i="10"/>
  <c r="BE586" i="10"/>
  <c r="BF586" i="10"/>
  <c r="BM551" i="10"/>
  <c r="BE553" i="10"/>
  <c r="BF553" i="10"/>
  <c r="BM559" i="10"/>
  <c r="BM556" i="10"/>
  <c r="BK557" i="10"/>
  <c r="BM574" i="10"/>
  <c r="BM579" i="10"/>
  <c r="BM552" i="10"/>
  <c r="BM576" i="10"/>
  <c r="BN549" i="10"/>
  <c r="BD559" i="10"/>
  <c r="BD574" i="10"/>
  <c r="BM557" i="10"/>
  <c r="BN565" i="10"/>
  <c r="BK568" i="10"/>
  <c r="BK556" i="10"/>
  <c r="BK559" i="10"/>
  <c r="BE572" i="10"/>
  <c r="BF572" i="10"/>
  <c r="BK578" i="10"/>
  <c r="BK583" i="10"/>
  <c r="BM548" i="10"/>
  <c r="BM560" i="10"/>
  <c r="BM572" i="10"/>
  <c r="BM575" i="10"/>
  <c r="BM582" i="10"/>
  <c r="BM586" i="10"/>
  <c r="BM562" i="10"/>
  <c r="BK572" i="10"/>
  <c r="BC550" i="10"/>
  <c r="BE550" i="10"/>
  <c r="BF550" i="10"/>
  <c r="BK547" i="10"/>
  <c r="BM550" i="10"/>
  <c r="BK552" i="10"/>
  <c r="BK567" i="10"/>
  <c r="AR579" i="10"/>
  <c r="BK582" i="10"/>
  <c r="BM555" i="10"/>
  <c r="BM561" i="10"/>
  <c r="BM563" i="10"/>
  <c r="BM570" i="10"/>
  <c r="BM578" i="10"/>
  <c r="BK576" i="10"/>
  <c r="BM584" i="10"/>
  <c r="BM547" i="10"/>
  <c r="BK549" i="10"/>
  <c r="BM549" i="10"/>
  <c r="BK553" i="10"/>
  <c r="BM553" i="10"/>
  <c r="BK561" i="10"/>
  <c r="BC571" i="10"/>
  <c r="BE571" i="10"/>
  <c r="BF571" i="10"/>
  <c r="BC551" i="10"/>
  <c r="BE551" i="10"/>
  <c r="BF551" i="10"/>
  <c r="BC563" i="10"/>
  <c r="BE563" i="10"/>
  <c r="BF563" i="10"/>
  <c r="BM571" i="10"/>
  <c r="AR582" i="10"/>
  <c r="AR586" i="10"/>
  <c r="BM554" i="10"/>
  <c r="BM558" i="10"/>
  <c r="BK564" i="10"/>
  <c r="BN566" i="10"/>
  <c r="BC566" i="10"/>
  <c r="BE566" i="10"/>
  <c r="BF566" i="10"/>
  <c r="BN570" i="10"/>
  <c r="BC570" i="10"/>
  <c r="BE570" i="10"/>
  <c r="BF570" i="10"/>
  <c r="BN573" i="10"/>
  <c r="BC573" i="10"/>
  <c r="BE573" i="10"/>
  <c r="BF573" i="10"/>
  <c r="BM577" i="10"/>
  <c r="BM585" i="10"/>
  <c r="BC552" i="10"/>
  <c r="BE552" i="10"/>
  <c r="BF552" i="10"/>
  <c r="BC554" i="10"/>
  <c r="BE554" i="10"/>
  <c r="BF554" i="10"/>
  <c r="BC556" i="10"/>
  <c r="BE556" i="10"/>
  <c r="BF556" i="10"/>
  <c r="BC558" i="10"/>
  <c r="BE558" i="10"/>
  <c r="BF558" i="10"/>
  <c r="BK562" i="10"/>
  <c r="BM566" i="10"/>
  <c r="BN572" i="10"/>
  <c r="BK573" i="10"/>
  <c r="BC575" i="10"/>
  <c r="BE575" i="10"/>
  <c r="BF575" i="10"/>
  <c r="BN577" i="10"/>
  <c r="BK579" i="10"/>
  <c r="BM583" i="10"/>
  <c r="BC585" i="10"/>
  <c r="BE585" i="10"/>
  <c r="BF585" i="10"/>
  <c r="BN561" i="10"/>
  <c r="BC561" i="10"/>
  <c r="BE561" i="10"/>
  <c r="BF561" i="10"/>
  <c r="BM565" i="10"/>
  <c r="BM569" i="10"/>
  <c r="BN576" i="10"/>
  <c r="BC576" i="10"/>
  <c r="BE576" i="10"/>
  <c r="BF576" i="10"/>
  <c r="BN584" i="10"/>
  <c r="BC584" i="10"/>
  <c r="BE584" i="10"/>
  <c r="BF584" i="10"/>
  <c r="BN564" i="10"/>
  <c r="BC564" i="10"/>
  <c r="BE564" i="10"/>
  <c r="BF564" i="10"/>
  <c r="BM568" i="10"/>
  <c r="BC568" i="10"/>
  <c r="BE568" i="10"/>
  <c r="BF568" i="10"/>
  <c r="BN560" i="10"/>
  <c r="BM573" i="10"/>
  <c r="BK575" i="10"/>
  <c r="BC577" i="10"/>
  <c r="BE577" i="10"/>
  <c r="BF577" i="10"/>
  <c r="BC583" i="10"/>
  <c r="BE583" i="10"/>
  <c r="BF583" i="10"/>
  <c r="BN585" i="10"/>
  <c r="BM567" i="10"/>
  <c r="BC567" i="10"/>
  <c r="BE567" i="10"/>
  <c r="BF567" i="10"/>
  <c r="BN574" i="10"/>
  <c r="BC574" i="10"/>
  <c r="BE574" i="10"/>
  <c r="BF574" i="10"/>
  <c r="BN578" i="10"/>
  <c r="BC578" i="10"/>
  <c r="BE578" i="10"/>
  <c r="BF578" i="10"/>
  <c r="BN582" i="10"/>
  <c r="BC582" i="10"/>
  <c r="BE582" i="10"/>
  <c r="BF582" i="10"/>
  <c r="BK563" i="10"/>
  <c r="BK565" i="10"/>
  <c r="BK569" i="10"/>
  <c r="BK571" i="10"/>
  <c r="BK586" i="10"/>
  <c r="AY546" i="10"/>
  <c r="AX546" i="10"/>
  <c r="AY545" i="10"/>
  <c r="AX545" i="10"/>
  <c r="AY544" i="10"/>
  <c r="AX544" i="10"/>
  <c r="AX543" i="10"/>
  <c r="AY543" i="10"/>
  <c r="AY541" i="10"/>
  <c r="AX541" i="10"/>
  <c r="AX539" i="10"/>
  <c r="AY539" i="10"/>
  <c r="AY538" i="10"/>
  <c r="AX538" i="10"/>
  <c r="AY537" i="10"/>
  <c r="AX537" i="10"/>
  <c r="AY536" i="10"/>
  <c r="AX536" i="10"/>
  <c r="AX535" i="10"/>
  <c r="AY535" i="10"/>
  <c r="AY533" i="10"/>
  <c r="AX533" i="10"/>
  <c r="AX531" i="10"/>
  <c r="AY531" i="10"/>
  <c r="AY530" i="10"/>
  <c r="AX530" i="10"/>
  <c r="AY529" i="10"/>
  <c r="AX529" i="10"/>
  <c r="AY528" i="10"/>
  <c r="AX528" i="10"/>
  <c r="AX527" i="10"/>
  <c r="AY527" i="10"/>
  <c r="AY525" i="10"/>
  <c r="AX525" i="10"/>
  <c r="AX523" i="10"/>
  <c r="AY523" i="10"/>
  <c r="AY522" i="10"/>
  <c r="AX522" i="10"/>
  <c r="AY521" i="10"/>
  <c r="AX521" i="10"/>
  <c r="AY520" i="10"/>
  <c r="AX520" i="10"/>
  <c r="AW159" i="10"/>
  <c r="AX159" i="10"/>
  <c r="AW158" i="10"/>
  <c r="AY158" i="10"/>
  <c r="AW157" i="10"/>
  <c r="AY157" i="10"/>
  <c r="AW156" i="10"/>
  <c r="AX156" i="10"/>
  <c r="AW506" i="10"/>
  <c r="AY506" i="10"/>
  <c r="AW220" i="10"/>
  <c r="AY220" i="10"/>
  <c r="AW505" i="10"/>
  <c r="AY505" i="10"/>
  <c r="AW504" i="10"/>
  <c r="AW154" i="10"/>
  <c r="AY154" i="10"/>
  <c r="AW153" i="10"/>
  <c r="AW152" i="10"/>
  <c r="AW503" i="10"/>
  <c r="AX503" i="10"/>
  <c r="AW502" i="10"/>
  <c r="AY502" i="10"/>
  <c r="AW150" i="10"/>
  <c r="AX150" i="10"/>
  <c r="AW151" i="10"/>
  <c r="AY151" i="10"/>
  <c r="AW149" i="10"/>
  <c r="AW148" i="10"/>
  <c r="AY148" i="10"/>
  <c r="AW501" i="10"/>
  <c r="AW164" i="10"/>
  <c r="AY164" i="10"/>
  <c r="AW147" i="10"/>
  <c r="AY147" i="10"/>
  <c r="AW144" i="10"/>
  <c r="AX144" i="10"/>
  <c r="AW140" i="10"/>
  <c r="AX140" i="10"/>
  <c r="AW135" i="10"/>
  <c r="AY135" i="10"/>
  <c r="AW134" i="10"/>
  <c r="AW500" i="10"/>
  <c r="AW129" i="10"/>
  <c r="AW128" i="10"/>
  <c r="AY128" i="10"/>
  <c r="AW127" i="10"/>
  <c r="AW499" i="10"/>
  <c r="AW498" i="10"/>
  <c r="AY498" i="10"/>
  <c r="AW219" i="10"/>
  <c r="AW126" i="10"/>
  <c r="AY126" i="10"/>
  <c r="AW125" i="10"/>
  <c r="AY125" i="10"/>
  <c r="AW124" i="10"/>
  <c r="AW123" i="10"/>
  <c r="AY123" i="10"/>
  <c r="AW122" i="10"/>
  <c r="AW121" i="10"/>
  <c r="AY121" i="10"/>
  <c r="AW120" i="10"/>
  <c r="AW117" i="10"/>
  <c r="AY117" i="10"/>
  <c r="AW115" i="10"/>
  <c r="AY115" i="10"/>
  <c r="AW113" i="10"/>
  <c r="AY113" i="10"/>
  <c r="AW112" i="10"/>
  <c r="AW111" i="10"/>
  <c r="AY111" i="10"/>
  <c r="AW110" i="10"/>
  <c r="AW497" i="10"/>
  <c r="AY497" i="10"/>
  <c r="AW496" i="10"/>
  <c r="AW494" i="10"/>
  <c r="AY494" i="10"/>
  <c r="AW493" i="10"/>
  <c r="AW70" i="10"/>
  <c r="AY70" i="10"/>
  <c r="AW392" i="10"/>
  <c r="AW391" i="10"/>
  <c r="AY391" i="10"/>
  <c r="AW390" i="10"/>
  <c r="AW389" i="10"/>
  <c r="AY389" i="10"/>
  <c r="AW388" i="10"/>
  <c r="AW387" i="10"/>
  <c r="AY387" i="10"/>
  <c r="AW386" i="10"/>
  <c r="AW385" i="10"/>
  <c r="AX385" i="10"/>
  <c r="AW384" i="10"/>
  <c r="AY384" i="10"/>
  <c r="AW383" i="10"/>
  <c r="AX383" i="10"/>
  <c r="AW382" i="10"/>
  <c r="AX382" i="10"/>
  <c r="AW381" i="10"/>
  <c r="AW380" i="10"/>
  <c r="AX380" i="10"/>
  <c r="AW379" i="10"/>
  <c r="AY379" i="10"/>
  <c r="AW378" i="10"/>
  <c r="AX378" i="10"/>
  <c r="AW377" i="10"/>
  <c r="AY377" i="10"/>
  <c r="AW376" i="10"/>
  <c r="AY376" i="10"/>
  <c r="AW375" i="10"/>
  <c r="AW374" i="10"/>
  <c r="AY374" i="10"/>
  <c r="AW373" i="10"/>
  <c r="AY373" i="10"/>
  <c r="AW372" i="10"/>
  <c r="AY372" i="10"/>
  <c r="AW371" i="10"/>
  <c r="AW370" i="10"/>
  <c r="AY370" i="10"/>
  <c r="AW369" i="10"/>
  <c r="AY369" i="10"/>
  <c r="AW368" i="10"/>
  <c r="AW367" i="10"/>
  <c r="AY367" i="10"/>
  <c r="AW366" i="10"/>
  <c r="AW365" i="10"/>
  <c r="AW364" i="10"/>
  <c r="AY364" i="10"/>
  <c r="AW363" i="10"/>
  <c r="AW362" i="10"/>
  <c r="AW361" i="10"/>
  <c r="AW360" i="10"/>
  <c r="AY360" i="10"/>
  <c r="AW359" i="10"/>
  <c r="AW358" i="10"/>
  <c r="AY358" i="10"/>
  <c r="AW357" i="10"/>
  <c r="AW356" i="10"/>
  <c r="AY356" i="10"/>
  <c r="AW355" i="10"/>
  <c r="AW354" i="10"/>
  <c r="AY354" i="10"/>
  <c r="AW353" i="10"/>
  <c r="AX353" i="10"/>
  <c r="AW352" i="10"/>
  <c r="AY352" i="10"/>
  <c r="AW351" i="10"/>
  <c r="AX351" i="10"/>
  <c r="AW350" i="10"/>
  <c r="AY350" i="10"/>
  <c r="AW349" i="10"/>
  <c r="AW348" i="10"/>
  <c r="AY348" i="10"/>
  <c r="AW347" i="10"/>
  <c r="AY347" i="10"/>
  <c r="AW346" i="10"/>
  <c r="AW345" i="10"/>
  <c r="AY345" i="10"/>
  <c r="AW344" i="10"/>
  <c r="AW343" i="10"/>
  <c r="AY343" i="10"/>
  <c r="AW342" i="10"/>
  <c r="AX342" i="10"/>
  <c r="AW341" i="10"/>
  <c r="AY341" i="10"/>
  <c r="AW340" i="10"/>
  <c r="AX340" i="10"/>
  <c r="AW339" i="10"/>
  <c r="AY339" i="10"/>
  <c r="AW338" i="10"/>
  <c r="AW337" i="10"/>
  <c r="AY337" i="10"/>
  <c r="AW336" i="10"/>
  <c r="AW335" i="10"/>
  <c r="AW334" i="10"/>
  <c r="AW333" i="10"/>
  <c r="AW332" i="10"/>
  <c r="AY332" i="10"/>
  <c r="AW327" i="10"/>
  <c r="AW331" i="10"/>
  <c r="AY331" i="10"/>
  <c r="AW330" i="10"/>
  <c r="AY330" i="10"/>
  <c r="AW329" i="10"/>
  <c r="AW328" i="10"/>
  <c r="AY328" i="10"/>
  <c r="AW492" i="10"/>
  <c r="AW181" i="10"/>
  <c r="AW180" i="10"/>
  <c r="AY180" i="10"/>
  <c r="AW179" i="10"/>
  <c r="AW178" i="10"/>
  <c r="AY178" i="10"/>
  <c r="AW325" i="10"/>
  <c r="AY325" i="10"/>
  <c r="AW324" i="10"/>
  <c r="AY324" i="10"/>
  <c r="AW323" i="10"/>
  <c r="AW322" i="10"/>
  <c r="AW321" i="10"/>
  <c r="AY321" i="10"/>
  <c r="AW255" i="10"/>
  <c r="AW254" i="10"/>
  <c r="AY254" i="10"/>
  <c r="AW253" i="10"/>
  <c r="AW109" i="10"/>
  <c r="AW108" i="10"/>
  <c r="AW107" i="10"/>
  <c r="AY107" i="10"/>
  <c r="AW106" i="10"/>
  <c r="AX106" i="10"/>
  <c r="AW105" i="10"/>
  <c r="AX105" i="10"/>
  <c r="AW99" i="10"/>
  <c r="AW97" i="10"/>
  <c r="AY97" i="10"/>
  <c r="AW490" i="10"/>
  <c r="AX490" i="10"/>
  <c r="AW95" i="10"/>
  <c r="AX95" i="10"/>
  <c r="AW489" i="10"/>
  <c r="AY489" i="10"/>
  <c r="AW488" i="10"/>
  <c r="AX488" i="10"/>
  <c r="AW486" i="10"/>
  <c r="AX486" i="10"/>
  <c r="AW487" i="10"/>
  <c r="AW485" i="10"/>
  <c r="AW484" i="10"/>
  <c r="AY484" i="10"/>
  <c r="AW94" i="10"/>
  <c r="AW93" i="10"/>
  <c r="AY93" i="10"/>
  <c r="AW92" i="10"/>
  <c r="AW91" i="10"/>
  <c r="AY91" i="10"/>
  <c r="AW90" i="10"/>
  <c r="AX90" i="10"/>
  <c r="AW318" i="10"/>
  <c r="AY318" i="10"/>
  <c r="AW317" i="10"/>
  <c r="AX317" i="10"/>
  <c r="AW89" i="10"/>
  <c r="AY89" i="10"/>
  <c r="AW482" i="10"/>
  <c r="AX482" i="10"/>
  <c r="AW32" i="10"/>
  <c r="AX32" i="10"/>
  <c r="AW163" i="10"/>
  <c r="AY163" i="10"/>
  <c r="AW162" i="10"/>
  <c r="AW88" i="10"/>
  <c r="AY88" i="10"/>
  <c r="AW87" i="10"/>
  <c r="AY87" i="10"/>
  <c r="AW86" i="10"/>
  <c r="AW481" i="10"/>
  <c r="AY481" i="10"/>
  <c r="AW96" i="10"/>
  <c r="AW85" i="10"/>
  <c r="AY85" i="10"/>
  <c r="AW217" i="10"/>
  <c r="AW216" i="10"/>
  <c r="AY216" i="10"/>
  <c r="AW215" i="10"/>
  <c r="AW214" i="10"/>
  <c r="AY214" i="10"/>
  <c r="AW213" i="10"/>
  <c r="AW212" i="10"/>
  <c r="AY212" i="10"/>
  <c r="AW211" i="10"/>
  <c r="AW84" i="10"/>
  <c r="AW83" i="10"/>
  <c r="AW81" i="10"/>
  <c r="AY81" i="10"/>
  <c r="AW80" i="10"/>
  <c r="AW480" i="10"/>
  <c r="AW479" i="10"/>
  <c r="AW478" i="10"/>
  <c r="AY478" i="10"/>
  <c r="AW477" i="10"/>
  <c r="AW476" i="10"/>
  <c r="AY476" i="10"/>
  <c r="AW74" i="10"/>
  <c r="AY74" i="10"/>
  <c r="AW210" i="10"/>
  <c r="AW209" i="10"/>
  <c r="AY209" i="10"/>
  <c r="AW208" i="10"/>
  <c r="AW207" i="10"/>
  <c r="AY207" i="10"/>
  <c r="AW177" i="10"/>
  <c r="AY177" i="10"/>
  <c r="AW176" i="10"/>
  <c r="AW175" i="10"/>
  <c r="AW73" i="10"/>
  <c r="AY73" i="10"/>
  <c r="AW72" i="10"/>
  <c r="AX72" i="10"/>
  <c r="AW37" i="10"/>
  <c r="AW475" i="10"/>
  <c r="AY475" i="10"/>
  <c r="AW71" i="10"/>
  <c r="AX71" i="10"/>
  <c r="AW205" i="10"/>
  <c r="AY205" i="10"/>
  <c r="AW204" i="10"/>
  <c r="AX204" i="10"/>
  <c r="AW174" i="10"/>
  <c r="AY174" i="10"/>
  <c r="AW173" i="10"/>
  <c r="AX173" i="10"/>
  <c r="AW470" i="10"/>
  <c r="AX470" i="10"/>
  <c r="AW469" i="10"/>
  <c r="AY469" i="10"/>
  <c r="AW69" i="10"/>
  <c r="AW161" i="10"/>
  <c r="AW160" i="10"/>
  <c r="AY160" i="10"/>
  <c r="AW68" i="10"/>
  <c r="AW67" i="10"/>
  <c r="AY67" i="10"/>
  <c r="AW202" i="10"/>
  <c r="AY202" i="10"/>
  <c r="AW201" i="10"/>
  <c r="AW200" i="10"/>
  <c r="AY200" i="10"/>
  <c r="AW199" i="10"/>
  <c r="AW468" i="10"/>
  <c r="AY468" i="10"/>
  <c r="AW467" i="10"/>
  <c r="AW466" i="10"/>
  <c r="AY466" i="10"/>
  <c r="AW465" i="10"/>
  <c r="AW464" i="10"/>
  <c r="AY464" i="10"/>
  <c r="AW463" i="10"/>
  <c r="AW285" i="10"/>
  <c r="AY285" i="10"/>
  <c r="AW172" i="10"/>
  <c r="AW171" i="10"/>
  <c r="AW170" i="10"/>
  <c r="AW169" i="10"/>
  <c r="AY169" i="10"/>
  <c r="AW168" i="10"/>
  <c r="AW462" i="10"/>
  <c r="AY462" i="10"/>
  <c r="AW461" i="10"/>
  <c r="AW64" i="10"/>
  <c r="AY64" i="10"/>
  <c r="AW63" i="10"/>
  <c r="AW460" i="10"/>
  <c r="AW459" i="10"/>
  <c r="AY459" i="10"/>
  <c r="AW458" i="10"/>
  <c r="AW283" i="10"/>
  <c r="AY283" i="10"/>
  <c r="AW457" i="10"/>
  <c r="AW62" i="10"/>
  <c r="AW61" i="10"/>
  <c r="AY61" i="10"/>
  <c r="AW132" i="10"/>
  <c r="AY132" i="10"/>
  <c r="AW60" i="10"/>
  <c r="AW59" i="10"/>
  <c r="AY59" i="10"/>
  <c r="AW198" i="10"/>
  <c r="AY198" i="10"/>
  <c r="AW455" i="10"/>
  <c r="AY455" i="10"/>
  <c r="AW58" i="10"/>
  <c r="AY58" i="10"/>
  <c r="AW452" i="10"/>
  <c r="AW451" i="10"/>
  <c r="AW450" i="10"/>
  <c r="AY450" i="10"/>
  <c r="AW449" i="10"/>
  <c r="AW57" i="10"/>
  <c r="AW54" i="10"/>
  <c r="AY54" i="10"/>
  <c r="AW53" i="10"/>
  <c r="AW52" i="10"/>
  <c r="AY52" i="10"/>
  <c r="AW51" i="10"/>
  <c r="AW50" i="10"/>
  <c r="AY50" i="10"/>
  <c r="AW49" i="10"/>
  <c r="AW48" i="10"/>
  <c r="AW47" i="10"/>
  <c r="AY47" i="10"/>
  <c r="AW448" i="10"/>
  <c r="AW46" i="10"/>
  <c r="AY46" i="10"/>
  <c r="AW45" i="10"/>
  <c r="AW44" i="10"/>
  <c r="AW446" i="10"/>
  <c r="AY446" i="10"/>
  <c r="AW40" i="10"/>
  <c r="AW441" i="10"/>
  <c r="AW440" i="10"/>
  <c r="AW439" i="10"/>
  <c r="AY439" i="10"/>
  <c r="AW438" i="10"/>
  <c r="AW437" i="10"/>
  <c r="AY437" i="10"/>
  <c r="AW436" i="10"/>
  <c r="AW435" i="10"/>
  <c r="AY435" i="10"/>
  <c r="AW434" i="10"/>
  <c r="AW433" i="10"/>
  <c r="AY433" i="10"/>
  <c r="AW38" i="10"/>
  <c r="AW430" i="10"/>
  <c r="AY430" i="10"/>
  <c r="AW424" i="10"/>
  <c r="AY424" i="10"/>
  <c r="AW34" i="10"/>
  <c r="AY34" i="10"/>
  <c r="AW33" i="10"/>
  <c r="AW423" i="10"/>
  <c r="AY423" i="10"/>
  <c r="AW422" i="10"/>
  <c r="AW197" i="10"/>
  <c r="AY197" i="10"/>
  <c r="AW196" i="10"/>
  <c r="AW418" i="10"/>
  <c r="AW417" i="10"/>
  <c r="AY417" i="10"/>
  <c r="AW416" i="10"/>
  <c r="AW415" i="10"/>
  <c r="AY415" i="10"/>
  <c r="AW444" i="10"/>
  <c r="AY444" i="10"/>
  <c r="AW443" i="10"/>
  <c r="AW195" i="10"/>
  <c r="AY195" i="10"/>
  <c r="AW194" i="10"/>
  <c r="AW193" i="10"/>
  <c r="AY193" i="10"/>
  <c r="AW413" i="10"/>
  <c r="AW412" i="10"/>
  <c r="AY412" i="10"/>
  <c r="AW31" i="10"/>
  <c r="AY31" i="10"/>
  <c r="AW410" i="10"/>
  <c r="AW409" i="10"/>
  <c r="AY409" i="10"/>
  <c r="AW29" i="10"/>
  <c r="AW28" i="10"/>
  <c r="AW27" i="10"/>
  <c r="AY27" i="10"/>
  <c r="AW26" i="10"/>
  <c r="AW25" i="10"/>
  <c r="AY25" i="10"/>
  <c r="AW24" i="10"/>
  <c r="AW165" i="10"/>
  <c r="AY165" i="10"/>
  <c r="AW407" i="10"/>
  <c r="AY407" i="10"/>
  <c r="AW297" i="10"/>
  <c r="AX297" i="10"/>
  <c r="AW296" i="10"/>
  <c r="AY296" i="10"/>
  <c r="AW291" i="10"/>
  <c r="AY291" i="10"/>
  <c r="AW290" i="10"/>
  <c r="AX290" i="10"/>
  <c r="AW190" i="10"/>
  <c r="AY190" i="10"/>
  <c r="AW189" i="10"/>
  <c r="AX189" i="10"/>
  <c r="AW23" i="10"/>
  <c r="AY23" i="10"/>
  <c r="AW21" i="10"/>
  <c r="AY21" i="10"/>
  <c r="AW18" i="10"/>
  <c r="AW17" i="10"/>
  <c r="AX17" i="10"/>
  <c r="AW16" i="10"/>
  <c r="AY16" i="10"/>
  <c r="AW15" i="10"/>
  <c r="AX15" i="10"/>
  <c r="AW188" i="10"/>
  <c r="AW14" i="10"/>
  <c r="AX14" i="10"/>
  <c r="AW404" i="10"/>
  <c r="AX404" i="10"/>
  <c r="AW242" i="10"/>
  <c r="AY242" i="10"/>
  <c r="AW13" i="10"/>
  <c r="AX13" i="10"/>
  <c r="AW191" i="10"/>
  <c r="AY191" i="10"/>
  <c r="AW12" i="10"/>
  <c r="AX12" i="10"/>
  <c r="AW11" i="10"/>
  <c r="AW218" i="10"/>
  <c r="AX218" i="10"/>
  <c r="AW187" i="10"/>
  <c r="AY187" i="10"/>
  <c r="AW186" i="10"/>
  <c r="AY186" i="10"/>
  <c r="AW185" i="10"/>
  <c r="AX185" i="10"/>
  <c r="AW184" i="10"/>
  <c r="AY184" i="10"/>
  <c r="AW183" i="10"/>
  <c r="AX183" i="10"/>
  <c r="AW182" i="10"/>
  <c r="AY182" i="10"/>
  <c r="AW235" i="10"/>
  <c r="AY235" i="10"/>
  <c r="AW206" i="10"/>
  <c r="AX206" i="10"/>
  <c r="AW10" i="10"/>
  <c r="AY10" i="10"/>
  <c r="AW402" i="10"/>
  <c r="AX402" i="10"/>
  <c r="AW234" i="10"/>
  <c r="AY234" i="10"/>
  <c r="AW400" i="10"/>
  <c r="AX400" i="10"/>
  <c r="AW233" i="10"/>
  <c r="AY233" i="10"/>
  <c r="AW232" i="10"/>
  <c r="AX232" i="10"/>
  <c r="AW399" i="10"/>
  <c r="AY399" i="10"/>
  <c r="AW231" i="10"/>
  <c r="AY231" i="10"/>
  <c r="AW230" i="10"/>
  <c r="AX230" i="10"/>
  <c r="AW229" i="10"/>
  <c r="AY229" i="10"/>
  <c r="AW228" i="10"/>
  <c r="AY228" i="10"/>
  <c r="AW9" i="10"/>
  <c r="AX9" i="10"/>
  <c r="AW227" i="10"/>
  <c r="AY227" i="10"/>
  <c r="AW226" i="10"/>
  <c r="AX226" i="10"/>
  <c r="AW225" i="10"/>
  <c r="AY225" i="10"/>
  <c r="AW224" i="10"/>
  <c r="AX224" i="10"/>
  <c r="AW223" i="10"/>
  <c r="AX223" i="10"/>
  <c r="AW222" i="10"/>
  <c r="AY222" i="10"/>
  <c r="AX151" i="10"/>
  <c r="AZ151" i="10"/>
  <c r="BA151" i="10"/>
  <c r="AY503" i="10"/>
  <c r="AZ503" i="10"/>
  <c r="BA503" i="10"/>
  <c r="AX437" i="10"/>
  <c r="AZ437" i="10"/>
  <c r="BA437" i="10"/>
  <c r="AX384" i="10"/>
  <c r="AZ384" i="10"/>
  <c r="BA384" i="10"/>
  <c r="AY317" i="10"/>
  <c r="AZ317" i="10"/>
  <c r="BA317" i="10"/>
  <c r="AX193" i="10"/>
  <c r="AZ193" i="10"/>
  <c r="BA193" i="10"/>
  <c r="AX64" i="10"/>
  <c r="AZ64" i="10"/>
  <c r="BA64" i="10"/>
  <c r="AX337" i="10"/>
  <c r="AZ337" i="10"/>
  <c r="BA337" i="10"/>
  <c r="AX135" i="10"/>
  <c r="AZ135" i="10"/>
  <c r="BA135" i="10"/>
  <c r="AY156" i="10"/>
  <c r="AZ156" i="10"/>
  <c r="BA156" i="10"/>
  <c r="AX158" i="10"/>
  <c r="AZ158" i="10"/>
  <c r="BA158" i="10"/>
  <c r="AX494" i="10"/>
  <c r="AZ494" i="10"/>
  <c r="BA494" i="10"/>
  <c r="AX423" i="10"/>
  <c r="AZ423" i="10"/>
  <c r="BA423" i="10"/>
  <c r="AX433" i="10"/>
  <c r="AZ433" i="10"/>
  <c r="BA433" i="10"/>
  <c r="AX373" i="10"/>
  <c r="AZ373" i="10"/>
  <c r="BA373" i="10"/>
  <c r="AY378" i="10"/>
  <c r="AZ378" i="10"/>
  <c r="BA378" i="10"/>
  <c r="AX47" i="10"/>
  <c r="AZ47" i="10"/>
  <c r="BA47" i="10"/>
  <c r="AX178" i="10"/>
  <c r="AZ178" i="10"/>
  <c r="BA178" i="10"/>
  <c r="AX174" i="10"/>
  <c r="AZ174" i="10"/>
  <c r="BA174" i="10"/>
  <c r="AY140" i="10"/>
  <c r="AZ140" i="10"/>
  <c r="BA140" i="10"/>
  <c r="AY144" i="10"/>
  <c r="AZ144" i="10"/>
  <c r="BA144" i="10"/>
  <c r="AX147" i="10"/>
  <c r="AZ147" i="10"/>
  <c r="BA147" i="10"/>
  <c r="AY171" i="10"/>
  <c r="AX171" i="10"/>
  <c r="AY362" i="10"/>
  <c r="AX362" i="10"/>
  <c r="AX234" i="10"/>
  <c r="AZ234" i="10"/>
  <c r="BA234" i="10"/>
  <c r="AY11" i="10"/>
  <c r="AX11" i="10"/>
  <c r="AX417" i="10"/>
  <c r="AZ417" i="10"/>
  <c r="BA417" i="10"/>
  <c r="AX54" i="10"/>
  <c r="AZ54" i="10"/>
  <c r="BA54" i="10"/>
  <c r="AY452" i="10"/>
  <c r="AX452" i="10"/>
  <c r="AX355" i="10"/>
  <c r="AY355" i="10"/>
  <c r="AY349" i="10"/>
  <c r="AX349" i="10"/>
  <c r="AX165" i="10"/>
  <c r="AZ165" i="10"/>
  <c r="BA165" i="10"/>
  <c r="AY28" i="10"/>
  <c r="AX28" i="10"/>
  <c r="AX504" i="10"/>
  <c r="AY504" i="10"/>
  <c r="AX285" i="10"/>
  <c r="AZ285" i="10"/>
  <c r="BA285" i="10"/>
  <c r="AY72" i="10"/>
  <c r="AZ72" i="10"/>
  <c r="BA72" i="10"/>
  <c r="AX216" i="10"/>
  <c r="AZ216" i="10"/>
  <c r="BA216" i="10"/>
  <c r="AX484" i="10"/>
  <c r="AZ484" i="10"/>
  <c r="BA484" i="10"/>
  <c r="AY486" i="10"/>
  <c r="AZ486" i="10"/>
  <c r="BA486" i="10"/>
  <c r="AX369" i="10"/>
  <c r="AZ369" i="10"/>
  <c r="BA369" i="10"/>
  <c r="AX242" i="10"/>
  <c r="AZ242" i="10"/>
  <c r="BA242" i="10"/>
  <c r="AX407" i="10"/>
  <c r="AZ407" i="10"/>
  <c r="BA407" i="10"/>
  <c r="AX409" i="10"/>
  <c r="AZ409" i="10"/>
  <c r="BA409" i="10"/>
  <c r="AX444" i="10"/>
  <c r="AZ444" i="10"/>
  <c r="BA444" i="10"/>
  <c r="AX446" i="10"/>
  <c r="AZ446" i="10"/>
  <c r="BA446" i="10"/>
  <c r="AX50" i="10"/>
  <c r="AZ50" i="10"/>
  <c r="BA50" i="10"/>
  <c r="AX462" i="10"/>
  <c r="AZ462" i="10"/>
  <c r="BA462" i="10"/>
  <c r="AX160" i="10"/>
  <c r="AZ160" i="10"/>
  <c r="BA160" i="10"/>
  <c r="AX209" i="10"/>
  <c r="AZ209" i="10"/>
  <c r="BA209" i="10"/>
  <c r="AX214" i="10"/>
  <c r="AZ214" i="10"/>
  <c r="BA214" i="10"/>
  <c r="AY106" i="10"/>
  <c r="AZ106" i="10"/>
  <c r="BA106" i="10"/>
  <c r="AX339" i="10"/>
  <c r="AZ339" i="10"/>
  <c r="BA339" i="10"/>
  <c r="AY351" i="10"/>
  <c r="AZ351" i="10"/>
  <c r="BA351" i="10"/>
  <c r="AY353" i="10"/>
  <c r="AZ353" i="10"/>
  <c r="BA353" i="10"/>
  <c r="AX367" i="10"/>
  <c r="AZ367" i="10"/>
  <c r="BA367" i="10"/>
  <c r="AX374" i="10"/>
  <c r="AZ374" i="10"/>
  <c r="BA374" i="10"/>
  <c r="AY382" i="10"/>
  <c r="AZ382" i="10"/>
  <c r="BA382" i="10"/>
  <c r="AX113" i="10"/>
  <c r="AZ113" i="10"/>
  <c r="BA113" i="10"/>
  <c r="AX498" i="10"/>
  <c r="AZ498" i="10"/>
  <c r="BA498" i="10"/>
  <c r="AX128" i="10"/>
  <c r="AZ128" i="10"/>
  <c r="BA128" i="10"/>
  <c r="AY150" i="10"/>
  <c r="AZ150" i="10"/>
  <c r="BA150" i="10"/>
  <c r="AX506" i="10"/>
  <c r="AZ506" i="10"/>
  <c r="BA506" i="10"/>
  <c r="AX10" i="10"/>
  <c r="AZ10" i="10"/>
  <c r="BA10" i="10"/>
  <c r="AX182" i="10"/>
  <c r="AZ182" i="10"/>
  <c r="BA182" i="10"/>
  <c r="AY32" i="10"/>
  <c r="AZ32" i="10"/>
  <c r="BA32" i="10"/>
  <c r="AX321" i="10"/>
  <c r="AZ321" i="10"/>
  <c r="BA321" i="10"/>
  <c r="AX330" i="10"/>
  <c r="AZ330" i="10"/>
  <c r="BA330" i="10"/>
  <c r="AX345" i="10"/>
  <c r="AZ345" i="10"/>
  <c r="BA345" i="10"/>
  <c r="AX111" i="10"/>
  <c r="AZ111" i="10"/>
  <c r="BA111" i="10"/>
  <c r="AX121" i="10"/>
  <c r="AZ121" i="10"/>
  <c r="BA121" i="10"/>
  <c r="AX126" i="10"/>
  <c r="AZ126" i="10"/>
  <c r="BA126" i="10"/>
  <c r="AX164" i="10"/>
  <c r="AZ164" i="10"/>
  <c r="BA164" i="10"/>
  <c r="AY159" i="10"/>
  <c r="AZ159" i="10"/>
  <c r="BA159" i="10"/>
  <c r="AX229" i="10"/>
  <c r="AZ229" i="10"/>
  <c r="BA229" i="10"/>
  <c r="AX21" i="10"/>
  <c r="AZ21" i="10"/>
  <c r="BA21" i="10"/>
  <c r="AX399" i="10"/>
  <c r="AZ399" i="10"/>
  <c r="BA399" i="10"/>
  <c r="AX186" i="10"/>
  <c r="AZ186" i="10"/>
  <c r="BA186" i="10"/>
  <c r="AY15" i="10"/>
  <c r="AZ15" i="10"/>
  <c r="BA15" i="10"/>
  <c r="AX16" i="10"/>
  <c r="AZ16" i="10"/>
  <c r="BA16" i="10"/>
  <c r="AX23" i="10"/>
  <c r="AZ23" i="10"/>
  <c r="BA23" i="10"/>
  <c r="AX25" i="10"/>
  <c r="AZ25" i="10"/>
  <c r="BA25" i="10"/>
  <c r="AX31" i="10"/>
  <c r="AZ31" i="10"/>
  <c r="BA31" i="10"/>
  <c r="AX197" i="10"/>
  <c r="AZ197" i="10"/>
  <c r="BA197" i="10"/>
  <c r="AX430" i="10"/>
  <c r="AZ430" i="10"/>
  <c r="BA430" i="10"/>
  <c r="AX46" i="10"/>
  <c r="AZ46" i="10"/>
  <c r="BA46" i="10"/>
  <c r="AX283" i="10"/>
  <c r="AZ283" i="10"/>
  <c r="BA283" i="10"/>
  <c r="AX177" i="10"/>
  <c r="AZ177" i="10"/>
  <c r="BA177" i="10"/>
  <c r="AX481" i="10"/>
  <c r="AZ481" i="10"/>
  <c r="BA481" i="10"/>
  <c r="AY90" i="10"/>
  <c r="AZ90" i="10"/>
  <c r="BA90" i="10"/>
  <c r="AX93" i="10"/>
  <c r="AZ93" i="10"/>
  <c r="BA93" i="10"/>
  <c r="AX107" i="10"/>
  <c r="AZ107" i="10"/>
  <c r="BA107" i="10"/>
  <c r="AX324" i="10"/>
  <c r="AZ324" i="10"/>
  <c r="BA324" i="10"/>
  <c r="AX328" i="10"/>
  <c r="AZ328" i="10"/>
  <c r="BA328" i="10"/>
  <c r="AX343" i="10"/>
  <c r="AZ343" i="10"/>
  <c r="BA343" i="10"/>
  <c r="AX347" i="10"/>
  <c r="AZ347" i="10"/>
  <c r="BA347" i="10"/>
  <c r="AX352" i="10"/>
  <c r="AZ352" i="10"/>
  <c r="BA352" i="10"/>
  <c r="AX364" i="10"/>
  <c r="AZ364" i="10"/>
  <c r="BA364" i="10"/>
  <c r="AX370" i="10"/>
  <c r="AZ370" i="10"/>
  <c r="BA370" i="10"/>
  <c r="AX379" i="10"/>
  <c r="AZ379" i="10"/>
  <c r="BA379" i="10"/>
  <c r="AX125" i="10"/>
  <c r="AZ125" i="10"/>
  <c r="BA125" i="10"/>
  <c r="AX227" i="10"/>
  <c r="AZ227" i="10"/>
  <c r="BA227" i="10"/>
  <c r="AY188" i="10"/>
  <c r="AX188" i="10"/>
  <c r="AX225" i="10"/>
  <c r="AZ225" i="10"/>
  <c r="BA225" i="10"/>
  <c r="AX231" i="10"/>
  <c r="AZ231" i="10"/>
  <c r="BA231" i="10"/>
  <c r="AX184" i="10"/>
  <c r="AZ184" i="10"/>
  <c r="BA184" i="10"/>
  <c r="AY18" i="10"/>
  <c r="AX18" i="10"/>
  <c r="AX222" i="10"/>
  <c r="AZ222" i="10"/>
  <c r="BA222" i="10"/>
  <c r="AX228" i="10"/>
  <c r="AZ228" i="10"/>
  <c r="BA228" i="10"/>
  <c r="AX233" i="10"/>
  <c r="AZ233" i="10"/>
  <c r="BA233" i="10"/>
  <c r="AX235" i="10"/>
  <c r="AZ235" i="10"/>
  <c r="BA235" i="10"/>
  <c r="AX187" i="10"/>
  <c r="AZ187" i="10"/>
  <c r="BA187" i="10"/>
  <c r="AX191" i="10"/>
  <c r="AZ191" i="10"/>
  <c r="BA191" i="10"/>
  <c r="AY17" i="10"/>
  <c r="AZ17" i="10"/>
  <c r="BA17" i="10"/>
  <c r="AX190" i="10"/>
  <c r="AZ190" i="10"/>
  <c r="BA190" i="10"/>
  <c r="AX291" i="10"/>
  <c r="AZ291" i="10"/>
  <c r="BA291" i="10"/>
  <c r="AX27" i="10"/>
  <c r="AZ27" i="10"/>
  <c r="BA27" i="10"/>
  <c r="AX412" i="10"/>
  <c r="AZ412" i="10"/>
  <c r="BA412" i="10"/>
  <c r="AX415" i="10"/>
  <c r="AZ415" i="10"/>
  <c r="BA415" i="10"/>
  <c r="AX424" i="10"/>
  <c r="AZ424" i="10"/>
  <c r="BA424" i="10"/>
  <c r="AX435" i="10"/>
  <c r="AZ435" i="10"/>
  <c r="BA435" i="10"/>
  <c r="AX52" i="10"/>
  <c r="AZ52" i="10"/>
  <c r="BA52" i="10"/>
  <c r="AX450" i="10"/>
  <c r="AZ450" i="10"/>
  <c r="BA450" i="10"/>
  <c r="AX455" i="10"/>
  <c r="AZ455" i="10"/>
  <c r="BA455" i="10"/>
  <c r="AX132" i="10"/>
  <c r="AZ132" i="10"/>
  <c r="BA132" i="10"/>
  <c r="AX459" i="10"/>
  <c r="AZ459" i="10"/>
  <c r="BA459" i="10"/>
  <c r="AX466" i="10"/>
  <c r="AZ466" i="10"/>
  <c r="BA466" i="10"/>
  <c r="AX200" i="10"/>
  <c r="AZ200" i="10"/>
  <c r="BA200" i="10"/>
  <c r="AX67" i="10"/>
  <c r="AZ67" i="10"/>
  <c r="BA67" i="10"/>
  <c r="AX469" i="10"/>
  <c r="AZ469" i="10"/>
  <c r="BA469" i="10"/>
  <c r="AY173" i="10"/>
  <c r="AZ173" i="10"/>
  <c r="BA173" i="10"/>
  <c r="AY71" i="10"/>
  <c r="AZ71" i="10"/>
  <c r="BA71" i="10"/>
  <c r="AX475" i="10"/>
  <c r="AZ475" i="10"/>
  <c r="BA475" i="10"/>
  <c r="AX73" i="10"/>
  <c r="AZ73" i="10"/>
  <c r="BA73" i="10"/>
  <c r="AX476" i="10"/>
  <c r="AZ476" i="10"/>
  <c r="BA476" i="10"/>
  <c r="AX85" i="10"/>
  <c r="AZ85" i="10"/>
  <c r="BA85" i="10"/>
  <c r="AX87" i="10"/>
  <c r="AZ87" i="10"/>
  <c r="BA87" i="10"/>
  <c r="AX163" i="10"/>
  <c r="AZ163" i="10"/>
  <c r="BA163" i="10"/>
  <c r="AX318" i="10"/>
  <c r="AZ318" i="10"/>
  <c r="BA318" i="10"/>
  <c r="AX91" i="10"/>
  <c r="AZ91" i="10"/>
  <c r="BA91" i="10"/>
  <c r="AY490" i="10"/>
  <c r="AX97" i="10"/>
  <c r="AZ97" i="10"/>
  <c r="BA97" i="10"/>
  <c r="AY109" i="10"/>
  <c r="AX109" i="10"/>
  <c r="AY323" i="10"/>
  <c r="AX323" i="10"/>
  <c r="AX464" i="10"/>
  <c r="AZ464" i="10"/>
  <c r="BA464" i="10"/>
  <c r="AY204" i="10"/>
  <c r="AY488" i="10"/>
  <c r="AY95" i="10"/>
  <c r="AY290" i="10"/>
  <c r="AZ290" i="10"/>
  <c r="BA290" i="10"/>
  <c r="AX296" i="10"/>
  <c r="AZ296" i="10"/>
  <c r="BA296" i="10"/>
  <c r="AX195" i="10"/>
  <c r="AZ195" i="10"/>
  <c r="BA195" i="10"/>
  <c r="AX34" i="10"/>
  <c r="AZ34" i="10"/>
  <c r="BA34" i="10"/>
  <c r="AX439" i="10"/>
  <c r="AZ439" i="10"/>
  <c r="BA439" i="10"/>
  <c r="AX58" i="10"/>
  <c r="AZ58" i="10"/>
  <c r="BA58" i="10"/>
  <c r="AX59" i="10"/>
  <c r="AZ59" i="10"/>
  <c r="BA59" i="10"/>
  <c r="AX198" i="10"/>
  <c r="AZ198" i="10"/>
  <c r="BA198" i="10"/>
  <c r="AX61" i="10"/>
  <c r="AZ61" i="10"/>
  <c r="BA61" i="10"/>
  <c r="AX169" i="10"/>
  <c r="AZ169" i="10"/>
  <c r="BA169" i="10"/>
  <c r="AX468" i="10"/>
  <c r="AZ468" i="10"/>
  <c r="BA468" i="10"/>
  <c r="AX202" i="10"/>
  <c r="AZ202" i="10"/>
  <c r="BA202" i="10"/>
  <c r="AY470" i="10"/>
  <c r="AX205" i="10"/>
  <c r="AZ205" i="10"/>
  <c r="BA205" i="10"/>
  <c r="AX207" i="10"/>
  <c r="AZ207" i="10"/>
  <c r="BA207" i="10"/>
  <c r="AX74" i="10"/>
  <c r="AZ74" i="10"/>
  <c r="BA74" i="10"/>
  <c r="AX478" i="10"/>
  <c r="AZ478" i="10"/>
  <c r="BA478" i="10"/>
  <c r="AX81" i="10"/>
  <c r="AZ81" i="10"/>
  <c r="BA81" i="10"/>
  <c r="AX212" i="10"/>
  <c r="AZ212" i="10"/>
  <c r="BA212" i="10"/>
  <c r="AX88" i="10"/>
  <c r="AZ88" i="10"/>
  <c r="BA88" i="10"/>
  <c r="AY482" i="10"/>
  <c r="AX89" i="10"/>
  <c r="AZ89" i="10"/>
  <c r="BA89" i="10"/>
  <c r="AX489" i="10"/>
  <c r="AZ489" i="10"/>
  <c r="BA489" i="10"/>
  <c r="AY105" i="10"/>
  <c r="AX180" i="10"/>
  <c r="AZ180" i="10"/>
  <c r="BA180" i="10"/>
  <c r="AX331" i="10"/>
  <c r="AZ331" i="10"/>
  <c r="BA331" i="10"/>
  <c r="AX332" i="10"/>
  <c r="AZ332" i="10"/>
  <c r="BA332" i="10"/>
  <c r="AY342" i="10"/>
  <c r="AX348" i="10"/>
  <c r="AZ348" i="10"/>
  <c r="BA348" i="10"/>
  <c r="AX350" i="10"/>
  <c r="AZ350" i="10"/>
  <c r="BA350" i="10"/>
  <c r="AX354" i="10"/>
  <c r="AZ354" i="10"/>
  <c r="BA354" i="10"/>
  <c r="AX356" i="10"/>
  <c r="AZ356" i="10"/>
  <c r="BA356" i="10"/>
  <c r="AX360" i="10"/>
  <c r="AZ360" i="10"/>
  <c r="BA360" i="10"/>
  <c r="AX377" i="10"/>
  <c r="AZ377" i="10"/>
  <c r="BA377" i="10"/>
  <c r="AY340" i="10"/>
  <c r="AX341" i="10"/>
  <c r="AZ341" i="10"/>
  <c r="BA341" i="10"/>
  <c r="AX358" i="10"/>
  <c r="AZ358" i="10"/>
  <c r="BA358" i="10"/>
  <c r="AX372" i="10"/>
  <c r="AZ372" i="10"/>
  <c r="BA372" i="10"/>
  <c r="AX376" i="10"/>
  <c r="AZ376" i="10"/>
  <c r="BA376" i="10"/>
  <c r="AY380" i="10"/>
  <c r="AX389" i="10"/>
  <c r="AZ389" i="10"/>
  <c r="BA389" i="10"/>
  <c r="AX70" i="10"/>
  <c r="AZ70" i="10"/>
  <c r="BA70" i="10"/>
  <c r="AX497" i="10"/>
  <c r="AZ497" i="10"/>
  <c r="BA497" i="10"/>
  <c r="AX117" i="10"/>
  <c r="AZ117" i="10"/>
  <c r="BA117" i="10"/>
  <c r="AX123" i="10"/>
  <c r="AZ123" i="10"/>
  <c r="BA123" i="10"/>
  <c r="AX148" i="10"/>
  <c r="AZ148" i="10"/>
  <c r="BA148" i="10"/>
  <c r="AX502" i="10"/>
  <c r="AZ502" i="10"/>
  <c r="BA502" i="10"/>
  <c r="AX154" i="10"/>
  <c r="AZ154" i="10"/>
  <c r="BA154" i="10"/>
  <c r="AX505" i="10"/>
  <c r="AZ505" i="10"/>
  <c r="BA505" i="10"/>
  <c r="AX220" i="10"/>
  <c r="AZ220" i="10"/>
  <c r="BA220" i="10"/>
  <c r="AX157" i="10"/>
  <c r="AZ157" i="10"/>
  <c r="BA157" i="10"/>
  <c r="AX254" i="10"/>
  <c r="AZ254" i="10"/>
  <c r="BA254" i="10"/>
  <c r="AX325" i="10"/>
  <c r="AZ325" i="10"/>
  <c r="BA325" i="10"/>
  <c r="AY383" i="10"/>
  <c r="AZ383" i="10"/>
  <c r="BA383" i="10"/>
  <c r="AY385" i="10"/>
  <c r="AX387" i="10"/>
  <c r="AZ387" i="10"/>
  <c r="BA387" i="10"/>
  <c r="AX391" i="10"/>
  <c r="AZ391" i="10"/>
  <c r="BA391" i="10"/>
  <c r="AX115" i="10"/>
  <c r="AZ115" i="10"/>
  <c r="BA115" i="10"/>
  <c r="AX99" i="10"/>
  <c r="AY99" i="10"/>
  <c r="AX344" i="10"/>
  <c r="AY344" i="10"/>
  <c r="AX359" i="10"/>
  <c r="AY359" i="10"/>
  <c r="AX526" i="10"/>
  <c r="AY526" i="10"/>
  <c r="AX534" i="10"/>
  <c r="AY534" i="10"/>
  <c r="AX542" i="10"/>
  <c r="AY542" i="10"/>
  <c r="AY224" i="10"/>
  <c r="AY9" i="10"/>
  <c r="AY230" i="10"/>
  <c r="AY232" i="10"/>
  <c r="AY206" i="10"/>
  <c r="AY183" i="10"/>
  <c r="AY13" i="10"/>
  <c r="AY14" i="10"/>
  <c r="AX37" i="10"/>
  <c r="AY37" i="10"/>
  <c r="AX255" i="10"/>
  <c r="AY255" i="10"/>
  <c r="AX329" i="10"/>
  <c r="AY329" i="10"/>
  <c r="AX196" i="10"/>
  <c r="AY196" i="10"/>
  <c r="AX24" i="10"/>
  <c r="AY24" i="10"/>
  <c r="AX26" i="10"/>
  <c r="AY26" i="10"/>
  <c r="AX29" i="10"/>
  <c r="AY29" i="10"/>
  <c r="AX410" i="10"/>
  <c r="AY410" i="10"/>
  <c r="AX413" i="10"/>
  <c r="AY413" i="10"/>
  <c r="AX194" i="10"/>
  <c r="AY194" i="10"/>
  <c r="AX443" i="10"/>
  <c r="AY443" i="10"/>
  <c r="AX416" i="10"/>
  <c r="AY416" i="10"/>
  <c r="AX418" i="10"/>
  <c r="AY418" i="10"/>
  <c r="AX422" i="10"/>
  <c r="AY422" i="10"/>
  <c r="AX33" i="10"/>
  <c r="AY33" i="10"/>
  <c r="AX38" i="10"/>
  <c r="AY38" i="10"/>
  <c r="AX434" i="10"/>
  <c r="AY434" i="10"/>
  <c r="AX436" i="10"/>
  <c r="AY436" i="10"/>
  <c r="AX438" i="10"/>
  <c r="AY438" i="10"/>
  <c r="AX440" i="10"/>
  <c r="AY440" i="10"/>
  <c r="AX441" i="10"/>
  <c r="AY441" i="10"/>
  <c r="AX40" i="10"/>
  <c r="AY40" i="10"/>
  <c r="AX44" i="10"/>
  <c r="AY44" i="10"/>
  <c r="AX45" i="10"/>
  <c r="AY45" i="10"/>
  <c r="AX448" i="10"/>
  <c r="AY448" i="10"/>
  <c r="AX48" i="10"/>
  <c r="AY48" i="10"/>
  <c r="AX49" i="10"/>
  <c r="AY49" i="10"/>
  <c r="AX51" i="10"/>
  <c r="AY51" i="10"/>
  <c r="AX53" i="10"/>
  <c r="AY53" i="10"/>
  <c r="AX57" i="10"/>
  <c r="AY57" i="10"/>
  <c r="AX449" i="10"/>
  <c r="AY449" i="10"/>
  <c r="AX451" i="10"/>
  <c r="AY451" i="10"/>
  <c r="AX60" i="10"/>
  <c r="AY60" i="10"/>
  <c r="AX62" i="10"/>
  <c r="AY62" i="10"/>
  <c r="AX457" i="10"/>
  <c r="AY457" i="10"/>
  <c r="AX458" i="10"/>
  <c r="AY458" i="10"/>
  <c r="AX460" i="10"/>
  <c r="AY460" i="10"/>
  <c r="AX63" i="10"/>
  <c r="AY63" i="10"/>
  <c r="AX461" i="10"/>
  <c r="AY461" i="10"/>
  <c r="AX168" i="10"/>
  <c r="AY168" i="10"/>
  <c r="AX170" i="10"/>
  <c r="AY170" i="10"/>
  <c r="AX172" i="10"/>
  <c r="AY172" i="10"/>
  <c r="AX463" i="10"/>
  <c r="AY463" i="10"/>
  <c r="AX465" i="10"/>
  <c r="AY465" i="10"/>
  <c r="AX467" i="10"/>
  <c r="AY467" i="10"/>
  <c r="AX199" i="10"/>
  <c r="AY199" i="10"/>
  <c r="AX201" i="10"/>
  <c r="AY201" i="10"/>
  <c r="AX68" i="10"/>
  <c r="AY68" i="10"/>
  <c r="AX161" i="10"/>
  <c r="AY161" i="10"/>
  <c r="AX69" i="10"/>
  <c r="AY69" i="10"/>
  <c r="AX175" i="10"/>
  <c r="AY175" i="10"/>
  <c r="AX346" i="10"/>
  <c r="AY346" i="10"/>
  <c r="AY223" i="10"/>
  <c r="AY226" i="10"/>
  <c r="AY400" i="10"/>
  <c r="AY402" i="10"/>
  <c r="AY185" i="10"/>
  <c r="AY218" i="10"/>
  <c r="AY12" i="10"/>
  <c r="AY404" i="10"/>
  <c r="AY189" i="10"/>
  <c r="AY297" i="10"/>
  <c r="AX181" i="10"/>
  <c r="AY181" i="10"/>
  <c r="AX333" i="10"/>
  <c r="AY333" i="10"/>
  <c r="AX335" i="10"/>
  <c r="AY335" i="10"/>
  <c r="AX176" i="10"/>
  <c r="AY176" i="10"/>
  <c r="AX208" i="10"/>
  <c r="AY208" i="10"/>
  <c r="AX210" i="10"/>
  <c r="AY210" i="10"/>
  <c r="AX477" i="10"/>
  <c r="AY477" i="10"/>
  <c r="AX479" i="10"/>
  <c r="AY479" i="10"/>
  <c r="AX480" i="10"/>
  <c r="AY480" i="10"/>
  <c r="AX80" i="10"/>
  <c r="AY80" i="10"/>
  <c r="AX83" i="10"/>
  <c r="AY83" i="10"/>
  <c r="AX84" i="10"/>
  <c r="AY84" i="10"/>
  <c r="AX211" i="10"/>
  <c r="AY211" i="10"/>
  <c r="AX213" i="10"/>
  <c r="AY213" i="10"/>
  <c r="AX215" i="10"/>
  <c r="AY215" i="10"/>
  <c r="AX217" i="10"/>
  <c r="AY217" i="10"/>
  <c r="AX96" i="10"/>
  <c r="AY96" i="10"/>
  <c r="AX86" i="10"/>
  <c r="AY86" i="10"/>
  <c r="AX162" i="10"/>
  <c r="AY162" i="10"/>
  <c r="AX108" i="10"/>
  <c r="AY108" i="10"/>
  <c r="AX253" i="10"/>
  <c r="AY253" i="10"/>
  <c r="AX492" i="10"/>
  <c r="AY492" i="10"/>
  <c r="AX327" i="10"/>
  <c r="AY327" i="10"/>
  <c r="AX336" i="10"/>
  <c r="AY336" i="10"/>
  <c r="AX357" i="10"/>
  <c r="AY357" i="10"/>
  <c r="AX92" i="10"/>
  <c r="AY92" i="10"/>
  <c r="AX94" i="10"/>
  <c r="AY94" i="10"/>
  <c r="AX485" i="10"/>
  <c r="AY485" i="10"/>
  <c r="AX487" i="10"/>
  <c r="AY487" i="10"/>
  <c r="AX322" i="10"/>
  <c r="AY322" i="10"/>
  <c r="AX179" i="10"/>
  <c r="AY179" i="10"/>
  <c r="AX334" i="10"/>
  <c r="AY334" i="10"/>
  <c r="AX338" i="10"/>
  <c r="AY338" i="10"/>
  <c r="AX112" i="10"/>
  <c r="AY112" i="10"/>
  <c r="AX127" i="10"/>
  <c r="AY127" i="10"/>
  <c r="AX388" i="10"/>
  <c r="AY388" i="10"/>
  <c r="AX392" i="10"/>
  <c r="AY392" i="10"/>
  <c r="AX496" i="10"/>
  <c r="AY496" i="10"/>
  <c r="AX122" i="10"/>
  <c r="AY122" i="10"/>
  <c r="AX499" i="10"/>
  <c r="AY499" i="10"/>
  <c r="AX120" i="10"/>
  <c r="AY120" i="10"/>
  <c r="AX219" i="10"/>
  <c r="AY219" i="10"/>
  <c r="AX129" i="10"/>
  <c r="AY129" i="10"/>
  <c r="AX361" i="10"/>
  <c r="AY361" i="10"/>
  <c r="AX363" i="10"/>
  <c r="AY363" i="10"/>
  <c r="AX365" i="10"/>
  <c r="AY365" i="10"/>
  <c r="AX366" i="10"/>
  <c r="AY366" i="10"/>
  <c r="AX368" i="10"/>
  <c r="AY368" i="10"/>
  <c r="AX371" i="10"/>
  <c r="AY371" i="10"/>
  <c r="AX375" i="10"/>
  <c r="AY375" i="10"/>
  <c r="AX381" i="10"/>
  <c r="AY381" i="10"/>
  <c r="AX386" i="10"/>
  <c r="AY386" i="10"/>
  <c r="AX390" i="10"/>
  <c r="AY390" i="10"/>
  <c r="AX493" i="10"/>
  <c r="AY493" i="10"/>
  <c r="AX110" i="10"/>
  <c r="AY110" i="10"/>
  <c r="AX124" i="10"/>
  <c r="AY124" i="10"/>
  <c r="AX500" i="10"/>
  <c r="AY500" i="10"/>
  <c r="AX134" i="10"/>
  <c r="AY134" i="10"/>
  <c r="AX524" i="10"/>
  <c r="AY524" i="10"/>
  <c r="AX532" i="10"/>
  <c r="AY532" i="10"/>
  <c r="AX540" i="10"/>
  <c r="AY540" i="10"/>
  <c r="AX501" i="10"/>
  <c r="AY501" i="10"/>
  <c r="AX149" i="10"/>
  <c r="AY149" i="10"/>
  <c r="AX152" i="10"/>
  <c r="AY152" i="10"/>
  <c r="AX153" i="10"/>
  <c r="AY153" i="10"/>
  <c r="AM546" i="10"/>
  <c r="AN546" i="10"/>
  <c r="AM545" i="10"/>
  <c r="AN545" i="10"/>
  <c r="AM544" i="10"/>
  <c r="AN544" i="10"/>
  <c r="AM543" i="10"/>
  <c r="AN543" i="10"/>
  <c r="AM542" i="10"/>
  <c r="AN542" i="10"/>
  <c r="AM541" i="10"/>
  <c r="AN541" i="10"/>
  <c r="AM540" i="10"/>
  <c r="AN540" i="10"/>
  <c r="AM539" i="10"/>
  <c r="AN539" i="10"/>
  <c r="AM538" i="10"/>
  <c r="AN538" i="10"/>
  <c r="AM537" i="10"/>
  <c r="AN537" i="10"/>
  <c r="AM536" i="10"/>
  <c r="AN536" i="10"/>
  <c r="AM535" i="10"/>
  <c r="AN535" i="10"/>
  <c r="AM534" i="10"/>
  <c r="AN534" i="10"/>
  <c r="AM533" i="10"/>
  <c r="AN533" i="10"/>
  <c r="AM532" i="10"/>
  <c r="AN532" i="10"/>
  <c r="AM531" i="10"/>
  <c r="AN531" i="10"/>
  <c r="AM530" i="10"/>
  <c r="AN530" i="10"/>
  <c r="AM529" i="10"/>
  <c r="AN529" i="10"/>
  <c r="AM528" i="10"/>
  <c r="AN528" i="10"/>
  <c r="AM527" i="10"/>
  <c r="AN527" i="10"/>
  <c r="AM526" i="10"/>
  <c r="AN526" i="10"/>
  <c r="AM525" i="10"/>
  <c r="AN525" i="10"/>
  <c r="AM524" i="10"/>
  <c r="AN524" i="10"/>
  <c r="AM523" i="10"/>
  <c r="AN523" i="10"/>
  <c r="AM522" i="10"/>
  <c r="AN522" i="10"/>
  <c r="AM521" i="10"/>
  <c r="AN521" i="10"/>
  <c r="AM520" i="10"/>
  <c r="AN520" i="10"/>
  <c r="AM159" i="10"/>
  <c r="AN159" i="10"/>
  <c r="AM158" i="10"/>
  <c r="AN158" i="10"/>
  <c r="AM157" i="10"/>
  <c r="AM156" i="10"/>
  <c r="AM506" i="10"/>
  <c r="AN506" i="10"/>
  <c r="AM398" i="10"/>
  <c r="AM220" i="10"/>
  <c r="AM155" i="10"/>
  <c r="AN155" i="10"/>
  <c r="AM505" i="10"/>
  <c r="AM504" i="10"/>
  <c r="AM154" i="10"/>
  <c r="AN154" i="10"/>
  <c r="AM153" i="10"/>
  <c r="AN153" i="10"/>
  <c r="AM397" i="10"/>
  <c r="AM152" i="10"/>
  <c r="AM503" i="10"/>
  <c r="AM502" i="10"/>
  <c r="AM150" i="10"/>
  <c r="AM151" i="10"/>
  <c r="AN151" i="10"/>
  <c r="AM149" i="10"/>
  <c r="AN149" i="10"/>
  <c r="AM148" i="10"/>
  <c r="AN148" i="10"/>
  <c r="AM501" i="10"/>
  <c r="AM164" i="10"/>
  <c r="AN164" i="10"/>
  <c r="AM147" i="10"/>
  <c r="AN147" i="10"/>
  <c r="AM146" i="10"/>
  <c r="AN146" i="10"/>
  <c r="AM145" i="10"/>
  <c r="AM144" i="10"/>
  <c r="AM143" i="10"/>
  <c r="AM142" i="10"/>
  <c r="AM141" i="10"/>
  <c r="AM140" i="10"/>
  <c r="AN140" i="10"/>
  <c r="AM139" i="10"/>
  <c r="AM138" i="10"/>
  <c r="AM137" i="10"/>
  <c r="AM136" i="10"/>
  <c r="AM135" i="10"/>
  <c r="AN135" i="10"/>
  <c r="AM134" i="10"/>
  <c r="AN134" i="10"/>
  <c r="AM133" i="10"/>
  <c r="AM396" i="10"/>
  <c r="AM500" i="10"/>
  <c r="AM131" i="10"/>
  <c r="AN131" i="10"/>
  <c r="AM130" i="10"/>
  <c r="AN130" i="10"/>
  <c r="AM129" i="10"/>
  <c r="AN129" i="10"/>
  <c r="AM128" i="10"/>
  <c r="AN128" i="10"/>
  <c r="AM127" i="10"/>
  <c r="AN127" i="10"/>
  <c r="AM499" i="10"/>
  <c r="AM498" i="10"/>
  <c r="AN498" i="10"/>
  <c r="AM219" i="10"/>
  <c r="AN219" i="10"/>
  <c r="AM126" i="10"/>
  <c r="AM125" i="10"/>
  <c r="AN125" i="10"/>
  <c r="AM124" i="10"/>
  <c r="AM123" i="10"/>
  <c r="AM122" i="10"/>
  <c r="AN122" i="10"/>
  <c r="AM121" i="10"/>
  <c r="AN121" i="10"/>
  <c r="AM120" i="10"/>
  <c r="AN120" i="10"/>
  <c r="AM119" i="10"/>
  <c r="AN119" i="10"/>
  <c r="AM118" i="10"/>
  <c r="AN118" i="10"/>
  <c r="AM117" i="10"/>
  <c r="AN117" i="10"/>
  <c r="AM116" i="10"/>
  <c r="AN116" i="10"/>
  <c r="AM115" i="10"/>
  <c r="AM114" i="10"/>
  <c r="AN114" i="10"/>
  <c r="AM113" i="10"/>
  <c r="AN113" i="10"/>
  <c r="AM112" i="10"/>
  <c r="AN112" i="10"/>
  <c r="AM111" i="10"/>
  <c r="AN111" i="10"/>
  <c r="AM110" i="10"/>
  <c r="AN110" i="10"/>
  <c r="AM497" i="10"/>
  <c r="AN497" i="10"/>
  <c r="AM496" i="10"/>
  <c r="AN496" i="10"/>
  <c r="AM395" i="10"/>
  <c r="AM394" i="10"/>
  <c r="AM393" i="10"/>
  <c r="AM495" i="10"/>
  <c r="AN495" i="10"/>
  <c r="AM494" i="10"/>
  <c r="AM493" i="10"/>
  <c r="AM70" i="10"/>
  <c r="AN70" i="10"/>
  <c r="AM392" i="10"/>
  <c r="AN392" i="10"/>
  <c r="AM391" i="10"/>
  <c r="AN391" i="10"/>
  <c r="AM390" i="10"/>
  <c r="AN390" i="10"/>
  <c r="AM389" i="10"/>
  <c r="AN389" i="10"/>
  <c r="AM388" i="10"/>
  <c r="AN388" i="10"/>
  <c r="AM387" i="10"/>
  <c r="AN387" i="10"/>
  <c r="AM386" i="10"/>
  <c r="AN386" i="10"/>
  <c r="AM385" i="10"/>
  <c r="AN385" i="10"/>
  <c r="AM384" i="10"/>
  <c r="AN384" i="10"/>
  <c r="AM383" i="10"/>
  <c r="AN383" i="10"/>
  <c r="AM382" i="10"/>
  <c r="AN382" i="10"/>
  <c r="AM381" i="10"/>
  <c r="AN381" i="10"/>
  <c r="AM380" i="10"/>
  <c r="AN380" i="10"/>
  <c r="AM379" i="10"/>
  <c r="AN379" i="10"/>
  <c r="AM378" i="10"/>
  <c r="AN378" i="10"/>
  <c r="AM377" i="10"/>
  <c r="AN377" i="10"/>
  <c r="AM376" i="10"/>
  <c r="AN376" i="10"/>
  <c r="AM375" i="10"/>
  <c r="AN375" i="10"/>
  <c r="AM374" i="10"/>
  <c r="AN374" i="10"/>
  <c r="AM373" i="10"/>
  <c r="AN373" i="10"/>
  <c r="AM372" i="10"/>
  <c r="AN372" i="10"/>
  <c r="AM371" i="10"/>
  <c r="AN371" i="10"/>
  <c r="AM370" i="10"/>
  <c r="AN370" i="10"/>
  <c r="AM369" i="10"/>
  <c r="AN369" i="10"/>
  <c r="AM368" i="10"/>
  <c r="AN368" i="10"/>
  <c r="AM367" i="10"/>
  <c r="AN367" i="10"/>
  <c r="AM366" i="10"/>
  <c r="AN366" i="10"/>
  <c r="AM365" i="10"/>
  <c r="AN365" i="10"/>
  <c r="AM364" i="10"/>
  <c r="AN364" i="10"/>
  <c r="AM363" i="10"/>
  <c r="AN363" i="10"/>
  <c r="AM362" i="10"/>
  <c r="AN362" i="10"/>
  <c r="AM361" i="10"/>
  <c r="AN361" i="10"/>
  <c r="AM360" i="10"/>
  <c r="AN360" i="10"/>
  <c r="AM359" i="10"/>
  <c r="AN359" i="10"/>
  <c r="AM358" i="10"/>
  <c r="AN358" i="10"/>
  <c r="AM357" i="10"/>
  <c r="AN357" i="10"/>
  <c r="AM356" i="10"/>
  <c r="AN356" i="10"/>
  <c r="AM355" i="10"/>
  <c r="AN355" i="10"/>
  <c r="AM354" i="10"/>
  <c r="AN354" i="10"/>
  <c r="AM353" i="10"/>
  <c r="AN353" i="10"/>
  <c r="AM352" i="10"/>
  <c r="AN352" i="10"/>
  <c r="AM351" i="10"/>
  <c r="AN351" i="10"/>
  <c r="AM350" i="10"/>
  <c r="AN350" i="10"/>
  <c r="AM349" i="10"/>
  <c r="AN349" i="10"/>
  <c r="AM348" i="10"/>
  <c r="AN348" i="10"/>
  <c r="AM347" i="10"/>
  <c r="AN347" i="10"/>
  <c r="AM346" i="10"/>
  <c r="AN346" i="10"/>
  <c r="AM345" i="10"/>
  <c r="AN345" i="10"/>
  <c r="AM344" i="10"/>
  <c r="AN344" i="10"/>
  <c r="AM343" i="10"/>
  <c r="AN343" i="10"/>
  <c r="AM342" i="10"/>
  <c r="AN342" i="10"/>
  <c r="AM341" i="10"/>
  <c r="AN341" i="10"/>
  <c r="AM340" i="10"/>
  <c r="AN340" i="10"/>
  <c r="AM339" i="10"/>
  <c r="AN339" i="10"/>
  <c r="AM338" i="10"/>
  <c r="AN338" i="10"/>
  <c r="AM337" i="10"/>
  <c r="AN337" i="10"/>
  <c r="AM336" i="10"/>
  <c r="AN336" i="10"/>
  <c r="AM335" i="10"/>
  <c r="AN335" i="10"/>
  <c r="AM334" i="10"/>
  <c r="AN334" i="10"/>
  <c r="AM333" i="10"/>
  <c r="AN333" i="10"/>
  <c r="AM332" i="10"/>
  <c r="AN332" i="10"/>
  <c r="AM327" i="10"/>
  <c r="AN327" i="10"/>
  <c r="AM331" i="10"/>
  <c r="AN331" i="10"/>
  <c r="AM330" i="10"/>
  <c r="AN330" i="10"/>
  <c r="AM329" i="10"/>
  <c r="AN329" i="10"/>
  <c r="AM328" i="10"/>
  <c r="AN328" i="10"/>
  <c r="AM492" i="10"/>
  <c r="AN492" i="10"/>
  <c r="AM326" i="10"/>
  <c r="AM181" i="10"/>
  <c r="AM180" i="10"/>
  <c r="AM179" i="10"/>
  <c r="AM178" i="10"/>
  <c r="AM325" i="10"/>
  <c r="AN325" i="10"/>
  <c r="AM324" i="10"/>
  <c r="AM323" i="10"/>
  <c r="AN323" i="10"/>
  <c r="AM322" i="10"/>
  <c r="AN322" i="10"/>
  <c r="AM321" i="10"/>
  <c r="AN321" i="10"/>
  <c r="AM255" i="10"/>
  <c r="AN255" i="10"/>
  <c r="AM254" i="10"/>
  <c r="AN254" i="10"/>
  <c r="AM253" i="10"/>
  <c r="AN253" i="10"/>
  <c r="AM491" i="10"/>
  <c r="AM320" i="10"/>
  <c r="AM109" i="10"/>
  <c r="AN109" i="10"/>
  <c r="AM108" i="10"/>
  <c r="AN108" i="10"/>
  <c r="AM107" i="10"/>
  <c r="AN107" i="10"/>
  <c r="AM106" i="10"/>
  <c r="AN106" i="10"/>
  <c r="AM105" i="10"/>
  <c r="AN105" i="10"/>
  <c r="AM104" i="10"/>
  <c r="AN104" i="10"/>
  <c r="AM103" i="10"/>
  <c r="AN103" i="10"/>
  <c r="AM102" i="10"/>
  <c r="AN102" i="10"/>
  <c r="AM101" i="10"/>
  <c r="AN101" i="10"/>
  <c r="AM100" i="10"/>
  <c r="AN100" i="10"/>
  <c r="AM99" i="10"/>
  <c r="AM98" i="10"/>
  <c r="AN98" i="10"/>
  <c r="AM97" i="10"/>
  <c r="AN97" i="10"/>
  <c r="AM490" i="10"/>
  <c r="AM95" i="10"/>
  <c r="AN95" i="10"/>
  <c r="AM489" i="10"/>
  <c r="AN489" i="10"/>
  <c r="AM488" i="10"/>
  <c r="AN488" i="10"/>
  <c r="AM486" i="10"/>
  <c r="AN486" i="10"/>
  <c r="AM487" i="10"/>
  <c r="AN487" i="10"/>
  <c r="AM319" i="10"/>
  <c r="AM485" i="10"/>
  <c r="AM484" i="10"/>
  <c r="AM94" i="10"/>
  <c r="AN94" i="10"/>
  <c r="AM93" i="10"/>
  <c r="AN93" i="10"/>
  <c r="AM92" i="10"/>
  <c r="AN92" i="10"/>
  <c r="AM91" i="10"/>
  <c r="AN91" i="10"/>
  <c r="AM90" i="10"/>
  <c r="AN90" i="10"/>
  <c r="AM318" i="10"/>
  <c r="AN318" i="10"/>
  <c r="AM317" i="10"/>
  <c r="AM89" i="10"/>
  <c r="AN89" i="10"/>
  <c r="AM316" i="10"/>
  <c r="AM483" i="10"/>
  <c r="AM482" i="10"/>
  <c r="AN482" i="10"/>
  <c r="AM32" i="10"/>
  <c r="AN32" i="10"/>
  <c r="AM163" i="10"/>
  <c r="AM162" i="10"/>
  <c r="AM88" i="10"/>
  <c r="AN88" i="10"/>
  <c r="AM87" i="10"/>
  <c r="AN87" i="10"/>
  <c r="AM86" i="10"/>
  <c r="AN86" i="10"/>
  <c r="AM481" i="10"/>
  <c r="AN481" i="10"/>
  <c r="AM315" i="10"/>
  <c r="AM314" i="10"/>
  <c r="AM96" i="10"/>
  <c r="AN96" i="10"/>
  <c r="AM85" i="10"/>
  <c r="AN85" i="10"/>
  <c r="AM217" i="10"/>
  <c r="AM216" i="10"/>
  <c r="AM215" i="10"/>
  <c r="AM214" i="10"/>
  <c r="AM213" i="10"/>
  <c r="AM212" i="10"/>
  <c r="AM211" i="10"/>
  <c r="AM84" i="10"/>
  <c r="AN84" i="10"/>
  <c r="AM313" i="10"/>
  <c r="AM83" i="10"/>
  <c r="AN83" i="10"/>
  <c r="AM82" i="10"/>
  <c r="AN82" i="10"/>
  <c r="AM81" i="10"/>
  <c r="AN81" i="10"/>
  <c r="AM80" i="10"/>
  <c r="AN80" i="10"/>
  <c r="AM79" i="10"/>
  <c r="AN79" i="10"/>
  <c r="AM78" i="10"/>
  <c r="AN78" i="10"/>
  <c r="AM480" i="10"/>
  <c r="AM312" i="10"/>
  <c r="AM479" i="10"/>
  <c r="AM478" i="10"/>
  <c r="AM477" i="10"/>
  <c r="AM476" i="10"/>
  <c r="AM311" i="10"/>
  <c r="AM77" i="10"/>
  <c r="AN77" i="10"/>
  <c r="AM76" i="10"/>
  <c r="AN76" i="10"/>
  <c r="AM75" i="10"/>
  <c r="AN75" i="10"/>
  <c r="AM74" i="10"/>
  <c r="AN74" i="10"/>
  <c r="AM310" i="10"/>
  <c r="AM309" i="10"/>
  <c r="AM210" i="10"/>
  <c r="AM209" i="10"/>
  <c r="AM208" i="10"/>
  <c r="AM207" i="10"/>
  <c r="AM177" i="10"/>
  <c r="AM176" i="10"/>
  <c r="AN176" i="10"/>
  <c r="AM175" i="10"/>
  <c r="AN175" i="10"/>
  <c r="AM73" i="10"/>
  <c r="AM72" i="10"/>
  <c r="AN72" i="10"/>
  <c r="AM37" i="10"/>
  <c r="AN37" i="10"/>
  <c r="AM475" i="10"/>
  <c r="AM474" i="10"/>
  <c r="AM473" i="10"/>
  <c r="AM472" i="10"/>
  <c r="AM471" i="10"/>
  <c r="AM71" i="10"/>
  <c r="AN71" i="10"/>
  <c r="AM308" i="10"/>
  <c r="AM307" i="10"/>
  <c r="AM306" i="10"/>
  <c r="AM305" i="10"/>
  <c r="AM205" i="10"/>
  <c r="AM204" i="10"/>
  <c r="AM174" i="10"/>
  <c r="AM173" i="10"/>
  <c r="AM470" i="10"/>
  <c r="AM469" i="10"/>
  <c r="AM69" i="10"/>
  <c r="AN69" i="10"/>
  <c r="AM304" i="10"/>
  <c r="AM161" i="10"/>
  <c r="AM160" i="10"/>
  <c r="AM68" i="10"/>
  <c r="AN68" i="10"/>
  <c r="AM67" i="10"/>
  <c r="AN67" i="10"/>
  <c r="AM66" i="10"/>
  <c r="AN66" i="10"/>
  <c r="AM303" i="10"/>
  <c r="AM302" i="10"/>
  <c r="AM287" i="10"/>
  <c r="AM203" i="10"/>
  <c r="AN203" i="10"/>
  <c r="AM202" i="10"/>
  <c r="AN202" i="10"/>
  <c r="AM201" i="10"/>
  <c r="AN201" i="10"/>
  <c r="AM200" i="10"/>
  <c r="AN200" i="10"/>
  <c r="AM199" i="10"/>
  <c r="AN199" i="10"/>
  <c r="AM286" i="10"/>
  <c r="AM468" i="10"/>
  <c r="AN468" i="10"/>
  <c r="AM467" i="10"/>
  <c r="AN467" i="10"/>
  <c r="AM466" i="10"/>
  <c r="AN466" i="10"/>
  <c r="AM465" i="10"/>
  <c r="AN465" i="10"/>
  <c r="AM464" i="10"/>
  <c r="AM463" i="10"/>
  <c r="AM285" i="10"/>
  <c r="AM284" i="10"/>
  <c r="AM172" i="10"/>
  <c r="AM171" i="10"/>
  <c r="AM170" i="10"/>
  <c r="AM169" i="10"/>
  <c r="AM168" i="10"/>
  <c r="AM167" i="10"/>
  <c r="AM462" i="10"/>
  <c r="AM461" i="10"/>
  <c r="AM64" i="10"/>
  <c r="AN64" i="10"/>
  <c r="AM63" i="10"/>
  <c r="AN63" i="10"/>
  <c r="AM460" i="10"/>
  <c r="AM459" i="10"/>
  <c r="AN459" i="10"/>
  <c r="AM458" i="10"/>
  <c r="AN458" i="10"/>
  <c r="AM283" i="10"/>
  <c r="AM457" i="10"/>
  <c r="AM62" i="10"/>
  <c r="AN62" i="10"/>
  <c r="AM61" i="10"/>
  <c r="AM132" i="10"/>
  <c r="AN132" i="10"/>
  <c r="AM60" i="10"/>
  <c r="AM456" i="10"/>
  <c r="AN456" i="10"/>
  <c r="AM282" i="10"/>
  <c r="AM59" i="10"/>
  <c r="AN59" i="10"/>
  <c r="AM198" i="10"/>
  <c r="AM281" i="10"/>
  <c r="AM455" i="10"/>
  <c r="AM280" i="10"/>
  <c r="AM279" i="10"/>
  <c r="AM58" i="10"/>
  <c r="AN58" i="10"/>
  <c r="AM454" i="10"/>
  <c r="AM453" i="10"/>
  <c r="AM452" i="10"/>
  <c r="AM278" i="10"/>
  <c r="AM277" i="10"/>
  <c r="AM451" i="10"/>
  <c r="AM450" i="10"/>
  <c r="AM449" i="10"/>
  <c r="AM57" i="10"/>
  <c r="AN57" i="10"/>
  <c r="AM56" i="10"/>
  <c r="AN56" i="10"/>
  <c r="AM55" i="10"/>
  <c r="AN55" i="10"/>
  <c r="AM54" i="10"/>
  <c r="AN54" i="10"/>
  <c r="AM53" i="10"/>
  <c r="AN53" i="10"/>
  <c r="AM52" i="10"/>
  <c r="AM51" i="10"/>
  <c r="AM50" i="10"/>
  <c r="AM49" i="10"/>
  <c r="AM48" i="10"/>
  <c r="AM47" i="10"/>
  <c r="AN47" i="10"/>
  <c r="AM448" i="10"/>
  <c r="AN448" i="10"/>
  <c r="AM46" i="10"/>
  <c r="AM45" i="10"/>
  <c r="AM166" i="10"/>
  <c r="AM44" i="10"/>
  <c r="AN44" i="10"/>
  <c r="AM276" i="10"/>
  <c r="AM447" i="10"/>
  <c r="AN447" i="10"/>
  <c r="AM446" i="10"/>
  <c r="AM275" i="10"/>
  <c r="AM43" i="10"/>
  <c r="AN43" i="10"/>
  <c r="AM42" i="10"/>
  <c r="AN42" i="10"/>
  <c r="AM41" i="10"/>
  <c r="AN41" i="10"/>
  <c r="AM40" i="10"/>
  <c r="AN40" i="10"/>
  <c r="AM445" i="10"/>
  <c r="AM274" i="10"/>
  <c r="AM273" i="10"/>
  <c r="AM442" i="10"/>
  <c r="AM441" i="10"/>
  <c r="AM440" i="10"/>
  <c r="AM439" i="10"/>
  <c r="AM438" i="10"/>
  <c r="AM437" i="10"/>
  <c r="AM436" i="10"/>
  <c r="AM435" i="10"/>
  <c r="AM272" i="10"/>
  <c r="AM434" i="10"/>
  <c r="AM271" i="10"/>
  <c r="AM433" i="10"/>
  <c r="AM270" i="10"/>
  <c r="AM39" i="10"/>
  <c r="AN39" i="10"/>
  <c r="AM269" i="10"/>
  <c r="AM38" i="10"/>
  <c r="AN38" i="10"/>
  <c r="AM268" i="10"/>
  <c r="AM267" i="10"/>
  <c r="AM432" i="10"/>
  <c r="AM266" i="10"/>
  <c r="AM265" i="10"/>
  <c r="AM431" i="10"/>
  <c r="AM430" i="10"/>
  <c r="AM429" i="10"/>
  <c r="AN429" i="10"/>
  <c r="AM428" i="10"/>
  <c r="AM427" i="10"/>
  <c r="AN427" i="10"/>
  <c r="AM264" i="10"/>
  <c r="AM426" i="10"/>
  <c r="AM424" i="10"/>
  <c r="AM36" i="10"/>
  <c r="AM35" i="10"/>
  <c r="AM34" i="10"/>
  <c r="AN34" i="10"/>
  <c r="AM33" i="10"/>
  <c r="AN33" i="10"/>
  <c r="AM423" i="10"/>
  <c r="AN423" i="10"/>
  <c r="AM263" i="10"/>
  <c r="AM262" i="10"/>
  <c r="AM261" i="10"/>
  <c r="AM260" i="10"/>
  <c r="AM259" i="10"/>
  <c r="AM258" i="10"/>
  <c r="AM257" i="10"/>
  <c r="AM256" i="10"/>
  <c r="AM422" i="10"/>
  <c r="AM421" i="10"/>
  <c r="AM252" i="10"/>
  <c r="AM251" i="10"/>
  <c r="AM420" i="10"/>
  <c r="AN420" i="10"/>
  <c r="AM197" i="10"/>
  <c r="AM196" i="10"/>
  <c r="AM419" i="10"/>
  <c r="AM418" i="10"/>
  <c r="AM417" i="10"/>
  <c r="AM416" i="10"/>
  <c r="AM415" i="10"/>
  <c r="AM414" i="10"/>
  <c r="AN414" i="10"/>
  <c r="AM444" i="10"/>
  <c r="AM443" i="10"/>
  <c r="AM195" i="10"/>
  <c r="AM194" i="10"/>
  <c r="AM193" i="10"/>
  <c r="AM413" i="10"/>
  <c r="AN413" i="10"/>
  <c r="AM412" i="10"/>
  <c r="AN412" i="10"/>
  <c r="AM411" i="10"/>
  <c r="AM31" i="10"/>
  <c r="AN31" i="10"/>
  <c r="AM250" i="10"/>
  <c r="AM249" i="10"/>
  <c r="AM248" i="10"/>
  <c r="AM247" i="10"/>
  <c r="AM410" i="10"/>
  <c r="AM409" i="10"/>
  <c r="AM30" i="10"/>
  <c r="AN30" i="10"/>
  <c r="AM65" i="10"/>
  <c r="AN65" i="10"/>
  <c r="AM29" i="10"/>
  <c r="AN29" i="10"/>
  <c r="AM28" i="10"/>
  <c r="AN28" i="10"/>
  <c r="AM27" i="10"/>
  <c r="AN27" i="10"/>
  <c r="AM26" i="10"/>
  <c r="AN26" i="10"/>
  <c r="AM25" i="10"/>
  <c r="AN25" i="10"/>
  <c r="AM24" i="10"/>
  <c r="AN24" i="10"/>
  <c r="AM408" i="10"/>
  <c r="AN408" i="10"/>
  <c r="AM165" i="10"/>
  <c r="AM407" i="10"/>
  <c r="AM301" i="10"/>
  <c r="AM300" i="10"/>
  <c r="AM299" i="10"/>
  <c r="AM298" i="10"/>
  <c r="AM297" i="10"/>
  <c r="AM296" i="10"/>
  <c r="AM295" i="10"/>
  <c r="AM294" i="10"/>
  <c r="AM293" i="10"/>
  <c r="AM292" i="10"/>
  <c r="AM291" i="10"/>
  <c r="AM290" i="10"/>
  <c r="AM289" i="10"/>
  <c r="AM288" i="10"/>
  <c r="AM190" i="10"/>
  <c r="AM189" i="10"/>
  <c r="AM23" i="10"/>
  <c r="AN23" i="10"/>
  <c r="AM246" i="10"/>
  <c r="AM22" i="10"/>
  <c r="AN22" i="10"/>
  <c r="AM245" i="10"/>
  <c r="AM21" i="10"/>
  <c r="AN21" i="10"/>
  <c r="AM20" i="10"/>
  <c r="AN20" i="10"/>
  <c r="AM19" i="10"/>
  <c r="AN19" i="10"/>
  <c r="AM18" i="10"/>
  <c r="AN18" i="10"/>
  <c r="AM17" i="10"/>
  <c r="AN17" i="10"/>
  <c r="AM16" i="10"/>
  <c r="AN16" i="10"/>
  <c r="AM15" i="10"/>
  <c r="AM244" i="10"/>
  <c r="AM243" i="10"/>
  <c r="AM406" i="10"/>
  <c r="AM405" i="10"/>
  <c r="AM188" i="10"/>
  <c r="AM14" i="10"/>
  <c r="AN14" i="10"/>
  <c r="AM404" i="10"/>
  <c r="AM242" i="10"/>
  <c r="AM241" i="10"/>
  <c r="AM240" i="10"/>
  <c r="AM239" i="10"/>
  <c r="AM238" i="10"/>
  <c r="AM237" i="10"/>
  <c r="AM13" i="10"/>
  <c r="AN13" i="10"/>
  <c r="AM191" i="10"/>
  <c r="AM12" i="10"/>
  <c r="AM236" i="10"/>
  <c r="AM403" i="10"/>
  <c r="AM11" i="10"/>
  <c r="AN11" i="10"/>
  <c r="AM218" i="10"/>
  <c r="AM187" i="10"/>
  <c r="AM186" i="10"/>
  <c r="AM185" i="10"/>
  <c r="AM184" i="10"/>
  <c r="AM183" i="10"/>
  <c r="AM182" i="10"/>
  <c r="AM235" i="10"/>
  <c r="AM206" i="10"/>
  <c r="AN206" i="10"/>
  <c r="AM10" i="10"/>
  <c r="AM402" i="10"/>
  <c r="AN402" i="10"/>
  <c r="AM234" i="10"/>
  <c r="AM400" i="10"/>
  <c r="AM233" i="10"/>
  <c r="AM232" i="10"/>
  <c r="AM399" i="10"/>
  <c r="AM231" i="10"/>
  <c r="AM230" i="10"/>
  <c r="AM229" i="10"/>
  <c r="AM228" i="10"/>
  <c r="AM9" i="10"/>
  <c r="AN9" i="10"/>
  <c r="AM227" i="10"/>
  <c r="AM226" i="10"/>
  <c r="AM225" i="10"/>
  <c r="AM224" i="10"/>
  <c r="AM223" i="10"/>
  <c r="AM222" i="10"/>
  <c r="D193" i="34"/>
  <c r="D188" i="34"/>
  <c r="D184" i="34"/>
  <c r="D179" i="34"/>
  <c r="D170" i="34"/>
  <c r="D127" i="34"/>
  <c r="D122" i="34"/>
  <c r="D103" i="34"/>
  <c r="D101" i="34"/>
  <c r="D129" i="34"/>
  <c r="D93" i="34"/>
  <c r="D79" i="34"/>
  <c r="D58" i="34"/>
  <c r="D56" i="34"/>
  <c r="D55" i="34"/>
  <c r="D52" i="34"/>
  <c r="D64" i="34"/>
  <c r="D62" i="34"/>
  <c r="D46" i="34"/>
  <c r="D17" i="34"/>
  <c r="D16" i="34"/>
  <c r="D8" i="34"/>
  <c r="D6" i="34"/>
  <c r="D5" i="34"/>
  <c r="D4" i="34"/>
  <c r="D241" i="34"/>
  <c r="D240" i="34"/>
  <c r="D236" i="34"/>
  <c r="D225" i="34"/>
  <c r="D111" i="34"/>
  <c r="D100" i="34"/>
  <c r="D36" i="34"/>
  <c r="D25" i="34"/>
  <c r="D249" i="34"/>
  <c r="D248" i="34"/>
  <c r="D247" i="34"/>
  <c r="D246" i="34"/>
  <c r="D245" i="34"/>
  <c r="D244" i="34"/>
  <c r="D243" i="34"/>
  <c r="D242" i="34"/>
  <c r="D239" i="34"/>
  <c r="D238" i="34"/>
  <c r="D237" i="34"/>
  <c r="D235" i="34"/>
  <c r="D234" i="34"/>
  <c r="D233" i="34"/>
  <c r="D232" i="34"/>
  <c r="D231" i="34"/>
  <c r="D230" i="34"/>
  <c r="D229" i="34"/>
  <c r="D228" i="34"/>
  <c r="D227" i="34"/>
  <c r="D226"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2" i="34"/>
  <c r="D191" i="34"/>
  <c r="D189" i="34"/>
  <c r="D187" i="34"/>
  <c r="D186" i="34"/>
  <c r="D185" i="34"/>
  <c r="D183" i="34"/>
  <c r="D182" i="34"/>
  <c r="D181" i="34"/>
  <c r="D180" i="34"/>
  <c r="D178" i="34"/>
  <c r="D177" i="34"/>
  <c r="D176" i="34"/>
  <c r="D175" i="34"/>
  <c r="D174" i="34"/>
  <c r="D173" i="34"/>
  <c r="D172" i="34"/>
  <c r="D171"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8" i="34"/>
  <c r="D126" i="34"/>
  <c r="D125" i="34"/>
  <c r="D124" i="34"/>
  <c r="D123" i="34"/>
  <c r="D121" i="34"/>
  <c r="D120" i="34"/>
  <c r="D119" i="34"/>
  <c r="D118" i="34"/>
  <c r="D117" i="34"/>
  <c r="D116" i="34"/>
  <c r="D115" i="34"/>
  <c r="D114" i="34"/>
  <c r="D113" i="34"/>
  <c r="D112" i="34"/>
  <c r="D110" i="34"/>
  <c r="D109" i="34"/>
  <c r="D108" i="34"/>
  <c r="D107" i="34"/>
  <c r="D106" i="34"/>
  <c r="D105" i="34"/>
  <c r="D104" i="34"/>
  <c r="D102" i="34"/>
  <c r="D99" i="34"/>
  <c r="D98" i="34"/>
  <c r="D96" i="34"/>
  <c r="D95" i="34"/>
  <c r="D94" i="34"/>
  <c r="D92" i="34"/>
  <c r="D91" i="34"/>
  <c r="D90" i="34"/>
  <c r="D89" i="34"/>
  <c r="D88" i="34"/>
  <c r="D87" i="34"/>
  <c r="D86" i="34"/>
  <c r="D85" i="34"/>
  <c r="D84" i="34"/>
  <c r="D83" i="34"/>
  <c r="D82" i="34"/>
  <c r="D81" i="34"/>
  <c r="D80" i="34"/>
  <c r="D78" i="34"/>
  <c r="D77" i="34"/>
  <c r="D76" i="34"/>
  <c r="D75" i="34"/>
  <c r="D74" i="34"/>
  <c r="D73" i="34"/>
  <c r="D72" i="34"/>
  <c r="D71" i="34"/>
  <c r="D70" i="34"/>
  <c r="D69" i="34"/>
  <c r="D68" i="34"/>
  <c r="D67" i="34"/>
  <c r="D66" i="34"/>
  <c r="D65" i="34"/>
  <c r="D63" i="34"/>
  <c r="D61" i="34"/>
  <c r="D60" i="34"/>
  <c r="D59" i="34"/>
  <c r="D57" i="34"/>
  <c r="D54" i="34"/>
  <c r="D53" i="34"/>
  <c r="D51" i="34"/>
  <c r="D50" i="34"/>
  <c r="D49" i="34"/>
  <c r="D48" i="34"/>
  <c r="D47" i="34"/>
  <c r="D45" i="34"/>
  <c r="D44" i="34"/>
  <c r="D43" i="34"/>
  <c r="D42" i="34"/>
  <c r="D41" i="34"/>
  <c r="D40" i="34"/>
  <c r="D39" i="34"/>
  <c r="D38" i="34"/>
  <c r="D37" i="34"/>
  <c r="D35" i="34"/>
  <c r="D34" i="34"/>
  <c r="D33" i="34"/>
  <c r="D32" i="34"/>
  <c r="D31" i="34"/>
  <c r="D30" i="34"/>
  <c r="D29" i="34"/>
  <c r="D28" i="34"/>
  <c r="D27" i="34"/>
  <c r="D26" i="34"/>
  <c r="D24" i="34"/>
  <c r="D23" i="34"/>
  <c r="D22" i="34"/>
  <c r="D18" i="34"/>
  <c r="D15" i="34"/>
  <c r="D14" i="34"/>
  <c r="D12" i="34"/>
  <c r="D11" i="34"/>
  <c r="D10" i="34"/>
  <c r="D9" i="34"/>
  <c r="D7" i="34"/>
  <c r="D3" i="34"/>
  <c r="AQ9" i="10"/>
  <c r="AQ206" i="10"/>
  <c r="AQ19" i="10"/>
  <c r="AQ26" i="10"/>
  <c r="AQ29" i="10"/>
  <c r="AQ414" i="10"/>
  <c r="AQ420" i="10"/>
  <c r="AQ33" i="10"/>
  <c r="AQ427" i="10"/>
  <c r="AQ39" i="10"/>
  <c r="AQ41" i="10"/>
  <c r="AQ56" i="10"/>
  <c r="AQ58" i="10"/>
  <c r="AQ59" i="10"/>
  <c r="AQ132" i="10"/>
  <c r="AQ64" i="10"/>
  <c r="AQ201" i="10"/>
  <c r="AQ68" i="10"/>
  <c r="AQ175" i="10"/>
  <c r="AQ77" i="10"/>
  <c r="AQ78" i="10"/>
  <c r="AQ82" i="10"/>
  <c r="AQ85" i="10"/>
  <c r="AQ481" i="10"/>
  <c r="AQ87" i="10"/>
  <c r="AQ482" i="10"/>
  <c r="AQ92" i="10"/>
  <c r="AQ488" i="10"/>
  <c r="AQ97" i="10"/>
  <c r="AQ102" i="10"/>
  <c r="AQ107" i="10"/>
  <c r="AQ322" i="10"/>
  <c r="AQ325" i="10"/>
  <c r="AQ327" i="10"/>
  <c r="AQ332" i="10"/>
  <c r="AQ336" i="10"/>
  <c r="AQ338" i="10"/>
  <c r="AQ340" i="10"/>
  <c r="AQ349" i="10"/>
  <c r="AQ354" i="10"/>
  <c r="AQ358" i="10"/>
  <c r="AQ362" i="10"/>
  <c r="AQ374" i="10"/>
  <c r="AQ377" i="10"/>
  <c r="AQ378" i="10"/>
  <c r="AQ382" i="10"/>
  <c r="AQ389" i="10"/>
  <c r="AQ110" i="10"/>
  <c r="AQ114" i="10"/>
  <c r="AQ120" i="10"/>
  <c r="AQ127" i="10"/>
  <c r="AQ131" i="10"/>
  <c r="AQ140" i="10"/>
  <c r="AQ146" i="10"/>
  <c r="AQ151" i="10"/>
  <c r="AQ539" i="10"/>
  <c r="AQ543" i="10"/>
  <c r="AQ16" i="10"/>
  <c r="AQ20" i="10"/>
  <c r="AQ22" i="10"/>
  <c r="AQ408" i="10"/>
  <c r="AQ27" i="10"/>
  <c r="AQ65" i="10"/>
  <c r="AQ412" i="10"/>
  <c r="AQ34" i="10"/>
  <c r="AQ42" i="10"/>
  <c r="AQ44" i="10"/>
  <c r="AQ448" i="10"/>
  <c r="AQ53" i="10"/>
  <c r="AQ57" i="10"/>
  <c r="AQ467" i="10"/>
  <c r="AQ202" i="10"/>
  <c r="AQ176" i="10"/>
  <c r="AQ74" i="10"/>
  <c r="AQ79" i="10"/>
  <c r="AQ83" i="10"/>
  <c r="AQ96" i="10"/>
  <c r="AQ86" i="10"/>
  <c r="AQ89" i="10"/>
  <c r="AQ318" i="10"/>
  <c r="AQ93" i="10"/>
  <c r="AQ489" i="10"/>
  <c r="AQ103" i="10"/>
  <c r="AQ108" i="10"/>
  <c r="AQ254" i="10"/>
  <c r="AQ323" i="10"/>
  <c r="AQ328" i="10"/>
  <c r="AQ331" i="10"/>
  <c r="AQ333" i="10"/>
  <c r="AQ337" i="10"/>
  <c r="AQ341" i="10"/>
  <c r="AQ345" i="10"/>
  <c r="AQ350" i="10"/>
  <c r="AQ355" i="10"/>
  <c r="AQ359" i="10"/>
  <c r="AQ363" i="10"/>
  <c r="AQ367" i="10"/>
  <c r="AQ370" i="10"/>
  <c r="AQ375" i="10"/>
  <c r="AQ383" i="10"/>
  <c r="AQ390" i="10"/>
  <c r="AQ391" i="10"/>
  <c r="AQ111" i="10"/>
  <c r="AQ119" i="10"/>
  <c r="AQ121" i="10"/>
  <c r="AQ125" i="10"/>
  <c r="AQ128" i="10"/>
  <c r="AQ147" i="10"/>
  <c r="AQ155" i="10"/>
  <c r="AQ520" i="10"/>
  <c r="AQ528" i="10"/>
  <c r="AQ532" i="10"/>
  <c r="AQ536" i="10"/>
  <c r="AQ540" i="10"/>
  <c r="AQ544" i="10"/>
  <c r="AQ402" i="10"/>
  <c r="AQ11" i="10"/>
  <c r="AQ14" i="10"/>
  <c r="AQ17" i="10"/>
  <c r="AQ24" i="10"/>
  <c r="AQ30" i="10"/>
  <c r="AQ413" i="10"/>
  <c r="AQ429" i="10"/>
  <c r="AQ38" i="10"/>
  <c r="AQ43" i="10"/>
  <c r="AQ47" i="10"/>
  <c r="AQ54" i="10"/>
  <c r="AQ456" i="10"/>
  <c r="AQ199" i="10"/>
  <c r="AQ203" i="10"/>
  <c r="AQ66" i="10"/>
  <c r="AQ69" i="10"/>
  <c r="AQ37" i="10"/>
  <c r="AQ72" i="10"/>
  <c r="AQ75" i="10"/>
  <c r="AQ80" i="10"/>
  <c r="AQ88" i="10"/>
  <c r="AQ90" i="10"/>
  <c r="AQ94" i="10"/>
  <c r="AQ487" i="10"/>
  <c r="AQ95" i="10"/>
  <c r="AQ98" i="10"/>
  <c r="AQ100" i="10"/>
  <c r="AQ104" i="10"/>
  <c r="AQ105" i="10"/>
  <c r="AQ255" i="10"/>
  <c r="AQ492" i="10"/>
  <c r="AQ329" i="10"/>
  <c r="AQ334" i="10"/>
  <c r="AQ342" i="10"/>
  <c r="AQ346" i="10"/>
  <c r="AQ347" i="10"/>
  <c r="AQ351" i="10"/>
  <c r="AQ352" i="10"/>
  <c r="AQ356" i="10"/>
  <c r="AQ360" i="10"/>
  <c r="AQ364" i="10"/>
  <c r="AQ368" i="10"/>
  <c r="AQ371" i="10"/>
  <c r="AQ373" i="10"/>
  <c r="AQ376" i="10"/>
  <c r="AQ379" i="10"/>
  <c r="AQ384" i="10"/>
  <c r="AQ387" i="10"/>
  <c r="AQ392" i="10"/>
  <c r="AQ495" i="10"/>
  <c r="AQ496" i="10"/>
  <c r="AQ116" i="10"/>
  <c r="AQ122" i="10"/>
  <c r="AQ134" i="10"/>
  <c r="AQ148" i="10"/>
  <c r="AQ154" i="10"/>
  <c r="AQ158" i="10"/>
  <c r="AQ521" i="10"/>
  <c r="AQ525" i="10"/>
  <c r="AQ529" i="10"/>
  <c r="AQ533" i="10"/>
  <c r="AQ545" i="10"/>
  <c r="AQ13" i="10"/>
  <c r="AQ18" i="10"/>
  <c r="AQ21" i="10"/>
  <c r="AQ23" i="10"/>
  <c r="AQ25" i="10"/>
  <c r="AQ28" i="10"/>
  <c r="AQ31" i="10"/>
  <c r="AQ423" i="10"/>
  <c r="AQ40" i="10"/>
  <c r="AQ447" i="10"/>
  <c r="AQ55" i="10"/>
  <c r="AQ62" i="10"/>
  <c r="AQ458" i="10"/>
  <c r="AQ63" i="10"/>
  <c r="AQ465" i="10"/>
  <c r="AQ200" i="10"/>
  <c r="AQ67" i="10"/>
  <c r="AQ71" i="10"/>
  <c r="AQ76" i="10"/>
  <c r="AQ81" i="10"/>
  <c r="AQ84" i="10"/>
  <c r="AQ32" i="10"/>
  <c r="AQ91" i="10"/>
  <c r="AQ486" i="10"/>
  <c r="AQ101" i="10"/>
  <c r="AQ106" i="10"/>
  <c r="AQ109" i="10"/>
  <c r="AQ321" i="10"/>
  <c r="AQ330" i="10"/>
  <c r="AQ335" i="10"/>
  <c r="AQ339" i="10"/>
  <c r="AQ343" i="10"/>
  <c r="AQ344" i="10"/>
  <c r="AQ348" i="10"/>
  <c r="AQ353" i="10"/>
  <c r="AQ357" i="10"/>
  <c r="AQ361" i="10"/>
  <c r="AQ365" i="10"/>
  <c r="AQ369" i="10"/>
  <c r="AQ372" i="10"/>
  <c r="AQ380" i="10"/>
  <c r="AQ381" i="10"/>
  <c r="AQ386" i="10"/>
  <c r="AQ388" i="10"/>
  <c r="AQ70" i="10"/>
  <c r="AQ497" i="10"/>
  <c r="AQ113" i="10"/>
  <c r="AQ117" i="10"/>
  <c r="AQ219" i="10"/>
  <c r="AQ135" i="10"/>
  <c r="AQ149" i="10"/>
  <c r="AQ159" i="10"/>
  <c r="AQ522" i="10"/>
  <c r="AQ530" i="10"/>
  <c r="AQ538" i="10"/>
  <c r="AQ542" i="10"/>
  <c r="AZ11" i="10"/>
  <c r="BA11" i="10"/>
  <c r="AZ349" i="10"/>
  <c r="BA349" i="10"/>
  <c r="AZ362" i="10"/>
  <c r="BA362" i="10"/>
  <c r="AZ171" i="10"/>
  <c r="BA171" i="10"/>
  <c r="AZ355" i="10"/>
  <c r="BA355" i="10"/>
  <c r="AZ452" i="10"/>
  <c r="BA452" i="10"/>
  <c r="AZ504" i="10"/>
  <c r="BA504" i="10"/>
  <c r="AZ28" i="10"/>
  <c r="BA28" i="10"/>
  <c r="AZ18" i="10"/>
  <c r="BA18" i="10"/>
  <c r="AZ340" i="10"/>
  <c r="BA340" i="10"/>
  <c r="AZ342" i="10"/>
  <c r="BA342" i="10"/>
  <c r="AZ105" i="10"/>
  <c r="BA105" i="10"/>
  <c r="AZ482" i="10"/>
  <c r="BA482" i="10"/>
  <c r="AZ470" i="10"/>
  <c r="BA470" i="10"/>
  <c r="AZ109" i="10"/>
  <c r="BA109" i="10"/>
  <c r="AZ490" i="10"/>
  <c r="BA490" i="10"/>
  <c r="AZ385" i="10"/>
  <c r="BA385" i="10"/>
  <c r="AZ380" i="10"/>
  <c r="BA380" i="10"/>
  <c r="AZ95" i="10"/>
  <c r="BA95" i="10"/>
  <c r="AZ488" i="10"/>
  <c r="BA488" i="10"/>
  <c r="AZ204" i="10"/>
  <c r="BA204" i="10"/>
  <c r="AZ323" i="10"/>
  <c r="BA323" i="10"/>
  <c r="AZ188" i="10"/>
  <c r="BA188" i="10"/>
  <c r="AZ134" i="10"/>
  <c r="BA134" i="10"/>
  <c r="AZ500" i="10"/>
  <c r="BA500" i="10"/>
  <c r="AZ124" i="10"/>
  <c r="BA124" i="10"/>
  <c r="AZ110" i="10"/>
  <c r="BA110" i="10"/>
  <c r="AZ390" i="10"/>
  <c r="BA390" i="10"/>
  <c r="AZ381" i="10"/>
  <c r="BA381" i="10"/>
  <c r="AZ366" i="10"/>
  <c r="BA366" i="10"/>
  <c r="AZ363" i="10"/>
  <c r="BA363" i="10"/>
  <c r="AZ219" i="10"/>
  <c r="BA219" i="10"/>
  <c r="AZ338" i="10"/>
  <c r="BA338" i="10"/>
  <c r="AZ322" i="10"/>
  <c r="BA322" i="10"/>
  <c r="AZ357" i="10"/>
  <c r="BA357" i="10"/>
  <c r="AZ335" i="10"/>
  <c r="BA335" i="10"/>
  <c r="AZ181" i="10"/>
  <c r="BA181" i="10"/>
  <c r="AZ185" i="10"/>
  <c r="BA185" i="10"/>
  <c r="AZ346" i="10"/>
  <c r="BA346" i="10"/>
  <c r="AZ224" i="10"/>
  <c r="BA224" i="10"/>
  <c r="AZ152" i="10"/>
  <c r="BA152" i="10"/>
  <c r="AZ501" i="10"/>
  <c r="BA501" i="10"/>
  <c r="AZ499" i="10"/>
  <c r="BA499" i="10"/>
  <c r="AZ392" i="10"/>
  <c r="BA392" i="10"/>
  <c r="AZ112" i="10"/>
  <c r="BA112" i="10"/>
  <c r="AZ487" i="10"/>
  <c r="BA487" i="10"/>
  <c r="AZ94" i="10"/>
  <c r="BA94" i="10"/>
  <c r="AZ86" i="10"/>
  <c r="BA86" i="10"/>
  <c r="AZ96" i="10"/>
  <c r="BA96" i="10"/>
  <c r="AZ215" i="10"/>
  <c r="BA215" i="10"/>
  <c r="AZ211" i="10"/>
  <c r="BA211" i="10"/>
  <c r="AZ83" i="10"/>
  <c r="BA83" i="10"/>
  <c r="AZ80" i="10"/>
  <c r="BA80" i="10"/>
  <c r="AZ480" i="10"/>
  <c r="BA480" i="10"/>
  <c r="AZ477" i="10"/>
  <c r="BA477" i="10"/>
  <c r="AZ210" i="10"/>
  <c r="BA210" i="10"/>
  <c r="AZ189" i="10"/>
  <c r="BA189" i="10"/>
  <c r="AZ404" i="10"/>
  <c r="BA404" i="10"/>
  <c r="AZ161" i="10"/>
  <c r="BA161" i="10"/>
  <c r="AZ68" i="10"/>
  <c r="BA68" i="10"/>
  <c r="AZ201" i="10"/>
  <c r="BA201" i="10"/>
  <c r="AZ467" i="10"/>
  <c r="BA467" i="10"/>
  <c r="AZ463" i="10"/>
  <c r="BA463" i="10"/>
  <c r="AZ172" i="10"/>
  <c r="BA172" i="10"/>
  <c r="AZ168" i="10"/>
  <c r="BA168" i="10"/>
  <c r="AZ461" i="10"/>
  <c r="BA461" i="10"/>
  <c r="AZ460" i="10"/>
  <c r="BA460" i="10"/>
  <c r="AZ457" i="10"/>
  <c r="BA457" i="10"/>
  <c r="AZ451" i="10"/>
  <c r="BA451" i="10"/>
  <c r="AZ57" i="10"/>
  <c r="BA57" i="10"/>
  <c r="AZ53" i="10"/>
  <c r="BA53" i="10"/>
  <c r="AZ49" i="10"/>
  <c r="BA49" i="10"/>
  <c r="AZ448" i="10"/>
  <c r="BA448" i="10"/>
  <c r="AZ45" i="10"/>
  <c r="BA45" i="10"/>
  <c r="AZ44" i="10"/>
  <c r="BA44" i="10"/>
  <c r="AZ440" i="10"/>
  <c r="BA440" i="10"/>
  <c r="AZ436" i="10"/>
  <c r="BA436" i="10"/>
  <c r="AZ434" i="10"/>
  <c r="BA434" i="10"/>
  <c r="AZ38" i="10"/>
  <c r="BA38" i="10"/>
  <c r="AZ418" i="10"/>
  <c r="BA418" i="10"/>
  <c r="AZ194" i="10"/>
  <c r="BA194" i="10"/>
  <c r="AZ410" i="10"/>
  <c r="BA410" i="10"/>
  <c r="AZ29" i="10"/>
  <c r="BA29" i="10"/>
  <c r="AZ26" i="10"/>
  <c r="BA26" i="10"/>
  <c r="AZ329" i="10"/>
  <c r="BA329" i="10"/>
  <c r="AZ232" i="10"/>
  <c r="BA232" i="10"/>
  <c r="AZ493" i="10"/>
  <c r="BA493" i="10"/>
  <c r="AZ386" i="10"/>
  <c r="BA386" i="10"/>
  <c r="AZ375" i="10"/>
  <c r="BA375" i="10"/>
  <c r="AZ371" i="10"/>
  <c r="BA371" i="10"/>
  <c r="AZ368" i="10"/>
  <c r="BA368" i="10"/>
  <c r="AZ365" i="10"/>
  <c r="BA365" i="10"/>
  <c r="AZ361" i="10"/>
  <c r="BA361" i="10"/>
  <c r="AZ129" i="10"/>
  <c r="BA129" i="10"/>
  <c r="AZ120" i="10"/>
  <c r="BA120" i="10"/>
  <c r="AZ334" i="10"/>
  <c r="BA334" i="10"/>
  <c r="AZ179" i="10"/>
  <c r="BA179" i="10"/>
  <c r="AZ336" i="10"/>
  <c r="BA336" i="10"/>
  <c r="AZ327" i="10"/>
  <c r="BA327" i="10"/>
  <c r="AZ492" i="10"/>
  <c r="BA492" i="10"/>
  <c r="AZ253" i="10"/>
  <c r="BA253" i="10"/>
  <c r="AZ108" i="10"/>
  <c r="BA108" i="10"/>
  <c r="AZ333" i="10"/>
  <c r="BA333" i="10"/>
  <c r="AZ12" i="10"/>
  <c r="BA12" i="10"/>
  <c r="AZ402" i="10"/>
  <c r="BA402" i="10"/>
  <c r="AZ226" i="10"/>
  <c r="BA226" i="10"/>
  <c r="AZ37" i="10"/>
  <c r="BA37" i="10"/>
  <c r="AZ14" i="10"/>
  <c r="BA14" i="10"/>
  <c r="AZ13" i="10"/>
  <c r="BA13" i="10"/>
  <c r="AZ183" i="10"/>
  <c r="BA183" i="10"/>
  <c r="AZ230" i="10"/>
  <c r="BA230" i="10"/>
  <c r="AZ359" i="10"/>
  <c r="BA359" i="10"/>
  <c r="AZ344" i="10"/>
  <c r="BA344" i="10"/>
  <c r="AZ99" i="10"/>
  <c r="BA99" i="10"/>
  <c r="AZ153" i="10"/>
  <c r="BA153" i="10"/>
  <c r="AZ149" i="10"/>
  <c r="BA149" i="10"/>
  <c r="AZ122" i="10"/>
  <c r="BA122" i="10"/>
  <c r="AZ496" i="10"/>
  <c r="BA496" i="10"/>
  <c r="AZ388" i="10"/>
  <c r="BA388" i="10"/>
  <c r="AZ127" i="10"/>
  <c r="BA127" i="10"/>
  <c r="AZ485" i="10"/>
  <c r="BA485" i="10"/>
  <c r="AZ92" i="10"/>
  <c r="BA92" i="10"/>
  <c r="AZ162" i="10"/>
  <c r="BA162" i="10"/>
  <c r="AZ217" i="10"/>
  <c r="BA217" i="10"/>
  <c r="AZ213" i="10"/>
  <c r="BA213" i="10"/>
  <c r="AZ84" i="10"/>
  <c r="BA84" i="10"/>
  <c r="AZ479" i="10"/>
  <c r="BA479" i="10"/>
  <c r="AZ208" i="10"/>
  <c r="BA208" i="10"/>
  <c r="AZ176" i="10"/>
  <c r="BA176" i="10"/>
  <c r="AZ297" i="10"/>
  <c r="BA297" i="10"/>
  <c r="AZ218" i="10"/>
  <c r="BA218" i="10"/>
  <c r="AZ400" i="10"/>
  <c r="BA400" i="10"/>
  <c r="AZ223" i="10"/>
  <c r="BA223" i="10"/>
  <c r="AZ175" i="10"/>
  <c r="BA175" i="10"/>
  <c r="AZ69" i="10"/>
  <c r="BA69" i="10"/>
  <c r="AZ199" i="10"/>
  <c r="BA199" i="10"/>
  <c r="AZ465" i="10"/>
  <c r="BA465" i="10"/>
  <c r="AZ170" i="10"/>
  <c r="BA170" i="10"/>
  <c r="AZ63" i="10"/>
  <c r="BA63" i="10"/>
  <c r="AZ458" i="10"/>
  <c r="BA458" i="10"/>
  <c r="AZ62" i="10"/>
  <c r="BA62" i="10"/>
  <c r="AZ60" i="10"/>
  <c r="BA60" i="10"/>
  <c r="AZ449" i="10"/>
  <c r="BA449" i="10"/>
  <c r="AZ51" i="10"/>
  <c r="BA51" i="10"/>
  <c r="AZ48" i="10"/>
  <c r="BA48" i="10"/>
  <c r="AZ40" i="10"/>
  <c r="BA40" i="10"/>
  <c r="AZ441" i="10"/>
  <c r="BA441" i="10"/>
  <c r="AZ438" i="10"/>
  <c r="BA438" i="10"/>
  <c r="AZ33" i="10"/>
  <c r="BA33" i="10"/>
  <c r="AZ422" i="10"/>
  <c r="BA422" i="10"/>
  <c r="AZ416" i="10"/>
  <c r="BA416" i="10"/>
  <c r="AZ443" i="10"/>
  <c r="BA443" i="10"/>
  <c r="AZ413" i="10"/>
  <c r="BA413" i="10"/>
  <c r="AZ24" i="10"/>
  <c r="BA24" i="10"/>
  <c r="AZ196" i="10"/>
  <c r="BA196" i="10"/>
  <c r="AZ255" i="10"/>
  <c r="BA255" i="10"/>
  <c r="AZ206" i="10"/>
  <c r="BA206" i="10"/>
  <c r="AZ9" i="10"/>
  <c r="BA9" i="10"/>
  <c r="AQ468" i="10"/>
  <c r="AQ459" i="10"/>
  <c r="AQ253" i="10"/>
  <c r="AQ130" i="10"/>
  <c r="AQ466" i="10"/>
  <c r="AQ366" i="10"/>
  <c r="AQ153" i="10"/>
  <c r="AQ129" i="10"/>
  <c r="AQ535" i="10"/>
  <c r="AQ546" i="10"/>
  <c r="AQ498" i="10"/>
  <c r="AQ506" i="10"/>
  <c r="AQ523" i="10"/>
  <c r="AQ385" i="10"/>
  <c r="AQ112" i="10"/>
  <c r="AQ118" i="10"/>
  <c r="AQ526" i="10"/>
  <c r="AQ534" i="10"/>
  <c r="AQ537" i="10"/>
  <c r="AQ531" i="10"/>
  <c r="AQ541" i="10"/>
  <c r="AQ524" i="10"/>
  <c r="AQ527" i="10"/>
  <c r="AQ164" i="10"/>
  <c r="D190" i="34"/>
  <c r="D97" i="34"/>
  <c r="D13" i="34"/>
  <c r="D21" i="34"/>
  <c r="D20" i="34"/>
  <c r="D19" i="34"/>
  <c r="G249" i="34"/>
  <c r="G248" i="34"/>
  <c r="G247" i="34"/>
  <c r="G246" i="34"/>
  <c r="G245" i="34"/>
  <c r="G244" i="34"/>
  <c r="H244" i="34" s="1"/>
  <c r="L244" i="34" s="1"/>
  <c r="G243" i="34"/>
  <c r="H243" i="34" s="1"/>
  <c r="G242" i="34"/>
  <c r="G241" i="34"/>
  <c r="G240" i="34"/>
  <c r="G239" i="34"/>
  <c r="G238" i="34"/>
  <c r="G237" i="34"/>
  <c r="G236" i="34"/>
  <c r="H236" i="34" s="1"/>
  <c r="I236" i="34" s="1"/>
  <c r="P236" i="34" s="1"/>
  <c r="G235" i="34"/>
  <c r="H235" i="34" s="1"/>
  <c r="I235" i="34" s="1"/>
  <c r="P235" i="34" s="1"/>
  <c r="G234" i="34"/>
  <c r="G233" i="34"/>
  <c r="G232" i="34"/>
  <c r="G231" i="34"/>
  <c r="G230" i="34"/>
  <c r="G229" i="34"/>
  <c r="G228" i="34"/>
  <c r="H228" i="34" s="1"/>
  <c r="I228" i="34" s="1"/>
  <c r="G227" i="34"/>
  <c r="H227" i="34" s="1"/>
  <c r="I227" i="34" s="1"/>
  <c r="P227" i="34" s="1"/>
  <c r="G226" i="34"/>
  <c r="G225" i="34"/>
  <c r="G224" i="34"/>
  <c r="G223" i="34"/>
  <c r="G222" i="34"/>
  <c r="G221" i="34"/>
  <c r="G220" i="34"/>
  <c r="H220" i="34" s="1"/>
  <c r="I220" i="34" s="1"/>
  <c r="P220" i="34" s="1"/>
  <c r="G219" i="34"/>
  <c r="G218" i="34"/>
  <c r="G217" i="34"/>
  <c r="G216" i="34"/>
  <c r="G215" i="34"/>
  <c r="G214" i="34"/>
  <c r="G213" i="34"/>
  <c r="G212" i="34"/>
  <c r="H212" i="34" s="1"/>
  <c r="G211" i="34"/>
  <c r="H211" i="34" s="1"/>
  <c r="G210" i="34"/>
  <c r="G209" i="34"/>
  <c r="G208" i="34"/>
  <c r="G207" i="34"/>
  <c r="G206" i="34"/>
  <c r="G205" i="34"/>
  <c r="G204" i="34"/>
  <c r="H204" i="34" s="1"/>
  <c r="G203" i="34"/>
  <c r="H203" i="34" s="1"/>
  <c r="I203" i="34" s="1"/>
  <c r="P203" i="34" s="1"/>
  <c r="G202" i="34"/>
  <c r="G201" i="34"/>
  <c r="G200" i="34"/>
  <c r="G199" i="34"/>
  <c r="G198" i="34"/>
  <c r="G197" i="34"/>
  <c r="G196" i="34"/>
  <c r="H196" i="34" s="1"/>
  <c r="G195" i="34"/>
  <c r="H195" i="34" s="1"/>
  <c r="G194" i="34"/>
  <c r="G193" i="34"/>
  <c r="G192" i="34"/>
  <c r="G191" i="34"/>
  <c r="G190" i="34"/>
  <c r="G189" i="34"/>
  <c r="G188" i="34"/>
  <c r="H188" i="34" s="1"/>
  <c r="L188" i="34" s="1"/>
  <c r="G187" i="34"/>
  <c r="H187" i="34" s="1"/>
  <c r="G186" i="34"/>
  <c r="G185" i="34"/>
  <c r="G184" i="34"/>
  <c r="G183" i="34"/>
  <c r="G182" i="34"/>
  <c r="G181" i="34"/>
  <c r="G180" i="34"/>
  <c r="H180" i="34" s="1"/>
  <c r="G179" i="34"/>
  <c r="H179" i="34" s="1"/>
  <c r="G178" i="34"/>
  <c r="G177" i="34"/>
  <c r="G176" i="34"/>
  <c r="G175" i="34"/>
  <c r="G174" i="34"/>
  <c r="G173" i="34"/>
  <c r="G172" i="34"/>
  <c r="H172" i="34" s="1"/>
  <c r="L172" i="34" s="1"/>
  <c r="G171" i="34"/>
  <c r="H171" i="34" s="1"/>
  <c r="G170" i="34"/>
  <c r="G169" i="34"/>
  <c r="G168" i="34"/>
  <c r="G167" i="34"/>
  <c r="G166" i="34"/>
  <c r="G165" i="34"/>
  <c r="G164" i="34"/>
  <c r="G163" i="34"/>
  <c r="H163" i="34" s="1"/>
  <c r="L163" i="34" s="1"/>
  <c r="G162" i="34"/>
  <c r="G161" i="34"/>
  <c r="G160" i="34"/>
  <c r="G159" i="34"/>
  <c r="G158" i="34"/>
  <c r="G157" i="34"/>
  <c r="G156" i="34"/>
  <c r="H156" i="34" s="1"/>
  <c r="G155" i="34"/>
  <c r="H155" i="34" s="1"/>
  <c r="L155" i="34" s="1"/>
  <c r="G154" i="34"/>
  <c r="G153" i="34"/>
  <c r="G152" i="34"/>
  <c r="G151" i="34"/>
  <c r="G150" i="34"/>
  <c r="G149" i="34"/>
  <c r="G148" i="34"/>
  <c r="H148" i="34" s="1"/>
  <c r="I148" i="34" s="1"/>
  <c r="G147" i="34"/>
  <c r="H147" i="34" s="1"/>
  <c r="G146" i="34"/>
  <c r="G145" i="34"/>
  <c r="G144" i="34"/>
  <c r="G143" i="34"/>
  <c r="G142" i="34"/>
  <c r="G141" i="34"/>
  <c r="G140" i="34"/>
  <c r="H140" i="34" s="1"/>
  <c r="I140" i="34" s="1"/>
  <c r="P140" i="34" s="1"/>
  <c r="G139" i="34"/>
  <c r="H139" i="34" s="1"/>
  <c r="G138" i="34"/>
  <c r="G137" i="34"/>
  <c r="G136" i="34"/>
  <c r="G135" i="34"/>
  <c r="G134" i="34"/>
  <c r="G133" i="34"/>
  <c r="G132" i="34"/>
  <c r="G131" i="34"/>
  <c r="H131" i="34" s="1"/>
  <c r="I131" i="34" s="1"/>
  <c r="P131" i="34" s="1"/>
  <c r="G130" i="34"/>
  <c r="G129" i="34"/>
  <c r="G128" i="34"/>
  <c r="G127" i="34"/>
  <c r="G126" i="34"/>
  <c r="G125" i="34"/>
  <c r="G124" i="34"/>
  <c r="H124" i="34" s="1"/>
  <c r="I124" i="34" s="1"/>
  <c r="G123" i="34"/>
  <c r="H123" i="34" s="1"/>
  <c r="I123" i="34" s="1"/>
  <c r="G122" i="34"/>
  <c r="G121" i="34"/>
  <c r="G120" i="34"/>
  <c r="G119" i="34"/>
  <c r="G118" i="34"/>
  <c r="G117" i="34"/>
  <c r="G116" i="34"/>
  <c r="H116" i="34" s="1"/>
  <c r="I116" i="34" s="1"/>
  <c r="G115" i="34"/>
  <c r="H115" i="34" s="1"/>
  <c r="I115" i="34" s="1"/>
  <c r="L115" i="34" s="1"/>
  <c r="G114" i="34"/>
  <c r="G113" i="34"/>
  <c r="G112" i="34"/>
  <c r="G111" i="34"/>
  <c r="G110" i="34"/>
  <c r="G109" i="34"/>
  <c r="G108" i="34"/>
  <c r="H108" i="34" s="1"/>
  <c r="I108" i="34" s="1"/>
  <c r="G107" i="34"/>
  <c r="H107" i="34" s="1"/>
  <c r="I107" i="34" s="1"/>
  <c r="P107" i="34" s="1"/>
  <c r="G106" i="34"/>
  <c r="G105" i="34"/>
  <c r="G104" i="34"/>
  <c r="G103" i="34"/>
  <c r="G102" i="34"/>
  <c r="G101" i="34"/>
  <c r="G100" i="34"/>
  <c r="H100" i="34" s="1"/>
  <c r="I100" i="34" s="1"/>
  <c r="G99" i="34"/>
  <c r="H99" i="34" s="1"/>
  <c r="I99" i="34" s="1"/>
  <c r="G98" i="34"/>
  <c r="G97" i="34"/>
  <c r="G96" i="34"/>
  <c r="G95" i="34"/>
  <c r="G94" i="34"/>
  <c r="G93" i="34"/>
  <c r="G92" i="34"/>
  <c r="G91" i="34"/>
  <c r="G256" i="34" s="1"/>
  <c r="G90" i="34"/>
  <c r="G89" i="34"/>
  <c r="G88" i="34"/>
  <c r="G87" i="34"/>
  <c r="G86" i="34"/>
  <c r="G85" i="34"/>
  <c r="G84" i="34"/>
  <c r="H84" i="34" s="1"/>
  <c r="G83" i="34"/>
  <c r="H83" i="34" s="1"/>
  <c r="I83" i="34" s="1"/>
  <c r="G82" i="34"/>
  <c r="G81" i="34"/>
  <c r="G80" i="34"/>
  <c r="G79" i="34"/>
  <c r="G78" i="34"/>
  <c r="G77" i="34"/>
  <c r="G76" i="34"/>
  <c r="H76" i="34" s="1"/>
  <c r="I76" i="34" s="1"/>
  <c r="P76" i="34" s="1"/>
  <c r="G75" i="34"/>
  <c r="H75" i="34" s="1"/>
  <c r="I75" i="34" s="1"/>
  <c r="G74" i="34"/>
  <c r="G73" i="34"/>
  <c r="G72" i="34"/>
  <c r="G71" i="34"/>
  <c r="G70" i="34"/>
  <c r="G69" i="34"/>
  <c r="G68" i="34"/>
  <c r="H68" i="34" s="1"/>
  <c r="G67" i="34"/>
  <c r="H67" i="34" s="1"/>
  <c r="I67" i="34" s="1"/>
  <c r="G66" i="34"/>
  <c r="G65" i="34"/>
  <c r="G64" i="34"/>
  <c r="G63" i="34"/>
  <c r="G62" i="34"/>
  <c r="G61" i="34"/>
  <c r="G60" i="34"/>
  <c r="H60" i="34" s="1"/>
  <c r="I60" i="34" s="1"/>
  <c r="G59" i="34"/>
  <c r="H59" i="34" s="1"/>
  <c r="I59" i="34" s="1"/>
  <c r="P59" i="34" s="1"/>
  <c r="G58" i="34"/>
  <c r="G57" i="34"/>
  <c r="G56" i="34"/>
  <c r="G55" i="34"/>
  <c r="G54" i="34"/>
  <c r="G53" i="34"/>
  <c r="G52" i="34"/>
  <c r="H52" i="34" s="1"/>
  <c r="I52" i="34" s="1"/>
  <c r="P52" i="34" s="1"/>
  <c r="G51" i="34"/>
  <c r="H51" i="34" s="1"/>
  <c r="I51" i="34" s="1"/>
  <c r="G50" i="34"/>
  <c r="G49" i="34"/>
  <c r="G48" i="34"/>
  <c r="G47" i="34"/>
  <c r="G46" i="34"/>
  <c r="G45" i="34"/>
  <c r="G44" i="34"/>
  <c r="H44" i="34" s="1"/>
  <c r="I44" i="34" s="1"/>
  <c r="G43" i="34"/>
  <c r="H43" i="34" s="1"/>
  <c r="I43" i="34" s="1"/>
  <c r="G42" i="34"/>
  <c r="G41" i="34"/>
  <c r="G40" i="34"/>
  <c r="G39" i="34"/>
  <c r="G38" i="34"/>
  <c r="G37" i="34"/>
  <c r="G36" i="34"/>
  <c r="H36" i="34" s="1"/>
  <c r="I36" i="34" s="1"/>
  <c r="P36" i="34" s="1"/>
  <c r="G35" i="34"/>
  <c r="H35" i="34" s="1"/>
  <c r="I35" i="34" s="1"/>
  <c r="G34" i="34"/>
  <c r="G33" i="34"/>
  <c r="G32" i="34"/>
  <c r="G31" i="34"/>
  <c r="G30" i="34"/>
  <c r="G29" i="34"/>
  <c r="G28" i="34"/>
  <c r="H28" i="34" s="1"/>
  <c r="I28" i="34" s="1"/>
  <c r="L28" i="34" s="1"/>
  <c r="G27" i="34"/>
  <c r="H27" i="34" s="1"/>
  <c r="I27" i="34" s="1"/>
  <c r="G26" i="34"/>
  <c r="G25" i="34"/>
  <c r="G24" i="34"/>
  <c r="G23" i="34"/>
  <c r="G22" i="34"/>
  <c r="G21" i="34"/>
  <c r="G20" i="34"/>
  <c r="H20" i="34" s="1"/>
  <c r="I20" i="34" s="1"/>
  <c r="G19" i="34"/>
  <c r="H19" i="34" s="1"/>
  <c r="I19" i="34" s="1"/>
  <c r="L19" i="34" s="1"/>
  <c r="G18" i="34"/>
  <c r="G17" i="34"/>
  <c r="G16" i="34"/>
  <c r="G15" i="34"/>
  <c r="G14" i="34"/>
  <c r="G13" i="34"/>
  <c r="G12" i="34"/>
  <c r="H12" i="34" s="1"/>
  <c r="I12" i="34" s="1"/>
  <c r="P12" i="34" s="1"/>
  <c r="G11" i="34"/>
  <c r="H11" i="34" s="1"/>
  <c r="I11" i="34" s="1"/>
  <c r="G10" i="34"/>
  <c r="G9" i="34"/>
  <c r="G8" i="34"/>
  <c r="G7" i="34"/>
  <c r="G6" i="34"/>
  <c r="G5" i="34"/>
  <c r="G4" i="34"/>
  <c r="H4" i="34" s="1"/>
  <c r="G3" i="34"/>
  <c r="F249" i="34"/>
  <c r="F248" i="34"/>
  <c r="F247" i="34"/>
  <c r="F246" i="34"/>
  <c r="F245" i="34"/>
  <c r="F244" i="34"/>
  <c r="F243" i="34"/>
  <c r="F242" i="34"/>
  <c r="F241" i="34"/>
  <c r="F240" i="34"/>
  <c r="F239" i="34"/>
  <c r="F238" i="34"/>
  <c r="F237" i="34"/>
  <c r="F236" i="34"/>
  <c r="F235" i="34"/>
  <c r="F234" i="34"/>
  <c r="F233" i="34"/>
  <c r="F232" i="34"/>
  <c r="F231" i="34"/>
  <c r="F230" i="34"/>
  <c r="F229" i="34"/>
  <c r="F228" i="34"/>
  <c r="F227" i="34"/>
  <c r="F226" i="34"/>
  <c r="F225" i="34"/>
  <c r="F224" i="34"/>
  <c r="F223" i="34"/>
  <c r="F222" i="34"/>
  <c r="F221" i="34"/>
  <c r="F220" i="34"/>
  <c r="F219" i="34"/>
  <c r="F218" i="34"/>
  <c r="F217" i="34"/>
  <c r="F216" i="34"/>
  <c r="F215" i="34"/>
  <c r="F214" i="34"/>
  <c r="F213" i="34"/>
  <c r="F212" i="34"/>
  <c r="F211" i="34"/>
  <c r="F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F109" i="34"/>
  <c r="F108" i="34"/>
  <c r="F107" i="34"/>
  <c r="F106" i="34"/>
  <c r="F105" i="34"/>
  <c r="F104" i="34"/>
  <c r="F103" i="34"/>
  <c r="F102"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F8" i="34"/>
  <c r="F7" i="34"/>
  <c r="F6" i="34"/>
  <c r="F5" i="34"/>
  <c r="F4" i="34"/>
  <c r="F3"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C250" i="34"/>
  <c r="B250" i="34"/>
  <c r="H134" i="34"/>
  <c r="F252" i="34"/>
  <c r="F258" i="34"/>
  <c r="F259" i="34"/>
  <c r="B255" i="34"/>
  <c r="H248" i="34"/>
  <c r="F254" i="34"/>
  <c r="F255" i="34"/>
  <c r="F257" i="34"/>
  <c r="F256" i="34"/>
  <c r="F250" i="34"/>
  <c r="B257" i="34"/>
  <c r="B259" i="34"/>
  <c r="C258" i="34"/>
  <c r="C259" i="34"/>
  <c r="B254" i="34"/>
  <c r="B256" i="34"/>
  <c r="B258" i="34"/>
  <c r="C255" i="34"/>
  <c r="C257" i="34"/>
  <c r="C254" i="34"/>
  <c r="C256" i="34"/>
  <c r="U701" i="8"/>
  <c r="AK701" i="8"/>
  <c r="AI701" i="8"/>
  <c r="V701" i="8"/>
  <c r="X701" i="8"/>
  <c r="Y829" i="8"/>
  <c r="AA829" i="8"/>
  <c r="AK829" i="8"/>
  <c r="AI829" i="8"/>
  <c r="V829" i="8"/>
  <c r="X829" i="8"/>
  <c r="AK828" i="8"/>
  <c r="AI828" i="8"/>
  <c r="Y828" i="8"/>
  <c r="AA828" i="8"/>
  <c r="V828" i="8"/>
  <c r="X828" i="8"/>
  <c r="U828" i="8"/>
  <c r="I248" i="34"/>
  <c r="P248" i="34"/>
  <c r="AS701" i="8"/>
  <c r="BA701" i="8"/>
  <c r="BJ701" i="8"/>
  <c r="AT701" i="8"/>
  <c r="BC701" i="8"/>
  <c r="BK701" i="8"/>
  <c r="AU701" i="8"/>
  <c r="BD701" i="8"/>
  <c r="BL701" i="8"/>
  <c r="AV701" i="8"/>
  <c r="BE701" i="8"/>
  <c r="AX701" i="8"/>
  <c r="BG701" i="8"/>
  <c r="AY701" i="8"/>
  <c r="BH701" i="8"/>
  <c r="AR701" i="8"/>
  <c r="AZ701" i="8"/>
  <c r="BI701" i="8"/>
  <c r="AW701" i="8"/>
  <c r="BF701" i="8"/>
  <c r="AU828" i="8"/>
  <c r="BL828" i="8"/>
  <c r="BE828" i="8"/>
  <c r="AX828" i="8"/>
  <c r="BG828" i="8"/>
  <c r="AY828" i="8"/>
  <c r="BH828" i="8"/>
  <c r="AT828" i="8"/>
  <c r="BC828" i="8"/>
  <c r="BK828" i="8"/>
  <c r="BD828" i="8"/>
  <c r="AV828" i="8"/>
  <c r="AW828" i="8"/>
  <c r="AZ828" i="8"/>
  <c r="BA828" i="8"/>
  <c r="BF828" i="8"/>
  <c r="BI828" i="8"/>
  <c r="BJ828" i="8"/>
  <c r="AR828" i="8"/>
  <c r="AS828" i="8"/>
  <c r="BH829" i="8"/>
  <c r="AR829" i="8"/>
  <c r="AT829" i="8"/>
  <c r="BC829" i="8"/>
  <c r="BK829" i="8"/>
  <c r="AU829" i="8"/>
  <c r="BL829" i="8"/>
  <c r="BD829" i="8"/>
  <c r="AX829" i="8"/>
  <c r="BG829" i="8"/>
  <c r="AY829" i="8"/>
  <c r="AW829" i="8"/>
  <c r="AZ829" i="8"/>
  <c r="BA829" i="8"/>
  <c r="BE829" i="8"/>
  <c r="BF829" i="8"/>
  <c r="BI829" i="8"/>
  <c r="AS829" i="8"/>
  <c r="BJ829" i="8"/>
  <c r="AV829" i="8"/>
  <c r="AL829" i="8"/>
  <c r="AM829" i="8"/>
  <c r="BU829" i="8"/>
  <c r="AN829" i="8"/>
  <c r="BV829" i="8"/>
  <c r="AL828" i="8"/>
  <c r="AN828" i="8"/>
  <c r="BV828" i="8"/>
  <c r="AM828" i="8"/>
  <c r="BU828" i="8"/>
  <c r="F260" i="34"/>
  <c r="B260" i="34"/>
  <c r="F251" i="34"/>
  <c r="C260" i="34"/>
  <c r="Y701" i="8"/>
  <c r="AA701" i="8"/>
  <c r="U829" i="8"/>
  <c r="B150" i="37"/>
  <c r="B149" i="37"/>
  <c r="B148" i="37"/>
  <c r="B147" i="37"/>
  <c r="B146" i="37"/>
  <c r="B145" i="37"/>
  <c r="B144" i="37"/>
  <c r="B143" i="37"/>
  <c r="B142" i="37"/>
  <c r="B141" i="37"/>
  <c r="B140" i="37"/>
  <c r="B139" i="37"/>
  <c r="B138" i="37"/>
  <c r="B137" i="37"/>
  <c r="B136" i="37"/>
  <c r="B135" i="37"/>
  <c r="B134" i="37"/>
  <c r="B133" i="37"/>
  <c r="B132" i="37"/>
  <c r="B131" i="37"/>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7" i="37"/>
  <c r="BN701" i="8"/>
  <c r="BN828" i="8"/>
  <c r="BO701" i="8"/>
  <c r="BO829" i="8"/>
  <c r="BO828" i="8"/>
  <c r="BN829" i="8"/>
  <c r="AM701" i="8"/>
  <c r="BU701" i="8"/>
  <c r="AN701" i="8"/>
  <c r="BV701" i="8"/>
  <c r="AL701" i="8"/>
  <c r="AK710" i="8"/>
  <c r="AI710" i="8"/>
  <c r="Y710" i="8"/>
  <c r="AA710" i="8"/>
  <c r="V710" i="8"/>
  <c r="X710" i="8"/>
  <c r="U710" i="8"/>
  <c r="AR710" i="8"/>
  <c r="AZ710" i="8"/>
  <c r="BI710" i="8"/>
  <c r="AS710" i="8"/>
  <c r="BA710" i="8"/>
  <c r="BJ710" i="8"/>
  <c r="AT710" i="8"/>
  <c r="BC710" i="8"/>
  <c r="BK710" i="8"/>
  <c r="AU710" i="8"/>
  <c r="BD710" i="8"/>
  <c r="BL710" i="8"/>
  <c r="AW710" i="8"/>
  <c r="BF710" i="8"/>
  <c r="AX710" i="8"/>
  <c r="BG710" i="8"/>
  <c r="AY710" i="8"/>
  <c r="BH710" i="8"/>
  <c r="AV710" i="8"/>
  <c r="BE710" i="8"/>
  <c r="BT828" i="8"/>
  <c r="BW828" i="8"/>
  <c r="BT701" i="8"/>
  <c r="BW701" i="8"/>
  <c r="AN710" i="8"/>
  <c r="BV710" i="8"/>
  <c r="AM710" i="8"/>
  <c r="BU710" i="8"/>
  <c r="BT829" i="8"/>
  <c r="BW829" i="8"/>
  <c r="AL710" i="8"/>
  <c r="K249" i="33"/>
  <c r="K248" i="33"/>
  <c r="K247" i="33"/>
  <c r="K246" i="33"/>
  <c r="K245" i="33"/>
  <c r="K244" i="33"/>
  <c r="K243" i="33"/>
  <c r="K242" i="33"/>
  <c r="K241" i="33"/>
  <c r="K240" i="33"/>
  <c r="K239" i="33"/>
  <c r="K238" i="33"/>
  <c r="K237" i="33"/>
  <c r="K236" i="33"/>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2" i="33"/>
  <c r="BN710" i="8"/>
  <c r="BO710" i="8"/>
  <c r="AK669" i="8"/>
  <c r="BT710" i="8"/>
  <c r="BW710" i="8"/>
  <c r="H249" i="34"/>
  <c r="H246" i="34"/>
  <c r="H34" i="34"/>
  <c r="I34" i="34" s="1"/>
  <c r="L34" i="34" s="1"/>
  <c r="P34" i="34"/>
  <c r="H26" i="34"/>
  <c r="I26" i="34" s="1"/>
  <c r="H41" i="34"/>
  <c r="I41" i="34" s="1"/>
  <c r="P41" i="34" s="1"/>
  <c r="H15" i="34"/>
  <c r="I15" i="34" s="1"/>
  <c r="H144" i="34"/>
  <c r="H239" i="34"/>
  <c r="L239" i="34" s="1"/>
  <c r="H230" i="34"/>
  <c r="H6" i="34"/>
  <c r="I6" i="34"/>
  <c r="P6" i="34" s="1"/>
  <c r="H136" i="34"/>
  <c r="H245" i="34"/>
  <c r="H202" i="34"/>
  <c r="L202" i="34" s="1"/>
  <c r="H70" i="34"/>
  <c r="I70" i="34" s="1"/>
  <c r="P70" i="34" s="1"/>
  <c r="H193" i="34"/>
  <c r="H65" i="34"/>
  <c r="I65" i="34"/>
  <c r="P65" i="34" s="1"/>
  <c r="H209" i="34"/>
  <c r="H198" i="34"/>
  <c r="H74" i="34"/>
  <c r="I74" i="34" s="1"/>
  <c r="H165" i="34"/>
  <c r="H121" i="34"/>
  <c r="I121" i="34" s="1"/>
  <c r="P121" i="34" s="1"/>
  <c r="H105" i="34"/>
  <c r="I105" i="34"/>
  <c r="L105" i="34" s="1"/>
  <c r="H104" i="34"/>
  <c r="I104" i="34"/>
  <c r="P104" i="34"/>
  <c r="H129" i="34"/>
  <c r="I129" i="34" s="1"/>
  <c r="H241" i="34"/>
  <c r="H114" i="34"/>
  <c r="I114" i="34"/>
  <c r="P114" i="34"/>
  <c r="H113" i="34"/>
  <c r="I113" i="34" s="1"/>
  <c r="H96" i="34"/>
  <c r="I96" i="34"/>
  <c r="P96" i="34" s="1"/>
  <c r="H95" i="34"/>
  <c r="I95" i="34"/>
  <c r="P95" i="34" s="1"/>
  <c r="H106" i="34"/>
  <c r="I106" i="34" s="1"/>
  <c r="L106" i="34" s="1"/>
  <c r="H49" i="34"/>
  <c r="I49" i="34" s="1"/>
  <c r="H90" i="34"/>
  <c r="I90" i="34"/>
  <c r="L90" i="34" s="1"/>
  <c r="P90" i="34"/>
  <c r="H63" i="34"/>
  <c r="I63" i="34"/>
  <c r="P63" i="34"/>
  <c r="H69" i="34"/>
  <c r="I69" i="34" s="1"/>
  <c r="H128" i="34"/>
  <c r="I128" i="34"/>
  <c r="H94" i="34"/>
  <c r="I94" i="34"/>
  <c r="P94" i="34" s="1"/>
  <c r="H103" i="34"/>
  <c r="I103" i="34" s="1"/>
  <c r="L103" i="34" s="1"/>
  <c r="H112" i="34"/>
  <c r="I112" i="34" s="1"/>
  <c r="H120" i="34"/>
  <c r="I120" i="34" s="1"/>
  <c r="H126" i="34"/>
  <c r="I126" i="34"/>
  <c r="P126" i="34" s="1"/>
  <c r="H79" i="34"/>
  <c r="I79" i="34" s="1"/>
  <c r="P79" i="34" s="1"/>
  <c r="H174" i="34"/>
  <c r="H178" i="34"/>
  <c r="H37" i="34"/>
  <c r="I37" i="34"/>
  <c r="P37" i="34"/>
  <c r="H197" i="34"/>
  <c r="H213" i="34"/>
  <c r="H183" i="34"/>
  <c r="H205" i="34"/>
  <c r="H242" i="34"/>
  <c r="I242" i="34" s="1"/>
  <c r="H200" i="34"/>
  <c r="H229" i="34"/>
  <c r="H232" i="34"/>
  <c r="H161" i="34"/>
  <c r="H42" i="34"/>
  <c r="I42" i="34" s="1"/>
  <c r="P42" i="34" s="1"/>
  <c r="H226" i="34"/>
  <c r="I226" i="34" s="1"/>
  <c r="P226" i="34" s="1"/>
  <c r="H234" i="34"/>
  <c r="H158" i="34"/>
  <c r="H146" i="34"/>
  <c r="I146" i="34" s="1"/>
  <c r="P146" i="34" s="1"/>
  <c r="H151" i="34"/>
  <c r="I151" i="34" s="1"/>
  <c r="P28" i="34"/>
  <c r="H224" i="34"/>
  <c r="I224" i="34" s="1"/>
  <c r="P224" i="34" s="1"/>
  <c r="H233" i="34"/>
  <c r="H154" i="34"/>
  <c r="H33" i="34"/>
  <c r="I33" i="34" s="1"/>
  <c r="H29" i="34"/>
  <c r="I29" i="34"/>
  <c r="P29" i="34"/>
  <c r="H97" i="34"/>
  <c r="I97" i="34" s="1"/>
  <c r="H111" i="34"/>
  <c r="I111" i="34"/>
  <c r="P111" i="34" s="1"/>
  <c r="H191" i="34"/>
  <c r="H194" i="34"/>
  <c r="H85" i="34"/>
  <c r="I85" i="34"/>
  <c r="P85" i="34" s="1"/>
  <c r="H48" i="34"/>
  <c r="P48" i="34"/>
  <c r="H64" i="34"/>
  <c r="I64" i="34" s="1"/>
  <c r="P64" i="34" s="1"/>
  <c r="H168" i="34"/>
  <c r="H201" i="34"/>
  <c r="H225" i="34"/>
  <c r="H82" i="34"/>
  <c r="I82" i="34"/>
  <c r="P82" i="34"/>
  <c r="H175" i="34"/>
  <c r="H93" i="34"/>
  <c r="I93" i="34" s="1"/>
  <c r="H110" i="34"/>
  <c r="I110" i="34" s="1"/>
  <c r="H86" i="34"/>
  <c r="I86" i="34"/>
  <c r="P86" i="34" s="1"/>
  <c r="H87" i="34"/>
  <c r="I87" i="34"/>
  <c r="P87" i="34"/>
  <c r="H125" i="34"/>
  <c r="I125" i="34" s="1"/>
  <c r="H210" i="34"/>
  <c r="H167" i="34"/>
  <c r="H216" i="34"/>
  <c r="H238" i="34"/>
  <c r="H143" i="34"/>
  <c r="H150" i="34"/>
  <c r="H21" i="34"/>
  <c r="I21" i="34" s="1"/>
  <c r="H137" i="34"/>
  <c r="H142" i="34"/>
  <c r="H30" i="34"/>
  <c r="I30" i="34" s="1"/>
  <c r="H38" i="34"/>
  <c r="I38" i="34" s="1"/>
  <c r="H185" i="34"/>
  <c r="H62" i="34"/>
  <c r="I62" i="34" s="1"/>
  <c r="H173" i="34"/>
  <c r="H170" i="34"/>
  <c r="H145" i="34"/>
  <c r="I134" i="34"/>
  <c r="P134" i="34"/>
  <c r="H8" i="34"/>
  <c r="I8" i="34" s="1"/>
  <c r="H138" i="34"/>
  <c r="H73" i="34"/>
  <c r="I73" i="34" s="1"/>
  <c r="H98" i="34"/>
  <c r="I98" i="34" s="1"/>
  <c r="I68" i="34"/>
  <c r="L68" i="34" s="1"/>
  <c r="P68" i="34"/>
  <c r="H57" i="34"/>
  <c r="I57" i="34"/>
  <c r="P57" i="34"/>
  <c r="H117" i="34"/>
  <c r="I117" i="34"/>
  <c r="P117" i="34" s="1"/>
  <c r="H66" i="34"/>
  <c r="I66" i="34"/>
  <c r="P66" i="34"/>
  <c r="H181" i="34"/>
  <c r="H240" i="34"/>
  <c r="H215" i="34"/>
  <c r="I215" i="34" s="1"/>
  <c r="P215" i="34" s="1"/>
  <c r="H78" i="34"/>
  <c r="I78" i="34" s="1"/>
  <c r="P78" i="34" s="1"/>
  <c r="H206" i="34"/>
  <c r="I206" i="34" s="1"/>
  <c r="P206" i="34" s="1"/>
  <c r="H32" i="34"/>
  <c r="I32" i="34"/>
  <c r="P32" i="34" s="1"/>
  <c r="H24" i="34"/>
  <c r="I24" i="34" s="1"/>
  <c r="L24" i="34" s="1"/>
  <c r="P24" i="34"/>
  <c r="H247" i="34"/>
  <c r="H217" i="34"/>
  <c r="H14" i="34"/>
  <c r="I14" i="34"/>
  <c r="P14" i="34"/>
  <c r="H199" i="34"/>
  <c r="H223" i="34"/>
  <c r="H231" i="34"/>
  <c r="H25" i="34"/>
  <c r="I25" i="34" s="1"/>
  <c r="H189" i="34"/>
  <c r="H221" i="34"/>
  <c r="L221" i="34" s="1"/>
  <c r="H153" i="34"/>
  <c r="H13" i="34"/>
  <c r="I13" i="34" s="1"/>
  <c r="P13" i="34"/>
  <c r="H39" i="34"/>
  <c r="I39" i="34" s="1"/>
  <c r="H71" i="34"/>
  <c r="I71" i="34" s="1"/>
  <c r="L71" i="34" s="1"/>
  <c r="P71" i="34"/>
  <c r="H80" i="34"/>
  <c r="I80" i="34" s="1"/>
  <c r="P80" i="34" s="1"/>
  <c r="H92" i="34"/>
  <c r="I92" i="34" s="1"/>
  <c r="H31" i="34"/>
  <c r="I31" i="34"/>
  <c r="P31" i="34" s="1"/>
  <c r="H40" i="34"/>
  <c r="H122" i="34"/>
  <c r="I122" i="34"/>
  <c r="L122" i="34" s="1"/>
  <c r="H130" i="34"/>
  <c r="I130" i="34"/>
  <c r="P130" i="34"/>
  <c r="H109" i="34"/>
  <c r="I109" i="34" s="1"/>
  <c r="H127" i="34"/>
  <c r="I127" i="34"/>
  <c r="H237" i="34"/>
  <c r="H184" i="34"/>
  <c r="H177" i="34"/>
  <c r="H55" i="34"/>
  <c r="I55" i="34" s="1"/>
  <c r="H169" i="34"/>
  <c r="H72" i="34"/>
  <c r="I72" i="34" s="1"/>
  <c r="H50" i="34"/>
  <c r="I50" i="34"/>
  <c r="H77" i="34"/>
  <c r="I77" i="34" s="1"/>
  <c r="L77" i="34" s="1"/>
  <c r="H159" i="34"/>
  <c r="H192" i="34"/>
  <c r="H160" i="34"/>
  <c r="H45" i="34"/>
  <c r="I45" i="34"/>
  <c r="P45" i="34"/>
  <c r="H133" i="34"/>
  <c r="H47" i="34"/>
  <c r="I47" i="34" s="1"/>
  <c r="L47" i="34" s="1"/>
  <c r="H101" i="34"/>
  <c r="I101" i="34" s="1"/>
  <c r="H81" i="34"/>
  <c r="I81" i="34" s="1"/>
  <c r="P81" i="34" s="1"/>
  <c r="H176" i="34"/>
  <c r="H54" i="34"/>
  <c r="I54" i="34"/>
  <c r="P54" i="34"/>
  <c r="H157" i="34"/>
  <c r="I157" i="34" s="1"/>
  <c r="P157" i="34" s="1"/>
  <c r="H222" i="34"/>
  <c r="I4" i="34"/>
  <c r="P4" i="34" s="1"/>
  <c r="H162" i="34"/>
  <c r="H22" i="34"/>
  <c r="I22" i="34" s="1"/>
  <c r="H149" i="34"/>
  <c r="H218" i="34"/>
  <c r="I218" i="34" s="1"/>
  <c r="P218" i="34" s="1"/>
  <c r="H135" i="34"/>
  <c r="H182" i="34"/>
  <c r="H152" i="34"/>
  <c r="I152" i="34" s="1"/>
  <c r="P152" i="34" s="1"/>
  <c r="H190" i="34"/>
  <c r="H207" i="34"/>
  <c r="L207" i="34" s="1"/>
  <c r="H102" i="34"/>
  <c r="I102" i="34" s="1"/>
  <c r="H61" i="34"/>
  <c r="I61" i="34" s="1"/>
  <c r="I84" i="34"/>
  <c r="P84" i="34"/>
  <c r="H23" i="34"/>
  <c r="I23" i="34"/>
  <c r="P23" i="34"/>
  <c r="H141" i="34"/>
  <c r="I141" i="34" s="1"/>
  <c r="P141" i="34" s="1"/>
  <c r="H88" i="34"/>
  <c r="I88" i="34"/>
  <c r="P88" i="34"/>
  <c r="H186" i="34"/>
  <c r="H118" i="34"/>
  <c r="I118" i="34"/>
  <c r="P118" i="34" s="1"/>
  <c r="H119" i="34"/>
  <c r="I119" i="34" s="1"/>
  <c r="L119" i="34" s="1"/>
  <c r="H166" i="34"/>
  <c r="L166" i="34" s="1"/>
  <c r="H208" i="34"/>
  <c r="I217" i="34"/>
  <c r="P217" i="34" s="1"/>
  <c r="I216" i="34"/>
  <c r="P216" i="34" s="1"/>
  <c r="P154" i="34"/>
  <c r="P242" i="34"/>
  <c r="I165" i="34"/>
  <c r="P165" i="34" s="1"/>
  <c r="P148" i="34"/>
  <c r="I231" i="34"/>
  <c r="P231" i="34" s="1"/>
  <c r="I167" i="34"/>
  <c r="P167" i="34" s="1"/>
  <c r="I168" i="34"/>
  <c r="P168" i="34"/>
  <c r="I233" i="34"/>
  <c r="P233" i="34" s="1"/>
  <c r="I202" i="34"/>
  <c r="P202" i="34" s="1"/>
  <c r="I184" i="34"/>
  <c r="P184" i="34"/>
  <c r="I223" i="34"/>
  <c r="P223" i="34" s="1"/>
  <c r="I240" i="34"/>
  <c r="P240" i="34" s="1"/>
  <c r="I210" i="34"/>
  <c r="P210" i="34"/>
  <c r="I161" i="34"/>
  <c r="P161" i="34"/>
  <c r="I183" i="34"/>
  <c r="P183" i="34" s="1"/>
  <c r="I198" i="34"/>
  <c r="P198" i="34" s="1"/>
  <c r="I245" i="34"/>
  <c r="P245" i="34"/>
  <c r="I186" i="34"/>
  <c r="P186" i="34"/>
  <c r="I188" i="34"/>
  <c r="P188" i="34" s="1"/>
  <c r="I181" i="34"/>
  <c r="P181" i="34"/>
  <c r="I173" i="34"/>
  <c r="P173" i="34" s="1"/>
  <c r="I137" i="34"/>
  <c r="P137" i="34"/>
  <c r="I232" i="34"/>
  <c r="P232" i="34" s="1"/>
  <c r="I213" i="34"/>
  <c r="P213" i="34"/>
  <c r="P209" i="34"/>
  <c r="I136" i="34"/>
  <c r="P136" i="34"/>
  <c r="I149" i="34"/>
  <c r="P149" i="34" s="1"/>
  <c r="P153" i="34"/>
  <c r="I175" i="34"/>
  <c r="P175" i="34" s="1"/>
  <c r="P151" i="34"/>
  <c r="I229" i="34"/>
  <c r="P229" i="34" s="1"/>
  <c r="I197" i="34"/>
  <c r="P197" i="34"/>
  <c r="I190" i="34"/>
  <c r="P190" i="34" s="1"/>
  <c r="I199" i="34"/>
  <c r="P199" i="34"/>
  <c r="I150" i="34"/>
  <c r="P150" i="34"/>
  <c r="I244" i="34"/>
  <c r="P244" i="34" s="1"/>
  <c r="I230" i="34"/>
  <c r="P230" i="34"/>
  <c r="I246" i="34"/>
  <c r="P246" i="34" s="1"/>
  <c r="I159" i="34"/>
  <c r="P159" i="34"/>
  <c r="I207" i="34"/>
  <c r="P207" i="34" s="1"/>
  <c r="I208" i="34"/>
  <c r="P208" i="34" s="1"/>
  <c r="P228" i="34"/>
  <c r="I182" i="34"/>
  <c r="P182" i="34"/>
  <c r="P155" i="34"/>
  <c r="I138" i="34"/>
  <c r="P138" i="34" s="1"/>
  <c r="I143" i="34"/>
  <c r="P143" i="34"/>
  <c r="I225" i="34"/>
  <c r="P225" i="34" s="1"/>
  <c r="I194" i="34"/>
  <c r="P194" i="34" s="1"/>
  <c r="I158" i="34"/>
  <c r="P158" i="34" s="1"/>
  <c r="I193" i="34"/>
  <c r="P193" i="34" s="1"/>
  <c r="I222" i="34"/>
  <c r="P222" i="34" s="1"/>
  <c r="I237" i="34"/>
  <c r="P237" i="34"/>
  <c r="I162" i="34"/>
  <c r="P162" i="34" s="1"/>
  <c r="I169" i="34"/>
  <c r="P169" i="34"/>
  <c r="I185" i="34"/>
  <c r="P185" i="34" s="1"/>
  <c r="I201" i="34"/>
  <c r="P201" i="34" s="1"/>
  <c r="I191" i="34"/>
  <c r="P191" i="34" s="1"/>
  <c r="I234" i="34"/>
  <c r="P234" i="34"/>
  <c r="I200" i="34"/>
  <c r="P200" i="34"/>
  <c r="I133" i="34"/>
  <c r="P133" i="34" s="1"/>
  <c r="I40" i="34"/>
  <c r="P40" i="34"/>
  <c r="H53" i="34"/>
  <c r="I53" i="34" s="1"/>
  <c r="H18" i="34"/>
  <c r="I18" i="34"/>
  <c r="L18" i="34" s="1"/>
  <c r="H9" i="34"/>
  <c r="I9" i="34" s="1"/>
  <c r="H58" i="34"/>
  <c r="I58" i="34" s="1"/>
  <c r="H7" i="34"/>
  <c r="I7" i="34"/>
  <c r="P7" i="34" s="1"/>
  <c r="H10" i="34"/>
  <c r="I10" i="34" s="1"/>
  <c r="P10" i="34" s="1"/>
  <c r="H17" i="34"/>
  <c r="I17" i="34"/>
  <c r="P17" i="34"/>
  <c r="H56" i="34"/>
  <c r="I56" i="34"/>
  <c r="P56" i="34"/>
  <c r="H16" i="34"/>
  <c r="I16" i="34" s="1"/>
  <c r="H5" i="34"/>
  <c r="I5" i="34" s="1"/>
  <c r="D257" i="34"/>
  <c r="A257" i="34"/>
  <c r="D259" i="34"/>
  <c r="A259" i="34"/>
  <c r="H214" i="34"/>
  <c r="D258" i="34"/>
  <c r="A258" i="34"/>
  <c r="D254" i="34"/>
  <c r="D250" i="34"/>
  <c r="H89" i="34"/>
  <c r="D256" i="34"/>
  <c r="A256" i="34"/>
  <c r="H46" i="34"/>
  <c r="D255" i="34"/>
  <c r="A255" i="34"/>
  <c r="Q174" i="10"/>
  <c r="O174" i="10"/>
  <c r="P174" i="10"/>
  <c r="BW174" i="10"/>
  <c r="Q178" i="10"/>
  <c r="O178" i="10"/>
  <c r="P178" i="10"/>
  <c r="BW178" i="10"/>
  <c r="Q179" i="10"/>
  <c r="O179" i="10"/>
  <c r="P179" i="10"/>
  <c r="BW179" i="10"/>
  <c r="Q180" i="10"/>
  <c r="O180" i="10"/>
  <c r="P180" i="10"/>
  <c r="BW180" i="10"/>
  <c r="Q181" i="10"/>
  <c r="O181" i="10"/>
  <c r="P181" i="10"/>
  <c r="BW181" i="10"/>
  <c r="Q168" i="10"/>
  <c r="O168" i="10"/>
  <c r="P168" i="10"/>
  <c r="BW168" i="10"/>
  <c r="Q169" i="10"/>
  <c r="O169" i="10"/>
  <c r="P169" i="10"/>
  <c r="BW169" i="10"/>
  <c r="Q170" i="10"/>
  <c r="O170" i="10"/>
  <c r="P170" i="10"/>
  <c r="BW170" i="10"/>
  <c r="Q171" i="10"/>
  <c r="O171" i="10"/>
  <c r="P171" i="10"/>
  <c r="BW171" i="10"/>
  <c r="Q172" i="10"/>
  <c r="O172" i="10"/>
  <c r="P172" i="10"/>
  <c r="BW172" i="10"/>
  <c r="Q173" i="10"/>
  <c r="O173" i="10"/>
  <c r="P173" i="10"/>
  <c r="BW173" i="10"/>
  <c r="Q176" i="10"/>
  <c r="O176" i="10"/>
  <c r="P176" i="10"/>
  <c r="BW176" i="10"/>
  <c r="Q177" i="10"/>
  <c r="O177" i="10"/>
  <c r="P177" i="10"/>
  <c r="BW177" i="10"/>
  <c r="AK578" i="8"/>
  <c r="AI578" i="8"/>
  <c r="AK576" i="8"/>
  <c r="AI576" i="8"/>
  <c r="V576" i="8"/>
  <c r="Y576" i="8"/>
  <c r="AA576" i="8"/>
  <c r="V578" i="8"/>
  <c r="Y578" i="8"/>
  <c r="AA578" i="8"/>
  <c r="U578" i="8"/>
  <c r="U576" i="8"/>
  <c r="AT578" i="8"/>
  <c r="BC578" i="8"/>
  <c r="BK578" i="8"/>
  <c r="AU578" i="8"/>
  <c r="BD578" i="8"/>
  <c r="BL578" i="8"/>
  <c r="AV578" i="8"/>
  <c r="BE578" i="8"/>
  <c r="AW578" i="8"/>
  <c r="BF578" i="8"/>
  <c r="AX578" i="8"/>
  <c r="BG578" i="8"/>
  <c r="AY578" i="8"/>
  <c r="BH578" i="8"/>
  <c r="AR578" i="8"/>
  <c r="AZ578" i="8"/>
  <c r="BI578" i="8"/>
  <c r="AS578" i="8"/>
  <c r="BA578" i="8"/>
  <c r="BJ578" i="8"/>
  <c r="AV576" i="8"/>
  <c r="BE576" i="8"/>
  <c r="AW576" i="8"/>
  <c r="BF576" i="8"/>
  <c r="AX576" i="8"/>
  <c r="BG576" i="8"/>
  <c r="AY576" i="8"/>
  <c r="BH576" i="8"/>
  <c r="AR576" i="8"/>
  <c r="AZ576" i="8"/>
  <c r="BI576" i="8"/>
  <c r="AS576" i="8"/>
  <c r="BA576" i="8"/>
  <c r="BJ576" i="8"/>
  <c r="AT576" i="8"/>
  <c r="BC576" i="8"/>
  <c r="BK576" i="8"/>
  <c r="AU576" i="8"/>
  <c r="BD576" i="8"/>
  <c r="BL576" i="8"/>
  <c r="BL176" i="10"/>
  <c r="BX176" i="10"/>
  <c r="BL170" i="10"/>
  <c r="BX170" i="10"/>
  <c r="BL180" i="10"/>
  <c r="BX180" i="10"/>
  <c r="BL171" i="10"/>
  <c r="BX171" i="10"/>
  <c r="BL181" i="10"/>
  <c r="BX181" i="10"/>
  <c r="BL174" i="10"/>
  <c r="BX174" i="10"/>
  <c r="BL177" i="10"/>
  <c r="BX177" i="10"/>
  <c r="BL172" i="10"/>
  <c r="BX172" i="10"/>
  <c r="BL168" i="10"/>
  <c r="BX168" i="10"/>
  <c r="BL178" i="10"/>
  <c r="BX178" i="10"/>
  <c r="BL173" i="10"/>
  <c r="BX173" i="10"/>
  <c r="BL169" i="10"/>
  <c r="BX169" i="10"/>
  <c r="BL179" i="10"/>
  <c r="BX179" i="10"/>
  <c r="AN576" i="8"/>
  <c r="AM576" i="8"/>
  <c r="BU576" i="8"/>
  <c r="AL578" i="8"/>
  <c r="AM578" i="8"/>
  <c r="BU578" i="8"/>
  <c r="AN578" i="8"/>
  <c r="BV578" i="8"/>
  <c r="AL576" i="8"/>
  <c r="BM173" i="10"/>
  <c r="BM169" i="10"/>
  <c r="BM179" i="10"/>
  <c r="BM171" i="10"/>
  <c r="BM181" i="10"/>
  <c r="BC170" i="10"/>
  <c r="BE170" i="10"/>
  <c r="BF170" i="10"/>
  <c r="BN170" i="10"/>
  <c r="BC180" i="10"/>
  <c r="BE180" i="10"/>
  <c r="BF180" i="10"/>
  <c r="BN180" i="10"/>
  <c r="BC174" i="10"/>
  <c r="BE174" i="10"/>
  <c r="BF174" i="10"/>
  <c r="BN174" i="10"/>
  <c r="BC176" i="10"/>
  <c r="BE176" i="10"/>
  <c r="BF176" i="10"/>
  <c r="BN176" i="10"/>
  <c r="BC171" i="10"/>
  <c r="BE171" i="10"/>
  <c r="BF171" i="10"/>
  <c r="BN171" i="10"/>
  <c r="BM170" i="10"/>
  <c r="BC181" i="10"/>
  <c r="BE181" i="10"/>
  <c r="BF181" i="10"/>
  <c r="BN181" i="10"/>
  <c r="BM180" i="10"/>
  <c r="BM174" i="10"/>
  <c r="BC177" i="10"/>
  <c r="BE177" i="10"/>
  <c r="BF177" i="10"/>
  <c r="BN177" i="10"/>
  <c r="AR176" i="10"/>
  <c r="BM176" i="10"/>
  <c r="BC172" i="10"/>
  <c r="BE172" i="10"/>
  <c r="BF172" i="10"/>
  <c r="BN172" i="10"/>
  <c r="BC168" i="10"/>
  <c r="BE168" i="10"/>
  <c r="BF168" i="10"/>
  <c r="BN168" i="10"/>
  <c r="BC178" i="10"/>
  <c r="BE178" i="10"/>
  <c r="BF178" i="10"/>
  <c r="BN178" i="10"/>
  <c r="BM177" i="10"/>
  <c r="BC173" i="10"/>
  <c r="BE173" i="10"/>
  <c r="BF173" i="10"/>
  <c r="BN173" i="10"/>
  <c r="BM172" i="10"/>
  <c r="BC169" i="10"/>
  <c r="BE169" i="10"/>
  <c r="BF169" i="10"/>
  <c r="BN169" i="10"/>
  <c r="BM168" i="10"/>
  <c r="BC179" i="10"/>
  <c r="BE179" i="10"/>
  <c r="BF179" i="10"/>
  <c r="BN179" i="10"/>
  <c r="BM178" i="10"/>
  <c r="BD168" i="10"/>
  <c r="BK168" i="10"/>
  <c r="BD178" i="10"/>
  <c r="BK178" i="10"/>
  <c r="BD177" i="10"/>
  <c r="BK177" i="10"/>
  <c r="BD172" i="10"/>
  <c r="BK172" i="10"/>
  <c r="BD173" i="10"/>
  <c r="BK173" i="10"/>
  <c r="BD169" i="10"/>
  <c r="BK169" i="10"/>
  <c r="BD179" i="10"/>
  <c r="BK179" i="10"/>
  <c r="BD176" i="10"/>
  <c r="BK176" i="10"/>
  <c r="BD170" i="10"/>
  <c r="BK170" i="10"/>
  <c r="BD180" i="10"/>
  <c r="BK180" i="10"/>
  <c r="BD174" i="10"/>
  <c r="BK174" i="10"/>
  <c r="BD171" i="10"/>
  <c r="BK171" i="10"/>
  <c r="BD181" i="10"/>
  <c r="BK181" i="10"/>
  <c r="A254" i="34"/>
  <c r="D260" i="34"/>
  <c r="D251" i="34"/>
  <c r="H258" i="34"/>
  <c r="H256" i="34"/>
  <c r="I89" i="34"/>
  <c r="P89" i="34" s="1"/>
  <c r="I46" i="34"/>
  <c r="L46" i="34" s="1"/>
  <c r="L255" i="34" s="1"/>
  <c r="H255" i="34"/>
  <c r="BV576" i="8"/>
  <c r="BN578" i="8"/>
  <c r="BN576" i="8"/>
  <c r="BO576" i="8"/>
  <c r="BO578" i="8"/>
  <c r="BT576" i="8"/>
  <c r="BW576" i="8"/>
  <c r="BT578" i="8"/>
  <c r="BW578" i="8"/>
  <c r="AK590" i="8"/>
  <c r="AI590" i="8"/>
  <c r="AK597" i="8"/>
  <c r="AI597" i="8"/>
  <c r="AK595" i="8"/>
  <c r="AI595" i="8"/>
  <c r="AK617" i="8"/>
  <c r="AI617" i="8"/>
  <c r="AK593" i="8"/>
  <c r="AI593" i="8"/>
  <c r="V593" i="8"/>
  <c r="X593" i="8"/>
  <c r="Y593" i="8"/>
  <c r="AA593" i="8"/>
  <c r="V617" i="8"/>
  <c r="X617" i="8"/>
  <c r="Y617" i="8"/>
  <c r="AA617" i="8"/>
  <c r="V595" i="8"/>
  <c r="X595" i="8"/>
  <c r="Y595" i="8"/>
  <c r="AA595" i="8"/>
  <c r="V597" i="8"/>
  <c r="X597" i="8"/>
  <c r="Y597" i="8"/>
  <c r="AA597" i="8"/>
  <c r="V590" i="8"/>
  <c r="X590" i="8"/>
  <c r="Y590" i="8"/>
  <c r="AA590" i="8"/>
  <c r="U617" i="8"/>
  <c r="U595" i="8"/>
  <c r="U597" i="8"/>
  <c r="U590" i="8"/>
  <c r="U593" i="8"/>
  <c r="AU617" i="8"/>
  <c r="BD617" i="8"/>
  <c r="BL617" i="8"/>
  <c r="AV617" i="8"/>
  <c r="BE617" i="8"/>
  <c r="AW617" i="8"/>
  <c r="BF617" i="8"/>
  <c r="AX617" i="8"/>
  <c r="BG617" i="8"/>
  <c r="AY617" i="8"/>
  <c r="BH617" i="8"/>
  <c r="AR617" i="8"/>
  <c r="AZ617" i="8"/>
  <c r="BI617" i="8"/>
  <c r="AS617" i="8"/>
  <c r="BA617" i="8"/>
  <c r="BJ617" i="8"/>
  <c r="AT617" i="8"/>
  <c r="BC617" i="8"/>
  <c r="BK617" i="8"/>
  <c r="AX595" i="8"/>
  <c r="BG595" i="8"/>
  <c r="AY595" i="8"/>
  <c r="BH595" i="8"/>
  <c r="AR595" i="8"/>
  <c r="AZ595" i="8"/>
  <c r="BI595" i="8"/>
  <c r="AS595" i="8"/>
  <c r="BA595" i="8"/>
  <c r="BJ595" i="8"/>
  <c r="AT595" i="8"/>
  <c r="BC595" i="8"/>
  <c r="BK595" i="8"/>
  <c r="AU595" i="8"/>
  <c r="BD595" i="8"/>
  <c r="BL595" i="8"/>
  <c r="AV595" i="8"/>
  <c r="BE595" i="8"/>
  <c r="AW595" i="8"/>
  <c r="BF595" i="8"/>
  <c r="AW597" i="8"/>
  <c r="BF597" i="8"/>
  <c r="AX597" i="8"/>
  <c r="BG597" i="8"/>
  <c r="AY597" i="8"/>
  <c r="BH597" i="8"/>
  <c r="AR597" i="8"/>
  <c r="AZ597" i="8"/>
  <c r="BI597" i="8"/>
  <c r="AS597" i="8"/>
  <c r="BA597" i="8"/>
  <c r="BJ597" i="8"/>
  <c r="AT597" i="8"/>
  <c r="BC597" i="8"/>
  <c r="BK597" i="8"/>
  <c r="AU597" i="8"/>
  <c r="BD597" i="8"/>
  <c r="BL597" i="8"/>
  <c r="AV597" i="8"/>
  <c r="BE597" i="8"/>
  <c r="AY593" i="8"/>
  <c r="BH593" i="8"/>
  <c r="AR593" i="8"/>
  <c r="AZ593" i="8"/>
  <c r="BI593" i="8"/>
  <c r="AS593" i="8"/>
  <c r="BA593" i="8"/>
  <c r="BJ593" i="8"/>
  <c r="AT593" i="8"/>
  <c r="BC593" i="8"/>
  <c r="BK593" i="8"/>
  <c r="AU593" i="8"/>
  <c r="BD593" i="8"/>
  <c r="BL593" i="8"/>
  <c r="AV593" i="8"/>
  <c r="BE593" i="8"/>
  <c r="AW593" i="8"/>
  <c r="BF593" i="8"/>
  <c r="AX593" i="8"/>
  <c r="BG593" i="8"/>
  <c r="AW590" i="8"/>
  <c r="BF590" i="8"/>
  <c r="AX590" i="8"/>
  <c r="BG590" i="8"/>
  <c r="AY590" i="8"/>
  <c r="BH590" i="8"/>
  <c r="AR590" i="8"/>
  <c r="AZ590" i="8"/>
  <c r="BI590" i="8"/>
  <c r="AS590" i="8"/>
  <c r="BA590" i="8"/>
  <c r="BJ590" i="8"/>
  <c r="AT590" i="8"/>
  <c r="BC590" i="8"/>
  <c r="BK590" i="8"/>
  <c r="AU590" i="8"/>
  <c r="BD590" i="8"/>
  <c r="BL590" i="8"/>
  <c r="AV590" i="8"/>
  <c r="BE590" i="8"/>
  <c r="AM590" i="8"/>
  <c r="BU590" i="8"/>
  <c r="AN590" i="8"/>
  <c r="BV590" i="8"/>
  <c r="AM593" i="8"/>
  <c r="BU593" i="8"/>
  <c r="AN593" i="8"/>
  <c r="BV593" i="8"/>
  <c r="AM597" i="8"/>
  <c r="BU597" i="8"/>
  <c r="AN597" i="8"/>
  <c r="BV597" i="8"/>
  <c r="AL593" i="8"/>
  <c r="AL595" i="8"/>
  <c r="AL590" i="8"/>
  <c r="AN595" i="8"/>
  <c r="BV595" i="8"/>
  <c r="AM595" i="8"/>
  <c r="BU595" i="8"/>
  <c r="AM617" i="8"/>
  <c r="BU617" i="8"/>
  <c r="AN617" i="8"/>
  <c r="BV617" i="8"/>
  <c r="AL617" i="8"/>
  <c r="AL597" i="8"/>
  <c r="BO595" i="8"/>
  <c r="BN590" i="8"/>
  <c r="BN593" i="8"/>
  <c r="BN597" i="8"/>
  <c r="BO597" i="8"/>
  <c r="BO590" i="8"/>
  <c r="BO593" i="8"/>
  <c r="BN595" i="8"/>
  <c r="BN617" i="8"/>
  <c r="BO617" i="8"/>
  <c r="P220" i="10"/>
  <c r="BW220" i="10"/>
  <c r="O220" i="10"/>
  <c r="Q220" i="10"/>
  <c r="Q501" i="10"/>
  <c r="O501" i="10"/>
  <c r="P501" i="10"/>
  <c r="BW501" i="10"/>
  <c r="P503" i="10"/>
  <c r="O503" i="10"/>
  <c r="Q503" i="10"/>
  <c r="P497" i="10"/>
  <c r="BW497" i="10"/>
  <c r="O497" i="10"/>
  <c r="Q497" i="10"/>
  <c r="P494" i="10"/>
  <c r="O494" i="10"/>
  <c r="Q494" i="10"/>
  <c r="P479" i="10"/>
  <c r="BW479" i="10"/>
  <c r="O479" i="10"/>
  <c r="Q479" i="10"/>
  <c r="P208" i="10"/>
  <c r="O208" i="10"/>
  <c r="Q208" i="10"/>
  <c r="P205" i="10"/>
  <c r="O205" i="10"/>
  <c r="Q205" i="10"/>
  <c r="Q457" i="10"/>
  <c r="O457" i="10"/>
  <c r="P457" i="10"/>
  <c r="BW457" i="10"/>
  <c r="O450" i="10"/>
  <c r="P450" i="10"/>
  <c r="BW450" i="10"/>
  <c r="Q450" i="10"/>
  <c r="Q446" i="10"/>
  <c r="P446" i="10"/>
  <c r="BW446" i="10"/>
  <c r="O446" i="10"/>
  <c r="Q435" i="10"/>
  <c r="P435" i="10"/>
  <c r="BW435" i="10"/>
  <c r="Q439" i="10"/>
  <c r="P439" i="10"/>
  <c r="BW439" i="10"/>
  <c r="Q438" i="10"/>
  <c r="P438" i="10"/>
  <c r="BW438" i="10"/>
  <c r="Q437" i="10"/>
  <c r="P437" i="10"/>
  <c r="BW437" i="10"/>
  <c r="Q436" i="10"/>
  <c r="P436" i="10"/>
  <c r="BW436" i="10"/>
  <c r="O435" i="10"/>
  <c r="O439" i="10"/>
  <c r="O438" i="10"/>
  <c r="O437" i="10"/>
  <c r="O436" i="10"/>
  <c r="P424" i="10"/>
  <c r="BW424" i="10"/>
  <c r="P197" i="10"/>
  <c r="BW197" i="10"/>
  <c r="O197" i="10"/>
  <c r="Q197" i="10"/>
  <c r="P444" i="10"/>
  <c r="O444" i="10"/>
  <c r="Q444" i="10"/>
  <c r="P195" i="10"/>
  <c r="O195" i="10"/>
  <c r="Q195" i="10"/>
  <c r="P413" i="10"/>
  <c r="O413" i="10"/>
  <c r="Q413" i="10"/>
  <c r="Q410" i="10"/>
  <c r="P410" i="10"/>
  <c r="BW410" i="10"/>
  <c r="O410" i="10"/>
  <c r="Q409" i="10"/>
  <c r="P409" i="10"/>
  <c r="BW409" i="10"/>
  <c r="O409" i="10"/>
  <c r="P183" i="10"/>
  <c r="O183" i="10"/>
  <c r="Q183" i="10"/>
  <c r="P218" i="10"/>
  <c r="O218" i="10"/>
  <c r="Q218" i="10"/>
  <c r="P185" i="10"/>
  <c r="BW185" i="10"/>
  <c r="O185" i="10"/>
  <c r="Q185" i="10"/>
  <c r="P186" i="10"/>
  <c r="O186" i="10"/>
  <c r="Q186" i="10"/>
  <c r="P206" i="10"/>
  <c r="BW206" i="10"/>
  <c r="O206" i="10"/>
  <c r="Q206" i="10"/>
  <c r="P372" i="10"/>
  <c r="O372" i="10"/>
  <c r="Q372" i="10"/>
  <c r="P369" i="10"/>
  <c r="O369" i="10"/>
  <c r="Q369" i="10"/>
  <c r="P367" i="10"/>
  <c r="BW367" i="10"/>
  <c r="O367" i="10"/>
  <c r="Q367" i="10"/>
  <c r="P365" i="10"/>
  <c r="O365" i="10"/>
  <c r="Q365" i="10"/>
  <c r="P360" i="10"/>
  <c r="O360" i="10"/>
  <c r="Q360" i="10"/>
  <c r="P356" i="10"/>
  <c r="O356" i="10"/>
  <c r="Q356" i="10"/>
  <c r="P350" i="10"/>
  <c r="O350" i="10"/>
  <c r="Q350" i="10"/>
  <c r="P347" i="10"/>
  <c r="O347" i="10"/>
  <c r="Q347" i="10"/>
  <c r="P345" i="10"/>
  <c r="BW345" i="10"/>
  <c r="O345" i="10"/>
  <c r="Q345" i="10"/>
  <c r="P344" i="10"/>
  <c r="O344" i="10"/>
  <c r="Q344" i="10"/>
  <c r="P342" i="10"/>
  <c r="O342" i="10"/>
  <c r="Q342" i="10"/>
  <c r="P339" i="10"/>
  <c r="O339" i="10"/>
  <c r="Q339" i="10"/>
  <c r="P336" i="10"/>
  <c r="O336" i="10"/>
  <c r="Q336" i="10"/>
  <c r="Q337" i="10"/>
  <c r="O337" i="10"/>
  <c r="P337" i="10"/>
  <c r="BW337" i="10"/>
  <c r="P335" i="10"/>
  <c r="O335" i="10"/>
  <c r="Q335" i="10"/>
  <c r="P334" i="10"/>
  <c r="O334" i="10"/>
  <c r="Q334" i="10"/>
  <c r="P50" i="10"/>
  <c r="O50" i="10"/>
  <c r="Q50" i="10"/>
  <c r="P325" i="10"/>
  <c r="O325" i="10"/>
  <c r="Q325" i="10"/>
  <c r="P74" i="10"/>
  <c r="O74" i="10"/>
  <c r="Q74" i="10"/>
  <c r="P14" i="10"/>
  <c r="BW14" i="10"/>
  <c r="O14" i="10"/>
  <c r="Q14" i="10"/>
  <c r="P125" i="10"/>
  <c r="BW125" i="10"/>
  <c r="O125" i="10"/>
  <c r="Q125" i="10"/>
  <c r="P105" i="10"/>
  <c r="O105" i="10"/>
  <c r="Q105" i="10"/>
  <c r="P59" i="10"/>
  <c r="BW59" i="10"/>
  <c r="O59" i="10"/>
  <c r="Q59" i="10"/>
  <c r="P48" i="10"/>
  <c r="BW48" i="10"/>
  <c r="O48" i="10"/>
  <c r="Q48" i="10"/>
  <c r="P38" i="10"/>
  <c r="BW38" i="10"/>
  <c r="O38" i="10"/>
  <c r="Q38" i="10"/>
  <c r="BL14" i="10"/>
  <c r="BX14" i="10"/>
  <c r="BN325" i="10"/>
  <c r="BW325" i="10"/>
  <c r="BN50" i="10"/>
  <c r="BW50" i="10"/>
  <c r="BN334" i="10"/>
  <c r="BW334" i="10"/>
  <c r="BN335" i="10"/>
  <c r="BW335" i="10"/>
  <c r="BN336" i="10"/>
  <c r="BW336" i="10"/>
  <c r="BN339" i="10"/>
  <c r="BW339" i="10"/>
  <c r="BN342" i="10"/>
  <c r="BW342" i="10"/>
  <c r="BN344" i="10"/>
  <c r="BW344" i="10"/>
  <c r="BN347" i="10"/>
  <c r="BW347" i="10"/>
  <c r="BN350" i="10"/>
  <c r="BW350" i="10"/>
  <c r="BN356" i="10"/>
  <c r="BW356" i="10"/>
  <c r="BN360" i="10"/>
  <c r="BW360" i="10"/>
  <c r="BN365" i="10"/>
  <c r="BW365" i="10"/>
  <c r="BN369" i="10"/>
  <c r="BW369" i="10"/>
  <c r="BN372" i="10"/>
  <c r="BW372" i="10"/>
  <c r="BL186" i="10"/>
  <c r="BX186" i="10"/>
  <c r="BN218" i="10"/>
  <c r="BW218" i="10"/>
  <c r="BN413" i="10"/>
  <c r="BW413" i="10"/>
  <c r="BL444" i="10"/>
  <c r="BX444" i="10"/>
  <c r="BL446" i="10"/>
  <c r="BX446" i="10"/>
  <c r="BN208" i="10"/>
  <c r="BW208" i="10"/>
  <c r="BL479" i="10"/>
  <c r="BX479" i="10"/>
  <c r="BL206" i="10"/>
  <c r="BX206" i="10"/>
  <c r="BL183" i="10"/>
  <c r="BX183" i="10"/>
  <c r="BL410" i="10"/>
  <c r="BX410" i="10"/>
  <c r="BL195" i="10"/>
  <c r="BX195" i="10"/>
  <c r="BL436" i="10"/>
  <c r="BX436" i="10"/>
  <c r="BL438" i="10"/>
  <c r="BX438" i="10"/>
  <c r="BL435" i="10"/>
  <c r="BX435" i="10"/>
  <c r="BL450" i="10"/>
  <c r="BX450" i="10"/>
  <c r="BN205" i="10"/>
  <c r="BW205" i="10"/>
  <c r="BL210" i="10"/>
  <c r="BX210" i="10"/>
  <c r="BN494" i="10"/>
  <c r="BW494" i="10"/>
  <c r="BL503" i="10"/>
  <c r="BX503" i="10"/>
  <c r="BL59" i="10"/>
  <c r="BX59" i="10"/>
  <c r="BL105" i="10"/>
  <c r="BX105" i="10"/>
  <c r="BL125" i="10"/>
  <c r="BX125" i="10"/>
  <c r="BN74" i="10"/>
  <c r="BW74" i="10"/>
  <c r="BL38" i="10"/>
  <c r="BX38" i="10"/>
  <c r="BL48" i="10"/>
  <c r="BX48" i="10"/>
  <c r="BL325" i="10"/>
  <c r="BX325" i="10"/>
  <c r="BL50" i="10"/>
  <c r="BX50" i="10"/>
  <c r="BL334" i="10"/>
  <c r="BX334" i="10"/>
  <c r="BL335" i="10"/>
  <c r="BX335" i="10"/>
  <c r="BL336" i="10"/>
  <c r="BX336" i="10"/>
  <c r="BL339" i="10"/>
  <c r="BX339" i="10"/>
  <c r="BL342" i="10"/>
  <c r="BX342" i="10"/>
  <c r="BL344" i="10"/>
  <c r="BX344" i="10"/>
  <c r="BL345" i="10"/>
  <c r="BX345" i="10"/>
  <c r="BL347" i="10"/>
  <c r="BX347" i="10"/>
  <c r="BL350" i="10"/>
  <c r="BX350" i="10"/>
  <c r="BL356" i="10"/>
  <c r="BX356" i="10"/>
  <c r="BL360" i="10"/>
  <c r="BX360" i="10"/>
  <c r="BL365" i="10"/>
  <c r="BX365" i="10"/>
  <c r="BL367" i="10"/>
  <c r="BX367" i="10"/>
  <c r="BL369" i="10"/>
  <c r="BX369" i="10"/>
  <c r="BL372" i="10"/>
  <c r="BX372" i="10"/>
  <c r="BN186" i="10"/>
  <c r="BW186" i="10"/>
  <c r="BL218" i="10"/>
  <c r="BX218" i="10"/>
  <c r="BL409" i="10"/>
  <c r="BX409" i="10"/>
  <c r="BL413" i="10"/>
  <c r="BX413" i="10"/>
  <c r="BN444" i="10"/>
  <c r="BW444" i="10"/>
  <c r="BL457" i="10"/>
  <c r="BX457" i="10"/>
  <c r="BL208" i="10"/>
  <c r="BX208" i="10"/>
  <c r="BL497" i="10"/>
  <c r="BX497" i="10"/>
  <c r="BL501" i="10"/>
  <c r="BX501" i="10"/>
  <c r="BN105" i="10"/>
  <c r="BW105" i="10"/>
  <c r="BL74" i="10"/>
  <c r="BX74" i="10"/>
  <c r="BL337" i="10"/>
  <c r="BX337" i="10"/>
  <c r="BL185" i="10"/>
  <c r="BX185" i="10"/>
  <c r="BN183" i="10"/>
  <c r="BW183" i="10"/>
  <c r="BN195" i="10"/>
  <c r="BW195" i="10"/>
  <c r="BL197" i="10"/>
  <c r="BX197" i="10"/>
  <c r="BL437" i="10"/>
  <c r="BX437" i="10"/>
  <c r="BL439" i="10"/>
  <c r="BX439" i="10"/>
  <c r="BL205" i="10"/>
  <c r="BX205" i="10"/>
  <c r="BN210" i="10"/>
  <c r="BW210" i="10"/>
  <c r="BL494" i="10"/>
  <c r="BX494" i="10"/>
  <c r="BN503" i="10"/>
  <c r="BW503" i="10"/>
  <c r="BL220" i="10"/>
  <c r="BX220" i="10"/>
  <c r="BT590" i="8"/>
  <c r="BW590" i="8"/>
  <c r="BT595" i="8"/>
  <c r="BW595" i="8"/>
  <c r="BT617" i="8"/>
  <c r="BW617" i="8"/>
  <c r="BT593" i="8"/>
  <c r="BW593" i="8"/>
  <c r="BT597" i="8"/>
  <c r="BW597" i="8"/>
  <c r="BM436" i="10"/>
  <c r="BM435" i="10"/>
  <c r="BM208" i="10"/>
  <c r="BM220" i="10"/>
  <c r="BC337" i="10"/>
  <c r="BE337" i="10"/>
  <c r="BF337" i="10"/>
  <c r="BN337" i="10"/>
  <c r="BC409" i="10"/>
  <c r="BE409" i="10"/>
  <c r="BF409" i="10"/>
  <c r="BN409" i="10"/>
  <c r="BC197" i="10"/>
  <c r="BE197" i="10"/>
  <c r="BF197" i="10"/>
  <c r="BN197" i="10"/>
  <c r="BC446" i="10"/>
  <c r="BE446" i="10"/>
  <c r="BF446" i="10"/>
  <c r="BN446" i="10"/>
  <c r="BM450" i="10"/>
  <c r="AR497" i="10"/>
  <c r="BM497" i="10"/>
  <c r="BC38" i="10"/>
  <c r="BE38" i="10"/>
  <c r="BF38" i="10"/>
  <c r="BN38" i="10"/>
  <c r="BC48" i="10"/>
  <c r="BE48" i="10"/>
  <c r="BF48" i="10"/>
  <c r="BN48" i="10"/>
  <c r="AR74" i="10"/>
  <c r="BM74" i="10"/>
  <c r="AR337" i="10"/>
  <c r="BM337" i="10"/>
  <c r="AR344" i="10"/>
  <c r="BM344" i="10"/>
  <c r="AR345" i="10"/>
  <c r="BM345" i="10"/>
  <c r="AR347" i="10"/>
  <c r="BM347" i="10"/>
  <c r="AR350" i="10"/>
  <c r="BM350" i="10"/>
  <c r="AR356" i="10"/>
  <c r="BM356" i="10"/>
  <c r="AR360" i="10"/>
  <c r="BM360" i="10"/>
  <c r="AR365" i="10"/>
  <c r="BM365" i="10"/>
  <c r="AR367" i="10"/>
  <c r="BM367" i="10"/>
  <c r="AR369" i="10"/>
  <c r="BM369" i="10"/>
  <c r="AR372" i="10"/>
  <c r="BM372" i="10"/>
  <c r="BC206" i="10"/>
  <c r="BE206" i="10"/>
  <c r="BF206" i="10"/>
  <c r="BN206" i="10"/>
  <c r="BC185" i="10"/>
  <c r="BE185" i="10"/>
  <c r="BF185" i="10"/>
  <c r="BN185" i="10"/>
  <c r="BM410" i="10"/>
  <c r="BC424" i="10"/>
  <c r="BN424" i="10"/>
  <c r="BM438" i="10"/>
  <c r="BM457" i="10"/>
  <c r="BM479" i="10"/>
  <c r="BM501" i="10"/>
  <c r="AR38" i="10"/>
  <c r="BM38" i="10"/>
  <c r="BM48" i="10"/>
  <c r="BC59" i="10"/>
  <c r="BE59" i="10"/>
  <c r="BF59" i="10"/>
  <c r="BN59" i="10"/>
  <c r="BC125" i="10"/>
  <c r="BE125" i="10"/>
  <c r="BF125" i="10"/>
  <c r="BN125" i="10"/>
  <c r="BC14" i="10"/>
  <c r="BE14" i="10"/>
  <c r="BF14" i="10"/>
  <c r="BN14" i="10"/>
  <c r="AR206" i="10"/>
  <c r="BM206" i="10"/>
  <c r="BM186" i="10"/>
  <c r="BM185" i="10"/>
  <c r="BM218" i="10"/>
  <c r="BM183" i="10"/>
  <c r="BM437" i="10"/>
  <c r="BC436" i="10"/>
  <c r="BE436" i="10"/>
  <c r="BF436" i="10"/>
  <c r="BN436" i="10"/>
  <c r="BC438" i="10"/>
  <c r="BE438" i="10"/>
  <c r="BF438" i="10"/>
  <c r="BN438" i="10"/>
  <c r="BC435" i="10"/>
  <c r="BE435" i="10"/>
  <c r="BF435" i="10"/>
  <c r="BN435" i="10"/>
  <c r="BC457" i="10"/>
  <c r="BE457" i="10"/>
  <c r="BF457" i="10"/>
  <c r="BN457" i="10"/>
  <c r="BM205" i="10"/>
  <c r="BM494" i="10"/>
  <c r="BC497" i="10"/>
  <c r="BE497" i="10"/>
  <c r="BF497" i="10"/>
  <c r="BN497" i="10"/>
  <c r="BC501" i="10"/>
  <c r="BE501" i="10"/>
  <c r="BF501" i="10"/>
  <c r="BN501" i="10"/>
  <c r="BC220" i="10"/>
  <c r="BE220" i="10"/>
  <c r="BF220" i="10"/>
  <c r="BN220" i="10"/>
  <c r="AR59" i="10"/>
  <c r="BM59" i="10"/>
  <c r="AR105" i="10"/>
  <c r="BM105" i="10"/>
  <c r="AR125" i="10"/>
  <c r="BM125" i="10"/>
  <c r="AR14" i="10"/>
  <c r="BM14" i="10"/>
  <c r="AR325" i="10"/>
  <c r="BM325" i="10"/>
  <c r="BM50" i="10"/>
  <c r="AR334" i="10"/>
  <c r="BM334" i="10"/>
  <c r="AR335" i="10"/>
  <c r="BM335" i="10"/>
  <c r="AR336" i="10"/>
  <c r="BM336" i="10"/>
  <c r="AR339" i="10"/>
  <c r="BM339" i="10"/>
  <c r="AR342" i="10"/>
  <c r="BM342" i="10"/>
  <c r="BC345" i="10"/>
  <c r="BE345" i="10"/>
  <c r="BF345" i="10"/>
  <c r="BN345" i="10"/>
  <c r="BC367" i="10"/>
  <c r="BE367" i="10"/>
  <c r="BF367" i="10"/>
  <c r="BN367" i="10"/>
  <c r="BM409" i="10"/>
  <c r="BC410" i="10"/>
  <c r="BE410" i="10"/>
  <c r="BF410" i="10"/>
  <c r="BN410" i="10"/>
  <c r="AR413" i="10"/>
  <c r="BM413" i="10"/>
  <c r="BM195" i="10"/>
  <c r="BM444" i="10"/>
  <c r="BM197" i="10"/>
  <c r="BM439" i="10"/>
  <c r="BC437" i="10"/>
  <c r="BE437" i="10"/>
  <c r="BF437" i="10"/>
  <c r="BN437" i="10"/>
  <c r="BC439" i="10"/>
  <c r="BE439" i="10"/>
  <c r="BF439" i="10"/>
  <c r="BN439" i="10"/>
  <c r="BM446" i="10"/>
  <c r="BC450" i="10"/>
  <c r="BE450" i="10"/>
  <c r="BF450" i="10"/>
  <c r="BN450" i="10"/>
  <c r="BM210" i="10"/>
  <c r="BC479" i="10"/>
  <c r="BE479" i="10"/>
  <c r="BF479" i="10"/>
  <c r="BN479" i="10"/>
  <c r="BM503" i="10"/>
  <c r="BC336" i="10"/>
  <c r="BE336" i="10"/>
  <c r="BF336" i="10"/>
  <c r="BC339" i="10"/>
  <c r="BE339" i="10"/>
  <c r="BF339" i="10"/>
  <c r="BC342" i="10"/>
  <c r="BE342" i="10"/>
  <c r="BF342" i="10"/>
  <c r="BD344" i="10"/>
  <c r="BK344" i="10"/>
  <c r="BD345" i="10"/>
  <c r="BK345" i="10"/>
  <c r="BD347" i="10"/>
  <c r="BK347" i="10"/>
  <c r="BD350" i="10"/>
  <c r="BK350" i="10"/>
  <c r="BD356" i="10"/>
  <c r="BK356" i="10"/>
  <c r="BD360" i="10"/>
  <c r="BK360" i="10"/>
  <c r="BD365" i="10"/>
  <c r="BK365" i="10"/>
  <c r="BD367" i="10"/>
  <c r="BK367" i="10"/>
  <c r="BD369" i="10"/>
  <c r="BK369" i="10"/>
  <c r="BD372" i="10"/>
  <c r="BK372" i="10"/>
  <c r="BD409" i="10"/>
  <c r="BK409" i="10"/>
  <c r="BD446" i="10"/>
  <c r="BK446" i="10"/>
  <c r="BC208" i="10"/>
  <c r="BE208" i="10"/>
  <c r="BF208" i="10"/>
  <c r="BD479" i="10"/>
  <c r="BK479" i="10"/>
  <c r="BC105" i="10"/>
  <c r="BE105" i="10"/>
  <c r="BF105" i="10"/>
  <c r="BC334" i="10"/>
  <c r="BE334" i="10"/>
  <c r="BF334" i="10"/>
  <c r="BC335" i="10"/>
  <c r="BE335" i="10"/>
  <c r="BF335" i="10"/>
  <c r="BD206" i="10"/>
  <c r="BK206" i="10"/>
  <c r="BD186" i="10"/>
  <c r="BK186" i="10"/>
  <c r="BD185" i="10"/>
  <c r="BK185" i="10"/>
  <c r="BD218" i="10"/>
  <c r="BK218" i="10"/>
  <c r="BD183" i="10"/>
  <c r="BK183" i="10"/>
  <c r="BD410" i="10"/>
  <c r="BK410" i="10"/>
  <c r="BC413" i="10"/>
  <c r="BE413" i="10"/>
  <c r="BF413" i="10"/>
  <c r="BC195" i="10"/>
  <c r="BE195" i="10"/>
  <c r="BF195" i="10"/>
  <c r="BC444" i="10"/>
  <c r="BE444" i="10"/>
  <c r="BF444" i="10"/>
  <c r="BD437" i="10"/>
  <c r="BK437" i="10"/>
  <c r="BD439" i="10"/>
  <c r="BK439" i="10"/>
  <c r="BD205" i="10"/>
  <c r="BK205" i="10"/>
  <c r="BC210" i="10"/>
  <c r="BE210" i="10"/>
  <c r="BF210" i="10"/>
  <c r="BD494" i="10"/>
  <c r="BK494" i="10"/>
  <c r="BC503" i="10"/>
  <c r="BE503" i="10"/>
  <c r="BF503" i="10"/>
  <c r="BD59" i="10"/>
  <c r="BK59" i="10"/>
  <c r="BD105" i="10"/>
  <c r="BK105" i="10"/>
  <c r="BD125" i="10"/>
  <c r="BK125" i="10"/>
  <c r="BD14" i="10"/>
  <c r="BK14" i="10"/>
  <c r="BD325" i="10"/>
  <c r="BK325" i="10"/>
  <c r="BD50" i="10"/>
  <c r="BK50" i="10"/>
  <c r="BD334" i="10"/>
  <c r="BK334" i="10"/>
  <c r="BD335" i="10"/>
  <c r="BK335" i="10"/>
  <c r="BD336" i="10"/>
  <c r="BK336" i="10"/>
  <c r="BD339" i="10"/>
  <c r="BK339" i="10"/>
  <c r="BD342" i="10"/>
  <c r="BK342" i="10"/>
  <c r="BC186" i="10"/>
  <c r="BE186" i="10"/>
  <c r="BF186" i="10"/>
  <c r="BC218" i="10"/>
  <c r="BE218" i="10"/>
  <c r="BF218" i="10"/>
  <c r="BC183" i="10"/>
  <c r="BE183" i="10"/>
  <c r="BF183" i="10"/>
  <c r="BD413" i="10"/>
  <c r="BK413" i="10"/>
  <c r="BD195" i="10"/>
  <c r="BK195" i="10"/>
  <c r="BD444" i="10"/>
  <c r="BK444" i="10"/>
  <c r="BD197" i="10"/>
  <c r="BK197" i="10"/>
  <c r="BD436" i="10"/>
  <c r="BK436" i="10"/>
  <c r="BD438" i="10"/>
  <c r="BK438" i="10"/>
  <c r="BD435" i="10"/>
  <c r="BK435" i="10"/>
  <c r="BD450" i="10"/>
  <c r="BK450" i="10"/>
  <c r="BC205" i="10"/>
  <c r="BE205" i="10"/>
  <c r="BF205" i="10"/>
  <c r="BD210" i="10"/>
  <c r="BK210" i="10"/>
  <c r="BC494" i="10"/>
  <c r="BE494" i="10"/>
  <c r="BF494" i="10"/>
  <c r="BD503" i="10"/>
  <c r="BK503" i="10"/>
  <c r="BC325" i="10"/>
  <c r="BE325" i="10"/>
  <c r="BF325" i="10"/>
  <c r="BC50" i="10"/>
  <c r="BE50" i="10"/>
  <c r="BF50" i="10"/>
  <c r="BD74" i="10"/>
  <c r="BK74" i="10"/>
  <c r="BD38" i="10"/>
  <c r="BK38" i="10"/>
  <c r="BD48" i="10"/>
  <c r="BK48" i="10"/>
  <c r="BC74" i="10"/>
  <c r="BE74" i="10"/>
  <c r="BF74" i="10"/>
  <c r="BD337" i="10"/>
  <c r="BK337" i="10"/>
  <c r="BC344" i="10"/>
  <c r="BE344" i="10"/>
  <c r="BF344" i="10"/>
  <c r="BC347" i="10"/>
  <c r="BE347" i="10"/>
  <c r="BF347" i="10"/>
  <c r="BC350" i="10"/>
  <c r="BE350" i="10"/>
  <c r="BF350" i="10"/>
  <c r="BC356" i="10"/>
  <c r="BE356" i="10"/>
  <c r="BF356" i="10"/>
  <c r="BC360" i="10"/>
  <c r="BE360" i="10"/>
  <c r="BF360" i="10"/>
  <c r="BC365" i="10"/>
  <c r="BE365" i="10"/>
  <c r="BF365" i="10"/>
  <c r="BC369" i="10"/>
  <c r="BE369" i="10"/>
  <c r="BF369" i="10"/>
  <c r="BC372" i="10"/>
  <c r="BE372" i="10"/>
  <c r="BF372" i="10"/>
  <c r="BD457" i="10"/>
  <c r="BK457" i="10"/>
  <c r="BD208" i="10"/>
  <c r="BK208" i="10"/>
  <c r="BD497" i="10"/>
  <c r="BK497" i="10"/>
  <c r="BD501" i="10"/>
  <c r="BK501" i="10"/>
  <c r="BD220" i="10"/>
  <c r="BK220" i="10"/>
  <c r="Q424" i="10"/>
  <c r="O424" i="10"/>
  <c r="BL424" i="10"/>
  <c r="BX424" i="10"/>
  <c r="BM424" i="10"/>
  <c r="BD424" i="10"/>
  <c r="BK424" i="10"/>
  <c r="BE424" i="10"/>
  <c r="BF424" i="10"/>
  <c r="AK15" i="8"/>
  <c r="AK541" i="8"/>
  <c r="Y648" i="8"/>
  <c r="AA648" i="8"/>
  <c r="Y542" i="8"/>
  <c r="AA542" i="8"/>
  <c r="Y541" i="8"/>
  <c r="AA541" i="8"/>
  <c r="Y21" i="8"/>
  <c r="AA21" i="8"/>
  <c r="Y130" i="8"/>
  <c r="AA130" i="8"/>
  <c r="V541" i="8"/>
  <c r="X541" i="8"/>
  <c r="AK542" i="8"/>
  <c r="V542" i="8"/>
  <c r="X542" i="8"/>
  <c r="U648" i="8"/>
  <c r="U542" i="8"/>
  <c r="U541" i="8"/>
  <c r="U21" i="8"/>
  <c r="V21" i="8"/>
  <c r="X21" i="8"/>
  <c r="AK21" i="8"/>
  <c r="AK648" i="8"/>
  <c r="V648" i="8"/>
  <c r="X648" i="8"/>
  <c r="AI648" i="8"/>
  <c r="AI542" i="8"/>
  <c r="AI541" i="8"/>
  <c r="AI21" i="8"/>
  <c r="AS541" i="8"/>
  <c r="BA541" i="8"/>
  <c r="BJ541" i="8"/>
  <c r="AT541" i="8"/>
  <c r="BC541" i="8"/>
  <c r="BK541" i="8"/>
  <c r="AU541" i="8"/>
  <c r="BD541" i="8"/>
  <c r="BL541" i="8"/>
  <c r="AV541" i="8"/>
  <c r="BE541" i="8"/>
  <c r="AW541" i="8"/>
  <c r="BF541" i="8"/>
  <c r="AX541" i="8"/>
  <c r="BG541" i="8"/>
  <c r="AY541" i="8"/>
  <c r="BH541" i="8"/>
  <c r="AR541" i="8"/>
  <c r="AZ541" i="8"/>
  <c r="BI541" i="8"/>
  <c r="AV542" i="8"/>
  <c r="BE542" i="8"/>
  <c r="AW542" i="8"/>
  <c r="BF542" i="8"/>
  <c r="AX542" i="8"/>
  <c r="BG542" i="8"/>
  <c r="AY542" i="8"/>
  <c r="BH542" i="8"/>
  <c r="AR542" i="8"/>
  <c r="AZ542" i="8"/>
  <c r="BI542" i="8"/>
  <c r="AS542" i="8"/>
  <c r="BA542" i="8"/>
  <c r="BJ542" i="8"/>
  <c r="AT542" i="8"/>
  <c r="BC542" i="8"/>
  <c r="BK542" i="8"/>
  <c r="AU542" i="8"/>
  <c r="BD542" i="8"/>
  <c r="BL542" i="8"/>
  <c r="AR21" i="8"/>
  <c r="AZ21" i="8"/>
  <c r="BI21" i="8"/>
  <c r="AT21" i="8"/>
  <c r="BC21" i="8"/>
  <c r="BK21" i="8"/>
  <c r="AU21" i="8"/>
  <c r="BD21" i="8"/>
  <c r="BL21" i="8"/>
  <c r="AY21" i="8"/>
  <c r="BE21" i="8"/>
  <c r="AS21" i="8"/>
  <c r="BG21" i="8"/>
  <c r="AX21" i="8"/>
  <c r="BA21" i="8"/>
  <c r="BH21" i="8"/>
  <c r="AW21" i="8"/>
  <c r="BF21" i="8"/>
  <c r="AV21" i="8"/>
  <c r="BJ21" i="8"/>
  <c r="AR648" i="8"/>
  <c r="AZ648" i="8"/>
  <c r="BI648" i="8"/>
  <c r="AS648" i="8"/>
  <c r="BA648" i="8"/>
  <c r="BJ648" i="8"/>
  <c r="AT648" i="8"/>
  <c r="BC648" i="8"/>
  <c r="BK648" i="8"/>
  <c r="AU648" i="8"/>
  <c r="BD648" i="8"/>
  <c r="BL648" i="8"/>
  <c r="AV648" i="8"/>
  <c r="BE648" i="8"/>
  <c r="AW648" i="8"/>
  <c r="BF648" i="8"/>
  <c r="AX648" i="8"/>
  <c r="BG648" i="8"/>
  <c r="AY648" i="8"/>
  <c r="BH648" i="8"/>
  <c r="AL21" i="8"/>
  <c r="AL648" i="8"/>
  <c r="AL541" i="8"/>
  <c r="AL542" i="8"/>
  <c r="AM542" i="8"/>
  <c r="BU542" i="8"/>
  <c r="AM21" i="8"/>
  <c r="BU21" i="8"/>
  <c r="AN21" i="8"/>
  <c r="BV21" i="8"/>
  <c r="AN542" i="8"/>
  <c r="BV542" i="8"/>
  <c r="AN648" i="8"/>
  <c r="BV648" i="8"/>
  <c r="AM541" i="8"/>
  <c r="BU541" i="8"/>
  <c r="AM648" i="8"/>
  <c r="BU648" i="8"/>
  <c r="AN541" i="8"/>
  <c r="BV541" i="8"/>
  <c r="D875" i="8"/>
  <c r="BN541" i="8"/>
  <c r="BN648" i="8"/>
  <c r="BO21" i="8"/>
  <c r="BN542" i="8"/>
  <c r="BO541" i="8"/>
  <c r="BO648" i="8"/>
  <c r="BO542" i="8"/>
  <c r="BN21" i="8"/>
  <c r="AK785" i="8"/>
  <c r="AK808" i="8"/>
  <c r="AK780" i="8"/>
  <c r="AK781" i="8"/>
  <c r="AK547" i="8"/>
  <c r="AK546" i="8"/>
  <c r="BT648" i="8"/>
  <c r="BW648" i="8"/>
  <c r="BT541" i="8"/>
  <c r="BW541" i="8"/>
  <c r="BT542" i="8"/>
  <c r="BW542" i="8"/>
  <c r="BT21" i="8"/>
  <c r="BW21" i="8"/>
  <c r="U569" i="8"/>
  <c r="U570" i="8"/>
  <c r="U537" i="8"/>
  <c r="U497" i="8"/>
  <c r="U496" i="8"/>
  <c r="U563" i="8"/>
  <c r="U557" i="8"/>
  <c r="U538" i="8"/>
  <c r="U32" i="8"/>
  <c r="U543" i="8"/>
  <c r="U564" i="8"/>
  <c r="U539" i="8"/>
  <c r="U566" i="8"/>
  <c r="U565" i="8"/>
  <c r="AK535" i="8"/>
  <c r="AK490" i="8"/>
  <c r="AK536" i="8"/>
  <c r="AK492" i="8"/>
  <c r="AK551" i="8"/>
  <c r="AK550" i="8"/>
  <c r="AK561" i="8"/>
  <c r="AK494" i="8"/>
  <c r="AK493" i="8"/>
  <c r="AK26" i="8"/>
  <c r="AK553" i="8"/>
  <c r="AK491" i="8"/>
  <c r="AK552" i="8"/>
  <c r="AK548" i="8"/>
  <c r="AK29" i="8"/>
  <c r="AK23" i="8"/>
  <c r="AK22" i="8"/>
  <c r="U57" i="8"/>
  <c r="V57" i="8"/>
  <c r="X57" i="8"/>
  <c r="Y57" i="8"/>
  <c r="AA57" i="8"/>
  <c r="AI57" i="8"/>
  <c r="U550" i="8"/>
  <c r="V550" i="8"/>
  <c r="X550" i="8"/>
  <c r="Y550" i="8"/>
  <c r="AA550" i="8"/>
  <c r="AI550" i="8"/>
  <c r="AK16" i="8"/>
  <c r="AK534" i="8"/>
  <c r="AK520" i="8"/>
  <c r="AK505" i="8"/>
  <c r="AK33" i="8"/>
  <c r="AK515" i="8"/>
  <c r="AK518" i="8"/>
  <c r="AK509" i="8"/>
  <c r="AK25" i="8"/>
  <c r="AK503" i="8"/>
  <c r="AK512" i="8"/>
  <c r="AK526" i="8"/>
  <c r="AK525" i="8"/>
  <c r="AK501" i="8"/>
  <c r="AK500" i="8"/>
  <c r="AK533" i="8"/>
  <c r="AK511" i="8"/>
  <c r="AK510" i="8"/>
  <c r="AK524" i="8"/>
  <c r="AK522" i="8"/>
  <c r="AK532" i="8"/>
  <c r="AK517" i="8"/>
  <c r="AK514" i="8"/>
  <c r="AK20" i="8"/>
  <c r="AK516" i="8"/>
  <c r="AK519" i="8"/>
  <c r="AK531" i="8"/>
  <c r="AK19" i="8"/>
  <c r="AK508" i="8"/>
  <c r="AK502" i="8"/>
  <c r="AK506" i="8"/>
  <c r="AK504" i="8"/>
  <c r="AK530" i="8"/>
  <c r="AK529" i="8"/>
  <c r="AK528" i="8"/>
  <c r="AK523" i="8"/>
  <c r="AK507" i="8"/>
  <c r="AK513" i="8"/>
  <c r="AK24" i="8"/>
  <c r="AK521" i="8"/>
  <c r="AK527" i="8"/>
  <c r="AI507" i="8"/>
  <c r="AI523" i="8"/>
  <c r="AI501" i="8"/>
  <c r="AI527" i="8"/>
  <c r="AI524" i="8"/>
  <c r="AI502" i="8"/>
  <c r="AI521" i="8"/>
  <c r="AI529" i="8"/>
  <c r="AI508" i="8"/>
  <c r="AI512" i="8"/>
  <c r="AI19" i="8"/>
  <c r="AI530" i="8"/>
  <c r="AI531" i="8"/>
  <c r="AI503" i="8"/>
  <c r="AI25" i="8"/>
  <c r="AI509" i="8"/>
  <c r="AI525" i="8"/>
  <c r="AI510" i="8"/>
  <c r="AI532" i="8"/>
  <c r="AI518" i="8"/>
  <c r="AI519" i="8"/>
  <c r="AI511" i="8"/>
  <c r="AI504" i="8"/>
  <c r="AI514" i="8"/>
  <c r="AI515" i="8"/>
  <c r="AI33" i="8"/>
  <c r="AI505" i="8"/>
  <c r="AI533" i="8"/>
  <c r="AI24" i="8"/>
  <c r="AI516" i="8"/>
  <c r="AI20" i="8"/>
  <c r="AI520" i="8"/>
  <c r="AI526" i="8"/>
  <c r="AI265" i="8"/>
  <c r="AI528" i="8"/>
  <c r="AI506" i="8"/>
  <c r="AI500" i="8"/>
  <c r="AI513" i="8"/>
  <c r="AI522" i="8"/>
  <c r="AI534" i="8"/>
  <c r="AI517" i="8"/>
  <c r="U507" i="8"/>
  <c r="V507" i="8"/>
  <c r="X507" i="8"/>
  <c r="Y507" i="8"/>
  <c r="AA507" i="8"/>
  <c r="U523" i="8"/>
  <c r="V523" i="8"/>
  <c r="X523" i="8"/>
  <c r="Y523" i="8"/>
  <c r="AA523" i="8"/>
  <c r="U501" i="8"/>
  <c r="V501" i="8"/>
  <c r="X501" i="8"/>
  <c r="Y501" i="8"/>
  <c r="AA501" i="8"/>
  <c r="U527" i="8"/>
  <c r="V527" i="8"/>
  <c r="X527" i="8"/>
  <c r="Y527" i="8"/>
  <c r="AA527" i="8"/>
  <c r="U524" i="8"/>
  <c r="V524" i="8"/>
  <c r="X524" i="8"/>
  <c r="Y524" i="8"/>
  <c r="AA524" i="8"/>
  <c r="U502" i="8"/>
  <c r="V502" i="8"/>
  <c r="X502" i="8"/>
  <c r="Y502" i="8"/>
  <c r="AA502" i="8"/>
  <c r="U521" i="8"/>
  <c r="V521" i="8"/>
  <c r="X521" i="8"/>
  <c r="Y521" i="8"/>
  <c r="AA521" i="8"/>
  <c r="U529" i="8"/>
  <c r="V529" i="8"/>
  <c r="X529" i="8"/>
  <c r="Y529" i="8"/>
  <c r="AA529" i="8"/>
  <c r="U508" i="8"/>
  <c r="V508" i="8"/>
  <c r="X508" i="8"/>
  <c r="Y508" i="8"/>
  <c r="AA508" i="8"/>
  <c r="U512" i="8"/>
  <c r="V512" i="8"/>
  <c r="X512" i="8"/>
  <c r="Y512" i="8"/>
  <c r="AA512" i="8"/>
  <c r="U19" i="8"/>
  <c r="V19" i="8"/>
  <c r="X19" i="8"/>
  <c r="Y19" i="8"/>
  <c r="AA19" i="8"/>
  <c r="U530" i="8"/>
  <c r="V530" i="8"/>
  <c r="X530" i="8"/>
  <c r="Y530" i="8"/>
  <c r="AA530" i="8"/>
  <c r="U531" i="8"/>
  <c r="V531" i="8"/>
  <c r="X531" i="8"/>
  <c r="Y531" i="8"/>
  <c r="AA531" i="8"/>
  <c r="U503" i="8"/>
  <c r="V503" i="8"/>
  <c r="X503" i="8"/>
  <c r="Y503" i="8"/>
  <c r="AA503" i="8"/>
  <c r="U25" i="8"/>
  <c r="V25" i="8"/>
  <c r="X25" i="8"/>
  <c r="Y25" i="8"/>
  <c r="AA25" i="8"/>
  <c r="U509" i="8"/>
  <c r="V509" i="8"/>
  <c r="X509" i="8"/>
  <c r="Y509" i="8"/>
  <c r="AA509" i="8"/>
  <c r="U525" i="8"/>
  <c r="V525" i="8"/>
  <c r="X525" i="8"/>
  <c r="Y525" i="8"/>
  <c r="AA525" i="8"/>
  <c r="U510" i="8"/>
  <c r="V510" i="8"/>
  <c r="X510" i="8"/>
  <c r="Y510" i="8"/>
  <c r="AA510" i="8"/>
  <c r="U532" i="8"/>
  <c r="V532" i="8"/>
  <c r="X532" i="8"/>
  <c r="Y532" i="8"/>
  <c r="AA532" i="8"/>
  <c r="U518" i="8"/>
  <c r="V518" i="8"/>
  <c r="X518" i="8"/>
  <c r="Y518" i="8"/>
  <c r="AA518" i="8"/>
  <c r="U519" i="8"/>
  <c r="V519" i="8"/>
  <c r="X519" i="8"/>
  <c r="Y519" i="8"/>
  <c r="AA519" i="8"/>
  <c r="U511" i="8"/>
  <c r="V511" i="8"/>
  <c r="X511" i="8"/>
  <c r="Y511" i="8"/>
  <c r="AA511" i="8"/>
  <c r="U504" i="8"/>
  <c r="V504" i="8"/>
  <c r="X504" i="8"/>
  <c r="Y504" i="8"/>
  <c r="AA504" i="8"/>
  <c r="U514" i="8"/>
  <c r="V514" i="8"/>
  <c r="X514" i="8"/>
  <c r="Y514" i="8"/>
  <c r="AA514" i="8"/>
  <c r="U515" i="8"/>
  <c r="V515" i="8"/>
  <c r="X515" i="8"/>
  <c r="Y515" i="8"/>
  <c r="AA515" i="8"/>
  <c r="U33" i="8"/>
  <c r="V33" i="8"/>
  <c r="X33" i="8"/>
  <c r="Y33" i="8"/>
  <c r="AA33" i="8"/>
  <c r="U505" i="8"/>
  <c r="V505" i="8"/>
  <c r="X505" i="8"/>
  <c r="Y505" i="8"/>
  <c r="AA505" i="8"/>
  <c r="U533" i="8"/>
  <c r="V533" i="8"/>
  <c r="X533" i="8"/>
  <c r="Y533" i="8"/>
  <c r="AA533" i="8"/>
  <c r="U24" i="8"/>
  <c r="V24" i="8"/>
  <c r="X24" i="8"/>
  <c r="Y24" i="8"/>
  <c r="AA24" i="8"/>
  <c r="U516" i="8"/>
  <c r="V516" i="8"/>
  <c r="X516" i="8"/>
  <c r="Y516" i="8"/>
  <c r="AA516" i="8"/>
  <c r="U20" i="8"/>
  <c r="V20" i="8"/>
  <c r="X20" i="8"/>
  <c r="Y20" i="8"/>
  <c r="AA20" i="8"/>
  <c r="U520" i="8"/>
  <c r="V520" i="8"/>
  <c r="X520" i="8"/>
  <c r="Y520" i="8"/>
  <c r="AA520" i="8"/>
  <c r="U526" i="8"/>
  <c r="V526" i="8"/>
  <c r="X526" i="8"/>
  <c r="Y526" i="8"/>
  <c r="AA526" i="8"/>
  <c r="U265" i="8"/>
  <c r="V265" i="8"/>
  <c r="X265" i="8"/>
  <c r="Y265" i="8"/>
  <c r="AA265" i="8"/>
  <c r="U528" i="8"/>
  <c r="V528" i="8"/>
  <c r="X528" i="8"/>
  <c r="Y528" i="8"/>
  <c r="AA528" i="8"/>
  <c r="U506" i="8"/>
  <c r="V506" i="8"/>
  <c r="X506" i="8"/>
  <c r="Y506" i="8"/>
  <c r="AA506" i="8"/>
  <c r="U500" i="8"/>
  <c r="V500" i="8"/>
  <c r="X500" i="8"/>
  <c r="Y500" i="8"/>
  <c r="AA500" i="8"/>
  <c r="U513" i="8"/>
  <c r="V513" i="8"/>
  <c r="X513" i="8"/>
  <c r="Y513" i="8"/>
  <c r="AA513" i="8"/>
  <c r="U522" i="8"/>
  <c r="V522" i="8"/>
  <c r="X522" i="8"/>
  <c r="Y522" i="8"/>
  <c r="AA522" i="8"/>
  <c r="U534" i="8"/>
  <c r="V534" i="8"/>
  <c r="X534" i="8"/>
  <c r="Y534" i="8"/>
  <c r="AA534" i="8"/>
  <c r="U517" i="8"/>
  <c r="V517" i="8"/>
  <c r="X517" i="8"/>
  <c r="Y517" i="8"/>
  <c r="AA517" i="8"/>
  <c r="AV534" i="8"/>
  <c r="BE534" i="8"/>
  <c r="AW534" i="8"/>
  <c r="BF534" i="8"/>
  <c r="AR534" i="8"/>
  <c r="AZ534" i="8"/>
  <c r="BI534" i="8"/>
  <c r="AS534" i="8"/>
  <c r="BA534" i="8"/>
  <c r="BJ534" i="8"/>
  <c r="BG534" i="8"/>
  <c r="BH534" i="8"/>
  <c r="AT534" i="8"/>
  <c r="BK534" i="8"/>
  <c r="AU534" i="8"/>
  <c r="BL534" i="8"/>
  <c r="AX534" i="8"/>
  <c r="AY534" i="8"/>
  <c r="BC534" i="8"/>
  <c r="BD534" i="8"/>
  <c r="AX514" i="8"/>
  <c r="BG514" i="8"/>
  <c r="AY514" i="8"/>
  <c r="BH514" i="8"/>
  <c r="AT514" i="8"/>
  <c r="BC514" i="8"/>
  <c r="BK514" i="8"/>
  <c r="AU514" i="8"/>
  <c r="BD514" i="8"/>
  <c r="BL514" i="8"/>
  <c r="AZ514" i="8"/>
  <c r="BA514" i="8"/>
  <c r="BE514" i="8"/>
  <c r="BF514" i="8"/>
  <c r="AR514" i="8"/>
  <c r="BI514" i="8"/>
  <c r="AS514" i="8"/>
  <c r="BJ514" i="8"/>
  <c r="AV514" i="8"/>
  <c r="AW514" i="8"/>
  <c r="AU529" i="8"/>
  <c r="BD529" i="8"/>
  <c r="BL529" i="8"/>
  <c r="AV529" i="8"/>
  <c r="BE529" i="8"/>
  <c r="AY529" i="8"/>
  <c r="BH529" i="8"/>
  <c r="AR529" i="8"/>
  <c r="AZ529" i="8"/>
  <c r="BI529" i="8"/>
  <c r="AW529" i="8"/>
  <c r="AX529" i="8"/>
  <c r="BA529" i="8"/>
  <c r="BC529" i="8"/>
  <c r="BF529" i="8"/>
  <c r="BG529" i="8"/>
  <c r="AS529" i="8"/>
  <c r="BJ529" i="8"/>
  <c r="AT529" i="8"/>
  <c r="BK529" i="8"/>
  <c r="AU513" i="8"/>
  <c r="BD513" i="8"/>
  <c r="BL513" i="8"/>
  <c r="AV513" i="8"/>
  <c r="BE513" i="8"/>
  <c r="AY513" i="8"/>
  <c r="BH513" i="8"/>
  <c r="AR513" i="8"/>
  <c r="AZ513" i="8"/>
  <c r="BI513" i="8"/>
  <c r="BF513" i="8"/>
  <c r="BG513" i="8"/>
  <c r="AS513" i="8"/>
  <c r="BJ513" i="8"/>
  <c r="AT513" i="8"/>
  <c r="BK513" i="8"/>
  <c r="AW513" i="8"/>
  <c r="AX513" i="8"/>
  <c r="BA513" i="8"/>
  <c r="BC513" i="8"/>
  <c r="AX516" i="8"/>
  <c r="BG516" i="8"/>
  <c r="AY516" i="8"/>
  <c r="BH516" i="8"/>
  <c r="AT516" i="8"/>
  <c r="BC516" i="8"/>
  <c r="BK516" i="8"/>
  <c r="AU516" i="8"/>
  <c r="BD516" i="8"/>
  <c r="BL516" i="8"/>
  <c r="AR516" i="8"/>
  <c r="BI516" i="8"/>
  <c r="AS516" i="8"/>
  <c r="BJ516" i="8"/>
  <c r="AV516" i="8"/>
  <c r="AW516" i="8"/>
  <c r="AZ516" i="8"/>
  <c r="BA516" i="8"/>
  <c r="BE516" i="8"/>
  <c r="BF516" i="8"/>
  <c r="AV511" i="8"/>
  <c r="BE511" i="8"/>
  <c r="AW511" i="8"/>
  <c r="BF511" i="8"/>
  <c r="AR511" i="8"/>
  <c r="AZ511" i="8"/>
  <c r="BI511" i="8"/>
  <c r="AS511" i="8"/>
  <c r="BA511" i="8"/>
  <c r="BJ511" i="8"/>
  <c r="AX511" i="8"/>
  <c r="AY511" i="8"/>
  <c r="BC511" i="8"/>
  <c r="BD511" i="8"/>
  <c r="BG511" i="8"/>
  <c r="BH511" i="8"/>
  <c r="AT511" i="8"/>
  <c r="BK511" i="8"/>
  <c r="AU511" i="8"/>
  <c r="BL511" i="8"/>
  <c r="AR503" i="8"/>
  <c r="AZ503" i="8"/>
  <c r="BI503" i="8"/>
  <c r="AS503" i="8"/>
  <c r="BA503" i="8"/>
  <c r="BJ503" i="8"/>
  <c r="AV503" i="8"/>
  <c r="BE503" i="8"/>
  <c r="AW503" i="8"/>
  <c r="BF503" i="8"/>
  <c r="BC503" i="8"/>
  <c r="BD503" i="8"/>
  <c r="BG503" i="8"/>
  <c r="BH503" i="8"/>
  <c r="AT503" i="8"/>
  <c r="BK503" i="8"/>
  <c r="AU503" i="8"/>
  <c r="BL503" i="8"/>
  <c r="AX503" i="8"/>
  <c r="AY503" i="8"/>
  <c r="AV502" i="8"/>
  <c r="BE502" i="8"/>
  <c r="AW502" i="8"/>
  <c r="BF502" i="8"/>
  <c r="AR502" i="8"/>
  <c r="AZ502" i="8"/>
  <c r="BI502" i="8"/>
  <c r="AS502" i="8"/>
  <c r="BA502" i="8"/>
  <c r="BJ502" i="8"/>
  <c r="BG502" i="8"/>
  <c r="BH502" i="8"/>
  <c r="AT502" i="8"/>
  <c r="BK502" i="8"/>
  <c r="AU502" i="8"/>
  <c r="BL502" i="8"/>
  <c r="AX502" i="8"/>
  <c r="AY502" i="8"/>
  <c r="BC502" i="8"/>
  <c r="BD502" i="8"/>
  <c r="AV24" i="8"/>
  <c r="BE24" i="8"/>
  <c r="AX24" i="8"/>
  <c r="BG24" i="8"/>
  <c r="AY24" i="8"/>
  <c r="BH24" i="8"/>
  <c r="AR24" i="8"/>
  <c r="BD24" i="8"/>
  <c r="AT24" i="8"/>
  <c r="BI24" i="8"/>
  <c r="AW24" i="8"/>
  <c r="BK24" i="8"/>
  <c r="BA24" i="8"/>
  <c r="BC24" i="8"/>
  <c r="BJ24" i="8"/>
  <c r="AU24" i="8"/>
  <c r="AS24" i="8"/>
  <c r="AZ24" i="8"/>
  <c r="BL24" i="8"/>
  <c r="BF24" i="8"/>
  <c r="AW500" i="8"/>
  <c r="BF500" i="8"/>
  <c r="AX500" i="8"/>
  <c r="BG500" i="8"/>
  <c r="AS500" i="8"/>
  <c r="BA500" i="8"/>
  <c r="BJ500" i="8"/>
  <c r="AT500" i="8"/>
  <c r="BC500" i="8"/>
  <c r="BK500" i="8"/>
  <c r="AY500" i="8"/>
  <c r="AZ500" i="8"/>
  <c r="BD500" i="8"/>
  <c r="BE500" i="8"/>
  <c r="BH500" i="8"/>
  <c r="AR500" i="8"/>
  <c r="BI500" i="8"/>
  <c r="AU500" i="8"/>
  <c r="BL500" i="8"/>
  <c r="AV500" i="8"/>
  <c r="AR519" i="8"/>
  <c r="AZ519" i="8"/>
  <c r="BI519" i="8"/>
  <c r="AS519" i="8"/>
  <c r="BA519" i="8"/>
  <c r="BJ519" i="8"/>
  <c r="AV519" i="8"/>
  <c r="BE519" i="8"/>
  <c r="AW519" i="8"/>
  <c r="BF519" i="8"/>
  <c r="AT519" i="8"/>
  <c r="BK519" i="8"/>
  <c r="AU519" i="8"/>
  <c r="BL519" i="8"/>
  <c r="AX519" i="8"/>
  <c r="AY519" i="8"/>
  <c r="BC519" i="8"/>
  <c r="BD519" i="8"/>
  <c r="BG519" i="8"/>
  <c r="BH519" i="8"/>
  <c r="AT531" i="8"/>
  <c r="BC531" i="8"/>
  <c r="BK531" i="8"/>
  <c r="AU531" i="8"/>
  <c r="BD531" i="8"/>
  <c r="BL531" i="8"/>
  <c r="AX531" i="8"/>
  <c r="BG531" i="8"/>
  <c r="AY531" i="8"/>
  <c r="BH531" i="8"/>
  <c r="BE531" i="8"/>
  <c r="BF531" i="8"/>
  <c r="AR531" i="8"/>
  <c r="BI531" i="8"/>
  <c r="AS531" i="8"/>
  <c r="BJ531" i="8"/>
  <c r="AV531" i="8"/>
  <c r="AW531" i="8"/>
  <c r="AZ531" i="8"/>
  <c r="BA531" i="8"/>
  <c r="AS533" i="8"/>
  <c r="BA533" i="8"/>
  <c r="BJ533" i="8"/>
  <c r="AT533" i="8"/>
  <c r="BC533" i="8"/>
  <c r="BK533" i="8"/>
  <c r="AW533" i="8"/>
  <c r="BF533" i="8"/>
  <c r="AX533" i="8"/>
  <c r="BG533" i="8"/>
  <c r="AU533" i="8"/>
  <c r="BL533" i="8"/>
  <c r="AV533" i="8"/>
  <c r="AY533" i="8"/>
  <c r="AZ533" i="8"/>
  <c r="BD533" i="8"/>
  <c r="BE533" i="8"/>
  <c r="BH533" i="8"/>
  <c r="AR533" i="8"/>
  <c r="BI533" i="8"/>
  <c r="AX530" i="8"/>
  <c r="BG530" i="8"/>
  <c r="AY530" i="8"/>
  <c r="BH530" i="8"/>
  <c r="AT530" i="8"/>
  <c r="BC530" i="8"/>
  <c r="BK530" i="8"/>
  <c r="AU530" i="8"/>
  <c r="BD530" i="8"/>
  <c r="BL530" i="8"/>
  <c r="AR530" i="8"/>
  <c r="BI530" i="8"/>
  <c r="AS530" i="8"/>
  <c r="BJ530" i="8"/>
  <c r="AV530" i="8"/>
  <c r="AW530" i="8"/>
  <c r="AZ530" i="8"/>
  <c r="BA530" i="8"/>
  <c r="BE530" i="8"/>
  <c r="BF530" i="8"/>
  <c r="AR528" i="8"/>
  <c r="AZ528" i="8"/>
  <c r="BI528" i="8"/>
  <c r="AS528" i="8"/>
  <c r="BA528" i="8"/>
  <c r="BJ528" i="8"/>
  <c r="AV528" i="8"/>
  <c r="BE528" i="8"/>
  <c r="AW528" i="8"/>
  <c r="BF528" i="8"/>
  <c r="BC528" i="8"/>
  <c r="BD528" i="8"/>
  <c r="BG528" i="8"/>
  <c r="BH528" i="8"/>
  <c r="AT528" i="8"/>
  <c r="BK528" i="8"/>
  <c r="AU528" i="8"/>
  <c r="BL528" i="8"/>
  <c r="AX528" i="8"/>
  <c r="AY528" i="8"/>
  <c r="AY505" i="8"/>
  <c r="BH505" i="8"/>
  <c r="AR505" i="8"/>
  <c r="AZ505" i="8"/>
  <c r="BI505" i="8"/>
  <c r="AU505" i="8"/>
  <c r="BD505" i="8"/>
  <c r="BL505" i="8"/>
  <c r="AV505" i="8"/>
  <c r="BE505" i="8"/>
  <c r="AS505" i="8"/>
  <c r="BJ505" i="8"/>
  <c r="AT505" i="8"/>
  <c r="BK505" i="8"/>
  <c r="AW505" i="8"/>
  <c r="AX505" i="8"/>
  <c r="BA505" i="8"/>
  <c r="BC505" i="8"/>
  <c r="BF505" i="8"/>
  <c r="BG505" i="8"/>
  <c r="AX532" i="8"/>
  <c r="BG532" i="8"/>
  <c r="AY532" i="8"/>
  <c r="BH532" i="8"/>
  <c r="AT532" i="8"/>
  <c r="BC532" i="8"/>
  <c r="BK532" i="8"/>
  <c r="AU532" i="8"/>
  <c r="BD532" i="8"/>
  <c r="BL532" i="8"/>
  <c r="AZ532" i="8"/>
  <c r="BA532" i="8"/>
  <c r="BE532" i="8"/>
  <c r="BF532" i="8"/>
  <c r="AR532" i="8"/>
  <c r="BI532" i="8"/>
  <c r="AS532" i="8"/>
  <c r="BJ532" i="8"/>
  <c r="AV532" i="8"/>
  <c r="AW532" i="8"/>
  <c r="AS19" i="8"/>
  <c r="BA19" i="8"/>
  <c r="BJ19" i="8"/>
  <c r="AU19" i="8"/>
  <c r="BD19" i="8"/>
  <c r="BL19" i="8"/>
  <c r="AV19" i="8"/>
  <c r="BE19" i="8"/>
  <c r="BC19" i="8"/>
  <c r="AR19" i="8"/>
  <c r="BG19" i="8"/>
  <c r="AW19" i="8"/>
  <c r="BI19" i="8"/>
  <c r="AY19" i="8"/>
  <c r="AZ19" i="8"/>
  <c r="BH19" i="8"/>
  <c r="AX19" i="8"/>
  <c r="AT19" i="8"/>
  <c r="BK19" i="8"/>
  <c r="BF19" i="8"/>
  <c r="AR501" i="8"/>
  <c r="AZ501" i="8"/>
  <c r="BI501" i="8"/>
  <c r="AS501" i="8"/>
  <c r="BA501" i="8"/>
  <c r="BJ501" i="8"/>
  <c r="AV501" i="8"/>
  <c r="BE501" i="8"/>
  <c r="AW501" i="8"/>
  <c r="BF501" i="8"/>
  <c r="AT501" i="8"/>
  <c r="BK501" i="8"/>
  <c r="AU501" i="8"/>
  <c r="BL501" i="8"/>
  <c r="AX501" i="8"/>
  <c r="AY501" i="8"/>
  <c r="BC501" i="8"/>
  <c r="BD501" i="8"/>
  <c r="BG501" i="8"/>
  <c r="BH501" i="8"/>
  <c r="AW57" i="8"/>
  <c r="BF57" i="8"/>
  <c r="AY57" i="8"/>
  <c r="AS57" i="8"/>
  <c r="BA57" i="8"/>
  <c r="BJ57" i="8"/>
  <c r="BC57" i="8"/>
  <c r="BD57" i="8"/>
  <c r="AT57" i="8"/>
  <c r="BG57" i="8"/>
  <c r="AV57" i="8"/>
  <c r="AX57" i="8"/>
  <c r="BE57" i="8"/>
  <c r="AR57" i="8"/>
  <c r="AZ57" i="8"/>
  <c r="BH57" i="8"/>
  <c r="BK57" i="8"/>
  <c r="BL57" i="8"/>
  <c r="AU57" i="8"/>
  <c r="BI57" i="8"/>
  <c r="AT524" i="8"/>
  <c r="BC524" i="8"/>
  <c r="BK524" i="8"/>
  <c r="AU524" i="8"/>
  <c r="BD524" i="8"/>
  <c r="BL524" i="8"/>
  <c r="AX524" i="8"/>
  <c r="BG524" i="8"/>
  <c r="AY524" i="8"/>
  <c r="BH524" i="8"/>
  <c r="BE524" i="8"/>
  <c r="BF524" i="8"/>
  <c r="AR524" i="8"/>
  <c r="BI524" i="8"/>
  <c r="AS524" i="8"/>
  <c r="BJ524" i="8"/>
  <c r="AV524" i="8"/>
  <c r="AW524" i="8"/>
  <c r="AZ524" i="8"/>
  <c r="BA524" i="8"/>
  <c r="AT506" i="8"/>
  <c r="BC506" i="8"/>
  <c r="BK506" i="8"/>
  <c r="AU506" i="8"/>
  <c r="BD506" i="8"/>
  <c r="BL506" i="8"/>
  <c r="AX506" i="8"/>
  <c r="BG506" i="8"/>
  <c r="AY506" i="8"/>
  <c r="BH506" i="8"/>
  <c r="BE506" i="8"/>
  <c r="BF506" i="8"/>
  <c r="AR506" i="8"/>
  <c r="BI506" i="8"/>
  <c r="AS506" i="8"/>
  <c r="BJ506" i="8"/>
  <c r="AV506" i="8"/>
  <c r="AW506" i="8"/>
  <c r="AZ506" i="8"/>
  <c r="BA506" i="8"/>
  <c r="AV518" i="8"/>
  <c r="BE518" i="8"/>
  <c r="AW518" i="8"/>
  <c r="BF518" i="8"/>
  <c r="AR518" i="8"/>
  <c r="AZ518" i="8"/>
  <c r="BI518" i="8"/>
  <c r="AS518" i="8"/>
  <c r="BA518" i="8"/>
  <c r="BJ518" i="8"/>
  <c r="AX518" i="8"/>
  <c r="AY518" i="8"/>
  <c r="BC518" i="8"/>
  <c r="BD518" i="8"/>
  <c r="BG518" i="8"/>
  <c r="BH518" i="8"/>
  <c r="AT518" i="8"/>
  <c r="BK518" i="8"/>
  <c r="AU518" i="8"/>
  <c r="BL518" i="8"/>
  <c r="AV527" i="8"/>
  <c r="BE527" i="8"/>
  <c r="AW527" i="8"/>
  <c r="BF527" i="8"/>
  <c r="AR527" i="8"/>
  <c r="AZ527" i="8"/>
  <c r="BI527" i="8"/>
  <c r="AS527" i="8"/>
  <c r="BA527" i="8"/>
  <c r="BJ527" i="8"/>
  <c r="BG527" i="8"/>
  <c r="BH527" i="8"/>
  <c r="AT527" i="8"/>
  <c r="BK527" i="8"/>
  <c r="AU527" i="8"/>
  <c r="BL527" i="8"/>
  <c r="AX527" i="8"/>
  <c r="AY527" i="8"/>
  <c r="BC527" i="8"/>
  <c r="BD527" i="8"/>
  <c r="AR265" i="8"/>
  <c r="AZ265" i="8"/>
  <c r="BI265" i="8"/>
  <c r="AT265" i="8"/>
  <c r="BC265" i="8"/>
  <c r="BK265" i="8"/>
  <c r="AV265" i="8"/>
  <c r="BE265" i="8"/>
  <c r="AW265" i="8"/>
  <c r="BF265" i="8"/>
  <c r="AX265" i="8"/>
  <c r="BG265" i="8"/>
  <c r="AY265" i="8"/>
  <c r="BA265" i="8"/>
  <c r="BD265" i="8"/>
  <c r="BH265" i="8"/>
  <c r="BJ265" i="8"/>
  <c r="BL265" i="8"/>
  <c r="AS265" i="8"/>
  <c r="AU265" i="8"/>
  <c r="AW33" i="8"/>
  <c r="BF33" i="8"/>
  <c r="AY33" i="8"/>
  <c r="BH33" i="8"/>
  <c r="AR33" i="8"/>
  <c r="AZ33" i="8"/>
  <c r="BI33" i="8"/>
  <c r="BA33" i="8"/>
  <c r="BD33" i="8"/>
  <c r="AT33" i="8"/>
  <c r="BG33" i="8"/>
  <c r="BC33" i="8"/>
  <c r="BE33" i="8"/>
  <c r="BK33" i="8"/>
  <c r="AV33" i="8"/>
  <c r="AX33" i="8"/>
  <c r="BL33" i="8"/>
  <c r="BJ33" i="8"/>
  <c r="AS33" i="8"/>
  <c r="AU33" i="8"/>
  <c r="AR510" i="8"/>
  <c r="AZ510" i="8"/>
  <c r="BI510" i="8"/>
  <c r="AS510" i="8"/>
  <c r="BA510" i="8"/>
  <c r="BJ510" i="8"/>
  <c r="AV510" i="8"/>
  <c r="BE510" i="8"/>
  <c r="AW510" i="8"/>
  <c r="BF510" i="8"/>
  <c r="BC510" i="8"/>
  <c r="BD510" i="8"/>
  <c r="BG510" i="8"/>
  <c r="BH510" i="8"/>
  <c r="AT510" i="8"/>
  <c r="BK510" i="8"/>
  <c r="AU510" i="8"/>
  <c r="BL510" i="8"/>
  <c r="AX510" i="8"/>
  <c r="AY510" i="8"/>
  <c r="AR512" i="8"/>
  <c r="AZ512" i="8"/>
  <c r="BI512" i="8"/>
  <c r="AS512" i="8"/>
  <c r="BA512" i="8"/>
  <c r="BJ512" i="8"/>
  <c r="AV512" i="8"/>
  <c r="BE512" i="8"/>
  <c r="AW512" i="8"/>
  <c r="BF512" i="8"/>
  <c r="AT512" i="8"/>
  <c r="BK512" i="8"/>
  <c r="AU512" i="8"/>
  <c r="BL512" i="8"/>
  <c r="AX512" i="8"/>
  <c r="AY512" i="8"/>
  <c r="BC512" i="8"/>
  <c r="BD512" i="8"/>
  <c r="BG512" i="8"/>
  <c r="BH512" i="8"/>
  <c r="AX523" i="8"/>
  <c r="BG523" i="8"/>
  <c r="AY523" i="8"/>
  <c r="BH523" i="8"/>
  <c r="AT523" i="8"/>
  <c r="BC523" i="8"/>
  <c r="BK523" i="8"/>
  <c r="AU523" i="8"/>
  <c r="BD523" i="8"/>
  <c r="BL523" i="8"/>
  <c r="AR523" i="8"/>
  <c r="BI523" i="8"/>
  <c r="AS523" i="8"/>
  <c r="BJ523" i="8"/>
  <c r="AV523" i="8"/>
  <c r="AW523" i="8"/>
  <c r="AZ523" i="8"/>
  <c r="BA523" i="8"/>
  <c r="BE523" i="8"/>
  <c r="BF523" i="8"/>
  <c r="AS517" i="8"/>
  <c r="BA517" i="8"/>
  <c r="BJ517" i="8"/>
  <c r="AT517" i="8"/>
  <c r="BC517" i="8"/>
  <c r="BK517" i="8"/>
  <c r="AW517" i="8"/>
  <c r="BF517" i="8"/>
  <c r="AX517" i="8"/>
  <c r="BG517" i="8"/>
  <c r="BD517" i="8"/>
  <c r="BE517" i="8"/>
  <c r="BH517" i="8"/>
  <c r="AR517" i="8"/>
  <c r="BI517" i="8"/>
  <c r="AU517" i="8"/>
  <c r="BL517" i="8"/>
  <c r="AV517" i="8"/>
  <c r="AY517" i="8"/>
  <c r="AZ517" i="8"/>
  <c r="AW525" i="8"/>
  <c r="BF525" i="8"/>
  <c r="AX525" i="8"/>
  <c r="BG525" i="8"/>
  <c r="AS525" i="8"/>
  <c r="BA525" i="8"/>
  <c r="BJ525" i="8"/>
  <c r="AT525" i="8"/>
  <c r="BC525" i="8"/>
  <c r="BK525" i="8"/>
  <c r="AY525" i="8"/>
  <c r="AZ525" i="8"/>
  <c r="BD525" i="8"/>
  <c r="BE525" i="8"/>
  <c r="BH525" i="8"/>
  <c r="AR525" i="8"/>
  <c r="BI525" i="8"/>
  <c r="AU525" i="8"/>
  <c r="BL525" i="8"/>
  <c r="AV525" i="8"/>
  <c r="AX507" i="8"/>
  <c r="BG507" i="8"/>
  <c r="AY507" i="8"/>
  <c r="BH507" i="8"/>
  <c r="AT507" i="8"/>
  <c r="BC507" i="8"/>
  <c r="BK507" i="8"/>
  <c r="AU507" i="8"/>
  <c r="BD507" i="8"/>
  <c r="BL507" i="8"/>
  <c r="AZ507" i="8"/>
  <c r="BA507" i="8"/>
  <c r="BE507" i="8"/>
  <c r="BF507" i="8"/>
  <c r="AR507" i="8"/>
  <c r="BI507" i="8"/>
  <c r="AS507" i="8"/>
  <c r="BJ507" i="8"/>
  <c r="AV507" i="8"/>
  <c r="AW507" i="8"/>
  <c r="AT515" i="8"/>
  <c r="BC515" i="8"/>
  <c r="BK515" i="8"/>
  <c r="AU515" i="8"/>
  <c r="BD515" i="8"/>
  <c r="BL515" i="8"/>
  <c r="AX515" i="8"/>
  <c r="BG515" i="8"/>
  <c r="AY515" i="8"/>
  <c r="BH515" i="8"/>
  <c r="AV515" i="8"/>
  <c r="AW515" i="8"/>
  <c r="AZ515" i="8"/>
  <c r="BA515" i="8"/>
  <c r="BE515" i="8"/>
  <c r="BF515" i="8"/>
  <c r="AR515" i="8"/>
  <c r="BI515" i="8"/>
  <c r="AS515" i="8"/>
  <c r="BJ515" i="8"/>
  <c r="AR526" i="8"/>
  <c r="AZ526" i="8"/>
  <c r="BI526" i="8"/>
  <c r="AS526" i="8"/>
  <c r="BA526" i="8"/>
  <c r="BJ526" i="8"/>
  <c r="AV526" i="8"/>
  <c r="BE526" i="8"/>
  <c r="AW526" i="8"/>
  <c r="BF526" i="8"/>
  <c r="AT526" i="8"/>
  <c r="BK526" i="8"/>
  <c r="AU526" i="8"/>
  <c r="BL526" i="8"/>
  <c r="AX526" i="8"/>
  <c r="AY526" i="8"/>
  <c r="BC526" i="8"/>
  <c r="BD526" i="8"/>
  <c r="BG526" i="8"/>
  <c r="BH526" i="8"/>
  <c r="AT508" i="8"/>
  <c r="BC508" i="8"/>
  <c r="BK508" i="8"/>
  <c r="AU508" i="8"/>
  <c r="BD508" i="8"/>
  <c r="BL508" i="8"/>
  <c r="AX508" i="8"/>
  <c r="BG508" i="8"/>
  <c r="AY508" i="8"/>
  <c r="BH508" i="8"/>
  <c r="AV508" i="8"/>
  <c r="AW508" i="8"/>
  <c r="AZ508" i="8"/>
  <c r="BA508" i="8"/>
  <c r="BE508" i="8"/>
  <c r="BF508" i="8"/>
  <c r="AR508" i="8"/>
  <c r="BI508" i="8"/>
  <c r="AS508" i="8"/>
  <c r="BJ508" i="8"/>
  <c r="AV520" i="8"/>
  <c r="BE520" i="8"/>
  <c r="AW520" i="8"/>
  <c r="BF520" i="8"/>
  <c r="AR520" i="8"/>
  <c r="AZ520" i="8"/>
  <c r="BI520" i="8"/>
  <c r="AS520" i="8"/>
  <c r="BA520" i="8"/>
  <c r="BJ520" i="8"/>
  <c r="BG520" i="8"/>
  <c r="BH520" i="8"/>
  <c r="AT520" i="8"/>
  <c r="BK520" i="8"/>
  <c r="AU520" i="8"/>
  <c r="BL520" i="8"/>
  <c r="AX520" i="8"/>
  <c r="AY520" i="8"/>
  <c r="BC520" i="8"/>
  <c r="BD520" i="8"/>
  <c r="AW509" i="8"/>
  <c r="BF509" i="8"/>
  <c r="AX509" i="8"/>
  <c r="BG509" i="8"/>
  <c r="AS509" i="8"/>
  <c r="BA509" i="8"/>
  <c r="BJ509" i="8"/>
  <c r="AT509" i="8"/>
  <c r="BC509" i="8"/>
  <c r="BK509" i="8"/>
  <c r="BH509" i="8"/>
  <c r="AR509" i="8"/>
  <c r="BI509" i="8"/>
  <c r="AU509" i="8"/>
  <c r="BL509" i="8"/>
  <c r="AV509" i="8"/>
  <c r="AY509" i="8"/>
  <c r="AZ509" i="8"/>
  <c r="BD509" i="8"/>
  <c r="BE509" i="8"/>
  <c r="AT522" i="8"/>
  <c r="BC522" i="8"/>
  <c r="BK522" i="8"/>
  <c r="AU522" i="8"/>
  <c r="BD522" i="8"/>
  <c r="BL522" i="8"/>
  <c r="AX522" i="8"/>
  <c r="BG522" i="8"/>
  <c r="AY522" i="8"/>
  <c r="BH522" i="8"/>
  <c r="AV522" i="8"/>
  <c r="AW522" i="8"/>
  <c r="AZ522" i="8"/>
  <c r="BA522" i="8"/>
  <c r="BE522" i="8"/>
  <c r="BF522" i="8"/>
  <c r="AR522" i="8"/>
  <c r="BI522" i="8"/>
  <c r="AS522" i="8"/>
  <c r="BJ522" i="8"/>
  <c r="AW20" i="8"/>
  <c r="BF20" i="8"/>
  <c r="AY20" i="8"/>
  <c r="BH20" i="8"/>
  <c r="AR20" i="8"/>
  <c r="AZ20" i="8"/>
  <c r="BI20" i="8"/>
  <c r="AU20" i="8"/>
  <c r="BJ20" i="8"/>
  <c r="AX20" i="8"/>
  <c r="BL20" i="8"/>
  <c r="BC20" i="8"/>
  <c r="BA20" i="8"/>
  <c r="BD20" i="8"/>
  <c r="BG20" i="8"/>
  <c r="AV20" i="8"/>
  <c r="BE20" i="8"/>
  <c r="BK20" i="8"/>
  <c r="AS20" i="8"/>
  <c r="AT20" i="8"/>
  <c r="AV504" i="8"/>
  <c r="BE504" i="8"/>
  <c r="AW504" i="8"/>
  <c r="BF504" i="8"/>
  <c r="AR504" i="8"/>
  <c r="AZ504" i="8"/>
  <c r="BI504" i="8"/>
  <c r="AS504" i="8"/>
  <c r="BA504" i="8"/>
  <c r="BJ504" i="8"/>
  <c r="AX504" i="8"/>
  <c r="AY504" i="8"/>
  <c r="BC504" i="8"/>
  <c r="BD504" i="8"/>
  <c r="BG504" i="8"/>
  <c r="BH504" i="8"/>
  <c r="AT504" i="8"/>
  <c r="BK504" i="8"/>
  <c r="AU504" i="8"/>
  <c r="BL504" i="8"/>
  <c r="AY25" i="8"/>
  <c r="BH25" i="8"/>
  <c r="AS25" i="8"/>
  <c r="BA25" i="8"/>
  <c r="BJ25" i="8"/>
  <c r="AT25" i="8"/>
  <c r="BC25" i="8"/>
  <c r="BK25" i="8"/>
  <c r="AV25" i="8"/>
  <c r="BI25" i="8"/>
  <c r="AX25" i="8"/>
  <c r="BD25" i="8"/>
  <c r="AZ25" i="8"/>
  <c r="BE25" i="8"/>
  <c r="BG25" i="8"/>
  <c r="AU25" i="8"/>
  <c r="AW25" i="8"/>
  <c r="BL25" i="8"/>
  <c r="AR25" i="8"/>
  <c r="BF25" i="8"/>
  <c r="AY521" i="8"/>
  <c r="BH521" i="8"/>
  <c r="AR521" i="8"/>
  <c r="AZ521" i="8"/>
  <c r="BI521" i="8"/>
  <c r="AU521" i="8"/>
  <c r="BD521" i="8"/>
  <c r="BL521" i="8"/>
  <c r="AV521" i="8"/>
  <c r="BE521" i="8"/>
  <c r="BA521" i="8"/>
  <c r="BC521" i="8"/>
  <c r="BF521" i="8"/>
  <c r="BG521" i="8"/>
  <c r="AS521" i="8"/>
  <c r="BJ521" i="8"/>
  <c r="AT521" i="8"/>
  <c r="BK521" i="8"/>
  <c r="AW521" i="8"/>
  <c r="AX521" i="8"/>
  <c r="AR550" i="8"/>
  <c r="AZ550" i="8"/>
  <c r="BI550" i="8"/>
  <c r="AS550" i="8"/>
  <c r="BA550" i="8"/>
  <c r="BJ550" i="8"/>
  <c r="AT550" i="8"/>
  <c r="BC550" i="8"/>
  <c r="BK550" i="8"/>
  <c r="AU550" i="8"/>
  <c r="BD550" i="8"/>
  <c r="BL550" i="8"/>
  <c r="AV550" i="8"/>
  <c r="BE550" i="8"/>
  <c r="AW550" i="8"/>
  <c r="BF550" i="8"/>
  <c r="AX550" i="8"/>
  <c r="BG550" i="8"/>
  <c r="AY550" i="8"/>
  <c r="BH550" i="8"/>
  <c r="AM20" i="8"/>
  <c r="BU20" i="8"/>
  <c r="AN20" i="8"/>
  <c r="BV20" i="8"/>
  <c r="AM505" i="8"/>
  <c r="BU505" i="8"/>
  <c r="AN505" i="8"/>
  <c r="BV505" i="8"/>
  <c r="AM504" i="8"/>
  <c r="BU504" i="8"/>
  <c r="AN504" i="8"/>
  <c r="BV504" i="8"/>
  <c r="AM532" i="8"/>
  <c r="BU532" i="8"/>
  <c r="AN532" i="8"/>
  <c r="BV532" i="8"/>
  <c r="AM25" i="8"/>
  <c r="BU25" i="8"/>
  <c r="AN25" i="8"/>
  <c r="BV25" i="8"/>
  <c r="AM19" i="8"/>
  <c r="BU19" i="8"/>
  <c r="AN19" i="8"/>
  <c r="BV19" i="8"/>
  <c r="AM521" i="8"/>
  <c r="BU521" i="8"/>
  <c r="AN521" i="8"/>
  <c r="BV521" i="8"/>
  <c r="AM501" i="8"/>
  <c r="BU501" i="8"/>
  <c r="AN501" i="8"/>
  <c r="BV501" i="8"/>
  <c r="AL513" i="8"/>
  <c r="AL516" i="8"/>
  <c r="AL33" i="8"/>
  <c r="AL511" i="8"/>
  <c r="AL510" i="8"/>
  <c r="AL503" i="8"/>
  <c r="AL512" i="8"/>
  <c r="AL502" i="8"/>
  <c r="AL523" i="8"/>
  <c r="AN550" i="8"/>
  <c r="BV550" i="8"/>
  <c r="AM550" i="8"/>
  <c r="BU550" i="8"/>
  <c r="AN520" i="8"/>
  <c r="BV520" i="8"/>
  <c r="AM520" i="8"/>
  <c r="BU520" i="8"/>
  <c r="AN509" i="8"/>
  <c r="BV509" i="8"/>
  <c r="AM509" i="8"/>
  <c r="BU509" i="8"/>
  <c r="AN529" i="8"/>
  <c r="BV529" i="8"/>
  <c r="AM529" i="8"/>
  <c r="BU529" i="8"/>
  <c r="AL517" i="8"/>
  <c r="AL519" i="8"/>
  <c r="AN517" i="8"/>
  <c r="BV517" i="8"/>
  <c r="AM517" i="8"/>
  <c r="BU517" i="8"/>
  <c r="AN500" i="8"/>
  <c r="BV500" i="8"/>
  <c r="AM500" i="8"/>
  <c r="BU500" i="8"/>
  <c r="AM526" i="8"/>
  <c r="BU526" i="8"/>
  <c r="AN526" i="8"/>
  <c r="BV526" i="8"/>
  <c r="AM24" i="8"/>
  <c r="BU24" i="8"/>
  <c r="AN24" i="8"/>
  <c r="BV24" i="8"/>
  <c r="AM515" i="8"/>
  <c r="BU515" i="8"/>
  <c r="AN515" i="8"/>
  <c r="BV515" i="8"/>
  <c r="AM519" i="8"/>
  <c r="BU519" i="8"/>
  <c r="AN519" i="8"/>
  <c r="BV519" i="8"/>
  <c r="AM525" i="8"/>
  <c r="BU525" i="8"/>
  <c r="AN525" i="8"/>
  <c r="BV525" i="8"/>
  <c r="AM531" i="8"/>
  <c r="BU531" i="8"/>
  <c r="AN531" i="8"/>
  <c r="BV531" i="8"/>
  <c r="AM508" i="8"/>
  <c r="BU508" i="8"/>
  <c r="AN508" i="8"/>
  <c r="BV508" i="8"/>
  <c r="AM524" i="8"/>
  <c r="BU524" i="8"/>
  <c r="AN524" i="8"/>
  <c r="BV524" i="8"/>
  <c r="AM507" i="8"/>
  <c r="BU507" i="8"/>
  <c r="AN507" i="8"/>
  <c r="BV507" i="8"/>
  <c r="AL534" i="8"/>
  <c r="AL506" i="8"/>
  <c r="AL520" i="8"/>
  <c r="AL533" i="8"/>
  <c r="AL514" i="8"/>
  <c r="AL518" i="8"/>
  <c r="AL509" i="8"/>
  <c r="AL530" i="8"/>
  <c r="AL529" i="8"/>
  <c r="AL527" i="8"/>
  <c r="AM522" i="8"/>
  <c r="BU522" i="8"/>
  <c r="AN522" i="8"/>
  <c r="BV522" i="8"/>
  <c r="AM528" i="8"/>
  <c r="BU528" i="8"/>
  <c r="AN528" i="8"/>
  <c r="BV528" i="8"/>
  <c r="AM534" i="8"/>
  <c r="BU534" i="8"/>
  <c r="AN534" i="8"/>
  <c r="BV534" i="8"/>
  <c r="AM506" i="8"/>
  <c r="BU506" i="8"/>
  <c r="AN506" i="8"/>
  <c r="BV506" i="8"/>
  <c r="AN533" i="8"/>
  <c r="BV533" i="8"/>
  <c r="AM533" i="8"/>
  <c r="BU533" i="8"/>
  <c r="AN514" i="8"/>
  <c r="BV514" i="8"/>
  <c r="AM514" i="8"/>
  <c r="BU514" i="8"/>
  <c r="AN518" i="8"/>
  <c r="BV518" i="8"/>
  <c r="AM518" i="8"/>
  <c r="BU518" i="8"/>
  <c r="AN530" i="8"/>
  <c r="BV530" i="8"/>
  <c r="AM530" i="8"/>
  <c r="BU530" i="8"/>
  <c r="AN527" i="8"/>
  <c r="BV527" i="8"/>
  <c r="AM527" i="8"/>
  <c r="BU527" i="8"/>
  <c r="AL500" i="8"/>
  <c r="AL526" i="8"/>
  <c r="AL24" i="8"/>
  <c r="AL515" i="8"/>
  <c r="AL525" i="8"/>
  <c r="AL531" i="8"/>
  <c r="AL508" i="8"/>
  <c r="AL524" i="8"/>
  <c r="AL507" i="8"/>
  <c r="AM513" i="8"/>
  <c r="BU513" i="8"/>
  <c r="AN513" i="8"/>
  <c r="BV513" i="8"/>
  <c r="AM516" i="8"/>
  <c r="BU516" i="8"/>
  <c r="AN516" i="8"/>
  <c r="BV516" i="8"/>
  <c r="AM33" i="8"/>
  <c r="BU33" i="8"/>
  <c r="AN33" i="8"/>
  <c r="AM511" i="8"/>
  <c r="BU511" i="8"/>
  <c r="AN511" i="8"/>
  <c r="BV511" i="8"/>
  <c r="AM510" i="8"/>
  <c r="BU510" i="8"/>
  <c r="AN510" i="8"/>
  <c r="BV510" i="8"/>
  <c r="AM503" i="8"/>
  <c r="BU503" i="8"/>
  <c r="AN503" i="8"/>
  <c r="BV503" i="8"/>
  <c r="AM512" i="8"/>
  <c r="BU512" i="8"/>
  <c r="AN512" i="8"/>
  <c r="BV512" i="8"/>
  <c r="AM502" i="8"/>
  <c r="BU502" i="8"/>
  <c r="AN502" i="8"/>
  <c r="BV502" i="8"/>
  <c r="AM523" i="8"/>
  <c r="BU523" i="8"/>
  <c r="AN523" i="8"/>
  <c r="BV523" i="8"/>
  <c r="AL522" i="8"/>
  <c r="AL528" i="8"/>
  <c r="AL20" i="8"/>
  <c r="AL505" i="8"/>
  <c r="AL504" i="8"/>
  <c r="AL532" i="8"/>
  <c r="AL25" i="8"/>
  <c r="AL19" i="8"/>
  <c r="AL521" i="8"/>
  <c r="AL501" i="8"/>
  <c r="AL550" i="8"/>
  <c r="AM57" i="8"/>
  <c r="AL57" i="8"/>
  <c r="AN57" i="8"/>
  <c r="BV33" i="8"/>
  <c r="D864" i="8"/>
  <c r="BO505" i="8"/>
  <c r="BO523" i="8"/>
  <c r="BN502" i="8"/>
  <c r="BN532" i="8"/>
  <c r="BO506" i="8"/>
  <c r="BN514" i="8"/>
  <c r="BO507" i="8"/>
  <c r="BN517" i="8"/>
  <c r="BN550" i="8"/>
  <c r="BN504" i="8"/>
  <c r="BN508" i="8"/>
  <c r="BN515" i="8"/>
  <c r="BO517" i="8"/>
  <c r="BN265" i="8"/>
  <c r="BO550" i="8"/>
  <c r="BO521" i="8"/>
  <c r="BN525" i="8"/>
  <c r="BO33" i="8"/>
  <c r="BN57" i="8"/>
  <c r="BO513" i="8"/>
  <c r="BN529" i="8"/>
  <c r="BN521" i="8"/>
  <c r="BO25" i="8"/>
  <c r="BO520" i="8"/>
  <c r="BN33" i="8"/>
  <c r="BO527" i="8"/>
  <c r="BN505" i="8"/>
  <c r="BN530" i="8"/>
  <c r="BN24" i="8"/>
  <c r="BO502" i="8"/>
  <c r="BN19" i="8"/>
  <c r="BO532" i="8"/>
  <c r="BO531" i="8"/>
  <c r="BO516" i="8"/>
  <c r="BO529" i="8"/>
  <c r="BO522" i="8"/>
  <c r="BN522" i="8"/>
  <c r="BO512" i="8"/>
  <c r="BN512" i="8"/>
  <c r="BO265" i="8"/>
  <c r="BN518" i="8"/>
  <c r="BN524" i="8"/>
  <c r="BO19" i="8"/>
  <c r="BO533" i="8"/>
  <c r="BO500" i="8"/>
  <c r="BN534" i="8"/>
  <c r="BN20" i="8"/>
  <c r="BO526" i="8"/>
  <c r="BN526" i="8"/>
  <c r="BO518" i="8"/>
  <c r="BN509" i="8"/>
  <c r="BN500" i="8"/>
  <c r="BN513" i="8"/>
  <c r="BN25" i="8"/>
  <c r="BN507" i="8"/>
  <c r="BN523" i="8"/>
  <c r="BO510" i="8"/>
  <c r="BO57" i="8"/>
  <c r="BO528" i="8"/>
  <c r="BN533" i="8"/>
  <c r="BO503" i="8"/>
  <c r="BN516" i="8"/>
  <c r="BO534" i="8"/>
  <c r="BO508" i="8"/>
  <c r="BO515" i="8"/>
  <c r="BO524" i="8"/>
  <c r="BO530" i="8"/>
  <c r="BO24" i="8"/>
  <c r="BO514" i="8"/>
  <c r="BO504" i="8"/>
  <c r="BO20" i="8"/>
  <c r="BO509" i="8"/>
  <c r="BN520" i="8"/>
  <c r="BO525" i="8"/>
  <c r="BN510" i="8"/>
  <c r="BN527" i="8"/>
  <c r="BN506" i="8"/>
  <c r="BO501" i="8"/>
  <c r="BN501" i="8"/>
  <c r="BN528" i="8"/>
  <c r="BN531" i="8"/>
  <c r="BO519" i="8"/>
  <c r="BN519" i="8"/>
  <c r="BN503" i="8"/>
  <c r="BO511" i="8"/>
  <c r="BN511" i="8"/>
  <c r="AK555" i="8"/>
  <c r="AK499" i="8"/>
  <c r="AK567" i="8"/>
  <c r="AK560" i="8"/>
  <c r="AK554" i="8"/>
  <c r="AK562" i="8"/>
  <c r="AK568" i="8"/>
  <c r="AK558" i="8"/>
  <c r="AK556" i="8"/>
  <c r="AK559" i="8"/>
  <c r="AK544" i="8"/>
  <c r="AK545" i="8"/>
  <c r="AI545" i="8"/>
  <c r="AI544" i="8"/>
  <c r="AI559" i="8"/>
  <c r="AI556" i="8"/>
  <c r="AI558" i="8"/>
  <c r="AI568" i="8"/>
  <c r="AI562" i="8"/>
  <c r="AI554" i="8"/>
  <c r="AI560" i="8"/>
  <c r="AI567" i="8"/>
  <c r="AI499" i="8"/>
  <c r="U499" i="8"/>
  <c r="V499" i="8"/>
  <c r="X499" i="8"/>
  <c r="Y499" i="8"/>
  <c r="AA499" i="8"/>
  <c r="U545" i="8"/>
  <c r="V545" i="8"/>
  <c r="X545" i="8"/>
  <c r="Y545" i="8"/>
  <c r="AA545" i="8"/>
  <c r="U544" i="8"/>
  <c r="V544" i="8"/>
  <c r="X544" i="8"/>
  <c r="Y544" i="8"/>
  <c r="AA544" i="8"/>
  <c r="U559" i="8"/>
  <c r="V559" i="8"/>
  <c r="X559" i="8"/>
  <c r="Y559" i="8"/>
  <c r="AA559" i="8"/>
  <c r="U556" i="8"/>
  <c r="V556" i="8"/>
  <c r="X556" i="8"/>
  <c r="Y556" i="8"/>
  <c r="AA556" i="8"/>
  <c r="U558" i="8"/>
  <c r="V558" i="8"/>
  <c r="X558" i="8"/>
  <c r="Y558" i="8"/>
  <c r="AA558" i="8"/>
  <c r="U568" i="8"/>
  <c r="V568" i="8"/>
  <c r="X568" i="8"/>
  <c r="Y568" i="8"/>
  <c r="AA568" i="8"/>
  <c r="U562" i="8"/>
  <c r="V562" i="8"/>
  <c r="X562" i="8"/>
  <c r="Y562" i="8"/>
  <c r="AA562" i="8"/>
  <c r="U554" i="8"/>
  <c r="V554" i="8"/>
  <c r="X554" i="8"/>
  <c r="Y554" i="8"/>
  <c r="AA554" i="8"/>
  <c r="U560" i="8"/>
  <c r="V560" i="8"/>
  <c r="X560" i="8"/>
  <c r="Y560" i="8"/>
  <c r="AA560" i="8"/>
  <c r="U567" i="8"/>
  <c r="V567" i="8"/>
  <c r="X567" i="8"/>
  <c r="Y567" i="8"/>
  <c r="AA567" i="8"/>
  <c r="AE18" i="8"/>
  <c r="V18" i="8"/>
  <c r="X18" i="8"/>
  <c r="AE30" i="8"/>
  <c r="V30" i="8"/>
  <c r="X30" i="8"/>
  <c r="AK30" i="8"/>
  <c r="AI30" i="8"/>
  <c r="Y540" i="8"/>
  <c r="AA540" i="8"/>
  <c r="Y27" i="8"/>
  <c r="AA27" i="8"/>
  <c r="Y30" i="8"/>
  <c r="AA30" i="8"/>
  <c r="Y549" i="8"/>
  <c r="AA549" i="8"/>
  <c r="Y18" i="8"/>
  <c r="AA18" i="8"/>
  <c r="Y28" i="8"/>
  <c r="AA28" i="8"/>
  <c r="AE540" i="8"/>
  <c r="V540" i="8"/>
  <c r="X540" i="8"/>
  <c r="AK540" i="8"/>
  <c r="AK27" i="8"/>
  <c r="AK549" i="8"/>
  <c r="AK18" i="8"/>
  <c r="AK28" i="8"/>
  <c r="AK498" i="8"/>
  <c r="AI498" i="8"/>
  <c r="AI540" i="8"/>
  <c r="AI27" i="8"/>
  <c r="AI549" i="8"/>
  <c r="AI18" i="8"/>
  <c r="AI28" i="8"/>
  <c r="Y498" i="8"/>
  <c r="AA498" i="8"/>
  <c r="V498" i="8"/>
  <c r="X498" i="8"/>
  <c r="V27" i="8"/>
  <c r="X27" i="8"/>
  <c r="V549" i="8"/>
  <c r="X549" i="8"/>
  <c r="V28" i="8"/>
  <c r="X28" i="8"/>
  <c r="U498" i="8"/>
  <c r="U540" i="8"/>
  <c r="U27" i="8"/>
  <c r="U30" i="8"/>
  <c r="U549" i="8"/>
  <c r="U18" i="8"/>
  <c r="AK557" i="8"/>
  <c r="AK538" i="8"/>
  <c r="AK32" i="8"/>
  <c r="AK543" i="8"/>
  <c r="AI543" i="8"/>
  <c r="AI32" i="8"/>
  <c r="AI538" i="8"/>
  <c r="AI557" i="8"/>
  <c r="Y537" i="8"/>
  <c r="AA537" i="8"/>
  <c r="Y497" i="8"/>
  <c r="AA497" i="8"/>
  <c r="Y496" i="8"/>
  <c r="AA496" i="8"/>
  <c r="Y563" i="8"/>
  <c r="AA563" i="8"/>
  <c r="Y557" i="8"/>
  <c r="AA557" i="8"/>
  <c r="Y538" i="8"/>
  <c r="AA538" i="8"/>
  <c r="Y32" i="8"/>
  <c r="AA32" i="8"/>
  <c r="Y543" i="8"/>
  <c r="AA543" i="8"/>
  <c r="Y564" i="8"/>
  <c r="AA564" i="8"/>
  <c r="Y539" i="8"/>
  <c r="AA539" i="8"/>
  <c r="Y566" i="8"/>
  <c r="AA566" i="8"/>
  <c r="Y565" i="8"/>
  <c r="AA565" i="8"/>
  <c r="V557" i="8"/>
  <c r="X557" i="8"/>
  <c r="V538" i="8"/>
  <c r="X538" i="8"/>
  <c r="V32" i="8"/>
  <c r="X32" i="8"/>
  <c r="V543" i="8"/>
  <c r="X543" i="8"/>
  <c r="V564" i="8"/>
  <c r="X564" i="8"/>
  <c r="AE570" i="8"/>
  <c r="V570" i="8"/>
  <c r="X570" i="8"/>
  <c r="AE569" i="8"/>
  <c r="V569" i="8"/>
  <c r="X569" i="8"/>
  <c r="Y569" i="8"/>
  <c r="AA569" i="8"/>
  <c r="Y570" i="8"/>
  <c r="AA570" i="8"/>
  <c r="AI569" i="8"/>
  <c r="AK569" i="8"/>
  <c r="AI570" i="8"/>
  <c r="AK570" i="8"/>
  <c r="V537" i="8"/>
  <c r="X537" i="8"/>
  <c r="AI537" i="8"/>
  <c r="AK537" i="8"/>
  <c r="V497" i="8"/>
  <c r="X497" i="8"/>
  <c r="AI497" i="8"/>
  <c r="AK497" i="8"/>
  <c r="V496" i="8"/>
  <c r="X496" i="8"/>
  <c r="AI496" i="8"/>
  <c r="AK496" i="8"/>
  <c r="V563" i="8"/>
  <c r="X563" i="8"/>
  <c r="AI563" i="8"/>
  <c r="AK563" i="8"/>
  <c r="AI564" i="8"/>
  <c r="AK564" i="8"/>
  <c r="V539" i="8"/>
  <c r="X539" i="8"/>
  <c r="AI539" i="8"/>
  <c r="AK539" i="8"/>
  <c r="V566" i="8"/>
  <c r="X566" i="8"/>
  <c r="AI566" i="8"/>
  <c r="AK566" i="8"/>
  <c r="V565" i="8"/>
  <c r="X565" i="8"/>
  <c r="AI565" i="8"/>
  <c r="AK565" i="8"/>
  <c r="AK495" i="8"/>
  <c r="BT524" i="8"/>
  <c r="BW524" i="8"/>
  <c r="BT33" i="8"/>
  <c r="BW33" i="8"/>
  <c r="BT510" i="8"/>
  <c r="BW510" i="8"/>
  <c r="AT497" i="8"/>
  <c r="BC497" i="8"/>
  <c r="BK497" i="8"/>
  <c r="AU497" i="8"/>
  <c r="BD497" i="8"/>
  <c r="BL497" i="8"/>
  <c r="AX497" i="8"/>
  <c r="BG497" i="8"/>
  <c r="AY497" i="8"/>
  <c r="BH497" i="8"/>
  <c r="AV497" i="8"/>
  <c r="AW497" i="8"/>
  <c r="AZ497" i="8"/>
  <c r="BA497" i="8"/>
  <c r="BE497" i="8"/>
  <c r="BF497" i="8"/>
  <c r="AR497" i="8"/>
  <c r="BI497" i="8"/>
  <c r="AS497" i="8"/>
  <c r="BJ497" i="8"/>
  <c r="AR543" i="8"/>
  <c r="AZ543" i="8"/>
  <c r="BI543" i="8"/>
  <c r="AS543" i="8"/>
  <c r="BA543" i="8"/>
  <c r="BJ543" i="8"/>
  <c r="AT543" i="8"/>
  <c r="BC543" i="8"/>
  <c r="BK543" i="8"/>
  <c r="AU543" i="8"/>
  <c r="BD543" i="8"/>
  <c r="BL543" i="8"/>
  <c r="AV543" i="8"/>
  <c r="BE543" i="8"/>
  <c r="AW543" i="8"/>
  <c r="BF543" i="8"/>
  <c r="AX543" i="8"/>
  <c r="BG543" i="8"/>
  <c r="AY543" i="8"/>
  <c r="BH543" i="8"/>
  <c r="AU28" i="8"/>
  <c r="BD28" i="8"/>
  <c r="BL28" i="8"/>
  <c r="AW28" i="8"/>
  <c r="BF28" i="8"/>
  <c r="AX28" i="8"/>
  <c r="BG28" i="8"/>
  <c r="AZ28" i="8"/>
  <c r="BC28" i="8"/>
  <c r="AS28" i="8"/>
  <c r="BH28" i="8"/>
  <c r="BA28" i="8"/>
  <c r="BE28" i="8"/>
  <c r="BJ28" i="8"/>
  <c r="AY28" i="8"/>
  <c r="BI28" i="8"/>
  <c r="AV28" i="8"/>
  <c r="AR28" i="8"/>
  <c r="AT28" i="8"/>
  <c r="BK28" i="8"/>
  <c r="AR566" i="8"/>
  <c r="AZ566" i="8"/>
  <c r="BI566" i="8"/>
  <c r="AS566" i="8"/>
  <c r="BA566" i="8"/>
  <c r="BJ566" i="8"/>
  <c r="AT566" i="8"/>
  <c r="BC566" i="8"/>
  <c r="BK566" i="8"/>
  <c r="AU566" i="8"/>
  <c r="BD566" i="8"/>
  <c r="BL566" i="8"/>
  <c r="AV566" i="8"/>
  <c r="BE566" i="8"/>
  <c r="AW566" i="8"/>
  <c r="BF566" i="8"/>
  <c r="AX566" i="8"/>
  <c r="BG566" i="8"/>
  <c r="AY566" i="8"/>
  <c r="BH566" i="8"/>
  <c r="AW18" i="8"/>
  <c r="BF18" i="8"/>
  <c r="AY18" i="8"/>
  <c r="BH18" i="8"/>
  <c r="AR18" i="8"/>
  <c r="AZ18" i="8"/>
  <c r="BI18" i="8"/>
  <c r="AV18" i="8"/>
  <c r="BK18" i="8"/>
  <c r="BA18" i="8"/>
  <c r="BD18" i="8"/>
  <c r="AX18" i="8"/>
  <c r="BC18" i="8"/>
  <c r="BG18" i="8"/>
  <c r="BJ18" i="8"/>
  <c r="BL18" i="8"/>
  <c r="AT18" i="8"/>
  <c r="BE18" i="8"/>
  <c r="AS18" i="8"/>
  <c r="AU18" i="8"/>
  <c r="AV567" i="8"/>
  <c r="BE567" i="8"/>
  <c r="AW567" i="8"/>
  <c r="BF567" i="8"/>
  <c r="AX567" i="8"/>
  <c r="BG567" i="8"/>
  <c r="AY567" i="8"/>
  <c r="BH567" i="8"/>
  <c r="AR567" i="8"/>
  <c r="AZ567" i="8"/>
  <c r="BI567" i="8"/>
  <c r="AS567" i="8"/>
  <c r="BA567" i="8"/>
  <c r="BJ567" i="8"/>
  <c r="AT567" i="8"/>
  <c r="BC567" i="8"/>
  <c r="BK567" i="8"/>
  <c r="AU567" i="8"/>
  <c r="BD567" i="8"/>
  <c r="BL567" i="8"/>
  <c r="AY537" i="8"/>
  <c r="BH537" i="8"/>
  <c r="AR537" i="8"/>
  <c r="AZ537" i="8"/>
  <c r="BI537" i="8"/>
  <c r="AU537" i="8"/>
  <c r="BD537" i="8"/>
  <c r="BL537" i="8"/>
  <c r="AV537" i="8"/>
  <c r="BE537" i="8"/>
  <c r="AS537" i="8"/>
  <c r="BJ537" i="8"/>
  <c r="AT537" i="8"/>
  <c r="BK537" i="8"/>
  <c r="AW537" i="8"/>
  <c r="AX537" i="8"/>
  <c r="BA537" i="8"/>
  <c r="BC537" i="8"/>
  <c r="BF537" i="8"/>
  <c r="BG537" i="8"/>
  <c r="AW549" i="8"/>
  <c r="BF549" i="8"/>
  <c r="AX549" i="8"/>
  <c r="BG549" i="8"/>
  <c r="AY549" i="8"/>
  <c r="BH549" i="8"/>
  <c r="AR549" i="8"/>
  <c r="AZ549" i="8"/>
  <c r="BI549" i="8"/>
  <c r="AS549" i="8"/>
  <c r="BA549" i="8"/>
  <c r="BJ549" i="8"/>
  <c r="AT549" i="8"/>
  <c r="BC549" i="8"/>
  <c r="BK549" i="8"/>
  <c r="AU549" i="8"/>
  <c r="BD549" i="8"/>
  <c r="BL549" i="8"/>
  <c r="AV549" i="8"/>
  <c r="BE549" i="8"/>
  <c r="AV560" i="8"/>
  <c r="BE560" i="8"/>
  <c r="AW560" i="8"/>
  <c r="BF560" i="8"/>
  <c r="AX560" i="8"/>
  <c r="BG560" i="8"/>
  <c r="AY560" i="8"/>
  <c r="BH560" i="8"/>
  <c r="AR560" i="8"/>
  <c r="AZ560" i="8"/>
  <c r="BI560" i="8"/>
  <c r="AS560" i="8"/>
  <c r="BA560" i="8"/>
  <c r="BJ560" i="8"/>
  <c r="AT560" i="8"/>
  <c r="BC560" i="8"/>
  <c r="BK560" i="8"/>
  <c r="AU560" i="8"/>
  <c r="BD560" i="8"/>
  <c r="BL560" i="8"/>
  <c r="AY545" i="8"/>
  <c r="BH545" i="8"/>
  <c r="AR545" i="8"/>
  <c r="AZ545" i="8"/>
  <c r="BI545" i="8"/>
  <c r="AS545" i="8"/>
  <c r="BA545" i="8"/>
  <c r="BJ545" i="8"/>
  <c r="AT545" i="8"/>
  <c r="BC545" i="8"/>
  <c r="BK545" i="8"/>
  <c r="AU545" i="8"/>
  <c r="BD545" i="8"/>
  <c r="BL545" i="8"/>
  <c r="AV545" i="8"/>
  <c r="BE545" i="8"/>
  <c r="AW545" i="8"/>
  <c r="BF545" i="8"/>
  <c r="AX545" i="8"/>
  <c r="BG545" i="8"/>
  <c r="AT30" i="8"/>
  <c r="BC30" i="8"/>
  <c r="BK30" i="8"/>
  <c r="AV30" i="8"/>
  <c r="BE30" i="8"/>
  <c r="AW30" i="8"/>
  <c r="BF30" i="8"/>
  <c r="AX30" i="8"/>
  <c r="BJ30" i="8"/>
  <c r="AZ30" i="8"/>
  <c r="BD30" i="8"/>
  <c r="BA30" i="8"/>
  <c r="BG30" i="8"/>
  <c r="BI30" i="8"/>
  <c r="AS30" i="8"/>
  <c r="AU30" i="8"/>
  <c r="BH30" i="8"/>
  <c r="AR30" i="8"/>
  <c r="AY30" i="8"/>
  <c r="BL30" i="8"/>
  <c r="AX554" i="8"/>
  <c r="BG554" i="8"/>
  <c r="AY554" i="8"/>
  <c r="BH554" i="8"/>
  <c r="AR554" i="8"/>
  <c r="AZ554" i="8"/>
  <c r="BI554" i="8"/>
  <c r="AS554" i="8"/>
  <c r="BA554" i="8"/>
  <c r="BJ554" i="8"/>
  <c r="AT554" i="8"/>
  <c r="BC554" i="8"/>
  <c r="BK554" i="8"/>
  <c r="AU554" i="8"/>
  <c r="BD554" i="8"/>
  <c r="BL554" i="8"/>
  <c r="AV554" i="8"/>
  <c r="BE554" i="8"/>
  <c r="AW554" i="8"/>
  <c r="BF554" i="8"/>
  <c r="AT539" i="8"/>
  <c r="AS539" i="8"/>
  <c r="BC539" i="8"/>
  <c r="BK539" i="8"/>
  <c r="AU539" i="8"/>
  <c r="BD539" i="8"/>
  <c r="BL539" i="8"/>
  <c r="AV539" i="8"/>
  <c r="BE539" i="8"/>
  <c r="AW539" i="8"/>
  <c r="BF539" i="8"/>
  <c r="AX539" i="8"/>
  <c r="BG539" i="8"/>
  <c r="AY539" i="8"/>
  <c r="BH539" i="8"/>
  <c r="AZ539" i="8"/>
  <c r="BI539" i="8"/>
  <c r="AR539" i="8"/>
  <c r="BA539" i="8"/>
  <c r="BJ539" i="8"/>
  <c r="AX540" i="8"/>
  <c r="BG540" i="8"/>
  <c r="AY540" i="8"/>
  <c r="BH540" i="8"/>
  <c r="AR540" i="8"/>
  <c r="AZ540" i="8"/>
  <c r="BI540" i="8"/>
  <c r="AS540" i="8"/>
  <c r="BA540" i="8"/>
  <c r="BJ540" i="8"/>
  <c r="AT540" i="8"/>
  <c r="BC540" i="8"/>
  <c r="BK540" i="8"/>
  <c r="AU540" i="8"/>
  <c r="BD540" i="8"/>
  <c r="BL540" i="8"/>
  <c r="AV540" i="8"/>
  <c r="BE540" i="8"/>
  <c r="AW540" i="8"/>
  <c r="BF540" i="8"/>
  <c r="AX498" i="8"/>
  <c r="BG498" i="8"/>
  <c r="AY498" i="8"/>
  <c r="BH498" i="8"/>
  <c r="AT498" i="8"/>
  <c r="BC498" i="8"/>
  <c r="BK498" i="8"/>
  <c r="AU498" i="8"/>
  <c r="BD498" i="8"/>
  <c r="BL498" i="8"/>
  <c r="AR498" i="8"/>
  <c r="BI498" i="8"/>
  <c r="AS498" i="8"/>
  <c r="BJ498" i="8"/>
  <c r="AV498" i="8"/>
  <c r="AW498" i="8"/>
  <c r="AZ498" i="8"/>
  <c r="BA498" i="8"/>
  <c r="BE498" i="8"/>
  <c r="BF498" i="8"/>
  <c r="AT562" i="8"/>
  <c r="BC562" i="8"/>
  <c r="BK562" i="8"/>
  <c r="AU562" i="8"/>
  <c r="BD562" i="8"/>
  <c r="BL562" i="8"/>
  <c r="AV562" i="8"/>
  <c r="BE562" i="8"/>
  <c r="AW562" i="8"/>
  <c r="BF562" i="8"/>
  <c r="AX562" i="8"/>
  <c r="BG562" i="8"/>
  <c r="AY562" i="8"/>
  <c r="BH562" i="8"/>
  <c r="AR562" i="8"/>
  <c r="AZ562" i="8"/>
  <c r="BI562" i="8"/>
  <c r="AS562" i="8"/>
  <c r="BA562" i="8"/>
  <c r="BJ562" i="8"/>
  <c r="AX570" i="8"/>
  <c r="BG570" i="8"/>
  <c r="AY570" i="8"/>
  <c r="BH570" i="8"/>
  <c r="AR570" i="8"/>
  <c r="AZ570" i="8"/>
  <c r="BI570" i="8"/>
  <c r="AS570" i="8"/>
  <c r="BA570" i="8"/>
  <c r="BJ570" i="8"/>
  <c r="AT570" i="8"/>
  <c r="BC570" i="8"/>
  <c r="BK570" i="8"/>
  <c r="AU570" i="8"/>
  <c r="BD570" i="8"/>
  <c r="BL570" i="8"/>
  <c r="AV570" i="8"/>
  <c r="BE570" i="8"/>
  <c r="AW570" i="8"/>
  <c r="BF570" i="8"/>
  <c r="AS557" i="8"/>
  <c r="BA557" i="8"/>
  <c r="BJ557" i="8"/>
  <c r="AT557" i="8"/>
  <c r="BC557" i="8"/>
  <c r="BK557" i="8"/>
  <c r="AU557" i="8"/>
  <c r="BD557" i="8"/>
  <c r="BL557" i="8"/>
  <c r="AV557" i="8"/>
  <c r="BE557" i="8"/>
  <c r="AW557" i="8"/>
  <c r="BF557" i="8"/>
  <c r="AX557" i="8"/>
  <c r="BG557" i="8"/>
  <c r="AY557" i="8"/>
  <c r="BH557" i="8"/>
  <c r="AR557" i="8"/>
  <c r="AZ557" i="8"/>
  <c r="BI557" i="8"/>
  <c r="AR568" i="8"/>
  <c r="AZ568" i="8"/>
  <c r="BI568" i="8"/>
  <c r="AS568" i="8"/>
  <c r="BA568" i="8"/>
  <c r="BJ568" i="8"/>
  <c r="AT568" i="8"/>
  <c r="BC568" i="8"/>
  <c r="BK568" i="8"/>
  <c r="AU568" i="8"/>
  <c r="BD568" i="8"/>
  <c r="BL568" i="8"/>
  <c r="AV568" i="8"/>
  <c r="BE568" i="8"/>
  <c r="AW568" i="8"/>
  <c r="BF568" i="8"/>
  <c r="AX568" i="8"/>
  <c r="BG568" i="8"/>
  <c r="AY568" i="8"/>
  <c r="BH568" i="8"/>
  <c r="AW565" i="8"/>
  <c r="BF565" i="8"/>
  <c r="AX565" i="8"/>
  <c r="BG565" i="8"/>
  <c r="AY565" i="8"/>
  <c r="BH565" i="8"/>
  <c r="AR565" i="8"/>
  <c r="AZ565" i="8"/>
  <c r="BI565" i="8"/>
  <c r="AS565" i="8"/>
  <c r="BA565" i="8"/>
  <c r="BJ565" i="8"/>
  <c r="AT565" i="8"/>
  <c r="BC565" i="8"/>
  <c r="BK565" i="8"/>
  <c r="AU565" i="8"/>
  <c r="BD565" i="8"/>
  <c r="BL565" i="8"/>
  <c r="AV565" i="8"/>
  <c r="BE565" i="8"/>
  <c r="AT538" i="8"/>
  <c r="BC538" i="8"/>
  <c r="AU538" i="8"/>
  <c r="BD538" i="8"/>
  <c r="AX538" i="8"/>
  <c r="BG538" i="8"/>
  <c r="AY538" i="8"/>
  <c r="BE538" i="8"/>
  <c r="BF538" i="8"/>
  <c r="AR538" i="8"/>
  <c r="BH538" i="8"/>
  <c r="AS538" i="8"/>
  <c r="BI538" i="8"/>
  <c r="AV538" i="8"/>
  <c r="BJ538" i="8"/>
  <c r="AW538" i="8"/>
  <c r="BK538" i="8"/>
  <c r="AZ538" i="8"/>
  <c r="BL538" i="8"/>
  <c r="BA538" i="8"/>
  <c r="AV558" i="8"/>
  <c r="BE558" i="8"/>
  <c r="AW558" i="8"/>
  <c r="BF558" i="8"/>
  <c r="AX558" i="8"/>
  <c r="BG558" i="8"/>
  <c r="AY558" i="8"/>
  <c r="BH558" i="8"/>
  <c r="AR558" i="8"/>
  <c r="AZ558" i="8"/>
  <c r="BI558" i="8"/>
  <c r="AS558" i="8"/>
  <c r="BA558" i="8"/>
  <c r="BJ558" i="8"/>
  <c r="AT558" i="8"/>
  <c r="BC558" i="8"/>
  <c r="BK558" i="8"/>
  <c r="AU558" i="8"/>
  <c r="BD558" i="8"/>
  <c r="BL558" i="8"/>
  <c r="AT32" i="8"/>
  <c r="BC32" i="8"/>
  <c r="BK32" i="8"/>
  <c r="AV32" i="8"/>
  <c r="BE32" i="8"/>
  <c r="AW32" i="8"/>
  <c r="BF32" i="8"/>
  <c r="AU32" i="8"/>
  <c r="BI32" i="8"/>
  <c r="AY32" i="8"/>
  <c r="BL32" i="8"/>
  <c r="BA32" i="8"/>
  <c r="BD32" i="8"/>
  <c r="BG32" i="8"/>
  <c r="BJ32" i="8"/>
  <c r="AR32" i="8"/>
  <c r="AX32" i="8"/>
  <c r="AS32" i="8"/>
  <c r="BH32" i="8"/>
  <c r="AZ32" i="8"/>
  <c r="AX556" i="8"/>
  <c r="BG556" i="8"/>
  <c r="AY556" i="8"/>
  <c r="BH556" i="8"/>
  <c r="AR556" i="8"/>
  <c r="AZ556" i="8"/>
  <c r="BI556" i="8"/>
  <c r="AS556" i="8"/>
  <c r="BA556" i="8"/>
  <c r="BJ556" i="8"/>
  <c r="AT556" i="8"/>
  <c r="BC556" i="8"/>
  <c r="BK556" i="8"/>
  <c r="AU556" i="8"/>
  <c r="BD556" i="8"/>
  <c r="BL556" i="8"/>
  <c r="AV556" i="8"/>
  <c r="BE556" i="8"/>
  <c r="AW556" i="8"/>
  <c r="BF556" i="8"/>
  <c r="AY27" i="8"/>
  <c r="BH27" i="8"/>
  <c r="AS27" i="8"/>
  <c r="BA27" i="8"/>
  <c r="BJ27" i="8"/>
  <c r="AT27" i="8"/>
  <c r="BC27" i="8"/>
  <c r="BK27" i="8"/>
  <c r="AU27" i="8"/>
  <c r="BG27" i="8"/>
  <c r="AW27" i="8"/>
  <c r="BL27" i="8"/>
  <c r="AZ27" i="8"/>
  <c r="BD27" i="8"/>
  <c r="BE27" i="8"/>
  <c r="BI27" i="8"/>
  <c r="AR27" i="8"/>
  <c r="AX27" i="8"/>
  <c r="BF27" i="8"/>
  <c r="AV27" i="8"/>
  <c r="AX496" i="8"/>
  <c r="BG496" i="8"/>
  <c r="AY496" i="8"/>
  <c r="BH496" i="8"/>
  <c r="AT496" i="8"/>
  <c r="BC496" i="8"/>
  <c r="BK496" i="8"/>
  <c r="AU496" i="8"/>
  <c r="BD496" i="8"/>
  <c r="BL496" i="8"/>
  <c r="AZ496" i="8"/>
  <c r="BA496" i="8"/>
  <c r="BE496" i="8"/>
  <c r="BF496" i="8"/>
  <c r="AR496" i="8"/>
  <c r="BI496" i="8"/>
  <c r="AS496" i="8"/>
  <c r="BJ496" i="8"/>
  <c r="AV496" i="8"/>
  <c r="AW496" i="8"/>
  <c r="AT564" i="8"/>
  <c r="BC564" i="8"/>
  <c r="BK564" i="8"/>
  <c r="AU564" i="8"/>
  <c r="BD564" i="8"/>
  <c r="BL564" i="8"/>
  <c r="AV564" i="8"/>
  <c r="BE564" i="8"/>
  <c r="AW564" i="8"/>
  <c r="BF564" i="8"/>
  <c r="AX564" i="8"/>
  <c r="BG564" i="8"/>
  <c r="AY564" i="8"/>
  <c r="BH564" i="8"/>
  <c r="AR564" i="8"/>
  <c r="AZ564" i="8"/>
  <c r="BI564" i="8"/>
  <c r="AS564" i="8"/>
  <c r="BA564" i="8"/>
  <c r="BJ564" i="8"/>
  <c r="AU569" i="8"/>
  <c r="BD569" i="8"/>
  <c r="BL569" i="8"/>
  <c r="AV569" i="8"/>
  <c r="BE569" i="8"/>
  <c r="AW569" i="8"/>
  <c r="BF569" i="8"/>
  <c r="AX569" i="8"/>
  <c r="BG569" i="8"/>
  <c r="AY569" i="8"/>
  <c r="BH569" i="8"/>
  <c r="AR569" i="8"/>
  <c r="AZ569" i="8"/>
  <c r="BI569" i="8"/>
  <c r="AS569" i="8"/>
  <c r="BA569" i="8"/>
  <c r="BJ569" i="8"/>
  <c r="AT569" i="8"/>
  <c r="BC569" i="8"/>
  <c r="BK569" i="8"/>
  <c r="AS499" i="8"/>
  <c r="BA499" i="8"/>
  <c r="BJ499" i="8"/>
  <c r="AT499" i="8"/>
  <c r="BC499" i="8"/>
  <c r="BK499" i="8"/>
  <c r="AW499" i="8"/>
  <c r="BF499" i="8"/>
  <c r="AX499" i="8"/>
  <c r="BG499" i="8"/>
  <c r="BD499" i="8"/>
  <c r="BE499" i="8"/>
  <c r="BH499" i="8"/>
  <c r="AR499" i="8"/>
  <c r="BI499" i="8"/>
  <c r="AU499" i="8"/>
  <c r="BL499" i="8"/>
  <c r="AV499" i="8"/>
  <c r="AY499" i="8"/>
  <c r="AZ499" i="8"/>
  <c r="AR559" i="8"/>
  <c r="AZ559" i="8"/>
  <c r="BI559" i="8"/>
  <c r="AS559" i="8"/>
  <c r="BA559" i="8"/>
  <c r="BJ559" i="8"/>
  <c r="AT559" i="8"/>
  <c r="BC559" i="8"/>
  <c r="BK559" i="8"/>
  <c r="AU559" i="8"/>
  <c r="BD559" i="8"/>
  <c r="BL559" i="8"/>
  <c r="AV559" i="8"/>
  <c r="BE559" i="8"/>
  <c r="AW559" i="8"/>
  <c r="BF559" i="8"/>
  <c r="AX559" i="8"/>
  <c r="BG559" i="8"/>
  <c r="AY559" i="8"/>
  <c r="BH559" i="8"/>
  <c r="AX563" i="8"/>
  <c r="BG563" i="8"/>
  <c r="AY563" i="8"/>
  <c r="BH563" i="8"/>
  <c r="AR563" i="8"/>
  <c r="AZ563" i="8"/>
  <c r="BI563" i="8"/>
  <c r="AS563" i="8"/>
  <c r="BA563" i="8"/>
  <c r="BJ563" i="8"/>
  <c r="AT563" i="8"/>
  <c r="BC563" i="8"/>
  <c r="BK563" i="8"/>
  <c r="AU563" i="8"/>
  <c r="BD563" i="8"/>
  <c r="BL563" i="8"/>
  <c r="AV563" i="8"/>
  <c r="BE563" i="8"/>
  <c r="AW563" i="8"/>
  <c r="BF563" i="8"/>
  <c r="AV544" i="8"/>
  <c r="BE544" i="8"/>
  <c r="AW544" i="8"/>
  <c r="BF544" i="8"/>
  <c r="AX544" i="8"/>
  <c r="BG544" i="8"/>
  <c r="AY544" i="8"/>
  <c r="BH544" i="8"/>
  <c r="AR544" i="8"/>
  <c r="AZ544" i="8"/>
  <c r="BI544" i="8"/>
  <c r="AS544" i="8"/>
  <c r="BA544" i="8"/>
  <c r="BJ544" i="8"/>
  <c r="AT544" i="8"/>
  <c r="BC544" i="8"/>
  <c r="BK544" i="8"/>
  <c r="AU544" i="8"/>
  <c r="BD544" i="8"/>
  <c r="BL544" i="8"/>
  <c r="BT265" i="8"/>
  <c r="BW265" i="8"/>
  <c r="BT514" i="8"/>
  <c r="BW514" i="8"/>
  <c r="BT534" i="8"/>
  <c r="BW534" i="8"/>
  <c r="BT525" i="8"/>
  <c r="BW525" i="8"/>
  <c r="BT530" i="8"/>
  <c r="BW530" i="8"/>
  <c r="BT501" i="8"/>
  <c r="BW501" i="8"/>
  <c r="BT512" i="8"/>
  <c r="BW512" i="8"/>
  <c r="BT502" i="8"/>
  <c r="BW502" i="8"/>
  <c r="BT513" i="8"/>
  <c r="BW513" i="8"/>
  <c r="BT19" i="8"/>
  <c r="BW19" i="8"/>
  <c r="BT520" i="8"/>
  <c r="BW520" i="8"/>
  <c r="BT508" i="8"/>
  <c r="BW508" i="8"/>
  <c r="BT528" i="8"/>
  <c r="BW528" i="8"/>
  <c r="BT20" i="8"/>
  <c r="BW20" i="8"/>
  <c r="BT504" i="8"/>
  <c r="BW504" i="8"/>
  <c r="BT526" i="8"/>
  <c r="BW526" i="8"/>
  <c r="BT507" i="8"/>
  <c r="BW507" i="8"/>
  <c r="BT518" i="8"/>
  <c r="BW518" i="8"/>
  <c r="BT516" i="8"/>
  <c r="BW516" i="8"/>
  <c r="BT515" i="8"/>
  <c r="BW515" i="8"/>
  <c r="BT533" i="8"/>
  <c r="BW533" i="8"/>
  <c r="BT532" i="8"/>
  <c r="BW532" i="8"/>
  <c r="BT521" i="8"/>
  <c r="BW521" i="8"/>
  <c r="BT522" i="8"/>
  <c r="BW522" i="8"/>
  <c r="BT503" i="8"/>
  <c r="BW503" i="8"/>
  <c r="BT523" i="8"/>
  <c r="BW523" i="8"/>
  <c r="BT511" i="8"/>
  <c r="BW511" i="8"/>
  <c r="BT529" i="8"/>
  <c r="BW529" i="8"/>
  <c r="BT505" i="8"/>
  <c r="BW505" i="8"/>
  <c r="BT506" i="8"/>
  <c r="BW506" i="8"/>
  <c r="BT527" i="8"/>
  <c r="BW527" i="8"/>
  <c r="BT531" i="8"/>
  <c r="BW531" i="8"/>
  <c r="BT500" i="8"/>
  <c r="BW500" i="8"/>
  <c r="BT509" i="8"/>
  <c r="BW509" i="8"/>
  <c r="BT24" i="8"/>
  <c r="BW24" i="8"/>
  <c r="BT519" i="8"/>
  <c r="BW519" i="8"/>
  <c r="BT550" i="8"/>
  <c r="BW550" i="8"/>
  <c r="BT25" i="8"/>
  <c r="BW25" i="8"/>
  <c r="BT517" i="8"/>
  <c r="BW517" i="8"/>
  <c r="AL537" i="8"/>
  <c r="AL564" i="8"/>
  <c r="AL549" i="8"/>
  <c r="AL497" i="8"/>
  <c r="AL540" i="8"/>
  <c r="AL539" i="8"/>
  <c r="AL565" i="8"/>
  <c r="AL496" i="8"/>
  <c r="AL569" i="8"/>
  <c r="AL557" i="8"/>
  <c r="AL18" i="8"/>
  <c r="AL498" i="8"/>
  <c r="AL568" i="8"/>
  <c r="AL544" i="8"/>
  <c r="AN566" i="8"/>
  <c r="BV566" i="8"/>
  <c r="AM566" i="8"/>
  <c r="BU566" i="8"/>
  <c r="AN554" i="8"/>
  <c r="BV554" i="8"/>
  <c r="AM554" i="8"/>
  <c r="BU554" i="8"/>
  <c r="AM499" i="8"/>
  <c r="BU499" i="8"/>
  <c r="AN499" i="8"/>
  <c r="BV499" i="8"/>
  <c r="AM496" i="8"/>
  <c r="BU496" i="8"/>
  <c r="AN496" i="8"/>
  <c r="BV496" i="8"/>
  <c r="AN570" i="8"/>
  <c r="BV570" i="8"/>
  <c r="AM570" i="8"/>
  <c r="BU570" i="8"/>
  <c r="AM539" i="8"/>
  <c r="BU539" i="8"/>
  <c r="AN539" i="8"/>
  <c r="BV539" i="8"/>
  <c r="AM538" i="8"/>
  <c r="BU538" i="8"/>
  <c r="AN538" i="8"/>
  <c r="BV538" i="8"/>
  <c r="AL538" i="8"/>
  <c r="AM18" i="8"/>
  <c r="BU18" i="8"/>
  <c r="AN18" i="8"/>
  <c r="AM540" i="8"/>
  <c r="BU540" i="8"/>
  <c r="AN540" i="8"/>
  <c r="BV540" i="8"/>
  <c r="AM560" i="8"/>
  <c r="BU560" i="8"/>
  <c r="AN560" i="8"/>
  <c r="BV560" i="8"/>
  <c r="AM558" i="8"/>
  <c r="BU558" i="8"/>
  <c r="AN558" i="8"/>
  <c r="BV558" i="8"/>
  <c r="AM545" i="8"/>
  <c r="BU545" i="8"/>
  <c r="AN545" i="8"/>
  <c r="BV545" i="8"/>
  <c r="AL560" i="8"/>
  <c r="AL558" i="8"/>
  <c r="AL545" i="8"/>
  <c r="AN32" i="8"/>
  <c r="BV32" i="8"/>
  <c r="AM32" i="8"/>
  <c r="BU32" i="8"/>
  <c r="AN563" i="8"/>
  <c r="BV563" i="8"/>
  <c r="AM563" i="8"/>
  <c r="BU563" i="8"/>
  <c r="AN28" i="8"/>
  <c r="BV28" i="8"/>
  <c r="AM28" i="8"/>
  <c r="BU28" i="8"/>
  <c r="AN27" i="8"/>
  <c r="BV27" i="8"/>
  <c r="AM27" i="8"/>
  <c r="BU27" i="8"/>
  <c r="AL567" i="8"/>
  <c r="AL563" i="8"/>
  <c r="AL570" i="8"/>
  <c r="AM569" i="8"/>
  <c r="BU569" i="8"/>
  <c r="AN569" i="8"/>
  <c r="BV569" i="8"/>
  <c r="AM564" i="8"/>
  <c r="BU564" i="8"/>
  <c r="AN564" i="8"/>
  <c r="BV564" i="8"/>
  <c r="AM557" i="8"/>
  <c r="BU557" i="8"/>
  <c r="AN557" i="8"/>
  <c r="BV557" i="8"/>
  <c r="AM497" i="8"/>
  <c r="BU497" i="8"/>
  <c r="AN497" i="8"/>
  <c r="BV497" i="8"/>
  <c r="AL32" i="8"/>
  <c r="AM498" i="8"/>
  <c r="BU498" i="8"/>
  <c r="AN498" i="8"/>
  <c r="BV498" i="8"/>
  <c r="AL27" i="8"/>
  <c r="AM549" i="8"/>
  <c r="BU549" i="8"/>
  <c r="AN549" i="8"/>
  <c r="BV549" i="8"/>
  <c r="AL30" i="8"/>
  <c r="AM567" i="8"/>
  <c r="BU567" i="8"/>
  <c r="AN567" i="8"/>
  <c r="BV567" i="8"/>
  <c r="AM568" i="8"/>
  <c r="BU568" i="8"/>
  <c r="AN568" i="8"/>
  <c r="BV568" i="8"/>
  <c r="AM544" i="8"/>
  <c r="BU544" i="8"/>
  <c r="AN544" i="8"/>
  <c r="BV544" i="8"/>
  <c r="AL554" i="8"/>
  <c r="AL556" i="8"/>
  <c r="AN556" i="8"/>
  <c r="BV556" i="8"/>
  <c r="AM556" i="8"/>
  <c r="BU556" i="8"/>
  <c r="AL566" i="8"/>
  <c r="AM565" i="8"/>
  <c r="BU565" i="8"/>
  <c r="AN565" i="8"/>
  <c r="BV565" i="8"/>
  <c r="AM543" i="8"/>
  <c r="BU543" i="8"/>
  <c r="AN543" i="8"/>
  <c r="BV543" i="8"/>
  <c r="AM537" i="8"/>
  <c r="BU537" i="8"/>
  <c r="AN537" i="8"/>
  <c r="BV537" i="8"/>
  <c r="AL543" i="8"/>
  <c r="AL28" i="8"/>
  <c r="AM30" i="8"/>
  <c r="BU30" i="8"/>
  <c r="AN30" i="8"/>
  <c r="BV30" i="8"/>
  <c r="AM562" i="8"/>
  <c r="BU562" i="8"/>
  <c r="AN562" i="8"/>
  <c r="BV562" i="8"/>
  <c r="AM559" i="8"/>
  <c r="BU559" i="8"/>
  <c r="AN559" i="8"/>
  <c r="BV559" i="8"/>
  <c r="AL499" i="8"/>
  <c r="AL562" i="8"/>
  <c r="AL559" i="8"/>
  <c r="BV18" i="8"/>
  <c r="BO564" i="8"/>
  <c r="BO538" i="8"/>
  <c r="BO565" i="8"/>
  <c r="BN30" i="8"/>
  <c r="BO549" i="8"/>
  <c r="BO537" i="8"/>
  <c r="BN28" i="8"/>
  <c r="BO556" i="8"/>
  <c r="BN32" i="8"/>
  <c r="BO568" i="8"/>
  <c r="BO540" i="8"/>
  <c r="BO554" i="8"/>
  <c r="BO560" i="8"/>
  <c r="BO569" i="8"/>
  <c r="BN564" i="8"/>
  <c r="BO27" i="8"/>
  <c r="BO30" i="8"/>
  <c r="BN545" i="8"/>
  <c r="BN569" i="8"/>
  <c r="BN499" i="8"/>
  <c r="BN557" i="8"/>
  <c r="BO562" i="8"/>
  <c r="BO545" i="8"/>
  <c r="BN544" i="8"/>
  <c r="BN559" i="8"/>
  <c r="BO32" i="8"/>
  <c r="BN563" i="8"/>
  <c r="BN558" i="8"/>
  <c r="BN570" i="8"/>
  <c r="BN567" i="8"/>
  <c r="BO18" i="8"/>
  <c r="BO28" i="8"/>
  <c r="BO544" i="8"/>
  <c r="BO563" i="8"/>
  <c r="BO559" i="8"/>
  <c r="BO558" i="8"/>
  <c r="BO570" i="8"/>
  <c r="BO567" i="8"/>
  <c r="BO566" i="8"/>
  <c r="BO543" i="8"/>
  <c r="BO499" i="8"/>
  <c r="BN496" i="8"/>
  <c r="BN18" i="8"/>
  <c r="BN566" i="8"/>
  <c r="BN543" i="8"/>
  <c r="BN565" i="8"/>
  <c r="BN562" i="8"/>
  <c r="BO498" i="8"/>
  <c r="BN498" i="8"/>
  <c r="BO539" i="8"/>
  <c r="BN549" i="8"/>
  <c r="BN537" i="8"/>
  <c r="BO496" i="8"/>
  <c r="BN538" i="8"/>
  <c r="BN539" i="8"/>
  <c r="BO497" i="8"/>
  <c r="BN27" i="8"/>
  <c r="BN556" i="8"/>
  <c r="BN568" i="8"/>
  <c r="BO557" i="8"/>
  <c r="BN540" i="8"/>
  <c r="BN554" i="8"/>
  <c r="BN560" i="8"/>
  <c r="BN497" i="8"/>
  <c r="AK784" i="8"/>
  <c r="AK673" i="8"/>
  <c r="AK763" i="8"/>
  <c r="AK776" i="8"/>
  <c r="AK818" i="8"/>
  <c r="AK675" i="8"/>
  <c r="AK679" i="8"/>
  <c r="AK677" i="8"/>
  <c r="AK825" i="8"/>
  <c r="AK771" i="8"/>
  <c r="AK756" i="8"/>
  <c r="AK741" i="8"/>
  <c r="AK768" i="8"/>
  <c r="AK753" i="8"/>
  <c r="AK684" i="8"/>
  <c r="AK688" i="8"/>
  <c r="AK697" i="8"/>
  <c r="AK819" i="8"/>
  <c r="AK733" i="8"/>
  <c r="AK772" i="8"/>
  <c r="AK822" i="8"/>
  <c r="AK696" i="8"/>
  <c r="AK783" i="8"/>
  <c r="AK777" i="8"/>
  <c r="AK709" i="8"/>
  <c r="AK824" i="8"/>
  <c r="AK717" i="8"/>
  <c r="AK811" i="8"/>
  <c r="AK775" i="8"/>
  <c r="AK732" i="8"/>
  <c r="AK762" i="8"/>
  <c r="AK778" i="8"/>
  <c r="AK687" i="8"/>
  <c r="AK681" i="8"/>
  <c r="AK727" i="8"/>
  <c r="AK754" i="8"/>
  <c r="AK692" i="8"/>
  <c r="AK689" i="8"/>
  <c r="AK731" i="8"/>
  <c r="AK758" i="8"/>
  <c r="AK725" i="8"/>
  <c r="AK759" i="8"/>
  <c r="AK779" i="8"/>
  <c r="AK765" i="8"/>
  <c r="AK694" i="8"/>
  <c r="AK740" i="8"/>
  <c r="AK723" i="8"/>
  <c r="AK678" i="8"/>
  <c r="AK683" i="8"/>
  <c r="AK680" i="8"/>
  <c r="AK682" i="8"/>
  <c r="AK707" i="8"/>
  <c r="AK787" i="8"/>
  <c r="AK826" i="8"/>
  <c r="AK730" i="8"/>
  <c r="AK674" i="8"/>
  <c r="AK704" i="8"/>
  <c r="AK703" i="8"/>
  <c r="AK766" i="8"/>
  <c r="AK719" i="8"/>
  <c r="AK700" i="8"/>
  <c r="AK705" i="8"/>
  <c r="AK713" i="8"/>
  <c r="AK729" i="8"/>
  <c r="AK715" i="8"/>
  <c r="AK698" i="8"/>
  <c r="AK690" i="8"/>
  <c r="AK686" i="8"/>
  <c r="AK672" i="8"/>
  <c r="AK743" i="8"/>
  <c r="AK742" i="8"/>
  <c r="AK695" i="8"/>
  <c r="AK823" i="8"/>
  <c r="AK728" i="8"/>
  <c r="AK764" i="8"/>
  <c r="AK769" i="8"/>
  <c r="AK693" i="8"/>
  <c r="AK712" i="8"/>
  <c r="AK831" i="8"/>
  <c r="AK817" i="8"/>
  <c r="AK718" i="8"/>
  <c r="AK827" i="8"/>
  <c r="AK751" i="8"/>
  <c r="AK750" i="8"/>
  <c r="AK749" i="8"/>
  <c r="AI751" i="8"/>
  <c r="AI750" i="8"/>
  <c r="AI749" i="8"/>
  <c r="Y751" i="8"/>
  <c r="AA751" i="8"/>
  <c r="V751" i="8"/>
  <c r="X751" i="8"/>
  <c r="Y750" i="8"/>
  <c r="AA750" i="8"/>
  <c r="V750" i="8"/>
  <c r="X750" i="8"/>
  <c r="Y749" i="8"/>
  <c r="AA749" i="8"/>
  <c r="V749" i="8"/>
  <c r="X749" i="8"/>
  <c r="AK816" i="8"/>
  <c r="AK738" i="8"/>
  <c r="AK815" i="8"/>
  <c r="AK699" i="8"/>
  <c r="AK737" i="8"/>
  <c r="AK734" i="8"/>
  <c r="AK708" i="8"/>
  <c r="AK691" i="8"/>
  <c r="AK773" i="8"/>
  <c r="AK739" i="8"/>
  <c r="AK711" i="8"/>
  <c r="AK774" i="8"/>
  <c r="AK744" i="8"/>
  <c r="AK820" i="8"/>
  <c r="AK736" i="8"/>
  <c r="AK685" i="8"/>
  <c r="AK752" i="8"/>
  <c r="AK706" i="8"/>
  <c r="AK757" i="8"/>
  <c r="AK702" i="8"/>
  <c r="AK746" i="8"/>
  <c r="AK755" i="8"/>
  <c r="AK782" i="8"/>
  <c r="AK735" i="8"/>
  <c r="AK720" i="8"/>
  <c r="AK721" i="8"/>
  <c r="AK724" i="8"/>
  <c r="AK748" i="8"/>
  <c r="AE748" i="8"/>
  <c r="AK830" i="8"/>
  <c r="AE830" i="8"/>
  <c r="AK821" i="8"/>
  <c r="AK770" i="8"/>
  <c r="AK767" i="8"/>
  <c r="U767" i="8"/>
  <c r="AV751" i="8"/>
  <c r="BE751" i="8"/>
  <c r="AX751" i="8"/>
  <c r="BG751" i="8"/>
  <c r="AR751" i="8"/>
  <c r="AZ751" i="8"/>
  <c r="BI751" i="8"/>
  <c r="AT751" i="8"/>
  <c r="BC751" i="8"/>
  <c r="BK751" i="8"/>
  <c r="AW751" i="8"/>
  <c r="AY751" i="8"/>
  <c r="BA751" i="8"/>
  <c r="BD751" i="8"/>
  <c r="BF751" i="8"/>
  <c r="BH751" i="8"/>
  <c r="AS751" i="8"/>
  <c r="BJ751" i="8"/>
  <c r="AU751" i="8"/>
  <c r="BL751" i="8"/>
  <c r="AR750" i="8"/>
  <c r="AZ750" i="8"/>
  <c r="BI750" i="8"/>
  <c r="AT750" i="8"/>
  <c r="BC750" i="8"/>
  <c r="BK750" i="8"/>
  <c r="AV750" i="8"/>
  <c r="BE750" i="8"/>
  <c r="AX750" i="8"/>
  <c r="BG750" i="8"/>
  <c r="BA750" i="8"/>
  <c r="BD750" i="8"/>
  <c r="BF750" i="8"/>
  <c r="BH750" i="8"/>
  <c r="AS750" i="8"/>
  <c r="BJ750" i="8"/>
  <c r="AU750" i="8"/>
  <c r="BL750" i="8"/>
  <c r="AW750" i="8"/>
  <c r="AY750" i="8"/>
  <c r="AW749" i="8"/>
  <c r="BF749" i="8"/>
  <c r="AY749" i="8"/>
  <c r="BH749" i="8"/>
  <c r="AS749" i="8"/>
  <c r="BA749" i="8"/>
  <c r="BJ749" i="8"/>
  <c r="AU749" i="8"/>
  <c r="BD749" i="8"/>
  <c r="BL749" i="8"/>
  <c r="BG749" i="8"/>
  <c r="AR749" i="8"/>
  <c r="BI749" i="8"/>
  <c r="AT749" i="8"/>
  <c r="BK749" i="8"/>
  <c r="AV749" i="8"/>
  <c r="AX749" i="8"/>
  <c r="AZ749" i="8"/>
  <c r="BC749" i="8"/>
  <c r="BE749" i="8"/>
  <c r="BT560" i="8"/>
  <c r="BW560" i="8"/>
  <c r="BT566" i="8"/>
  <c r="BW566" i="8"/>
  <c r="BT554" i="8"/>
  <c r="BW554" i="8"/>
  <c r="BT557" i="8"/>
  <c r="BW557" i="8"/>
  <c r="BT568" i="8"/>
  <c r="BW568" i="8"/>
  <c r="BT570" i="8"/>
  <c r="BW570" i="8"/>
  <c r="BT565" i="8"/>
  <c r="BW565" i="8"/>
  <c r="BT537" i="8"/>
  <c r="BW537" i="8"/>
  <c r="BT30" i="8"/>
  <c r="BW30" i="8"/>
  <c r="AL751" i="8"/>
  <c r="BT496" i="8"/>
  <c r="BW496" i="8"/>
  <c r="BT32" i="8"/>
  <c r="BW32" i="8"/>
  <c r="BT549" i="8"/>
  <c r="BW549" i="8"/>
  <c r="BT562" i="8"/>
  <c r="BW562" i="8"/>
  <c r="AM751" i="8"/>
  <c r="BU751" i="8"/>
  <c r="AN751" i="8"/>
  <c r="BV751" i="8"/>
  <c r="AL749" i="8"/>
  <c r="BT543" i="8"/>
  <c r="BW543" i="8"/>
  <c r="BT556" i="8"/>
  <c r="BW556" i="8"/>
  <c r="BT28" i="8"/>
  <c r="BW28" i="8"/>
  <c r="BT497" i="8"/>
  <c r="BW497" i="8"/>
  <c r="BT564" i="8"/>
  <c r="BW564" i="8"/>
  <c r="BT538" i="8"/>
  <c r="BW538" i="8"/>
  <c r="BT544" i="8"/>
  <c r="BW544" i="8"/>
  <c r="BT558" i="8"/>
  <c r="BW558" i="8"/>
  <c r="BT545" i="8"/>
  <c r="BW545" i="8"/>
  <c r="BT27" i="8"/>
  <c r="BW27" i="8"/>
  <c r="AN749" i="8"/>
  <c r="BV749" i="8"/>
  <c r="AM749" i="8"/>
  <c r="BU749" i="8"/>
  <c r="AN750" i="8"/>
  <c r="BV750" i="8"/>
  <c r="AM750" i="8"/>
  <c r="BU750" i="8"/>
  <c r="AL750" i="8"/>
  <c r="BT499" i="8"/>
  <c r="BW499" i="8"/>
  <c r="BT540" i="8"/>
  <c r="BW540" i="8"/>
  <c r="BT569" i="8"/>
  <c r="BW569" i="8"/>
  <c r="BT563" i="8"/>
  <c r="BW563" i="8"/>
  <c r="BT498" i="8"/>
  <c r="BW498" i="8"/>
  <c r="BT559" i="8"/>
  <c r="BW559" i="8"/>
  <c r="BT539" i="8"/>
  <c r="BW539" i="8"/>
  <c r="BT18" i="8"/>
  <c r="BW18" i="8"/>
  <c r="BT567" i="8"/>
  <c r="BW567" i="8"/>
  <c r="BO750" i="8"/>
  <c r="BO751" i="8"/>
  <c r="BN749" i="8"/>
  <c r="BO749" i="8"/>
  <c r="BN750" i="8"/>
  <c r="BN751" i="8"/>
  <c r="AK814" i="8"/>
  <c r="AK813" i="8"/>
  <c r="BT751" i="8"/>
  <c r="BW751" i="8"/>
  <c r="BT750" i="8"/>
  <c r="BW750" i="8"/>
  <c r="BT749" i="8"/>
  <c r="BW749" i="8"/>
  <c r="AK788" i="8"/>
  <c r="AK745" i="8"/>
  <c r="AK761" i="8"/>
  <c r="AK760" i="8"/>
  <c r="AK747" i="8"/>
  <c r="AK716" i="8"/>
  <c r="AK714" i="8"/>
  <c r="AK812" i="8"/>
  <c r="AK789" i="8"/>
  <c r="AK791" i="8"/>
  <c r="AK790" i="8"/>
  <c r="AK792" i="8"/>
  <c r="AK793" i="8"/>
  <c r="AI792" i="8"/>
  <c r="AI348" i="8"/>
  <c r="AI350" i="8"/>
  <c r="AI790" i="8"/>
  <c r="AI791" i="8"/>
  <c r="AI789" i="8"/>
  <c r="AI788" i="8"/>
  <c r="AI729" i="8"/>
  <c r="AI812" i="8"/>
  <c r="AI813" i="8"/>
  <c r="AI672" i="8"/>
  <c r="AI355" i="8"/>
  <c r="AI680" i="8"/>
  <c r="AI682" i="8"/>
  <c r="AI683" i="8"/>
  <c r="AI686" i="8"/>
  <c r="AI707" i="8"/>
  <c r="AI713" i="8"/>
  <c r="AI720" i="8"/>
  <c r="AI732" i="8"/>
  <c r="AI735" i="8"/>
  <c r="AI359" i="8"/>
  <c r="AI748" i="8"/>
  <c r="AI817" i="8"/>
  <c r="AI767" i="8"/>
  <c r="AI775" i="8"/>
  <c r="AI779" i="8"/>
  <c r="AI357" i="8"/>
  <c r="AI787" i="8"/>
  <c r="AI814" i="8"/>
  <c r="AI690" i="8"/>
  <c r="AI718" i="8"/>
  <c r="AI811" i="8"/>
  <c r="AI759" i="8"/>
  <c r="AI705" i="8"/>
  <c r="AI815" i="8"/>
  <c r="AI700" i="8"/>
  <c r="AI358" i="8"/>
  <c r="AI770" i="8"/>
  <c r="AI673" i="8"/>
  <c r="AI734" i="8"/>
  <c r="AI831" i="8"/>
  <c r="AI346" i="8"/>
  <c r="AI782" i="8"/>
  <c r="AI717" i="8"/>
  <c r="AI824" i="8"/>
  <c r="AI709" i="8"/>
  <c r="AI755" i="8"/>
  <c r="AI827" i="8"/>
  <c r="AI746" i="8"/>
  <c r="AI353" i="8"/>
  <c r="AI354" i="8"/>
  <c r="AI821" i="8"/>
  <c r="AI349" i="8"/>
  <c r="AI725" i="8"/>
  <c r="AI702" i="8"/>
  <c r="AI777" i="8"/>
  <c r="AI783" i="8"/>
  <c r="AI696" i="8"/>
  <c r="AI822" i="8"/>
  <c r="AI757" i="8"/>
  <c r="AI772" i="8"/>
  <c r="AI737" i="8"/>
  <c r="AI830" i="8"/>
  <c r="AI715" i="8"/>
  <c r="AI825" i="8"/>
  <c r="AI771" i="8"/>
  <c r="AI360" i="8"/>
  <c r="AI756" i="8"/>
  <c r="AI351" i="8"/>
  <c r="AI741" i="8"/>
  <c r="AI768" i="8"/>
  <c r="AI706" i="8"/>
  <c r="AI347" i="8"/>
  <c r="AI784" i="8"/>
  <c r="AI752" i="8"/>
  <c r="AI733" i="8"/>
  <c r="AI685" i="8"/>
  <c r="AI678" i="8"/>
  <c r="AI714" i="8"/>
  <c r="AI716" i="8"/>
  <c r="AI723" i="8"/>
  <c r="AI472" i="8"/>
  <c r="AI758" i="8"/>
  <c r="AI677" i="8"/>
  <c r="AI674" i="8"/>
  <c r="AI740" i="8"/>
  <c r="AI712" i="8"/>
  <c r="AI747" i="8"/>
  <c r="AI694" i="8"/>
  <c r="AI676" i="8"/>
  <c r="AI731" i="8"/>
  <c r="AI422" i="8"/>
  <c r="AI679" i="8"/>
  <c r="AI736" i="8"/>
  <c r="AI460" i="8"/>
  <c r="AI689" i="8"/>
  <c r="AI819" i="8"/>
  <c r="AI675" i="8"/>
  <c r="AI719" i="8"/>
  <c r="AI692" i="8"/>
  <c r="AI693" i="8"/>
  <c r="AI754" i="8"/>
  <c r="AI818" i="8"/>
  <c r="AI769" i="8"/>
  <c r="AI475" i="8"/>
  <c r="AI697" i="8"/>
  <c r="AI727" i="8"/>
  <c r="AI414" i="8"/>
  <c r="AI738" i="8"/>
  <c r="AI826" i="8"/>
  <c r="AI681" i="8"/>
  <c r="AI776" i="8"/>
  <c r="AI450" i="8"/>
  <c r="AI763" i="8"/>
  <c r="AI764" i="8"/>
  <c r="AI765" i="8"/>
  <c r="AI766" i="8"/>
  <c r="AI728" i="8"/>
  <c r="AI687" i="8"/>
  <c r="AI820" i="8"/>
  <c r="AI744" i="8"/>
  <c r="AI774" i="8"/>
  <c r="AI711" i="8"/>
  <c r="AI739" i="8"/>
  <c r="AI773" i="8"/>
  <c r="AI688" i="8"/>
  <c r="AI684" i="8"/>
  <c r="AI699" i="8"/>
  <c r="AI823" i="8"/>
  <c r="AI695" i="8"/>
  <c r="AI703" i="8"/>
  <c r="AI704" i="8"/>
  <c r="AI760" i="8"/>
  <c r="AI722" i="8"/>
  <c r="AI356" i="8"/>
  <c r="AI761" i="8"/>
  <c r="AI352" i="8"/>
  <c r="AI730" i="8"/>
  <c r="AI691" i="8"/>
  <c r="AI724" i="8"/>
  <c r="AI708" i="8"/>
  <c r="AI433" i="8"/>
  <c r="AI726" i="8"/>
  <c r="AI745" i="8"/>
  <c r="AI778" i="8"/>
  <c r="AI698" i="8"/>
  <c r="AI721" i="8"/>
  <c r="AI753" i="8"/>
  <c r="AI742" i="8"/>
  <c r="AI743" i="8"/>
  <c r="AI762" i="8"/>
  <c r="AI816" i="8"/>
  <c r="V793" i="8"/>
  <c r="X793" i="8"/>
  <c r="V792" i="8"/>
  <c r="X792" i="8"/>
  <c r="Y792" i="8"/>
  <c r="AA792" i="8"/>
  <c r="V348" i="8"/>
  <c r="X348" i="8"/>
  <c r="Y348" i="8"/>
  <c r="AA348" i="8"/>
  <c r="V350" i="8"/>
  <c r="X350" i="8"/>
  <c r="Y350" i="8"/>
  <c r="AA350" i="8"/>
  <c r="V790" i="8"/>
  <c r="X790" i="8"/>
  <c r="Y790" i="8"/>
  <c r="AA790" i="8"/>
  <c r="V791" i="8"/>
  <c r="X791" i="8"/>
  <c r="Y791" i="8"/>
  <c r="AA791" i="8"/>
  <c r="V789" i="8"/>
  <c r="X789" i="8"/>
  <c r="Y789" i="8"/>
  <c r="AA789" i="8"/>
  <c r="V788" i="8"/>
  <c r="X788" i="8"/>
  <c r="Y788" i="8"/>
  <c r="AA788" i="8"/>
  <c r="V729" i="8"/>
  <c r="X729" i="8"/>
  <c r="Y729" i="8"/>
  <c r="AA729" i="8"/>
  <c r="V812" i="8"/>
  <c r="X812" i="8"/>
  <c r="Y812" i="8"/>
  <c r="AA812" i="8"/>
  <c r="V813" i="8"/>
  <c r="X813" i="8"/>
  <c r="Y813" i="8"/>
  <c r="AA813" i="8"/>
  <c r="V672" i="8"/>
  <c r="X672" i="8"/>
  <c r="Y672" i="8"/>
  <c r="AA672" i="8"/>
  <c r="V355" i="8"/>
  <c r="X355" i="8"/>
  <c r="Y355" i="8"/>
  <c r="AA355" i="8"/>
  <c r="V680" i="8"/>
  <c r="X680" i="8"/>
  <c r="Y680" i="8"/>
  <c r="AA680" i="8"/>
  <c r="V682" i="8"/>
  <c r="X682" i="8"/>
  <c r="Y682" i="8"/>
  <c r="AA682" i="8"/>
  <c r="V683" i="8"/>
  <c r="X683" i="8"/>
  <c r="Y683" i="8"/>
  <c r="AA683" i="8"/>
  <c r="V686" i="8"/>
  <c r="X686" i="8"/>
  <c r="Y686" i="8"/>
  <c r="AA686" i="8"/>
  <c r="V707" i="8"/>
  <c r="X707" i="8"/>
  <c r="Y707" i="8"/>
  <c r="AA707" i="8"/>
  <c r="V713" i="8"/>
  <c r="X713" i="8"/>
  <c r="Y713" i="8"/>
  <c r="AA713" i="8"/>
  <c r="V720" i="8"/>
  <c r="X720" i="8"/>
  <c r="Y720" i="8"/>
  <c r="AA720" i="8"/>
  <c r="V732" i="8"/>
  <c r="X732" i="8"/>
  <c r="Y732" i="8"/>
  <c r="AA732" i="8"/>
  <c r="V735" i="8"/>
  <c r="X735" i="8"/>
  <c r="Y735" i="8"/>
  <c r="AA735" i="8"/>
  <c r="V359" i="8"/>
  <c r="X359" i="8"/>
  <c r="Y359" i="8"/>
  <c r="AA359" i="8"/>
  <c r="V748" i="8"/>
  <c r="X748" i="8"/>
  <c r="Y748" i="8"/>
  <c r="AA748" i="8"/>
  <c r="V817" i="8"/>
  <c r="X817" i="8"/>
  <c r="Y817" i="8"/>
  <c r="AA817" i="8"/>
  <c r="V767" i="8"/>
  <c r="X767" i="8"/>
  <c r="Y767" i="8"/>
  <c r="AA767" i="8"/>
  <c r="V775" i="8"/>
  <c r="X775" i="8"/>
  <c r="Y775" i="8"/>
  <c r="AA775" i="8"/>
  <c r="V779" i="8"/>
  <c r="X779" i="8"/>
  <c r="Y779" i="8"/>
  <c r="AA779" i="8"/>
  <c r="V357" i="8"/>
  <c r="X357" i="8"/>
  <c r="Y357" i="8"/>
  <c r="AA357" i="8"/>
  <c r="V787" i="8"/>
  <c r="X787" i="8"/>
  <c r="Y787" i="8"/>
  <c r="AA787" i="8"/>
  <c r="V814" i="8"/>
  <c r="X814" i="8"/>
  <c r="Y814" i="8"/>
  <c r="AA814" i="8"/>
  <c r="V690" i="8"/>
  <c r="X690" i="8"/>
  <c r="Y690" i="8"/>
  <c r="AA690" i="8"/>
  <c r="V718" i="8"/>
  <c r="X718" i="8"/>
  <c r="Y718" i="8"/>
  <c r="AA718" i="8"/>
  <c r="V811" i="8"/>
  <c r="X811" i="8"/>
  <c r="Y811" i="8"/>
  <c r="AA811" i="8"/>
  <c r="V759" i="8"/>
  <c r="X759" i="8"/>
  <c r="Y759" i="8"/>
  <c r="AA759" i="8"/>
  <c r="V705" i="8"/>
  <c r="X705" i="8"/>
  <c r="Y705" i="8"/>
  <c r="AA705" i="8"/>
  <c r="V815" i="8"/>
  <c r="X815" i="8"/>
  <c r="Y815" i="8"/>
  <c r="AA815" i="8"/>
  <c r="V700" i="8"/>
  <c r="X700" i="8"/>
  <c r="Y700" i="8"/>
  <c r="AA700" i="8"/>
  <c r="V358" i="8"/>
  <c r="X358" i="8"/>
  <c r="Y358" i="8"/>
  <c r="AA358" i="8"/>
  <c r="V770" i="8"/>
  <c r="X770" i="8"/>
  <c r="Y770" i="8"/>
  <c r="AA770" i="8"/>
  <c r="V673" i="8"/>
  <c r="X673" i="8"/>
  <c r="Y673" i="8"/>
  <c r="AA673" i="8"/>
  <c r="V734" i="8"/>
  <c r="X734" i="8"/>
  <c r="Y734" i="8"/>
  <c r="AA734" i="8"/>
  <c r="V831" i="8"/>
  <c r="X831" i="8"/>
  <c r="Y831" i="8"/>
  <c r="AA831" i="8"/>
  <c r="V346" i="8"/>
  <c r="X346" i="8"/>
  <c r="Y346" i="8"/>
  <c r="AA346" i="8"/>
  <c r="V782" i="8"/>
  <c r="X782" i="8"/>
  <c r="Y782" i="8"/>
  <c r="AA782" i="8"/>
  <c r="V717" i="8"/>
  <c r="X717" i="8"/>
  <c r="Y717" i="8"/>
  <c r="AA717" i="8"/>
  <c r="V824" i="8"/>
  <c r="X824" i="8"/>
  <c r="Y824" i="8"/>
  <c r="AA824" i="8"/>
  <c r="V709" i="8"/>
  <c r="X709" i="8"/>
  <c r="Y709" i="8"/>
  <c r="AA709" i="8"/>
  <c r="V755" i="8"/>
  <c r="X755" i="8"/>
  <c r="Y755" i="8"/>
  <c r="AA755" i="8"/>
  <c r="V827" i="8"/>
  <c r="X827" i="8"/>
  <c r="Y827" i="8"/>
  <c r="AA827" i="8"/>
  <c r="V746" i="8"/>
  <c r="X746" i="8"/>
  <c r="Y746" i="8"/>
  <c r="AA746" i="8"/>
  <c r="V353" i="8"/>
  <c r="X353" i="8"/>
  <c r="Y353" i="8"/>
  <c r="AA353" i="8"/>
  <c r="V354" i="8"/>
  <c r="X354" i="8"/>
  <c r="Y354" i="8"/>
  <c r="AA354" i="8"/>
  <c r="V821" i="8"/>
  <c r="X821" i="8"/>
  <c r="Y821" i="8"/>
  <c r="AA821" i="8"/>
  <c r="V349" i="8"/>
  <c r="X349" i="8"/>
  <c r="Y349" i="8"/>
  <c r="AA349" i="8"/>
  <c r="V725" i="8"/>
  <c r="X725" i="8"/>
  <c r="Y725" i="8"/>
  <c r="AA725" i="8"/>
  <c r="V702" i="8"/>
  <c r="X702" i="8"/>
  <c r="Y702" i="8"/>
  <c r="AA702" i="8"/>
  <c r="V777" i="8"/>
  <c r="X777" i="8"/>
  <c r="Y777" i="8"/>
  <c r="AA777" i="8"/>
  <c r="V783" i="8"/>
  <c r="X783" i="8"/>
  <c r="Y783" i="8"/>
  <c r="AA783" i="8"/>
  <c r="V696" i="8"/>
  <c r="X696" i="8"/>
  <c r="Y696" i="8"/>
  <c r="AA696" i="8"/>
  <c r="V822" i="8"/>
  <c r="X822" i="8"/>
  <c r="Y822" i="8"/>
  <c r="AA822" i="8"/>
  <c r="V757" i="8"/>
  <c r="X757" i="8"/>
  <c r="Y757" i="8"/>
  <c r="AA757" i="8"/>
  <c r="V772" i="8"/>
  <c r="X772" i="8"/>
  <c r="Y772" i="8"/>
  <c r="AA772" i="8"/>
  <c r="V737" i="8"/>
  <c r="X737" i="8"/>
  <c r="Y737" i="8"/>
  <c r="AA737" i="8"/>
  <c r="V830" i="8"/>
  <c r="X830" i="8"/>
  <c r="Y830" i="8"/>
  <c r="AA830" i="8"/>
  <c r="V715" i="8"/>
  <c r="X715" i="8"/>
  <c r="Y715" i="8"/>
  <c r="AA715" i="8"/>
  <c r="V825" i="8"/>
  <c r="X825" i="8"/>
  <c r="Y825" i="8"/>
  <c r="AA825" i="8"/>
  <c r="V771" i="8"/>
  <c r="X771" i="8"/>
  <c r="Y771" i="8"/>
  <c r="AA771" i="8"/>
  <c r="V360" i="8"/>
  <c r="X360" i="8"/>
  <c r="Y360" i="8"/>
  <c r="AA360" i="8"/>
  <c r="V756" i="8"/>
  <c r="X756" i="8"/>
  <c r="Y756" i="8"/>
  <c r="AA756" i="8"/>
  <c r="V351" i="8"/>
  <c r="X351" i="8"/>
  <c r="Y351" i="8"/>
  <c r="AA351" i="8"/>
  <c r="V741" i="8"/>
  <c r="X741" i="8"/>
  <c r="Y741" i="8"/>
  <c r="AA741" i="8"/>
  <c r="V768" i="8"/>
  <c r="X768" i="8"/>
  <c r="Y768" i="8"/>
  <c r="AA768" i="8"/>
  <c r="V706" i="8"/>
  <c r="X706" i="8"/>
  <c r="Y706" i="8"/>
  <c r="AA706" i="8"/>
  <c r="V347" i="8"/>
  <c r="X347" i="8"/>
  <c r="Y347" i="8"/>
  <c r="AA347" i="8"/>
  <c r="V784" i="8"/>
  <c r="X784" i="8"/>
  <c r="Y784" i="8"/>
  <c r="AA784" i="8"/>
  <c r="V752" i="8"/>
  <c r="X752" i="8"/>
  <c r="Y752" i="8"/>
  <c r="AA752" i="8"/>
  <c r="V733" i="8"/>
  <c r="X733" i="8"/>
  <c r="Y733" i="8"/>
  <c r="AA733" i="8"/>
  <c r="V685" i="8"/>
  <c r="X685" i="8"/>
  <c r="Y685" i="8"/>
  <c r="AA685" i="8"/>
  <c r="V678" i="8"/>
  <c r="X678" i="8"/>
  <c r="Y678" i="8"/>
  <c r="AA678" i="8"/>
  <c r="V714" i="8"/>
  <c r="X714" i="8"/>
  <c r="Y714" i="8"/>
  <c r="AA714" i="8"/>
  <c r="V716" i="8"/>
  <c r="X716" i="8"/>
  <c r="Y716" i="8"/>
  <c r="AA716" i="8"/>
  <c r="V723" i="8"/>
  <c r="X723" i="8"/>
  <c r="Y723" i="8"/>
  <c r="AA723" i="8"/>
  <c r="V472" i="8"/>
  <c r="X472" i="8"/>
  <c r="Y472" i="8"/>
  <c r="AA472" i="8"/>
  <c r="V758" i="8"/>
  <c r="X758" i="8"/>
  <c r="Y758" i="8"/>
  <c r="AA758" i="8"/>
  <c r="V677" i="8"/>
  <c r="X677" i="8"/>
  <c r="Y677" i="8"/>
  <c r="AA677" i="8"/>
  <c r="V674" i="8"/>
  <c r="X674" i="8"/>
  <c r="Y674" i="8"/>
  <c r="AA674" i="8"/>
  <c r="V740" i="8"/>
  <c r="X740" i="8"/>
  <c r="Y740" i="8"/>
  <c r="AA740" i="8"/>
  <c r="V712" i="8"/>
  <c r="X712" i="8"/>
  <c r="Y712" i="8"/>
  <c r="AA712" i="8"/>
  <c r="V747" i="8"/>
  <c r="X747" i="8"/>
  <c r="Y747" i="8"/>
  <c r="AA747" i="8"/>
  <c r="V694" i="8"/>
  <c r="X694" i="8"/>
  <c r="Y694" i="8"/>
  <c r="AA694" i="8"/>
  <c r="V676" i="8"/>
  <c r="X676" i="8"/>
  <c r="Y676" i="8"/>
  <c r="AA676" i="8"/>
  <c r="V731" i="8"/>
  <c r="X731" i="8"/>
  <c r="Y731" i="8"/>
  <c r="AA731" i="8"/>
  <c r="V422" i="8"/>
  <c r="X422" i="8"/>
  <c r="Y422" i="8"/>
  <c r="AA422" i="8"/>
  <c r="V679" i="8"/>
  <c r="X679" i="8"/>
  <c r="Y679" i="8"/>
  <c r="AA679" i="8"/>
  <c r="V736" i="8"/>
  <c r="X736" i="8"/>
  <c r="Y736" i="8"/>
  <c r="AA736" i="8"/>
  <c r="V460" i="8"/>
  <c r="X460" i="8"/>
  <c r="Y460" i="8"/>
  <c r="AA460" i="8"/>
  <c r="V689" i="8"/>
  <c r="X689" i="8"/>
  <c r="Y689" i="8"/>
  <c r="AA689" i="8"/>
  <c r="V819" i="8"/>
  <c r="X819" i="8"/>
  <c r="Y819" i="8"/>
  <c r="AA819" i="8"/>
  <c r="V675" i="8"/>
  <c r="X675" i="8"/>
  <c r="Y675" i="8"/>
  <c r="AA675" i="8"/>
  <c r="V719" i="8"/>
  <c r="X719" i="8"/>
  <c r="Y719" i="8"/>
  <c r="AA719" i="8"/>
  <c r="V692" i="8"/>
  <c r="X692" i="8"/>
  <c r="Y692" i="8"/>
  <c r="AA692" i="8"/>
  <c r="V693" i="8"/>
  <c r="X693" i="8"/>
  <c r="Y693" i="8"/>
  <c r="AA693" i="8"/>
  <c r="V754" i="8"/>
  <c r="X754" i="8"/>
  <c r="Y754" i="8"/>
  <c r="AA754" i="8"/>
  <c r="V818" i="8"/>
  <c r="X818" i="8"/>
  <c r="Y818" i="8"/>
  <c r="AA818" i="8"/>
  <c r="V769" i="8"/>
  <c r="X769" i="8"/>
  <c r="Y769" i="8"/>
  <c r="AA769" i="8"/>
  <c r="V475" i="8"/>
  <c r="X475" i="8"/>
  <c r="Y475" i="8"/>
  <c r="AA475" i="8"/>
  <c r="V697" i="8"/>
  <c r="X697" i="8"/>
  <c r="Y697" i="8"/>
  <c r="AA697" i="8"/>
  <c r="V727" i="8"/>
  <c r="X727" i="8"/>
  <c r="Y727" i="8"/>
  <c r="AA727" i="8"/>
  <c r="V414" i="8"/>
  <c r="X414" i="8"/>
  <c r="Y414" i="8"/>
  <c r="AA414" i="8"/>
  <c r="V738" i="8"/>
  <c r="X738" i="8"/>
  <c r="Y738" i="8"/>
  <c r="AA738" i="8"/>
  <c r="V826" i="8"/>
  <c r="X826" i="8"/>
  <c r="AA826" i="8"/>
  <c r="V681" i="8"/>
  <c r="X681" i="8"/>
  <c r="Y681" i="8"/>
  <c r="AA681" i="8"/>
  <c r="V776" i="8"/>
  <c r="X776" i="8"/>
  <c r="Y776" i="8"/>
  <c r="AA776" i="8"/>
  <c r="V450" i="8"/>
  <c r="X450" i="8"/>
  <c r="Y450" i="8"/>
  <c r="AA450" i="8"/>
  <c r="V763" i="8"/>
  <c r="X763" i="8"/>
  <c r="Y763" i="8"/>
  <c r="AA763" i="8"/>
  <c r="V764" i="8"/>
  <c r="X764" i="8"/>
  <c r="Y764" i="8"/>
  <c r="AA764" i="8"/>
  <c r="V765" i="8"/>
  <c r="X765" i="8"/>
  <c r="Y765" i="8"/>
  <c r="AA765" i="8"/>
  <c r="V766" i="8"/>
  <c r="X766" i="8"/>
  <c r="Y766" i="8"/>
  <c r="AA766" i="8"/>
  <c r="V728" i="8"/>
  <c r="X728" i="8"/>
  <c r="Y728" i="8"/>
  <c r="AA728" i="8"/>
  <c r="V687" i="8"/>
  <c r="X687" i="8"/>
  <c r="Y687" i="8"/>
  <c r="AA687" i="8"/>
  <c r="V820" i="8"/>
  <c r="X820" i="8"/>
  <c r="Y820" i="8"/>
  <c r="AA820" i="8"/>
  <c r="V744" i="8"/>
  <c r="X744" i="8"/>
  <c r="Y744" i="8"/>
  <c r="AA744" i="8"/>
  <c r="V774" i="8"/>
  <c r="X774" i="8"/>
  <c r="Y774" i="8"/>
  <c r="AA774" i="8"/>
  <c r="V711" i="8"/>
  <c r="X711" i="8"/>
  <c r="Y711" i="8"/>
  <c r="AA711" i="8"/>
  <c r="V739" i="8"/>
  <c r="X739" i="8"/>
  <c r="Y739" i="8"/>
  <c r="AA739" i="8"/>
  <c r="V773" i="8"/>
  <c r="X773" i="8"/>
  <c r="Y773" i="8"/>
  <c r="AA773" i="8"/>
  <c r="V688" i="8"/>
  <c r="X688" i="8"/>
  <c r="Y688" i="8"/>
  <c r="AA688" i="8"/>
  <c r="V684" i="8"/>
  <c r="X684" i="8"/>
  <c r="Y684" i="8"/>
  <c r="AA684" i="8"/>
  <c r="V699" i="8"/>
  <c r="X699" i="8"/>
  <c r="Y699" i="8"/>
  <c r="AA699" i="8"/>
  <c r="V823" i="8"/>
  <c r="X823" i="8"/>
  <c r="Y823" i="8"/>
  <c r="AA823" i="8"/>
  <c r="V695" i="8"/>
  <c r="X695" i="8"/>
  <c r="Y695" i="8"/>
  <c r="AA695" i="8"/>
  <c r="V703" i="8"/>
  <c r="X703" i="8"/>
  <c r="Y703" i="8"/>
  <c r="AA703" i="8"/>
  <c r="V704" i="8"/>
  <c r="X704" i="8"/>
  <c r="Y704" i="8"/>
  <c r="AA704" i="8"/>
  <c r="V760" i="8"/>
  <c r="X760" i="8"/>
  <c r="Y760" i="8"/>
  <c r="AA760" i="8"/>
  <c r="V722" i="8"/>
  <c r="X722" i="8"/>
  <c r="Y722" i="8"/>
  <c r="AA722" i="8"/>
  <c r="V356" i="8"/>
  <c r="X356" i="8"/>
  <c r="Y356" i="8"/>
  <c r="AA356" i="8"/>
  <c r="V761" i="8"/>
  <c r="X761" i="8"/>
  <c r="Y761" i="8"/>
  <c r="AA761" i="8"/>
  <c r="V352" i="8"/>
  <c r="X352" i="8"/>
  <c r="Y352" i="8"/>
  <c r="AA352" i="8"/>
  <c r="V730" i="8"/>
  <c r="X730" i="8"/>
  <c r="Y730" i="8"/>
  <c r="AA730" i="8"/>
  <c r="V691" i="8"/>
  <c r="X691" i="8"/>
  <c r="Y691" i="8"/>
  <c r="AA691" i="8"/>
  <c r="V724" i="8"/>
  <c r="X724" i="8"/>
  <c r="Y724" i="8"/>
  <c r="AA724" i="8"/>
  <c r="V708" i="8"/>
  <c r="X708" i="8"/>
  <c r="Y708" i="8"/>
  <c r="AA708" i="8"/>
  <c r="V433" i="8"/>
  <c r="X433" i="8"/>
  <c r="Y433" i="8"/>
  <c r="AA433" i="8"/>
  <c r="V726" i="8"/>
  <c r="X726" i="8"/>
  <c r="Y726" i="8"/>
  <c r="AA726" i="8"/>
  <c r="V745" i="8"/>
  <c r="X745" i="8"/>
  <c r="Y745" i="8"/>
  <c r="AA745" i="8"/>
  <c r="V778" i="8"/>
  <c r="X778" i="8"/>
  <c r="Y778" i="8"/>
  <c r="AA778" i="8"/>
  <c r="V698" i="8"/>
  <c r="X698" i="8"/>
  <c r="Y698" i="8"/>
  <c r="AA698" i="8"/>
  <c r="V721" i="8"/>
  <c r="X721" i="8"/>
  <c r="Y721" i="8"/>
  <c r="AA721" i="8"/>
  <c r="V753" i="8"/>
  <c r="X753" i="8"/>
  <c r="Y753" i="8"/>
  <c r="AA753" i="8"/>
  <c r="V742" i="8"/>
  <c r="X742" i="8"/>
  <c r="Y742" i="8"/>
  <c r="AA742" i="8"/>
  <c r="V743" i="8"/>
  <c r="X743" i="8"/>
  <c r="Y743" i="8"/>
  <c r="AA743" i="8"/>
  <c r="V762" i="8"/>
  <c r="X762" i="8"/>
  <c r="Y762" i="8"/>
  <c r="AA762" i="8"/>
  <c r="V816" i="8"/>
  <c r="X816" i="8"/>
  <c r="Y816" i="8"/>
  <c r="AA816" i="8"/>
  <c r="AV762" i="8"/>
  <c r="BE762" i="8"/>
  <c r="AX762" i="8"/>
  <c r="BG762" i="8"/>
  <c r="AR762" i="8"/>
  <c r="AZ762" i="8"/>
  <c r="BI762" i="8"/>
  <c r="AT762" i="8"/>
  <c r="BC762" i="8"/>
  <c r="BK762" i="8"/>
  <c r="AW762" i="8"/>
  <c r="AY762" i="8"/>
  <c r="BA762" i="8"/>
  <c r="BD762" i="8"/>
  <c r="BF762" i="8"/>
  <c r="BH762" i="8"/>
  <c r="AS762" i="8"/>
  <c r="BJ762" i="8"/>
  <c r="AU762" i="8"/>
  <c r="BL762" i="8"/>
  <c r="AR726" i="8"/>
  <c r="AZ726" i="8"/>
  <c r="BI726" i="8"/>
  <c r="AS726" i="8"/>
  <c r="BA726" i="8"/>
  <c r="BJ726" i="8"/>
  <c r="AT726" i="8"/>
  <c r="BC726" i="8"/>
  <c r="BK726" i="8"/>
  <c r="AU726" i="8"/>
  <c r="BD726" i="8"/>
  <c r="BL726" i="8"/>
  <c r="AW726" i="8"/>
  <c r="BF726" i="8"/>
  <c r="AY726" i="8"/>
  <c r="BH726" i="8"/>
  <c r="AX726" i="8"/>
  <c r="BE726" i="8"/>
  <c r="BG726" i="8"/>
  <c r="AV726" i="8"/>
  <c r="AS356" i="8"/>
  <c r="BA356" i="8"/>
  <c r="BJ356" i="8"/>
  <c r="AU356" i="8"/>
  <c r="BD356" i="8"/>
  <c r="BL356" i="8"/>
  <c r="AW356" i="8"/>
  <c r="BF356" i="8"/>
  <c r="AX356" i="8"/>
  <c r="BG356" i="8"/>
  <c r="AY356" i="8"/>
  <c r="BH356" i="8"/>
  <c r="BI356" i="8"/>
  <c r="BK356" i="8"/>
  <c r="AR356" i="8"/>
  <c r="AT356" i="8"/>
  <c r="AV356" i="8"/>
  <c r="AZ356" i="8"/>
  <c r="BC356" i="8"/>
  <c r="BE356" i="8"/>
  <c r="AX684" i="8"/>
  <c r="BG684" i="8"/>
  <c r="AY684" i="8"/>
  <c r="BH684" i="8"/>
  <c r="AR684" i="8"/>
  <c r="AZ684" i="8"/>
  <c r="BI684" i="8"/>
  <c r="AS684" i="8"/>
  <c r="BA684" i="8"/>
  <c r="BJ684" i="8"/>
  <c r="AU684" i="8"/>
  <c r="BD684" i="8"/>
  <c r="BL684" i="8"/>
  <c r="AV684" i="8"/>
  <c r="BE684" i="8"/>
  <c r="AW684" i="8"/>
  <c r="BF684" i="8"/>
  <c r="BK684" i="8"/>
  <c r="AT684" i="8"/>
  <c r="BC684" i="8"/>
  <c r="AR687" i="8"/>
  <c r="AZ687" i="8"/>
  <c r="BI687" i="8"/>
  <c r="AS687" i="8"/>
  <c r="BA687" i="8"/>
  <c r="BJ687" i="8"/>
  <c r="AT687" i="8"/>
  <c r="BC687" i="8"/>
  <c r="BK687" i="8"/>
  <c r="AU687" i="8"/>
  <c r="BD687" i="8"/>
  <c r="BL687" i="8"/>
  <c r="AW687" i="8"/>
  <c r="BF687" i="8"/>
  <c r="AX687" i="8"/>
  <c r="BG687" i="8"/>
  <c r="AY687" i="8"/>
  <c r="BH687" i="8"/>
  <c r="AV687" i="8"/>
  <c r="BE687" i="8"/>
  <c r="AU681" i="8"/>
  <c r="BD681" i="8"/>
  <c r="BL681" i="8"/>
  <c r="AV681" i="8"/>
  <c r="BE681" i="8"/>
  <c r="AW681" i="8"/>
  <c r="BF681" i="8"/>
  <c r="AX681" i="8"/>
  <c r="BG681" i="8"/>
  <c r="AR681" i="8"/>
  <c r="AZ681" i="8"/>
  <c r="BI681" i="8"/>
  <c r="AS681" i="8"/>
  <c r="BA681" i="8"/>
  <c r="BJ681" i="8"/>
  <c r="AT681" i="8"/>
  <c r="BC681" i="8"/>
  <c r="BK681" i="8"/>
  <c r="BH681" i="8"/>
  <c r="AY681" i="8"/>
  <c r="BH818" i="8"/>
  <c r="AS818" i="8"/>
  <c r="BA818" i="8"/>
  <c r="BJ818" i="8"/>
  <c r="BC818" i="8"/>
  <c r="AT818" i="8"/>
  <c r="BK818" i="8"/>
  <c r="AW818" i="8"/>
  <c r="BF818" i="8"/>
  <c r="AX818" i="8"/>
  <c r="BG818" i="8"/>
  <c r="AY818" i="8"/>
  <c r="BI818" i="8"/>
  <c r="BL818" i="8"/>
  <c r="AR818" i="8"/>
  <c r="AU818" i="8"/>
  <c r="AV818" i="8"/>
  <c r="AZ818" i="8"/>
  <c r="BD818" i="8"/>
  <c r="BE818" i="8"/>
  <c r="AV460" i="8"/>
  <c r="BE460" i="8"/>
  <c r="AW460" i="8"/>
  <c r="BF460" i="8"/>
  <c r="AX460" i="8"/>
  <c r="BG460" i="8"/>
  <c r="AR460" i="8"/>
  <c r="AZ460" i="8"/>
  <c r="BI460" i="8"/>
  <c r="AS460" i="8"/>
  <c r="BA460" i="8"/>
  <c r="BJ460" i="8"/>
  <c r="AT460" i="8"/>
  <c r="BC460" i="8"/>
  <c r="BK460" i="8"/>
  <c r="AU460" i="8"/>
  <c r="AY460" i="8"/>
  <c r="BD460" i="8"/>
  <c r="BL460" i="8"/>
  <c r="BH460" i="8"/>
  <c r="AR712" i="8"/>
  <c r="AZ712" i="8"/>
  <c r="BI712" i="8"/>
  <c r="AS712" i="8"/>
  <c r="BA712" i="8"/>
  <c r="BJ712" i="8"/>
  <c r="AT712" i="8"/>
  <c r="BC712" i="8"/>
  <c r="BK712" i="8"/>
  <c r="AU712" i="8"/>
  <c r="BD712" i="8"/>
  <c r="BL712" i="8"/>
  <c r="AW712" i="8"/>
  <c r="BF712" i="8"/>
  <c r="AX712" i="8"/>
  <c r="BG712" i="8"/>
  <c r="AY712" i="8"/>
  <c r="BH712" i="8"/>
  <c r="AV712" i="8"/>
  <c r="BE712" i="8"/>
  <c r="AX714" i="8"/>
  <c r="BG714" i="8"/>
  <c r="AY714" i="8"/>
  <c r="BH714" i="8"/>
  <c r="AR714" i="8"/>
  <c r="AZ714" i="8"/>
  <c r="BI714" i="8"/>
  <c r="AS714" i="8"/>
  <c r="BA714" i="8"/>
  <c r="BJ714" i="8"/>
  <c r="AU714" i="8"/>
  <c r="BD714" i="8"/>
  <c r="BL714" i="8"/>
  <c r="AV714" i="8"/>
  <c r="BE714" i="8"/>
  <c r="AW714" i="8"/>
  <c r="BF714" i="8"/>
  <c r="AT714" i="8"/>
  <c r="BC714" i="8"/>
  <c r="BK714" i="8"/>
  <c r="AT768" i="8"/>
  <c r="BC768" i="8"/>
  <c r="BK768" i="8"/>
  <c r="AV768" i="8"/>
  <c r="BE768" i="8"/>
  <c r="AX768" i="8"/>
  <c r="BG768" i="8"/>
  <c r="AR768" i="8"/>
  <c r="AZ768" i="8"/>
  <c r="BI768" i="8"/>
  <c r="BD768" i="8"/>
  <c r="BF768" i="8"/>
  <c r="BH768" i="8"/>
  <c r="AS768" i="8"/>
  <c r="BJ768" i="8"/>
  <c r="AU768" i="8"/>
  <c r="BL768" i="8"/>
  <c r="AW768" i="8"/>
  <c r="AY768" i="8"/>
  <c r="BA768" i="8"/>
  <c r="BL830" i="8"/>
  <c r="AX830" i="8"/>
  <c r="BG830" i="8"/>
  <c r="BH830" i="8"/>
  <c r="AY830" i="8"/>
  <c r="AT830" i="8"/>
  <c r="BC830" i="8"/>
  <c r="BK830" i="8"/>
  <c r="AU830" i="8"/>
  <c r="BD830" i="8"/>
  <c r="AS830" i="8"/>
  <c r="BJ830" i="8"/>
  <c r="AV830" i="8"/>
  <c r="AW830" i="8"/>
  <c r="AZ830" i="8"/>
  <c r="BA830" i="8"/>
  <c r="BE830" i="8"/>
  <c r="BF830" i="8"/>
  <c r="AR830" i="8"/>
  <c r="BI830" i="8"/>
  <c r="AV702" i="8"/>
  <c r="BE702" i="8"/>
  <c r="AW702" i="8"/>
  <c r="BF702" i="8"/>
  <c r="AX702" i="8"/>
  <c r="BG702" i="8"/>
  <c r="AY702" i="8"/>
  <c r="BH702" i="8"/>
  <c r="AS702" i="8"/>
  <c r="BA702" i="8"/>
  <c r="BJ702" i="8"/>
  <c r="AT702" i="8"/>
  <c r="BC702" i="8"/>
  <c r="BK702" i="8"/>
  <c r="AU702" i="8"/>
  <c r="BD702" i="8"/>
  <c r="BL702" i="8"/>
  <c r="AR702" i="8"/>
  <c r="AZ702" i="8"/>
  <c r="BI702" i="8"/>
  <c r="AU755" i="8"/>
  <c r="BD755" i="8"/>
  <c r="BL755" i="8"/>
  <c r="AW755" i="8"/>
  <c r="BF755" i="8"/>
  <c r="AY755" i="8"/>
  <c r="BH755" i="8"/>
  <c r="AS755" i="8"/>
  <c r="BA755" i="8"/>
  <c r="BJ755" i="8"/>
  <c r="AV755" i="8"/>
  <c r="AX755" i="8"/>
  <c r="AZ755" i="8"/>
  <c r="BC755" i="8"/>
  <c r="BE755" i="8"/>
  <c r="BG755" i="8"/>
  <c r="AR755" i="8"/>
  <c r="BI755" i="8"/>
  <c r="AT755" i="8"/>
  <c r="BK755" i="8"/>
  <c r="AY673" i="8"/>
  <c r="BH673" i="8"/>
  <c r="AR673" i="8"/>
  <c r="AZ673" i="8"/>
  <c r="BI673" i="8"/>
  <c r="AS673" i="8"/>
  <c r="BA673" i="8"/>
  <c r="BJ673" i="8"/>
  <c r="AT673" i="8"/>
  <c r="BC673" i="8"/>
  <c r="BK673" i="8"/>
  <c r="AU673" i="8"/>
  <c r="BD673" i="8"/>
  <c r="BL673" i="8"/>
  <c r="AV673" i="8"/>
  <c r="BE673" i="8"/>
  <c r="AW673" i="8"/>
  <c r="BF673" i="8"/>
  <c r="AX673" i="8"/>
  <c r="BG673" i="8"/>
  <c r="AV718" i="8"/>
  <c r="BE718" i="8"/>
  <c r="AW718" i="8"/>
  <c r="BF718" i="8"/>
  <c r="AX718" i="8"/>
  <c r="BG718" i="8"/>
  <c r="AY718" i="8"/>
  <c r="BH718" i="8"/>
  <c r="AS718" i="8"/>
  <c r="BA718" i="8"/>
  <c r="BJ718" i="8"/>
  <c r="AT718" i="8"/>
  <c r="BC718" i="8"/>
  <c r="BK718" i="8"/>
  <c r="AU718" i="8"/>
  <c r="BD718" i="8"/>
  <c r="BL718" i="8"/>
  <c r="AR718" i="8"/>
  <c r="AZ718" i="8"/>
  <c r="BI718" i="8"/>
  <c r="BK817" i="8"/>
  <c r="BD817" i="8"/>
  <c r="AU817" i="8"/>
  <c r="AW817" i="8"/>
  <c r="BF817" i="8"/>
  <c r="AX817" i="8"/>
  <c r="BG817" i="8"/>
  <c r="AS817" i="8"/>
  <c r="BA817" i="8"/>
  <c r="BJ817" i="8"/>
  <c r="AT817" i="8"/>
  <c r="BC817" i="8"/>
  <c r="BL817" i="8"/>
  <c r="BH817" i="8"/>
  <c r="BI817" i="8"/>
  <c r="AR817" i="8"/>
  <c r="AV817" i="8"/>
  <c r="AY817" i="8"/>
  <c r="AZ817" i="8"/>
  <c r="BE817" i="8"/>
  <c r="AV686" i="8"/>
  <c r="BE686" i="8"/>
  <c r="AW686" i="8"/>
  <c r="BF686" i="8"/>
  <c r="AX686" i="8"/>
  <c r="BG686" i="8"/>
  <c r="AY686" i="8"/>
  <c r="BH686" i="8"/>
  <c r="AS686" i="8"/>
  <c r="BA686" i="8"/>
  <c r="BJ686" i="8"/>
  <c r="AT686" i="8"/>
  <c r="BC686" i="8"/>
  <c r="BK686" i="8"/>
  <c r="AU686" i="8"/>
  <c r="BD686" i="8"/>
  <c r="BL686" i="8"/>
  <c r="AR686" i="8"/>
  <c r="AZ686" i="8"/>
  <c r="BI686" i="8"/>
  <c r="AW729" i="8"/>
  <c r="BF729" i="8"/>
  <c r="AY729" i="8"/>
  <c r="BH729" i="8"/>
  <c r="AS729" i="8"/>
  <c r="BA729" i="8"/>
  <c r="BJ729" i="8"/>
  <c r="AU729" i="8"/>
  <c r="BD729" i="8"/>
  <c r="BL729" i="8"/>
  <c r="AX729" i="8"/>
  <c r="AZ729" i="8"/>
  <c r="BC729" i="8"/>
  <c r="BE729" i="8"/>
  <c r="BG729" i="8"/>
  <c r="AR729" i="8"/>
  <c r="BI729" i="8"/>
  <c r="AT729" i="8"/>
  <c r="BK729" i="8"/>
  <c r="AV729" i="8"/>
  <c r="BE793" i="8"/>
  <c r="BI793" i="8"/>
  <c r="BF793" i="8"/>
  <c r="BC793" i="8"/>
  <c r="BG793" i="8"/>
  <c r="BJ793" i="8"/>
  <c r="BD793" i="8"/>
  <c r="BL793" i="8"/>
  <c r="BH793" i="8"/>
  <c r="BK793" i="8"/>
  <c r="AY743" i="8"/>
  <c r="BH743" i="8"/>
  <c r="AS743" i="8"/>
  <c r="BA743" i="8"/>
  <c r="BJ743" i="8"/>
  <c r="AU743" i="8"/>
  <c r="BD743" i="8"/>
  <c r="BL743" i="8"/>
  <c r="AW743" i="8"/>
  <c r="BF743" i="8"/>
  <c r="AZ743" i="8"/>
  <c r="BC743" i="8"/>
  <c r="BE743" i="8"/>
  <c r="BG743" i="8"/>
  <c r="AR743" i="8"/>
  <c r="BI743" i="8"/>
  <c r="AT743" i="8"/>
  <c r="BK743" i="8"/>
  <c r="AV743" i="8"/>
  <c r="AX743" i="8"/>
  <c r="AT433" i="8"/>
  <c r="BC433" i="8"/>
  <c r="BK433" i="8"/>
  <c r="AV433" i="8"/>
  <c r="BE433" i="8"/>
  <c r="AX433" i="8"/>
  <c r="BG433" i="8"/>
  <c r="AR433" i="8"/>
  <c r="AZ433" i="8"/>
  <c r="BI433" i="8"/>
  <c r="BD433" i="8"/>
  <c r="BF433" i="8"/>
  <c r="BH433" i="8"/>
  <c r="AU433" i="8"/>
  <c r="BL433" i="8"/>
  <c r="AW433" i="8"/>
  <c r="AY433" i="8"/>
  <c r="BA433" i="8"/>
  <c r="AS433" i="8"/>
  <c r="BJ433" i="8"/>
  <c r="AT722" i="8"/>
  <c r="BC722" i="8"/>
  <c r="BK722" i="8"/>
  <c r="AU722" i="8"/>
  <c r="BD722" i="8"/>
  <c r="BL722" i="8"/>
  <c r="AV722" i="8"/>
  <c r="BE722" i="8"/>
  <c r="AW722" i="8"/>
  <c r="BF722" i="8"/>
  <c r="AY722" i="8"/>
  <c r="BH722" i="8"/>
  <c r="AR722" i="8"/>
  <c r="AZ722" i="8"/>
  <c r="BI722" i="8"/>
  <c r="AS722" i="8"/>
  <c r="BA722" i="8"/>
  <c r="BJ722" i="8"/>
  <c r="AX722" i="8"/>
  <c r="BG722" i="8"/>
  <c r="AV688" i="8"/>
  <c r="BE688" i="8"/>
  <c r="AW688" i="8"/>
  <c r="BF688" i="8"/>
  <c r="AX688" i="8"/>
  <c r="BG688" i="8"/>
  <c r="AY688" i="8"/>
  <c r="BH688" i="8"/>
  <c r="AS688" i="8"/>
  <c r="BA688" i="8"/>
  <c r="BJ688" i="8"/>
  <c r="AT688" i="8"/>
  <c r="BC688" i="8"/>
  <c r="BK688" i="8"/>
  <c r="AU688" i="8"/>
  <c r="BD688" i="8"/>
  <c r="BL688" i="8"/>
  <c r="AR688" i="8"/>
  <c r="AZ688" i="8"/>
  <c r="BI688" i="8"/>
  <c r="AR728" i="8"/>
  <c r="AZ728" i="8"/>
  <c r="BI728" i="8"/>
  <c r="AS728" i="8"/>
  <c r="BA728" i="8"/>
  <c r="BJ728" i="8"/>
  <c r="AT728" i="8"/>
  <c r="BC728" i="8"/>
  <c r="BK728" i="8"/>
  <c r="AU728" i="8"/>
  <c r="BD728" i="8"/>
  <c r="BL728" i="8"/>
  <c r="AW728" i="8"/>
  <c r="BF728" i="8"/>
  <c r="AY728" i="8"/>
  <c r="BH728" i="8"/>
  <c r="AV728" i="8"/>
  <c r="AX728" i="8"/>
  <c r="BE728" i="8"/>
  <c r="BG728" i="8"/>
  <c r="BE826" i="8"/>
  <c r="BF826" i="8"/>
  <c r="AY826" i="8"/>
  <c r="BH826" i="8"/>
  <c r="AR826" i="8"/>
  <c r="BI826" i="8"/>
  <c r="AZ826" i="8"/>
  <c r="AU826" i="8"/>
  <c r="BD826" i="8"/>
  <c r="BL826" i="8"/>
  <c r="AV826" i="8"/>
  <c r="AW826" i="8"/>
  <c r="AT826" i="8"/>
  <c r="AX826" i="8"/>
  <c r="BA826" i="8"/>
  <c r="BC826" i="8"/>
  <c r="BG826" i="8"/>
  <c r="BJ826" i="8"/>
  <c r="BK826" i="8"/>
  <c r="AS826" i="8"/>
  <c r="AY754" i="8"/>
  <c r="BH754" i="8"/>
  <c r="AS754" i="8"/>
  <c r="BA754" i="8"/>
  <c r="BJ754" i="8"/>
  <c r="AU754" i="8"/>
  <c r="BD754" i="8"/>
  <c r="BL754" i="8"/>
  <c r="AW754" i="8"/>
  <c r="BF754" i="8"/>
  <c r="AZ754" i="8"/>
  <c r="BC754" i="8"/>
  <c r="BE754" i="8"/>
  <c r="BG754" i="8"/>
  <c r="AR754" i="8"/>
  <c r="BI754" i="8"/>
  <c r="AT754" i="8"/>
  <c r="BK754" i="8"/>
  <c r="AV754" i="8"/>
  <c r="AX754" i="8"/>
  <c r="AX736" i="8"/>
  <c r="BG736" i="8"/>
  <c r="AR736" i="8"/>
  <c r="AZ736" i="8"/>
  <c r="BI736" i="8"/>
  <c r="AT736" i="8"/>
  <c r="BC736" i="8"/>
  <c r="BK736" i="8"/>
  <c r="AV736" i="8"/>
  <c r="BE736" i="8"/>
  <c r="AY736" i="8"/>
  <c r="BA736" i="8"/>
  <c r="BD736" i="8"/>
  <c r="BF736" i="8"/>
  <c r="BH736" i="8"/>
  <c r="AS736" i="8"/>
  <c r="BJ736" i="8"/>
  <c r="AU736" i="8"/>
  <c r="BL736" i="8"/>
  <c r="AW736" i="8"/>
  <c r="AV740" i="8"/>
  <c r="BE740" i="8"/>
  <c r="AX740" i="8"/>
  <c r="BG740" i="8"/>
  <c r="AR740" i="8"/>
  <c r="AZ740" i="8"/>
  <c r="BI740" i="8"/>
  <c r="AT740" i="8"/>
  <c r="BC740" i="8"/>
  <c r="BK740" i="8"/>
  <c r="AW740" i="8"/>
  <c r="AY740" i="8"/>
  <c r="BA740" i="8"/>
  <c r="BD740" i="8"/>
  <c r="BF740" i="8"/>
  <c r="BH740" i="8"/>
  <c r="AS740" i="8"/>
  <c r="BJ740" i="8"/>
  <c r="AU740" i="8"/>
  <c r="BL740" i="8"/>
  <c r="AR678" i="8"/>
  <c r="AZ678" i="8"/>
  <c r="BI678" i="8"/>
  <c r="AS678" i="8"/>
  <c r="BA678" i="8"/>
  <c r="BJ678" i="8"/>
  <c r="AT678" i="8"/>
  <c r="BC678" i="8"/>
  <c r="BK678" i="8"/>
  <c r="AU678" i="8"/>
  <c r="BD678" i="8"/>
  <c r="BL678" i="8"/>
  <c r="AW678" i="8"/>
  <c r="BF678" i="8"/>
  <c r="AX678" i="8"/>
  <c r="BG678" i="8"/>
  <c r="AY678" i="8"/>
  <c r="BH678" i="8"/>
  <c r="BE678" i="8"/>
  <c r="AV678" i="8"/>
  <c r="AR741" i="8"/>
  <c r="AZ741" i="8"/>
  <c r="BI741" i="8"/>
  <c r="AT741" i="8"/>
  <c r="BC741" i="8"/>
  <c r="BK741" i="8"/>
  <c r="AV741" i="8"/>
  <c r="BE741" i="8"/>
  <c r="AX741" i="8"/>
  <c r="BG741" i="8"/>
  <c r="AS741" i="8"/>
  <c r="BJ741" i="8"/>
  <c r="AU741" i="8"/>
  <c r="BL741" i="8"/>
  <c r="AW741" i="8"/>
  <c r="AY741" i="8"/>
  <c r="BA741" i="8"/>
  <c r="BD741" i="8"/>
  <c r="BF741" i="8"/>
  <c r="BH741" i="8"/>
  <c r="AS737" i="8"/>
  <c r="BA737" i="8"/>
  <c r="BJ737" i="8"/>
  <c r="AU737" i="8"/>
  <c r="BD737" i="8"/>
  <c r="BL737" i="8"/>
  <c r="AW737" i="8"/>
  <c r="BF737" i="8"/>
  <c r="AY737" i="8"/>
  <c r="BH737" i="8"/>
  <c r="AT737" i="8"/>
  <c r="BK737" i="8"/>
  <c r="AV737" i="8"/>
  <c r="AX737" i="8"/>
  <c r="AZ737" i="8"/>
  <c r="BC737" i="8"/>
  <c r="BE737" i="8"/>
  <c r="BG737" i="8"/>
  <c r="AR737" i="8"/>
  <c r="BI737" i="8"/>
  <c r="AW725" i="8"/>
  <c r="BF725" i="8"/>
  <c r="AX725" i="8"/>
  <c r="BG725" i="8"/>
  <c r="AY725" i="8"/>
  <c r="BH725" i="8"/>
  <c r="AR725" i="8"/>
  <c r="AZ725" i="8"/>
  <c r="BI725" i="8"/>
  <c r="AT725" i="8"/>
  <c r="BC725" i="8"/>
  <c r="BK725" i="8"/>
  <c r="AV725" i="8"/>
  <c r="BE725" i="8"/>
  <c r="AS725" i="8"/>
  <c r="AU725" i="8"/>
  <c r="BA725" i="8"/>
  <c r="BD725" i="8"/>
  <c r="BJ725" i="8"/>
  <c r="BL725" i="8"/>
  <c r="AW709" i="8"/>
  <c r="BF709" i="8"/>
  <c r="AX709" i="8"/>
  <c r="BG709" i="8"/>
  <c r="AY709" i="8"/>
  <c r="BH709" i="8"/>
  <c r="AR709" i="8"/>
  <c r="AZ709" i="8"/>
  <c r="BI709" i="8"/>
  <c r="AT709" i="8"/>
  <c r="BC709" i="8"/>
  <c r="BK709" i="8"/>
  <c r="AU709" i="8"/>
  <c r="BD709" i="8"/>
  <c r="BL709" i="8"/>
  <c r="AV709" i="8"/>
  <c r="BE709" i="8"/>
  <c r="BJ709" i="8"/>
  <c r="AS709" i="8"/>
  <c r="BA709" i="8"/>
  <c r="AS770" i="8"/>
  <c r="BA770" i="8"/>
  <c r="BJ770" i="8"/>
  <c r="AT770" i="8"/>
  <c r="BC770" i="8"/>
  <c r="BK770" i="8"/>
  <c r="AU770" i="8"/>
  <c r="BD770" i="8"/>
  <c r="BL770" i="8"/>
  <c r="AV770" i="8"/>
  <c r="BE770" i="8"/>
  <c r="AW770" i="8"/>
  <c r="BF770" i="8"/>
  <c r="AX770" i="8"/>
  <c r="BG770" i="8"/>
  <c r="AY770" i="8"/>
  <c r="BH770" i="8"/>
  <c r="AR770" i="8"/>
  <c r="AZ770" i="8"/>
  <c r="BI770" i="8"/>
  <c r="AT690" i="8"/>
  <c r="BC690" i="8"/>
  <c r="BK690" i="8"/>
  <c r="AU690" i="8"/>
  <c r="BD690" i="8"/>
  <c r="BL690" i="8"/>
  <c r="AV690" i="8"/>
  <c r="BE690" i="8"/>
  <c r="AW690" i="8"/>
  <c r="BF690" i="8"/>
  <c r="AY690" i="8"/>
  <c r="BH690" i="8"/>
  <c r="AR690" i="8"/>
  <c r="AZ690" i="8"/>
  <c r="BI690" i="8"/>
  <c r="AS690" i="8"/>
  <c r="BA690" i="8"/>
  <c r="BJ690" i="8"/>
  <c r="AX690" i="8"/>
  <c r="BG690" i="8"/>
  <c r="AS748" i="8"/>
  <c r="BA748" i="8"/>
  <c r="BJ748" i="8"/>
  <c r="AU748" i="8"/>
  <c r="BD748" i="8"/>
  <c r="BL748" i="8"/>
  <c r="AW748" i="8"/>
  <c r="BF748" i="8"/>
  <c r="AY748" i="8"/>
  <c r="BH748" i="8"/>
  <c r="AT748" i="8"/>
  <c r="BK748" i="8"/>
  <c r="AV748" i="8"/>
  <c r="AX748" i="8"/>
  <c r="AZ748" i="8"/>
  <c r="BC748" i="8"/>
  <c r="BE748" i="8"/>
  <c r="BG748" i="8"/>
  <c r="AR748" i="8"/>
  <c r="BI748" i="8"/>
  <c r="AT683" i="8"/>
  <c r="BC683" i="8"/>
  <c r="BK683" i="8"/>
  <c r="AU683" i="8"/>
  <c r="BD683" i="8"/>
  <c r="BL683" i="8"/>
  <c r="AV683" i="8"/>
  <c r="BE683" i="8"/>
  <c r="AW683" i="8"/>
  <c r="BF683" i="8"/>
  <c r="AY683" i="8"/>
  <c r="BH683" i="8"/>
  <c r="AR683" i="8"/>
  <c r="AZ683" i="8"/>
  <c r="BI683" i="8"/>
  <c r="AS683" i="8"/>
  <c r="BA683" i="8"/>
  <c r="BJ683" i="8"/>
  <c r="AX683" i="8"/>
  <c r="BG683" i="8"/>
  <c r="BJ788" i="8"/>
  <c r="AT788" i="8"/>
  <c r="BC788" i="8"/>
  <c r="BK788" i="8"/>
  <c r="AU788" i="8"/>
  <c r="BD788" i="8"/>
  <c r="BL788" i="8"/>
  <c r="AV788" i="8"/>
  <c r="BE788" i="8"/>
  <c r="BF788" i="8"/>
  <c r="AW788" i="8"/>
  <c r="AX788" i="8"/>
  <c r="BG788" i="8"/>
  <c r="AY788" i="8"/>
  <c r="BH788" i="8"/>
  <c r="AR788" i="8"/>
  <c r="AZ788" i="8"/>
  <c r="BI788" i="8"/>
  <c r="AS788" i="8"/>
  <c r="BA788" i="8"/>
  <c r="AU742" i="8"/>
  <c r="BD742" i="8"/>
  <c r="BL742" i="8"/>
  <c r="AW742" i="8"/>
  <c r="BF742" i="8"/>
  <c r="AY742" i="8"/>
  <c r="BH742" i="8"/>
  <c r="AS742" i="8"/>
  <c r="BA742" i="8"/>
  <c r="BJ742" i="8"/>
  <c r="BE742" i="8"/>
  <c r="BG742" i="8"/>
  <c r="AR742" i="8"/>
  <c r="BI742" i="8"/>
  <c r="AT742" i="8"/>
  <c r="BK742" i="8"/>
  <c r="AV742" i="8"/>
  <c r="AX742" i="8"/>
  <c r="AZ742" i="8"/>
  <c r="BC742" i="8"/>
  <c r="AT708" i="8"/>
  <c r="BC708" i="8"/>
  <c r="BK708" i="8"/>
  <c r="AU708" i="8"/>
  <c r="BD708" i="8"/>
  <c r="BL708" i="8"/>
  <c r="AV708" i="8"/>
  <c r="BE708" i="8"/>
  <c r="AW708" i="8"/>
  <c r="BF708" i="8"/>
  <c r="AY708" i="8"/>
  <c r="BH708" i="8"/>
  <c r="AR708" i="8"/>
  <c r="AZ708" i="8"/>
  <c r="BI708" i="8"/>
  <c r="AS708" i="8"/>
  <c r="BA708" i="8"/>
  <c r="BJ708" i="8"/>
  <c r="AX708" i="8"/>
  <c r="BG708" i="8"/>
  <c r="AW760" i="8"/>
  <c r="BF760" i="8"/>
  <c r="AY760" i="8"/>
  <c r="BH760" i="8"/>
  <c r="AS760" i="8"/>
  <c r="BA760" i="8"/>
  <c r="BJ760" i="8"/>
  <c r="AU760" i="8"/>
  <c r="BD760" i="8"/>
  <c r="BL760" i="8"/>
  <c r="BG760" i="8"/>
  <c r="AR760" i="8"/>
  <c r="BI760" i="8"/>
  <c r="AT760" i="8"/>
  <c r="BK760" i="8"/>
  <c r="AV760" i="8"/>
  <c r="AX760" i="8"/>
  <c r="AZ760" i="8"/>
  <c r="BC760" i="8"/>
  <c r="BE760" i="8"/>
  <c r="AV773" i="8"/>
  <c r="BE773" i="8"/>
  <c r="AW773" i="8"/>
  <c r="BF773" i="8"/>
  <c r="AX773" i="8"/>
  <c r="BG773" i="8"/>
  <c r="AY773" i="8"/>
  <c r="BH773" i="8"/>
  <c r="AR773" i="8"/>
  <c r="AZ773" i="8"/>
  <c r="BI773" i="8"/>
  <c r="AS773" i="8"/>
  <c r="BA773" i="8"/>
  <c r="BJ773" i="8"/>
  <c r="AT773" i="8"/>
  <c r="BC773" i="8"/>
  <c r="BK773" i="8"/>
  <c r="AU773" i="8"/>
  <c r="BD773" i="8"/>
  <c r="BL773" i="8"/>
  <c r="AT766" i="8"/>
  <c r="BC766" i="8"/>
  <c r="BK766" i="8"/>
  <c r="AV766" i="8"/>
  <c r="BE766" i="8"/>
  <c r="AX766" i="8"/>
  <c r="BG766" i="8"/>
  <c r="AR766" i="8"/>
  <c r="AZ766" i="8"/>
  <c r="BI766" i="8"/>
  <c r="AU766" i="8"/>
  <c r="BL766" i="8"/>
  <c r="AW766" i="8"/>
  <c r="AY766" i="8"/>
  <c r="BA766" i="8"/>
  <c r="BD766" i="8"/>
  <c r="BF766" i="8"/>
  <c r="BH766" i="8"/>
  <c r="AS766" i="8"/>
  <c r="BJ766" i="8"/>
  <c r="AW738" i="8"/>
  <c r="BF738" i="8"/>
  <c r="AY738" i="8"/>
  <c r="BH738" i="8"/>
  <c r="AS738" i="8"/>
  <c r="BA738" i="8"/>
  <c r="BJ738" i="8"/>
  <c r="AU738" i="8"/>
  <c r="BD738" i="8"/>
  <c r="BL738" i="8"/>
  <c r="BG738" i="8"/>
  <c r="AR738" i="8"/>
  <c r="BI738" i="8"/>
  <c r="AT738" i="8"/>
  <c r="BK738" i="8"/>
  <c r="AV738" i="8"/>
  <c r="AX738" i="8"/>
  <c r="AZ738" i="8"/>
  <c r="BC738" i="8"/>
  <c r="BE738" i="8"/>
  <c r="AW693" i="8"/>
  <c r="BF693" i="8"/>
  <c r="AX693" i="8"/>
  <c r="BG693" i="8"/>
  <c r="AY693" i="8"/>
  <c r="BH693" i="8"/>
  <c r="AR693" i="8"/>
  <c r="AZ693" i="8"/>
  <c r="BI693" i="8"/>
  <c r="AT693" i="8"/>
  <c r="BC693" i="8"/>
  <c r="BK693" i="8"/>
  <c r="AU693" i="8"/>
  <c r="BD693" i="8"/>
  <c r="BL693" i="8"/>
  <c r="AV693" i="8"/>
  <c r="BE693" i="8"/>
  <c r="AS693" i="8"/>
  <c r="BA693" i="8"/>
  <c r="BJ693" i="8"/>
  <c r="AV679" i="8"/>
  <c r="BE679" i="8"/>
  <c r="AW679" i="8"/>
  <c r="BF679" i="8"/>
  <c r="AX679" i="8"/>
  <c r="BG679" i="8"/>
  <c r="AY679" i="8"/>
  <c r="BH679" i="8"/>
  <c r="AS679" i="8"/>
  <c r="BA679" i="8"/>
  <c r="BJ679" i="8"/>
  <c r="AT679" i="8"/>
  <c r="BC679" i="8"/>
  <c r="BK679" i="8"/>
  <c r="AU679" i="8"/>
  <c r="BD679" i="8"/>
  <c r="BL679" i="8"/>
  <c r="AR679" i="8"/>
  <c r="AZ679" i="8"/>
  <c r="BI679" i="8"/>
  <c r="AT674" i="8"/>
  <c r="BC674" i="8"/>
  <c r="BK674" i="8"/>
  <c r="AU674" i="8"/>
  <c r="BD674" i="8"/>
  <c r="BL674" i="8"/>
  <c r="AV674" i="8"/>
  <c r="BE674" i="8"/>
  <c r="AW674" i="8"/>
  <c r="BF674" i="8"/>
  <c r="AX674" i="8"/>
  <c r="BG674" i="8"/>
  <c r="AY674" i="8"/>
  <c r="BH674" i="8"/>
  <c r="AR674" i="8"/>
  <c r="AZ674" i="8"/>
  <c r="BI674" i="8"/>
  <c r="AS674" i="8"/>
  <c r="BA674" i="8"/>
  <c r="BJ674" i="8"/>
  <c r="AS685" i="8"/>
  <c r="BA685" i="8"/>
  <c r="BJ685" i="8"/>
  <c r="AT685" i="8"/>
  <c r="BC685" i="8"/>
  <c r="BK685" i="8"/>
  <c r="AU685" i="8"/>
  <c r="BD685" i="8"/>
  <c r="BL685" i="8"/>
  <c r="AV685" i="8"/>
  <c r="BE685" i="8"/>
  <c r="AX685" i="8"/>
  <c r="BG685" i="8"/>
  <c r="AY685" i="8"/>
  <c r="BH685" i="8"/>
  <c r="AR685" i="8"/>
  <c r="AZ685" i="8"/>
  <c r="BI685" i="8"/>
  <c r="AW685" i="8"/>
  <c r="BF685" i="8"/>
  <c r="AY351" i="8"/>
  <c r="BH351" i="8"/>
  <c r="AS351" i="8"/>
  <c r="BA351" i="8"/>
  <c r="BJ351" i="8"/>
  <c r="AU351" i="8"/>
  <c r="BD351" i="8"/>
  <c r="BL351" i="8"/>
  <c r="AV351" i="8"/>
  <c r="BE351" i="8"/>
  <c r="AW351" i="8"/>
  <c r="BF351" i="8"/>
  <c r="BC351" i="8"/>
  <c r="BG351" i="8"/>
  <c r="BI351" i="8"/>
  <c r="BK351" i="8"/>
  <c r="AR351" i="8"/>
  <c r="AT351" i="8"/>
  <c r="AX351" i="8"/>
  <c r="AZ351" i="8"/>
  <c r="AR772" i="8"/>
  <c r="AZ772" i="8"/>
  <c r="BI772" i="8"/>
  <c r="AS772" i="8"/>
  <c r="BA772" i="8"/>
  <c r="BJ772" i="8"/>
  <c r="AT772" i="8"/>
  <c r="BC772" i="8"/>
  <c r="BK772" i="8"/>
  <c r="AU772" i="8"/>
  <c r="BD772" i="8"/>
  <c r="BL772" i="8"/>
  <c r="AV772" i="8"/>
  <c r="BE772" i="8"/>
  <c r="AW772" i="8"/>
  <c r="BF772" i="8"/>
  <c r="AX772" i="8"/>
  <c r="BG772" i="8"/>
  <c r="AY772" i="8"/>
  <c r="BH772" i="8"/>
  <c r="AR349" i="8"/>
  <c r="AZ349" i="8"/>
  <c r="BI349" i="8"/>
  <c r="AT349" i="8"/>
  <c r="BC349" i="8"/>
  <c r="BK349" i="8"/>
  <c r="AV349" i="8"/>
  <c r="BE349" i="8"/>
  <c r="AW349" i="8"/>
  <c r="BF349" i="8"/>
  <c r="AX349" i="8"/>
  <c r="BG349" i="8"/>
  <c r="BA349" i="8"/>
  <c r="BD349" i="8"/>
  <c r="BH349" i="8"/>
  <c r="BJ349" i="8"/>
  <c r="BL349" i="8"/>
  <c r="AS349" i="8"/>
  <c r="AU349" i="8"/>
  <c r="AY349" i="8"/>
  <c r="AV824" i="8"/>
  <c r="BF824" i="8"/>
  <c r="AW824" i="8"/>
  <c r="AY824" i="8"/>
  <c r="BH824" i="8"/>
  <c r="AZ824" i="8"/>
  <c r="AR824" i="8"/>
  <c r="BI824" i="8"/>
  <c r="AU824" i="8"/>
  <c r="BD824" i="8"/>
  <c r="BL824" i="8"/>
  <c r="BE824" i="8"/>
  <c r="AS824" i="8"/>
  <c r="AT824" i="8"/>
  <c r="AX824" i="8"/>
  <c r="BA824" i="8"/>
  <c r="BC824" i="8"/>
  <c r="BG824" i="8"/>
  <c r="BJ824" i="8"/>
  <c r="BK824" i="8"/>
  <c r="AR358" i="8"/>
  <c r="AZ358" i="8"/>
  <c r="BI358" i="8"/>
  <c r="AT358" i="8"/>
  <c r="BC358" i="8"/>
  <c r="BK358" i="8"/>
  <c r="AV358" i="8"/>
  <c r="BE358" i="8"/>
  <c r="AW358" i="8"/>
  <c r="BF358" i="8"/>
  <c r="AX358" i="8"/>
  <c r="BG358" i="8"/>
  <c r="BJ358" i="8"/>
  <c r="BL358" i="8"/>
  <c r="AS358" i="8"/>
  <c r="AU358" i="8"/>
  <c r="AY358" i="8"/>
  <c r="BA358" i="8"/>
  <c r="BD358" i="8"/>
  <c r="BH358" i="8"/>
  <c r="AZ814" i="8"/>
  <c r="BA814" i="8"/>
  <c r="AS814" i="8"/>
  <c r="AT814" i="8"/>
  <c r="BC814" i="8"/>
  <c r="BK814" i="8"/>
  <c r="AU814" i="8"/>
  <c r="BD814" i="8"/>
  <c r="BL814" i="8"/>
  <c r="AV814" i="8"/>
  <c r="BE814" i="8"/>
  <c r="BF814" i="8"/>
  <c r="AW814" i="8"/>
  <c r="AX814" i="8"/>
  <c r="AY814" i="8"/>
  <c r="BH814" i="8"/>
  <c r="AR814" i="8"/>
  <c r="BI814" i="8"/>
  <c r="BJ814" i="8"/>
  <c r="BG814" i="8"/>
  <c r="AU359" i="8"/>
  <c r="BD359" i="8"/>
  <c r="BL359" i="8"/>
  <c r="AW359" i="8"/>
  <c r="BF359" i="8"/>
  <c r="AY359" i="8"/>
  <c r="BH359" i="8"/>
  <c r="AR359" i="8"/>
  <c r="AZ359" i="8"/>
  <c r="BI359" i="8"/>
  <c r="AS359" i="8"/>
  <c r="BA359" i="8"/>
  <c r="BJ359" i="8"/>
  <c r="BK359" i="8"/>
  <c r="AT359" i="8"/>
  <c r="AV359" i="8"/>
  <c r="AX359" i="8"/>
  <c r="BC359" i="8"/>
  <c r="BE359" i="8"/>
  <c r="BG359" i="8"/>
  <c r="AX682" i="8"/>
  <c r="BG682" i="8"/>
  <c r="AY682" i="8"/>
  <c r="BH682" i="8"/>
  <c r="AR682" i="8"/>
  <c r="AZ682" i="8"/>
  <c r="BI682" i="8"/>
  <c r="AS682" i="8"/>
  <c r="BA682" i="8"/>
  <c r="BJ682" i="8"/>
  <c r="AU682" i="8"/>
  <c r="BD682" i="8"/>
  <c r="BL682" i="8"/>
  <c r="AV682" i="8"/>
  <c r="BE682" i="8"/>
  <c r="AW682" i="8"/>
  <c r="BF682" i="8"/>
  <c r="AT682" i="8"/>
  <c r="BC682" i="8"/>
  <c r="BK682" i="8"/>
  <c r="AV789" i="8"/>
  <c r="AW789" i="8"/>
  <c r="BF789" i="8"/>
  <c r="AX789" i="8"/>
  <c r="BG789" i="8"/>
  <c r="AY789" i="8"/>
  <c r="BH789" i="8"/>
  <c r="AZ789" i="8"/>
  <c r="AR789" i="8"/>
  <c r="BI789" i="8"/>
  <c r="AS789" i="8"/>
  <c r="BA789" i="8"/>
  <c r="BJ789" i="8"/>
  <c r="AT789" i="8"/>
  <c r="BC789" i="8"/>
  <c r="BK789" i="8"/>
  <c r="AU789" i="8"/>
  <c r="BD789" i="8"/>
  <c r="BL789" i="8"/>
  <c r="BE789" i="8"/>
  <c r="AU753" i="8"/>
  <c r="BD753" i="8"/>
  <c r="BL753" i="8"/>
  <c r="AW753" i="8"/>
  <c r="BF753" i="8"/>
  <c r="AY753" i="8"/>
  <c r="BH753" i="8"/>
  <c r="AS753" i="8"/>
  <c r="BA753" i="8"/>
  <c r="BJ753" i="8"/>
  <c r="BE753" i="8"/>
  <c r="BG753" i="8"/>
  <c r="AR753" i="8"/>
  <c r="BI753" i="8"/>
  <c r="AT753" i="8"/>
  <c r="BK753" i="8"/>
  <c r="AV753" i="8"/>
  <c r="AX753" i="8"/>
  <c r="AZ753" i="8"/>
  <c r="BC753" i="8"/>
  <c r="AT724" i="8"/>
  <c r="BC724" i="8"/>
  <c r="BK724" i="8"/>
  <c r="AU724" i="8"/>
  <c r="BD724" i="8"/>
  <c r="BL724" i="8"/>
  <c r="AV724" i="8"/>
  <c r="BE724" i="8"/>
  <c r="AW724" i="8"/>
  <c r="BF724" i="8"/>
  <c r="AY724" i="8"/>
  <c r="BH724" i="8"/>
  <c r="AR724" i="8"/>
  <c r="AS724" i="8"/>
  <c r="BA724" i="8"/>
  <c r="BJ724" i="8"/>
  <c r="BI724" i="8"/>
  <c r="AX724" i="8"/>
  <c r="AZ724" i="8"/>
  <c r="BG724" i="8"/>
  <c r="AV704" i="8"/>
  <c r="BE704" i="8"/>
  <c r="AW704" i="8"/>
  <c r="BF704" i="8"/>
  <c r="AX704" i="8"/>
  <c r="BG704" i="8"/>
  <c r="AY704" i="8"/>
  <c r="BH704" i="8"/>
  <c r="AS704" i="8"/>
  <c r="BA704" i="8"/>
  <c r="BJ704" i="8"/>
  <c r="AT704" i="8"/>
  <c r="BC704" i="8"/>
  <c r="BK704" i="8"/>
  <c r="AU704" i="8"/>
  <c r="BD704" i="8"/>
  <c r="BL704" i="8"/>
  <c r="AR704" i="8"/>
  <c r="AZ704" i="8"/>
  <c r="BI704" i="8"/>
  <c r="AR739" i="8"/>
  <c r="AZ739" i="8"/>
  <c r="BI739" i="8"/>
  <c r="AT739" i="8"/>
  <c r="BC739" i="8"/>
  <c r="BK739" i="8"/>
  <c r="AV739" i="8"/>
  <c r="BE739" i="8"/>
  <c r="AX739" i="8"/>
  <c r="BG739" i="8"/>
  <c r="BA739" i="8"/>
  <c r="BD739" i="8"/>
  <c r="BF739" i="8"/>
  <c r="BH739" i="8"/>
  <c r="AS739" i="8"/>
  <c r="BJ739" i="8"/>
  <c r="AU739" i="8"/>
  <c r="BL739" i="8"/>
  <c r="AW739" i="8"/>
  <c r="AY739" i="8"/>
  <c r="AY765" i="8"/>
  <c r="BH765" i="8"/>
  <c r="AS765" i="8"/>
  <c r="BA765" i="8"/>
  <c r="BJ765" i="8"/>
  <c r="AU765" i="8"/>
  <c r="BD765" i="8"/>
  <c r="BL765" i="8"/>
  <c r="AW765" i="8"/>
  <c r="BF765" i="8"/>
  <c r="AZ765" i="8"/>
  <c r="BC765" i="8"/>
  <c r="BE765" i="8"/>
  <c r="BG765" i="8"/>
  <c r="AR765" i="8"/>
  <c r="BI765" i="8"/>
  <c r="AT765" i="8"/>
  <c r="BK765" i="8"/>
  <c r="AV765" i="8"/>
  <c r="AX765" i="8"/>
  <c r="AW414" i="8"/>
  <c r="BF414" i="8"/>
  <c r="AX414" i="8"/>
  <c r="BG414" i="8"/>
  <c r="AY414" i="8"/>
  <c r="BH414" i="8"/>
  <c r="AT414" i="8"/>
  <c r="BC414" i="8"/>
  <c r="BK414" i="8"/>
  <c r="AV414" i="8"/>
  <c r="BA414" i="8"/>
  <c r="BE414" i="8"/>
  <c r="AS414" i="8"/>
  <c r="BJ414" i="8"/>
  <c r="AR414" i="8"/>
  <c r="AZ414" i="8"/>
  <c r="BD414" i="8"/>
  <c r="BI414" i="8"/>
  <c r="BL414" i="8"/>
  <c r="AU414" i="8"/>
  <c r="AT692" i="8"/>
  <c r="BC692" i="8"/>
  <c r="BK692" i="8"/>
  <c r="AU692" i="8"/>
  <c r="BD692" i="8"/>
  <c r="BL692" i="8"/>
  <c r="AV692" i="8"/>
  <c r="BE692" i="8"/>
  <c r="AW692" i="8"/>
  <c r="BF692" i="8"/>
  <c r="AY692" i="8"/>
  <c r="BH692" i="8"/>
  <c r="AR692" i="8"/>
  <c r="AZ692" i="8"/>
  <c r="BI692" i="8"/>
  <c r="AS692" i="8"/>
  <c r="BA692" i="8"/>
  <c r="BJ692" i="8"/>
  <c r="AX692" i="8"/>
  <c r="BG692" i="8"/>
  <c r="AS422" i="8"/>
  <c r="BA422" i="8"/>
  <c r="BJ422" i="8"/>
  <c r="AT422" i="8"/>
  <c r="BC422" i="8"/>
  <c r="AU422" i="8"/>
  <c r="BD422" i="8"/>
  <c r="AX422" i="8"/>
  <c r="BK422" i="8"/>
  <c r="AZ422" i="8"/>
  <c r="BF422" i="8"/>
  <c r="AV422" i="8"/>
  <c r="BH422" i="8"/>
  <c r="AY422" i="8"/>
  <c r="BE422" i="8"/>
  <c r="BG422" i="8"/>
  <c r="BL422" i="8"/>
  <c r="AR422" i="8"/>
  <c r="AW422" i="8"/>
  <c r="BI422" i="8"/>
  <c r="AW677" i="8"/>
  <c r="BF677" i="8"/>
  <c r="AX677" i="8"/>
  <c r="BG677" i="8"/>
  <c r="AY677" i="8"/>
  <c r="BH677" i="8"/>
  <c r="AR677" i="8"/>
  <c r="AZ677" i="8"/>
  <c r="BI677" i="8"/>
  <c r="AT677" i="8"/>
  <c r="BC677" i="8"/>
  <c r="BK677" i="8"/>
  <c r="AU677" i="8"/>
  <c r="BD677" i="8"/>
  <c r="BL677" i="8"/>
  <c r="AV677" i="8"/>
  <c r="BE677" i="8"/>
  <c r="AS677" i="8"/>
  <c r="BA677" i="8"/>
  <c r="BJ677" i="8"/>
  <c r="AU733" i="8"/>
  <c r="BD733" i="8"/>
  <c r="BL733" i="8"/>
  <c r="AW733" i="8"/>
  <c r="BF733" i="8"/>
  <c r="AY733" i="8"/>
  <c r="BH733" i="8"/>
  <c r="AS733" i="8"/>
  <c r="BA733" i="8"/>
  <c r="BJ733" i="8"/>
  <c r="AV733" i="8"/>
  <c r="AX733" i="8"/>
  <c r="AZ733" i="8"/>
  <c r="BC733" i="8"/>
  <c r="BE733" i="8"/>
  <c r="BG733" i="8"/>
  <c r="AR733" i="8"/>
  <c r="BI733" i="8"/>
  <c r="AT733" i="8"/>
  <c r="BK733" i="8"/>
  <c r="AY756" i="8"/>
  <c r="BH756" i="8"/>
  <c r="AS756" i="8"/>
  <c r="BA756" i="8"/>
  <c r="BJ756" i="8"/>
  <c r="AU756" i="8"/>
  <c r="BD756" i="8"/>
  <c r="BL756" i="8"/>
  <c r="AW756" i="8"/>
  <c r="BF756" i="8"/>
  <c r="AR756" i="8"/>
  <c r="BI756" i="8"/>
  <c r="AT756" i="8"/>
  <c r="BK756" i="8"/>
  <c r="AV756" i="8"/>
  <c r="AX756" i="8"/>
  <c r="AZ756" i="8"/>
  <c r="BC756" i="8"/>
  <c r="BE756" i="8"/>
  <c r="BG756" i="8"/>
  <c r="AT757" i="8"/>
  <c r="BC757" i="8"/>
  <c r="BK757" i="8"/>
  <c r="AV757" i="8"/>
  <c r="BE757" i="8"/>
  <c r="AX757" i="8"/>
  <c r="BG757" i="8"/>
  <c r="AR757" i="8"/>
  <c r="AZ757" i="8"/>
  <c r="BI757" i="8"/>
  <c r="BD757" i="8"/>
  <c r="BF757" i="8"/>
  <c r="BH757" i="8"/>
  <c r="AS757" i="8"/>
  <c r="BJ757" i="8"/>
  <c r="AU757" i="8"/>
  <c r="BL757" i="8"/>
  <c r="AW757" i="8"/>
  <c r="AY757" i="8"/>
  <c r="BA757" i="8"/>
  <c r="AZ821" i="8"/>
  <c r="AS821" i="8"/>
  <c r="BJ821" i="8"/>
  <c r="AU821" i="8"/>
  <c r="BD821" i="8"/>
  <c r="BL821" i="8"/>
  <c r="BE821" i="8"/>
  <c r="AV821" i="8"/>
  <c r="AY821" i="8"/>
  <c r="BH821" i="8"/>
  <c r="AR821" i="8"/>
  <c r="BI821" i="8"/>
  <c r="BA821" i="8"/>
  <c r="BK821" i="8"/>
  <c r="AT821" i="8"/>
  <c r="AW821" i="8"/>
  <c r="AX821" i="8"/>
  <c r="BC821" i="8"/>
  <c r="BF821" i="8"/>
  <c r="BG821" i="8"/>
  <c r="AS717" i="8"/>
  <c r="BA717" i="8"/>
  <c r="BJ717" i="8"/>
  <c r="AT717" i="8"/>
  <c r="BC717" i="8"/>
  <c r="BK717" i="8"/>
  <c r="AU717" i="8"/>
  <c r="BD717" i="8"/>
  <c r="BL717" i="8"/>
  <c r="AV717" i="8"/>
  <c r="BE717" i="8"/>
  <c r="AX717" i="8"/>
  <c r="BG717" i="8"/>
  <c r="AY717" i="8"/>
  <c r="BH717" i="8"/>
  <c r="AR717" i="8"/>
  <c r="AZ717" i="8"/>
  <c r="BI717" i="8"/>
  <c r="AW717" i="8"/>
  <c r="BF717" i="8"/>
  <c r="AX700" i="8"/>
  <c r="BG700" i="8"/>
  <c r="AY700" i="8"/>
  <c r="BH700" i="8"/>
  <c r="AR700" i="8"/>
  <c r="AZ700" i="8"/>
  <c r="BI700" i="8"/>
  <c r="AS700" i="8"/>
  <c r="BA700" i="8"/>
  <c r="BJ700" i="8"/>
  <c r="AU700" i="8"/>
  <c r="BD700" i="8"/>
  <c r="BL700" i="8"/>
  <c r="AV700" i="8"/>
  <c r="BE700" i="8"/>
  <c r="AW700" i="8"/>
  <c r="BF700" i="8"/>
  <c r="BC700" i="8"/>
  <c r="BK700" i="8"/>
  <c r="AT700" i="8"/>
  <c r="BF787" i="8"/>
  <c r="AX787" i="8"/>
  <c r="BG787" i="8"/>
  <c r="AY787" i="8"/>
  <c r="BH787" i="8"/>
  <c r="AR787" i="8"/>
  <c r="AZ787" i="8"/>
  <c r="BI787" i="8"/>
  <c r="AS787" i="8"/>
  <c r="BJ787" i="8"/>
  <c r="BA787" i="8"/>
  <c r="AT787" i="8"/>
  <c r="BC787" i="8"/>
  <c r="BK787" i="8"/>
  <c r="AU787" i="8"/>
  <c r="BD787" i="8"/>
  <c r="BL787" i="8"/>
  <c r="AV787" i="8"/>
  <c r="BE787" i="8"/>
  <c r="AW787" i="8"/>
  <c r="AT735" i="8"/>
  <c r="BC735" i="8"/>
  <c r="BK735" i="8"/>
  <c r="AV735" i="8"/>
  <c r="BE735" i="8"/>
  <c r="AX735" i="8"/>
  <c r="BG735" i="8"/>
  <c r="AR735" i="8"/>
  <c r="AZ735" i="8"/>
  <c r="BI735" i="8"/>
  <c r="BD735" i="8"/>
  <c r="BF735" i="8"/>
  <c r="BH735" i="8"/>
  <c r="AS735" i="8"/>
  <c r="BJ735" i="8"/>
  <c r="AU735" i="8"/>
  <c r="BL735" i="8"/>
  <c r="AW735" i="8"/>
  <c r="AY735" i="8"/>
  <c r="BA735" i="8"/>
  <c r="AR680" i="8"/>
  <c r="AZ680" i="8"/>
  <c r="BI680" i="8"/>
  <c r="AS680" i="8"/>
  <c r="BA680" i="8"/>
  <c r="BJ680" i="8"/>
  <c r="AT680" i="8"/>
  <c r="BC680" i="8"/>
  <c r="BK680" i="8"/>
  <c r="AU680" i="8"/>
  <c r="BD680" i="8"/>
  <c r="BL680" i="8"/>
  <c r="AW680" i="8"/>
  <c r="BF680" i="8"/>
  <c r="AX680" i="8"/>
  <c r="BG680" i="8"/>
  <c r="AY680" i="8"/>
  <c r="BH680" i="8"/>
  <c r="AV680" i="8"/>
  <c r="BE680" i="8"/>
  <c r="BD791" i="8"/>
  <c r="AV791" i="8"/>
  <c r="BE791" i="8"/>
  <c r="AW791" i="8"/>
  <c r="BF791" i="8"/>
  <c r="AX791" i="8"/>
  <c r="BG791" i="8"/>
  <c r="BH791" i="8"/>
  <c r="AY791" i="8"/>
  <c r="AR791" i="8"/>
  <c r="AZ791" i="8"/>
  <c r="BI791" i="8"/>
  <c r="AS791" i="8"/>
  <c r="BA791" i="8"/>
  <c r="BJ791" i="8"/>
  <c r="AT791" i="8"/>
  <c r="BC791" i="8"/>
  <c r="BK791" i="8"/>
  <c r="AU791" i="8"/>
  <c r="BL791" i="8"/>
  <c r="AY721" i="8"/>
  <c r="BH721" i="8"/>
  <c r="AR721" i="8"/>
  <c r="AZ721" i="8"/>
  <c r="BI721" i="8"/>
  <c r="AS721" i="8"/>
  <c r="BA721" i="8"/>
  <c r="BJ721" i="8"/>
  <c r="AT721" i="8"/>
  <c r="BC721" i="8"/>
  <c r="BK721" i="8"/>
  <c r="AV721" i="8"/>
  <c r="BE721" i="8"/>
  <c r="AW721" i="8"/>
  <c r="BF721" i="8"/>
  <c r="AX721" i="8"/>
  <c r="BG721" i="8"/>
  <c r="AU721" i="8"/>
  <c r="BD721" i="8"/>
  <c r="BL721" i="8"/>
  <c r="AX691" i="8"/>
  <c r="BG691" i="8"/>
  <c r="AY691" i="8"/>
  <c r="BH691" i="8"/>
  <c r="AR691" i="8"/>
  <c r="AZ691" i="8"/>
  <c r="BI691" i="8"/>
  <c r="AS691" i="8"/>
  <c r="BA691" i="8"/>
  <c r="BJ691" i="8"/>
  <c r="AU691" i="8"/>
  <c r="BD691" i="8"/>
  <c r="BL691" i="8"/>
  <c r="AV691" i="8"/>
  <c r="BE691" i="8"/>
  <c r="AW691" i="8"/>
  <c r="BF691" i="8"/>
  <c r="AT691" i="8"/>
  <c r="BC691" i="8"/>
  <c r="BK691" i="8"/>
  <c r="AR703" i="8"/>
  <c r="AZ703" i="8"/>
  <c r="BI703" i="8"/>
  <c r="AS703" i="8"/>
  <c r="BA703" i="8"/>
  <c r="BJ703" i="8"/>
  <c r="AT703" i="8"/>
  <c r="BC703" i="8"/>
  <c r="BK703" i="8"/>
  <c r="AU703" i="8"/>
  <c r="BD703" i="8"/>
  <c r="BL703" i="8"/>
  <c r="AW703" i="8"/>
  <c r="BF703" i="8"/>
  <c r="AX703" i="8"/>
  <c r="BG703" i="8"/>
  <c r="AY703" i="8"/>
  <c r="BH703" i="8"/>
  <c r="BE703" i="8"/>
  <c r="AV703" i="8"/>
  <c r="AV711" i="8"/>
  <c r="BE711" i="8"/>
  <c r="AW711" i="8"/>
  <c r="BF711" i="8"/>
  <c r="AX711" i="8"/>
  <c r="BG711" i="8"/>
  <c r="AY711" i="8"/>
  <c r="BH711" i="8"/>
  <c r="AS711" i="8"/>
  <c r="BA711" i="8"/>
  <c r="BJ711" i="8"/>
  <c r="AT711" i="8"/>
  <c r="BC711" i="8"/>
  <c r="BK711" i="8"/>
  <c r="AU711" i="8"/>
  <c r="BD711" i="8"/>
  <c r="BL711" i="8"/>
  <c r="AR711" i="8"/>
  <c r="AZ711" i="8"/>
  <c r="BI711" i="8"/>
  <c r="AV764" i="8"/>
  <c r="BE764" i="8"/>
  <c r="AX764" i="8"/>
  <c r="BG764" i="8"/>
  <c r="AR764" i="8"/>
  <c r="AZ764" i="8"/>
  <c r="BI764" i="8"/>
  <c r="AT764" i="8"/>
  <c r="BC764" i="8"/>
  <c r="BK764" i="8"/>
  <c r="BF764" i="8"/>
  <c r="BH764" i="8"/>
  <c r="AS764" i="8"/>
  <c r="BJ764" i="8"/>
  <c r="AU764" i="8"/>
  <c r="BL764" i="8"/>
  <c r="AW764" i="8"/>
  <c r="AY764" i="8"/>
  <c r="BA764" i="8"/>
  <c r="BD764" i="8"/>
  <c r="AV727" i="8"/>
  <c r="BE727" i="8"/>
  <c r="AW727" i="8"/>
  <c r="BF727" i="8"/>
  <c r="AX727" i="8"/>
  <c r="BG727" i="8"/>
  <c r="AY727" i="8"/>
  <c r="BH727" i="8"/>
  <c r="AS727" i="8"/>
  <c r="BA727" i="8"/>
  <c r="BJ727" i="8"/>
  <c r="AU727" i="8"/>
  <c r="BD727" i="8"/>
  <c r="BL727" i="8"/>
  <c r="BK727" i="8"/>
  <c r="AR727" i="8"/>
  <c r="AT727" i="8"/>
  <c r="AZ727" i="8"/>
  <c r="BC727" i="8"/>
  <c r="BI727" i="8"/>
  <c r="AR719" i="8"/>
  <c r="AZ719" i="8"/>
  <c r="BI719" i="8"/>
  <c r="AS719" i="8"/>
  <c r="BA719" i="8"/>
  <c r="BJ719" i="8"/>
  <c r="AT719" i="8"/>
  <c r="BC719" i="8"/>
  <c r="BK719" i="8"/>
  <c r="AU719" i="8"/>
  <c r="BD719" i="8"/>
  <c r="BL719" i="8"/>
  <c r="AW719" i="8"/>
  <c r="BF719" i="8"/>
  <c r="AX719" i="8"/>
  <c r="BG719" i="8"/>
  <c r="AY719" i="8"/>
  <c r="BH719" i="8"/>
  <c r="AV719" i="8"/>
  <c r="BE719" i="8"/>
  <c r="AV731" i="8"/>
  <c r="BE731" i="8"/>
  <c r="AX731" i="8"/>
  <c r="BG731" i="8"/>
  <c r="AR731" i="8"/>
  <c r="AZ731" i="8"/>
  <c r="BI731" i="8"/>
  <c r="AT731" i="8"/>
  <c r="BC731" i="8"/>
  <c r="BK731" i="8"/>
  <c r="BF731" i="8"/>
  <c r="BH731" i="8"/>
  <c r="AS731" i="8"/>
  <c r="BJ731" i="8"/>
  <c r="AU731" i="8"/>
  <c r="BL731" i="8"/>
  <c r="AW731" i="8"/>
  <c r="AY731" i="8"/>
  <c r="BA731" i="8"/>
  <c r="BD731" i="8"/>
  <c r="AW758" i="8"/>
  <c r="BF758" i="8"/>
  <c r="AY758" i="8"/>
  <c r="BH758" i="8"/>
  <c r="AS758" i="8"/>
  <c r="BA758" i="8"/>
  <c r="BJ758" i="8"/>
  <c r="AU758" i="8"/>
  <c r="BD758" i="8"/>
  <c r="BL758" i="8"/>
  <c r="AX758" i="8"/>
  <c r="AZ758" i="8"/>
  <c r="BC758" i="8"/>
  <c r="BE758" i="8"/>
  <c r="BG758" i="8"/>
  <c r="AR758" i="8"/>
  <c r="BI758" i="8"/>
  <c r="AT758" i="8"/>
  <c r="BK758" i="8"/>
  <c r="AV758" i="8"/>
  <c r="AR752" i="8"/>
  <c r="AZ752" i="8"/>
  <c r="BI752" i="8"/>
  <c r="AT752" i="8"/>
  <c r="BC752" i="8"/>
  <c r="BK752" i="8"/>
  <c r="AV752" i="8"/>
  <c r="BE752" i="8"/>
  <c r="AX752" i="8"/>
  <c r="BG752" i="8"/>
  <c r="AS752" i="8"/>
  <c r="BJ752" i="8"/>
  <c r="AU752" i="8"/>
  <c r="BL752" i="8"/>
  <c r="AW752" i="8"/>
  <c r="AY752" i="8"/>
  <c r="BA752" i="8"/>
  <c r="BD752" i="8"/>
  <c r="BF752" i="8"/>
  <c r="BH752" i="8"/>
  <c r="AY360" i="8"/>
  <c r="BH360" i="8"/>
  <c r="AS360" i="8"/>
  <c r="BA360" i="8"/>
  <c r="BJ360" i="8"/>
  <c r="AU360" i="8"/>
  <c r="BD360" i="8"/>
  <c r="BL360" i="8"/>
  <c r="AV360" i="8"/>
  <c r="BE360" i="8"/>
  <c r="AW360" i="8"/>
  <c r="BF360" i="8"/>
  <c r="BK360" i="8"/>
  <c r="AR360" i="8"/>
  <c r="AT360" i="8"/>
  <c r="AX360" i="8"/>
  <c r="AZ360" i="8"/>
  <c r="BC360" i="8"/>
  <c r="BG360" i="8"/>
  <c r="BI360" i="8"/>
  <c r="BE822" i="8"/>
  <c r="BF822" i="8"/>
  <c r="AY822" i="8"/>
  <c r="BH822" i="8"/>
  <c r="AR822" i="8"/>
  <c r="BI822" i="8"/>
  <c r="AZ822" i="8"/>
  <c r="AU822" i="8"/>
  <c r="BD822" i="8"/>
  <c r="BL822" i="8"/>
  <c r="AV822" i="8"/>
  <c r="AW822" i="8"/>
  <c r="BK822" i="8"/>
  <c r="AS822" i="8"/>
  <c r="AT822" i="8"/>
  <c r="AX822" i="8"/>
  <c r="BA822" i="8"/>
  <c r="BC822" i="8"/>
  <c r="BG822" i="8"/>
  <c r="BJ822" i="8"/>
  <c r="AT354" i="8"/>
  <c r="BC354" i="8"/>
  <c r="BK354" i="8"/>
  <c r="AV354" i="8"/>
  <c r="BE354" i="8"/>
  <c r="AX354" i="8"/>
  <c r="BG354" i="8"/>
  <c r="AY354" i="8"/>
  <c r="BH354" i="8"/>
  <c r="AR354" i="8"/>
  <c r="AZ354" i="8"/>
  <c r="BI354" i="8"/>
  <c r="BF354" i="8"/>
  <c r="BJ354" i="8"/>
  <c r="BL354" i="8"/>
  <c r="AS354" i="8"/>
  <c r="AU354" i="8"/>
  <c r="AW354" i="8"/>
  <c r="BA354" i="8"/>
  <c r="BD354" i="8"/>
  <c r="AU782" i="8"/>
  <c r="BD782" i="8"/>
  <c r="BL782" i="8"/>
  <c r="AV782" i="8"/>
  <c r="BE782" i="8"/>
  <c r="AW782" i="8"/>
  <c r="BF782" i="8"/>
  <c r="AX782" i="8"/>
  <c r="BG782" i="8"/>
  <c r="AY782" i="8"/>
  <c r="BH782" i="8"/>
  <c r="AR782" i="8"/>
  <c r="AZ782" i="8"/>
  <c r="BI782" i="8"/>
  <c r="AS782" i="8"/>
  <c r="BA782" i="8"/>
  <c r="BJ782" i="8"/>
  <c r="AT782" i="8"/>
  <c r="BC782" i="8"/>
  <c r="BK782" i="8"/>
  <c r="AU815" i="8"/>
  <c r="BL815" i="8"/>
  <c r="AV815" i="8"/>
  <c r="BE815" i="8"/>
  <c r="AW815" i="8"/>
  <c r="BF815" i="8"/>
  <c r="AX815" i="8"/>
  <c r="BG815" i="8"/>
  <c r="BH815" i="8"/>
  <c r="AY815" i="8"/>
  <c r="AT815" i="8"/>
  <c r="BC815" i="8"/>
  <c r="BK815" i="8"/>
  <c r="BD815" i="8"/>
  <c r="AZ815" i="8"/>
  <c r="BA815" i="8"/>
  <c r="BI815" i="8"/>
  <c r="BJ815" i="8"/>
  <c r="AR815" i="8"/>
  <c r="AS815" i="8"/>
  <c r="AV357" i="8"/>
  <c r="BE357" i="8"/>
  <c r="AX357" i="8"/>
  <c r="BG357" i="8"/>
  <c r="AR357" i="8"/>
  <c r="AZ357" i="8"/>
  <c r="BI357" i="8"/>
  <c r="AS357" i="8"/>
  <c r="BA357" i="8"/>
  <c r="BJ357" i="8"/>
  <c r="AT357" i="8"/>
  <c r="BC357" i="8"/>
  <c r="BK357" i="8"/>
  <c r="BH357" i="8"/>
  <c r="BL357" i="8"/>
  <c r="AU357" i="8"/>
  <c r="AW357" i="8"/>
  <c r="AY357" i="8"/>
  <c r="BD357" i="8"/>
  <c r="BF357" i="8"/>
  <c r="AR732" i="8"/>
  <c r="AZ732" i="8"/>
  <c r="BI732" i="8"/>
  <c r="AT732" i="8"/>
  <c r="BC732" i="8"/>
  <c r="BK732" i="8"/>
  <c r="AV732" i="8"/>
  <c r="BE732" i="8"/>
  <c r="AX732" i="8"/>
  <c r="BG732" i="8"/>
  <c r="BA732" i="8"/>
  <c r="BD732" i="8"/>
  <c r="BF732" i="8"/>
  <c r="BH732" i="8"/>
  <c r="AS732" i="8"/>
  <c r="BJ732" i="8"/>
  <c r="AU732" i="8"/>
  <c r="BL732" i="8"/>
  <c r="AW732" i="8"/>
  <c r="AY732" i="8"/>
  <c r="AW355" i="8"/>
  <c r="BF355" i="8"/>
  <c r="AY355" i="8"/>
  <c r="BH355" i="8"/>
  <c r="AS355" i="8"/>
  <c r="BA355" i="8"/>
  <c r="BJ355" i="8"/>
  <c r="AT355" i="8"/>
  <c r="BC355" i="8"/>
  <c r="BK355" i="8"/>
  <c r="AU355" i="8"/>
  <c r="BD355" i="8"/>
  <c r="BL355" i="8"/>
  <c r="BG355" i="8"/>
  <c r="BI355" i="8"/>
  <c r="AR355" i="8"/>
  <c r="AV355" i="8"/>
  <c r="AX355" i="8"/>
  <c r="AZ355" i="8"/>
  <c r="BE355" i="8"/>
  <c r="AR790" i="8"/>
  <c r="BI790" i="8"/>
  <c r="AS790" i="8"/>
  <c r="BA790" i="8"/>
  <c r="BJ790" i="8"/>
  <c r="AT790" i="8"/>
  <c r="BC790" i="8"/>
  <c r="BK790" i="8"/>
  <c r="AU790" i="8"/>
  <c r="BD790" i="8"/>
  <c r="BL790" i="8"/>
  <c r="AV790" i="8"/>
  <c r="BE790" i="8"/>
  <c r="AW790" i="8"/>
  <c r="BF790" i="8"/>
  <c r="AX790" i="8"/>
  <c r="BG790" i="8"/>
  <c r="AY790" i="8"/>
  <c r="BH790" i="8"/>
  <c r="AZ790" i="8"/>
  <c r="AX698" i="8"/>
  <c r="BG698" i="8"/>
  <c r="AY698" i="8"/>
  <c r="BH698" i="8"/>
  <c r="AR698" i="8"/>
  <c r="AZ698" i="8"/>
  <c r="BI698" i="8"/>
  <c r="AS698" i="8"/>
  <c r="BA698" i="8"/>
  <c r="BJ698" i="8"/>
  <c r="AU698" i="8"/>
  <c r="BD698" i="8"/>
  <c r="BL698" i="8"/>
  <c r="AV698" i="8"/>
  <c r="BE698" i="8"/>
  <c r="AW698" i="8"/>
  <c r="BF698" i="8"/>
  <c r="AT698" i="8"/>
  <c r="BC698" i="8"/>
  <c r="BK698" i="8"/>
  <c r="AR730" i="8"/>
  <c r="AZ730" i="8"/>
  <c r="BI730" i="8"/>
  <c r="AT730" i="8"/>
  <c r="BC730" i="8"/>
  <c r="BK730" i="8"/>
  <c r="AV730" i="8"/>
  <c r="BE730" i="8"/>
  <c r="AX730" i="8"/>
  <c r="BG730" i="8"/>
  <c r="AS730" i="8"/>
  <c r="BJ730" i="8"/>
  <c r="AU730" i="8"/>
  <c r="BL730" i="8"/>
  <c r="AW730" i="8"/>
  <c r="AY730" i="8"/>
  <c r="BA730" i="8"/>
  <c r="BD730" i="8"/>
  <c r="BF730" i="8"/>
  <c r="BH730" i="8"/>
  <c r="AV695" i="8"/>
  <c r="BE695" i="8"/>
  <c r="AW695" i="8"/>
  <c r="BF695" i="8"/>
  <c r="AX695" i="8"/>
  <c r="BG695" i="8"/>
  <c r="AY695" i="8"/>
  <c r="BH695" i="8"/>
  <c r="AS695" i="8"/>
  <c r="BA695" i="8"/>
  <c r="BJ695" i="8"/>
  <c r="AT695" i="8"/>
  <c r="BC695" i="8"/>
  <c r="BK695" i="8"/>
  <c r="AU695" i="8"/>
  <c r="BD695" i="8"/>
  <c r="BL695" i="8"/>
  <c r="AR695" i="8"/>
  <c r="AZ695" i="8"/>
  <c r="BI695" i="8"/>
  <c r="AY774" i="8"/>
  <c r="BH774" i="8"/>
  <c r="AR774" i="8"/>
  <c r="AZ774" i="8"/>
  <c r="BI774" i="8"/>
  <c r="AS774" i="8"/>
  <c r="BA774" i="8"/>
  <c r="BJ774" i="8"/>
  <c r="AT774" i="8"/>
  <c r="BC774" i="8"/>
  <c r="BK774" i="8"/>
  <c r="AU774" i="8"/>
  <c r="BD774" i="8"/>
  <c r="BL774" i="8"/>
  <c r="AV774" i="8"/>
  <c r="BE774" i="8"/>
  <c r="AW774" i="8"/>
  <c r="BF774" i="8"/>
  <c r="AX774" i="8"/>
  <c r="BG774" i="8"/>
  <c r="AR763" i="8"/>
  <c r="AZ763" i="8"/>
  <c r="BI763" i="8"/>
  <c r="AT763" i="8"/>
  <c r="BC763" i="8"/>
  <c r="BK763" i="8"/>
  <c r="AV763" i="8"/>
  <c r="BE763" i="8"/>
  <c r="AX763" i="8"/>
  <c r="BG763" i="8"/>
  <c r="AS763" i="8"/>
  <c r="BJ763" i="8"/>
  <c r="AU763" i="8"/>
  <c r="BL763" i="8"/>
  <c r="AW763" i="8"/>
  <c r="AY763" i="8"/>
  <c r="BA763" i="8"/>
  <c r="BD763" i="8"/>
  <c r="BF763" i="8"/>
  <c r="BH763" i="8"/>
  <c r="AU697" i="8"/>
  <c r="BD697" i="8"/>
  <c r="BL697" i="8"/>
  <c r="AV697" i="8"/>
  <c r="BE697" i="8"/>
  <c r="AW697" i="8"/>
  <c r="BF697" i="8"/>
  <c r="AX697" i="8"/>
  <c r="BG697" i="8"/>
  <c r="AR697" i="8"/>
  <c r="AZ697" i="8"/>
  <c r="BI697" i="8"/>
  <c r="AS697" i="8"/>
  <c r="BA697" i="8"/>
  <c r="BJ697" i="8"/>
  <c r="AT697" i="8"/>
  <c r="BC697" i="8"/>
  <c r="BK697" i="8"/>
  <c r="AY697" i="8"/>
  <c r="BH697" i="8"/>
  <c r="AX675" i="8"/>
  <c r="BG675" i="8"/>
  <c r="AY675" i="8"/>
  <c r="BH675" i="8"/>
  <c r="AR675" i="8"/>
  <c r="AZ675" i="8"/>
  <c r="BI675" i="8"/>
  <c r="AS675" i="8"/>
  <c r="BA675" i="8"/>
  <c r="BJ675" i="8"/>
  <c r="AT675" i="8"/>
  <c r="BC675" i="8"/>
  <c r="BK675" i="8"/>
  <c r="AU675" i="8"/>
  <c r="BD675" i="8"/>
  <c r="BL675" i="8"/>
  <c r="AV675" i="8"/>
  <c r="BE675" i="8"/>
  <c r="AW675" i="8"/>
  <c r="BF675" i="8"/>
  <c r="AT676" i="8"/>
  <c r="BC676" i="8"/>
  <c r="BK676" i="8"/>
  <c r="AU676" i="8"/>
  <c r="BD676" i="8"/>
  <c r="BL676" i="8"/>
  <c r="AV676" i="8"/>
  <c r="BE676" i="8"/>
  <c r="AW676" i="8"/>
  <c r="BF676" i="8"/>
  <c r="AX676" i="8"/>
  <c r="BG676" i="8"/>
  <c r="AY676" i="8"/>
  <c r="BH676" i="8"/>
  <c r="AR676" i="8"/>
  <c r="AZ676" i="8"/>
  <c r="BI676" i="8"/>
  <c r="AS676" i="8"/>
  <c r="BA676" i="8"/>
  <c r="BJ676" i="8"/>
  <c r="AY472" i="8"/>
  <c r="BH472" i="8"/>
  <c r="AR472" i="8"/>
  <c r="AZ472" i="8"/>
  <c r="BI472" i="8"/>
  <c r="AS472" i="8"/>
  <c r="BA472" i="8"/>
  <c r="BJ472" i="8"/>
  <c r="AU472" i="8"/>
  <c r="BD472" i="8"/>
  <c r="BL472" i="8"/>
  <c r="AV472" i="8"/>
  <c r="BE472" i="8"/>
  <c r="AW472" i="8"/>
  <c r="BF472" i="8"/>
  <c r="BG472" i="8"/>
  <c r="BK472" i="8"/>
  <c r="AT472" i="8"/>
  <c r="AX472" i="8"/>
  <c r="BC472" i="8"/>
  <c r="AU784" i="8"/>
  <c r="BD784" i="8"/>
  <c r="AV784" i="8"/>
  <c r="BE784" i="8"/>
  <c r="AW784" i="8"/>
  <c r="BF784" i="8"/>
  <c r="AX784" i="8"/>
  <c r="BG784" i="8"/>
  <c r="BH784" i="8"/>
  <c r="AY784" i="8"/>
  <c r="AR784" i="8"/>
  <c r="AZ784" i="8"/>
  <c r="BI784" i="8"/>
  <c r="AS784" i="8"/>
  <c r="BA784" i="8"/>
  <c r="BJ784" i="8"/>
  <c r="AT784" i="8"/>
  <c r="BC784" i="8"/>
  <c r="BK784" i="8"/>
  <c r="BL784" i="8"/>
  <c r="AV771" i="8"/>
  <c r="BE771" i="8"/>
  <c r="AW771" i="8"/>
  <c r="BF771" i="8"/>
  <c r="AX771" i="8"/>
  <c r="BG771" i="8"/>
  <c r="AY771" i="8"/>
  <c r="BH771" i="8"/>
  <c r="AR771" i="8"/>
  <c r="AZ771" i="8"/>
  <c r="BI771" i="8"/>
  <c r="AS771" i="8"/>
  <c r="BA771" i="8"/>
  <c r="BJ771" i="8"/>
  <c r="AT771" i="8"/>
  <c r="BC771" i="8"/>
  <c r="BK771" i="8"/>
  <c r="AU771" i="8"/>
  <c r="BD771" i="8"/>
  <c r="BL771" i="8"/>
  <c r="AR696" i="8"/>
  <c r="AZ696" i="8"/>
  <c r="BI696" i="8"/>
  <c r="AS696" i="8"/>
  <c r="BA696" i="8"/>
  <c r="BJ696" i="8"/>
  <c r="AT696" i="8"/>
  <c r="BC696" i="8"/>
  <c r="BK696" i="8"/>
  <c r="AU696" i="8"/>
  <c r="BD696" i="8"/>
  <c r="BL696" i="8"/>
  <c r="AW696" i="8"/>
  <c r="BF696" i="8"/>
  <c r="AX696" i="8"/>
  <c r="BG696" i="8"/>
  <c r="AY696" i="8"/>
  <c r="BH696" i="8"/>
  <c r="AV696" i="8"/>
  <c r="BE696" i="8"/>
  <c r="AX353" i="8"/>
  <c r="BG353" i="8"/>
  <c r="AR353" i="8"/>
  <c r="AZ353" i="8"/>
  <c r="BI353" i="8"/>
  <c r="AT353" i="8"/>
  <c r="BC353" i="8"/>
  <c r="BK353" i="8"/>
  <c r="AU353" i="8"/>
  <c r="BD353" i="8"/>
  <c r="BL353" i="8"/>
  <c r="AV353" i="8"/>
  <c r="BE353" i="8"/>
  <c r="BF353" i="8"/>
  <c r="BH353" i="8"/>
  <c r="BJ353" i="8"/>
  <c r="AS353" i="8"/>
  <c r="AW353" i="8"/>
  <c r="AY353" i="8"/>
  <c r="BA353" i="8"/>
  <c r="AX346" i="8"/>
  <c r="BG346" i="8"/>
  <c r="AR346" i="8"/>
  <c r="AZ346" i="8"/>
  <c r="BI346" i="8"/>
  <c r="AT346" i="8"/>
  <c r="BC346" i="8"/>
  <c r="BK346" i="8"/>
  <c r="AU346" i="8"/>
  <c r="BD346" i="8"/>
  <c r="BL346" i="8"/>
  <c r="AV346" i="8"/>
  <c r="BE346" i="8"/>
  <c r="AY346" i="8"/>
  <c r="BA346" i="8"/>
  <c r="BF346" i="8"/>
  <c r="BH346" i="8"/>
  <c r="BJ346" i="8"/>
  <c r="AS346" i="8"/>
  <c r="AW346" i="8"/>
  <c r="AY705" i="8"/>
  <c r="BH705" i="8"/>
  <c r="AR705" i="8"/>
  <c r="AZ705" i="8"/>
  <c r="BI705" i="8"/>
  <c r="AS705" i="8"/>
  <c r="BA705" i="8"/>
  <c r="BJ705" i="8"/>
  <c r="AT705" i="8"/>
  <c r="BC705" i="8"/>
  <c r="BK705" i="8"/>
  <c r="AV705" i="8"/>
  <c r="BE705" i="8"/>
  <c r="AW705" i="8"/>
  <c r="BF705" i="8"/>
  <c r="AX705" i="8"/>
  <c r="BG705" i="8"/>
  <c r="AU705" i="8"/>
  <c r="BD705" i="8"/>
  <c r="BL705" i="8"/>
  <c r="AS779" i="8"/>
  <c r="BA779" i="8"/>
  <c r="BJ779" i="8"/>
  <c r="AT779" i="8"/>
  <c r="BC779" i="8"/>
  <c r="BK779" i="8"/>
  <c r="AU779" i="8"/>
  <c r="BD779" i="8"/>
  <c r="BL779" i="8"/>
  <c r="AV779" i="8"/>
  <c r="BE779" i="8"/>
  <c r="AW779" i="8"/>
  <c r="BF779" i="8"/>
  <c r="AX779" i="8"/>
  <c r="BG779" i="8"/>
  <c r="AY779" i="8"/>
  <c r="BH779" i="8"/>
  <c r="AR779" i="8"/>
  <c r="AZ779" i="8"/>
  <c r="BI779" i="8"/>
  <c r="AV720" i="8"/>
  <c r="BE720" i="8"/>
  <c r="AW720" i="8"/>
  <c r="BF720" i="8"/>
  <c r="AX720" i="8"/>
  <c r="BG720" i="8"/>
  <c r="AY720" i="8"/>
  <c r="BH720" i="8"/>
  <c r="AS720" i="8"/>
  <c r="BA720" i="8"/>
  <c r="BJ720" i="8"/>
  <c r="AT720" i="8"/>
  <c r="BC720" i="8"/>
  <c r="BK720" i="8"/>
  <c r="AU720" i="8"/>
  <c r="BD720" i="8"/>
  <c r="BL720" i="8"/>
  <c r="AR720" i="8"/>
  <c r="AZ720" i="8"/>
  <c r="BI720" i="8"/>
  <c r="AV672" i="8"/>
  <c r="BE672" i="8"/>
  <c r="AW672" i="8"/>
  <c r="BF672" i="8"/>
  <c r="AX672" i="8"/>
  <c r="BG672" i="8"/>
  <c r="AY672" i="8"/>
  <c r="BH672" i="8"/>
  <c r="AR672" i="8"/>
  <c r="AZ672" i="8"/>
  <c r="BI672" i="8"/>
  <c r="AS672" i="8"/>
  <c r="BA672" i="8"/>
  <c r="BJ672" i="8"/>
  <c r="AT672" i="8"/>
  <c r="BC672" i="8"/>
  <c r="BK672" i="8"/>
  <c r="AU672" i="8"/>
  <c r="BD672" i="8"/>
  <c r="BL672" i="8"/>
  <c r="AV350" i="8"/>
  <c r="BE350" i="8"/>
  <c r="AX350" i="8"/>
  <c r="BG350" i="8"/>
  <c r="AR350" i="8"/>
  <c r="AZ350" i="8"/>
  <c r="BI350" i="8"/>
  <c r="AS350" i="8"/>
  <c r="BA350" i="8"/>
  <c r="BJ350" i="8"/>
  <c r="AT350" i="8"/>
  <c r="BC350" i="8"/>
  <c r="BK350" i="8"/>
  <c r="BD350" i="8"/>
  <c r="BF350" i="8"/>
  <c r="BH350" i="8"/>
  <c r="BL350" i="8"/>
  <c r="AU350" i="8"/>
  <c r="AW350" i="8"/>
  <c r="AY350" i="8"/>
  <c r="AX778" i="8"/>
  <c r="BG778" i="8"/>
  <c r="AY778" i="8"/>
  <c r="BH778" i="8"/>
  <c r="AR778" i="8"/>
  <c r="AZ778" i="8"/>
  <c r="BI778" i="8"/>
  <c r="AS778" i="8"/>
  <c r="BA778" i="8"/>
  <c r="BJ778" i="8"/>
  <c r="AT778" i="8"/>
  <c r="BC778" i="8"/>
  <c r="BK778" i="8"/>
  <c r="AU778" i="8"/>
  <c r="BD778" i="8"/>
  <c r="BL778" i="8"/>
  <c r="AV778" i="8"/>
  <c r="BE778" i="8"/>
  <c r="AW778" i="8"/>
  <c r="BF778" i="8"/>
  <c r="AU352" i="8"/>
  <c r="BD352" i="8"/>
  <c r="BL352" i="8"/>
  <c r="AW352" i="8"/>
  <c r="BF352" i="8"/>
  <c r="AY352" i="8"/>
  <c r="BH352" i="8"/>
  <c r="AR352" i="8"/>
  <c r="AZ352" i="8"/>
  <c r="BI352" i="8"/>
  <c r="AS352" i="8"/>
  <c r="BA352" i="8"/>
  <c r="BJ352" i="8"/>
  <c r="BE352" i="8"/>
  <c r="BG352" i="8"/>
  <c r="BK352" i="8"/>
  <c r="AT352" i="8"/>
  <c r="AV352" i="8"/>
  <c r="AX352" i="8"/>
  <c r="BC352" i="8"/>
  <c r="AZ823" i="8"/>
  <c r="BA823" i="8"/>
  <c r="AU823" i="8"/>
  <c r="BD823" i="8"/>
  <c r="BL823" i="8"/>
  <c r="BE823" i="8"/>
  <c r="AV823" i="8"/>
  <c r="AY823" i="8"/>
  <c r="BH823" i="8"/>
  <c r="AR823" i="8"/>
  <c r="BI823" i="8"/>
  <c r="AS823" i="8"/>
  <c r="BJ823" i="8"/>
  <c r="AT823" i="8"/>
  <c r="AW823" i="8"/>
  <c r="AX823" i="8"/>
  <c r="BC823" i="8"/>
  <c r="BF823" i="8"/>
  <c r="BG823" i="8"/>
  <c r="BK823" i="8"/>
  <c r="AU744" i="8"/>
  <c r="BD744" i="8"/>
  <c r="BL744" i="8"/>
  <c r="AW744" i="8"/>
  <c r="BF744" i="8"/>
  <c r="AY744" i="8"/>
  <c r="BH744" i="8"/>
  <c r="AS744" i="8"/>
  <c r="BA744" i="8"/>
  <c r="BJ744" i="8"/>
  <c r="AV744" i="8"/>
  <c r="AX744" i="8"/>
  <c r="AZ744" i="8"/>
  <c r="BC744" i="8"/>
  <c r="BE744" i="8"/>
  <c r="BG744" i="8"/>
  <c r="AR744" i="8"/>
  <c r="BI744" i="8"/>
  <c r="AT744" i="8"/>
  <c r="BK744" i="8"/>
  <c r="AR450" i="8"/>
  <c r="AZ450" i="8"/>
  <c r="BI450" i="8"/>
  <c r="AS450" i="8"/>
  <c r="BA450" i="8"/>
  <c r="BJ450" i="8"/>
  <c r="AT450" i="8"/>
  <c r="BC450" i="8"/>
  <c r="BK450" i="8"/>
  <c r="AV450" i="8"/>
  <c r="BE450" i="8"/>
  <c r="AW450" i="8"/>
  <c r="BF450" i="8"/>
  <c r="AX450" i="8"/>
  <c r="BG450" i="8"/>
  <c r="AY450" i="8"/>
  <c r="BH450" i="8"/>
  <c r="BL450" i="8"/>
  <c r="AU450" i="8"/>
  <c r="BD450" i="8"/>
  <c r="AT475" i="8"/>
  <c r="BC475" i="8"/>
  <c r="BK475" i="8"/>
  <c r="AU475" i="8"/>
  <c r="BD475" i="8"/>
  <c r="BL475" i="8"/>
  <c r="AV475" i="8"/>
  <c r="BE475" i="8"/>
  <c r="AX475" i="8"/>
  <c r="BG475" i="8"/>
  <c r="AY475" i="8"/>
  <c r="BH475" i="8"/>
  <c r="AR475" i="8"/>
  <c r="AZ475" i="8"/>
  <c r="BI475" i="8"/>
  <c r="BJ475" i="8"/>
  <c r="AS475" i="8"/>
  <c r="AW475" i="8"/>
  <c r="BA475" i="8"/>
  <c r="BF475" i="8"/>
  <c r="AS819" i="8"/>
  <c r="BJ819" i="8"/>
  <c r="BK819" i="8"/>
  <c r="AT819" i="8"/>
  <c r="AV819" i="8"/>
  <c r="BE819" i="8"/>
  <c r="AW819" i="8"/>
  <c r="BF819" i="8"/>
  <c r="AR819" i="8"/>
  <c r="AZ819" i="8"/>
  <c r="BI819" i="8"/>
  <c r="BA819" i="8"/>
  <c r="BC819" i="8"/>
  <c r="BH819" i="8"/>
  <c r="BL819" i="8"/>
  <c r="AU819" i="8"/>
  <c r="AX819" i="8"/>
  <c r="AY819" i="8"/>
  <c r="BD819" i="8"/>
  <c r="BG819" i="8"/>
  <c r="AR694" i="8"/>
  <c r="AZ694" i="8"/>
  <c r="BI694" i="8"/>
  <c r="AS694" i="8"/>
  <c r="BA694" i="8"/>
  <c r="BJ694" i="8"/>
  <c r="AT694" i="8"/>
  <c r="BC694" i="8"/>
  <c r="BK694" i="8"/>
  <c r="AU694" i="8"/>
  <c r="BD694" i="8"/>
  <c r="BL694" i="8"/>
  <c r="AW694" i="8"/>
  <c r="BF694" i="8"/>
  <c r="AX694" i="8"/>
  <c r="BG694" i="8"/>
  <c r="AY694" i="8"/>
  <c r="BH694" i="8"/>
  <c r="AV694" i="8"/>
  <c r="BE694" i="8"/>
  <c r="AX723" i="8"/>
  <c r="BG723" i="8"/>
  <c r="AY723" i="8"/>
  <c r="BH723" i="8"/>
  <c r="AR723" i="8"/>
  <c r="AZ723" i="8"/>
  <c r="BI723" i="8"/>
  <c r="AS723" i="8"/>
  <c r="BA723" i="8"/>
  <c r="BJ723" i="8"/>
  <c r="AU723" i="8"/>
  <c r="BD723" i="8"/>
  <c r="BL723" i="8"/>
  <c r="AV723" i="8"/>
  <c r="BE723" i="8"/>
  <c r="AW723" i="8"/>
  <c r="BF723" i="8"/>
  <c r="AT723" i="8"/>
  <c r="BC723" i="8"/>
  <c r="BK723" i="8"/>
  <c r="AS347" i="8"/>
  <c r="BA347" i="8"/>
  <c r="BJ347" i="8"/>
  <c r="AU347" i="8"/>
  <c r="BD347" i="8"/>
  <c r="BL347" i="8"/>
  <c r="AW347" i="8"/>
  <c r="BF347" i="8"/>
  <c r="AX347" i="8"/>
  <c r="BG347" i="8"/>
  <c r="AY347" i="8"/>
  <c r="BH347" i="8"/>
  <c r="AZ347" i="8"/>
  <c r="BC347" i="8"/>
  <c r="BE347" i="8"/>
  <c r="BI347" i="8"/>
  <c r="BK347" i="8"/>
  <c r="AR347" i="8"/>
  <c r="AT347" i="8"/>
  <c r="AV347" i="8"/>
  <c r="AR825" i="8"/>
  <c r="BI825" i="8"/>
  <c r="BA825" i="8"/>
  <c r="BJ825" i="8"/>
  <c r="AU825" i="8"/>
  <c r="BD825" i="8"/>
  <c r="BL825" i="8"/>
  <c r="AV825" i="8"/>
  <c r="BE825" i="8"/>
  <c r="AY825" i="8"/>
  <c r="BH825" i="8"/>
  <c r="AZ825" i="8"/>
  <c r="AS825" i="8"/>
  <c r="AT825" i="8"/>
  <c r="AW825" i="8"/>
  <c r="AX825" i="8"/>
  <c r="BC825" i="8"/>
  <c r="BF825" i="8"/>
  <c r="BG825" i="8"/>
  <c r="BK825" i="8"/>
  <c r="AY783" i="8"/>
  <c r="BH783" i="8"/>
  <c r="AR783" i="8"/>
  <c r="AZ783" i="8"/>
  <c r="BI783" i="8"/>
  <c r="AS783" i="8"/>
  <c r="BA783" i="8"/>
  <c r="BJ783" i="8"/>
  <c r="AT783" i="8"/>
  <c r="BC783" i="8"/>
  <c r="BK783" i="8"/>
  <c r="AU783" i="8"/>
  <c r="BD783" i="8"/>
  <c r="BL783" i="8"/>
  <c r="AV783" i="8"/>
  <c r="BE783" i="8"/>
  <c r="AW783" i="8"/>
  <c r="BF783" i="8"/>
  <c r="AX783" i="8"/>
  <c r="BG783" i="8"/>
  <c r="AT746" i="8"/>
  <c r="BC746" i="8"/>
  <c r="BK746" i="8"/>
  <c r="AV746" i="8"/>
  <c r="BE746" i="8"/>
  <c r="AX746" i="8"/>
  <c r="BG746" i="8"/>
  <c r="AR746" i="8"/>
  <c r="AZ746" i="8"/>
  <c r="BI746" i="8"/>
  <c r="BD746" i="8"/>
  <c r="BF746" i="8"/>
  <c r="BH746" i="8"/>
  <c r="AS746" i="8"/>
  <c r="BJ746" i="8"/>
  <c r="AU746" i="8"/>
  <c r="BL746" i="8"/>
  <c r="AW746" i="8"/>
  <c r="AY746" i="8"/>
  <c r="BA746" i="8"/>
  <c r="BG831" i="8"/>
  <c r="AS831" i="8"/>
  <c r="BA831" i="8"/>
  <c r="BJ831" i="8"/>
  <c r="BC831" i="8"/>
  <c r="AT831" i="8"/>
  <c r="BK831" i="8"/>
  <c r="AW831" i="8"/>
  <c r="BF831" i="8"/>
  <c r="AX831" i="8"/>
  <c r="BE831" i="8"/>
  <c r="BH831" i="8"/>
  <c r="AR831" i="8"/>
  <c r="BI831" i="8"/>
  <c r="AU831" i="8"/>
  <c r="BL831" i="8"/>
  <c r="AV831" i="8"/>
  <c r="AY831" i="8"/>
  <c r="AZ831" i="8"/>
  <c r="BD831" i="8"/>
  <c r="AS759" i="8"/>
  <c r="BA759" i="8"/>
  <c r="BJ759" i="8"/>
  <c r="AU759" i="8"/>
  <c r="BD759" i="8"/>
  <c r="BL759" i="8"/>
  <c r="AW759" i="8"/>
  <c r="BF759" i="8"/>
  <c r="AY759" i="8"/>
  <c r="BH759" i="8"/>
  <c r="AT759" i="8"/>
  <c r="BK759" i="8"/>
  <c r="AV759" i="8"/>
  <c r="AX759" i="8"/>
  <c r="AZ759" i="8"/>
  <c r="BC759" i="8"/>
  <c r="BE759" i="8"/>
  <c r="BG759" i="8"/>
  <c r="AR759" i="8"/>
  <c r="BI759" i="8"/>
  <c r="AU775" i="8"/>
  <c r="BD775" i="8"/>
  <c r="AV775" i="8"/>
  <c r="BE775" i="8"/>
  <c r="AW775" i="8"/>
  <c r="BF775" i="8"/>
  <c r="AX775" i="8"/>
  <c r="BG775" i="8"/>
  <c r="AY775" i="8"/>
  <c r="BH775" i="8"/>
  <c r="AR775" i="8"/>
  <c r="AZ775" i="8"/>
  <c r="BI775" i="8"/>
  <c r="AS775" i="8"/>
  <c r="BA775" i="8"/>
  <c r="BJ775" i="8"/>
  <c r="AT775" i="8"/>
  <c r="BC775" i="8"/>
  <c r="BK775" i="8"/>
  <c r="BL775" i="8"/>
  <c r="AU713" i="8"/>
  <c r="BD713" i="8"/>
  <c r="BL713" i="8"/>
  <c r="AV713" i="8"/>
  <c r="BE713" i="8"/>
  <c r="AW713" i="8"/>
  <c r="BF713" i="8"/>
  <c r="AX713" i="8"/>
  <c r="BG713" i="8"/>
  <c r="AR713" i="8"/>
  <c r="AZ713" i="8"/>
  <c r="BI713" i="8"/>
  <c r="AS713" i="8"/>
  <c r="BA713" i="8"/>
  <c r="BJ713" i="8"/>
  <c r="AT713" i="8"/>
  <c r="BC713" i="8"/>
  <c r="BK713" i="8"/>
  <c r="AY713" i="8"/>
  <c r="BH713" i="8"/>
  <c r="AV813" i="8"/>
  <c r="AW813" i="8"/>
  <c r="AX813" i="8"/>
  <c r="BG813" i="8"/>
  <c r="AY813" i="8"/>
  <c r="BH813" i="8"/>
  <c r="AZ813" i="8"/>
  <c r="BJ813" i="8"/>
  <c r="AR813" i="8"/>
  <c r="BI813" i="8"/>
  <c r="BA813" i="8"/>
  <c r="AS813" i="8"/>
  <c r="AT813" i="8"/>
  <c r="BC813" i="8"/>
  <c r="BK813" i="8"/>
  <c r="AU813" i="8"/>
  <c r="BD813" i="8"/>
  <c r="BL813" i="8"/>
  <c r="BE813" i="8"/>
  <c r="BF813" i="8"/>
  <c r="AW348" i="8"/>
  <c r="BF348" i="8"/>
  <c r="AY348" i="8"/>
  <c r="BH348" i="8"/>
  <c r="AS348" i="8"/>
  <c r="BA348" i="8"/>
  <c r="BJ348" i="8"/>
  <c r="AT348" i="8"/>
  <c r="BC348" i="8"/>
  <c r="BK348" i="8"/>
  <c r="AU348" i="8"/>
  <c r="BD348" i="8"/>
  <c r="BL348" i="8"/>
  <c r="AZ348" i="8"/>
  <c r="BE348" i="8"/>
  <c r="BG348" i="8"/>
  <c r="BI348" i="8"/>
  <c r="AR348" i="8"/>
  <c r="AV348" i="8"/>
  <c r="AX348" i="8"/>
  <c r="BH816" i="8"/>
  <c r="AZ816" i="8"/>
  <c r="AS816" i="8"/>
  <c r="AT816" i="8"/>
  <c r="BC816" i="8"/>
  <c r="BK816" i="8"/>
  <c r="BD816" i="8"/>
  <c r="AU816" i="8"/>
  <c r="BL816" i="8"/>
  <c r="AX816" i="8"/>
  <c r="BG816" i="8"/>
  <c r="AY816" i="8"/>
  <c r="AR816" i="8"/>
  <c r="BI816" i="8"/>
  <c r="BF816" i="8"/>
  <c r="BJ816" i="8"/>
  <c r="AV816" i="8"/>
  <c r="AW816" i="8"/>
  <c r="BA816" i="8"/>
  <c r="BE816" i="8"/>
  <c r="AX745" i="8"/>
  <c r="BG745" i="8"/>
  <c r="AR745" i="8"/>
  <c r="AZ745" i="8"/>
  <c r="BI745" i="8"/>
  <c r="AT745" i="8"/>
  <c r="BC745" i="8"/>
  <c r="BK745" i="8"/>
  <c r="AV745" i="8"/>
  <c r="BE745" i="8"/>
  <c r="BH745" i="8"/>
  <c r="AS745" i="8"/>
  <c r="BJ745" i="8"/>
  <c r="AU745" i="8"/>
  <c r="BL745" i="8"/>
  <c r="AW745" i="8"/>
  <c r="AY745" i="8"/>
  <c r="BA745" i="8"/>
  <c r="BD745" i="8"/>
  <c r="BF745" i="8"/>
  <c r="AR761" i="8"/>
  <c r="AZ761" i="8"/>
  <c r="BI761" i="8"/>
  <c r="AT761" i="8"/>
  <c r="BC761" i="8"/>
  <c r="BK761" i="8"/>
  <c r="AV761" i="8"/>
  <c r="BE761" i="8"/>
  <c r="AX761" i="8"/>
  <c r="BG761" i="8"/>
  <c r="BA761" i="8"/>
  <c r="BD761" i="8"/>
  <c r="BF761" i="8"/>
  <c r="BH761" i="8"/>
  <c r="AS761" i="8"/>
  <c r="BJ761" i="8"/>
  <c r="AU761" i="8"/>
  <c r="BL761" i="8"/>
  <c r="AW761" i="8"/>
  <c r="AY761" i="8"/>
  <c r="AT699" i="8"/>
  <c r="BC699" i="8"/>
  <c r="BK699" i="8"/>
  <c r="AU699" i="8"/>
  <c r="BD699" i="8"/>
  <c r="BL699" i="8"/>
  <c r="AV699" i="8"/>
  <c r="BE699" i="8"/>
  <c r="AW699" i="8"/>
  <c r="BF699" i="8"/>
  <c r="AY699" i="8"/>
  <c r="BH699" i="8"/>
  <c r="AR699" i="8"/>
  <c r="AZ699" i="8"/>
  <c r="BI699" i="8"/>
  <c r="AS699" i="8"/>
  <c r="BA699" i="8"/>
  <c r="BJ699" i="8"/>
  <c r="AX699" i="8"/>
  <c r="BG699" i="8"/>
  <c r="BF820" i="8"/>
  <c r="BG820" i="8"/>
  <c r="AR820" i="8"/>
  <c r="AZ820" i="8"/>
  <c r="BI820" i="8"/>
  <c r="AS820" i="8"/>
  <c r="BJ820" i="8"/>
  <c r="BA820" i="8"/>
  <c r="AV820" i="8"/>
  <c r="BE820" i="8"/>
  <c r="AW820" i="8"/>
  <c r="AX820" i="8"/>
  <c r="BK820" i="8"/>
  <c r="BL820" i="8"/>
  <c r="AT820" i="8"/>
  <c r="AU820" i="8"/>
  <c r="AY820" i="8"/>
  <c r="BC820" i="8"/>
  <c r="BD820" i="8"/>
  <c r="BH820" i="8"/>
  <c r="AY776" i="8"/>
  <c r="BH776" i="8"/>
  <c r="AR776" i="8"/>
  <c r="AZ776" i="8"/>
  <c r="BI776" i="8"/>
  <c r="AS776" i="8"/>
  <c r="BA776" i="8"/>
  <c r="BJ776" i="8"/>
  <c r="AT776" i="8"/>
  <c r="BC776" i="8"/>
  <c r="BK776" i="8"/>
  <c r="BD776" i="8"/>
  <c r="AU776" i="8"/>
  <c r="BL776" i="8"/>
  <c r="AV776" i="8"/>
  <c r="BE776" i="8"/>
  <c r="AW776" i="8"/>
  <c r="BF776" i="8"/>
  <c r="AX776" i="8"/>
  <c r="BG776" i="8"/>
  <c r="AW769" i="8"/>
  <c r="AS769" i="8"/>
  <c r="AU769" i="8"/>
  <c r="AV769" i="8"/>
  <c r="BF769" i="8"/>
  <c r="AX769" i="8"/>
  <c r="BG769" i="8"/>
  <c r="AY769" i="8"/>
  <c r="BH769" i="8"/>
  <c r="AZ769" i="8"/>
  <c r="BI769" i="8"/>
  <c r="BA769" i="8"/>
  <c r="BJ769" i="8"/>
  <c r="BC769" i="8"/>
  <c r="BK769" i="8"/>
  <c r="AR769" i="8"/>
  <c r="BD769" i="8"/>
  <c r="BL769" i="8"/>
  <c r="AT769" i="8"/>
  <c r="BE769" i="8"/>
  <c r="AY689" i="8"/>
  <c r="BH689" i="8"/>
  <c r="AR689" i="8"/>
  <c r="AZ689" i="8"/>
  <c r="BI689" i="8"/>
  <c r="AS689" i="8"/>
  <c r="BA689" i="8"/>
  <c r="BJ689" i="8"/>
  <c r="AT689" i="8"/>
  <c r="BC689" i="8"/>
  <c r="BK689" i="8"/>
  <c r="AV689" i="8"/>
  <c r="BE689" i="8"/>
  <c r="AW689" i="8"/>
  <c r="BF689" i="8"/>
  <c r="AX689" i="8"/>
  <c r="BG689" i="8"/>
  <c r="AU689" i="8"/>
  <c r="BD689" i="8"/>
  <c r="BL689" i="8"/>
  <c r="AW747" i="8"/>
  <c r="BF747" i="8"/>
  <c r="AY747" i="8"/>
  <c r="BH747" i="8"/>
  <c r="AS747" i="8"/>
  <c r="BA747" i="8"/>
  <c r="BJ747" i="8"/>
  <c r="AU747" i="8"/>
  <c r="BD747" i="8"/>
  <c r="BL747" i="8"/>
  <c r="AX747" i="8"/>
  <c r="AZ747" i="8"/>
  <c r="BC747" i="8"/>
  <c r="BE747" i="8"/>
  <c r="BG747" i="8"/>
  <c r="AR747" i="8"/>
  <c r="BI747" i="8"/>
  <c r="AT747" i="8"/>
  <c r="BK747" i="8"/>
  <c r="AV747" i="8"/>
  <c r="AX716" i="8"/>
  <c r="BG716" i="8"/>
  <c r="AY716" i="8"/>
  <c r="BH716" i="8"/>
  <c r="AR716" i="8"/>
  <c r="AZ716" i="8"/>
  <c r="BI716" i="8"/>
  <c r="AS716" i="8"/>
  <c r="BA716" i="8"/>
  <c r="BJ716" i="8"/>
  <c r="AU716" i="8"/>
  <c r="BD716" i="8"/>
  <c r="BL716" i="8"/>
  <c r="AV716" i="8"/>
  <c r="BE716" i="8"/>
  <c r="AW716" i="8"/>
  <c r="BF716" i="8"/>
  <c r="AT716" i="8"/>
  <c r="BC716" i="8"/>
  <c r="BK716" i="8"/>
  <c r="AT706" i="8"/>
  <c r="BC706" i="8"/>
  <c r="BK706" i="8"/>
  <c r="AU706" i="8"/>
  <c r="BD706" i="8"/>
  <c r="BL706" i="8"/>
  <c r="AV706" i="8"/>
  <c r="BE706" i="8"/>
  <c r="AW706" i="8"/>
  <c r="BF706" i="8"/>
  <c r="AY706" i="8"/>
  <c r="BH706" i="8"/>
  <c r="AR706" i="8"/>
  <c r="AZ706" i="8"/>
  <c r="BI706" i="8"/>
  <c r="AS706" i="8"/>
  <c r="BA706" i="8"/>
  <c r="BJ706" i="8"/>
  <c r="BG706" i="8"/>
  <c r="AX706" i="8"/>
  <c r="AT715" i="8"/>
  <c r="BC715" i="8"/>
  <c r="BK715" i="8"/>
  <c r="AU715" i="8"/>
  <c r="BD715" i="8"/>
  <c r="BL715" i="8"/>
  <c r="AV715" i="8"/>
  <c r="BE715" i="8"/>
  <c r="AW715" i="8"/>
  <c r="BF715" i="8"/>
  <c r="AY715" i="8"/>
  <c r="BH715" i="8"/>
  <c r="AR715" i="8"/>
  <c r="AZ715" i="8"/>
  <c r="BI715" i="8"/>
  <c r="AS715" i="8"/>
  <c r="BA715" i="8"/>
  <c r="BJ715" i="8"/>
  <c r="AX715" i="8"/>
  <c r="BG715" i="8"/>
  <c r="AT777" i="8"/>
  <c r="BC777" i="8"/>
  <c r="BK777" i="8"/>
  <c r="AU777" i="8"/>
  <c r="BD777" i="8"/>
  <c r="BL777" i="8"/>
  <c r="AV777" i="8"/>
  <c r="BE777" i="8"/>
  <c r="AW777" i="8"/>
  <c r="BF777" i="8"/>
  <c r="AX777" i="8"/>
  <c r="BG777" i="8"/>
  <c r="AY777" i="8"/>
  <c r="BH777" i="8"/>
  <c r="AR777" i="8"/>
  <c r="AZ777" i="8"/>
  <c r="BI777" i="8"/>
  <c r="AS777" i="8"/>
  <c r="BA777" i="8"/>
  <c r="BJ777" i="8"/>
  <c r="AY827" i="8"/>
  <c r="BI827" i="8"/>
  <c r="AZ827" i="8"/>
  <c r="AT827" i="8"/>
  <c r="BC827" i="8"/>
  <c r="BK827" i="8"/>
  <c r="BD827" i="8"/>
  <c r="AU827" i="8"/>
  <c r="BL827" i="8"/>
  <c r="AX827" i="8"/>
  <c r="BG827" i="8"/>
  <c r="BH827" i="8"/>
  <c r="AR827" i="8"/>
  <c r="AV827" i="8"/>
  <c r="AW827" i="8"/>
  <c r="BA827" i="8"/>
  <c r="BE827" i="8"/>
  <c r="BF827" i="8"/>
  <c r="BJ827" i="8"/>
  <c r="AS827" i="8"/>
  <c r="AX734" i="8"/>
  <c r="BG734" i="8"/>
  <c r="AR734" i="8"/>
  <c r="AZ734" i="8"/>
  <c r="BI734" i="8"/>
  <c r="AT734" i="8"/>
  <c r="BC734" i="8"/>
  <c r="BK734" i="8"/>
  <c r="AV734" i="8"/>
  <c r="BE734" i="8"/>
  <c r="BH734" i="8"/>
  <c r="AS734" i="8"/>
  <c r="BJ734" i="8"/>
  <c r="AU734" i="8"/>
  <c r="BL734" i="8"/>
  <c r="AW734" i="8"/>
  <c r="AY734" i="8"/>
  <c r="BA734" i="8"/>
  <c r="BD734" i="8"/>
  <c r="BF734" i="8"/>
  <c r="AY811" i="8"/>
  <c r="BH811" i="8"/>
  <c r="AR811" i="8"/>
  <c r="AZ811" i="8"/>
  <c r="BI811" i="8"/>
  <c r="BA811" i="8"/>
  <c r="AT811" i="8"/>
  <c r="AS811" i="8"/>
  <c r="BJ811" i="8"/>
  <c r="BC811" i="8"/>
  <c r="BK811" i="8"/>
  <c r="AU811" i="8"/>
  <c r="BD811" i="8"/>
  <c r="BL811" i="8"/>
  <c r="AV811" i="8"/>
  <c r="BE811" i="8"/>
  <c r="AW811" i="8"/>
  <c r="BF811" i="8"/>
  <c r="AX811" i="8"/>
  <c r="BG811" i="8"/>
  <c r="AX767" i="8"/>
  <c r="BG767" i="8"/>
  <c r="AR767" i="8"/>
  <c r="AZ767" i="8"/>
  <c r="BI767" i="8"/>
  <c r="AT767" i="8"/>
  <c r="BC767" i="8"/>
  <c r="BK767" i="8"/>
  <c r="AV767" i="8"/>
  <c r="BE767" i="8"/>
  <c r="BH767" i="8"/>
  <c r="AS767" i="8"/>
  <c r="BJ767" i="8"/>
  <c r="AU767" i="8"/>
  <c r="BL767" i="8"/>
  <c r="AW767" i="8"/>
  <c r="AY767" i="8"/>
  <c r="BA767" i="8"/>
  <c r="BD767" i="8"/>
  <c r="BF767" i="8"/>
  <c r="AX707" i="8"/>
  <c r="BG707" i="8"/>
  <c r="AY707" i="8"/>
  <c r="BH707" i="8"/>
  <c r="AR707" i="8"/>
  <c r="AZ707" i="8"/>
  <c r="BI707" i="8"/>
  <c r="AS707" i="8"/>
  <c r="BA707" i="8"/>
  <c r="BJ707" i="8"/>
  <c r="AU707" i="8"/>
  <c r="BD707" i="8"/>
  <c r="BL707" i="8"/>
  <c r="AV707" i="8"/>
  <c r="BE707" i="8"/>
  <c r="AW707" i="8"/>
  <c r="BF707" i="8"/>
  <c r="AT707" i="8"/>
  <c r="BC707" i="8"/>
  <c r="BK707" i="8"/>
  <c r="AS812" i="8"/>
  <c r="AT812" i="8"/>
  <c r="BC812" i="8"/>
  <c r="AU812" i="8"/>
  <c r="BD812" i="8"/>
  <c r="BL812" i="8"/>
  <c r="AV812" i="8"/>
  <c r="BE812" i="8"/>
  <c r="AW812" i="8"/>
  <c r="BF812" i="8"/>
  <c r="BG812" i="8"/>
  <c r="AX812" i="8"/>
  <c r="AY812" i="8"/>
  <c r="BH812" i="8"/>
  <c r="AR812" i="8"/>
  <c r="AZ812" i="8"/>
  <c r="BI812" i="8"/>
  <c r="BA812" i="8"/>
  <c r="BJ812" i="8"/>
  <c r="BK812" i="8"/>
  <c r="AY792" i="8"/>
  <c r="AR792" i="8"/>
  <c r="AZ792" i="8"/>
  <c r="BI792" i="8"/>
  <c r="AS792" i="8"/>
  <c r="BA792" i="8"/>
  <c r="BJ792" i="8"/>
  <c r="AT792" i="8"/>
  <c r="BC792" i="8"/>
  <c r="BK792" i="8"/>
  <c r="BD792" i="8"/>
  <c r="AU792" i="8"/>
  <c r="BL792" i="8"/>
  <c r="AV792" i="8"/>
  <c r="BE792" i="8"/>
  <c r="AW792" i="8"/>
  <c r="BF792" i="8"/>
  <c r="AX792" i="8"/>
  <c r="BG792" i="8"/>
  <c r="BH792" i="8"/>
  <c r="AN721" i="8"/>
  <c r="BV721" i="8"/>
  <c r="AM721" i="8"/>
  <c r="BU721" i="8"/>
  <c r="AM691" i="8"/>
  <c r="BU691" i="8"/>
  <c r="AN691" i="8"/>
  <c r="BV691" i="8"/>
  <c r="AN703" i="8"/>
  <c r="BV703" i="8"/>
  <c r="AM703" i="8"/>
  <c r="BU703" i="8"/>
  <c r="AM773" i="8"/>
  <c r="BU773" i="8"/>
  <c r="AN773" i="8"/>
  <c r="BV773" i="8"/>
  <c r="AM744" i="8"/>
  <c r="BU744" i="8"/>
  <c r="AN744" i="8"/>
  <c r="BV744" i="8"/>
  <c r="AM766" i="8"/>
  <c r="BU766" i="8"/>
  <c r="AN766" i="8"/>
  <c r="BV766" i="8"/>
  <c r="AN681" i="8"/>
  <c r="BV681" i="8"/>
  <c r="AM681" i="8"/>
  <c r="BU681" i="8"/>
  <c r="AM727" i="8"/>
  <c r="BU727" i="8"/>
  <c r="AN727" i="8"/>
  <c r="BV727" i="8"/>
  <c r="AN693" i="8"/>
  <c r="BV693" i="8"/>
  <c r="AM693" i="8"/>
  <c r="BU693" i="8"/>
  <c r="AN819" i="8"/>
  <c r="BV819" i="8"/>
  <c r="AM819" i="8"/>
  <c r="BU819" i="8"/>
  <c r="AN679" i="8"/>
  <c r="BV679" i="8"/>
  <c r="AM679" i="8"/>
  <c r="BU679" i="8"/>
  <c r="AM712" i="8"/>
  <c r="BU712" i="8"/>
  <c r="AN712" i="8"/>
  <c r="BV712" i="8"/>
  <c r="AM758" i="8"/>
  <c r="BU758" i="8"/>
  <c r="AN758" i="8"/>
  <c r="BV758" i="8"/>
  <c r="AM685" i="8"/>
  <c r="BU685" i="8"/>
  <c r="AN685" i="8"/>
  <c r="BV685" i="8"/>
  <c r="AM830" i="8"/>
  <c r="BU830" i="8"/>
  <c r="AN830" i="8"/>
  <c r="BV830" i="8"/>
  <c r="AM822" i="8"/>
  <c r="BU822" i="8"/>
  <c r="AN822" i="8"/>
  <c r="BV822" i="8"/>
  <c r="AM746" i="8"/>
  <c r="BU746" i="8"/>
  <c r="AN746" i="8"/>
  <c r="BV746" i="8"/>
  <c r="AM824" i="8"/>
  <c r="BU824" i="8"/>
  <c r="AN824" i="8"/>
  <c r="BV824" i="8"/>
  <c r="AN831" i="8"/>
  <c r="BV831" i="8"/>
  <c r="AM831" i="8"/>
  <c r="BU831" i="8"/>
  <c r="AM815" i="8"/>
  <c r="BU815" i="8"/>
  <c r="AN815" i="8"/>
  <c r="BV815" i="8"/>
  <c r="AM718" i="8"/>
  <c r="BU718" i="8"/>
  <c r="AN718" i="8"/>
  <c r="BV718" i="8"/>
  <c r="AN357" i="8"/>
  <c r="BV357" i="8"/>
  <c r="AM357" i="8"/>
  <c r="BU357" i="8"/>
  <c r="AM359" i="8"/>
  <c r="BU359" i="8"/>
  <c r="AN359" i="8"/>
  <c r="BV359" i="8"/>
  <c r="AM713" i="8"/>
  <c r="BU713" i="8"/>
  <c r="AN713" i="8"/>
  <c r="BV713" i="8"/>
  <c r="AM682" i="8"/>
  <c r="BU682" i="8"/>
  <c r="AN682" i="8"/>
  <c r="BV682" i="8"/>
  <c r="AM729" i="8"/>
  <c r="BU729" i="8"/>
  <c r="AN729" i="8"/>
  <c r="BV729" i="8"/>
  <c r="AM790" i="8"/>
  <c r="BU790" i="8"/>
  <c r="AN790" i="8"/>
  <c r="BV790" i="8"/>
  <c r="AM793" i="8"/>
  <c r="BU793" i="8"/>
  <c r="AN793" i="8"/>
  <c r="BV793" i="8"/>
  <c r="AL762" i="8"/>
  <c r="AL711" i="8"/>
  <c r="AL764" i="8"/>
  <c r="AL818" i="8"/>
  <c r="AL731" i="8"/>
  <c r="AL714" i="8"/>
  <c r="AL768" i="8"/>
  <c r="AL822" i="8"/>
  <c r="AL755" i="8"/>
  <c r="AL815" i="8"/>
  <c r="AL357" i="8"/>
  <c r="AL732" i="8"/>
  <c r="AL790" i="8"/>
  <c r="AM816" i="8"/>
  <c r="BU816" i="8"/>
  <c r="AN816" i="8"/>
  <c r="BV816" i="8"/>
  <c r="AN743" i="8"/>
  <c r="BV743" i="8"/>
  <c r="AM743" i="8"/>
  <c r="BU743" i="8"/>
  <c r="AM753" i="8"/>
  <c r="BU753" i="8"/>
  <c r="AN753" i="8"/>
  <c r="BV753" i="8"/>
  <c r="AM698" i="8"/>
  <c r="BU698" i="8"/>
  <c r="AN698" i="8"/>
  <c r="BV698" i="8"/>
  <c r="AM745" i="8"/>
  <c r="BU745" i="8"/>
  <c r="AN745" i="8"/>
  <c r="BV745" i="8"/>
  <c r="AN433" i="8"/>
  <c r="BV433" i="8"/>
  <c r="AM433" i="8"/>
  <c r="BU433" i="8"/>
  <c r="AN724" i="8"/>
  <c r="BV724" i="8"/>
  <c r="AM724" i="8"/>
  <c r="BU724" i="8"/>
  <c r="AM730" i="8"/>
  <c r="BU730" i="8"/>
  <c r="AN730" i="8"/>
  <c r="BV730" i="8"/>
  <c r="AN761" i="8"/>
  <c r="BV761" i="8"/>
  <c r="AM761" i="8"/>
  <c r="BU761" i="8"/>
  <c r="AM704" i="8"/>
  <c r="BU704" i="8"/>
  <c r="AN704" i="8"/>
  <c r="BV704" i="8"/>
  <c r="AN695" i="8"/>
  <c r="BV695" i="8"/>
  <c r="AM695" i="8"/>
  <c r="BU695" i="8"/>
  <c r="AN699" i="8"/>
  <c r="BV699" i="8"/>
  <c r="AM699" i="8"/>
  <c r="BU699" i="8"/>
  <c r="AM688" i="8"/>
  <c r="BU688" i="8"/>
  <c r="AN688" i="8"/>
  <c r="BV688" i="8"/>
  <c r="AM739" i="8"/>
  <c r="BU739" i="8"/>
  <c r="AN739" i="8"/>
  <c r="BV739" i="8"/>
  <c r="AM774" i="8"/>
  <c r="BU774" i="8"/>
  <c r="AN774" i="8"/>
  <c r="BV774" i="8"/>
  <c r="AN820" i="8"/>
  <c r="BV820" i="8"/>
  <c r="AM820" i="8"/>
  <c r="BU820" i="8"/>
  <c r="AM728" i="8"/>
  <c r="BU728" i="8"/>
  <c r="AN728" i="8"/>
  <c r="BV728" i="8"/>
  <c r="AN765" i="8"/>
  <c r="BV765" i="8"/>
  <c r="AM765" i="8"/>
  <c r="BU765" i="8"/>
  <c r="AM763" i="8"/>
  <c r="BU763" i="8"/>
  <c r="AN763" i="8"/>
  <c r="BV763" i="8"/>
  <c r="AM776" i="8"/>
  <c r="BU776" i="8"/>
  <c r="AN776" i="8"/>
  <c r="BV776" i="8"/>
  <c r="AM826" i="8"/>
  <c r="BU826" i="8"/>
  <c r="AN826" i="8"/>
  <c r="BV826" i="8"/>
  <c r="AN697" i="8"/>
  <c r="BV697" i="8"/>
  <c r="AM697" i="8"/>
  <c r="BU697" i="8"/>
  <c r="AM769" i="8"/>
  <c r="BU769" i="8"/>
  <c r="AN769" i="8"/>
  <c r="BV769" i="8"/>
  <c r="AM754" i="8"/>
  <c r="BU754" i="8"/>
  <c r="AN754" i="8"/>
  <c r="BV754" i="8"/>
  <c r="AM692" i="8"/>
  <c r="BU692" i="8"/>
  <c r="AN692" i="8"/>
  <c r="BV692" i="8"/>
  <c r="AM675" i="8"/>
  <c r="BU675" i="8"/>
  <c r="AN675" i="8"/>
  <c r="BV675" i="8"/>
  <c r="AM689" i="8"/>
  <c r="BU689" i="8"/>
  <c r="AN689" i="8"/>
  <c r="BV689" i="8"/>
  <c r="AM736" i="8"/>
  <c r="AN736" i="8"/>
  <c r="AM676" i="8"/>
  <c r="BU676" i="8"/>
  <c r="AN676" i="8"/>
  <c r="BV676" i="8"/>
  <c r="AN747" i="8"/>
  <c r="BV747" i="8"/>
  <c r="AM747" i="8"/>
  <c r="BU747" i="8"/>
  <c r="AM740" i="8"/>
  <c r="BU740" i="8"/>
  <c r="AN740" i="8"/>
  <c r="BV740" i="8"/>
  <c r="AN677" i="8"/>
  <c r="BV677" i="8"/>
  <c r="AM677" i="8"/>
  <c r="BU677" i="8"/>
  <c r="AM716" i="8"/>
  <c r="BU716" i="8"/>
  <c r="AN716" i="8"/>
  <c r="BV716" i="8"/>
  <c r="AM678" i="8"/>
  <c r="BU678" i="8"/>
  <c r="AN678" i="8"/>
  <c r="BV678" i="8"/>
  <c r="AM733" i="8"/>
  <c r="BU733" i="8"/>
  <c r="AN733" i="8"/>
  <c r="BV733" i="8"/>
  <c r="AM784" i="8"/>
  <c r="BU784" i="8"/>
  <c r="AN784" i="8"/>
  <c r="BV784" i="8"/>
  <c r="AM706" i="8"/>
  <c r="BU706" i="8"/>
  <c r="AN706" i="8"/>
  <c r="BV706" i="8"/>
  <c r="AN741" i="8"/>
  <c r="BV741" i="8"/>
  <c r="AM741" i="8"/>
  <c r="BU741" i="8"/>
  <c r="AM756" i="8"/>
  <c r="BU756" i="8"/>
  <c r="AN756" i="8"/>
  <c r="BV756" i="8"/>
  <c r="AM771" i="8"/>
  <c r="BU771" i="8"/>
  <c r="AN771" i="8"/>
  <c r="BV771" i="8"/>
  <c r="AN715" i="8"/>
  <c r="BV715" i="8"/>
  <c r="AM715" i="8"/>
  <c r="BU715" i="8"/>
  <c r="AM737" i="8"/>
  <c r="BU737" i="8"/>
  <c r="AN737" i="8"/>
  <c r="BV737" i="8"/>
  <c r="AN757" i="8"/>
  <c r="BV757" i="8"/>
  <c r="AM757" i="8"/>
  <c r="BU757" i="8"/>
  <c r="AM696" i="8"/>
  <c r="BU696" i="8"/>
  <c r="AN696" i="8"/>
  <c r="BV696" i="8"/>
  <c r="AN777" i="8"/>
  <c r="BV777" i="8"/>
  <c r="AM777" i="8"/>
  <c r="BU777" i="8"/>
  <c r="AM725" i="8"/>
  <c r="BU725" i="8"/>
  <c r="AN725" i="8"/>
  <c r="BV725" i="8"/>
  <c r="AM821" i="8"/>
  <c r="BU821" i="8"/>
  <c r="AN821" i="8"/>
  <c r="BV821" i="8"/>
  <c r="AM827" i="8"/>
  <c r="BU827" i="8"/>
  <c r="AN827" i="8"/>
  <c r="BV827" i="8"/>
  <c r="AN709" i="8"/>
  <c r="BV709" i="8"/>
  <c r="AM709" i="8"/>
  <c r="BU709" i="8"/>
  <c r="AM717" i="8"/>
  <c r="BU717" i="8"/>
  <c r="AN717" i="8"/>
  <c r="BV717" i="8"/>
  <c r="AM734" i="8"/>
  <c r="BU734" i="8"/>
  <c r="AN734" i="8"/>
  <c r="BV734" i="8"/>
  <c r="AM770" i="8"/>
  <c r="BU770" i="8"/>
  <c r="AN770" i="8"/>
  <c r="BV770" i="8"/>
  <c r="AN700" i="8"/>
  <c r="BV700" i="8"/>
  <c r="AM700" i="8"/>
  <c r="BU700" i="8"/>
  <c r="AM705" i="8"/>
  <c r="BU705" i="8"/>
  <c r="AN705" i="8"/>
  <c r="BV705" i="8"/>
  <c r="AM811" i="8"/>
  <c r="BU811" i="8"/>
  <c r="AN811" i="8"/>
  <c r="BV811" i="8"/>
  <c r="AM690" i="8"/>
  <c r="BU690" i="8"/>
  <c r="AN690" i="8"/>
  <c r="BV690" i="8"/>
  <c r="AM787" i="8"/>
  <c r="BU787" i="8"/>
  <c r="AN787" i="8"/>
  <c r="BV787" i="8"/>
  <c r="AM779" i="8"/>
  <c r="BU779" i="8"/>
  <c r="AN779" i="8"/>
  <c r="BV779" i="8"/>
  <c r="AM767" i="8"/>
  <c r="BU767" i="8"/>
  <c r="AN767" i="8"/>
  <c r="BV767" i="8"/>
  <c r="AM748" i="8"/>
  <c r="BU748" i="8"/>
  <c r="AN748" i="8"/>
  <c r="BV748" i="8"/>
  <c r="AM735" i="8"/>
  <c r="BU735" i="8"/>
  <c r="AN735" i="8"/>
  <c r="BV735" i="8"/>
  <c r="AM720" i="8"/>
  <c r="BU720" i="8"/>
  <c r="AN720" i="8"/>
  <c r="BV720" i="8"/>
  <c r="AM707" i="8"/>
  <c r="BU707" i="8"/>
  <c r="AN707" i="8"/>
  <c r="BV707" i="8"/>
  <c r="AM683" i="8"/>
  <c r="BU683" i="8"/>
  <c r="AN683" i="8"/>
  <c r="BV683" i="8"/>
  <c r="AM680" i="8"/>
  <c r="BU680" i="8"/>
  <c r="AN680" i="8"/>
  <c r="BV680" i="8"/>
  <c r="AN672" i="8"/>
  <c r="AM672" i="8"/>
  <c r="AM812" i="8"/>
  <c r="BU812" i="8"/>
  <c r="AN812" i="8"/>
  <c r="BV812" i="8"/>
  <c r="AN788" i="8"/>
  <c r="BV788" i="8"/>
  <c r="AM788" i="8"/>
  <c r="BU788" i="8"/>
  <c r="AM791" i="8"/>
  <c r="BU791" i="8"/>
  <c r="AN791" i="8"/>
  <c r="BV791" i="8"/>
  <c r="AN792" i="8"/>
  <c r="BV792" i="8"/>
  <c r="AM792" i="8"/>
  <c r="BU792" i="8"/>
  <c r="AL742" i="8"/>
  <c r="AL778" i="8"/>
  <c r="AL708" i="8"/>
  <c r="AL352" i="8"/>
  <c r="AL760" i="8"/>
  <c r="AL823" i="8"/>
  <c r="AL773" i="8"/>
  <c r="AL744" i="8"/>
  <c r="AL766" i="8"/>
  <c r="AL738" i="8"/>
  <c r="AL693" i="8"/>
  <c r="AL819" i="8"/>
  <c r="AL679" i="8"/>
  <c r="AL694" i="8"/>
  <c r="AL674" i="8"/>
  <c r="AL723" i="8"/>
  <c r="AL685" i="8"/>
  <c r="AL825" i="8"/>
  <c r="AL772" i="8"/>
  <c r="AL783" i="8"/>
  <c r="AL746" i="8"/>
  <c r="AL824" i="8"/>
  <c r="AL831" i="8"/>
  <c r="AL759" i="8"/>
  <c r="AL814" i="8"/>
  <c r="AL775" i="8"/>
  <c r="AL359" i="8"/>
  <c r="AL713" i="8"/>
  <c r="AL682" i="8"/>
  <c r="AL813" i="8"/>
  <c r="AL789" i="8"/>
  <c r="AL816" i="8"/>
  <c r="AL753" i="8"/>
  <c r="AL745" i="8"/>
  <c r="AL724" i="8"/>
  <c r="AL761" i="8"/>
  <c r="AL704" i="8"/>
  <c r="AL699" i="8"/>
  <c r="AL739" i="8"/>
  <c r="AL820" i="8"/>
  <c r="AL765" i="8"/>
  <c r="AL776" i="8"/>
  <c r="AL769" i="8"/>
  <c r="AL692" i="8"/>
  <c r="AL689" i="8"/>
  <c r="AL747" i="8"/>
  <c r="AL677" i="8"/>
  <c r="AL716" i="8"/>
  <c r="AL733" i="8"/>
  <c r="AL706" i="8"/>
  <c r="AL756" i="8"/>
  <c r="AL715" i="8"/>
  <c r="AL757" i="8"/>
  <c r="AL777" i="8"/>
  <c r="AL821" i="8"/>
  <c r="AL827" i="8"/>
  <c r="AL717" i="8"/>
  <c r="AL734" i="8"/>
  <c r="AL700" i="8"/>
  <c r="AL811" i="8"/>
  <c r="AL787" i="8"/>
  <c r="AL767" i="8"/>
  <c r="AL735" i="8"/>
  <c r="AL707" i="8"/>
  <c r="AL680" i="8"/>
  <c r="AL812" i="8"/>
  <c r="AL791" i="8"/>
  <c r="AL792" i="8"/>
  <c r="AN762" i="8"/>
  <c r="BV762" i="8"/>
  <c r="AM762" i="8"/>
  <c r="BU762" i="8"/>
  <c r="AM742" i="8"/>
  <c r="BU742" i="8"/>
  <c r="AN742" i="8"/>
  <c r="BV742" i="8"/>
  <c r="AN778" i="8"/>
  <c r="BV778" i="8"/>
  <c r="AM778" i="8"/>
  <c r="BU778" i="8"/>
  <c r="AM708" i="8"/>
  <c r="BU708" i="8"/>
  <c r="AN708" i="8"/>
  <c r="BV708" i="8"/>
  <c r="AN352" i="8"/>
  <c r="BV352" i="8"/>
  <c r="AM352" i="8"/>
  <c r="BU352" i="8"/>
  <c r="AM760" i="8"/>
  <c r="BU760" i="8"/>
  <c r="AN760" i="8"/>
  <c r="BV760" i="8"/>
  <c r="AM823" i="8"/>
  <c r="BU823" i="8"/>
  <c r="AN823" i="8"/>
  <c r="BV823" i="8"/>
  <c r="AM684" i="8"/>
  <c r="BU684" i="8"/>
  <c r="AN684" i="8"/>
  <c r="BV684" i="8"/>
  <c r="AM711" i="8"/>
  <c r="BU711" i="8"/>
  <c r="AN711" i="8"/>
  <c r="BV711" i="8"/>
  <c r="AM687" i="8"/>
  <c r="BU687" i="8"/>
  <c r="AN687" i="8"/>
  <c r="BV687" i="8"/>
  <c r="AM764" i="8"/>
  <c r="BU764" i="8"/>
  <c r="AN764" i="8"/>
  <c r="BV764" i="8"/>
  <c r="AM738" i="8"/>
  <c r="BU738" i="8"/>
  <c r="AN738" i="8"/>
  <c r="BV738" i="8"/>
  <c r="AM818" i="8"/>
  <c r="BU818" i="8"/>
  <c r="AN818" i="8"/>
  <c r="BV818" i="8"/>
  <c r="AM719" i="8"/>
  <c r="BU719" i="8"/>
  <c r="AN719" i="8"/>
  <c r="BV719" i="8"/>
  <c r="AM460" i="8"/>
  <c r="BU460" i="8"/>
  <c r="AN460" i="8"/>
  <c r="BV460" i="8"/>
  <c r="AM731" i="8"/>
  <c r="BU731" i="8"/>
  <c r="AN731" i="8"/>
  <c r="BV731" i="8"/>
  <c r="AM694" i="8"/>
  <c r="BU694" i="8"/>
  <c r="AN694" i="8"/>
  <c r="BV694" i="8"/>
  <c r="AM674" i="8"/>
  <c r="BU674" i="8"/>
  <c r="AN674" i="8"/>
  <c r="BV674" i="8"/>
  <c r="AM723" i="8"/>
  <c r="BU723" i="8"/>
  <c r="AN723" i="8"/>
  <c r="BV723" i="8"/>
  <c r="AN714" i="8"/>
  <c r="BV714" i="8"/>
  <c r="AM714" i="8"/>
  <c r="BU714" i="8"/>
  <c r="AN752" i="8"/>
  <c r="BV752" i="8"/>
  <c r="AM752" i="8"/>
  <c r="BU752" i="8"/>
  <c r="AM768" i="8"/>
  <c r="BU768" i="8"/>
  <c r="AN768" i="8"/>
  <c r="BV768" i="8"/>
  <c r="AM825" i="8"/>
  <c r="BU825" i="8"/>
  <c r="AN825" i="8"/>
  <c r="BV825" i="8"/>
  <c r="AM772" i="8"/>
  <c r="BU772" i="8"/>
  <c r="AN772" i="8"/>
  <c r="BV772" i="8"/>
  <c r="AM783" i="8"/>
  <c r="BU783" i="8"/>
  <c r="AN783" i="8"/>
  <c r="BV783" i="8"/>
  <c r="AM702" i="8"/>
  <c r="BU702" i="8"/>
  <c r="AN702" i="8"/>
  <c r="BV702" i="8"/>
  <c r="AN354" i="8"/>
  <c r="BV354" i="8"/>
  <c r="AM354" i="8"/>
  <c r="BU354" i="8"/>
  <c r="AM755" i="8"/>
  <c r="BU755" i="8"/>
  <c r="AN755" i="8"/>
  <c r="BV755" i="8"/>
  <c r="AM782" i="8"/>
  <c r="BU782" i="8"/>
  <c r="AN782" i="8"/>
  <c r="BV782" i="8"/>
  <c r="AM673" i="8"/>
  <c r="BU673" i="8"/>
  <c r="AN673" i="8"/>
  <c r="BV673" i="8"/>
  <c r="AN759" i="8"/>
  <c r="BV759" i="8"/>
  <c r="AM759" i="8"/>
  <c r="BU759" i="8"/>
  <c r="AM814" i="8"/>
  <c r="BU814" i="8"/>
  <c r="AN814" i="8"/>
  <c r="BV814" i="8"/>
  <c r="AM775" i="8"/>
  <c r="BU775" i="8"/>
  <c r="AN775" i="8"/>
  <c r="BV775" i="8"/>
  <c r="AN817" i="8"/>
  <c r="BV817" i="8"/>
  <c r="AM817" i="8"/>
  <c r="BU817" i="8"/>
  <c r="AN732" i="8"/>
  <c r="BV732" i="8"/>
  <c r="AM732" i="8"/>
  <c r="BU732" i="8"/>
  <c r="AN686" i="8"/>
  <c r="BV686" i="8"/>
  <c r="AM686" i="8"/>
  <c r="BU686" i="8"/>
  <c r="AM813" i="8"/>
  <c r="BU813" i="8"/>
  <c r="AN813" i="8"/>
  <c r="BV813" i="8"/>
  <c r="AM789" i="8"/>
  <c r="BU789" i="8"/>
  <c r="AN789" i="8"/>
  <c r="BV789" i="8"/>
  <c r="AL721" i="8"/>
  <c r="AL691" i="8"/>
  <c r="AL703" i="8"/>
  <c r="AL684" i="8"/>
  <c r="AL687" i="8"/>
  <c r="AL681" i="8"/>
  <c r="AL727" i="8"/>
  <c r="AL719" i="8"/>
  <c r="AL460" i="8"/>
  <c r="AL712" i="8"/>
  <c r="AL758" i="8"/>
  <c r="AL752" i="8"/>
  <c r="AL830" i="8"/>
  <c r="AL702" i="8"/>
  <c r="AL354" i="8"/>
  <c r="AL782" i="8"/>
  <c r="AL673" i="8"/>
  <c r="AL718" i="8"/>
  <c r="AL817" i="8"/>
  <c r="AL686" i="8"/>
  <c r="AL729" i="8"/>
  <c r="AL793" i="8"/>
  <c r="AL743" i="8"/>
  <c r="AL698" i="8"/>
  <c r="AL433" i="8"/>
  <c r="AL730" i="8"/>
  <c r="AL695" i="8"/>
  <c r="AL688" i="8"/>
  <c r="AL774" i="8"/>
  <c r="AL728" i="8"/>
  <c r="AL763" i="8"/>
  <c r="AL826" i="8"/>
  <c r="AL697" i="8"/>
  <c r="AL754" i="8"/>
  <c r="AL675" i="8"/>
  <c r="AL736" i="8"/>
  <c r="AL676" i="8"/>
  <c r="AL740" i="8"/>
  <c r="AL678" i="8"/>
  <c r="AL784" i="8"/>
  <c r="AL741" i="8"/>
  <c r="AL771" i="8"/>
  <c r="AL737" i="8"/>
  <c r="AL696" i="8"/>
  <c r="AL725" i="8"/>
  <c r="AL709" i="8"/>
  <c r="AL770" i="8"/>
  <c r="AL705" i="8"/>
  <c r="AL690" i="8"/>
  <c r="AL779" i="8"/>
  <c r="AL748" i="8"/>
  <c r="AL720" i="8"/>
  <c r="AL683" i="8"/>
  <c r="AL672" i="8"/>
  <c r="AL788" i="8"/>
  <c r="AM358" i="8"/>
  <c r="AN358" i="8"/>
  <c r="AM349" i="8"/>
  <c r="AN349" i="8"/>
  <c r="AN348" i="8"/>
  <c r="AM348" i="8"/>
  <c r="AN472" i="8"/>
  <c r="AM472" i="8"/>
  <c r="AM351" i="8"/>
  <c r="AN351" i="8"/>
  <c r="AM353" i="8"/>
  <c r="AN353" i="8"/>
  <c r="AM350" i="8"/>
  <c r="AN350" i="8"/>
  <c r="AM726" i="8"/>
  <c r="AN726" i="8"/>
  <c r="AL726" i="8"/>
  <c r="AM722" i="8"/>
  <c r="AN722" i="8"/>
  <c r="AM450" i="8"/>
  <c r="AN450" i="8"/>
  <c r="AM475" i="8"/>
  <c r="AN475" i="8"/>
  <c r="AM347" i="8"/>
  <c r="AN347" i="8"/>
  <c r="AM360" i="8"/>
  <c r="AN360" i="8"/>
  <c r="AM356" i="8"/>
  <c r="AN356" i="8"/>
  <c r="AN414" i="8"/>
  <c r="AM414" i="8"/>
  <c r="AN422" i="8"/>
  <c r="AM422" i="8"/>
  <c r="AM346" i="8"/>
  <c r="AN346" i="8"/>
  <c r="AN355" i="8"/>
  <c r="AM355" i="8"/>
  <c r="AL356" i="8"/>
  <c r="AL450" i="8"/>
  <c r="AL475" i="8"/>
  <c r="AL347" i="8"/>
  <c r="AL351" i="8"/>
  <c r="AL349" i="8"/>
  <c r="AL358" i="8"/>
  <c r="AL350" i="8"/>
  <c r="AL414" i="8"/>
  <c r="AL422" i="8"/>
  <c r="AL348" i="8"/>
  <c r="AL360" i="8"/>
  <c r="AL353" i="8"/>
  <c r="AL346" i="8"/>
  <c r="AL355" i="8"/>
  <c r="AL722" i="8"/>
  <c r="AL472" i="8"/>
  <c r="BU672" i="8"/>
  <c r="BV672" i="8"/>
  <c r="BN755" i="8"/>
  <c r="BO698" i="8"/>
  <c r="BN698" i="8"/>
  <c r="BO734" i="8"/>
  <c r="BN745" i="8"/>
  <c r="BN790" i="8"/>
  <c r="BN782" i="8"/>
  <c r="BN789" i="8"/>
  <c r="BO693" i="8"/>
  <c r="BN766" i="8"/>
  <c r="BO709" i="8"/>
  <c r="BN737" i="8"/>
  <c r="BO740" i="8"/>
  <c r="BO729" i="8"/>
  <c r="BO702" i="8"/>
  <c r="BO727" i="8"/>
  <c r="BO422" i="8"/>
  <c r="BN414" i="8"/>
  <c r="BO682" i="8"/>
  <c r="BO824" i="8"/>
  <c r="BN788" i="8"/>
  <c r="BN762" i="8"/>
  <c r="BN682" i="8"/>
  <c r="BO815" i="8"/>
  <c r="BN681" i="8"/>
  <c r="BO716" i="8"/>
  <c r="BN689" i="8"/>
  <c r="BO723" i="8"/>
  <c r="BO450" i="8"/>
  <c r="BN784" i="8"/>
  <c r="BO472" i="8"/>
  <c r="BN721" i="8"/>
  <c r="BN765" i="8"/>
  <c r="BO707" i="8"/>
  <c r="BN777" i="8"/>
  <c r="BO762" i="8"/>
  <c r="BO777" i="8"/>
  <c r="BO706" i="8"/>
  <c r="BO820" i="8"/>
  <c r="BN831" i="8"/>
  <c r="BN746" i="8"/>
  <c r="BO783" i="8"/>
  <c r="BN694" i="8"/>
  <c r="BO475" i="8"/>
  <c r="BO744" i="8"/>
  <c r="BN720" i="8"/>
  <c r="BO705" i="8"/>
  <c r="BN774" i="8"/>
  <c r="BN695" i="8"/>
  <c r="BO782" i="8"/>
  <c r="BO822" i="8"/>
  <c r="BN360" i="8"/>
  <c r="BO752" i="8"/>
  <c r="BN711" i="8"/>
  <c r="BO700" i="8"/>
  <c r="BO821" i="8"/>
  <c r="BN821" i="8"/>
  <c r="BO756" i="8"/>
  <c r="BO733" i="8"/>
  <c r="BO692" i="8"/>
  <c r="BN704" i="8"/>
  <c r="BN679" i="8"/>
  <c r="BO708" i="8"/>
  <c r="BO743" i="8"/>
  <c r="BO793" i="8"/>
  <c r="BN729" i="8"/>
  <c r="BN817" i="8"/>
  <c r="BN768" i="8"/>
  <c r="BO712" i="8"/>
  <c r="BO687" i="8"/>
  <c r="BO684" i="8"/>
  <c r="BN792" i="8"/>
  <c r="BN812" i="8"/>
  <c r="BN707" i="8"/>
  <c r="BO827" i="8"/>
  <c r="BN715" i="8"/>
  <c r="BN716" i="8"/>
  <c r="BN699" i="8"/>
  <c r="BN761" i="8"/>
  <c r="BN825" i="8"/>
  <c r="BN347" i="8"/>
  <c r="BN723" i="8"/>
  <c r="BO819" i="8"/>
  <c r="BN744" i="8"/>
  <c r="BO779" i="8"/>
  <c r="BN353" i="8"/>
  <c r="BN771" i="8"/>
  <c r="BN763" i="8"/>
  <c r="BO774" i="8"/>
  <c r="BN730" i="8"/>
  <c r="BO730" i="8"/>
  <c r="BO355" i="8"/>
  <c r="BO732" i="8"/>
  <c r="BN752" i="8"/>
  <c r="BN758" i="8"/>
  <c r="BO731" i="8"/>
  <c r="BN764" i="8"/>
  <c r="BO791" i="8"/>
  <c r="BO787" i="8"/>
  <c r="BO717" i="8"/>
  <c r="BO739" i="8"/>
  <c r="BN724" i="8"/>
  <c r="BO358" i="8"/>
  <c r="BO349" i="8"/>
  <c r="BO351" i="8"/>
  <c r="BN773" i="8"/>
  <c r="BN683" i="8"/>
  <c r="BN748" i="8"/>
  <c r="BN770" i="8"/>
  <c r="BN741" i="8"/>
  <c r="BN740" i="8"/>
  <c r="BO736" i="8"/>
  <c r="BN728" i="8"/>
  <c r="BO688" i="8"/>
  <c r="BN702" i="8"/>
  <c r="BN830" i="8"/>
  <c r="BO714" i="8"/>
  <c r="BN714" i="8"/>
  <c r="BN356" i="8"/>
  <c r="BN827" i="8"/>
  <c r="BN747" i="8"/>
  <c r="BN769" i="8"/>
  <c r="BO776" i="8"/>
  <c r="BO694" i="8"/>
  <c r="BN823" i="8"/>
  <c r="BN352" i="8"/>
  <c r="BO778" i="8"/>
  <c r="BO771" i="8"/>
  <c r="BN815" i="8"/>
  <c r="BN727" i="8"/>
  <c r="BN685" i="8"/>
  <c r="BN674" i="8"/>
  <c r="BO773" i="8"/>
  <c r="BN760" i="8"/>
  <c r="BN690" i="8"/>
  <c r="BN826" i="8"/>
  <c r="BO728" i="8"/>
  <c r="BN726" i="8"/>
  <c r="BN776" i="8"/>
  <c r="BN346" i="8"/>
  <c r="BO353" i="8"/>
  <c r="BN677" i="8"/>
  <c r="BN725" i="8"/>
  <c r="BN736" i="8"/>
  <c r="BO818" i="8"/>
  <c r="BO681" i="8"/>
  <c r="BO811" i="8"/>
  <c r="BO715" i="8"/>
  <c r="BO689" i="8"/>
  <c r="BO769" i="8"/>
  <c r="BN820" i="8"/>
  <c r="BO699" i="8"/>
  <c r="BN348" i="8"/>
  <c r="BO813" i="8"/>
  <c r="BN713" i="8"/>
  <c r="BN775" i="8"/>
  <c r="BO775" i="8"/>
  <c r="BO746" i="8"/>
  <c r="BN783" i="8"/>
  <c r="BO347" i="8"/>
  <c r="BN779" i="8"/>
  <c r="BO784" i="8"/>
  <c r="BN472" i="8"/>
  <c r="BO676" i="8"/>
  <c r="BN697" i="8"/>
  <c r="BN354" i="8"/>
  <c r="BO354" i="8"/>
  <c r="BN822" i="8"/>
  <c r="BO360" i="8"/>
  <c r="BO721" i="8"/>
  <c r="BN735" i="8"/>
  <c r="BO757" i="8"/>
  <c r="BN422" i="8"/>
  <c r="BO724" i="8"/>
  <c r="BO359" i="8"/>
  <c r="BO772" i="8"/>
  <c r="BO674" i="8"/>
  <c r="BO742" i="8"/>
  <c r="BO683" i="8"/>
  <c r="BO690" i="8"/>
  <c r="BN678" i="8"/>
  <c r="BN688" i="8"/>
  <c r="BO433" i="8"/>
  <c r="BO817" i="8"/>
  <c r="BO718" i="8"/>
  <c r="BO726" i="8"/>
  <c r="BO792" i="8"/>
  <c r="BO747" i="8"/>
  <c r="BO761" i="8"/>
  <c r="BO816" i="8"/>
  <c r="BO348" i="8"/>
  <c r="BO713" i="8"/>
  <c r="BN759" i="8"/>
  <c r="BO831" i="8"/>
  <c r="BO825" i="8"/>
  <c r="BN819" i="8"/>
  <c r="BN475" i="8"/>
  <c r="BN450" i="8"/>
  <c r="BO823" i="8"/>
  <c r="BN350" i="8"/>
  <c r="BN672" i="8"/>
  <c r="BO720" i="8"/>
  <c r="BN696" i="8"/>
  <c r="BN675" i="8"/>
  <c r="BO697" i="8"/>
  <c r="BO763" i="8"/>
  <c r="BO695" i="8"/>
  <c r="BN355" i="8"/>
  <c r="BN732" i="8"/>
  <c r="BN357" i="8"/>
  <c r="BO758" i="8"/>
  <c r="BN731" i="8"/>
  <c r="BN719" i="8"/>
  <c r="BO764" i="8"/>
  <c r="BO711" i="8"/>
  <c r="BN703" i="8"/>
  <c r="BN691" i="8"/>
  <c r="BN791" i="8"/>
  <c r="BN680" i="8"/>
  <c r="BN787" i="8"/>
  <c r="BN700" i="8"/>
  <c r="BN733" i="8"/>
  <c r="BN692" i="8"/>
  <c r="BN739" i="8"/>
  <c r="BO704" i="8"/>
  <c r="BN753" i="8"/>
  <c r="BO814" i="8"/>
  <c r="BN358" i="8"/>
  <c r="BN824" i="8"/>
  <c r="BN349" i="8"/>
  <c r="BN351" i="8"/>
  <c r="BO685" i="8"/>
  <c r="BO679" i="8"/>
  <c r="BN738" i="8"/>
  <c r="BO760" i="8"/>
  <c r="BN708" i="8"/>
  <c r="BO770" i="8"/>
  <c r="BO741" i="8"/>
  <c r="BO754" i="8"/>
  <c r="BO722" i="8"/>
  <c r="BN686" i="8"/>
  <c r="BN718" i="8"/>
  <c r="BN673" i="8"/>
  <c r="BO830" i="8"/>
  <c r="BO768" i="8"/>
  <c r="BT768" i="8"/>
  <c r="BW768" i="8"/>
  <c r="BN460" i="8"/>
  <c r="BO356" i="8"/>
  <c r="BO767" i="8"/>
  <c r="BN767" i="8"/>
  <c r="BN811" i="8"/>
  <c r="BN734" i="8"/>
  <c r="BN706" i="8"/>
  <c r="BN813" i="8"/>
  <c r="BO759" i="8"/>
  <c r="BO352" i="8"/>
  <c r="BN778" i="8"/>
  <c r="BO350" i="8"/>
  <c r="BO672" i="8"/>
  <c r="BO696" i="8"/>
  <c r="BO675" i="8"/>
  <c r="BO357" i="8"/>
  <c r="BO719" i="8"/>
  <c r="BO703" i="8"/>
  <c r="BO680" i="8"/>
  <c r="BO735" i="8"/>
  <c r="BN717" i="8"/>
  <c r="BN757" i="8"/>
  <c r="BO414" i="8"/>
  <c r="BO765" i="8"/>
  <c r="BO753" i="8"/>
  <c r="BN359" i="8"/>
  <c r="BN772" i="8"/>
  <c r="BO766" i="8"/>
  <c r="BN742" i="8"/>
  <c r="BO737" i="8"/>
  <c r="BO678" i="8"/>
  <c r="BO826" i="8"/>
  <c r="BN722" i="8"/>
  <c r="BN433" i="8"/>
  <c r="BO673" i="8"/>
  <c r="BO755" i="8"/>
  <c r="BO460" i="8"/>
  <c r="BN818" i="8"/>
  <c r="BO812" i="8"/>
  <c r="BO745" i="8"/>
  <c r="BN816" i="8"/>
  <c r="BN705" i="8"/>
  <c r="BO346" i="8"/>
  <c r="BN676" i="8"/>
  <c r="BO790" i="8"/>
  <c r="BO691" i="8"/>
  <c r="BN756" i="8"/>
  <c r="BO677" i="8"/>
  <c r="BO789" i="8"/>
  <c r="BN814" i="8"/>
  <c r="BN693" i="8"/>
  <c r="BO738" i="8"/>
  <c r="BO788" i="8"/>
  <c r="BO748" i="8"/>
  <c r="BN709" i="8"/>
  <c r="BO725" i="8"/>
  <c r="BN754" i="8"/>
  <c r="BN743" i="8"/>
  <c r="BO686" i="8"/>
  <c r="BN712" i="8"/>
  <c r="BN687" i="8"/>
  <c r="BN684" i="8"/>
  <c r="BU736" i="8"/>
  <c r="BV736" i="8"/>
  <c r="U793" i="8"/>
  <c r="U792" i="8"/>
  <c r="U348" i="8"/>
  <c r="U350" i="8"/>
  <c r="U790" i="8"/>
  <c r="U791" i="8"/>
  <c r="U789" i="8"/>
  <c r="U788" i="8"/>
  <c r="U729" i="8"/>
  <c r="U812" i="8"/>
  <c r="U813" i="8"/>
  <c r="U672" i="8"/>
  <c r="U355" i="8"/>
  <c r="U680" i="8"/>
  <c r="U682" i="8"/>
  <c r="U683" i="8"/>
  <c r="U686" i="8"/>
  <c r="U707" i="8"/>
  <c r="U713" i="8"/>
  <c r="U720" i="8"/>
  <c r="U732" i="8"/>
  <c r="U735" i="8"/>
  <c r="U359" i="8"/>
  <c r="U748" i="8"/>
  <c r="U817" i="8"/>
  <c r="U775" i="8"/>
  <c r="U779" i="8"/>
  <c r="U357" i="8"/>
  <c r="U787" i="8"/>
  <c r="U814" i="8"/>
  <c r="U690" i="8"/>
  <c r="U718" i="8"/>
  <c r="U811" i="8"/>
  <c r="U759" i="8"/>
  <c r="U705" i="8"/>
  <c r="U815" i="8"/>
  <c r="U700" i="8"/>
  <c r="U358" i="8"/>
  <c r="U770" i="8"/>
  <c r="U673" i="8"/>
  <c r="U734" i="8"/>
  <c r="U831" i="8"/>
  <c r="U346" i="8"/>
  <c r="U782" i="8"/>
  <c r="U717" i="8"/>
  <c r="U824" i="8"/>
  <c r="U709" i="8"/>
  <c r="U755" i="8"/>
  <c r="U827" i="8"/>
  <c r="U746" i="8"/>
  <c r="U353" i="8"/>
  <c r="U354" i="8"/>
  <c r="U821" i="8"/>
  <c r="U349" i="8"/>
  <c r="U725" i="8"/>
  <c r="U702" i="8"/>
  <c r="U777" i="8"/>
  <c r="U783" i="8"/>
  <c r="U696" i="8"/>
  <c r="U822" i="8"/>
  <c r="U757" i="8"/>
  <c r="U772" i="8"/>
  <c r="U737" i="8"/>
  <c r="U830" i="8"/>
  <c r="U715" i="8"/>
  <c r="U825" i="8"/>
  <c r="U771" i="8"/>
  <c r="U360" i="8"/>
  <c r="U756" i="8"/>
  <c r="U351" i="8"/>
  <c r="U741" i="8"/>
  <c r="U768" i="8"/>
  <c r="U706" i="8"/>
  <c r="U347" i="8"/>
  <c r="U784" i="8"/>
  <c r="U752" i="8"/>
  <c r="U733" i="8"/>
  <c r="U685" i="8"/>
  <c r="U678" i="8"/>
  <c r="U714" i="8"/>
  <c r="U716" i="8"/>
  <c r="U723" i="8"/>
  <c r="U472" i="8"/>
  <c r="U758" i="8"/>
  <c r="U677" i="8"/>
  <c r="U674" i="8"/>
  <c r="U740" i="8"/>
  <c r="U712" i="8"/>
  <c r="U747" i="8"/>
  <c r="U694" i="8"/>
  <c r="U676" i="8"/>
  <c r="U731" i="8"/>
  <c r="U422" i="8"/>
  <c r="U679" i="8"/>
  <c r="U736" i="8"/>
  <c r="U460" i="8"/>
  <c r="U689" i="8"/>
  <c r="U819" i="8"/>
  <c r="U675" i="8"/>
  <c r="U719" i="8"/>
  <c r="U692" i="8"/>
  <c r="U693" i="8"/>
  <c r="U754" i="8"/>
  <c r="U818" i="8"/>
  <c r="U769" i="8"/>
  <c r="U475" i="8"/>
  <c r="U697" i="8"/>
  <c r="U727" i="8"/>
  <c r="U414" i="8"/>
  <c r="U738" i="8"/>
  <c r="U826" i="8"/>
  <c r="U681" i="8"/>
  <c r="U776" i="8"/>
  <c r="U450" i="8"/>
  <c r="U763" i="8"/>
  <c r="U764" i="8"/>
  <c r="U765" i="8"/>
  <c r="U766" i="8"/>
  <c r="U728" i="8"/>
  <c r="U687" i="8"/>
  <c r="U820" i="8"/>
  <c r="U744" i="8"/>
  <c r="U774" i="8"/>
  <c r="U711" i="8"/>
  <c r="U739" i="8"/>
  <c r="U773" i="8"/>
  <c r="U688" i="8"/>
  <c r="U684" i="8"/>
  <c r="U699" i="8"/>
  <c r="U823" i="8"/>
  <c r="U695" i="8"/>
  <c r="U703" i="8"/>
  <c r="U704" i="8"/>
  <c r="U760" i="8"/>
  <c r="U722" i="8"/>
  <c r="U356" i="8"/>
  <c r="U761" i="8"/>
  <c r="U352" i="8"/>
  <c r="U730" i="8"/>
  <c r="U691" i="8"/>
  <c r="U724" i="8"/>
  <c r="U708" i="8"/>
  <c r="U433" i="8"/>
  <c r="U726" i="8"/>
  <c r="U745" i="8"/>
  <c r="U778" i="8"/>
  <c r="U698" i="8"/>
  <c r="U721" i="8"/>
  <c r="U753" i="8"/>
  <c r="U742" i="8"/>
  <c r="U743" i="8"/>
  <c r="U762" i="8"/>
  <c r="U816" i="8"/>
  <c r="BT752" i="8"/>
  <c r="BW752" i="8"/>
  <c r="BT784" i="8"/>
  <c r="BW784" i="8"/>
  <c r="BT733" i="8"/>
  <c r="BW733" i="8"/>
  <c r="BT822" i="8"/>
  <c r="BW822" i="8"/>
  <c r="BT708" i="8"/>
  <c r="BW708" i="8"/>
  <c r="BT744" i="8"/>
  <c r="BW744" i="8"/>
  <c r="BT678" i="8"/>
  <c r="BW678" i="8"/>
  <c r="BT732" i="8"/>
  <c r="BW732" i="8"/>
  <c r="BT460" i="8"/>
  <c r="BW460" i="8"/>
  <c r="BT718" i="8"/>
  <c r="BW718" i="8"/>
  <c r="BT815" i="8"/>
  <c r="BW815" i="8"/>
  <c r="BT698" i="8"/>
  <c r="BW698" i="8"/>
  <c r="BT764" i="8"/>
  <c r="BW764" i="8"/>
  <c r="BT823" i="8"/>
  <c r="BW823" i="8"/>
  <c r="BT674" i="8"/>
  <c r="BW674" i="8"/>
  <c r="BT700" i="8"/>
  <c r="BW700" i="8"/>
  <c r="BT719" i="8"/>
  <c r="BW719" i="8"/>
  <c r="BT824" i="8"/>
  <c r="BW824" i="8"/>
  <c r="BT676" i="8"/>
  <c r="BW676" i="8"/>
  <c r="BT677" i="8"/>
  <c r="BW677" i="8"/>
  <c r="BT712" i="8"/>
  <c r="BW712" i="8"/>
  <c r="BT692" i="8"/>
  <c r="BW692" i="8"/>
  <c r="BT790" i="8"/>
  <c r="BW790" i="8"/>
  <c r="BT682" i="8"/>
  <c r="BW682" i="8"/>
  <c r="BT727" i="8"/>
  <c r="BW727" i="8"/>
  <c r="BT782" i="8"/>
  <c r="BW782" i="8"/>
  <c r="BT680" i="8"/>
  <c r="BW680" i="8"/>
  <c r="BT703" i="8"/>
  <c r="BW703" i="8"/>
  <c r="BT679" i="8"/>
  <c r="BW679" i="8"/>
  <c r="BT716" i="8"/>
  <c r="BW716" i="8"/>
  <c r="BT354" i="8"/>
  <c r="BW354" i="8"/>
  <c r="BT685" i="8"/>
  <c r="BW685" i="8"/>
  <c r="BT753" i="8"/>
  <c r="BW753" i="8"/>
  <c r="BT754" i="8"/>
  <c r="BW754" i="8"/>
  <c r="BT683" i="8"/>
  <c r="BW683" i="8"/>
  <c r="BT763" i="8"/>
  <c r="BW763" i="8"/>
  <c r="BT352" i="8"/>
  <c r="BW352" i="8"/>
  <c r="BT830" i="8"/>
  <c r="BW830" i="8"/>
  <c r="BT742" i="8"/>
  <c r="BW742" i="8"/>
  <c r="BT758" i="8"/>
  <c r="BW758" i="8"/>
  <c r="BT706" i="8"/>
  <c r="BW706" i="8"/>
  <c r="BT757" i="8"/>
  <c r="BW757" i="8"/>
  <c r="BT741" i="8"/>
  <c r="BW741" i="8"/>
  <c r="BT778" i="8"/>
  <c r="BW778" i="8"/>
  <c r="BT746" i="8"/>
  <c r="BW746" i="8"/>
  <c r="BT740" i="8"/>
  <c r="BW740" i="8"/>
  <c r="BT699" i="8"/>
  <c r="BW699" i="8"/>
  <c r="BT717" i="8"/>
  <c r="BW717" i="8"/>
  <c r="BT695" i="8"/>
  <c r="BW695" i="8"/>
  <c r="BT694" i="8"/>
  <c r="BW694" i="8"/>
  <c r="BT731" i="8"/>
  <c r="BW731" i="8"/>
  <c r="BT755" i="8"/>
  <c r="BW755" i="8"/>
  <c r="BT693" i="8"/>
  <c r="BW693" i="8"/>
  <c r="BT724" i="8"/>
  <c r="BW724" i="8"/>
  <c r="BT689" i="8"/>
  <c r="BW689" i="8"/>
  <c r="BT821" i="8"/>
  <c r="BW821" i="8"/>
  <c r="BT730" i="8"/>
  <c r="BW730" i="8"/>
  <c r="BT675" i="8"/>
  <c r="BW675" i="8"/>
  <c r="BT770" i="8"/>
  <c r="BW770" i="8"/>
  <c r="BT729" i="8"/>
  <c r="BW729" i="8"/>
  <c r="BT738" i="8"/>
  <c r="BW738" i="8"/>
  <c r="BT831" i="8"/>
  <c r="BW831" i="8"/>
  <c r="BT681" i="8"/>
  <c r="BW681" i="8"/>
  <c r="BT818" i="8"/>
  <c r="BW818" i="8"/>
  <c r="BT673" i="8"/>
  <c r="BW673" i="8"/>
  <c r="BT812" i="8"/>
  <c r="BW812" i="8"/>
  <c r="BT686" i="8"/>
  <c r="BW686" i="8"/>
  <c r="BT723" i="8"/>
  <c r="BW723" i="8"/>
  <c r="BT704" i="8"/>
  <c r="BW704" i="8"/>
  <c r="BT735" i="8"/>
  <c r="BW735" i="8"/>
  <c r="BT793" i="8"/>
  <c r="BW793" i="8"/>
  <c r="BT728" i="8"/>
  <c r="BW728" i="8"/>
  <c r="BT777" i="8"/>
  <c r="BW777" i="8"/>
  <c r="BT687" i="8"/>
  <c r="BW687" i="8"/>
  <c r="BT792" i="8"/>
  <c r="BW792" i="8"/>
  <c r="BT771" i="8"/>
  <c r="BW771" i="8"/>
  <c r="BT690" i="8"/>
  <c r="BW690" i="8"/>
  <c r="BT788" i="8"/>
  <c r="BW788" i="8"/>
  <c r="BT691" i="8"/>
  <c r="BW691" i="8"/>
  <c r="BT433" i="8"/>
  <c r="BW433" i="8"/>
  <c r="BT774" i="8"/>
  <c r="BW774" i="8"/>
  <c r="BT760" i="8"/>
  <c r="BW760" i="8"/>
  <c r="BT825" i="8"/>
  <c r="BW825" i="8"/>
  <c r="BT720" i="8"/>
  <c r="BW720" i="8"/>
  <c r="BT748" i="8"/>
  <c r="BW748" i="8"/>
  <c r="BT357" i="8"/>
  <c r="BW357" i="8"/>
  <c r="BT743" i="8"/>
  <c r="BW743" i="8"/>
  <c r="BT816" i="8"/>
  <c r="BW816" i="8"/>
  <c r="BT820" i="8"/>
  <c r="BW820" i="8"/>
  <c r="BT775" i="8"/>
  <c r="BW775" i="8"/>
  <c r="BT767" i="8"/>
  <c r="BW767" i="8"/>
  <c r="BT736" i="8"/>
  <c r="BW736" i="8"/>
  <c r="BT696" i="8"/>
  <c r="BW696" i="8"/>
  <c r="BT766" i="8"/>
  <c r="BW766" i="8"/>
  <c r="BT811" i="8"/>
  <c r="BW811" i="8"/>
  <c r="BT711" i="8"/>
  <c r="BW711" i="8"/>
  <c r="BT737" i="8"/>
  <c r="BW737" i="8"/>
  <c r="BT772" i="8"/>
  <c r="BW772" i="8"/>
  <c r="BT769" i="8"/>
  <c r="BW769" i="8"/>
  <c r="BT756" i="8"/>
  <c r="BW756" i="8"/>
  <c r="BT813" i="8"/>
  <c r="BW813" i="8"/>
  <c r="BT684" i="8"/>
  <c r="BW684" i="8"/>
  <c r="BT714" i="8"/>
  <c r="BW714" i="8"/>
  <c r="BT721" i="8"/>
  <c r="BW721" i="8"/>
  <c r="BT759" i="8"/>
  <c r="BW759" i="8"/>
  <c r="BT734" i="8"/>
  <c r="BW734" i="8"/>
  <c r="BT709" i="8"/>
  <c r="BW709" i="8"/>
  <c r="BT826" i="8"/>
  <c r="BW826" i="8"/>
  <c r="BT725" i="8"/>
  <c r="BW725" i="8"/>
  <c r="BT817" i="8"/>
  <c r="BW817" i="8"/>
  <c r="BT783" i="8"/>
  <c r="BW783" i="8"/>
  <c r="BT779" i="8"/>
  <c r="BW779" i="8"/>
  <c r="BT761" i="8"/>
  <c r="BW761" i="8"/>
  <c r="BT765" i="8"/>
  <c r="BW765" i="8"/>
  <c r="BT747" i="8"/>
  <c r="BW747" i="8"/>
  <c r="BT814" i="8"/>
  <c r="BW814" i="8"/>
  <c r="BT713" i="8"/>
  <c r="BW713" i="8"/>
  <c r="BT702" i="8"/>
  <c r="BW702" i="8"/>
  <c r="BT787" i="8"/>
  <c r="BW787" i="8"/>
  <c r="BT707" i="8"/>
  <c r="BW707" i="8"/>
  <c r="BT697" i="8"/>
  <c r="BW697" i="8"/>
  <c r="BT773" i="8"/>
  <c r="BW773" i="8"/>
  <c r="BT819" i="8"/>
  <c r="BW819" i="8"/>
  <c r="BT672" i="8"/>
  <c r="BW672" i="8"/>
  <c r="BT739" i="8"/>
  <c r="BW739" i="8"/>
  <c r="BT827" i="8"/>
  <c r="BW827" i="8"/>
  <c r="BT359" i="8"/>
  <c r="BW359" i="8"/>
  <c r="BT762" i="8"/>
  <c r="BW762" i="8"/>
  <c r="BT688" i="8"/>
  <c r="BW688" i="8"/>
  <c r="BT705" i="8"/>
  <c r="BW705" i="8"/>
  <c r="BT745" i="8"/>
  <c r="BW745" i="8"/>
  <c r="BT715" i="8"/>
  <c r="BW715" i="8"/>
  <c r="BT776" i="8"/>
  <c r="BW776" i="8"/>
  <c r="BT789" i="8"/>
  <c r="BW789" i="8"/>
  <c r="BT791" i="8"/>
  <c r="BW791" i="8"/>
  <c r="AE305" i="8"/>
  <c r="AK616" i="8"/>
  <c r="AI616" i="8"/>
  <c r="V616" i="8"/>
  <c r="X616" i="8"/>
  <c r="Y633" i="8"/>
  <c r="AA633" i="8"/>
  <c r="AK633" i="8"/>
  <c r="AI633" i="8"/>
  <c r="V633" i="8"/>
  <c r="AK665" i="8"/>
  <c r="AI665" i="8"/>
  <c r="V665" i="8"/>
  <c r="X665" i="8"/>
  <c r="Y665" i="8"/>
  <c r="AA665" i="8"/>
  <c r="AK604" i="8"/>
  <c r="AI604" i="8"/>
  <c r="V604" i="8"/>
  <c r="X604" i="8"/>
  <c r="Y604" i="8"/>
  <c r="AA604" i="8"/>
  <c r="U604" i="8"/>
  <c r="AK644" i="8"/>
  <c r="AI644" i="8"/>
  <c r="V644" i="8"/>
  <c r="X644" i="8"/>
  <c r="Y644" i="8"/>
  <c r="AA644" i="8"/>
  <c r="U644" i="8"/>
  <c r="AK642" i="8"/>
  <c r="AI642" i="8"/>
  <c r="V642" i="8"/>
  <c r="X642" i="8"/>
  <c r="Y642" i="8"/>
  <c r="AA642" i="8"/>
  <c r="AK658" i="8"/>
  <c r="AI658" i="8"/>
  <c r="V658" i="8"/>
  <c r="X658" i="8"/>
  <c r="Y658" i="8"/>
  <c r="AA658" i="8"/>
  <c r="U658" i="8"/>
  <c r="AS644" i="8"/>
  <c r="BA644" i="8"/>
  <c r="BJ644" i="8"/>
  <c r="AT644" i="8"/>
  <c r="BC644" i="8"/>
  <c r="BK644" i="8"/>
  <c r="AU644" i="8"/>
  <c r="BD644" i="8"/>
  <c r="BL644" i="8"/>
  <c r="AV644" i="8"/>
  <c r="BE644" i="8"/>
  <c r="AW644" i="8"/>
  <c r="BF644" i="8"/>
  <c r="AX644" i="8"/>
  <c r="BG644" i="8"/>
  <c r="AY644" i="8"/>
  <c r="BH644" i="8"/>
  <c r="AR644" i="8"/>
  <c r="AZ644" i="8"/>
  <c r="BI644" i="8"/>
  <c r="AR616" i="8"/>
  <c r="AZ616" i="8"/>
  <c r="BI616" i="8"/>
  <c r="AS616" i="8"/>
  <c r="BA616" i="8"/>
  <c r="BJ616" i="8"/>
  <c r="AT616" i="8"/>
  <c r="BC616" i="8"/>
  <c r="BK616" i="8"/>
  <c r="AU616" i="8"/>
  <c r="BD616" i="8"/>
  <c r="BL616" i="8"/>
  <c r="AV616" i="8"/>
  <c r="BE616" i="8"/>
  <c r="AW616" i="8"/>
  <c r="BF616" i="8"/>
  <c r="AX616" i="8"/>
  <c r="BG616" i="8"/>
  <c r="AY616" i="8"/>
  <c r="BH616" i="8"/>
  <c r="AT642" i="8"/>
  <c r="BC642" i="8"/>
  <c r="BK642" i="8"/>
  <c r="AU642" i="8"/>
  <c r="BD642" i="8"/>
  <c r="BL642" i="8"/>
  <c r="AV642" i="8"/>
  <c r="BE642" i="8"/>
  <c r="AW642" i="8"/>
  <c r="BF642" i="8"/>
  <c r="AX642" i="8"/>
  <c r="BG642" i="8"/>
  <c r="AY642" i="8"/>
  <c r="BH642" i="8"/>
  <c r="AR642" i="8"/>
  <c r="AZ642" i="8"/>
  <c r="BI642" i="8"/>
  <c r="AS642" i="8"/>
  <c r="BA642" i="8"/>
  <c r="BJ642" i="8"/>
  <c r="AU633" i="8"/>
  <c r="BD633" i="8"/>
  <c r="BL633" i="8"/>
  <c r="AW633" i="8"/>
  <c r="BF633" i="8"/>
  <c r="AX633" i="8"/>
  <c r="BG633" i="8"/>
  <c r="AY633" i="8"/>
  <c r="BH633" i="8"/>
  <c r="AS633" i="8"/>
  <c r="BA633" i="8"/>
  <c r="BJ633" i="8"/>
  <c r="BC633" i="8"/>
  <c r="BE633" i="8"/>
  <c r="BI633" i="8"/>
  <c r="BK633" i="8"/>
  <c r="AR633" i="8"/>
  <c r="AT633" i="8"/>
  <c r="AV633" i="8"/>
  <c r="AZ633" i="8"/>
  <c r="AW604" i="8"/>
  <c r="BF604" i="8"/>
  <c r="AX604" i="8"/>
  <c r="BG604" i="8"/>
  <c r="AY604" i="8"/>
  <c r="BH604" i="8"/>
  <c r="AR604" i="8"/>
  <c r="AZ604" i="8"/>
  <c r="BI604" i="8"/>
  <c r="AS604" i="8"/>
  <c r="BA604" i="8"/>
  <c r="BJ604" i="8"/>
  <c r="AT604" i="8"/>
  <c r="BC604" i="8"/>
  <c r="BK604" i="8"/>
  <c r="AU604" i="8"/>
  <c r="BD604" i="8"/>
  <c r="BL604" i="8"/>
  <c r="AV604" i="8"/>
  <c r="BE604" i="8"/>
  <c r="AT658" i="8"/>
  <c r="BC658" i="8"/>
  <c r="BK658" i="8"/>
  <c r="AU658" i="8"/>
  <c r="BD658" i="8"/>
  <c r="BL658" i="8"/>
  <c r="AV658" i="8"/>
  <c r="BE658" i="8"/>
  <c r="AW658" i="8"/>
  <c r="BF658" i="8"/>
  <c r="AX658" i="8"/>
  <c r="BG658" i="8"/>
  <c r="AY658" i="8"/>
  <c r="BH658" i="8"/>
  <c r="AR658" i="8"/>
  <c r="AZ658" i="8"/>
  <c r="BI658" i="8"/>
  <c r="AS658" i="8"/>
  <c r="BA658" i="8"/>
  <c r="BJ658" i="8"/>
  <c r="AU665" i="8"/>
  <c r="BD665" i="8"/>
  <c r="BL665" i="8"/>
  <c r="AV665" i="8"/>
  <c r="BE665" i="8"/>
  <c r="AW665" i="8"/>
  <c r="BF665" i="8"/>
  <c r="AX665" i="8"/>
  <c r="BG665" i="8"/>
  <c r="AY665" i="8"/>
  <c r="BH665" i="8"/>
  <c r="AR665" i="8"/>
  <c r="AZ665" i="8"/>
  <c r="BI665" i="8"/>
  <c r="AS665" i="8"/>
  <c r="BA665" i="8"/>
  <c r="BJ665" i="8"/>
  <c r="AT665" i="8"/>
  <c r="BC665" i="8"/>
  <c r="BK665" i="8"/>
  <c r="AL633" i="8"/>
  <c r="AL642" i="8"/>
  <c r="AL665" i="8"/>
  <c r="AL644" i="8"/>
  <c r="AL604" i="8"/>
  <c r="AM658" i="8"/>
  <c r="BU658" i="8"/>
  <c r="AN658" i="8"/>
  <c r="BV658" i="8"/>
  <c r="AM644" i="8"/>
  <c r="BU644" i="8"/>
  <c r="AN644" i="8"/>
  <c r="BV644" i="8"/>
  <c r="AL658" i="8"/>
  <c r="AM642" i="8"/>
  <c r="AN642" i="8"/>
  <c r="BV642" i="8"/>
  <c r="AM604" i="8"/>
  <c r="BU604" i="8"/>
  <c r="AN604" i="8"/>
  <c r="BV604" i="8"/>
  <c r="AM665" i="8"/>
  <c r="BU665" i="8"/>
  <c r="AN665" i="8"/>
  <c r="BV665" i="8"/>
  <c r="AM633" i="8"/>
  <c r="BU633" i="8"/>
  <c r="AN633" i="8"/>
  <c r="BV633" i="8"/>
  <c r="Y616" i="8"/>
  <c r="AA616" i="8"/>
  <c r="U616" i="8"/>
  <c r="U633" i="8"/>
  <c r="U665" i="8"/>
  <c r="U642" i="8"/>
  <c r="BO665" i="8"/>
  <c r="BO642" i="8"/>
  <c r="BN644" i="8"/>
  <c r="BO633" i="8"/>
  <c r="BN642" i="8"/>
  <c r="BN658" i="8"/>
  <c r="BO658" i="8"/>
  <c r="BO604" i="8"/>
  <c r="BN604" i="8"/>
  <c r="BN633" i="8"/>
  <c r="BN616" i="8"/>
  <c r="BO644" i="8"/>
  <c r="BN665" i="8"/>
  <c r="BO616" i="8"/>
  <c r="BU642" i="8"/>
  <c r="AN616" i="8"/>
  <c r="BV616" i="8"/>
  <c r="AM616" i="8"/>
  <c r="BU616" i="8"/>
  <c r="AL616" i="8"/>
  <c r="BT642" i="8"/>
  <c r="BW642" i="8"/>
  <c r="BT616" i="8"/>
  <c r="BW616" i="8"/>
  <c r="BT604" i="8"/>
  <c r="BP644" i="8"/>
  <c r="BT644" i="8"/>
  <c r="BW644" i="8"/>
  <c r="BP665" i="8"/>
  <c r="BT665" i="8"/>
  <c r="BW665" i="8"/>
  <c r="BT633" i="8"/>
  <c r="BW633" i="8"/>
  <c r="BP658" i="8"/>
  <c r="BT658" i="8"/>
  <c r="BW658" i="8"/>
  <c r="AK14" i="8"/>
  <c r="AE31" i="8"/>
  <c r="V31" i="8"/>
  <c r="X31" i="8"/>
  <c r="AI35" i="8"/>
  <c r="AI31" i="8"/>
  <c r="AI36" i="8"/>
  <c r="AI38" i="8"/>
  <c r="AI37" i="8"/>
  <c r="AI39" i="8"/>
  <c r="AI40" i="8"/>
  <c r="AI41" i="8"/>
  <c r="AI42" i="8"/>
  <c r="AI43" i="8"/>
  <c r="AI44" i="8"/>
  <c r="AI16" i="8"/>
  <c r="AI45" i="8"/>
  <c r="AI14" i="8"/>
  <c r="AI46" i="8"/>
  <c r="AI47" i="8"/>
  <c r="AI48" i="8"/>
  <c r="AI49" i="8"/>
  <c r="AI50" i="8"/>
  <c r="AI51" i="8"/>
  <c r="AI52" i="8"/>
  <c r="AI53" i="8"/>
  <c r="AI54" i="8"/>
  <c r="AI55" i="8"/>
  <c r="AI56" i="8"/>
  <c r="AI15" i="8"/>
  <c r="AI546" i="8"/>
  <c r="AI547" i="8"/>
  <c r="AI58" i="8"/>
  <c r="AI59" i="8"/>
  <c r="AI60" i="8"/>
  <c r="AI61" i="8"/>
  <c r="AI62" i="8"/>
  <c r="AI63" i="8"/>
  <c r="AI64" i="8"/>
  <c r="AI65" i="8"/>
  <c r="AI66" i="8"/>
  <c r="AI67" i="8"/>
  <c r="AI781" i="8"/>
  <c r="AI68" i="8"/>
  <c r="AI69" i="8"/>
  <c r="AI70" i="8"/>
  <c r="AI71" i="8"/>
  <c r="AI72" i="8"/>
  <c r="AI73" i="8"/>
  <c r="AI74" i="8"/>
  <c r="AI75" i="8"/>
  <c r="AI76" i="8"/>
  <c r="AI81" i="8"/>
  <c r="AI77" i="8"/>
  <c r="AI80" i="8"/>
  <c r="AI78" i="8"/>
  <c r="AI79" i="8"/>
  <c r="AI82" i="8"/>
  <c r="AI83" i="8"/>
  <c r="AI84" i="8"/>
  <c r="AI85" i="8"/>
  <c r="AI86" i="8"/>
  <c r="AI87" i="8"/>
  <c r="AI89" i="8"/>
  <c r="AI88" i="8"/>
  <c r="AI90" i="8"/>
  <c r="AI91" i="8"/>
  <c r="AI92" i="8"/>
  <c r="AI780" i="8"/>
  <c r="AI808" i="8"/>
  <c r="AI93" i="8"/>
  <c r="AI17" i="8"/>
  <c r="AI94" i="8"/>
  <c r="AI95" i="8"/>
  <c r="AI96" i="8"/>
  <c r="AI785" i="8"/>
  <c r="AI97" i="8"/>
  <c r="AI98" i="8"/>
  <c r="AI99" i="8"/>
  <c r="AI100" i="8"/>
  <c r="AI101" i="8"/>
  <c r="AI102" i="8"/>
  <c r="AI103" i="8"/>
  <c r="AI104" i="8"/>
  <c r="AI111" i="8"/>
  <c r="AI109" i="8"/>
  <c r="AI107" i="8"/>
  <c r="AI108" i="8"/>
  <c r="AI106" i="8"/>
  <c r="AI105" i="8"/>
  <c r="AI116" i="8"/>
  <c r="AI112" i="8"/>
  <c r="AI115" i="8"/>
  <c r="AI113" i="8"/>
  <c r="AI114" i="8"/>
  <c r="AI110" i="8"/>
  <c r="AI118" i="8"/>
  <c r="AI117" i="8"/>
  <c r="AI119" i="8"/>
  <c r="AI120" i="8"/>
  <c r="AI122" i="8"/>
  <c r="AI121" i="8"/>
  <c r="AI123" i="8"/>
  <c r="AI551" i="8"/>
  <c r="AI124" i="8"/>
  <c r="AI125" i="8"/>
  <c r="AI126" i="8"/>
  <c r="AI128" i="8"/>
  <c r="AI129" i="8"/>
  <c r="AI130" i="8"/>
  <c r="AI131" i="8"/>
  <c r="AI127" i="8"/>
  <c r="AI132" i="8"/>
  <c r="AI133" i="8"/>
  <c r="AI134" i="8"/>
  <c r="AI22" i="8"/>
  <c r="AI135" i="8"/>
  <c r="AI535" i="8"/>
  <c r="AI136" i="8"/>
  <c r="AI137" i="8"/>
  <c r="AI138" i="8"/>
  <c r="AI139" i="8"/>
  <c r="AI140" i="8"/>
  <c r="AI141" i="8"/>
  <c r="AI142" i="8"/>
  <c r="AI143" i="8"/>
  <c r="AI144" i="8"/>
  <c r="AI145" i="8"/>
  <c r="AI146" i="8"/>
  <c r="AI147" i="8"/>
  <c r="AI148" i="8"/>
  <c r="AI149" i="8"/>
  <c r="AI150" i="8"/>
  <c r="AI151" i="8"/>
  <c r="AI152" i="8"/>
  <c r="AI23" i="8"/>
  <c r="AI29" i="8"/>
  <c r="AI153" i="8"/>
  <c r="AI154" i="8"/>
  <c r="AI156" i="8"/>
  <c r="AI155" i="8"/>
  <c r="AI157" i="8"/>
  <c r="AI158" i="8"/>
  <c r="AI161" i="8"/>
  <c r="AI160" i="8"/>
  <c r="AI159" i="8"/>
  <c r="AI490" i="8"/>
  <c r="AI548" i="8"/>
  <c r="AI552" i="8"/>
  <c r="AI162" i="8"/>
  <c r="AI491" i="8"/>
  <c r="AI163" i="8"/>
  <c r="AI164" i="8"/>
  <c r="AI165" i="8"/>
  <c r="AI169" i="8"/>
  <c r="AI166" i="8"/>
  <c r="AI170" i="8"/>
  <c r="AI172" i="8"/>
  <c r="AI167" i="8"/>
  <c r="AI174" i="8"/>
  <c r="AI168" i="8"/>
  <c r="AI171" i="8"/>
  <c r="AI173" i="8"/>
  <c r="AI176" i="8"/>
  <c r="AI175" i="8"/>
  <c r="AI177" i="8"/>
  <c r="AI178" i="8"/>
  <c r="AI179" i="8"/>
  <c r="AI180" i="8"/>
  <c r="AI181" i="8"/>
  <c r="AI182" i="8"/>
  <c r="AI185" i="8"/>
  <c r="AI184" i="8"/>
  <c r="AI183" i="8"/>
  <c r="AI186" i="8"/>
  <c r="AI187" i="8"/>
  <c r="AI188" i="8"/>
  <c r="AI189" i="8"/>
  <c r="AI190" i="8"/>
  <c r="AI191" i="8"/>
  <c r="AI553" i="8"/>
  <c r="AI192" i="8"/>
  <c r="AI193" i="8"/>
  <c r="AI194" i="8"/>
  <c r="AI195" i="8"/>
  <c r="AI196" i="8"/>
  <c r="AI197" i="8"/>
  <c r="AI198" i="8"/>
  <c r="AI199" i="8"/>
  <c r="AI200" i="8"/>
  <c r="AI26" i="8"/>
  <c r="AI492" i="8"/>
  <c r="AI536" i="8"/>
  <c r="AI493" i="8"/>
  <c r="AI201" i="8"/>
  <c r="AI202" i="8"/>
  <c r="AI203" i="8"/>
  <c r="AI204" i="8"/>
  <c r="AI205" i="8"/>
  <c r="AI206" i="8"/>
  <c r="AI207" i="8"/>
  <c r="AI214" i="8"/>
  <c r="AI216" i="8"/>
  <c r="AI217" i="8"/>
  <c r="AI215" i="8"/>
  <c r="AI209" i="8"/>
  <c r="AI210" i="8"/>
  <c r="AI211" i="8"/>
  <c r="AI212" i="8"/>
  <c r="AI213" i="8"/>
  <c r="AI218" i="8"/>
  <c r="AI220" i="8"/>
  <c r="AI221" i="8"/>
  <c r="AI222" i="8"/>
  <c r="AI208" i="8"/>
  <c r="AI223" i="8"/>
  <c r="AI219" i="8"/>
  <c r="AI226" i="8"/>
  <c r="AI224" i="8"/>
  <c r="AI225" i="8"/>
  <c r="AI227" i="8"/>
  <c r="AI228" i="8"/>
  <c r="AI229" i="8"/>
  <c r="AI230" i="8"/>
  <c r="AI231" i="8"/>
  <c r="AI232" i="8"/>
  <c r="AI494" i="8"/>
  <c r="AI234" i="8"/>
  <c r="AI233" i="8"/>
  <c r="AI247" i="8"/>
  <c r="AI248" i="8"/>
  <c r="AI240" i="8"/>
  <c r="AI241" i="8"/>
  <c r="AI236" i="8"/>
  <c r="AI243" i="8"/>
  <c r="AI245" i="8"/>
  <c r="AI238" i="8"/>
  <c r="AI242" i="8"/>
  <c r="AI237" i="8"/>
  <c r="AI246" i="8"/>
  <c r="AI235" i="8"/>
  <c r="AI244" i="8"/>
  <c r="AI239" i="8"/>
  <c r="AI249" i="8"/>
  <c r="AI250" i="8"/>
  <c r="AI251" i="8"/>
  <c r="AI252" i="8"/>
  <c r="AI253" i="8"/>
  <c r="AI254" i="8"/>
  <c r="AI255" i="8"/>
  <c r="AI495" i="8"/>
  <c r="AI256" i="8"/>
  <c r="AI257" i="8"/>
  <c r="AI555" i="8"/>
  <c r="AI262" i="8"/>
  <c r="AI258" i="8"/>
  <c r="AI259" i="8"/>
  <c r="AI260" i="8"/>
  <c r="AI261" i="8"/>
  <c r="AI263" i="8"/>
  <c r="AI264" i="8"/>
  <c r="AI266" i="8"/>
  <c r="AI267" i="8"/>
  <c r="AI268" i="8"/>
  <c r="AI269" i="8"/>
  <c r="AI270" i="8"/>
  <c r="AI271" i="8"/>
  <c r="AI272" i="8"/>
  <c r="AI273" i="8"/>
  <c r="AI274" i="8"/>
  <c r="AI561" i="8"/>
  <c r="AI275" i="8"/>
  <c r="AI280" i="8"/>
  <c r="AI281" i="8"/>
  <c r="AI282" i="8"/>
  <c r="AI283" i="8"/>
  <c r="AI277" i="8"/>
  <c r="AI284" i="8"/>
  <c r="AI285" i="8"/>
  <c r="AI286" i="8"/>
  <c r="AI287" i="8"/>
  <c r="AI288" i="8"/>
  <c r="AI289" i="8"/>
  <c r="AI290" i="8"/>
  <c r="AI291" i="8"/>
  <c r="AI292" i="8"/>
  <c r="AI293" i="8"/>
  <c r="AI294" i="8"/>
  <c r="AI295" i="8"/>
  <c r="AI296" i="8"/>
  <c r="AI276" i="8"/>
  <c r="AI297" i="8"/>
  <c r="AI278" i="8"/>
  <c r="AI279" i="8"/>
  <c r="AI298" i="8"/>
  <c r="AI300" i="8"/>
  <c r="AI299" i="8"/>
  <c r="AI301" i="8"/>
  <c r="AI302" i="8"/>
  <c r="AI303" i="8"/>
  <c r="AI304" i="8"/>
  <c r="AI305" i="8"/>
  <c r="AI306" i="8"/>
  <c r="AI307" i="8"/>
  <c r="AI308" i="8"/>
  <c r="AI309" i="8"/>
  <c r="AI310" i="8"/>
  <c r="AI312" i="8"/>
  <c r="AI313" i="8"/>
  <c r="AI314" i="8"/>
  <c r="AI315" i="8"/>
  <c r="AI316" i="8"/>
  <c r="AI317" i="8"/>
  <c r="AI318" i="8"/>
  <c r="AI319" i="8"/>
  <c r="AI320" i="8"/>
  <c r="AI321" i="8"/>
  <c r="AI322" i="8"/>
  <c r="AI323" i="8"/>
  <c r="AI324" i="8"/>
  <c r="AI325" i="8"/>
  <c r="AI326" i="8"/>
  <c r="AI327" i="8"/>
  <c r="AI328" i="8"/>
  <c r="AI329" i="8"/>
  <c r="AI330" i="8"/>
  <c r="AI331" i="8"/>
  <c r="AI332" i="8"/>
  <c r="AI333" i="8"/>
  <c r="AI311" i="8"/>
  <c r="AI334" i="8"/>
  <c r="AI335" i="8"/>
  <c r="AI336" i="8"/>
  <c r="AI337" i="8"/>
  <c r="AI338" i="8"/>
  <c r="AI339" i="8"/>
  <c r="AI340" i="8"/>
  <c r="AI341" i="8"/>
  <c r="AI342" i="8"/>
  <c r="AI343" i="8"/>
  <c r="AI344" i="8"/>
  <c r="AI345" i="8"/>
  <c r="AI388" i="8"/>
  <c r="AI362" i="8"/>
  <c r="AI363" i="8"/>
  <c r="AI367" i="8"/>
  <c r="AI369" i="8"/>
  <c r="AI370" i="8"/>
  <c r="AI371" i="8"/>
  <c r="AI372" i="8"/>
  <c r="AI373" i="8"/>
  <c r="AI374" i="8"/>
  <c r="AI377" i="8"/>
  <c r="AI378" i="8"/>
  <c r="AI383" i="8"/>
  <c r="AI384" i="8"/>
  <c r="AI361" i="8"/>
  <c r="AI364" i="8"/>
  <c r="AI365" i="8"/>
  <c r="AI366" i="8"/>
  <c r="AI368" i="8"/>
  <c r="AI380" i="8"/>
  <c r="AI375" i="8"/>
  <c r="AI376" i="8"/>
  <c r="AI379" i="8"/>
  <c r="AI381" i="8"/>
  <c r="AI382" i="8"/>
  <c r="AI385" i="8"/>
  <c r="AI386" i="8"/>
  <c r="AI387" i="8"/>
  <c r="U34" i="8"/>
  <c r="U35" i="8"/>
  <c r="U31" i="8"/>
  <c r="U36" i="8"/>
  <c r="U38" i="8"/>
  <c r="U37" i="8"/>
  <c r="U39" i="8"/>
  <c r="U40" i="8"/>
  <c r="U41" i="8"/>
  <c r="U42" i="8"/>
  <c r="U43" i="8"/>
  <c r="U44" i="8"/>
  <c r="U16" i="8"/>
  <c r="U45" i="8"/>
  <c r="U14" i="8"/>
  <c r="U46" i="8"/>
  <c r="U47" i="8"/>
  <c r="U48" i="8"/>
  <c r="U49" i="8"/>
  <c r="U50" i="8"/>
  <c r="U51" i="8"/>
  <c r="U52" i="8"/>
  <c r="U53" i="8"/>
  <c r="U54" i="8"/>
  <c r="U55" i="8"/>
  <c r="U56" i="8"/>
  <c r="U15" i="8"/>
  <c r="U546" i="8"/>
  <c r="U547" i="8"/>
  <c r="U58" i="8"/>
  <c r="U59" i="8"/>
  <c r="U60" i="8"/>
  <c r="U61" i="8"/>
  <c r="U62" i="8"/>
  <c r="U63" i="8"/>
  <c r="U64" i="8"/>
  <c r="U65" i="8"/>
  <c r="U66" i="8"/>
  <c r="U67" i="8"/>
  <c r="U781" i="8"/>
  <c r="U68" i="8"/>
  <c r="U69" i="8"/>
  <c r="U70" i="8"/>
  <c r="U71" i="8"/>
  <c r="U72" i="8"/>
  <c r="U73" i="8"/>
  <c r="U74" i="8"/>
  <c r="U75" i="8"/>
  <c r="U76" i="8"/>
  <c r="U81" i="8"/>
  <c r="U77" i="8"/>
  <c r="U80" i="8"/>
  <c r="U78" i="8"/>
  <c r="U79" i="8"/>
  <c r="U82" i="8"/>
  <c r="U83" i="8"/>
  <c r="U84" i="8"/>
  <c r="U85" i="8"/>
  <c r="U86" i="8"/>
  <c r="U87" i="8"/>
  <c r="U89" i="8"/>
  <c r="U88" i="8"/>
  <c r="U90" i="8"/>
  <c r="U91" i="8"/>
  <c r="U92" i="8"/>
  <c r="U780" i="8"/>
  <c r="U808" i="8"/>
  <c r="U93" i="8"/>
  <c r="U17" i="8"/>
  <c r="U94" i="8"/>
  <c r="U95" i="8"/>
  <c r="U96" i="8"/>
  <c r="U785" i="8"/>
  <c r="U97" i="8"/>
  <c r="U98" i="8"/>
  <c r="U99" i="8"/>
  <c r="U100" i="8"/>
  <c r="U101" i="8"/>
  <c r="U102" i="8"/>
  <c r="U103" i="8"/>
  <c r="U104" i="8"/>
  <c r="U111" i="8"/>
  <c r="U109" i="8"/>
  <c r="U107" i="8"/>
  <c r="U108" i="8"/>
  <c r="U106" i="8"/>
  <c r="U105" i="8"/>
  <c r="U116" i="8"/>
  <c r="U112" i="8"/>
  <c r="U115" i="8"/>
  <c r="U113" i="8"/>
  <c r="U114" i="8"/>
  <c r="U110" i="8"/>
  <c r="U118" i="8"/>
  <c r="U117" i="8"/>
  <c r="U119" i="8"/>
  <c r="U120" i="8"/>
  <c r="U122" i="8"/>
  <c r="U121" i="8"/>
  <c r="U123" i="8"/>
  <c r="U551" i="8"/>
  <c r="U124" i="8"/>
  <c r="U125" i="8"/>
  <c r="U126" i="8"/>
  <c r="U128" i="8"/>
  <c r="U129" i="8"/>
  <c r="U130" i="8"/>
  <c r="U131" i="8"/>
  <c r="U127" i="8"/>
  <c r="U132" i="8"/>
  <c r="U133" i="8"/>
  <c r="U134" i="8"/>
  <c r="U22" i="8"/>
  <c r="U135" i="8"/>
  <c r="U535" i="8"/>
  <c r="U136" i="8"/>
  <c r="U137" i="8"/>
  <c r="U138" i="8"/>
  <c r="U139" i="8"/>
  <c r="U140" i="8"/>
  <c r="U141" i="8"/>
  <c r="U142" i="8"/>
  <c r="U143" i="8"/>
  <c r="U144" i="8"/>
  <c r="U145" i="8"/>
  <c r="U146" i="8"/>
  <c r="U147" i="8"/>
  <c r="U148" i="8"/>
  <c r="U149" i="8"/>
  <c r="U150" i="8"/>
  <c r="U151" i="8"/>
  <c r="U152" i="8"/>
  <c r="U23" i="8"/>
  <c r="U29" i="8"/>
  <c r="U153" i="8"/>
  <c r="U154" i="8"/>
  <c r="U156" i="8"/>
  <c r="U155" i="8"/>
  <c r="U157" i="8"/>
  <c r="U158" i="8"/>
  <c r="U161" i="8"/>
  <c r="U160" i="8"/>
  <c r="U159" i="8"/>
  <c r="U490" i="8"/>
  <c r="U548" i="8"/>
  <c r="U552" i="8"/>
  <c r="U162" i="8"/>
  <c r="U491" i="8"/>
  <c r="U163" i="8"/>
  <c r="U164" i="8"/>
  <c r="U165" i="8"/>
  <c r="U169" i="8"/>
  <c r="U166" i="8"/>
  <c r="U170" i="8"/>
  <c r="U172" i="8"/>
  <c r="U167" i="8"/>
  <c r="U174" i="8"/>
  <c r="U168" i="8"/>
  <c r="U171" i="8"/>
  <c r="U173" i="8"/>
  <c r="U176" i="8"/>
  <c r="U175" i="8"/>
  <c r="U177" i="8"/>
  <c r="U178" i="8"/>
  <c r="U179" i="8"/>
  <c r="U180" i="8"/>
  <c r="U181" i="8"/>
  <c r="U182" i="8"/>
  <c r="U185" i="8"/>
  <c r="U184" i="8"/>
  <c r="U183" i="8"/>
  <c r="U186" i="8"/>
  <c r="U187" i="8"/>
  <c r="U188" i="8"/>
  <c r="U189" i="8"/>
  <c r="U190" i="8"/>
  <c r="U191" i="8"/>
  <c r="U553" i="8"/>
  <c r="U192" i="8"/>
  <c r="U193" i="8"/>
  <c r="U194" i="8"/>
  <c r="U195" i="8"/>
  <c r="U196" i="8"/>
  <c r="U197" i="8"/>
  <c r="U198" i="8"/>
  <c r="U199" i="8"/>
  <c r="U200" i="8"/>
  <c r="U26" i="8"/>
  <c r="U492" i="8"/>
  <c r="U536" i="8"/>
  <c r="U493" i="8"/>
  <c r="U201" i="8"/>
  <c r="U202" i="8"/>
  <c r="U203" i="8"/>
  <c r="U204" i="8"/>
  <c r="U205" i="8"/>
  <c r="U206" i="8"/>
  <c r="U207" i="8"/>
  <c r="U214" i="8"/>
  <c r="U216" i="8"/>
  <c r="U217" i="8"/>
  <c r="U215" i="8"/>
  <c r="U209" i="8"/>
  <c r="U210" i="8"/>
  <c r="U211" i="8"/>
  <c r="U212" i="8"/>
  <c r="U213" i="8"/>
  <c r="U218" i="8"/>
  <c r="U220" i="8"/>
  <c r="U221" i="8"/>
  <c r="U222" i="8"/>
  <c r="U208" i="8"/>
  <c r="U223" i="8"/>
  <c r="U219" i="8"/>
  <c r="U226" i="8"/>
  <c r="U224" i="8"/>
  <c r="U225" i="8"/>
  <c r="U227" i="8"/>
  <c r="U228" i="8"/>
  <c r="U229" i="8"/>
  <c r="U230" i="8"/>
  <c r="U231" i="8"/>
  <c r="U232" i="8"/>
  <c r="U494" i="8"/>
  <c r="U234" i="8"/>
  <c r="U233" i="8"/>
  <c r="U247" i="8"/>
  <c r="U248" i="8"/>
  <c r="U240" i="8"/>
  <c r="U241" i="8"/>
  <c r="U236" i="8"/>
  <c r="U243" i="8"/>
  <c r="U245" i="8"/>
  <c r="U238" i="8"/>
  <c r="U242" i="8"/>
  <c r="U237" i="8"/>
  <c r="U246" i="8"/>
  <c r="U235" i="8"/>
  <c r="U244" i="8"/>
  <c r="U239" i="8"/>
  <c r="U249" i="8"/>
  <c r="U250" i="8"/>
  <c r="U251" i="8"/>
  <c r="U252" i="8"/>
  <c r="U253" i="8"/>
  <c r="U254" i="8"/>
  <c r="U255" i="8"/>
  <c r="U495" i="8"/>
  <c r="U256" i="8"/>
  <c r="U257" i="8"/>
  <c r="U555" i="8"/>
  <c r="U262" i="8"/>
  <c r="U258" i="8"/>
  <c r="U259" i="8"/>
  <c r="U260" i="8"/>
  <c r="U261" i="8"/>
  <c r="U263" i="8"/>
  <c r="U264" i="8"/>
  <c r="U266" i="8"/>
  <c r="U267" i="8"/>
  <c r="U268" i="8"/>
  <c r="U269" i="8"/>
  <c r="U270" i="8"/>
  <c r="U271" i="8"/>
  <c r="U272" i="8"/>
  <c r="U273" i="8"/>
  <c r="U274" i="8"/>
  <c r="U561" i="8"/>
  <c r="U275" i="8"/>
  <c r="U280" i="8"/>
  <c r="U281" i="8"/>
  <c r="U282" i="8"/>
  <c r="U283" i="8"/>
  <c r="U277" i="8"/>
  <c r="U284" i="8"/>
  <c r="U285" i="8"/>
  <c r="U286" i="8"/>
  <c r="U287" i="8"/>
  <c r="U288" i="8"/>
  <c r="U289" i="8"/>
  <c r="U290" i="8"/>
  <c r="U291" i="8"/>
  <c r="U292" i="8"/>
  <c r="U293" i="8"/>
  <c r="U294" i="8"/>
  <c r="U295" i="8"/>
  <c r="U296" i="8"/>
  <c r="U276" i="8"/>
  <c r="U297" i="8"/>
  <c r="U278" i="8"/>
  <c r="U279" i="8"/>
  <c r="U298" i="8"/>
  <c r="U300" i="8"/>
  <c r="U299" i="8"/>
  <c r="U301" i="8"/>
  <c r="U302" i="8"/>
  <c r="U303" i="8"/>
  <c r="U304" i="8"/>
  <c r="U305" i="8"/>
  <c r="U306" i="8"/>
  <c r="U307" i="8"/>
  <c r="U308" i="8"/>
  <c r="U309" i="8"/>
  <c r="U310" i="8"/>
  <c r="U312" i="8"/>
  <c r="U313" i="8"/>
  <c r="U314" i="8"/>
  <c r="U315" i="8"/>
  <c r="U316" i="8"/>
  <c r="U317" i="8"/>
  <c r="U318" i="8"/>
  <c r="U319" i="8"/>
  <c r="U320" i="8"/>
  <c r="U321" i="8"/>
  <c r="U322" i="8"/>
  <c r="U323" i="8"/>
  <c r="U324" i="8"/>
  <c r="U325" i="8"/>
  <c r="U326" i="8"/>
  <c r="U327" i="8"/>
  <c r="U328" i="8"/>
  <c r="U329" i="8"/>
  <c r="U330" i="8"/>
  <c r="U331" i="8"/>
  <c r="U332" i="8"/>
  <c r="U333" i="8"/>
  <c r="U311" i="8"/>
  <c r="U334" i="8"/>
  <c r="U335" i="8"/>
  <c r="U336" i="8"/>
  <c r="U337" i="8"/>
  <c r="U338" i="8"/>
  <c r="U339" i="8"/>
  <c r="U340" i="8"/>
  <c r="U341" i="8"/>
  <c r="U342" i="8"/>
  <c r="U343" i="8"/>
  <c r="U344" i="8"/>
  <c r="U345" i="8"/>
  <c r="U388" i="8"/>
  <c r="U362" i="8"/>
  <c r="U363" i="8"/>
  <c r="U367" i="8"/>
  <c r="U369" i="8"/>
  <c r="U370" i="8"/>
  <c r="U371" i="8"/>
  <c r="U372" i="8"/>
  <c r="U373" i="8"/>
  <c r="U374" i="8"/>
  <c r="U377" i="8"/>
  <c r="U378" i="8"/>
  <c r="U383" i="8"/>
  <c r="U384" i="8"/>
  <c r="U361" i="8"/>
  <c r="U364" i="8"/>
  <c r="U365" i="8"/>
  <c r="U366" i="8"/>
  <c r="U368" i="8"/>
  <c r="U380" i="8"/>
  <c r="U375" i="8"/>
  <c r="U376" i="8"/>
  <c r="U379" i="8"/>
  <c r="U381" i="8"/>
  <c r="U382" i="8"/>
  <c r="U385" i="8"/>
  <c r="U386" i="8"/>
  <c r="U387" i="8"/>
  <c r="U571" i="8"/>
  <c r="U572" i="8"/>
  <c r="U574" i="8"/>
  <c r="U575" i="8"/>
  <c r="U577" i="8"/>
  <c r="U579" i="8"/>
  <c r="U580" i="8"/>
  <c r="U581" i="8"/>
  <c r="U582" i="8"/>
  <c r="U583" i="8"/>
  <c r="Y387" i="8"/>
  <c r="AA387" i="8"/>
  <c r="V387" i="8"/>
  <c r="X387" i="8"/>
  <c r="Y386" i="8"/>
  <c r="AA386" i="8"/>
  <c r="V386" i="8"/>
  <c r="X386" i="8"/>
  <c r="Y385" i="8"/>
  <c r="AA385" i="8"/>
  <c r="V385" i="8"/>
  <c r="Y382" i="8"/>
  <c r="AA382" i="8"/>
  <c r="V382" i="8"/>
  <c r="X382" i="8"/>
  <c r="Y381" i="8"/>
  <c r="AA381" i="8"/>
  <c r="V381" i="8"/>
  <c r="X381" i="8"/>
  <c r="Y379" i="8"/>
  <c r="AA379" i="8"/>
  <c r="V379" i="8"/>
  <c r="X379" i="8"/>
  <c r="Y376" i="8"/>
  <c r="AA376" i="8"/>
  <c r="V376" i="8"/>
  <c r="X376" i="8"/>
  <c r="Y375" i="8"/>
  <c r="AA375" i="8"/>
  <c r="V375" i="8"/>
  <c r="X375" i="8"/>
  <c r="Y380" i="8"/>
  <c r="AA380" i="8"/>
  <c r="V380" i="8"/>
  <c r="X380" i="8"/>
  <c r="Y368" i="8"/>
  <c r="AA368" i="8"/>
  <c r="V368" i="8"/>
  <c r="X368" i="8"/>
  <c r="Y366" i="8"/>
  <c r="AA366" i="8"/>
  <c r="V366" i="8"/>
  <c r="X366" i="8"/>
  <c r="Y365" i="8"/>
  <c r="AA365" i="8"/>
  <c r="V365" i="8"/>
  <c r="X365" i="8"/>
  <c r="Y364" i="8"/>
  <c r="AA364" i="8"/>
  <c r="V364" i="8"/>
  <c r="X364" i="8"/>
  <c r="Y361" i="8"/>
  <c r="AA361" i="8"/>
  <c r="V361" i="8"/>
  <c r="X361" i="8"/>
  <c r="Y384" i="8"/>
  <c r="AA384" i="8"/>
  <c r="V384" i="8"/>
  <c r="X384" i="8"/>
  <c r="Y383" i="8"/>
  <c r="AA383" i="8"/>
  <c r="V383" i="8"/>
  <c r="X383" i="8"/>
  <c r="Y378" i="8"/>
  <c r="AA378" i="8"/>
  <c r="V378" i="8"/>
  <c r="X378" i="8"/>
  <c r="Y377" i="8"/>
  <c r="AA377" i="8"/>
  <c r="V377" i="8"/>
  <c r="X377" i="8"/>
  <c r="Y374" i="8"/>
  <c r="AA374" i="8"/>
  <c r="V374" i="8"/>
  <c r="X374" i="8"/>
  <c r="Y373" i="8"/>
  <c r="AA373" i="8"/>
  <c r="V373" i="8"/>
  <c r="X373" i="8"/>
  <c r="Y372" i="8"/>
  <c r="AA372" i="8"/>
  <c r="V372" i="8"/>
  <c r="X372" i="8"/>
  <c r="Y371" i="8"/>
  <c r="AA371" i="8"/>
  <c r="V371" i="8"/>
  <c r="X371" i="8"/>
  <c r="Y370" i="8"/>
  <c r="AA370" i="8"/>
  <c r="V370" i="8"/>
  <c r="X370" i="8"/>
  <c r="Y369" i="8"/>
  <c r="AA369" i="8"/>
  <c r="V369" i="8"/>
  <c r="X369" i="8"/>
  <c r="Y367" i="8"/>
  <c r="AA367" i="8"/>
  <c r="V367" i="8"/>
  <c r="X367" i="8"/>
  <c r="Y363" i="8"/>
  <c r="AA363" i="8"/>
  <c r="V363" i="8"/>
  <c r="X363" i="8"/>
  <c r="Y362" i="8"/>
  <c r="AA362" i="8"/>
  <c r="V362" i="8"/>
  <c r="X362" i="8"/>
  <c r="Y388" i="8"/>
  <c r="AA388" i="8"/>
  <c r="V388" i="8"/>
  <c r="X388" i="8"/>
  <c r="Y345" i="8"/>
  <c r="AA345" i="8"/>
  <c r="V345" i="8"/>
  <c r="X345" i="8"/>
  <c r="Y344" i="8"/>
  <c r="AA344" i="8"/>
  <c r="V344" i="8"/>
  <c r="X344" i="8"/>
  <c r="Y343" i="8"/>
  <c r="AA343" i="8"/>
  <c r="V343" i="8"/>
  <c r="X343" i="8"/>
  <c r="Y342" i="8"/>
  <c r="AA342" i="8"/>
  <c r="V342" i="8"/>
  <c r="X342" i="8"/>
  <c r="Y341" i="8"/>
  <c r="AA341" i="8"/>
  <c r="V341" i="8"/>
  <c r="X341" i="8"/>
  <c r="Y340" i="8"/>
  <c r="AA340" i="8"/>
  <c r="V340" i="8"/>
  <c r="X340" i="8"/>
  <c r="Y339" i="8"/>
  <c r="AA339" i="8"/>
  <c r="V339" i="8"/>
  <c r="X339" i="8"/>
  <c r="Y338" i="8"/>
  <c r="AA338" i="8"/>
  <c r="V338" i="8"/>
  <c r="X338" i="8"/>
  <c r="Y337" i="8"/>
  <c r="AA337" i="8"/>
  <c r="V337" i="8"/>
  <c r="X337" i="8"/>
  <c r="Y336" i="8"/>
  <c r="AA336" i="8"/>
  <c r="V336" i="8"/>
  <c r="X336" i="8"/>
  <c r="Y335" i="8"/>
  <c r="AA335" i="8"/>
  <c r="V335" i="8"/>
  <c r="X335" i="8"/>
  <c r="Y334" i="8"/>
  <c r="AA334" i="8"/>
  <c r="V334" i="8"/>
  <c r="X334" i="8"/>
  <c r="Y311" i="8"/>
  <c r="AA311" i="8"/>
  <c r="V311" i="8"/>
  <c r="X311" i="8"/>
  <c r="Y333" i="8"/>
  <c r="AA333" i="8"/>
  <c r="V333" i="8"/>
  <c r="X333" i="8"/>
  <c r="Y332" i="8"/>
  <c r="AA332" i="8"/>
  <c r="V332" i="8"/>
  <c r="X332" i="8"/>
  <c r="Y331" i="8"/>
  <c r="AA331" i="8"/>
  <c r="V331" i="8"/>
  <c r="X331" i="8"/>
  <c r="Y330" i="8"/>
  <c r="AA330" i="8"/>
  <c r="V330" i="8"/>
  <c r="X330" i="8"/>
  <c r="Y329" i="8"/>
  <c r="AA329" i="8"/>
  <c r="V329" i="8"/>
  <c r="X329" i="8"/>
  <c r="Y328" i="8"/>
  <c r="AA328" i="8"/>
  <c r="V328" i="8"/>
  <c r="X328" i="8"/>
  <c r="Y327" i="8"/>
  <c r="AA327" i="8"/>
  <c r="V327" i="8"/>
  <c r="X327" i="8"/>
  <c r="Y326" i="8"/>
  <c r="AA326" i="8"/>
  <c r="V326" i="8"/>
  <c r="X326" i="8"/>
  <c r="Y325" i="8"/>
  <c r="AA325" i="8"/>
  <c r="V325" i="8"/>
  <c r="X325" i="8"/>
  <c r="Y324" i="8"/>
  <c r="AA324" i="8"/>
  <c r="V324" i="8"/>
  <c r="X324" i="8"/>
  <c r="Y323" i="8"/>
  <c r="AA323" i="8"/>
  <c r="V323" i="8"/>
  <c r="X323" i="8"/>
  <c r="Y322" i="8"/>
  <c r="AA322" i="8"/>
  <c r="V322" i="8"/>
  <c r="X322" i="8"/>
  <c r="Y321" i="8"/>
  <c r="AA321" i="8"/>
  <c r="V321" i="8"/>
  <c r="X321" i="8"/>
  <c r="Y320" i="8"/>
  <c r="AA320" i="8"/>
  <c r="V320" i="8"/>
  <c r="X320" i="8"/>
  <c r="Y319" i="8"/>
  <c r="AA319" i="8"/>
  <c r="V319" i="8"/>
  <c r="X319" i="8"/>
  <c r="Y318" i="8"/>
  <c r="AA318" i="8"/>
  <c r="V318" i="8"/>
  <c r="X318" i="8"/>
  <c r="Y317" i="8"/>
  <c r="AA317" i="8"/>
  <c r="V317" i="8"/>
  <c r="X317" i="8"/>
  <c r="Y316" i="8"/>
  <c r="AA316" i="8"/>
  <c r="V316" i="8"/>
  <c r="X316" i="8"/>
  <c r="Y315" i="8"/>
  <c r="AA315" i="8"/>
  <c r="V315" i="8"/>
  <c r="X315" i="8"/>
  <c r="Y314" i="8"/>
  <c r="AA314" i="8"/>
  <c r="V314" i="8"/>
  <c r="X314" i="8"/>
  <c r="Y313" i="8"/>
  <c r="AA313" i="8"/>
  <c r="V313" i="8"/>
  <c r="X313" i="8"/>
  <c r="Y312" i="8"/>
  <c r="AA312" i="8"/>
  <c r="V312" i="8"/>
  <c r="X312" i="8"/>
  <c r="Y310" i="8"/>
  <c r="AA310" i="8"/>
  <c r="V310" i="8"/>
  <c r="X310" i="8"/>
  <c r="Y309" i="8"/>
  <c r="AA309" i="8"/>
  <c r="V309" i="8"/>
  <c r="X309" i="8"/>
  <c r="Y308" i="8"/>
  <c r="AA308" i="8"/>
  <c r="V308" i="8"/>
  <c r="X308" i="8"/>
  <c r="Y307" i="8"/>
  <c r="AA307" i="8"/>
  <c r="V307" i="8"/>
  <c r="X307" i="8"/>
  <c r="Y306" i="8"/>
  <c r="AA306" i="8"/>
  <c r="V306" i="8"/>
  <c r="X306" i="8"/>
  <c r="Y305" i="8"/>
  <c r="AA305" i="8"/>
  <c r="V305" i="8"/>
  <c r="X305" i="8"/>
  <c r="Y304" i="8"/>
  <c r="AA304" i="8"/>
  <c r="V304" i="8"/>
  <c r="X304" i="8"/>
  <c r="Y303" i="8"/>
  <c r="AA303" i="8"/>
  <c r="V303" i="8"/>
  <c r="X303" i="8"/>
  <c r="Y302" i="8"/>
  <c r="AA302" i="8"/>
  <c r="V302" i="8"/>
  <c r="X302" i="8"/>
  <c r="Y301" i="8"/>
  <c r="AA301" i="8"/>
  <c r="V301" i="8"/>
  <c r="X301" i="8"/>
  <c r="Y299" i="8"/>
  <c r="AA299" i="8"/>
  <c r="V299" i="8"/>
  <c r="X299" i="8"/>
  <c r="Y300" i="8"/>
  <c r="AA300" i="8"/>
  <c r="V300" i="8"/>
  <c r="X300" i="8"/>
  <c r="Y298" i="8"/>
  <c r="AA298" i="8"/>
  <c r="V298" i="8"/>
  <c r="X298" i="8"/>
  <c r="Y279" i="8"/>
  <c r="AA279" i="8"/>
  <c r="V279" i="8"/>
  <c r="X279" i="8"/>
  <c r="Y278" i="8"/>
  <c r="AA278" i="8"/>
  <c r="V278" i="8"/>
  <c r="X278" i="8"/>
  <c r="Y297" i="8"/>
  <c r="AA297" i="8"/>
  <c r="V297" i="8"/>
  <c r="X297" i="8"/>
  <c r="Y276" i="8"/>
  <c r="AA276" i="8"/>
  <c r="V276" i="8"/>
  <c r="X276" i="8"/>
  <c r="Y296" i="8"/>
  <c r="AA296" i="8"/>
  <c r="V296" i="8"/>
  <c r="X296" i="8"/>
  <c r="Y295" i="8"/>
  <c r="AA295" i="8"/>
  <c r="V295" i="8"/>
  <c r="X295" i="8"/>
  <c r="Y294" i="8"/>
  <c r="AA294" i="8"/>
  <c r="V294" i="8"/>
  <c r="X294" i="8"/>
  <c r="Y293" i="8"/>
  <c r="AA293" i="8"/>
  <c r="V293" i="8"/>
  <c r="X293" i="8"/>
  <c r="Y292" i="8"/>
  <c r="AA292" i="8"/>
  <c r="V292" i="8"/>
  <c r="X292" i="8"/>
  <c r="Y291" i="8"/>
  <c r="AA291" i="8"/>
  <c r="V291" i="8"/>
  <c r="X291" i="8"/>
  <c r="Y290" i="8"/>
  <c r="AA290" i="8"/>
  <c r="V290" i="8"/>
  <c r="X290" i="8"/>
  <c r="Y289" i="8"/>
  <c r="AA289" i="8"/>
  <c r="V289" i="8"/>
  <c r="X289" i="8"/>
  <c r="Y288" i="8"/>
  <c r="AA288" i="8"/>
  <c r="V288" i="8"/>
  <c r="X288" i="8"/>
  <c r="Y287" i="8"/>
  <c r="AA287" i="8"/>
  <c r="V287" i="8"/>
  <c r="X287" i="8"/>
  <c r="Y286" i="8"/>
  <c r="AA286" i="8"/>
  <c r="V286" i="8"/>
  <c r="X286" i="8"/>
  <c r="Y285" i="8"/>
  <c r="AA285" i="8"/>
  <c r="V285" i="8"/>
  <c r="X285" i="8"/>
  <c r="Y284" i="8"/>
  <c r="AA284" i="8"/>
  <c r="V284" i="8"/>
  <c r="X284" i="8"/>
  <c r="Y277" i="8"/>
  <c r="AA277" i="8"/>
  <c r="V277" i="8"/>
  <c r="X277" i="8"/>
  <c r="Y283" i="8"/>
  <c r="AA283" i="8"/>
  <c r="V283" i="8"/>
  <c r="X283" i="8"/>
  <c r="Y282" i="8"/>
  <c r="AA282" i="8"/>
  <c r="V282" i="8"/>
  <c r="X282" i="8"/>
  <c r="Y281" i="8"/>
  <c r="AA281" i="8"/>
  <c r="V281" i="8"/>
  <c r="X281" i="8"/>
  <c r="Y280" i="8"/>
  <c r="AA280" i="8"/>
  <c r="V280" i="8"/>
  <c r="X280" i="8"/>
  <c r="Y275" i="8"/>
  <c r="AA275" i="8"/>
  <c r="V275" i="8"/>
  <c r="X275" i="8"/>
  <c r="Y561" i="8"/>
  <c r="AA561" i="8"/>
  <c r="V561" i="8"/>
  <c r="X561" i="8"/>
  <c r="Y274" i="8"/>
  <c r="AA274" i="8"/>
  <c r="V274" i="8"/>
  <c r="X274" i="8"/>
  <c r="Y273" i="8"/>
  <c r="AA273" i="8"/>
  <c r="V273" i="8"/>
  <c r="X273" i="8"/>
  <c r="Y272" i="8"/>
  <c r="AA272" i="8"/>
  <c r="V272" i="8"/>
  <c r="X272" i="8"/>
  <c r="Y271" i="8"/>
  <c r="AA271" i="8"/>
  <c r="V271" i="8"/>
  <c r="X271" i="8"/>
  <c r="Y270" i="8"/>
  <c r="AA270" i="8"/>
  <c r="V270" i="8"/>
  <c r="X270" i="8"/>
  <c r="Y269" i="8"/>
  <c r="AA269" i="8"/>
  <c r="V269" i="8"/>
  <c r="X269" i="8"/>
  <c r="Y268" i="8"/>
  <c r="AA268" i="8"/>
  <c r="V268" i="8"/>
  <c r="X268" i="8"/>
  <c r="Y267" i="8"/>
  <c r="AA267" i="8"/>
  <c r="V267" i="8"/>
  <c r="X267" i="8"/>
  <c r="Y266" i="8"/>
  <c r="AA266" i="8"/>
  <c r="V266" i="8"/>
  <c r="X266" i="8"/>
  <c r="Y264" i="8"/>
  <c r="AA264" i="8"/>
  <c r="V264" i="8"/>
  <c r="X264" i="8"/>
  <c r="Y263" i="8"/>
  <c r="AA263" i="8"/>
  <c r="V263" i="8"/>
  <c r="X263" i="8"/>
  <c r="Y261" i="8"/>
  <c r="AA261" i="8"/>
  <c r="V261" i="8"/>
  <c r="X261" i="8"/>
  <c r="Y260" i="8"/>
  <c r="AA260" i="8"/>
  <c r="V260" i="8"/>
  <c r="X260" i="8"/>
  <c r="Y259" i="8"/>
  <c r="AA259" i="8"/>
  <c r="V259" i="8"/>
  <c r="X259" i="8"/>
  <c r="Y258" i="8"/>
  <c r="AA258" i="8"/>
  <c r="V258" i="8"/>
  <c r="X258" i="8"/>
  <c r="Y262" i="8"/>
  <c r="AA262" i="8"/>
  <c r="V262" i="8"/>
  <c r="X262" i="8"/>
  <c r="Y555" i="8"/>
  <c r="AA555" i="8"/>
  <c r="V555" i="8"/>
  <c r="X555" i="8"/>
  <c r="Y257" i="8"/>
  <c r="AA257" i="8"/>
  <c r="V257" i="8"/>
  <c r="X257" i="8"/>
  <c r="Y256" i="8"/>
  <c r="AA256" i="8"/>
  <c r="V256" i="8"/>
  <c r="X256" i="8"/>
  <c r="Y495" i="8"/>
  <c r="AA495" i="8"/>
  <c r="V495" i="8"/>
  <c r="X495" i="8"/>
  <c r="Y255" i="8"/>
  <c r="AA255" i="8"/>
  <c r="V255" i="8"/>
  <c r="X255" i="8"/>
  <c r="Y254" i="8"/>
  <c r="AA254" i="8"/>
  <c r="V254" i="8"/>
  <c r="X254" i="8"/>
  <c r="Y253" i="8"/>
  <c r="AA253" i="8"/>
  <c r="V253" i="8"/>
  <c r="X253" i="8"/>
  <c r="Y252" i="8"/>
  <c r="AA252" i="8"/>
  <c r="V252" i="8"/>
  <c r="X252" i="8"/>
  <c r="Y251" i="8"/>
  <c r="AA251" i="8"/>
  <c r="V251" i="8"/>
  <c r="X251" i="8"/>
  <c r="Y250" i="8"/>
  <c r="AA250" i="8"/>
  <c r="V250" i="8"/>
  <c r="X250" i="8"/>
  <c r="Y249" i="8"/>
  <c r="AA249" i="8"/>
  <c r="V249" i="8"/>
  <c r="X249" i="8"/>
  <c r="Y239" i="8"/>
  <c r="AA239" i="8"/>
  <c r="V239" i="8"/>
  <c r="X239" i="8"/>
  <c r="Y244" i="8"/>
  <c r="AA244" i="8"/>
  <c r="V244" i="8"/>
  <c r="X244" i="8"/>
  <c r="Y235" i="8"/>
  <c r="AA235" i="8"/>
  <c r="V235" i="8"/>
  <c r="X235" i="8"/>
  <c r="Y246" i="8"/>
  <c r="AA246" i="8"/>
  <c r="V246" i="8"/>
  <c r="X246" i="8"/>
  <c r="Y237" i="8"/>
  <c r="AA237" i="8"/>
  <c r="V237" i="8"/>
  <c r="X237" i="8"/>
  <c r="Y242" i="8"/>
  <c r="AA242" i="8"/>
  <c r="V242" i="8"/>
  <c r="X242" i="8"/>
  <c r="Y238" i="8"/>
  <c r="AA238" i="8"/>
  <c r="V238" i="8"/>
  <c r="X238" i="8"/>
  <c r="Y245" i="8"/>
  <c r="AA245" i="8"/>
  <c r="V245" i="8"/>
  <c r="X245" i="8"/>
  <c r="Y243" i="8"/>
  <c r="AA243" i="8"/>
  <c r="V243" i="8"/>
  <c r="X243" i="8"/>
  <c r="Y236" i="8"/>
  <c r="AA236" i="8"/>
  <c r="V236" i="8"/>
  <c r="X236" i="8"/>
  <c r="Y241" i="8"/>
  <c r="AA241" i="8"/>
  <c r="V241" i="8"/>
  <c r="X241" i="8"/>
  <c r="Y240" i="8"/>
  <c r="AA240" i="8"/>
  <c r="V240" i="8"/>
  <c r="X240" i="8"/>
  <c r="Y248" i="8"/>
  <c r="AA248" i="8"/>
  <c r="V248" i="8"/>
  <c r="X248" i="8"/>
  <c r="Y247" i="8"/>
  <c r="AA247" i="8"/>
  <c r="V247" i="8"/>
  <c r="X247" i="8"/>
  <c r="Y233" i="8"/>
  <c r="AA233" i="8"/>
  <c r="V233" i="8"/>
  <c r="X233" i="8"/>
  <c r="Y234" i="8"/>
  <c r="AA234" i="8"/>
  <c r="V234" i="8"/>
  <c r="X234" i="8"/>
  <c r="Y494" i="8"/>
  <c r="AA494" i="8"/>
  <c r="V494" i="8"/>
  <c r="X494" i="8"/>
  <c r="Y232" i="8"/>
  <c r="AA232" i="8"/>
  <c r="V232" i="8"/>
  <c r="X232" i="8"/>
  <c r="Y231" i="8"/>
  <c r="AA231" i="8"/>
  <c r="V231" i="8"/>
  <c r="X231" i="8"/>
  <c r="Y230" i="8"/>
  <c r="AA230" i="8"/>
  <c r="V230" i="8"/>
  <c r="X230" i="8"/>
  <c r="Y229" i="8"/>
  <c r="AA229" i="8"/>
  <c r="V229" i="8"/>
  <c r="X229" i="8"/>
  <c r="Y228" i="8"/>
  <c r="AA228" i="8"/>
  <c r="V228" i="8"/>
  <c r="X228" i="8"/>
  <c r="Y227" i="8"/>
  <c r="AA227" i="8"/>
  <c r="V227" i="8"/>
  <c r="X227" i="8"/>
  <c r="Y225" i="8"/>
  <c r="AA225" i="8"/>
  <c r="V225" i="8"/>
  <c r="X225" i="8"/>
  <c r="Y224" i="8"/>
  <c r="AA224" i="8"/>
  <c r="V224" i="8"/>
  <c r="X224" i="8"/>
  <c r="Y226" i="8"/>
  <c r="AA226" i="8"/>
  <c r="V226" i="8"/>
  <c r="X226" i="8"/>
  <c r="Y219" i="8"/>
  <c r="AA219" i="8"/>
  <c r="V219" i="8"/>
  <c r="X219" i="8"/>
  <c r="Y223" i="8"/>
  <c r="AA223" i="8"/>
  <c r="V223" i="8"/>
  <c r="X223" i="8"/>
  <c r="Y208" i="8"/>
  <c r="AA208" i="8"/>
  <c r="V208" i="8"/>
  <c r="X208" i="8"/>
  <c r="Y222" i="8"/>
  <c r="AA222" i="8"/>
  <c r="V222" i="8"/>
  <c r="X222" i="8"/>
  <c r="Y221" i="8"/>
  <c r="AA221" i="8"/>
  <c r="V221" i="8"/>
  <c r="X221" i="8"/>
  <c r="Y220" i="8"/>
  <c r="AA220" i="8"/>
  <c r="V220" i="8"/>
  <c r="X220" i="8"/>
  <c r="Y218" i="8"/>
  <c r="AA218" i="8"/>
  <c r="V218" i="8"/>
  <c r="X218" i="8"/>
  <c r="Y213" i="8"/>
  <c r="AA213" i="8"/>
  <c r="V213" i="8"/>
  <c r="X213" i="8"/>
  <c r="Y212" i="8"/>
  <c r="AA212" i="8"/>
  <c r="V212" i="8"/>
  <c r="X212" i="8"/>
  <c r="Y211" i="8"/>
  <c r="AA211" i="8"/>
  <c r="V211" i="8"/>
  <c r="X211" i="8"/>
  <c r="Y210" i="8"/>
  <c r="AA210" i="8"/>
  <c r="V210" i="8"/>
  <c r="X210" i="8"/>
  <c r="Y209" i="8"/>
  <c r="AA209" i="8"/>
  <c r="V209" i="8"/>
  <c r="X209" i="8"/>
  <c r="Y215" i="8"/>
  <c r="AA215" i="8"/>
  <c r="V215" i="8"/>
  <c r="X215" i="8"/>
  <c r="Y217" i="8"/>
  <c r="AA217" i="8"/>
  <c r="V217" i="8"/>
  <c r="X217" i="8"/>
  <c r="Y216" i="8"/>
  <c r="AA216" i="8"/>
  <c r="V216" i="8"/>
  <c r="X216" i="8"/>
  <c r="Y214" i="8"/>
  <c r="AA214" i="8"/>
  <c r="V214" i="8"/>
  <c r="X214" i="8"/>
  <c r="Y207" i="8"/>
  <c r="AA207" i="8"/>
  <c r="V207" i="8"/>
  <c r="X207" i="8"/>
  <c r="Y206" i="8"/>
  <c r="AA206" i="8"/>
  <c r="V206" i="8"/>
  <c r="X206" i="8"/>
  <c r="Y205" i="8"/>
  <c r="AA205" i="8"/>
  <c r="V205" i="8"/>
  <c r="X205" i="8"/>
  <c r="Y204" i="8"/>
  <c r="AA204" i="8"/>
  <c r="V204" i="8"/>
  <c r="X204" i="8"/>
  <c r="Y203" i="8"/>
  <c r="AA203" i="8"/>
  <c r="V203" i="8"/>
  <c r="X203" i="8"/>
  <c r="Y202" i="8"/>
  <c r="AA202" i="8"/>
  <c r="V202" i="8"/>
  <c r="X202" i="8"/>
  <c r="Y201" i="8"/>
  <c r="AA201" i="8"/>
  <c r="V201" i="8"/>
  <c r="X201" i="8"/>
  <c r="Y493" i="8"/>
  <c r="AA493" i="8"/>
  <c r="V493" i="8"/>
  <c r="X493" i="8"/>
  <c r="Y536" i="8"/>
  <c r="AA536" i="8"/>
  <c r="V536" i="8"/>
  <c r="X536" i="8"/>
  <c r="Y492" i="8"/>
  <c r="AA492" i="8"/>
  <c r="V492" i="8"/>
  <c r="X492" i="8"/>
  <c r="Y26" i="8"/>
  <c r="AA26" i="8"/>
  <c r="V26" i="8"/>
  <c r="X26" i="8"/>
  <c r="Y200" i="8"/>
  <c r="AA200" i="8"/>
  <c r="V200" i="8"/>
  <c r="X200" i="8"/>
  <c r="Y199" i="8"/>
  <c r="AA199" i="8"/>
  <c r="V199" i="8"/>
  <c r="X199" i="8"/>
  <c r="Y198" i="8"/>
  <c r="AA198" i="8"/>
  <c r="V198" i="8"/>
  <c r="X198" i="8"/>
  <c r="Y197" i="8"/>
  <c r="AA197" i="8"/>
  <c r="V197" i="8"/>
  <c r="X197" i="8"/>
  <c r="Y196" i="8"/>
  <c r="AA196" i="8"/>
  <c r="V196" i="8"/>
  <c r="X196" i="8"/>
  <c r="Y195" i="8"/>
  <c r="AA195" i="8"/>
  <c r="V195" i="8"/>
  <c r="X195" i="8"/>
  <c r="Y194" i="8"/>
  <c r="AA194" i="8"/>
  <c r="V194" i="8"/>
  <c r="X194" i="8"/>
  <c r="Y193" i="8"/>
  <c r="AA193" i="8"/>
  <c r="V193" i="8"/>
  <c r="X193" i="8"/>
  <c r="Y192" i="8"/>
  <c r="AA192" i="8"/>
  <c r="V192" i="8"/>
  <c r="X192" i="8"/>
  <c r="Y553" i="8"/>
  <c r="AA553" i="8"/>
  <c r="V553" i="8"/>
  <c r="X553" i="8"/>
  <c r="Y191" i="8"/>
  <c r="AA191" i="8"/>
  <c r="V191" i="8"/>
  <c r="X191" i="8"/>
  <c r="Y190" i="8"/>
  <c r="AA190" i="8"/>
  <c r="V190" i="8"/>
  <c r="X190" i="8"/>
  <c r="Y189" i="8"/>
  <c r="AA189" i="8"/>
  <c r="V189" i="8"/>
  <c r="X189" i="8"/>
  <c r="Y188" i="8"/>
  <c r="AA188" i="8"/>
  <c r="V188" i="8"/>
  <c r="X188" i="8"/>
  <c r="Y187" i="8"/>
  <c r="AA187" i="8"/>
  <c r="V187" i="8"/>
  <c r="X187" i="8"/>
  <c r="Y186" i="8"/>
  <c r="AA186" i="8"/>
  <c r="V186" i="8"/>
  <c r="X186" i="8"/>
  <c r="Y183" i="8"/>
  <c r="AA183" i="8"/>
  <c r="V183" i="8"/>
  <c r="X183" i="8"/>
  <c r="Y184" i="8"/>
  <c r="AA184" i="8"/>
  <c r="V184" i="8"/>
  <c r="X184" i="8"/>
  <c r="Y185" i="8"/>
  <c r="AA185" i="8"/>
  <c r="V185" i="8"/>
  <c r="X185" i="8"/>
  <c r="Y182" i="8"/>
  <c r="AA182" i="8"/>
  <c r="V182" i="8"/>
  <c r="X182" i="8"/>
  <c r="Y181" i="8"/>
  <c r="AA181" i="8"/>
  <c r="V181" i="8"/>
  <c r="X181" i="8"/>
  <c r="Y180" i="8"/>
  <c r="AA180" i="8"/>
  <c r="V180" i="8"/>
  <c r="X180" i="8"/>
  <c r="Y179" i="8"/>
  <c r="AA179" i="8"/>
  <c r="V179" i="8"/>
  <c r="X179" i="8"/>
  <c r="Y178" i="8"/>
  <c r="AA178" i="8"/>
  <c r="V178" i="8"/>
  <c r="X178" i="8"/>
  <c r="Y177" i="8"/>
  <c r="AA177" i="8"/>
  <c r="V177" i="8"/>
  <c r="X177" i="8"/>
  <c r="Y175" i="8"/>
  <c r="AA175" i="8"/>
  <c r="V175" i="8"/>
  <c r="X175" i="8"/>
  <c r="Y176" i="8"/>
  <c r="AA176" i="8"/>
  <c r="V176" i="8"/>
  <c r="X176" i="8"/>
  <c r="Y173" i="8"/>
  <c r="AA173" i="8"/>
  <c r="V173" i="8"/>
  <c r="Y171" i="8"/>
  <c r="AA171" i="8"/>
  <c r="V171" i="8"/>
  <c r="X171" i="8"/>
  <c r="Y168" i="8"/>
  <c r="AA168" i="8"/>
  <c r="V168" i="8"/>
  <c r="X168" i="8"/>
  <c r="Y174" i="8"/>
  <c r="AA174" i="8"/>
  <c r="V174" i="8"/>
  <c r="X174" i="8"/>
  <c r="Y167" i="8"/>
  <c r="AA167" i="8"/>
  <c r="V167" i="8"/>
  <c r="X167" i="8"/>
  <c r="Y172" i="8"/>
  <c r="AA172" i="8"/>
  <c r="V172" i="8"/>
  <c r="X172" i="8"/>
  <c r="Y170" i="8"/>
  <c r="AA170" i="8"/>
  <c r="V170" i="8"/>
  <c r="X170" i="8"/>
  <c r="Y166" i="8"/>
  <c r="AA166" i="8"/>
  <c r="V166" i="8"/>
  <c r="X166" i="8"/>
  <c r="Y169" i="8"/>
  <c r="AA169" i="8"/>
  <c r="V169" i="8"/>
  <c r="X169" i="8"/>
  <c r="Y165" i="8"/>
  <c r="AA165" i="8"/>
  <c r="V165" i="8"/>
  <c r="X165" i="8"/>
  <c r="Y164" i="8"/>
  <c r="AA164" i="8"/>
  <c r="V164" i="8"/>
  <c r="X164" i="8"/>
  <c r="Y163" i="8"/>
  <c r="AA163" i="8"/>
  <c r="V163" i="8"/>
  <c r="X163" i="8"/>
  <c r="Y491" i="8"/>
  <c r="AA491" i="8"/>
  <c r="V491" i="8"/>
  <c r="X491" i="8"/>
  <c r="Y162" i="8"/>
  <c r="AA162" i="8"/>
  <c r="V162" i="8"/>
  <c r="X162" i="8"/>
  <c r="Y552" i="8"/>
  <c r="AA552" i="8"/>
  <c r="V552" i="8"/>
  <c r="X552" i="8"/>
  <c r="Y548" i="8"/>
  <c r="AA548" i="8"/>
  <c r="V548" i="8"/>
  <c r="X548" i="8"/>
  <c r="Y490" i="8"/>
  <c r="AA490" i="8"/>
  <c r="V490" i="8"/>
  <c r="X490" i="8"/>
  <c r="Y159" i="8"/>
  <c r="AA159" i="8"/>
  <c r="V159" i="8"/>
  <c r="X159" i="8"/>
  <c r="Y160" i="8"/>
  <c r="AA160" i="8"/>
  <c r="V160" i="8"/>
  <c r="X160" i="8"/>
  <c r="Y161" i="8"/>
  <c r="AA161" i="8"/>
  <c r="V161" i="8"/>
  <c r="X161" i="8"/>
  <c r="Y158" i="8"/>
  <c r="AA158" i="8"/>
  <c r="V158" i="8"/>
  <c r="X158" i="8"/>
  <c r="Y157" i="8"/>
  <c r="AA157" i="8"/>
  <c r="V157" i="8"/>
  <c r="X157" i="8"/>
  <c r="Y155" i="8"/>
  <c r="AA155" i="8"/>
  <c r="V155" i="8"/>
  <c r="X155" i="8"/>
  <c r="Y156" i="8"/>
  <c r="AA156" i="8"/>
  <c r="V156" i="8"/>
  <c r="X156" i="8"/>
  <c r="Y154" i="8"/>
  <c r="AA154" i="8"/>
  <c r="V154" i="8"/>
  <c r="X154" i="8"/>
  <c r="Y153" i="8"/>
  <c r="AA153" i="8"/>
  <c r="V153" i="8"/>
  <c r="X153" i="8"/>
  <c r="Y29" i="8"/>
  <c r="AA29" i="8"/>
  <c r="V29" i="8"/>
  <c r="X29" i="8"/>
  <c r="Y23" i="8"/>
  <c r="AA23" i="8"/>
  <c r="V23" i="8"/>
  <c r="Y152" i="8"/>
  <c r="AA152" i="8"/>
  <c r="V152" i="8"/>
  <c r="X152" i="8"/>
  <c r="Y151" i="8"/>
  <c r="AA151" i="8"/>
  <c r="V151" i="8"/>
  <c r="X151" i="8"/>
  <c r="Y150" i="8"/>
  <c r="AA150" i="8"/>
  <c r="V150" i="8"/>
  <c r="X150" i="8"/>
  <c r="Y149" i="8"/>
  <c r="AA149" i="8"/>
  <c r="V149" i="8"/>
  <c r="X149" i="8"/>
  <c r="Y148" i="8"/>
  <c r="AA148" i="8"/>
  <c r="V148" i="8"/>
  <c r="X148" i="8"/>
  <c r="Y147" i="8"/>
  <c r="AA147" i="8"/>
  <c r="V147" i="8"/>
  <c r="X147" i="8"/>
  <c r="Y146" i="8"/>
  <c r="AA146" i="8"/>
  <c r="V146" i="8"/>
  <c r="X146" i="8"/>
  <c r="Y145" i="8"/>
  <c r="AA145" i="8"/>
  <c r="V145" i="8"/>
  <c r="X145" i="8"/>
  <c r="Y144" i="8"/>
  <c r="AA144" i="8"/>
  <c r="V144" i="8"/>
  <c r="X144" i="8"/>
  <c r="Y143" i="8"/>
  <c r="AA143" i="8"/>
  <c r="V143" i="8"/>
  <c r="X143" i="8"/>
  <c r="Y142" i="8"/>
  <c r="AA142" i="8"/>
  <c r="V142" i="8"/>
  <c r="X142" i="8"/>
  <c r="Y141" i="8"/>
  <c r="AA141" i="8"/>
  <c r="V141" i="8"/>
  <c r="X141" i="8"/>
  <c r="Y140" i="8"/>
  <c r="AA140" i="8"/>
  <c r="V140" i="8"/>
  <c r="X140" i="8"/>
  <c r="Y139" i="8"/>
  <c r="AA139" i="8"/>
  <c r="V139" i="8"/>
  <c r="X139" i="8"/>
  <c r="Y138" i="8"/>
  <c r="AA138" i="8"/>
  <c r="V138" i="8"/>
  <c r="X138" i="8"/>
  <c r="Y137" i="8"/>
  <c r="AA137" i="8"/>
  <c r="V137" i="8"/>
  <c r="X137" i="8"/>
  <c r="Y136" i="8"/>
  <c r="AA136" i="8"/>
  <c r="V136" i="8"/>
  <c r="X136" i="8"/>
  <c r="Y535" i="8"/>
  <c r="AA535" i="8"/>
  <c r="V535" i="8"/>
  <c r="X535" i="8"/>
  <c r="Y135" i="8"/>
  <c r="AA135" i="8"/>
  <c r="V135" i="8"/>
  <c r="X135" i="8"/>
  <c r="Y22" i="8"/>
  <c r="AA22" i="8"/>
  <c r="V22" i="8"/>
  <c r="X22" i="8"/>
  <c r="Y134" i="8"/>
  <c r="AA134" i="8"/>
  <c r="V134" i="8"/>
  <c r="X134" i="8"/>
  <c r="Y133" i="8"/>
  <c r="AA133" i="8"/>
  <c r="V133" i="8"/>
  <c r="X133" i="8"/>
  <c r="Y132" i="8"/>
  <c r="AA132" i="8"/>
  <c r="V132" i="8"/>
  <c r="X132" i="8"/>
  <c r="Y127" i="8"/>
  <c r="AA127" i="8"/>
  <c r="V127" i="8"/>
  <c r="X127" i="8"/>
  <c r="Y131" i="8"/>
  <c r="AA131" i="8"/>
  <c r="V131" i="8"/>
  <c r="X131" i="8"/>
  <c r="V130" i="8"/>
  <c r="X130" i="8"/>
  <c r="Y129" i="8"/>
  <c r="AA129" i="8"/>
  <c r="V129" i="8"/>
  <c r="X129" i="8"/>
  <c r="Y128" i="8"/>
  <c r="AA128" i="8"/>
  <c r="V128" i="8"/>
  <c r="X128" i="8"/>
  <c r="Y126" i="8"/>
  <c r="AA126" i="8"/>
  <c r="V126" i="8"/>
  <c r="X126" i="8"/>
  <c r="Y125" i="8"/>
  <c r="AA125" i="8"/>
  <c r="V125" i="8"/>
  <c r="X125" i="8"/>
  <c r="Y124" i="8"/>
  <c r="AA124" i="8"/>
  <c r="V124" i="8"/>
  <c r="X124" i="8"/>
  <c r="Y551" i="8"/>
  <c r="AA551" i="8"/>
  <c r="V551" i="8"/>
  <c r="X551" i="8"/>
  <c r="Y123" i="8"/>
  <c r="AA123" i="8"/>
  <c r="V123" i="8"/>
  <c r="X123" i="8"/>
  <c r="Y121" i="8"/>
  <c r="AA121" i="8"/>
  <c r="V121" i="8"/>
  <c r="X121" i="8"/>
  <c r="Y122" i="8"/>
  <c r="AA122" i="8"/>
  <c r="V122" i="8"/>
  <c r="X122" i="8"/>
  <c r="Y120" i="8"/>
  <c r="AA120" i="8"/>
  <c r="V120" i="8"/>
  <c r="X120" i="8"/>
  <c r="Y119" i="8"/>
  <c r="AA119" i="8"/>
  <c r="V119" i="8"/>
  <c r="X119" i="8"/>
  <c r="Y117" i="8"/>
  <c r="AA117" i="8"/>
  <c r="V117" i="8"/>
  <c r="X117" i="8"/>
  <c r="Y118" i="8"/>
  <c r="AA118" i="8"/>
  <c r="V118" i="8"/>
  <c r="X118" i="8"/>
  <c r="Y110" i="8"/>
  <c r="AA110" i="8"/>
  <c r="V110" i="8"/>
  <c r="X110" i="8"/>
  <c r="Y114" i="8"/>
  <c r="AA114" i="8"/>
  <c r="V114" i="8"/>
  <c r="X114" i="8"/>
  <c r="Y113" i="8"/>
  <c r="AA113" i="8"/>
  <c r="V113" i="8"/>
  <c r="X113" i="8"/>
  <c r="Y115" i="8"/>
  <c r="AA115" i="8"/>
  <c r="V115" i="8"/>
  <c r="X115" i="8"/>
  <c r="Y112" i="8"/>
  <c r="AA112" i="8"/>
  <c r="V112" i="8"/>
  <c r="X112" i="8"/>
  <c r="Y116" i="8"/>
  <c r="AA116" i="8"/>
  <c r="V116" i="8"/>
  <c r="X116" i="8"/>
  <c r="Y105" i="8"/>
  <c r="AA105" i="8"/>
  <c r="V105" i="8"/>
  <c r="X105" i="8"/>
  <c r="Y106" i="8"/>
  <c r="AA106" i="8"/>
  <c r="V106" i="8"/>
  <c r="X106" i="8"/>
  <c r="Y108" i="8"/>
  <c r="AA108" i="8"/>
  <c r="V108" i="8"/>
  <c r="X108" i="8"/>
  <c r="Y107" i="8"/>
  <c r="AA107" i="8"/>
  <c r="V107" i="8"/>
  <c r="X107" i="8"/>
  <c r="Y109" i="8"/>
  <c r="AA109" i="8"/>
  <c r="V109" i="8"/>
  <c r="X109" i="8"/>
  <c r="Y111" i="8"/>
  <c r="AA111" i="8"/>
  <c r="V111" i="8"/>
  <c r="X111" i="8"/>
  <c r="Y104" i="8"/>
  <c r="AA104" i="8"/>
  <c r="V104" i="8"/>
  <c r="X104" i="8"/>
  <c r="Y103" i="8"/>
  <c r="AA103" i="8"/>
  <c r="V103" i="8"/>
  <c r="X103" i="8"/>
  <c r="Y102" i="8"/>
  <c r="AA102" i="8"/>
  <c r="V102" i="8"/>
  <c r="X102" i="8"/>
  <c r="Y101" i="8"/>
  <c r="AA101" i="8"/>
  <c r="V101" i="8"/>
  <c r="X101" i="8"/>
  <c r="Y100" i="8"/>
  <c r="AA100" i="8"/>
  <c r="V100" i="8"/>
  <c r="X100" i="8"/>
  <c r="Y99" i="8"/>
  <c r="AA99" i="8"/>
  <c r="V99" i="8"/>
  <c r="X99" i="8"/>
  <c r="Y98" i="8"/>
  <c r="AA98" i="8"/>
  <c r="V98" i="8"/>
  <c r="X98" i="8"/>
  <c r="Y97" i="8"/>
  <c r="AA97" i="8"/>
  <c r="V97" i="8"/>
  <c r="X97" i="8"/>
  <c r="Y785" i="8"/>
  <c r="AA785" i="8"/>
  <c r="V785" i="8"/>
  <c r="X785" i="8"/>
  <c r="Y96" i="8"/>
  <c r="AA96" i="8"/>
  <c r="V96" i="8"/>
  <c r="X96" i="8"/>
  <c r="Y95" i="8"/>
  <c r="AA95" i="8"/>
  <c r="V95" i="8"/>
  <c r="X95" i="8"/>
  <c r="Y94" i="8"/>
  <c r="AA94" i="8"/>
  <c r="V94" i="8"/>
  <c r="X94" i="8"/>
  <c r="Y17" i="8"/>
  <c r="AA17" i="8"/>
  <c r="V17" i="8"/>
  <c r="X17" i="8"/>
  <c r="Y93" i="8"/>
  <c r="AA93" i="8"/>
  <c r="V93" i="8"/>
  <c r="X93" i="8"/>
  <c r="Y808" i="8"/>
  <c r="AA808" i="8"/>
  <c r="V808" i="8"/>
  <c r="X808" i="8"/>
  <c r="Y780" i="8"/>
  <c r="AA780" i="8"/>
  <c r="V780" i="8"/>
  <c r="X780" i="8"/>
  <c r="Y92" i="8"/>
  <c r="AA92" i="8"/>
  <c r="V92" i="8"/>
  <c r="X92" i="8"/>
  <c r="Y91" i="8"/>
  <c r="AA91" i="8"/>
  <c r="V91" i="8"/>
  <c r="X91" i="8"/>
  <c r="Y90" i="8"/>
  <c r="AA90" i="8"/>
  <c r="V90" i="8"/>
  <c r="X90" i="8"/>
  <c r="Y88" i="8"/>
  <c r="AA88" i="8"/>
  <c r="V88" i="8"/>
  <c r="X88" i="8"/>
  <c r="Y89" i="8"/>
  <c r="AA89" i="8"/>
  <c r="V89" i="8"/>
  <c r="X89" i="8"/>
  <c r="Y87" i="8"/>
  <c r="AA87" i="8"/>
  <c r="V87" i="8"/>
  <c r="X87" i="8"/>
  <c r="Y86" i="8"/>
  <c r="AA86" i="8"/>
  <c r="V86" i="8"/>
  <c r="X86" i="8"/>
  <c r="Y85" i="8"/>
  <c r="AA85" i="8"/>
  <c r="V85" i="8"/>
  <c r="X85" i="8"/>
  <c r="Y84" i="8"/>
  <c r="AA84" i="8"/>
  <c r="V84" i="8"/>
  <c r="X84" i="8"/>
  <c r="Y83" i="8"/>
  <c r="AA83" i="8"/>
  <c r="V83" i="8"/>
  <c r="X83" i="8"/>
  <c r="Y82" i="8"/>
  <c r="AA82" i="8"/>
  <c r="V82" i="8"/>
  <c r="X82" i="8"/>
  <c r="Y79" i="8"/>
  <c r="AA79" i="8"/>
  <c r="V79" i="8"/>
  <c r="X79" i="8"/>
  <c r="Y78" i="8"/>
  <c r="AA78" i="8"/>
  <c r="V78" i="8"/>
  <c r="X78" i="8"/>
  <c r="Y80" i="8"/>
  <c r="AA80" i="8"/>
  <c r="V80" i="8"/>
  <c r="X80" i="8"/>
  <c r="Y77" i="8"/>
  <c r="AA77" i="8"/>
  <c r="V77" i="8"/>
  <c r="X77" i="8"/>
  <c r="Y81" i="8"/>
  <c r="AA81" i="8"/>
  <c r="V81" i="8"/>
  <c r="X81" i="8"/>
  <c r="Y76" i="8"/>
  <c r="AA76" i="8"/>
  <c r="V76" i="8"/>
  <c r="X76" i="8"/>
  <c r="Y75" i="8"/>
  <c r="AA75" i="8"/>
  <c r="V75" i="8"/>
  <c r="X75" i="8"/>
  <c r="Y74" i="8"/>
  <c r="AA74" i="8"/>
  <c r="V74" i="8"/>
  <c r="X74" i="8"/>
  <c r="Y73" i="8"/>
  <c r="AA73" i="8"/>
  <c r="V73" i="8"/>
  <c r="X73" i="8"/>
  <c r="Y72" i="8"/>
  <c r="AA72" i="8"/>
  <c r="V72" i="8"/>
  <c r="X72" i="8"/>
  <c r="Y71" i="8"/>
  <c r="AA71" i="8"/>
  <c r="V71" i="8"/>
  <c r="X71" i="8"/>
  <c r="Y70" i="8"/>
  <c r="AA70" i="8"/>
  <c r="V70" i="8"/>
  <c r="X70" i="8"/>
  <c r="Y69" i="8"/>
  <c r="AA69" i="8"/>
  <c r="V69" i="8"/>
  <c r="X69" i="8"/>
  <c r="Y68" i="8"/>
  <c r="AA68" i="8"/>
  <c r="V68" i="8"/>
  <c r="X68" i="8"/>
  <c r="Y781" i="8"/>
  <c r="AA781" i="8"/>
  <c r="V781" i="8"/>
  <c r="X781" i="8"/>
  <c r="Y67" i="8"/>
  <c r="AA67" i="8"/>
  <c r="V67" i="8"/>
  <c r="X67" i="8"/>
  <c r="Y66" i="8"/>
  <c r="AA66" i="8"/>
  <c r="V66" i="8"/>
  <c r="X66" i="8"/>
  <c r="Y65" i="8"/>
  <c r="AA65" i="8"/>
  <c r="V65" i="8"/>
  <c r="X65" i="8"/>
  <c r="Y64" i="8"/>
  <c r="AA64" i="8"/>
  <c r="V64" i="8"/>
  <c r="X64" i="8"/>
  <c r="Y63" i="8"/>
  <c r="AA63" i="8"/>
  <c r="V63" i="8"/>
  <c r="X63" i="8"/>
  <c r="Y62" i="8"/>
  <c r="AA62" i="8"/>
  <c r="V62" i="8"/>
  <c r="X62" i="8"/>
  <c r="Y61" i="8"/>
  <c r="AA61" i="8"/>
  <c r="V61" i="8"/>
  <c r="X61" i="8"/>
  <c r="Y60" i="8"/>
  <c r="AA60" i="8"/>
  <c r="V60" i="8"/>
  <c r="X60" i="8"/>
  <c r="Y59" i="8"/>
  <c r="AA59" i="8"/>
  <c r="V59" i="8"/>
  <c r="X59" i="8"/>
  <c r="Y58" i="8"/>
  <c r="AA58" i="8"/>
  <c r="V58" i="8"/>
  <c r="X58" i="8"/>
  <c r="Y547" i="8"/>
  <c r="AA547" i="8"/>
  <c r="V547" i="8"/>
  <c r="X547" i="8"/>
  <c r="Y546" i="8"/>
  <c r="AA546" i="8"/>
  <c r="V546" i="8"/>
  <c r="X546" i="8"/>
  <c r="Y15" i="8"/>
  <c r="AA15" i="8"/>
  <c r="V15" i="8"/>
  <c r="X15" i="8"/>
  <c r="Y56" i="8"/>
  <c r="AA56" i="8"/>
  <c r="V56" i="8"/>
  <c r="X56" i="8"/>
  <c r="Y55" i="8"/>
  <c r="AA55" i="8"/>
  <c r="V55" i="8"/>
  <c r="X55" i="8"/>
  <c r="Y54" i="8"/>
  <c r="AA54" i="8"/>
  <c r="V54" i="8"/>
  <c r="X54" i="8"/>
  <c r="Y53" i="8"/>
  <c r="AA53" i="8"/>
  <c r="V53" i="8"/>
  <c r="X53" i="8"/>
  <c r="Y52" i="8"/>
  <c r="AA52" i="8"/>
  <c r="V52" i="8"/>
  <c r="X52" i="8"/>
  <c r="Y51" i="8"/>
  <c r="AA51" i="8"/>
  <c r="V51" i="8"/>
  <c r="X51" i="8"/>
  <c r="Y50" i="8"/>
  <c r="AA50" i="8"/>
  <c r="V50" i="8"/>
  <c r="X50" i="8"/>
  <c r="Y49" i="8"/>
  <c r="AA49" i="8"/>
  <c r="V49" i="8"/>
  <c r="X49" i="8"/>
  <c r="Y48" i="8"/>
  <c r="AA48" i="8"/>
  <c r="V48" i="8"/>
  <c r="X48" i="8"/>
  <c r="Y47" i="8"/>
  <c r="AA47" i="8"/>
  <c r="V47" i="8"/>
  <c r="X47" i="8"/>
  <c r="Y46" i="8"/>
  <c r="AA46" i="8"/>
  <c r="V46" i="8"/>
  <c r="X46" i="8"/>
  <c r="Y14" i="8"/>
  <c r="AA14" i="8"/>
  <c r="V14" i="8"/>
  <c r="X14" i="8"/>
  <c r="Y45" i="8"/>
  <c r="AA45" i="8"/>
  <c r="V45" i="8"/>
  <c r="X45" i="8"/>
  <c r="Y16" i="8"/>
  <c r="AA16" i="8"/>
  <c r="V16" i="8"/>
  <c r="X16" i="8"/>
  <c r="Y44" i="8"/>
  <c r="AA44" i="8"/>
  <c r="V44" i="8"/>
  <c r="X44" i="8"/>
  <c r="Y43" i="8"/>
  <c r="AA43" i="8"/>
  <c r="V43" i="8"/>
  <c r="X43" i="8"/>
  <c r="Y42" i="8"/>
  <c r="AA42" i="8"/>
  <c r="V42" i="8"/>
  <c r="X42" i="8"/>
  <c r="Y41" i="8"/>
  <c r="AA41" i="8"/>
  <c r="V41" i="8"/>
  <c r="X41" i="8"/>
  <c r="Y40" i="8"/>
  <c r="AA40" i="8"/>
  <c r="V40" i="8"/>
  <c r="X40" i="8"/>
  <c r="Y39" i="8"/>
  <c r="AA39" i="8"/>
  <c r="V39" i="8"/>
  <c r="X39" i="8"/>
  <c r="Y37" i="8"/>
  <c r="AA37" i="8"/>
  <c r="V37" i="8"/>
  <c r="X37" i="8"/>
  <c r="Y38" i="8"/>
  <c r="AA38" i="8"/>
  <c r="V38" i="8"/>
  <c r="X38" i="8"/>
  <c r="Y36" i="8"/>
  <c r="AA36" i="8"/>
  <c r="V36" i="8"/>
  <c r="X36" i="8"/>
  <c r="Y31" i="8"/>
  <c r="AA31" i="8"/>
  <c r="Y35" i="8"/>
  <c r="AA35" i="8"/>
  <c r="V35" i="8"/>
  <c r="X35" i="8"/>
  <c r="Y34" i="8"/>
  <c r="AA34" i="8"/>
  <c r="V34" i="8"/>
  <c r="X34" i="8"/>
  <c r="AY385" i="8"/>
  <c r="BH385" i="8"/>
  <c r="AR385" i="8"/>
  <c r="AZ385" i="8"/>
  <c r="BI385" i="8"/>
  <c r="AS385" i="8"/>
  <c r="BA385" i="8"/>
  <c r="BJ385" i="8"/>
  <c r="AT385" i="8"/>
  <c r="BC385" i="8"/>
  <c r="BK385" i="8"/>
  <c r="AU385" i="8"/>
  <c r="BD385" i="8"/>
  <c r="BL385" i="8"/>
  <c r="AV385" i="8"/>
  <c r="BE385" i="8"/>
  <c r="AW385" i="8"/>
  <c r="BF385" i="8"/>
  <c r="AX385" i="8"/>
  <c r="BG385" i="8"/>
  <c r="AV366" i="8"/>
  <c r="BE366" i="8"/>
  <c r="AX366" i="8"/>
  <c r="BG366" i="8"/>
  <c r="AR366" i="8"/>
  <c r="AZ366" i="8"/>
  <c r="BI366" i="8"/>
  <c r="AS366" i="8"/>
  <c r="BA366" i="8"/>
  <c r="BJ366" i="8"/>
  <c r="AT366" i="8"/>
  <c r="BC366" i="8"/>
  <c r="BK366" i="8"/>
  <c r="AU366" i="8"/>
  <c r="AW366" i="8"/>
  <c r="AY366" i="8"/>
  <c r="BD366" i="8"/>
  <c r="BF366" i="8"/>
  <c r="BH366" i="8"/>
  <c r="BL366" i="8"/>
  <c r="AR374" i="8"/>
  <c r="AZ374" i="8"/>
  <c r="BI374" i="8"/>
  <c r="AT374" i="8"/>
  <c r="AW374" i="8"/>
  <c r="BG374" i="8"/>
  <c r="AX374" i="8"/>
  <c r="BH374" i="8"/>
  <c r="AY374" i="8"/>
  <c r="BJ374" i="8"/>
  <c r="BA374" i="8"/>
  <c r="BK374" i="8"/>
  <c r="BC374" i="8"/>
  <c r="BL374" i="8"/>
  <c r="AS374" i="8"/>
  <c r="BD374" i="8"/>
  <c r="AU374" i="8"/>
  <c r="BE374" i="8"/>
  <c r="AV374" i="8"/>
  <c r="BF374" i="8"/>
  <c r="AX362" i="8"/>
  <c r="BG362" i="8"/>
  <c r="AR362" i="8"/>
  <c r="AZ362" i="8"/>
  <c r="BI362" i="8"/>
  <c r="AT362" i="8"/>
  <c r="BC362" i="8"/>
  <c r="BK362" i="8"/>
  <c r="AU362" i="8"/>
  <c r="BD362" i="8"/>
  <c r="BL362" i="8"/>
  <c r="AV362" i="8"/>
  <c r="BE362" i="8"/>
  <c r="AS362" i="8"/>
  <c r="AW362" i="8"/>
  <c r="AY362" i="8"/>
  <c r="BA362" i="8"/>
  <c r="BF362" i="8"/>
  <c r="BH362" i="8"/>
  <c r="BJ362" i="8"/>
  <c r="AW339" i="8"/>
  <c r="BF339" i="8"/>
  <c r="AX339" i="8"/>
  <c r="BG339" i="8"/>
  <c r="AY339" i="8"/>
  <c r="BH339" i="8"/>
  <c r="AS339" i="8"/>
  <c r="BA339" i="8"/>
  <c r="BJ339" i="8"/>
  <c r="AT339" i="8"/>
  <c r="BC339" i="8"/>
  <c r="BK339" i="8"/>
  <c r="AU339" i="8"/>
  <c r="BD339" i="8"/>
  <c r="BL339" i="8"/>
  <c r="AZ339" i="8"/>
  <c r="BE339" i="8"/>
  <c r="BI339" i="8"/>
  <c r="AR339" i="8"/>
  <c r="AV339" i="8"/>
  <c r="AW332" i="8"/>
  <c r="BF332" i="8"/>
  <c r="AX332" i="8"/>
  <c r="BG332" i="8"/>
  <c r="AY332" i="8"/>
  <c r="BH332" i="8"/>
  <c r="AR332" i="8"/>
  <c r="AZ332" i="8"/>
  <c r="BI332" i="8"/>
  <c r="AS332" i="8"/>
  <c r="BA332" i="8"/>
  <c r="BJ332" i="8"/>
  <c r="AT332" i="8"/>
  <c r="BC332" i="8"/>
  <c r="BK332" i="8"/>
  <c r="AU332" i="8"/>
  <c r="BD332" i="8"/>
  <c r="BL332" i="8"/>
  <c r="BE332" i="8"/>
  <c r="AV332" i="8"/>
  <c r="AS324" i="8"/>
  <c r="BA324" i="8"/>
  <c r="BJ324" i="8"/>
  <c r="AT324" i="8"/>
  <c r="BC324" i="8"/>
  <c r="BK324" i="8"/>
  <c r="AU324" i="8"/>
  <c r="BD324" i="8"/>
  <c r="BL324" i="8"/>
  <c r="AV324" i="8"/>
  <c r="BE324" i="8"/>
  <c r="AW324" i="8"/>
  <c r="BF324" i="8"/>
  <c r="AX324" i="8"/>
  <c r="BG324" i="8"/>
  <c r="AY324" i="8"/>
  <c r="BH324" i="8"/>
  <c r="AR324" i="8"/>
  <c r="AZ324" i="8"/>
  <c r="BI324" i="8"/>
  <c r="AS316" i="8"/>
  <c r="BA316" i="8"/>
  <c r="BJ316" i="8"/>
  <c r="AU316" i="8"/>
  <c r="BD316" i="8"/>
  <c r="BL316" i="8"/>
  <c r="AV316" i="8"/>
  <c r="BE316" i="8"/>
  <c r="AX316" i="8"/>
  <c r="BG316" i="8"/>
  <c r="AY316" i="8"/>
  <c r="BH316" i="8"/>
  <c r="BK316" i="8"/>
  <c r="AR316" i="8"/>
  <c r="AT316" i="8"/>
  <c r="AW316" i="8"/>
  <c r="AZ316" i="8"/>
  <c r="BC316" i="8"/>
  <c r="BF316" i="8"/>
  <c r="BI316" i="8"/>
  <c r="AS307" i="8"/>
  <c r="BA307" i="8"/>
  <c r="BJ307" i="8"/>
  <c r="AU307" i="8"/>
  <c r="BD307" i="8"/>
  <c r="BL307" i="8"/>
  <c r="AV307" i="8"/>
  <c r="BE307" i="8"/>
  <c r="AX307" i="8"/>
  <c r="BG307" i="8"/>
  <c r="AY307" i="8"/>
  <c r="BH307" i="8"/>
  <c r="BC307" i="8"/>
  <c r="BF307" i="8"/>
  <c r="BI307" i="8"/>
  <c r="BK307" i="8"/>
  <c r="AR307" i="8"/>
  <c r="AT307" i="8"/>
  <c r="AW307" i="8"/>
  <c r="AZ307" i="8"/>
  <c r="AS300" i="8"/>
  <c r="BA300" i="8"/>
  <c r="BJ300" i="8"/>
  <c r="AU300" i="8"/>
  <c r="BD300" i="8"/>
  <c r="BL300" i="8"/>
  <c r="AV300" i="8"/>
  <c r="BE300" i="8"/>
  <c r="AX300" i="8"/>
  <c r="BG300" i="8"/>
  <c r="AY300" i="8"/>
  <c r="BH300" i="8"/>
  <c r="AW300" i="8"/>
  <c r="AZ300" i="8"/>
  <c r="BC300" i="8"/>
  <c r="BF300" i="8"/>
  <c r="BI300" i="8"/>
  <c r="BK300" i="8"/>
  <c r="AR300" i="8"/>
  <c r="AT300" i="8"/>
  <c r="AV294" i="8"/>
  <c r="BE294" i="8"/>
  <c r="AX294" i="8"/>
  <c r="BG294" i="8"/>
  <c r="AY294" i="8"/>
  <c r="BH294" i="8"/>
  <c r="AS294" i="8"/>
  <c r="BA294" i="8"/>
  <c r="BJ294" i="8"/>
  <c r="AT294" i="8"/>
  <c r="BC294" i="8"/>
  <c r="BK294" i="8"/>
  <c r="AR294" i="8"/>
  <c r="AU294" i="8"/>
  <c r="AW294" i="8"/>
  <c r="AZ294" i="8"/>
  <c r="BD294" i="8"/>
  <c r="BF294" i="8"/>
  <c r="BI294" i="8"/>
  <c r="BL294" i="8"/>
  <c r="AR286" i="8"/>
  <c r="AZ286" i="8"/>
  <c r="BI286" i="8"/>
  <c r="AS286" i="8"/>
  <c r="BA286" i="8"/>
  <c r="BJ286" i="8"/>
  <c r="AT286" i="8"/>
  <c r="BC286" i="8"/>
  <c r="BK286" i="8"/>
  <c r="AU286" i="8"/>
  <c r="BD286" i="8"/>
  <c r="BL286" i="8"/>
  <c r="AW286" i="8"/>
  <c r="BF286" i="8"/>
  <c r="AX286" i="8"/>
  <c r="BG286" i="8"/>
  <c r="AV286" i="8"/>
  <c r="AY286" i="8"/>
  <c r="BE286" i="8"/>
  <c r="BH286" i="8"/>
  <c r="AV275" i="8"/>
  <c r="BE275" i="8"/>
  <c r="AX275" i="8"/>
  <c r="BG275" i="8"/>
  <c r="AS275" i="8"/>
  <c r="BA275" i="8"/>
  <c r="BJ275" i="8"/>
  <c r="BC275" i="8"/>
  <c r="BD275" i="8"/>
  <c r="AR275" i="8"/>
  <c r="BF275" i="8"/>
  <c r="AT275" i="8"/>
  <c r="BH275" i="8"/>
  <c r="AU275" i="8"/>
  <c r="BI275" i="8"/>
  <c r="AW275" i="8"/>
  <c r="BK275" i="8"/>
  <c r="AY275" i="8"/>
  <c r="BL275" i="8"/>
  <c r="AZ275" i="8"/>
  <c r="AU268" i="8"/>
  <c r="BD268" i="8"/>
  <c r="BL268" i="8"/>
  <c r="AW268" i="8"/>
  <c r="BF268" i="8"/>
  <c r="AY268" i="8"/>
  <c r="BH268" i="8"/>
  <c r="AR268" i="8"/>
  <c r="AZ268" i="8"/>
  <c r="BI268" i="8"/>
  <c r="AS268" i="8"/>
  <c r="BA268" i="8"/>
  <c r="BJ268" i="8"/>
  <c r="BC268" i="8"/>
  <c r="BE268" i="8"/>
  <c r="BG268" i="8"/>
  <c r="BK268" i="8"/>
  <c r="AT268" i="8"/>
  <c r="AV268" i="8"/>
  <c r="AX268" i="8"/>
  <c r="AY258" i="8"/>
  <c r="BH258" i="8"/>
  <c r="AS258" i="8"/>
  <c r="BA258" i="8"/>
  <c r="BJ258" i="8"/>
  <c r="AU258" i="8"/>
  <c r="BD258" i="8"/>
  <c r="BL258" i="8"/>
  <c r="AV258" i="8"/>
  <c r="BE258" i="8"/>
  <c r="AW258" i="8"/>
  <c r="BF258" i="8"/>
  <c r="AR258" i="8"/>
  <c r="AT258" i="8"/>
  <c r="AX258" i="8"/>
  <c r="AZ258" i="8"/>
  <c r="BC258" i="8"/>
  <c r="BG258" i="8"/>
  <c r="BI258" i="8"/>
  <c r="BK258" i="8"/>
  <c r="AV253" i="8"/>
  <c r="BE253" i="8"/>
  <c r="AX253" i="8"/>
  <c r="BG253" i="8"/>
  <c r="AR253" i="8"/>
  <c r="AZ253" i="8"/>
  <c r="BI253" i="8"/>
  <c r="AS253" i="8"/>
  <c r="BA253" i="8"/>
  <c r="BJ253" i="8"/>
  <c r="AT253" i="8"/>
  <c r="BC253" i="8"/>
  <c r="BK253" i="8"/>
  <c r="BH253" i="8"/>
  <c r="BL253" i="8"/>
  <c r="AU253" i="8"/>
  <c r="AW253" i="8"/>
  <c r="AY253" i="8"/>
  <c r="BD253" i="8"/>
  <c r="BF253" i="8"/>
  <c r="AU246" i="8"/>
  <c r="BD246" i="8"/>
  <c r="BL246" i="8"/>
  <c r="AW246" i="8"/>
  <c r="BF246" i="8"/>
  <c r="AY246" i="8"/>
  <c r="BH246" i="8"/>
  <c r="AR246" i="8"/>
  <c r="AZ246" i="8"/>
  <c r="BI246" i="8"/>
  <c r="AS246" i="8"/>
  <c r="BA246" i="8"/>
  <c r="BJ246" i="8"/>
  <c r="BC246" i="8"/>
  <c r="BE246" i="8"/>
  <c r="BG246" i="8"/>
  <c r="BK246" i="8"/>
  <c r="AT246" i="8"/>
  <c r="AV246" i="8"/>
  <c r="AX246" i="8"/>
  <c r="AX240" i="8"/>
  <c r="BG240" i="8"/>
  <c r="AR240" i="8"/>
  <c r="AZ240" i="8"/>
  <c r="BI240" i="8"/>
  <c r="AT240" i="8"/>
  <c r="BC240" i="8"/>
  <c r="BK240" i="8"/>
  <c r="AU240" i="8"/>
  <c r="BD240" i="8"/>
  <c r="BL240" i="8"/>
  <c r="AV240" i="8"/>
  <c r="BE240" i="8"/>
  <c r="AW240" i="8"/>
  <c r="AY240" i="8"/>
  <c r="BA240" i="8"/>
  <c r="BF240" i="8"/>
  <c r="BH240" i="8"/>
  <c r="BJ240" i="8"/>
  <c r="AS240" i="8"/>
  <c r="AR230" i="8"/>
  <c r="AZ230" i="8"/>
  <c r="BI230" i="8"/>
  <c r="AT230" i="8"/>
  <c r="BC230" i="8"/>
  <c r="BK230" i="8"/>
  <c r="AU230" i="8"/>
  <c r="BD230" i="8"/>
  <c r="AW230" i="8"/>
  <c r="BF230" i="8"/>
  <c r="AX230" i="8"/>
  <c r="BG230" i="8"/>
  <c r="BE230" i="8"/>
  <c r="BJ230" i="8"/>
  <c r="AS230" i="8"/>
  <c r="AV230" i="8"/>
  <c r="AY230" i="8"/>
  <c r="BA230" i="8"/>
  <c r="BH230" i="8"/>
  <c r="BL230" i="8"/>
  <c r="AY223" i="8"/>
  <c r="BH223" i="8"/>
  <c r="AS223" i="8"/>
  <c r="BA223" i="8"/>
  <c r="BJ223" i="8"/>
  <c r="AT223" i="8"/>
  <c r="BC223" i="8"/>
  <c r="BK223" i="8"/>
  <c r="AV223" i="8"/>
  <c r="BE223" i="8"/>
  <c r="AW223" i="8"/>
  <c r="BF223" i="8"/>
  <c r="AX223" i="8"/>
  <c r="BD223" i="8"/>
  <c r="BI223" i="8"/>
  <c r="BL223" i="8"/>
  <c r="AR223" i="8"/>
  <c r="AU223" i="8"/>
  <c r="AZ223" i="8"/>
  <c r="BG223" i="8"/>
  <c r="AU211" i="8"/>
  <c r="BD211" i="8"/>
  <c r="BL211" i="8"/>
  <c r="AW211" i="8"/>
  <c r="BF211" i="8"/>
  <c r="AX211" i="8"/>
  <c r="BG211" i="8"/>
  <c r="AR211" i="8"/>
  <c r="AZ211" i="8"/>
  <c r="BI211" i="8"/>
  <c r="AS211" i="8"/>
  <c r="BA211" i="8"/>
  <c r="BJ211" i="8"/>
  <c r="BH211" i="8"/>
  <c r="AV211" i="8"/>
  <c r="AY211" i="8"/>
  <c r="BC211" i="8"/>
  <c r="AT211" i="8"/>
  <c r="BE211" i="8"/>
  <c r="BK211" i="8"/>
  <c r="AS206" i="8"/>
  <c r="BA206" i="8"/>
  <c r="BJ206" i="8"/>
  <c r="AU206" i="8"/>
  <c r="BD206" i="8"/>
  <c r="BL206" i="8"/>
  <c r="AV206" i="8"/>
  <c r="BE206" i="8"/>
  <c r="AX206" i="8"/>
  <c r="BG206" i="8"/>
  <c r="AY206" i="8"/>
  <c r="BH206" i="8"/>
  <c r="BC206" i="8"/>
  <c r="BI206" i="8"/>
  <c r="AR206" i="8"/>
  <c r="AT206" i="8"/>
  <c r="AW206" i="8"/>
  <c r="AZ206" i="8"/>
  <c r="BF206" i="8"/>
  <c r="BK206" i="8"/>
  <c r="AS492" i="8"/>
  <c r="BA492" i="8"/>
  <c r="BJ492" i="8"/>
  <c r="AT492" i="8"/>
  <c r="BC492" i="8"/>
  <c r="AW492" i="8"/>
  <c r="BF492" i="8"/>
  <c r="AX492" i="8"/>
  <c r="BG492" i="8"/>
  <c r="BE492" i="8"/>
  <c r="BH492" i="8"/>
  <c r="AV492" i="8"/>
  <c r="BL492" i="8"/>
  <c r="AY492" i="8"/>
  <c r="AR492" i="8"/>
  <c r="AU492" i="8"/>
  <c r="AZ492" i="8"/>
  <c r="BD492" i="8"/>
  <c r="BI492" i="8"/>
  <c r="BK492" i="8"/>
  <c r="AS194" i="8"/>
  <c r="BA194" i="8"/>
  <c r="BJ194" i="8"/>
  <c r="AU194" i="8"/>
  <c r="BD194" i="8"/>
  <c r="BL194" i="8"/>
  <c r="AV194" i="8"/>
  <c r="BE194" i="8"/>
  <c r="AX194" i="8"/>
  <c r="BG194" i="8"/>
  <c r="AY194" i="8"/>
  <c r="BH194" i="8"/>
  <c r="AT194" i="8"/>
  <c r="AZ194" i="8"/>
  <c r="BF194" i="8"/>
  <c r="BI194" i="8"/>
  <c r="BK194" i="8"/>
  <c r="AR194" i="8"/>
  <c r="AW194" i="8"/>
  <c r="BC194" i="8"/>
  <c r="AY187" i="8"/>
  <c r="BH187" i="8"/>
  <c r="AS187" i="8"/>
  <c r="BA187" i="8"/>
  <c r="BJ187" i="8"/>
  <c r="AU187" i="8"/>
  <c r="BD187" i="8"/>
  <c r="BL187" i="8"/>
  <c r="AV187" i="8"/>
  <c r="BE187" i="8"/>
  <c r="AW187" i="8"/>
  <c r="BF187" i="8"/>
  <c r="BC187" i="8"/>
  <c r="BI187" i="8"/>
  <c r="BK187" i="8"/>
  <c r="AT187" i="8"/>
  <c r="AX187" i="8"/>
  <c r="AZ187" i="8"/>
  <c r="AR187" i="8"/>
  <c r="BG187" i="8"/>
  <c r="AU179" i="8"/>
  <c r="BD179" i="8"/>
  <c r="BL179" i="8"/>
  <c r="AW179" i="8"/>
  <c r="BF179" i="8"/>
  <c r="AY179" i="8"/>
  <c r="BH179" i="8"/>
  <c r="AR179" i="8"/>
  <c r="AZ179" i="8"/>
  <c r="BI179" i="8"/>
  <c r="AS179" i="8"/>
  <c r="BA179" i="8"/>
  <c r="BJ179" i="8"/>
  <c r="AV179" i="8"/>
  <c r="BC179" i="8"/>
  <c r="BE179" i="8"/>
  <c r="BK179" i="8"/>
  <c r="AT179" i="8"/>
  <c r="BG179" i="8"/>
  <c r="AX179" i="8"/>
  <c r="AS174" i="8"/>
  <c r="BA174" i="8"/>
  <c r="BJ174" i="8"/>
  <c r="AU174" i="8"/>
  <c r="BD174" i="8"/>
  <c r="BL174" i="8"/>
  <c r="AW174" i="8"/>
  <c r="BF174" i="8"/>
  <c r="AX174" i="8"/>
  <c r="BG174" i="8"/>
  <c r="AY174" i="8"/>
  <c r="BH174" i="8"/>
  <c r="AR174" i="8"/>
  <c r="AT174" i="8"/>
  <c r="AV174" i="8"/>
  <c r="AZ174" i="8"/>
  <c r="BC174" i="8"/>
  <c r="BE174" i="8"/>
  <c r="BI174" i="8"/>
  <c r="BK174" i="8"/>
  <c r="AR163" i="8"/>
  <c r="AZ163" i="8"/>
  <c r="BI163" i="8"/>
  <c r="AT163" i="8"/>
  <c r="BC163" i="8"/>
  <c r="BK163" i="8"/>
  <c r="AV163" i="8"/>
  <c r="BE163" i="8"/>
  <c r="AW163" i="8"/>
  <c r="BF163" i="8"/>
  <c r="AX163" i="8"/>
  <c r="BG163" i="8"/>
  <c r="BA163" i="8"/>
  <c r="BD163" i="8"/>
  <c r="BH163" i="8"/>
  <c r="BJ163" i="8"/>
  <c r="BL163" i="8"/>
  <c r="AS163" i="8"/>
  <c r="AU163" i="8"/>
  <c r="AY163" i="8"/>
  <c r="AR161" i="8"/>
  <c r="AZ161" i="8"/>
  <c r="BI161" i="8"/>
  <c r="AT161" i="8"/>
  <c r="BC161" i="8"/>
  <c r="BK161" i="8"/>
  <c r="AV161" i="8"/>
  <c r="BE161" i="8"/>
  <c r="AW161" i="8"/>
  <c r="BF161" i="8"/>
  <c r="AX161" i="8"/>
  <c r="BG161" i="8"/>
  <c r="AY161" i="8"/>
  <c r="BA161" i="8"/>
  <c r="BD161" i="8"/>
  <c r="BH161" i="8"/>
  <c r="BJ161" i="8"/>
  <c r="BL161" i="8"/>
  <c r="AS161" i="8"/>
  <c r="AU161" i="8"/>
  <c r="AR23" i="8"/>
  <c r="AZ23" i="8"/>
  <c r="BI23" i="8"/>
  <c r="AT23" i="8"/>
  <c r="BC23" i="8"/>
  <c r="BK23" i="8"/>
  <c r="AU23" i="8"/>
  <c r="BD23" i="8"/>
  <c r="BL23" i="8"/>
  <c r="AX23" i="8"/>
  <c r="BA23" i="8"/>
  <c r="BF23" i="8"/>
  <c r="AY23" i="8"/>
  <c r="BE23" i="8"/>
  <c r="BH23" i="8"/>
  <c r="BG23" i="8"/>
  <c r="BJ23" i="8"/>
  <c r="AV23" i="8"/>
  <c r="AS23" i="8"/>
  <c r="AW23" i="8"/>
  <c r="AW145" i="8"/>
  <c r="BF145" i="8"/>
  <c r="AX145" i="8"/>
  <c r="BH145" i="8"/>
  <c r="AZ145" i="8"/>
  <c r="BJ145" i="8"/>
  <c r="AS145" i="8"/>
  <c r="BC145" i="8"/>
  <c r="BL145" i="8"/>
  <c r="AT145" i="8"/>
  <c r="BD145" i="8"/>
  <c r="AU145" i="8"/>
  <c r="BE145" i="8"/>
  <c r="AV145" i="8"/>
  <c r="AY145" i="8"/>
  <c r="BA145" i="8"/>
  <c r="BG145" i="8"/>
  <c r="BI145" i="8"/>
  <c r="BK145" i="8"/>
  <c r="AR145" i="8"/>
  <c r="AY137" i="8"/>
  <c r="BH137" i="8"/>
  <c r="AS137" i="8"/>
  <c r="BA137" i="8"/>
  <c r="BJ137" i="8"/>
  <c r="AU137" i="8"/>
  <c r="BD137" i="8"/>
  <c r="AV137" i="8"/>
  <c r="BE137" i="8"/>
  <c r="AW137" i="8"/>
  <c r="BL137" i="8"/>
  <c r="AX137" i="8"/>
  <c r="AZ137" i="8"/>
  <c r="BC137" i="8"/>
  <c r="BF137" i="8"/>
  <c r="BG137" i="8"/>
  <c r="AR137" i="8"/>
  <c r="BI137" i="8"/>
  <c r="AT137" i="8"/>
  <c r="BK137" i="8"/>
  <c r="AT127" i="8"/>
  <c r="BC127" i="8"/>
  <c r="BK127" i="8"/>
  <c r="AV127" i="8"/>
  <c r="BE127" i="8"/>
  <c r="AX127" i="8"/>
  <c r="BG127" i="8"/>
  <c r="AY127" i="8"/>
  <c r="BH127" i="8"/>
  <c r="AR127" i="8"/>
  <c r="AZ127" i="8"/>
  <c r="BI127" i="8"/>
  <c r="BJ127" i="8"/>
  <c r="BL127" i="8"/>
  <c r="AS127" i="8"/>
  <c r="AU127" i="8"/>
  <c r="AW127" i="8"/>
  <c r="BA127" i="8"/>
  <c r="BD127" i="8"/>
  <c r="BF127" i="8"/>
  <c r="AV551" i="8"/>
  <c r="BE551" i="8"/>
  <c r="AW551" i="8"/>
  <c r="BF551" i="8"/>
  <c r="AX551" i="8"/>
  <c r="BG551" i="8"/>
  <c r="AY551" i="8"/>
  <c r="BH551" i="8"/>
  <c r="AR551" i="8"/>
  <c r="AZ551" i="8"/>
  <c r="BI551" i="8"/>
  <c r="AS551" i="8"/>
  <c r="BA551" i="8"/>
  <c r="BJ551" i="8"/>
  <c r="AT551" i="8"/>
  <c r="BC551" i="8"/>
  <c r="BK551" i="8"/>
  <c r="AU551" i="8"/>
  <c r="BD551" i="8"/>
  <c r="BL551" i="8"/>
  <c r="AW110" i="8"/>
  <c r="BF110" i="8"/>
  <c r="AX110" i="8"/>
  <c r="BG110" i="8"/>
  <c r="AY110" i="8"/>
  <c r="BH110" i="8"/>
  <c r="AT110" i="8"/>
  <c r="BI110" i="8"/>
  <c r="AV110" i="8"/>
  <c r="BK110" i="8"/>
  <c r="BA110" i="8"/>
  <c r="BC110" i="8"/>
  <c r="AR110" i="8"/>
  <c r="BD110" i="8"/>
  <c r="AS110" i="8"/>
  <c r="AU110" i="8"/>
  <c r="AZ110" i="8"/>
  <c r="BE110" i="8"/>
  <c r="BJ110" i="8"/>
  <c r="BL110" i="8"/>
  <c r="AX108" i="8"/>
  <c r="BG108" i="8"/>
  <c r="AY108" i="8"/>
  <c r="BH108" i="8"/>
  <c r="AR108" i="8"/>
  <c r="AZ108" i="8"/>
  <c r="BI108" i="8"/>
  <c r="AV108" i="8"/>
  <c r="BK108" i="8"/>
  <c r="BA108" i="8"/>
  <c r="BD108" i="8"/>
  <c r="AS108" i="8"/>
  <c r="BE108" i="8"/>
  <c r="AT108" i="8"/>
  <c r="BF108" i="8"/>
  <c r="AW108" i="8"/>
  <c r="BC108" i="8"/>
  <c r="BJ108" i="8"/>
  <c r="BL108" i="8"/>
  <c r="AU108" i="8"/>
  <c r="AR100" i="8"/>
  <c r="AZ100" i="8"/>
  <c r="BI100" i="8"/>
  <c r="AS100" i="8"/>
  <c r="BA100" i="8"/>
  <c r="BJ100" i="8"/>
  <c r="AT100" i="8"/>
  <c r="BC100" i="8"/>
  <c r="BK100" i="8"/>
  <c r="AV100" i="8"/>
  <c r="BE100" i="8"/>
  <c r="AW100" i="8"/>
  <c r="BF100" i="8"/>
  <c r="AX100" i="8"/>
  <c r="AY100" i="8"/>
  <c r="BG100" i="8"/>
  <c r="BL100" i="8"/>
  <c r="AU100" i="8"/>
  <c r="BD100" i="8"/>
  <c r="BH100" i="8"/>
  <c r="AS17" i="8"/>
  <c r="BA17" i="8"/>
  <c r="BJ17" i="8"/>
  <c r="AU17" i="8"/>
  <c r="BD17" i="8"/>
  <c r="BL17" i="8"/>
  <c r="AV17" i="8"/>
  <c r="BE17" i="8"/>
  <c r="BF17" i="8"/>
  <c r="AT17" i="8"/>
  <c r="BH17" i="8"/>
  <c r="AX17" i="8"/>
  <c r="BK17" i="8"/>
  <c r="AY17" i="8"/>
  <c r="AZ17" i="8"/>
  <c r="BG17" i="8"/>
  <c r="AR17" i="8"/>
  <c r="AW17" i="8"/>
  <c r="BI17" i="8"/>
  <c r="BC17" i="8"/>
  <c r="AS89" i="8"/>
  <c r="BA89" i="8"/>
  <c r="BJ89" i="8"/>
  <c r="AV89" i="8"/>
  <c r="BE89" i="8"/>
  <c r="AW89" i="8"/>
  <c r="BH89" i="8"/>
  <c r="AY89" i="8"/>
  <c r="BK89" i="8"/>
  <c r="AT89" i="8"/>
  <c r="BI89" i="8"/>
  <c r="AU89" i="8"/>
  <c r="BL89" i="8"/>
  <c r="AX89" i="8"/>
  <c r="AZ89" i="8"/>
  <c r="BC89" i="8"/>
  <c r="BD89" i="8"/>
  <c r="BF89" i="8"/>
  <c r="AR89" i="8"/>
  <c r="BG89" i="8"/>
  <c r="AR78" i="8"/>
  <c r="AZ78" i="8"/>
  <c r="BI78" i="8"/>
  <c r="AS78" i="8"/>
  <c r="BA78" i="8"/>
  <c r="BJ78" i="8"/>
  <c r="AU78" i="8"/>
  <c r="BD78" i="8"/>
  <c r="BL78" i="8"/>
  <c r="AT78" i="8"/>
  <c r="BG78" i="8"/>
  <c r="AW78" i="8"/>
  <c r="BK78" i="8"/>
  <c r="AX78" i="8"/>
  <c r="BC78" i="8"/>
  <c r="BE78" i="8"/>
  <c r="BF78" i="8"/>
  <c r="BH78" i="8"/>
  <c r="AV78" i="8"/>
  <c r="AY78" i="8"/>
  <c r="AW72" i="8"/>
  <c r="BF72" i="8"/>
  <c r="AR72" i="8"/>
  <c r="AZ72" i="8"/>
  <c r="BI72" i="8"/>
  <c r="AV72" i="8"/>
  <c r="BH72" i="8"/>
  <c r="AX72" i="8"/>
  <c r="BJ72" i="8"/>
  <c r="BA72" i="8"/>
  <c r="BL72" i="8"/>
  <c r="AT72" i="8"/>
  <c r="AY72" i="8"/>
  <c r="BC72" i="8"/>
  <c r="BE72" i="8"/>
  <c r="BG72" i="8"/>
  <c r="AS72" i="8"/>
  <c r="AU72" i="8"/>
  <c r="BD72" i="8"/>
  <c r="BK72" i="8"/>
  <c r="AT65" i="8"/>
  <c r="BC65" i="8"/>
  <c r="BK65" i="8"/>
  <c r="AU65" i="8"/>
  <c r="BD65" i="8"/>
  <c r="BL65" i="8"/>
  <c r="AW65" i="8"/>
  <c r="BF65" i="8"/>
  <c r="AV65" i="8"/>
  <c r="BI65" i="8"/>
  <c r="AX65" i="8"/>
  <c r="BJ65" i="8"/>
  <c r="AZ65" i="8"/>
  <c r="AS65" i="8"/>
  <c r="BA65" i="8"/>
  <c r="BE65" i="8"/>
  <c r="BH65" i="8"/>
  <c r="AR65" i="8"/>
  <c r="AY65" i="8"/>
  <c r="BG65" i="8"/>
  <c r="AX547" i="8"/>
  <c r="BG547" i="8"/>
  <c r="AY547" i="8"/>
  <c r="BH547" i="8"/>
  <c r="AR547" i="8"/>
  <c r="AZ547" i="8"/>
  <c r="BI547" i="8"/>
  <c r="AS547" i="8"/>
  <c r="BA547" i="8"/>
  <c r="BJ547" i="8"/>
  <c r="AT547" i="8"/>
  <c r="BC547" i="8"/>
  <c r="BK547" i="8"/>
  <c r="AU547" i="8"/>
  <c r="BD547" i="8"/>
  <c r="BL547" i="8"/>
  <c r="AV547" i="8"/>
  <c r="BE547" i="8"/>
  <c r="AW547" i="8"/>
  <c r="BF547" i="8"/>
  <c r="AY51" i="8"/>
  <c r="BH51" i="8"/>
  <c r="AS51" i="8"/>
  <c r="BA51" i="8"/>
  <c r="BJ51" i="8"/>
  <c r="AU51" i="8"/>
  <c r="BD51" i="8"/>
  <c r="BL51" i="8"/>
  <c r="AV51" i="8"/>
  <c r="BI51" i="8"/>
  <c r="AW51" i="8"/>
  <c r="BK51" i="8"/>
  <c r="AZ51" i="8"/>
  <c r="AT51" i="8"/>
  <c r="AX51" i="8"/>
  <c r="BE51" i="8"/>
  <c r="AR51" i="8"/>
  <c r="BF51" i="8"/>
  <c r="BG51" i="8"/>
  <c r="BC51" i="8"/>
  <c r="AY16" i="8"/>
  <c r="BH16" i="8"/>
  <c r="AS16" i="8"/>
  <c r="BA16" i="8"/>
  <c r="BJ16" i="8"/>
  <c r="AT16" i="8"/>
  <c r="BC16" i="8"/>
  <c r="BK16" i="8"/>
  <c r="AZ16" i="8"/>
  <c r="BE16" i="8"/>
  <c r="AU16" i="8"/>
  <c r="BG16" i="8"/>
  <c r="AX16" i="8"/>
  <c r="BD16" i="8"/>
  <c r="BI16" i="8"/>
  <c r="AV16" i="8"/>
  <c r="AW16" i="8"/>
  <c r="BF16" i="8"/>
  <c r="AR16" i="8"/>
  <c r="BL16" i="8"/>
  <c r="AR38" i="8"/>
  <c r="AZ38" i="8"/>
  <c r="BI38" i="8"/>
  <c r="AT38" i="8"/>
  <c r="BC38" i="8"/>
  <c r="BK38" i="8"/>
  <c r="AU38" i="8"/>
  <c r="BD38" i="8"/>
  <c r="BL38" i="8"/>
  <c r="BA38" i="8"/>
  <c r="BF38" i="8"/>
  <c r="AV38" i="8"/>
  <c r="BH38" i="8"/>
  <c r="BE38" i="8"/>
  <c r="BG38" i="8"/>
  <c r="AW38" i="8"/>
  <c r="AX38" i="8"/>
  <c r="BJ38" i="8"/>
  <c r="AS38" i="8"/>
  <c r="AY38" i="8"/>
  <c r="AW382" i="8"/>
  <c r="BF382" i="8"/>
  <c r="AX382" i="8"/>
  <c r="BG382" i="8"/>
  <c r="AY382" i="8"/>
  <c r="BH382" i="8"/>
  <c r="AR382" i="8"/>
  <c r="AZ382" i="8"/>
  <c r="BI382" i="8"/>
  <c r="AS382" i="8"/>
  <c r="BA382" i="8"/>
  <c r="BJ382" i="8"/>
  <c r="AT382" i="8"/>
  <c r="BC382" i="8"/>
  <c r="BK382" i="8"/>
  <c r="AU382" i="8"/>
  <c r="BD382" i="8"/>
  <c r="BL382" i="8"/>
  <c r="AV382" i="8"/>
  <c r="BE382" i="8"/>
  <c r="AR365" i="8"/>
  <c r="AZ365" i="8"/>
  <c r="BI365" i="8"/>
  <c r="AT365" i="8"/>
  <c r="BC365" i="8"/>
  <c r="BK365" i="8"/>
  <c r="AV365" i="8"/>
  <c r="BE365" i="8"/>
  <c r="AW365" i="8"/>
  <c r="BF365" i="8"/>
  <c r="AX365" i="8"/>
  <c r="BG365" i="8"/>
  <c r="AS365" i="8"/>
  <c r="AU365" i="8"/>
  <c r="AY365" i="8"/>
  <c r="BA365" i="8"/>
  <c r="BD365" i="8"/>
  <c r="BH365" i="8"/>
  <c r="BJ365" i="8"/>
  <c r="BL365" i="8"/>
  <c r="AV373" i="8"/>
  <c r="BE373" i="8"/>
  <c r="AX373" i="8"/>
  <c r="BG373" i="8"/>
  <c r="AU373" i="8"/>
  <c r="BH373" i="8"/>
  <c r="AW373" i="8"/>
  <c r="BI373" i="8"/>
  <c r="AY373" i="8"/>
  <c r="BJ373" i="8"/>
  <c r="AZ373" i="8"/>
  <c r="BK373" i="8"/>
  <c r="BA373" i="8"/>
  <c r="BL373" i="8"/>
  <c r="AR373" i="8"/>
  <c r="BC373" i="8"/>
  <c r="AS373" i="8"/>
  <c r="BD373" i="8"/>
  <c r="AT373" i="8"/>
  <c r="BF373" i="8"/>
  <c r="AT388" i="8"/>
  <c r="BC388" i="8"/>
  <c r="BK388" i="8"/>
  <c r="AU388" i="8"/>
  <c r="BD388" i="8"/>
  <c r="BL388" i="8"/>
  <c r="AV388" i="8"/>
  <c r="BE388" i="8"/>
  <c r="AW388" i="8"/>
  <c r="BF388" i="8"/>
  <c r="AX388" i="8"/>
  <c r="BG388" i="8"/>
  <c r="AY388" i="8"/>
  <c r="BH388" i="8"/>
  <c r="AR388" i="8"/>
  <c r="AZ388" i="8"/>
  <c r="BI388" i="8"/>
  <c r="BA388" i="8"/>
  <c r="BJ388" i="8"/>
  <c r="AS388" i="8"/>
  <c r="AT338" i="8"/>
  <c r="BC338" i="8"/>
  <c r="BK338" i="8"/>
  <c r="AU338" i="8"/>
  <c r="BD338" i="8"/>
  <c r="BL338" i="8"/>
  <c r="AV338" i="8"/>
  <c r="BE338" i="8"/>
  <c r="AX338" i="8"/>
  <c r="BG338" i="8"/>
  <c r="AY338" i="8"/>
  <c r="BH338" i="8"/>
  <c r="AR338" i="8"/>
  <c r="AZ338" i="8"/>
  <c r="BI338" i="8"/>
  <c r="AS338" i="8"/>
  <c r="AW338" i="8"/>
  <c r="BA338" i="8"/>
  <c r="BF338" i="8"/>
  <c r="BJ338" i="8"/>
  <c r="AS331" i="8"/>
  <c r="BA331" i="8"/>
  <c r="BJ331" i="8"/>
  <c r="AT331" i="8"/>
  <c r="BC331" i="8"/>
  <c r="BK331" i="8"/>
  <c r="AU331" i="8"/>
  <c r="BD331" i="8"/>
  <c r="BL331" i="8"/>
  <c r="AV331" i="8"/>
  <c r="BE331" i="8"/>
  <c r="AW331" i="8"/>
  <c r="BF331" i="8"/>
  <c r="AX331" i="8"/>
  <c r="BG331" i="8"/>
  <c r="AY331" i="8"/>
  <c r="BH331" i="8"/>
  <c r="AR331" i="8"/>
  <c r="AZ331" i="8"/>
  <c r="BI331" i="8"/>
  <c r="AW323" i="8"/>
  <c r="BF323" i="8"/>
  <c r="AX323" i="8"/>
  <c r="BG323" i="8"/>
  <c r="AY323" i="8"/>
  <c r="BH323" i="8"/>
  <c r="AR323" i="8"/>
  <c r="AZ323" i="8"/>
  <c r="BI323" i="8"/>
  <c r="AS323" i="8"/>
  <c r="BA323" i="8"/>
  <c r="BJ323" i="8"/>
  <c r="AT323" i="8"/>
  <c r="BC323" i="8"/>
  <c r="BK323" i="8"/>
  <c r="AU323" i="8"/>
  <c r="BD323" i="8"/>
  <c r="BL323" i="8"/>
  <c r="AV323" i="8"/>
  <c r="BE323" i="8"/>
  <c r="AW315" i="8"/>
  <c r="BF315" i="8"/>
  <c r="AY315" i="8"/>
  <c r="BH315" i="8"/>
  <c r="AR315" i="8"/>
  <c r="AZ315" i="8"/>
  <c r="BI315" i="8"/>
  <c r="AT315" i="8"/>
  <c r="BC315" i="8"/>
  <c r="BK315" i="8"/>
  <c r="AU315" i="8"/>
  <c r="BD315" i="8"/>
  <c r="BL315" i="8"/>
  <c r="BJ315" i="8"/>
  <c r="AS315" i="8"/>
  <c r="AV315" i="8"/>
  <c r="AX315" i="8"/>
  <c r="BA315" i="8"/>
  <c r="BE315" i="8"/>
  <c r="BG315" i="8"/>
  <c r="AX306" i="8"/>
  <c r="BG306" i="8"/>
  <c r="AR306" i="8"/>
  <c r="AZ306" i="8"/>
  <c r="BI306" i="8"/>
  <c r="AS306" i="8"/>
  <c r="BA306" i="8"/>
  <c r="BJ306" i="8"/>
  <c r="AU306" i="8"/>
  <c r="BD306" i="8"/>
  <c r="BL306" i="8"/>
  <c r="AV306" i="8"/>
  <c r="BE306" i="8"/>
  <c r="BC306" i="8"/>
  <c r="BF306" i="8"/>
  <c r="BH306" i="8"/>
  <c r="BK306" i="8"/>
  <c r="AT306" i="8"/>
  <c r="AW306" i="8"/>
  <c r="AY306" i="8"/>
  <c r="AT298" i="8"/>
  <c r="BC298" i="8"/>
  <c r="BK298" i="8"/>
  <c r="AV298" i="8"/>
  <c r="BE298" i="8"/>
  <c r="AW298" i="8"/>
  <c r="BF298" i="8"/>
  <c r="AY298" i="8"/>
  <c r="BH298" i="8"/>
  <c r="AR298" i="8"/>
  <c r="AZ298" i="8"/>
  <c r="BI298" i="8"/>
  <c r="AU298" i="8"/>
  <c r="AX298" i="8"/>
  <c r="BA298" i="8"/>
  <c r="BD298" i="8"/>
  <c r="BG298" i="8"/>
  <c r="BJ298" i="8"/>
  <c r="BL298" i="8"/>
  <c r="AS298" i="8"/>
  <c r="AR293" i="8"/>
  <c r="AZ293" i="8"/>
  <c r="BI293" i="8"/>
  <c r="AT293" i="8"/>
  <c r="BC293" i="8"/>
  <c r="BK293" i="8"/>
  <c r="AU293" i="8"/>
  <c r="BD293" i="8"/>
  <c r="BL293" i="8"/>
  <c r="AW293" i="8"/>
  <c r="BF293" i="8"/>
  <c r="AX293" i="8"/>
  <c r="BG293" i="8"/>
  <c r="AS293" i="8"/>
  <c r="AV293" i="8"/>
  <c r="AY293" i="8"/>
  <c r="BA293" i="8"/>
  <c r="BE293" i="8"/>
  <c r="BH293" i="8"/>
  <c r="BJ293" i="8"/>
  <c r="AS285" i="8"/>
  <c r="AV285" i="8"/>
  <c r="BE285" i="8"/>
  <c r="AW285" i="8"/>
  <c r="BF285" i="8"/>
  <c r="AX285" i="8"/>
  <c r="BG285" i="8"/>
  <c r="AY285" i="8"/>
  <c r="BH285" i="8"/>
  <c r="AR285" i="8"/>
  <c r="BA285" i="8"/>
  <c r="BJ285" i="8"/>
  <c r="AT285" i="8"/>
  <c r="BC285" i="8"/>
  <c r="BK285" i="8"/>
  <c r="BD285" i="8"/>
  <c r="BI285" i="8"/>
  <c r="BL285" i="8"/>
  <c r="AU285" i="8"/>
  <c r="AZ285" i="8"/>
  <c r="AY561" i="8"/>
  <c r="BH561" i="8"/>
  <c r="AR561" i="8"/>
  <c r="AZ561" i="8"/>
  <c r="BI561" i="8"/>
  <c r="AS561" i="8"/>
  <c r="BA561" i="8"/>
  <c r="BJ561" i="8"/>
  <c r="AT561" i="8"/>
  <c r="BC561" i="8"/>
  <c r="BK561" i="8"/>
  <c r="AU561" i="8"/>
  <c r="BD561" i="8"/>
  <c r="BL561" i="8"/>
  <c r="AV561" i="8"/>
  <c r="BE561" i="8"/>
  <c r="AW561" i="8"/>
  <c r="BF561" i="8"/>
  <c r="AX561" i="8"/>
  <c r="BG561" i="8"/>
  <c r="AY267" i="8"/>
  <c r="BH267" i="8"/>
  <c r="AS267" i="8"/>
  <c r="BA267" i="8"/>
  <c r="BJ267" i="8"/>
  <c r="AU267" i="8"/>
  <c r="BD267" i="8"/>
  <c r="BL267" i="8"/>
  <c r="AV267" i="8"/>
  <c r="BE267" i="8"/>
  <c r="AW267" i="8"/>
  <c r="BF267" i="8"/>
  <c r="AZ267" i="8"/>
  <c r="BC267" i="8"/>
  <c r="BG267" i="8"/>
  <c r="BI267" i="8"/>
  <c r="BK267" i="8"/>
  <c r="AR267" i="8"/>
  <c r="AT267" i="8"/>
  <c r="AX267" i="8"/>
  <c r="AW262" i="8"/>
  <c r="BF262" i="8"/>
  <c r="AY262" i="8"/>
  <c r="BH262" i="8"/>
  <c r="AS262" i="8"/>
  <c r="BA262" i="8"/>
  <c r="BJ262" i="8"/>
  <c r="AT262" i="8"/>
  <c r="BC262" i="8"/>
  <c r="BK262" i="8"/>
  <c r="AU262" i="8"/>
  <c r="BD262" i="8"/>
  <c r="BL262" i="8"/>
  <c r="AV262" i="8"/>
  <c r="AX262" i="8"/>
  <c r="AZ262" i="8"/>
  <c r="BE262" i="8"/>
  <c r="BG262" i="8"/>
  <c r="BI262" i="8"/>
  <c r="AR262" i="8"/>
  <c r="AS252" i="8"/>
  <c r="BA252" i="8"/>
  <c r="BJ252" i="8"/>
  <c r="AU252" i="8"/>
  <c r="BD252" i="8"/>
  <c r="BL252" i="8"/>
  <c r="AW252" i="8"/>
  <c r="BF252" i="8"/>
  <c r="AX252" i="8"/>
  <c r="BG252" i="8"/>
  <c r="AY252" i="8"/>
  <c r="BH252" i="8"/>
  <c r="BI252" i="8"/>
  <c r="BK252" i="8"/>
  <c r="AR252" i="8"/>
  <c r="AT252" i="8"/>
  <c r="AV252" i="8"/>
  <c r="AZ252" i="8"/>
  <c r="BC252" i="8"/>
  <c r="BE252" i="8"/>
  <c r="AS237" i="8"/>
  <c r="BA237" i="8"/>
  <c r="BJ237" i="8"/>
  <c r="AX237" i="8"/>
  <c r="BH237" i="8"/>
  <c r="AZ237" i="8"/>
  <c r="BK237" i="8"/>
  <c r="AT237" i="8"/>
  <c r="BD237" i="8"/>
  <c r="AU237" i="8"/>
  <c r="BE237" i="8"/>
  <c r="AV237" i="8"/>
  <c r="BF237" i="8"/>
  <c r="BL237" i="8"/>
  <c r="AR237" i="8"/>
  <c r="AW237" i="8"/>
  <c r="AY237" i="8"/>
  <c r="BC237" i="8"/>
  <c r="BG237" i="8"/>
  <c r="BI237" i="8"/>
  <c r="AU248" i="8"/>
  <c r="BD248" i="8"/>
  <c r="BL248" i="8"/>
  <c r="AW248" i="8"/>
  <c r="BF248" i="8"/>
  <c r="AY248" i="8"/>
  <c r="BH248" i="8"/>
  <c r="AR248" i="8"/>
  <c r="AZ248" i="8"/>
  <c r="BI248" i="8"/>
  <c r="AS248" i="8"/>
  <c r="BA248" i="8"/>
  <c r="BJ248" i="8"/>
  <c r="BE248" i="8"/>
  <c r="BG248" i="8"/>
  <c r="BK248" i="8"/>
  <c r="AT248" i="8"/>
  <c r="AV248" i="8"/>
  <c r="AX248" i="8"/>
  <c r="BC248" i="8"/>
  <c r="AV229" i="8"/>
  <c r="BE229" i="8"/>
  <c r="AX229" i="8"/>
  <c r="BG229" i="8"/>
  <c r="AY229" i="8"/>
  <c r="BH229" i="8"/>
  <c r="AS229" i="8"/>
  <c r="BA229" i="8"/>
  <c r="BJ229" i="8"/>
  <c r="AT229" i="8"/>
  <c r="BC229" i="8"/>
  <c r="BK229" i="8"/>
  <c r="BD229" i="8"/>
  <c r="BI229" i="8"/>
  <c r="AR229" i="8"/>
  <c r="AU229" i="8"/>
  <c r="AW229" i="8"/>
  <c r="BL229" i="8"/>
  <c r="AZ229" i="8"/>
  <c r="BF229" i="8"/>
  <c r="AS208" i="8"/>
  <c r="BA208" i="8"/>
  <c r="BJ208" i="8"/>
  <c r="AU208" i="8"/>
  <c r="BD208" i="8"/>
  <c r="BL208" i="8"/>
  <c r="AV208" i="8"/>
  <c r="BE208" i="8"/>
  <c r="AX208" i="8"/>
  <c r="BG208" i="8"/>
  <c r="AY208" i="8"/>
  <c r="BH208" i="8"/>
  <c r="BF208" i="8"/>
  <c r="BK208" i="8"/>
  <c r="AT208" i="8"/>
  <c r="AW208" i="8"/>
  <c r="AZ208" i="8"/>
  <c r="AR208" i="8"/>
  <c r="BC208" i="8"/>
  <c r="BI208" i="8"/>
  <c r="AR210" i="8"/>
  <c r="AZ210" i="8"/>
  <c r="BI210" i="8"/>
  <c r="AT210" i="8"/>
  <c r="BC210" i="8"/>
  <c r="BK210" i="8"/>
  <c r="AU210" i="8"/>
  <c r="BD210" i="8"/>
  <c r="BL210" i="8"/>
  <c r="AW210" i="8"/>
  <c r="BF210" i="8"/>
  <c r="AX210" i="8"/>
  <c r="BG210" i="8"/>
  <c r="BH210" i="8"/>
  <c r="AV210" i="8"/>
  <c r="AY210" i="8"/>
  <c r="BA210" i="8"/>
  <c r="BE210" i="8"/>
  <c r="BJ210" i="8"/>
  <c r="AS210" i="8"/>
  <c r="AW205" i="8"/>
  <c r="BF205" i="8"/>
  <c r="AY205" i="8"/>
  <c r="BH205" i="8"/>
  <c r="AR205" i="8"/>
  <c r="AZ205" i="8"/>
  <c r="BI205" i="8"/>
  <c r="AT205" i="8"/>
  <c r="BC205" i="8"/>
  <c r="BK205" i="8"/>
  <c r="AU205" i="8"/>
  <c r="BD205" i="8"/>
  <c r="BL205" i="8"/>
  <c r="BA205" i="8"/>
  <c r="BG205" i="8"/>
  <c r="AS205" i="8"/>
  <c r="AV205" i="8"/>
  <c r="AX205" i="8"/>
  <c r="BE205" i="8"/>
  <c r="BJ205" i="8"/>
  <c r="AU26" i="8"/>
  <c r="BD26" i="8"/>
  <c r="BL26" i="8"/>
  <c r="AW26" i="8"/>
  <c r="BF26" i="8"/>
  <c r="AX26" i="8"/>
  <c r="BG26" i="8"/>
  <c r="BA26" i="8"/>
  <c r="AR26" i="8"/>
  <c r="BE26" i="8"/>
  <c r="AT26" i="8"/>
  <c r="BI26" i="8"/>
  <c r="AZ26" i="8"/>
  <c r="BC26" i="8"/>
  <c r="BJ26" i="8"/>
  <c r="BK26" i="8"/>
  <c r="AS26" i="8"/>
  <c r="AY26" i="8"/>
  <c r="BH26" i="8"/>
  <c r="AV26" i="8"/>
  <c r="AU193" i="8"/>
  <c r="BD193" i="8"/>
  <c r="AW193" i="8"/>
  <c r="BF193" i="8"/>
  <c r="AR193" i="8"/>
  <c r="AZ193" i="8"/>
  <c r="AS193" i="8"/>
  <c r="BA193" i="8"/>
  <c r="BE193" i="8"/>
  <c r="BH193" i="8"/>
  <c r="AT193" i="8"/>
  <c r="BI193" i="8"/>
  <c r="AX193" i="8"/>
  <c r="BK193" i="8"/>
  <c r="AY193" i="8"/>
  <c r="BL193" i="8"/>
  <c r="BC193" i="8"/>
  <c r="BG193" i="8"/>
  <c r="BJ193" i="8"/>
  <c r="AV193" i="8"/>
  <c r="AV186" i="8"/>
  <c r="BE186" i="8"/>
  <c r="AX186" i="8"/>
  <c r="BG186" i="8"/>
  <c r="AR186" i="8"/>
  <c r="AZ186" i="8"/>
  <c r="BI186" i="8"/>
  <c r="AS186" i="8"/>
  <c r="BA186" i="8"/>
  <c r="BJ186" i="8"/>
  <c r="AT186" i="8"/>
  <c r="BC186" i="8"/>
  <c r="BK186" i="8"/>
  <c r="BD186" i="8"/>
  <c r="BH186" i="8"/>
  <c r="BL186" i="8"/>
  <c r="AU186" i="8"/>
  <c r="AW186" i="8"/>
  <c r="BF186" i="8"/>
  <c r="AY186" i="8"/>
  <c r="AY178" i="8"/>
  <c r="BH178" i="8"/>
  <c r="AS178" i="8"/>
  <c r="BA178" i="8"/>
  <c r="BJ178" i="8"/>
  <c r="AU178" i="8"/>
  <c r="BD178" i="8"/>
  <c r="BL178" i="8"/>
  <c r="AV178" i="8"/>
  <c r="BE178" i="8"/>
  <c r="AW178" i="8"/>
  <c r="BF178" i="8"/>
  <c r="AT178" i="8"/>
  <c r="AZ178" i="8"/>
  <c r="BC178" i="8"/>
  <c r="BI178" i="8"/>
  <c r="BK178" i="8"/>
  <c r="AX178" i="8"/>
  <c r="AR178" i="8"/>
  <c r="BG178" i="8"/>
  <c r="AX167" i="8"/>
  <c r="BG167" i="8"/>
  <c r="AR167" i="8"/>
  <c r="AZ167" i="8"/>
  <c r="BI167" i="8"/>
  <c r="AT167" i="8"/>
  <c r="BC167" i="8"/>
  <c r="BK167" i="8"/>
  <c r="AU167" i="8"/>
  <c r="BD167" i="8"/>
  <c r="BL167" i="8"/>
  <c r="AV167" i="8"/>
  <c r="BE167" i="8"/>
  <c r="BF167" i="8"/>
  <c r="BH167" i="8"/>
  <c r="BJ167" i="8"/>
  <c r="AS167" i="8"/>
  <c r="AW167" i="8"/>
  <c r="AY167" i="8"/>
  <c r="BA167" i="8"/>
  <c r="AW491" i="8"/>
  <c r="BF491" i="8"/>
  <c r="AX491" i="8"/>
  <c r="BG491" i="8"/>
  <c r="AS491" i="8"/>
  <c r="BA491" i="8"/>
  <c r="BJ491" i="8"/>
  <c r="AT491" i="8"/>
  <c r="BC491" i="8"/>
  <c r="BK491" i="8"/>
  <c r="AR491" i="8"/>
  <c r="BI491" i="8"/>
  <c r="AU491" i="8"/>
  <c r="BL491" i="8"/>
  <c r="AZ491" i="8"/>
  <c r="BD491" i="8"/>
  <c r="AV491" i="8"/>
  <c r="AY491" i="8"/>
  <c r="BE491" i="8"/>
  <c r="BH491" i="8"/>
  <c r="AX158" i="8"/>
  <c r="BG158" i="8"/>
  <c r="AR158" i="8"/>
  <c r="AZ158" i="8"/>
  <c r="BI158" i="8"/>
  <c r="AT158" i="8"/>
  <c r="BC158" i="8"/>
  <c r="BK158" i="8"/>
  <c r="AU158" i="8"/>
  <c r="BD158" i="8"/>
  <c r="BL158" i="8"/>
  <c r="AV158" i="8"/>
  <c r="BE158" i="8"/>
  <c r="AW158" i="8"/>
  <c r="AY158" i="8"/>
  <c r="BA158" i="8"/>
  <c r="BF158" i="8"/>
  <c r="BH158" i="8"/>
  <c r="BJ158" i="8"/>
  <c r="AS158" i="8"/>
  <c r="AY152" i="8"/>
  <c r="BH152" i="8"/>
  <c r="AS152" i="8"/>
  <c r="BA152" i="8"/>
  <c r="BJ152" i="8"/>
  <c r="AU152" i="8"/>
  <c r="BD152" i="8"/>
  <c r="BL152" i="8"/>
  <c r="AV152" i="8"/>
  <c r="BE152" i="8"/>
  <c r="AW152" i="8"/>
  <c r="BF152" i="8"/>
  <c r="BK152" i="8"/>
  <c r="AR152" i="8"/>
  <c r="AT152" i="8"/>
  <c r="AX152" i="8"/>
  <c r="AZ152" i="8"/>
  <c r="BC152" i="8"/>
  <c r="BG152" i="8"/>
  <c r="BI152" i="8"/>
  <c r="AT144" i="8"/>
  <c r="BC144" i="8"/>
  <c r="BK144" i="8"/>
  <c r="AZ144" i="8"/>
  <c r="BJ144" i="8"/>
  <c r="AS144" i="8"/>
  <c r="BD144" i="8"/>
  <c r="AV144" i="8"/>
  <c r="BF144" i="8"/>
  <c r="AW144" i="8"/>
  <c r="BG144" i="8"/>
  <c r="AX144" i="8"/>
  <c r="BH144" i="8"/>
  <c r="AR144" i="8"/>
  <c r="AU144" i="8"/>
  <c r="AY144" i="8"/>
  <c r="BA144" i="8"/>
  <c r="BE144" i="8"/>
  <c r="BI144" i="8"/>
  <c r="BL144" i="8"/>
  <c r="AV136" i="8"/>
  <c r="BE136" i="8"/>
  <c r="AX136" i="8"/>
  <c r="BG136" i="8"/>
  <c r="AR136" i="8"/>
  <c r="AZ136" i="8"/>
  <c r="BI136" i="8"/>
  <c r="AS136" i="8"/>
  <c r="BA136" i="8"/>
  <c r="BJ136" i="8"/>
  <c r="AT136" i="8"/>
  <c r="BC136" i="8"/>
  <c r="BK136" i="8"/>
  <c r="AW136" i="8"/>
  <c r="AY136" i="8"/>
  <c r="BD136" i="8"/>
  <c r="BF136" i="8"/>
  <c r="BH136" i="8"/>
  <c r="BL136" i="8"/>
  <c r="AU136" i="8"/>
  <c r="AS131" i="8"/>
  <c r="BA131" i="8"/>
  <c r="BJ131" i="8"/>
  <c r="AU131" i="8"/>
  <c r="BD131" i="8"/>
  <c r="BL131" i="8"/>
  <c r="AW131" i="8"/>
  <c r="BF131" i="8"/>
  <c r="AX131" i="8"/>
  <c r="BG131" i="8"/>
  <c r="AY131" i="8"/>
  <c r="BH131" i="8"/>
  <c r="AR131" i="8"/>
  <c r="AT131" i="8"/>
  <c r="AV131" i="8"/>
  <c r="AZ131" i="8"/>
  <c r="BC131" i="8"/>
  <c r="BE131" i="8"/>
  <c r="BI131" i="8"/>
  <c r="BK131" i="8"/>
  <c r="AU123" i="8"/>
  <c r="BD123" i="8"/>
  <c r="BL123" i="8"/>
  <c r="AW123" i="8"/>
  <c r="BF123" i="8"/>
  <c r="AY123" i="8"/>
  <c r="BH123" i="8"/>
  <c r="AR123" i="8"/>
  <c r="AZ123" i="8"/>
  <c r="BI123" i="8"/>
  <c r="AS123" i="8"/>
  <c r="BA123" i="8"/>
  <c r="BJ123" i="8"/>
  <c r="BE123" i="8"/>
  <c r="BG123" i="8"/>
  <c r="BK123" i="8"/>
  <c r="AT123" i="8"/>
  <c r="AV123" i="8"/>
  <c r="AX123" i="8"/>
  <c r="BC123" i="8"/>
  <c r="AV114" i="8"/>
  <c r="BE114" i="8"/>
  <c r="AW114" i="8"/>
  <c r="BF114" i="8"/>
  <c r="AX114" i="8"/>
  <c r="BI114" i="8"/>
  <c r="AZ114" i="8"/>
  <c r="BK114" i="8"/>
  <c r="AR114" i="8"/>
  <c r="BC114" i="8"/>
  <c r="AS114" i="8"/>
  <c r="BD114" i="8"/>
  <c r="AT114" i="8"/>
  <c r="BG114" i="8"/>
  <c r="BH114" i="8"/>
  <c r="BJ114" i="8"/>
  <c r="BL114" i="8"/>
  <c r="AU114" i="8"/>
  <c r="AY114" i="8"/>
  <c r="BA114" i="8"/>
  <c r="AT107" i="8"/>
  <c r="BC107" i="8"/>
  <c r="BK107" i="8"/>
  <c r="AU107" i="8"/>
  <c r="BD107" i="8"/>
  <c r="BL107" i="8"/>
  <c r="AV107" i="8"/>
  <c r="BE107" i="8"/>
  <c r="BF107" i="8"/>
  <c r="AS107" i="8"/>
  <c r="BH107" i="8"/>
  <c r="AX107" i="8"/>
  <c r="BJ107" i="8"/>
  <c r="AY107" i="8"/>
  <c r="AZ107" i="8"/>
  <c r="AR107" i="8"/>
  <c r="AW107" i="8"/>
  <c r="BA107" i="8"/>
  <c r="BG107" i="8"/>
  <c r="BI107" i="8"/>
  <c r="AV99" i="8"/>
  <c r="BE99" i="8"/>
  <c r="AS99" i="8"/>
  <c r="BC99" i="8"/>
  <c r="BL99" i="8"/>
  <c r="AT99" i="8"/>
  <c r="BD99" i="8"/>
  <c r="AU99" i="8"/>
  <c r="BF99" i="8"/>
  <c r="AW99" i="8"/>
  <c r="BG99" i="8"/>
  <c r="AX99" i="8"/>
  <c r="BH99" i="8"/>
  <c r="AY99" i="8"/>
  <c r="BI99" i="8"/>
  <c r="AZ99" i="8"/>
  <c r="BJ99" i="8"/>
  <c r="AR99" i="8"/>
  <c r="BA99" i="8"/>
  <c r="BK99" i="8"/>
  <c r="AR93" i="8"/>
  <c r="AZ93" i="8"/>
  <c r="BI93" i="8"/>
  <c r="AU93" i="8"/>
  <c r="BD93" i="8"/>
  <c r="BL93" i="8"/>
  <c r="BA93" i="8"/>
  <c r="BC93" i="8"/>
  <c r="BE93" i="8"/>
  <c r="AS93" i="8"/>
  <c r="BF93" i="8"/>
  <c r="AT93" i="8"/>
  <c r="BG93" i="8"/>
  <c r="AV93" i="8"/>
  <c r="BH93" i="8"/>
  <c r="AW93" i="8"/>
  <c r="BJ93" i="8"/>
  <c r="AX93" i="8"/>
  <c r="BK93" i="8"/>
  <c r="AY93" i="8"/>
  <c r="AT87" i="8"/>
  <c r="BC87" i="8"/>
  <c r="BK87" i="8"/>
  <c r="AW87" i="8"/>
  <c r="BF87" i="8"/>
  <c r="AU87" i="8"/>
  <c r="BG87" i="8"/>
  <c r="AX87" i="8"/>
  <c r="BI87" i="8"/>
  <c r="AR87" i="8"/>
  <c r="BH87" i="8"/>
  <c r="AS87" i="8"/>
  <c r="BJ87" i="8"/>
  <c r="AV87" i="8"/>
  <c r="BL87" i="8"/>
  <c r="AY87" i="8"/>
  <c r="AZ87" i="8"/>
  <c r="BA87" i="8"/>
  <c r="BD87" i="8"/>
  <c r="BE87" i="8"/>
  <c r="AR80" i="8"/>
  <c r="AZ80" i="8"/>
  <c r="BI80" i="8"/>
  <c r="AS80" i="8"/>
  <c r="BA80" i="8"/>
  <c r="BJ80" i="8"/>
  <c r="AU80" i="8"/>
  <c r="BD80" i="8"/>
  <c r="BL80" i="8"/>
  <c r="BF80" i="8"/>
  <c r="AV80" i="8"/>
  <c r="BH80" i="8"/>
  <c r="AW80" i="8"/>
  <c r="BK80" i="8"/>
  <c r="AY80" i="8"/>
  <c r="AT80" i="8"/>
  <c r="AX80" i="8"/>
  <c r="BC80" i="8"/>
  <c r="BE80" i="8"/>
  <c r="BG80" i="8"/>
  <c r="AS71" i="8"/>
  <c r="BA71" i="8"/>
  <c r="BJ71" i="8"/>
  <c r="AV71" i="8"/>
  <c r="BE71" i="8"/>
  <c r="AU71" i="8"/>
  <c r="BG71" i="8"/>
  <c r="AW71" i="8"/>
  <c r="BH71" i="8"/>
  <c r="AY71" i="8"/>
  <c r="BK71" i="8"/>
  <c r="AX71" i="8"/>
  <c r="BC71" i="8"/>
  <c r="BD71" i="8"/>
  <c r="BI71" i="8"/>
  <c r="AR71" i="8"/>
  <c r="BL71" i="8"/>
  <c r="AZ71" i="8"/>
  <c r="BF71" i="8"/>
  <c r="AT71" i="8"/>
  <c r="AY64" i="8"/>
  <c r="BH64" i="8"/>
  <c r="AR64" i="8"/>
  <c r="AZ64" i="8"/>
  <c r="BI64" i="8"/>
  <c r="AT64" i="8"/>
  <c r="BC64" i="8"/>
  <c r="BK64" i="8"/>
  <c r="BE64" i="8"/>
  <c r="AS64" i="8"/>
  <c r="BF64" i="8"/>
  <c r="AV64" i="8"/>
  <c r="BJ64" i="8"/>
  <c r="AW64" i="8"/>
  <c r="BA64" i="8"/>
  <c r="BD64" i="8"/>
  <c r="BL64" i="8"/>
  <c r="AX64" i="8"/>
  <c r="BG64" i="8"/>
  <c r="AU64" i="8"/>
  <c r="AT546" i="8"/>
  <c r="BC546" i="8"/>
  <c r="BK546" i="8"/>
  <c r="AU546" i="8"/>
  <c r="BD546" i="8"/>
  <c r="BL546" i="8"/>
  <c r="AV546" i="8"/>
  <c r="BE546" i="8"/>
  <c r="AW546" i="8"/>
  <c r="BF546" i="8"/>
  <c r="AX546" i="8"/>
  <c r="BG546" i="8"/>
  <c r="AY546" i="8"/>
  <c r="BH546" i="8"/>
  <c r="AR546" i="8"/>
  <c r="AZ546" i="8"/>
  <c r="BI546" i="8"/>
  <c r="AS546" i="8"/>
  <c r="BA546" i="8"/>
  <c r="BJ546" i="8"/>
  <c r="AU50" i="8"/>
  <c r="BD50" i="8"/>
  <c r="BL50" i="8"/>
  <c r="AW50" i="8"/>
  <c r="BF50" i="8"/>
  <c r="AY50" i="8"/>
  <c r="BH50" i="8"/>
  <c r="BC50" i="8"/>
  <c r="AR50" i="8"/>
  <c r="BE50" i="8"/>
  <c r="AT50" i="8"/>
  <c r="BI50" i="8"/>
  <c r="AV50" i="8"/>
  <c r="AX50" i="8"/>
  <c r="BA50" i="8"/>
  <c r="BG50" i="8"/>
  <c r="BK50" i="8"/>
  <c r="AS50" i="8"/>
  <c r="AZ50" i="8"/>
  <c r="BJ50" i="8"/>
  <c r="AY44" i="8"/>
  <c r="BH44" i="8"/>
  <c r="AS44" i="8"/>
  <c r="BA44" i="8"/>
  <c r="BJ44" i="8"/>
  <c r="AT44" i="8"/>
  <c r="BC44" i="8"/>
  <c r="BK44" i="8"/>
  <c r="AV44" i="8"/>
  <c r="BI44" i="8"/>
  <c r="AX44" i="8"/>
  <c r="BD44" i="8"/>
  <c r="BF44" i="8"/>
  <c r="BG44" i="8"/>
  <c r="AR44" i="8"/>
  <c r="BE44" i="8"/>
  <c r="BL44" i="8"/>
  <c r="AU44" i="8"/>
  <c r="AZ44" i="8"/>
  <c r="AW44" i="8"/>
  <c r="AS36" i="8"/>
  <c r="BA36" i="8"/>
  <c r="BJ36" i="8"/>
  <c r="AU36" i="8"/>
  <c r="BD36" i="8"/>
  <c r="BL36" i="8"/>
  <c r="AV36" i="8"/>
  <c r="BE36" i="8"/>
  <c r="BF36" i="8"/>
  <c r="AT36" i="8"/>
  <c r="BH36" i="8"/>
  <c r="AX36" i="8"/>
  <c r="BK36" i="8"/>
  <c r="BC36" i="8"/>
  <c r="BG36" i="8"/>
  <c r="AZ36" i="8"/>
  <c r="BI36" i="8"/>
  <c r="AW36" i="8"/>
  <c r="AY36" i="8"/>
  <c r="AR36" i="8"/>
  <c r="AS381" i="8"/>
  <c r="BA381" i="8"/>
  <c r="BJ381" i="8"/>
  <c r="AT381" i="8"/>
  <c r="BC381" i="8"/>
  <c r="BK381" i="8"/>
  <c r="AU381" i="8"/>
  <c r="BD381" i="8"/>
  <c r="BL381" i="8"/>
  <c r="AV381" i="8"/>
  <c r="BE381" i="8"/>
  <c r="AW381" i="8"/>
  <c r="BF381" i="8"/>
  <c r="AX381" i="8"/>
  <c r="BG381" i="8"/>
  <c r="AY381" i="8"/>
  <c r="BH381" i="8"/>
  <c r="AZ381" i="8"/>
  <c r="AR381" i="8"/>
  <c r="BI381" i="8"/>
  <c r="AW364" i="8"/>
  <c r="BF364" i="8"/>
  <c r="AY364" i="8"/>
  <c r="BH364" i="8"/>
  <c r="AS364" i="8"/>
  <c r="BA364" i="8"/>
  <c r="BJ364" i="8"/>
  <c r="AT364" i="8"/>
  <c r="BC364" i="8"/>
  <c r="BK364" i="8"/>
  <c r="AU364" i="8"/>
  <c r="BD364" i="8"/>
  <c r="BL364" i="8"/>
  <c r="AR364" i="8"/>
  <c r="AV364" i="8"/>
  <c r="AX364" i="8"/>
  <c r="AZ364" i="8"/>
  <c r="BE364" i="8"/>
  <c r="BG364" i="8"/>
  <c r="BI364" i="8"/>
  <c r="AS372" i="8"/>
  <c r="BA372" i="8"/>
  <c r="BJ372" i="8"/>
  <c r="AU372" i="8"/>
  <c r="BD372" i="8"/>
  <c r="BL372" i="8"/>
  <c r="AX372" i="8"/>
  <c r="BG372" i="8"/>
  <c r="AY372" i="8"/>
  <c r="BF372" i="8"/>
  <c r="AR372" i="8"/>
  <c r="BH372" i="8"/>
  <c r="AT372" i="8"/>
  <c r="BI372" i="8"/>
  <c r="AV372" i="8"/>
  <c r="BK372" i="8"/>
  <c r="AW372" i="8"/>
  <c r="AZ372" i="8"/>
  <c r="BC372" i="8"/>
  <c r="BE372" i="8"/>
  <c r="AT345" i="8"/>
  <c r="BC345" i="8"/>
  <c r="BK345" i="8"/>
  <c r="AV345" i="8"/>
  <c r="BE345" i="8"/>
  <c r="AX345" i="8"/>
  <c r="BG345" i="8"/>
  <c r="AY345" i="8"/>
  <c r="BH345" i="8"/>
  <c r="AR345" i="8"/>
  <c r="AZ345" i="8"/>
  <c r="BI345" i="8"/>
  <c r="AW345" i="8"/>
  <c r="BA345" i="8"/>
  <c r="BD345" i="8"/>
  <c r="BF345" i="8"/>
  <c r="BJ345" i="8"/>
  <c r="BL345" i="8"/>
  <c r="AS345" i="8"/>
  <c r="AU345" i="8"/>
  <c r="AX337" i="8"/>
  <c r="BG337" i="8"/>
  <c r="AY337" i="8"/>
  <c r="BH337" i="8"/>
  <c r="AR337" i="8"/>
  <c r="AZ337" i="8"/>
  <c r="BI337" i="8"/>
  <c r="AT337" i="8"/>
  <c r="BC337" i="8"/>
  <c r="BK337" i="8"/>
  <c r="AU337" i="8"/>
  <c r="BD337" i="8"/>
  <c r="BL337" i="8"/>
  <c r="AV337" i="8"/>
  <c r="BE337" i="8"/>
  <c r="BJ337" i="8"/>
  <c r="AS337" i="8"/>
  <c r="AW337" i="8"/>
  <c r="BA337" i="8"/>
  <c r="BF337" i="8"/>
  <c r="AX330" i="8"/>
  <c r="BG330" i="8"/>
  <c r="AY330" i="8"/>
  <c r="BH330" i="8"/>
  <c r="AR330" i="8"/>
  <c r="AZ330" i="8"/>
  <c r="BI330" i="8"/>
  <c r="AS330" i="8"/>
  <c r="BA330" i="8"/>
  <c r="BJ330" i="8"/>
  <c r="AT330" i="8"/>
  <c r="BC330" i="8"/>
  <c r="BK330" i="8"/>
  <c r="AU330" i="8"/>
  <c r="BD330" i="8"/>
  <c r="BL330" i="8"/>
  <c r="AV330" i="8"/>
  <c r="BE330" i="8"/>
  <c r="AW330" i="8"/>
  <c r="BF330" i="8"/>
  <c r="AT322" i="8"/>
  <c r="BC322" i="8"/>
  <c r="BK322" i="8"/>
  <c r="AU322" i="8"/>
  <c r="BD322" i="8"/>
  <c r="BL322" i="8"/>
  <c r="AV322" i="8"/>
  <c r="BE322" i="8"/>
  <c r="AW322" i="8"/>
  <c r="BF322" i="8"/>
  <c r="AX322" i="8"/>
  <c r="BG322" i="8"/>
  <c r="AY322" i="8"/>
  <c r="BH322" i="8"/>
  <c r="AR322" i="8"/>
  <c r="AZ322" i="8"/>
  <c r="BI322" i="8"/>
  <c r="AS322" i="8"/>
  <c r="BA322" i="8"/>
  <c r="BJ322" i="8"/>
  <c r="AT314" i="8"/>
  <c r="BC314" i="8"/>
  <c r="BK314" i="8"/>
  <c r="AV314" i="8"/>
  <c r="BE314" i="8"/>
  <c r="AW314" i="8"/>
  <c r="BF314" i="8"/>
  <c r="AY314" i="8"/>
  <c r="BH314" i="8"/>
  <c r="AR314" i="8"/>
  <c r="AZ314" i="8"/>
  <c r="BI314" i="8"/>
  <c r="BJ314" i="8"/>
  <c r="BL314" i="8"/>
  <c r="AS314" i="8"/>
  <c r="AU314" i="8"/>
  <c r="AX314" i="8"/>
  <c r="BA314" i="8"/>
  <c r="BD314" i="8"/>
  <c r="BG314" i="8"/>
  <c r="AT305" i="8"/>
  <c r="BC305" i="8"/>
  <c r="BK305" i="8"/>
  <c r="AV305" i="8"/>
  <c r="BE305" i="8"/>
  <c r="AW305" i="8"/>
  <c r="BF305" i="8"/>
  <c r="AY305" i="8"/>
  <c r="BH305" i="8"/>
  <c r="AR305" i="8"/>
  <c r="AZ305" i="8"/>
  <c r="BI305" i="8"/>
  <c r="BA305" i="8"/>
  <c r="BD305" i="8"/>
  <c r="BG305" i="8"/>
  <c r="BJ305" i="8"/>
  <c r="BL305" i="8"/>
  <c r="AS305" i="8"/>
  <c r="AU305" i="8"/>
  <c r="AX305" i="8"/>
  <c r="AU279" i="8"/>
  <c r="BD279" i="8"/>
  <c r="BL279" i="8"/>
  <c r="AW279" i="8"/>
  <c r="BF279" i="8"/>
  <c r="AR279" i="8"/>
  <c r="AZ279" i="8"/>
  <c r="BI279" i="8"/>
  <c r="AX279" i="8"/>
  <c r="BK279" i="8"/>
  <c r="AY279" i="8"/>
  <c r="BA279" i="8"/>
  <c r="BC279" i="8"/>
  <c r="BE279" i="8"/>
  <c r="AS279" i="8"/>
  <c r="BG279" i="8"/>
  <c r="AT279" i="8"/>
  <c r="BH279" i="8"/>
  <c r="AV279" i="8"/>
  <c r="BJ279" i="8"/>
  <c r="AW292" i="8"/>
  <c r="BF292" i="8"/>
  <c r="AY292" i="8"/>
  <c r="BH292" i="8"/>
  <c r="AR292" i="8"/>
  <c r="AZ292" i="8"/>
  <c r="BI292" i="8"/>
  <c r="AT292" i="8"/>
  <c r="BC292" i="8"/>
  <c r="BK292" i="8"/>
  <c r="AU292" i="8"/>
  <c r="BD292" i="8"/>
  <c r="BL292" i="8"/>
  <c r="AS292" i="8"/>
  <c r="AV292" i="8"/>
  <c r="AX292" i="8"/>
  <c r="BA292" i="8"/>
  <c r="BE292" i="8"/>
  <c r="BG292" i="8"/>
  <c r="BJ292" i="8"/>
  <c r="AX284" i="8"/>
  <c r="BG284" i="8"/>
  <c r="AY284" i="8"/>
  <c r="BI284" i="8"/>
  <c r="AZ284" i="8"/>
  <c r="BJ284" i="8"/>
  <c r="AR284" i="8"/>
  <c r="BA284" i="8"/>
  <c r="BK284" i="8"/>
  <c r="AS284" i="8"/>
  <c r="BC284" i="8"/>
  <c r="BL284" i="8"/>
  <c r="AT284" i="8"/>
  <c r="BD284" i="8"/>
  <c r="AU284" i="8"/>
  <c r="BE284" i="8"/>
  <c r="AV284" i="8"/>
  <c r="BF284" i="8"/>
  <c r="AW284" i="8"/>
  <c r="BH284" i="8"/>
  <c r="AR274" i="8"/>
  <c r="AZ274" i="8"/>
  <c r="BI274" i="8"/>
  <c r="AT274" i="8"/>
  <c r="BC274" i="8"/>
  <c r="BK274" i="8"/>
  <c r="AW274" i="8"/>
  <c r="BF274" i="8"/>
  <c r="AV274" i="8"/>
  <c r="BJ274" i="8"/>
  <c r="AX274" i="8"/>
  <c r="BL274" i="8"/>
  <c r="AY274" i="8"/>
  <c r="BA274" i="8"/>
  <c r="BD274" i="8"/>
  <c r="BE274" i="8"/>
  <c r="AS274" i="8"/>
  <c r="BG274" i="8"/>
  <c r="AU274" i="8"/>
  <c r="BH274" i="8"/>
  <c r="AU266" i="8"/>
  <c r="BD266" i="8"/>
  <c r="BL266" i="8"/>
  <c r="AW266" i="8"/>
  <c r="BF266" i="8"/>
  <c r="AY266" i="8"/>
  <c r="BH266" i="8"/>
  <c r="AR266" i="8"/>
  <c r="AZ266" i="8"/>
  <c r="BI266" i="8"/>
  <c r="AS266" i="8"/>
  <c r="BA266" i="8"/>
  <c r="BJ266" i="8"/>
  <c r="AX266" i="8"/>
  <c r="BC266" i="8"/>
  <c r="BE266" i="8"/>
  <c r="BG266" i="8"/>
  <c r="BK266" i="8"/>
  <c r="AT266" i="8"/>
  <c r="AV266" i="8"/>
  <c r="AT555" i="8"/>
  <c r="BC555" i="8"/>
  <c r="BK555" i="8"/>
  <c r="AU555" i="8"/>
  <c r="BD555" i="8"/>
  <c r="BL555" i="8"/>
  <c r="AV555" i="8"/>
  <c r="BE555" i="8"/>
  <c r="AW555" i="8"/>
  <c r="BF555" i="8"/>
  <c r="AX555" i="8"/>
  <c r="BG555" i="8"/>
  <c r="AY555" i="8"/>
  <c r="BH555" i="8"/>
  <c r="AR555" i="8"/>
  <c r="AZ555" i="8"/>
  <c r="BI555" i="8"/>
  <c r="AS555" i="8"/>
  <c r="BA555" i="8"/>
  <c r="BJ555" i="8"/>
  <c r="AW251" i="8"/>
  <c r="BF251" i="8"/>
  <c r="AY251" i="8"/>
  <c r="BH251" i="8"/>
  <c r="AS251" i="8"/>
  <c r="BA251" i="8"/>
  <c r="BJ251" i="8"/>
  <c r="AT251" i="8"/>
  <c r="BC251" i="8"/>
  <c r="BK251" i="8"/>
  <c r="AU251" i="8"/>
  <c r="BD251" i="8"/>
  <c r="BL251" i="8"/>
  <c r="BG251" i="8"/>
  <c r="BI251" i="8"/>
  <c r="AR251" i="8"/>
  <c r="AV251" i="8"/>
  <c r="AX251" i="8"/>
  <c r="AZ251" i="8"/>
  <c r="BE251" i="8"/>
  <c r="AW242" i="8"/>
  <c r="BF242" i="8"/>
  <c r="AY242" i="8"/>
  <c r="BH242" i="8"/>
  <c r="AS242" i="8"/>
  <c r="BA242" i="8"/>
  <c r="BJ242" i="8"/>
  <c r="AT242" i="8"/>
  <c r="BC242" i="8"/>
  <c r="BK242" i="8"/>
  <c r="AU242" i="8"/>
  <c r="BD242" i="8"/>
  <c r="BL242" i="8"/>
  <c r="AX242" i="8"/>
  <c r="AZ242" i="8"/>
  <c r="BE242" i="8"/>
  <c r="BG242" i="8"/>
  <c r="BI242" i="8"/>
  <c r="AR242" i="8"/>
  <c r="AV242" i="8"/>
  <c r="AY247" i="8"/>
  <c r="BH247" i="8"/>
  <c r="AS247" i="8"/>
  <c r="BA247" i="8"/>
  <c r="BJ247" i="8"/>
  <c r="AU247" i="8"/>
  <c r="BD247" i="8"/>
  <c r="BL247" i="8"/>
  <c r="AV247" i="8"/>
  <c r="BE247" i="8"/>
  <c r="AW247" i="8"/>
  <c r="BF247" i="8"/>
  <c r="BC247" i="8"/>
  <c r="BG247" i="8"/>
  <c r="BI247" i="8"/>
  <c r="BK247" i="8"/>
  <c r="AR247" i="8"/>
  <c r="AT247" i="8"/>
  <c r="AX247" i="8"/>
  <c r="AZ247" i="8"/>
  <c r="AS228" i="8"/>
  <c r="BA228" i="8"/>
  <c r="BJ228" i="8"/>
  <c r="AU228" i="8"/>
  <c r="BD228" i="8"/>
  <c r="BL228" i="8"/>
  <c r="AV228" i="8"/>
  <c r="BE228" i="8"/>
  <c r="AX228" i="8"/>
  <c r="BG228" i="8"/>
  <c r="AY228" i="8"/>
  <c r="BH228" i="8"/>
  <c r="BC228" i="8"/>
  <c r="BI228" i="8"/>
  <c r="AR228" i="8"/>
  <c r="AT228" i="8"/>
  <c r="AW228" i="8"/>
  <c r="AZ228" i="8"/>
  <c r="BF228" i="8"/>
  <c r="BK228" i="8"/>
  <c r="AU222" i="8"/>
  <c r="BD222" i="8"/>
  <c r="BL222" i="8"/>
  <c r="AW222" i="8"/>
  <c r="BF222" i="8"/>
  <c r="AX222" i="8"/>
  <c r="BG222" i="8"/>
  <c r="AR222" i="8"/>
  <c r="AZ222" i="8"/>
  <c r="BI222" i="8"/>
  <c r="AS222" i="8"/>
  <c r="BA222" i="8"/>
  <c r="BJ222" i="8"/>
  <c r="AV222" i="8"/>
  <c r="BC222" i="8"/>
  <c r="BH222" i="8"/>
  <c r="BK222" i="8"/>
  <c r="AT222" i="8"/>
  <c r="AY222" i="8"/>
  <c r="BE222" i="8"/>
  <c r="AV209" i="8"/>
  <c r="BE209" i="8"/>
  <c r="AX209" i="8"/>
  <c r="BG209" i="8"/>
  <c r="AY209" i="8"/>
  <c r="BH209" i="8"/>
  <c r="AS209" i="8"/>
  <c r="BA209" i="8"/>
  <c r="BJ209" i="8"/>
  <c r="AT209" i="8"/>
  <c r="BC209" i="8"/>
  <c r="BK209" i="8"/>
  <c r="BF209" i="8"/>
  <c r="BL209" i="8"/>
  <c r="AU209" i="8"/>
  <c r="AW209" i="8"/>
  <c r="AZ209" i="8"/>
  <c r="AR209" i="8"/>
  <c r="BD209" i="8"/>
  <c r="BI209" i="8"/>
  <c r="AU204" i="8"/>
  <c r="BD204" i="8"/>
  <c r="BL204" i="8"/>
  <c r="AW204" i="8"/>
  <c r="BF204" i="8"/>
  <c r="AX204" i="8"/>
  <c r="BG204" i="8"/>
  <c r="AR204" i="8"/>
  <c r="AZ204" i="8"/>
  <c r="BI204" i="8"/>
  <c r="AS204" i="8"/>
  <c r="BA204" i="8"/>
  <c r="BJ204" i="8"/>
  <c r="BC204" i="8"/>
  <c r="BH204" i="8"/>
  <c r="AT204" i="8"/>
  <c r="AV204" i="8"/>
  <c r="BK204" i="8"/>
  <c r="AY204" i="8"/>
  <c r="BE204" i="8"/>
  <c r="AW200" i="8"/>
  <c r="BF200" i="8"/>
  <c r="AY200" i="8"/>
  <c r="BH200" i="8"/>
  <c r="AR200" i="8"/>
  <c r="AZ200" i="8"/>
  <c r="BI200" i="8"/>
  <c r="AT200" i="8"/>
  <c r="BC200" i="8"/>
  <c r="BK200" i="8"/>
  <c r="AU200" i="8"/>
  <c r="BD200" i="8"/>
  <c r="BL200" i="8"/>
  <c r="AX200" i="8"/>
  <c r="BE200" i="8"/>
  <c r="BJ200" i="8"/>
  <c r="AS200" i="8"/>
  <c r="AV200" i="8"/>
  <c r="BA200" i="8"/>
  <c r="BG200" i="8"/>
  <c r="AS192" i="8"/>
  <c r="BA192" i="8"/>
  <c r="BJ192" i="8"/>
  <c r="AU192" i="8"/>
  <c r="BD192" i="8"/>
  <c r="BL192" i="8"/>
  <c r="AW192" i="8"/>
  <c r="BF192" i="8"/>
  <c r="AX192" i="8"/>
  <c r="BG192" i="8"/>
  <c r="AY192" i="8"/>
  <c r="BH192" i="8"/>
  <c r="BI192" i="8"/>
  <c r="AR192" i="8"/>
  <c r="AT192" i="8"/>
  <c r="AZ192" i="8"/>
  <c r="BC192" i="8"/>
  <c r="AV192" i="8"/>
  <c r="BK192" i="8"/>
  <c r="BE192" i="8"/>
  <c r="AS183" i="8"/>
  <c r="BA183" i="8"/>
  <c r="BJ183" i="8"/>
  <c r="AU183" i="8"/>
  <c r="BD183" i="8"/>
  <c r="BL183" i="8"/>
  <c r="AW183" i="8"/>
  <c r="BF183" i="8"/>
  <c r="AX183" i="8"/>
  <c r="BG183" i="8"/>
  <c r="AY183" i="8"/>
  <c r="BH183" i="8"/>
  <c r="AZ183" i="8"/>
  <c r="BE183" i="8"/>
  <c r="BI183" i="8"/>
  <c r="AR183" i="8"/>
  <c r="AT183" i="8"/>
  <c r="BK183" i="8"/>
  <c r="AV183" i="8"/>
  <c r="BC183" i="8"/>
  <c r="AU177" i="8"/>
  <c r="BD177" i="8"/>
  <c r="BL177" i="8"/>
  <c r="AW177" i="8"/>
  <c r="BF177" i="8"/>
  <c r="AY177" i="8"/>
  <c r="BH177" i="8"/>
  <c r="AR177" i="8"/>
  <c r="AZ177" i="8"/>
  <c r="BI177" i="8"/>
  <c r="AS177" i="8"/>
  <c r="BA177" i="8"/>
  <c r="BJ177" i="8"/>
  <c r="AT177" i="8"/>
  <c r="AV177" i="8"/>
  <c r="AX177" i="8"/>
  <c r="BC177" i="8"/>
  <c r="BG177" i="8"/>
  <c r="BK177" i="8"/>
  <c r="BE177" i="8"/>
  <c r="AS172" i="8"/>
  <c r="BA172" i="8"/>
  <c r="BJ172" i="8"/>
  <c r="AU172" i="8"/>
  <c r="BD172" i="8"/>
  <c r="BL172" i="8"/>
  <c r="AW172" i="8"/>
  <c r="BF172" i="8"/>
  <c r="AX172" i="8"/>
  <c r="BG172" i="8"/>
  <c r="AY172" i="8"/>
  <c r="BH172" i="8"/>
  <c r="BK172" i="8"/>
  <c r="AR172" i="8"/>
  <c r="AT172" i="8"/>
  <c r="AV172" i="8"/>
  <c r="AZ172" i="8"/>
  <c r="BC172" i="8"/>
  <c r="BE172" i="8"/>
  <c r="BI172" i="8"/>
  <c r="AV162" i="8"/>
  <c r="BE162" i="8"/>
  <c r="AX162" i="8"/>
  <c r="BG162" i="8"/>
  <c r="AR162" i="8"/>
  <c r="AZ162" i="8"/>
  <c r="BI162" i="8"/>
  <c r="AS162" i="8"/>
  <c r="BA162" i="8"/>
  <c r="BJ162" i="8"/>
  <c r="AT162" i="8"/>
  <c r="BC162" i="8"/>
  <c r="BK162" i="8"/>
  <c r="AY162" i="8"/>
  <c r="BD162" i="8"/>
  <c r="BF162" i="8"/>
  <c r="BH162" i="8"/>
  <c r="BL162" i="8"/>
  <c r="AU162" i="8"/>
  <c r="AW162" i="8"/>
  <c r="AT157" i="8"/>
  <c r="BC157" i="8"/>
  <c r="BK157" i="8"/>
  <c r="AV157" i="8"/>
  <c r="BE157" i="8"/>
  <c r="AX157" i="8"/>
  <c r="BG157" i="8"/>
  <c r="AY157" i="8"/>
  <c r="BH157" i="8"/>
  <c r="AR157" i="8"/>
  <c r="AZ157" i="8"/>
  <c r="BI157" i="8"/>
  <c r="AU157" i="8"/>
  <c r="AW157" i="8"/>
  <c r="BA157" i="8"/>
  <c r="BD157" i="8"/>
  <c r="BF157" i="8"/>
  <c r="BJ157" i="8"/>
  <c r="BL157" i="8"/>
  <c r="AS157" i="8"/>
  <c r="AU151" i="8"/>
  <c r="BD151" i="8"/>
  <c r="BL151" i="8"/>
  <c r="AW151" i="8"/>
  <c r="BF151" i="8"/>
  <c r="AY151" i="8"/>
  <c r="BH151" i="8"/>
  <c r="AR151" i="8"/>
  <c r="AZ151" i="8"/>
  <c r="BI151" i="8"/>
  <c r="AS151" i="8"/>
  <c r="BA151" i="8"/>
  <c r="BJ151" i="8"/>
  <c r="BK151" i="8"/>
  <c r="AT151" i="8"/>
  <c r="AV151" i="8"/>
  <c r="AX151" i="8"/>
  <c r="BC151" i="8"/>
  <c r="BE151" i="8"/>
  <c r="BG151" i="8"/>
  <c r="AX143" i="8"/>
  <c r="BG143" i="8"/>
  <c r="AS143" i="8"/>
  <c r="BC143" i="8"/>
  <c r="BL143" i="8"/>
  <c r="AU143" i="8"/>
  <c r="BE143" i="8"/>
  <c r="AW143" i="8"/>
  <c r="BH143" i="8"/>
  <c r="AY143" i="8"/>
  <c r="BI143" i="8"/>
  <c r="AZ143" i="8"/>
  <c r="BJ143" i="8"/>
  <c r="AR143" i="8"/>
  <c r="AT143" i="8"/>
  <c r="AV143" i="8"/>
  <c r="BA143" i="8"/>
  <c r="BD143" i="8"/>
  <c r="BF143" i="8"/>
  <c r="BK143" i="8"/>
  <c r="AR535" i="8"/>
  <c r="AZ535" i="8"/>
  <c r="BI535" i="8"/>
  <c r="AS535" i="8"/>
  <c r="BA535" i="8"/>
  <c r="BJ535" i="8"/>
  <c r="AV535" i="8"/>
  <c r="BE535" i="8"/>
  <c r="AW535" i="8"/>
  <c r="BF535" i="8"/>
  <c r="BC535" i="8"/>
  <c r="BD535" i="8"/>
  <c r="BG535" i="8"/>
  <c r="BH535" i="8"/>
  <c r="AT535" i="8"/>
  <c r="BK535" i="8"/>
  <c r="AU535" i="8"/>
  <c r="BL535" i="8"/>
  <c r="AX535" i="8"/>
  <c r="AY535" i="8"/>
  <c r="AW130" i="8"/>
  <c r="BF130" i="8"/>
  <c r="AY130" i="8"/>
  <c r="BH130" i="8"/>
  <c r="AS130" i="8"/>
  <c r="BA130" i="8"/>
  <c r="BJ130" i="8"/>
  <c r="AT130" i="8"/>
  <c r="BC130" i="8"/>
  <c r="BK130" i="8"/>
  <c r="AU130" i="8"/>
  <c r="BD130" i="8"/>
  <c r="BL130" i="8"/>
  <c r="AR130" i="8"/>
  <c r="AV130" i="8"/>
  <c r="AX130" i="8"/>
  <c r="AZ130" i="8"/>
  <c r="BE130" i="8"/>
  <c r="BG130" i="8"/>
  <c r="BI130" i="8"/>
  <c r="AU121" i="8"/>
  <c r="BD121" i="8"/>
  <c r="BL121" i="8"/>
  <c r="AW121" i="8"/>
  <c r="BF121" i="8"/>
  <c r="AY121" i="8"/>
  <c r="BH121" i="8"/>
  <c r="AR121" i="8"/>
  <c r="AZ121" i="8"/>
  <c r="BI121" i="8"/>
  <c r="AS121" i="8"/>
  <c r="BA121" i="8"/>
  <c r="BJ121" i="8"/>
  <c r="BC121" i="8"/>
  <c r="BE121" i="8"/>
  <c r="BG121" i="8"/>
  <c r="BK121" i="8"/>
  <c r="AT121" i="8"/>
  <c r="AV121" i="8"/>
  <c r="AX121" i="8"/>
  <c r="AR113" i="8"/>
  <c r="AZ113" i="8"/>
  <c r="BI113" i="8"/>
  <c r="AS113" i="8"/>
  <c r="BA113" i="8"/>
  <c r="BJ113" i="8"/>
  <c r="AV113" i="8"/>
  <c r="BG113" i="8"/>
  <c r="AX113" i="8"/>
  <c r="BK113" i="8"/>
  <c r="BC113" i="8"/>
  <c r="BD113" i="8"/>
  <c r="AT113" i="8"/>
  <c r="BE113" i="8"/>
  <c r="AW113" i="8"/>
  <c r="AY113" i="8"/>
  <c r="BF113" i="8"/>
  <c r="BH113" i="8"/>
  <c r="BL113" i="8"/>
  <c r="AU113" i="8"/>
  <c r="AS109" i="8"/>
  <c r="BA109" i="8"/>
  <c r="BJ109" i="8"/>
  <c r="AT109" i="8"/>
  <c r="BC109" i="8"/>
  <c r="BK109" i="8"/>
  <c r="AU109" i="8"/>
  <c r="BD109" i="8"/>
  <c r="BL109" i="8"/>
  <c r="AZ109" i="8"/>
  <c r="BF109" i="8"/>
  <c r="AV109" i="8"/>
  <c r="BH109" i="8"/>
  <c r="AW109" i="8"/>
  <c r="BI109" i="8"/>
  <c r="AX109" i="8"/>
  <c r="AR109" i="8"/>
  <c r="AY109" i="8"/>
  <c r="BE109" i="8"/>
  <c r="BG109" i="8"/>
  <c r="AR98" i="8"/>
  <c r="AZ98" i="8"/>
  <c r="BI98" i="8"/>
  <c r="AU98" i="8"/>
  <c r="BE98" i="8"/>
  <c r="AV98" i="8"/>
  <c r="BF98" i="8"/>
  <c r="AW98" i="8"/>
  <c r="BG98" i="8"/>
  <c r="AX98" i="8"/>
  <c r="BH98" i="8"/>
  <c r="AY98" i="8"/>
  <c r="BJ98" i="8"/>
  <c r="BA98" i="8"/>
  <c r="BK98" i="8"/>
  <c r="AS98" i="8"/>
  <c r="BC98" i="8"/>
  <c r="BL98" i="8"/>
  <c r="AT98" i="8"/>
  <c r="BD98" i="8"/>
  <c r="AT808" i="8"/>
  <c r="BL808" i="8"/>
  <c r="AV808" i="8"/>
  <c r="BE808" i="8"/>
  <c r="AW808" i="8"/>
  <c r="BF808" i="8"/>
  <c r="BG808" i="8"/>
  <c r="BH808" i="8"/>
  <c r="AX808" i="8"/>
  <c r="AY808" i="8"/>
  <c r="AR808" i="8"/>
  <c r="AZ808" i="8"/>
  <c r="BI808" i="8"/>
  <c r="AS808" i="8"/>
  <c r="BA808" i="8"/>
  <c r="BJ808" i="8"/>
  <c r="BC808" i="8"/>
  <c r="BK808" i="8"/>
  <c r="AU808" i="8"/>
  <c r="BD808" i="8"/>
  <c r="AX86" i="8"/>
  <c r="BG86" i="8"/>
  <c r="AS86" i="8"/>
  <c r="BA86" i="8"/>
  <c r="BJ86" i="8"/>
  <c r="AT86" i="8"/>
  <c r="BE86" i="8"/>
  <c r="AV86" i="8"/>
  <c r="BH86" i="8"/>
  <c r="AY86" i="8"/>
  <c r="AZ86" i="8"/>
  <c r="BC86" i="8"/>
  <c r="BD86" i="8"/>
  <c r="BF86" i="8"/>
  <c r="AR86" i="8"/>
  <c r="BI86" i="8"/>
  <c r="AU86" i="8"/>
  <c r="BK86" i="8"/>
  <c r="AW86" i="8"/>
  <c r="BL86" i="8"/>
  <c r="AV77" i="8"/>
  <c r="BE77" i="8"/>
  <c r="AW77" i="8"/>
  <c r="BF77" i="8"/>
  <c r="AY77" i="8"/>
  <c r="BH77" i="8"/>
  <c r="BA77" i="8"/>
  <c r="AR77" i="8"/>
  <c r="BD77" i="8"/>
  <c r="AS77" i="8"/>
  <c r="BG77" i="8"/>
  <c r="AU77" i="8"/>
  <c r="BJ77" i="8"/>
  <c r="AX77" i="8"/>
  <c r="BK77" i="8"/>
  <c r="AT77" i="8"/>
  <c r="AZ77" i="8"/>
  <c r="BC77" i="8"/>
  <c r="BI77" i="8"/>
  <c r="BL77" i="8"/>
  <c r="AW70" i="8"/>
  <c r="BF70" i="8"/>
  <c r="AR70" i="8"/>
  <c r="AZ70" i="8"/>
  <c r="BI70" i="8"/>
  <c r="AT70" i="8"/>
  <c r="BE70" i="8"/>
  <c r="AU70" i="8"/>
  <c r="BG70" i="8"/>
  <c r="AX70" i="8"/>
  <c r="BJ70" i="8"/>
  <c r="BA70" i="8"/>
  <c r="BD70" i="8"/>
  <c r="BH70" i="8"/>
  <c r="AS70" i="8"/>
  <c r="BL70" i="8"/>
  <c r="AV70" i="8"/>
  <c r="AY70" i="8"/>
  <c r="BC70" i="8"/>
  <c r="BK70" i="8"/>
  <c r="AU63" i="8"/>
  <c r="BD63" i="8"/>
  <c r="BL63" i="8"/>
  <c r="AV63" i="8"/>
  <c r="BE63" i="8"/>
  <c r="AX63" i="8"/>
  <c r="BG63" i="8"/>
  <c r="AY63" i="8"/>
  <c r="BK63" i="8"/>
  <c r="AZ63" i="8"/>
  <c r="BC63" i="8"/>
  <c r="AT63" i="8"/>
  <c r="BA63" i="8"/>
  <c r="BF63" i="8"/>
  <c r="BI63" i="8"/>
  <c r="AR63" i="8"/>
  <c r="BJ63" i="8"/>
  <c r="AS63" i="8"/>
  <c r="AW63" i="8"/>
  <c r="BH63" i="8"/>
  <c r="AU15" i="8"/>
  <c r="BD15" i="8"/>
  <c r="BL15" i="8"/>
  <c r="AW15" i="8"/>
  <c r="BF15" i="8"/>
  <c r="AX15" i="8"/>
  <c r="BG15" i="8"/>
  <c r="AT15" i="8"/>
  <c r="BI15" i="8"/>
  <c r="AY15" i="8"/>
  <c r="BK15" i="8"/>
  <c r="BA15" i="8"/>
  <c r="AZ15" i="8"/>
  <c r="BC15" i="8"/>
  <c r="BH15" i="8"/>
  <c r="AR15" i="8"/>
  <c r="AV15" i="8"/>
  <c r="BE15" i="8"/>
  <c r="BJ15" i="8"/>
  <c r="AS15" i="8"/>
  <c r="AY49" i="8"/>
  <c r="BH49" i="8"/>
  <c r="AS49" i="8"/>
  <c r="BA49" i="8"/>
  <c r="BJ49" i="8"/>
  <c r="AU49" i="8"/>
  <c r="BD49" i="8"/>
  <c r="BL49" i="8"/>
  <c r="AW49" i="8"/>
  <c r="BK49" i="8"/>
  <c r="AX49" i="8"/>
  <c r="BC49" i="8"/>
  <c r="AT49" i="8"/>
  <c r="AV49" i="8"/>
  <c r="BE49" i="8"/>
  <c r="AZ49" i="8"/>
  <c r="BF49" i="8"/>
  <c r="BI49" i="8"/>
  <c r="BG49" i="8"/>
  <c r="AR49" i="8"/>
  <c r="AU43" i="8"/>
  <c r="BD43" i="8"/>
  <c r="BL43" i="8"/>
  <c r="AW43" i="8"/>
  <c r="BF43" i="8"/>
  <c r="AX43" i="8"/>
  <c r="BG43" i="8"/>
  <c r="BC43" i="8"/>
  <c r="AS43" i="8"/>
  <c r="BH43" i="8"/>
  <c r="AV43" i="8"/>
  <c r="BJ43" i="8"/>
  <c r="BE43" i="8"/>
  <c r="BI43" i="8"/>
  <c r="AR43" i="8"/>
  <c r="AT43" i="8"/>
  <c r="AY43" i="8"/>
  <c r="BA43" i="8"/>
  <c r="AZ43" i="8"/>
  <c r="BK43" i="8"/>
  <c r="AX31" i="8"/>
  <c r="AR31" i="8"/>
  <c r="AZ31" i="8"/>
  <c r="AS31" i="8"/>
  <c r="BA31" i="8"/>
  <c r="AT31" i="8"/>
  <c r="AV31" i="8"/>
  <c r="AU31" i="8"/>
  <c r="AY31" i="8"/>
  <c r="AW31" i="8"/>
  <c r="BA847" i="8"/>
  <c r="AV847" i="8"/>
  <c r="BE847" i="8"/>
  <c r="AW847" i="8"/>
  <c r="BF847" i="8"/>
  <c r="AR847" i="8"/>
  <c r="AZ847" i="8"/>
  <c r="BI847" i="8"/>
  <c r="AS847" i="8"/>
  <c r="BJ847" i="8"/>
  <c r="BH847" i="8"/>
  <c r="AT847" i="8"/>
  <c r="BK847" i="8"/>
  <c r="AU847" i="8"/>
  <c r="BL847" i="8"/>
  <c r="AX847" i="8"/>
  <c r="BG847" i="8"/>
  <c r="AY847" i="8"/>
  <c r="BC847" i="8"/>
  <c r="BD847" i="8"/>
  <c r="AT379" i="8"/>
  <c r="BC379" i="8"/>
  <c r="BK379" i="8"/>
  <c r="AU379" i="8"/>
  <c r="BD379" i="8"/>
  <c r="BL379" i="8"/>
  <c r="AV379" i="8"/>
  <c r="BE379" i="8"/>
  <c r="AW379" i="8"/>
  <c r="BF379" i="8"/>
  <c r="AX379" i="8"/>
  <c r="BG379" i="8"/>
  <c r="AY379" i="8"/>
  <c r="BH379" i="8"/>
  <c r="AR379" i="8"/>
  <c r="AZ379" i="8"/>
  <c r="BI379" i="8"/>
  <c r="AS379" i="8"/>
  <c r="BJ379" i="8"/>
  <c r="BA379" i="8"/>
  <c r="AT361" i="8"/>
  <c r="BC361" i="8"/>
  <c r="BK361" i="8"/>
  <c r="AV361" i="8"/>
  <c r="BE361" i="8"/>
  <c r="AX361" i="8"/>
  <c r="BG361" i="8"/>
  <c r="AY361" i="8"/>
  <c r="BH361" i="8"/>
  <c r="AR361" i="8"/>
  <c r="AZ361" i="8"/>
  <c r="BI361" i="8"/>
  <c r="BL361" i="8"/>
  <c r="AS361" i="8"/>
  <c r="AU361" i="8"/>
  <c r="AW361" i="8"/>
  <c r="BA361" i="8"/>
  <c r="BD361" i="8"/>
  <c r="BF361" i="8"/>
  <c r="BJ361" i="8"/>
  <c r="AW371" i="8"/>
  <c r="BF371" i="8"/>
  <c r="AY371" i="8"/>
  <c r="BH371" i="8"/>
  <c r="AT371" i="8"/>
  <c r="BC371" i="8"/>
  <c r="BK371" i="8"/>
  <c r="AU371" i="8"/>
  <c r="BD371" i="8"/>
  <c r="BL371" i="8"/>
  <c r="AS371" i="8"/>
  <c r="BJ371" i="8"/>
  <c r="AV371" i="8"/>
  <c r="AX371" i="8"/>
  <c r="AZ371" i="8"/>
  <c r="BA371" i="8"/>
  <c r="BE371" i="8"/>
  <c r="BG371" i="8"/>
  <c r="BI371" i="8"/>
  <c r="AR371" i="8"/>
  <c r="AY344" i="8"/>
  <c r="BH344" i="8"/>
  <c r="AR344" i="8"/>
  <c r="AZ344" i="8"/>
  <c r="AS344" i="8"/>
  <c r="BA344" i="8"/>
  <c r="BJ344" i="8"/>
  <c r="AU344" i="8"/>
  <c r="BD344" i="8"/>
  <c r="BL344" i="8"/>
  <c r="AV344" i="8"/>
  <c r="BE344" i="8"/>
  <c r="AW344" i="8"/>
  <c r="BF344" i="8"/>
  <c r="AT344" i="8"/>
  <c r="AX344" i="8"/>
  <c r="BC344" i="8"/>
  <c r="BG344" i="8"/>
  <c r="BI344" i="8"/>
  <c r="BK344" i="8"/>
  <c r="AU336" i="8"/>
  <c r="BD336" i="8"/>
  <c r="BL336" i="8"/>
  <c r="AV336" i="8"/>
  <c r="BE336" i="8"/>
  <c r="AW336" i="8"/>
  <c r="BF336" i="8"/>
  <c r="AX336" i="8"/>
  <c r="BG336" i="8"/>
  <c r="AY336" i="8"/>
  <c r="BH336" i="8"/>
  <c r="AR336" i="8"/>
  <c r="AZ336" i="8"/>
  <c r="BI336" i="8"/>
  <c r="AS336" i="8"/>
  <c r="BA336" i="8"/>
  <c r="BJ336" i="8"/>
  <c r="AT336" i="8"/>
  <c r="BC336" i="8"/>
  <c r="BK336" i="8"/>
  <c r="AT329" i="8"/>
  <c r="BC329" i="8"/>
  <c r="BK329" i="8"/>
  <c r="AU329" i="8"/>
  <c r="BD329" i="8"/>
  <c r="BL329" i="8"/>
  <c r="AV329" i="8"/>
  <c r="BE329" i="8"/>
  <c r="AW329" i="8"/>
  <c r="BF329" i="8"/>
  <c r="AX329" i="8"/>
  <c r="BG329" i="8"/>
  <c r="AY329" i="8"/>
  <c r="BH329" i="8"/>
  <c r="AR329" i="8"/>
  <c r="AZ329" i="8"/>
  <c r="BI329" i="8"/>
  <c r="BA329" i="8"/>
  <c r="BJ329" i="8"/>
  <c r="AS329" i="8"/>
  <c r="AT321" i="8"/>
  <c r="AX321" i="8"/>
  <c r="BG321" i="8"/>
  <c r="AY321" i="8"/>
  <c r="BH321" i="8"/>
  <c r="AZ321" i="8"/>
  <c r="BI321" i="8"/>
  <c r="AR321" i="8"/>
  <c r="BA321" i="8"/>
  <c r="BJ321" i="8"/>
  <c r="AS321" i="8"/>
  <c r="BC321" i="8"/>
  <c r="BK321" i="8"/>
  <c r="AU321" i="8"/>
  <c r="BD321" i="8"/>
  <c r="BL321" i="8"/>
  <c r="AV321" i="8"/>
  <c r="BE321" i="8"/>
  <c r="AW321" i="8"/>
  <c r="BF321" i="8"/>
  <c r="AX313" i="8"/>
  <c r="BG313" i="8"/>
  <c r="AR313" i="8"/>
  <c r="AZ313" i="8"/>
  <c r="BI313" i="8"/>
  <c r="AS313" i="8"/>
  <c r="BA313" i="8"/>
  <c r="BJ313" i="8"/>
  <c r="AU313" i="8"/>
  <c r="BD313" i="8"/>
  <c r="BL313" i="8"/>
  <c r="AV313" i="8"/>
  <c r="BE313" i="8"/>
  <c r="BH313" i="8"/>
  <c r="BK313" i="8"/>
  <c r="AT313" i="8"/>
  <c r="AW313" i="8"/>
  <c r="AY313" i="8"/>
  <c r="BC313" i="8"/>
  <c r="BF313" i="8"/>
  <c r="AY304" i="8"/>
  <c r="BH304" i="8"/>
  <c r="AS304" i="8"/>
  <c r="BA304" i="8"/>
  <c r="BJ304" i="8"/>
  <c r="AT304" i="8"/>
  <c r="BC304" i="8"/>
  <c r="BK304" i="8"/>
  <c r="AV304" i="8"/>
  <c r="BE304" i="8"/>
  <c r="AW304" i="8"/>
  <c r="BF304" i="8"/>
  <c r="AZ304" i="8"/>
  <c r="BD304" i="8"/>
  <c r="BG304" i="8"/>
  <c r="BI304" i="8"/>
  <c r="BL304" i="8"/>
  <c r="AR304" i="8"/>
  <c r="AU304" i="8"/>
  <c r="AX304" i="8"/>
  <c r="AY278" i="8"/>
  <c r="BH278" i="8"/>
  <c r="AS278" i="8"/>
  <c r="BA278" i="8"/>
  <c r="BJ278" i="8"/>
  <c r="AV278" i="8"/>
  <c r="BE278" i="8"/>
  <c r="AR278" i="8"/>
  <c r="BF278" i="8"/>
  <c r="AT278" i="8"/>
  <c r="BG278" i="8"/>
  <c r="AU278" i="8"/>
  <c r="BI278" i="8"/>
  <c r="AW278" i="8"/>
  <c r="BK278" i="8"/>
  <c r="AX278" i="8"/>
  <c r="BL278" i="8"/>
  <c r="AZ278" i="8"/>
  <c r="BC278" i="8"/>
  <c r="BD278" i="8"/>
  <c r="AS291" i="8"/>
  <c r="BA291" i="8"/>
  <c r="BJ291" i="8"/>
  <c r="AU291" i="8"/>
  <c r="BD291" i="8"/>
  <c r="BL291" i="8"/>
  <c r="AV291" i="8"/>
  <c r="BE291" i="8"/>
  <c r="AX291" i="8"/>
  <c r="BG291" i="8"/>
  <c r="AY291" i="8"/>
  <c r="BH291" i="8"/>
  <c r="BK291" i="8"/>
  <c r="AR291" i="8"/>
  <c r="AT291" i="8"/>
  <c r="AW291" i="8"/>
  <c r="AZ291" i="8"/>
  <c r="BC291" i="8"/>
  <c r="BF291" i="8"/>
  <c r="BI291" i="8"/>
  <c r="AU277" i="8"/>
  <c r="BD277" i="8"/>
  <c r="BL277" i="8"/>
  <c r="AW277" i="8"/>
  <c r="BF277" i="8"/>
  <c r="AR277" i="8"/>
  <c r="AZ277" i="8"/>
  <c r="BI277" i="8"/>
  <c r="AY277" i="8"/>
  <c r="BA277" i="8"/>
  <c r="BC277" i="8"/>
  <c r="BE277" i="8"/>
  <c r="AS277" i="8"/>
  <c r="BG277" i="8"/>
  <c r="AT277" i="8"/>
  <c r="BH277" i="8"/>
  <c r="AV277" i="8"/>
  <c r="BJ277" i="8"/>
  <c r="BK277" i="8"/>
  <c r="AX277" i="8"/>
  <c r="AW273" i="8"/>
  <c r="BF273" i="8"/>
  <c r="AY273" i="8"/>
  <c r="BH273" i="8"/>
  <c r="AT273" i="8"/>
  <c r="BC273" i="8"/>
  <c r="BK273" i="8"/>
  <c r="AR273" i="8"/>
  <c r="BE273" i="8"/>
  <c r="AS273" i="8"/>
  <c r="BG273" i="8"/>
  <c r="AU273" i="8"/>
  <c r="BI273" i="8"/>
  <c r="AV273" i="8"/>
  <c r="BJ273" i="8"/>
  <c r="AX273" i="8"/>
  <c r="BL273" i="8"/>
  <c r="AZ273" i="8"/>
  <c r="BA273" i="8"/>
  <c r="BD273" i="8"/>
  <c r="AW264" i="8"/>
  <c r="BF264" i="8"/>
  <c r="AY264" i="8"/>
  <c r="BH264" i="8"/>
  <c r="AS264" i="8"/>
  <c r="BA264" i="8"/>
  <c r="BJ264" i="8"/>
  <c r="AT264" i="8"/>
  <c r="BC264" i="8"/>
  <c r="BK264" i="8"/>
  <c r="AU264" i="8"/>
  <c r="BD264" i="8"/>
  <c r="BL264" i="8"/>
  <c r="AX264" i="8"/>
  <c r="AZ264" i="8"/>
  <c r="BE264" i="8"/>
  <c r="BG264" i="8"/>
  <c r="BI264" i="8"/>
  <c r="AR264" i="8"/>
  <c r="AV264" i="8"/>
  <c r="AU257" i="8"/>
  <c r="BD257" i="8"/>
  <c r="BL257" i="8"/>
  <c r="AW257" i="8"/>
  <c r="BF257" i="8"/>
  <c r="AY257" i="8"/>
  <c r="BH257" i="8"/>
  <c r="AR257" i="8"/>
  <c r="AZ257" i="8"/>
  <c r="BI257" i="8"/>
  <c r="AS257" i="8"/>
  <c r="BA257" i="8"/>
  <c r="BJ257" i="8"/>
  <c r="AT257" i="8"/>
  <c r="AV257" i="8"/>
  <c r="AX257" i="8"/>
  <c r="BC257" i="8"/>
  <c r="BE257" i="8"/>
  <c r="BG257" i="8"/>
  <c r="BK257" i="8"/>
  <c r="AT250" i="8"/>
  <c r="BC250" i="8"/>
  <c r="BK250" i="8"/>
  <c r="AV250" i="8"/>
  <c r="BE250" i="8"/>
  <c r="AX250" i="8"/>
  <c r="BG250" i="8"/>
  <c r="AY250" i="8"/>
  <c r="BH250" i="8"/>
  <c r="AR250" i="8"/>
  <c r="AZ250" i="8"/>
  <c r="BI250" i="8"/>
  <c r="BF250" i="8"/>
  <c r="BJ250" i="8"/>
  <c r="BL250" i="8"/>
  <c r="AS250" i="8"/>
  <c r="AU250" i="8"/>
  <c r="AW250" i="8"/>
  <c r="BA250" i="8"/>
  <c r="BD250" i="8"/>
  <c r="AW238" i="8"/>
  <c r="BF238" i="8"/>
  <c r="AV238" i="8"/>
  <c r="BG238" i="8"/>
  <c r="AY238" i="8"/>
  <c r="BI238" i="8"/>
  <c r="AR238" i="8"/>
  <c r="BA238" i="8"/>
  <c r="BK238" i="8"/>
  <c r="AS238" i="8"/>
  <c r="BC238" i="8"/>
  <c r="BL238" i="8"/>
  <c r="AT238" i="8"/>
  <c r="BD238" i="8"/>
  <c r="AU238" i="8"/>
  <c r="AX238" i="8"/>
  <c r="AZ238" i="8"/>
  <c r="BE238" i="8"/>
  <c r="BH238" i="8"/>
  <c r="BJ238" i="8"/>
  <c r="AU233" i="8"/>
  <c r="BD233" i="8"/>
  <c r="BL233" i="8"/>
  <c r="AX233" i="8"/>
  <c r="BH233" i="8"/>
  <c r="AZ233" i="8"/>
  <c r="BJ233" i="8"/>
  <c r="AS233" i="8"/>
  <c r="BC233" i="8"/>
  <c r="AT233" i="8"/>
  <c r="BE233" i="8"/>
  <c r="AV233" i="8"/>
  <c r="BF233" i="8"/>
  <c r="AW233" i="8"/>
  <c r="AY233" i="8"/>
  <c r="BA233" i="8"/>
  <c r="BG233" i="8"/>
  <c r="BI233" i="8"/>
  <c r="BK233" i="8"/>
  <c r="AR233" i="8"/>
  <c r="AW227" i="8"/>
  <c r="BF227" i="8"/>
  <c r="AY227" i="8"/>
  <c r="BH227" i="8"/>
  <c r="AR227" i="8"/>
  <c r="AZ227" i="8"/>
  <c r="BI227" i="8"/>
  <c r="AT227" i="8"/>
  <c r="BC227" i="8"/>
  <c r="BK227" i="8"/>
  <c r="AU227" i="8"/>
  <c r="BD227" i="8"/>
  <c r="BL227" i="8"/>
  <c r="BA227" i="8"/>
  <c r="BG227" i="8"/>
  <c r="AS227" i="8"/>
  <c r="AV227" i="8"/>
  <c r="AX227" i="8"/>
  <c r="BE227" i="8"/>
  <c r="BJ227" i="8"/>
  <c r="AY221" i="8"/>
  <c r="BH221" i="8"/>
  <c r="AS221" i="8"/>
  <c r="BA221" i="8"/>
  <c r="BJ221" i="8"/>
  <c r="AT221" i="8"/>
  <c r="BC221" i="8"/>
  <c r="BK221" i="8"/>
  <c r="AV221" i="8"/>
  <c r="BE221" i="8"/>
  <c r="AW221" i="8"/>
  <c r="BF221" i="8"/>
  <c r="AU221" i="8"/>
  <c r="AZ221" i="8"/>
  <c r="BG221" i="8"/>
  <c r="BI221" i="8"/>
  <c r="BL221" i="8"/>
  <c r="BD221" i="8"/>
  <c r="AR221" i="8"/>
  <c r="AX221" i="8"/>
  <c r="AT215" i="8"/>
  <c r="BC215" i="8"/>
  <c r="BK215" i="8"/>
  <c r="AV215" i="8"/>
  <c r="BE215" i="8"/>
  <c r="AW215" i="8"/>
  <c r="BF215" i="8"/>
  <c r="AY215" i="8"/>
  <c r="BH215" i="8"/>
  <c r="AR215" i="8"/>
  <c r="AZ215" i="8"/>
  <c r="BI215" i="8"/>
  <c r="BL215" i="8"/>
  <c r="AU215" i="8"/>
  <c r="BA215" i="8"/>
  <c r="BD215" i="8"/>
  <c r="BG215" i="8"/>
  <c r="AS215" i="8"/>
  <c r="AX215" i="8"/>
  <c r="BJ215" i="8"/>
  <c r="AY203" i="8"/>
  <c r="BH203" i="8"/>
  <c r="AS203" i="8"/>
  <c r="BA203" i="8"/>
  <c r="BJ203" i="8"/>
  <c r="AT203" i="8"/>
  <c r="BC203" i="8"/>
  <c r="BK203" i="8"/>
  <c r="AV203" i="8"/>
  <c r="BE203" i="8"/>
  <c r="AW203" i="8"/>
  <c r="BF203" i="8"/>
  <c r="AZ203" i="8"/>
  <c r="BG203" i="8"/>
  <c r="BL203" i="8"/>
  <c r="AR203" i="8"/>
  <c r="AU203" i="8"/>
  <c r="AX203" i="8"/>
  <c r="BD203" i="8"/>
  <c r="BI203" i="8"/>
  <c r="AS199" i="8"/>
  <c r="BA199" i="8"/>
  <c r="BJ199" i="8"/>
  <c r="AU199" i="8"/>
  <c r="BD199" i="8"/>
  <c r="BL199" i="8"/>
  <c r="AV199" i="8"/>
  <c r="BE199" i="8"/>
  <c r="AX199" i="8"/>
  <c r="BG199" i="8"/>
  <c r="AY199" i="8"/>
  <c r="BH199" i="8"/>
  <c r="AW199" i="8"/>
  <c r="BC199" i="8"/>
  <c r="BI199" i="8"/>
  <c r="BK199" i="8"/>
  <c r="AR199" i="8"/>
  <c r="AZ199" i="8"/>
  <c r="BF199" i="8"/>
  <c r="AT199" i="8"/>
  <c r="AU553" i="8"/>
  <c r="BD553" i="8"/>
  <c r="BL553" i="8"/>
  <c r="AV553" i="8"/>
  <c r="BE553" i="8"/>
  <c r="AW553" i="8"/>
  <c r="BF553" i="8"/>
  <c r="AX553" i="8"/>
  <c r="BG553" i="8"/>
  <c r="AY553" i="8"/>
  <c r="BH553" i="8"/>
  <c r="AR553" i="8"/>
  <c r="AZ553" i="8"/>
  <c r="BI553" i="8"/>
  <c r="AS553" i="8"/>
  <c r="BA553" i="8"/>
  <c r="BJ553" i="8"/>
  <c r="AT553" i="8"/>
  <c r="BC553" i="8"/>
  <c r="BK553" i="8"/>
  <c r="AW184" i="8"/>
  <c r="BF184" i="8"/>
  <c r="AY184" i="8"/>
  <c r="BH184" i="8"/>
  <c r="AS184" i="8"/>
  <c r="BA184" i="8"/>
  <c r="BJ184" i="8"/>
  <c r="AT184" i="8"/>
  <c r="BC184" i="8"/>
  <c r="BK184" i="8"/>
  <c r="AU184" i="8"/>
  <c r="BD184" i="8"/>
  <c r="BL184" i="8"/>
  <c r="AZ184" i="8"/>
  <c r="BG184" i="8"/>
  <c r="BI184" i="8"/>
  <c r="AR184" i="8"/>
  <c r="AV184" i="8"/>
  <c r="BE184" i="8"/>
  <c r="AX184" i="8"/>
  <c r="AV175" i="8"/>
  <c r="BE175" i="8"/>
  <c r="AX175" i="8"/>
  <c r="BG175" i="8"/>
  <c r="AR175" i="8"/>
  <c r="AZ175" i="8"/>
  <c r="BI175" i="8"/>
  <c r="AS175" i="8"/>
  <c r="BA175" i="8"/>
  <c r="BJ175" i="8"/>
  <c r="AT175" i="8"/>
  <c r="BC175" i="8"/>
  <c r="BK175" i="8"/>
  <c r="AU175" i="8"/>
  <c r="AW175" i="8"/>
  <c r="AY175" i="8"/>
  <c r="BD175" i="8"/>
  <c r="BF175" i="8"/>
  <c r="BH175" i="8"/>
  <c r="BL175" i="8"/>
  <c r="AT170" i="8"/>
  <c r="BC170" i="8"/>
  <c r="BK170" i="8"/>
  <c r="AV170" i="8"/>
  <c r="BE170" i="8"/>
  <c r="AX170" i="8"/>
  <c r="BG170" i="8"/>
  <c r="AY170" i="8"/>
  <c r="BH170" i="8"/>
  <c r="AR170" i="8"/>
  <c r="AZ170" i="8"/>
  <c r="BI170" i="8"/>
  <c r="BJ170" i="8"/>
  <c r="BL170" i="8"/>
  <c r="AS170" i="8"/>
  <c r="AU170" i="8"/>
  <c r="AW170" i="8"/>
  <c r="BA170" i="8"/>
  <c r="BD170" i="8"/>
  <c r="BF170" i="8"/>
  <c r="AR552" i="8"/>
  <c r="AZ552" i="8"/>
  <c r="BI552" i="8"/>
  <c r="AS552" i="8"/>
  <c r="BA552" i="8"/>
  <c r="BJ552" i="8"/>
  <c r="AT552" i="8"/>
  <c r="BC552" i="8"/>
  <c r="BK552" i="8"/>
  <c r="AU552" i="8"/>
  <c r="BD552" i="8"/>
  <c r="BL552" i="8"/>
  <c r="AV552" i="8"/>
  <c r="BE552" i="8"/>
  <c r="AW552" i="8"/>
  <c r="BF552" i="8"/>
  <c r="AX552" i="8"/>
  <c r="BG552" i="8"/>
  <c r="AY552" i="8"/>
  <c r="BH552" i="8"/>
  <c r="AU155" i="8"/>
  <c r="BD155" i="8"/>
  <c r="BL155" i="8"/>
  <c r="AW155" i="8"/>
  <c r="BF155" i="8"/>
  <c r="AY155" i="8"/>
  <c r="BH155" i="8"/>
  <c r="AR155" i="8"/>
  <c r="AZ155" i="8"/>
  <c r="BI155" i="8"/>
  <c r="AS155" i="8"/>
  <c r="BA155" i="8"/>
  <c r="BJ155" i="8"/>
  <c r="AT155" i="8"/>
  <c r="AV155" i="8"/>
  <c r="AX155" i="8"/>
  <c r="BC155" i="8"/>
  <c r="BE155" i="8"/>
  <c r="BG155" i="8"/>
  <c r="BK155" i="8"/>
  <c r="AR150" i="8"/>
  <c r="AZ150" i="8"/>
  <c r="BI150" i="8"/>
  <c r="AT150" i="8"/>
  <c r="BC150" i="8"/>
  <c r="BK150" i="8"/>
  <c r="AV150" i="8"/>
  <c r="BE150" i="8"/>
  <c r="AW150" i="8"/>
  <c r="BF150" i="8"/>
  <c r="AX150" i="8"/>
  <c r="BG150" i="8"/>
  <c r="BJ150" i="8"/>
  <c r="BL150" i="8"/>
  <c r="AS150" i="8"/>
  <c r="AU150" i="8"/>
  <c r="AY150" i="8"/>
  <c r="BA150" i="8"/>
  <c r="BD150" i="8"/>
  <c r="BH150" i="8"/>
  <c r="AT142" i="8"/>
  <c r="BC142" i="8"/>
  <c r="BK142" i="8"/>
  <c r="AU142" i="8"/>
  <c r="BE142" i="8"/>
  <c r="AW142" i="8"/>
  <c r="BG142" i="8"/>
  <c r="AY142" i="8"/>
  <c r="BI142" i="8"/>
  <c r="AZ142" i="8"/>
  <c r="BJ142" i="8"/>
  <c r="AR142" i="8"/>
  <c r="BA142" i="8"/>
  <c r="BL142" i="8"/>
  <c r="BH142" i="8"/>
  <c r="AS142" i="8"/>
  <c r="AV142" i="8"/>
  <c r="AX142" i="8"/>
  <c r="BD142" i="8"/>
  <c r="BF142" i="8"/>
  <c r="AR135" i="8"/>
  <c r="AZ135" i="8"/>
  <c r="BI135" i="8"/>
  <c r="AT135" i="8"/>
  <c r="BC135" i="8"/>
  <c r="BK135" i="8"/>
  <c r="AV135" i="8"/>
  <c r="BE135" i="8"/>
  <c r="AW135" i="8"/>
  <c r="BF135" i="8"/>
  <c r="AX135" i="8"/>
  <c r="BG135" i="8"/>
  <c r="AU135" i="8"/>
  <c r="AY135" i="8"/>
  <c r="BA135" i="8"/>
  <c r="BD135" i="8"/>
  <c r="BH135" i="8"/>
  <c r="BJ135" i="8"/>
  <c r="BL135" i="8"/>
  <c r="AS135" i="8"/>
  <c r="AS129" i="8"/>
  <c r="BA129" i="8"/>
  <c r="BJ129" i="8"/>
  <c r="AU129" i="8"/>
  <c r="BD129" i="8"/>
  <c r="BL129" i="8"/>
  <c r="AW129" i="8"/>
  <c r="BF129" i="8"/>
  <c r="AX129" i="8"/>
  <c r="BG129" i="8"/>
  <c r="AY129" i="8"/>
  <c r="BH129" i="8"/>
  <c r="BK129" i="8"/>
  <c r="AR129" i="8"/>
  <c r="AT129" i="8"/>
  <c r="AV129" i="8"/>
  <c r="AZ129" i="8"/>
  <c r="BC129" i="8"/>
  <c r="BE129" i="8"/>
  <c r="BI129" i="8"/>
  <c r="AY122" i="8"/>
  <c r="BH122" i="8"/>
  <c r="AS122" i="8"/>
  <c r="BA122" i="8"/>
  <c r="BJ122" i="8"/>
  <c r="AU122" i="8"/>
  <c r="BD122" i="8"/>
  <c r="BL122" i="8"/>
  <c r="AV122" i="8"/>
  <c r="BE122" i="8"/>
  <c r="AW122" i="8"/>
  <c r="BF122" i="8"/>
  <c r="BC122" i="8"/>
  <c r="BG122" i="8"/>
  <c r="BI122" i="8"/>
  <c r="BK122" i="8"/>
  <c r="AR122" i="8"/>
  <c r="AT122" i="8"/>
  <c r="AX122" i="8"/>
  <c r="AZ122" i="8"/>
  <c r="AR115" i="8"/>
  <c r="AZ115" i="8"/>
  <c r="BI115" i="8"/>
  <c r="AW115" i="8"/>
  <c r="BG115" i="8"/>
  <c r="AY115" i="8"/>
  <c r="BJ115" i="8"/>
  <c r="AS115" i="8"/>
  <c r="BC115" i="8"/>
  <c r="BL115" i="8"/>
  <c r="AT115" i="8"/>
  <c r="BD115" i="8"/>
  <c r="AU115" i="8"/>
  <c r="BE115" i="8"/>
  <c r="BK115" i="8"/>
  <c r="AV115" i="8"/>
  <c r="AX115" i="8"/>
  <c r="BA115" i="8"/>
  <c r="BF115" i="8"/>
  <c r="BH115" i="8"/>
  <c r="AS111" i="8"/>
  <c r="BA111" i="8"/>
  <c r="BJ111" i="8"/>
  <c r="AT111" i="8"/>
  <c r="BC111" i="8"/>
  <c r="BK111" i="8"/>
  <c r="AU111" i="8"/>
  <c r="BD111" i="8"/>
  <c r="BL111" i="8"/>
  <c r="AY111" i="8"/>
  <c r="BE111" i="8"/>
  <c r="AR111" i="8"/>
  <c r="BG111" i="8"/>
  <c r="AV111" i="8"/>
  <c r="BH111" i="8"/>
  <c r="AW111" i="8"/>
  <c r="BI111" i="8"/>
  <c r="BF111" i="8"/>
  <c r="AX111" i="8"/>
  <c r="AZ111" i="8"/>
  <c r="AV97" i="8"/>
  <c r="BE97" i="8"/>
  <c r="AW97" i="8"/>
  <c r="BG97" i="8"/>
  <c r="AX97" i="8"/>
  <c r="BH97" i="8"/>
  <c r="AY97" i="8"/>
  <c r="BI97" i="8"/>
  <c r="AZ97" i="8"/>
  <c r="BJ97" i="8"/>
  <c r="AR97" i="8"/>
  <c r="BA97" i="8"/>
  <c r="BK97" i="8"/>
  <c r="AS97" i="8"/>
  <c r="BC97" i="8"/>
  <c r="BL97" i="8"/>
  <c r="AT97" i="8"/>
  <c r="BD97" i="8"/>
  <c r="AU97" i="8"/>
  <c r="BF97" i="8"/>
  <c r="AW780" i="8"/>
  <c r="BF780" i="8"/>
  <c r="AX780" i="8"/>
  <c r="BG780" i="8"/>
  <c r="AY780" i="8"/>
  <c r="BH780" i="8"/>
  <c r="AR780" i="8"/>
  <c r="AZ780" i="8"/>
  <c r="BI780" i="8"/>
  <c r="AS780" i="8"/>
  <c r="BA780" i="8"/>
  <c r="BJ780" i="8"/>
  <c r="AT780" i="8"/>
  <c r="BC780" i="8"/>
  <c r="BK780" i="8"/>
  <c r="AU780" i="8"/>
  <c r="BD780" i="8"/>
  <c r="BL780" i="8"/>
  <c r="AV780" i="8"/>
  <c r="BE780" i="8"/>
  <c r="AT85" i="8"/>
  <c r="BC85" i="8"/>
  <c r="BK85" i="8"/>
  <c r="AW85" i="8"/>
  <c r="BF85" i="8"/>
  <c r="AR85" i="8"/>
  <c r="BD85" i="8"/>
  <c r="AU85" i="8"/>
  <c r="BG85" i="8"/>
  <c r="AV85" i="8"/>
  <c r="BE85" i="8"/>
  <c r="BH85" i="8"/>
  <c r="BI85" i="8"/>
  <c r="AS85" i="8"/>
  <c r="BJ85" i="8"/>
  <c r="AX85" i="8"/>
  <c r="BL85" i="8"/>
  <c r="AY85" i="8"/>
  <c r="AZ85" i="8"/>
  <c r="BA85" i="8"/>
  <c r="AU81" i="8"/>
  <c r="BD81" i="8"/>
  <c r="BL81" i="8"/>
  <c r="AV81" i="8"/>
  <c r="BE81" i="8"/>
  <c r="AX81" i="8"/>
  <c r="BG81" i="8"/>
  <c r="AW81" i="8"/>
  <c r="BJ81" i="8"/>
  <c r="AZ81" i="8"/>
  <c r="BA81" i="8"/>
  <c r="AR81" i="8"/>
  <c r="BF81" i="8"/>
  <c r="AT81" i="8"/>
  <c r="AY81" i="8"/>
  <c r="BC81" i="8"/>
  <c r="BH81" i="8"/>
  <c r="BI81" i="8"/>
  <c r="BK81" i="8"/>
  <c r="AS81" i="8"/>
  <c r="AS69" i="8"/>
  <c r="BA69" i="8"/>
  <c r="BJ69" i="8"/>
  <c r="AV69" i="8"/>
  <c r="BE69" i="8"/>
  <c r="AR69" i="8"/>
  <c r="BD69" i="8"/>
  <c r="AT69" i="8"/>
  <c r="BF69" i="8"/>
  <c r="AW69" i="8"/>
  <c r="BH69" i="8"/>
  <c r="BC69" i="8"/>
  <c r="BI69" i="8"/>
  <c r="BK69" i="8"/>
  <c r="AX69" i="8"/>
  <c r="AY69" i="8"/>
  <c r="AU69" i="8"/>
  <c r="AZ69" i="8"/>
  <c r="BG69" i="8"/>
  <c r="BL69" i="8"/>
  <c r="AY62" i="8"/>
  <c r="BH62" i="8"/>
  <c r="AR62" i="8"/>
  <c r="AZ62" i="8"/>
  <c r="BI62" i="8"/>
  <c r="AT62" i="8"/>
  <c r="BC62" i="8"/>
  <c r="BK62" i="8"/>
  <c r="AS62" i="8"/>
  <c r="BF62" i="8"/>
  <c r="AU62" i="8"/>
  <c r="BG62" i="8"/>
  <c r="AW62" i="8"/>
  <c r="BL62" i="8"/>
  <c r="AV62" i="8"/>
  <c r="BA62" i="8"/>
  <c r="BD62" i="8"/>
  <c r="BJ62" i="8"/>
  <c r="AX62" i="8"/>
  <c r="BE62" i="8"/>
  <c r="AT56" i="8"/>
  <c r="BC56" i="8"/>
  <c r="BK56" i="8"/>
  <c r="AV56" i="8"/>
  <c r="BE56" i="8"/>
  <c r="AX56" i="8"/>
  <c r="BG56" i="8"/>
  <c r="AW56" i="8"/>
  <c r="BJ56" i="8"/>
  <c r="AY56" i="8"/>
  <c r="BL56" i="8"/>
  <c r="BA56" i="8"/>
  <c r="AU56" i="8"/>
  <c r="AZ56" i="8"/>
  <c r="BF56" i="8"/>
  <c r="AR56" i="8"/>
  <c r="BD56" i="8"/>
  <c r="BH56" i="8"/>
  <c r="AS56" i="8"/>
  <c r="BI56" i="8"/>
  <c r="AX48" i="8"/>
  <c r="AR48" i="8"/>
  <c r="AZ48" i="8"/>
  <c r="AS48" i="8"/>
  <c r="BA48" i="8"/>
  <c r="BE48" i="8"/>
  <c r="AU48" i="8"/>
  <c r="BG48" i="8"/>
  <c r="AW48" i="8"/>
  <c r="BI48" i="8"/>
  <c r="BF48" i="8"/>
  <c r="BH48" i="8"/>
  <c r="AT48" i="8"/>
  <c r="BK48" i="8"/>
  <c r="AV48" i="8"/>
  <c r="BC48" i="8"/>
  <c r="BL48" i="8"/>
  <c r="AY48" i="8"/>
  <c r="BD48" i="8"/>
  <c r="BJ48" i="8"/>
  <c r="AY42" i="8"/>
  <c r="BH42" i="8"/>
  <c r="AS42" i="8"/>
  <c r="BA42" i="8"/>
  <c r="BJ42" i="8"/>
  <c r="AT42" i="8"/>
  <c r="BC42" i="8"/>
  <c r="BK42" i="8"/>
  <c r="AW42" i="8"/>
  <c r="BL42" i="8"/>
  <c r="AZ42" i="8"/>
  <c r="BE42" i="8"/>
  <c r="BF42" i="8"/>
  <c r="BG42" i="8"/>
  <c r="AR42" i="8"/>
  <c r="AU42" i="8"/>
  <c r="AV42" i="8"/>
  <c r="AX42" i="8"/>
  <c r="BI42" i="8"/>
  <c r="BD42" i="8"/>
  <c r="AW35" i="8"/>
  <c r="BF35" i="8"/>
  <c r="AY35" i="8"/>
  <c r="BH35" i="8"/>
  <c r="AR35" i="8"/>
  <c r="AZ35" i="8"/>
  <c r="BI35" i="8"/>
  <c r="AX35" i="8"/>
  <c r="BL35" i="8"/>
  <c r="BC35" i="8"/>
  <c r="AS35" i="8"/>
  <c r="BE35" i="8"/>
  <c r="BD35" i="8"/>
  <c r="BG35" i="8"/>
  <c r="BK35" i="8"/>
  <c r="AT35" i="8"/>
  <c r="AU35" i="8"/>
  <c r="BA35" i="8"/>
  <c r="AV35" i="8"/>
  <c r="BJ35" i="8"/>
  <c r="BF846" i="8"/>
  <c r="AR846" i="8"/>
  <c r="AZ846" i="8"/>
  <c r="BI846" i="8"/>
  <c r="BA846" i="8"/>
  <c r="AS846" i="8"/>
  <c r="BJ846" i="8"/>
  <c r="AV846" i="8"/>
  <c r="BE846" i="8"/>
  <c r="AW846" i="8"/>
  <c r="AU846" i="8"/>
  <c r="BL846" i="8"/>
  <c r="AX846" i="8"/>
  <c r="AY846" i="8"/>
  <c r="BC846" i="8"/>
  <c r="AT846" i="8"/>
  <c r="BD846" i="8"/>
  <c r="BG846" i="8"/>
  <c r="BH846" i="8"/>
  <c r="BK846" i="8"/>
  <c r="AR376" i="8"/>
  <c r="AZ376" i="8"/>
  <c r="BI376" i="8"/>
  <c r="AS376" i="8"/>
  <c r="BA376" i="8"/>
  <c r="BJ376" i="8"/>
  <c r="AT376" i="8"/>
  <c r="BC376" i="8"/>
  <c r="BK376" i="8"/>
  <c r="AU376" i="8"/>
  <c r="BD376" i="8"/>
  <c r="BL376" i="8"/>
  <c r="AV376" i="8"/>
  <c r="BE376" i="8"/>
  <c r="AW376" i="8"/>
  <c r="BF376" i="8"/>
  <c r="AX376" i="8"/>
  <c r="BG376" i="8"/>
  <c r="BH376" i="8"/>
  <c r="AY376" i="8"/>
  <c r="AV384" i="8"/>
  <c r="BE384" i="8"/>
  <c r="AW384" i="8"/>
  <c r="BF384" i="8"/>
  <c r="AX384" i="8"/>
  <c r="BG384" i="8"/>
  <c r="AY384" i="8"/>
  <c r="BH384" i="8"/>
  <c r="AR384" i="8"/>
  <c r="AZ384" i="8"/>
  <c r="BI384" i="8"/>
  <c r="AS384" i="8"/>
  <c r="BA384" i="8"/>
  <c r="BJ384" i="8"/>
  <c r="AT384" i="8"/>
  <c r="BC384" i="8"/>
  <c r="BK384" i="8"/>
  <c r="BD384" i="8"/>
  <c r="AU384" i="8"/>
  <c r="BL384" i="8"/>
  <c r="AT370" i="8"/>
  <c r="BC370" i="8"/>
  <c r="BK370" i="8"/>
  <c r="AV370" i="8"/>
  <c r="BE370" i="8"/>
  <c r="AX370" i="8"/>
  <c r="AY370" i="8"/>
  <c r="BH370" i="8"/>
  <c r="AR370" i="8"/>
  <c r="AZ370" i="8"/>
  <c r="BI370" i="8"/>
  <c r="AW370" i="8"/>
  <c r="BA370" i="8"/>
  <c r="BD370" i="8"/>
  <c r="BF370" i="8"/>
  <c r="BG370" i="8"/>
  <c r="BJ370" i="8"/>
  <c r="AS370" i="8"/>
  <c r="BL370" i="8"/>
  <c r="AU370" i="8"/>
  <c r="AU343" i="8"/>
  <c r="BD343" i="8"/>
  <c r="BL343" i="8"/>
  <c r="AV343" i="8"/>
  <c r="BE343" i="8"/>
  <c r="AW343" i="8"/>
  <c r="BF343" i="8"/>
  <c r="AY343" i="8"/>
  <c r="BH343" i="8"/>
  <c r="AR343" i="8"/>
  <c r="AZ343" i="8"/>
  <c r="BI343" i="8"/>
  <c r="AS343" i="8"/>
  <c r="BA343" i="8"/>
  <c r="BJ343" i="8"/>
  <c r="AT343" i="8"/>
  <c r="AX343" i="8"/>
  <c r="BC343" i="8"/>
  <c r="BG343" i="8"/>
  <c r="BK343" i="8"/>
  <c r="AY335" i="8"/>
  <c r="BH335" i="8"/>
  <c r="AR335" i="8"/>
  <c r="AZ335" i="8"/>
  <c r="BI335" i="8"/>
  <c r="AS335" i="8"/>
  <c r="BA335" i="8"/>
  <c r="BJ335" i="8"/>
  <c r="AT335" i="8"/>
  <c r="BC335" i="8"/>
  <c r="BK335" i="8"/>
  <c r="AU335" i="8"/>
  <c r="BD335" i="8"/>
  <c r="BL335" i="8"/>
  <c r="AV335" i="8"/>
  <c r="BE335" i="8"/>
  <c r="AW335" i="8"/>
  <c r="BF335" i="8"/>
  <c r="BG335" i="8"/>
  <c r="AX335" i="8"/>
  <c r="AY328" i="8"/>
  <c r="BH328" i="8"/>
  <c r="AR328" i="8"/>
  <c r="AZ328" i="8"/>
  <c r="BI328" i="8"/>
  <c r="AS328" i="8"/>
  <c r="BA328" i="8"/>
  <c r="BJ328" i="8"/>
  <c r="AT328" i="8"/>
  <c r="BC328" i="8"/>
  <c r="BK328" i="8"/>
  <c r="AU328" i="8"/>
  <c r="BD328" i="8"/>
  <c r="BL328" i="8"/>
  <c r="AV328" i="8"/>
  <c r="BE328" i="8"/>
  <c r="AW328" i="8"/>
  <c r="BF328" i="8"/>
  <c r="AX328" i="8"/>
  <c r="BG328" i="8"/>
  <c r="AY320" i="8"/>
  <c r="BH320" i="8"/>
  <c r="AS320" i="8"/>
  <c r="BA320" i="8"/>
  <c r="BJ320" i="8"/>
  <c r="AV320" i="8"/>
  <c r="BE320" i="8"/>
  <c r="AW320" i="8"/>
  <c r="BF320" i="8"/>
  <c r="AR320" i="8"/>
  <c r="BI320" i="8"/>
  <c r="AT320" i="8"/>
  <c r="BK320" i="8"/>
  <c r="AU320" i="8"/>
  <c r="BL320" i="8"/>
  <c r="AX320" i="8"/>
  <c r="AZ320" i="8"/>
  <c r="BC320" i="8"/>
  <c r="BD320" i="8"/>
  <c r="BG320" i="8"/>
  <c r="AU312" i="8"/>
  <c r="BD312" i="8"/>
  <c r="BL312" i="8"/>
  <c r="AW312" i="8"/>
  <c r="BF312" i="8"/>
  <c r="AX312" i="8"/>
  <c r="BG312" i="8"/>
  <c r="AR312" i="8"/>
  <c r="AZ312" i="8"/>
  <c r="BI312" i="8"/>
  <c r="AS312" i="8"/>
  <c r="BA312" i="8"/>
  <c r="BJ312" i="8"/>
  <c r="BH312" i="8"/>
  <c r="BK312" i="8"/>
  <c r="AT312" i="8"/>
  <c r="AV312" i="8"/>
  <c r="AY312" i="8"/>
  <c r="BC312" i="8"/>
  <c r="BE312" i="8"/>
  <c r="AU303" i="8"/>
  <c r="BD303" i="8"/>
  <c r="BL303" i="8"/>
  <c r="AW303" i="8"/>
  <c r="BF303" i="8"/>
  <c r="AX303" i="8"/>
  <c r="BG303" i="8"/>
  <c r="AR303" i="8"/>
  <c r="AZ303" i="8"/>
  <c r="BI303" i="8"/>
  <c r="AS303" i="8"/>
  <c r="BA303" i="8"/>
  <c r="BJ303" i="8"/>
  <c r="AY303" i="8"/>
  <c r="BC303" i="8"/>
  <c r="BE303" i="8"/>
  <c r="BH303" i="8"/>
  <c r="BK303" i="8"/>
  <c r="AT303" i="8"/>
  <c r="AV303" i="8"/>
  <c r="AX297" i="8"/>
  <c r="BG297" i="8"/>
  <c r="AR297" i="8"/>
  <c r="AZ297" i="8"/>
  <c r="BI297" i="8"/>
  <c r="AS297" i="8"/>
  <c r="BA297" i="8"/>
  <c r="BJ297" i="8"/>
  <c r="AU297" i="8"/>
  <c r="BD297" i="8"/>
  <c r="BL297" i="8"/>
  <c r="AV297" i="8"/>
  <c r="BE297" i="8"/>
  <c r="AT297" i="8"/>
  <c r="AW297" i="8"/>
  <c r="AY297" i="8"/>
  <c r="BC297" i="8"/>
  <c r="BF297" i="8"/>
  <c r="BH297" i="8"/>
  <c r="BK297" i="8"/>
  <c r="AX290" i="8"/>
  <c r="BG290" i="8"/>
  <c r="AR290" i="8"/>
  <c r="AZ290" i="8"/>
  <c r="BI290" i="8"/>
  <c r="AS290" i="8"/>
  <c r="BA290" i="8"/>
  <c r="BJ290" i="8"/>
  <c r="AU290" i="8"/>
  <c r="BD290" i="8"/>
  <c r="BL290" i="8"/>
  <c r="AV290" i="8"/>
  <c r="BE290" i="8"/>
  <c r="BK290" i="8"/>
  <c r="AT290" i="8"/>
  <c r="AW290" i="8"/>
  <c r="AY290" i="8"/>
  <c r="BC290" i="8"/>
  <c r="BF290" i="8"/>
  <c r="BH290" i="8"/>
  <c r="AT283" i="8"/>
  <c r="BC283" i="8"/>
  <c r="BK283" i="8"/>
  <c r="AZ283" i="8"/>
  <c r="BJ283" i="8"/>
  <c r="AR283" i="8"/>
  <c r="BA283" i="8"/>
  <c r="BL283" i="8"/>
  <c r="AS283" i="8"/>
  <c r="BD283" i="8"/>
  <c r="AU283" i="8"/>
  <c r="BE283" i="8"/>
  <c r="AV283" i="8"/>
  <c r="BF283" i="8"/>
  <c r="AW283" i="8"/>
  <c r="BG283" i="8"/>
  <c r="AX283" i="8"/>
  <c r="BH283" i="8"/>
  <c r="AY283" i="8"/>
  <c r="BI283" i="8"/>
  <c r="AT272" i="8"/>
  <c r="BC272" i="8"/>
  <c r="BK272" i="8"/>
  <c r="AV272" i="8"/>
  <c r="BE272" i="8"/>
  <c r="AY272" i="8"/>
  <c r="BH272" i="8"/>
  <c r="AR272" i="8"/>
  <c r="AZ272" i="8"/>
  <c r="BA272" i="8"/>
  <c r="BD272" i="8"/>
  <c r="BF272" i="8"/>
  <c r="AS272" i="8"/>
  <c r="BG272" i="8"/>
  <c r="AU272" i="8"/>
  <c r="BI272" i="8"/>
  <c r="AW272" i="8"/>
  <c r="BJ272" i="8"/>
  <c r="BL272" i="8"/>
  <c r="AX272" i="8"/>
  <c r="AS263" i="8"/>
  <c r="BA263" i="8"/>
  <c r="BJ263" i="8"/>
  <c r="AU263" i="8"/>
  <c r="BD263" i="8"/>
  <c r="BL263" i="8"/>
  <c r="AW263" i="8"/>
  <c r="BF263" i="8"/>
  <c r="AX263" i="8"/>
  <c r="BG263" i="8"/>
  <c r="AY263" i="8"/>
  <c r="BH263" i="8"/>
  <c r="AV263" i="8"/>
  <c r="AZ263" i="8"/>
  <c r="BC263" i="8"/>
  <c r="BE263" i="8"/>
  <c r="BI263" i="8"/>
  <c r="BK263" i="8"/>
  <c r="AR263" i="8"/>
  <c r="AT263" i="8"/>
  <c r="AR256" i="8"/>
  <c r="AZ256" i="8"/>
  <c r="BI256" i="8"/>
  <c r="AT256" i="8"/>
  <c r="BC256" i="8"/>
  <c r="BK256" i="8"/>
  <c r="AV256" i="8"/>
  <c r="BE256" i="8"/>
  <c r="AW256" i="8"/>
  <c r="BF256" i="8"/>
  <c r="AX256" i="8"/>
  <c r="BG256" i="8"/>
  <c r="BL256" i="8"/>
  <c r="AS256" i="8"/>
  <c r="AU256" i="8"/>
  <c r="AY256" i="8"/>
  <c r="BA256" i="8"/>
  <c r="BD256" i="8"/>
  <c r="BH256" i="8"/>
  <c r="BJ256" i="8"/>
  <c r="AX249" i="8"/>
  <c r="BG249" i="8"/>
  <c r="AR249" i="8"/>
  <c r="AZ249" i="8"/>
  <c r="BI249" i="8"/>
  <c r="AT249" i="8"/>
  <c r="BC249" i="8"/>
  <c r="BK249" i="8"/>
  <c r="AU249" i="8"/>
  <c r="BD249" i="8"/>
  <c r="BL249" i="8"/>
  <c r="AV249" i="8"/>
  <c r="BE249" i="8"/>
  <c r="BF249" i="8"/>
  <c r="BH249" i="8"/>
  <c r="BJ249" i="8"/>
  <c r="AS249" i="8"/>
  <c r="AW249" i="8"/>
  <c r="AY249" i="8"/>
  <c r="BA249" i="8"/>
  <c r="AY245" i="8"/>
  <c r="BH245" i="8"/>
  <c r="AS245" i="8"/>
  <c r="BA245" i="8"/>
  <c r="BJ245" i="8"/>
  <c r="AU245" i="8"/>
  <c r="BD245" i="8"/>
  <c r="BL245" i="8"/>
  <c r="AV245" i="8"/>
  <c r="BE245" i="8"/>
  <c r="AW245" i="8"/>
  <c r="BF245" i="8"/>
  <c r="AZ245" i="8"/>
  <c r="BC245" i="8"/>
  <c r="BG245" i="8"/>
  <c r="BI245" i="8"/>
  <c r="BK245" i="8"/>
  <c r="AR245" i="8"/>
  <c r="AT245" i="8"/>
  <c r="AX245" i="8"/>
  <c r="AY234" i="8"/>
  <c r="BH234" i="8"/>
  <c r="AV234" i="8"/>
  <c r="BF234" i="8"/>
  <c r="AX234" i="8"/>
  <c r="BI234" i="8"/>
  <c r="AR234" i="8"/>
  <c r="BA234" i="8"/>
  <c r="BK234" i="8"/>
  <c r="AS234" i="8"/>
  <c r="BC234" i="8"/>
  <c r="BL234" i="8"/>
  <c r="AT234" i="8"/>
  <c r="BD234" i="8"/>
  <c r="AZ234" i="8"/>
  <c r="BE234" i="8"/>
  <c r="BG234" i="8"/>
  <c r="BJ234" i="8"/>
  <c r="AU234" i="8"/>
  <c r="AW234" i="8"/>
  <c r="AX225" i="8"/>
  <c r="BG225" i="8"/>
  <c r="AR225" i="8"/>
  <c r="AZ225" i="8"/>
  <c r="BI225" i="8"/>
  <c r="AS225" i="8"/>
  <c r="BA225" i="8"/>
  <c r="BJ225" i="8"/>
  <c r="AU225" i="8"/>
  <c r="BD225" i="8"/>
  <c r="BL225" i="8"/>
  <c r="AV225" i="8"/>
  <c r="BE225" i="8"/>
  <c r="AY225" i="8"/>
  <c r="BF225" i="8"/>
  <c r="BK225" i="8"/>
  <c r="AT225" i="8"/>
  <c r="AW225" i="8"/>
  <c r="BC225" i="8"/>
  <c r="BH225" i="8"/>
  <c r="AV220" i="8"/>
  <c r="BE220" i="8"/>
  <c r="AX220" i="8"/>
  <c r="BG220" i="8"/>
  <c r="AY220" i="8"/>
  <c r="BH220" i="8"/>
  <c r="AS220" i="8"/>
  <c r="BA220" i="8"/>
  <c r="BJ220" i="8"/>
  <c r="AT220" i="8"/>
  <c r="BC220" i="8"/>
  <c r="BK220" i="8"/>
  <c r="AU220" i="8"/>
  <c r="AZ220" i="8"/>
  <c r="BF220" i="8"/>
  <c r="BI220" i="8"/>
  <c r="BL220" i="8"/>
  <c r="AR220" i="8"/>
  <c r="AW220" i="8"/>
  <c r="BD220" i="8"/>
  <c r="AS217" i="8"/>
  <c r="BA217" i="8"/>
  <c r="BJ217" i="8"/>
  <c r="AU217" i="8"/>
  <c r="BD217" i="8"/>
  <c r="BL217" i="8"/>
  <c r="AV217" i="8"/>
  <c r="BE217" i="8"/>
  <c r="AX217" i="8"/>
  <c r="BG217" i="8"/>
  <c r="AY217" i="8"/>
  <c r="BH217" i="8"/>
  <c r="AR217" i="8"/>
  <c r="AW217" i="8"/>
  <c r="BC217" i="8"/>
  <c r="BF217" i="8"/>
  <c r="BI217" i="8"/>
  <c r="AT217" i="8"/>
  <c r="AZ217" i="8"/>
  <c r="BK217" i="8"/>
  <c r="AU202" i="8"/>
  <c r="BD202" i="8"/>
  <c r="BL202" i="8"/>
  <c r="AW202" i="8"/>
  <c r="BF202" i="8"/>
  <c r="AX202" i="8"/>
  <c r="BG202" i="8"/>
  <c r="AR202" i="8"/>
  <c r="AZ202" i="8"/>
  <c r="BI202" i="8"/>
  <c r="AS202" i="8"/>
  <c r="BA202" i="8"/>
  <c r="BJ202" i="8"/>
  <c r="AY202" i="8"/>
  <c r="BE202" i="8"/>
  <c r="BK202" i="8"/>
  <c r="AT202" i="8"/>
  <c r="AV202" i="8"/>
  <c r="BC202" i="8"/>
  <c r="BH202" i="8"/>
  <c r="AX198" i="8"/>
  <c r="BG198" i="8"/>
  <c r="AR198" i="8"/>
  <c r="AZ198" i="8"/>
  <c r="BI198" i="8"/>
  <c r="AS198" i="8"/>
  <c r="BA198" i="8"/>
  <c r="BJ198" i="8"/>
  <c r="AU198" i="8"/>
  <c r="BD198" i="8"/>
  <c r="BL198" i="8"/>
  <c r="AV198" i="8"/>
  <c r="BE198" i="8"/>
  <c r="AW198" i="8"/>
  <c r="BC198" i="8"/>
  <c r="BH198" i="8"/>
  <c r="BK198" i="8"/>
  <c r="AT198" i="8"/>
  <c r="AY198" i="8"/>
  <c r="BF198" i="8"/>
  <c r="AW191" i="8"/>
  <c r="BF191" i="8"/>
  <c r="AY191" i="8"/>
  <c r="BH191" i="8"/>
  <c r="AS191" i="8"/>
  <c r="BA191" i="8"/>
  <c r="BJ191" i="8"/>
  <c r="AT191" i="8"/>
  <c r="BC191" i="8"/>
  <c r="BK191" i="8"/>
  <c r="AU191" i="8"/>
  <c r="BD191" i="8"/>
  <c r="BL191" i="8"/>
  <c r="BG191" i="8"/>
  <c r="AR191" i="8"/>
  <c r="AX191" i="8"/>
  <c r="AZ191" i="8"/>
  <c r="AV191" i="8"/>
  <c r="BE191" i="8"/>
  <c r="BI191" i="8"/>
  <c r="AR185" i="8"/>
  <c r="AZ185" i="8"/>
  <c r="BI185" i="8"/>
  <c r="AT185" i="8"/>
  <c r="BC185" i="8"/>
  <c r="BK185" i="8"/>
  <c r="AV185" i="8"/>
  <c r="BE185" i="8"/>
  <c r="AW185" i="8"/>
  <c r="BF185" i="8"/>
  <c r="AX185" i="8"/>
  <c r="BG185" i="8"/>
  <c r="BA185" i="8"/>
  <c r="BH185" i="8"/>
  <c r="BJ185" i="8"/>
  <c r="AS185" i="8"/>
  <c r="AU185" i="8"/>
  <c r="AY185" i="8"/>
  <c r="BD185" i="8"/>
  <c r="BL185" i="8"/>
  <c r="AR176" i="8"/>
  <c r="AZ176" i="8"/>
  <c r="BI176" i="8"/>
  <c r="AT176" i="8"/>
  <c r="BC176" i="8"/>
  <c r="BK176" i="8"/>
  <c r="AV176" i="8"/>
  <c r="BE176" i="8"/>
  <c r="AW176" i="8"/>
  <c r="BF176" i="8"/>
  <c r="AX176" i="8"/>
  <c r="BG176" i="8"/>
  <c r="AS176" i="8"/>
  <c r="AU176" i="8"/>
  <c r="AY176" i="8"/>
  <c r="BA176" i="8"/>
  <c r="BD176" i="8"/>
  <c r="BH176" i="8"/>
  <c r="BJ176" i="8"/>
  <c r="BL176" i="8"/>
  <c r="AU166" i="8"/>
  <c r="BD166" i="8"/>
  <c r="BL166" i="8"/>
  <c r="AW166" i="8"/>
  <c r="BF166" i="8"/>
  <c r="AY166" i="8"/>
  <c r="BH166" i="8"/>
  <c r="AR166" i="8"/>
  <c r="AZ166" i="8"/>
  <c r="BI166" i="8"/>
  <c r="AS166" i="8"/>
  <c r="BA166" i="8"/>
  <c r="BJ166" i="8"/>
  <c r="BE166" i="8"/>
  <c r="BG166" i="8"/>
  <c r="BK166" i="8"/>
  <c r="AT166" i="8"/>
  <c r="AV166" i="8"/>
  <c r="AX166" i="8"/>
  <c r="BC166" i="8"/>
  <c r="AT548" i="8"/>
  <c r="BC548" i="8"/>
  <c r="BK548" i="8"/>
  <c r="AU548" i="8"/>
  <c r="BD548" i="8"/>
  <c r="BL548" i="8"/>
  <c r="AV548" i="8"/>
  <c r="BE548" i="8"/>
  <c r="AW548" i="8"/>
  <c r="BF548" i="8"/>
  <c r="AX548" i="8"/>
  <c r="BG548" i="8"/>
  <c r="AY548" i="8"/>
  <c r="BH548" i="8"/>
  <c r="AR548" i="8"/>
  <c r="AZ548" i="8"/>
  <c r="BI548" i="8"/>
  <c r="AS548" i="8"/>
  <c r="BA548" i="8"/>
  <c r="BJ548" i="8"/>
  <c r="AX156" i="8"/>
  <c r="BG156" i="8"/>
  <c r="AR156" i="8"/>
  <c r="AZ156" i="8"/>
  <c r="BI156" i="8"/>
  <c r="AT156" i="8"/>
  <c r="BC156" i="8"/>
  <c r="BK156" i="8"/>
  <c r="AU156" i="8"/>
  <c r="BD156" i="8"/>
  <c r="BL156" i="8"/>
  <c r="AV156" i="8"/>
  <c r="BE156" i="8"/>
  <c r="AS156" i="8"/>
  <c r="AW156" i="8"/>
  <c r="AY156" i="8"/>
  <c r="BA156" i="8"/>
  <c r="BF156" i="8"/>
  <c r="BH156" i="8"/>
  <c r="BJ156" i="8"/>
  <c r="AV149" i="8"/>
  <c r="BE149" i="8"/>
  <c r="AX149" i="8"/>
  <c r="BG149" i="8"/>
  <c r="AR149" i="8"/>
  <c r="AZ149" i="8"/>
  <c r="BI149" i="8"/>
  <c r="AS149" i="8"/>
  <c r="BA149" i="8"/>
  <c r="BJ149" i="8"/>
  <c r="AT149" i="8"/>
  <c r="BC149" i="8"/>
  <c r="BK149" i="8"/>
  <c r="BH149" i="8"/>
  <c r="BL149" i="8"/>
  <c r="AU149" i="8"/>
  <c r="AW149" i="8"/>
  <c r="AY149" i="8"/>
  <c r="BD149" i="8"/>
  <c r="BF149" i="8"/>
  <c r="AX141" i="8"/>
  <c r="BG141" i="8"/>
  <c r="AR141" i="8"/>
  <c r="AZ141" i="8"/>
  <c r="AU141" i="8"/>
  <c r="BF141" i="8"/>
  <c r="AV141" i="8"/>
  <c r="BH141" i="8"/>
  <c r="AW141" i="8"/>
  <c r="BI141" i="8"/>
  <c r="BA141" i="8"/>
  <c r="BK141" i="8"/>
  <c r="BC141" i="8"/>
  <c r="BL141" i="8"/>
  <c r="AS141" i="8"/>
  <c r="BD141" i="8"/>
  <c r="AY141" i="8"/>
  <c r="BE141" i="8"/>
  <c r="BJ141" i="8"/>
  <c r="AT141" i="8"/>
  <c r="AV22" i="8"/>
  <c r="BE22" i="8"/>
  <c r="AX22" i="8"/>
  <c r="BG22" i="8"/>
  <c r="AY22" i="8"/>
  <c r="BH22" i="8"/>
  <c r="AS22" i="8"/>
  <c r="BF22" i="8"/>
  <c r="AU22" i="8"/>
  <c r="BJ22" i="8"/>
  <c r="AZ22" i="8"/>
  <c r="BL22" i="8"/>
  <c r="BA22" i="8"/>
  <c r="BC22" i="8"/>
  <c r="BI22" i="8"/>
  <c r="AR22" i="8"/>
  <c r="AT22" i="8"/>
  <c r="BD22" i="8"/>
  <c r="AW22" i="8"/>
  <c r="BK22" i="8"/>
  <c r="AX128" i="8"/>
  <c r="BG128" i="8"/>
  <c r="AR128" i="8"/>
  <c r="AZ128" i="8"/>
  <c r="BI128" i="8"/>
  <c r="AT128" i="8"/>
  <c r="BC128" i="8"/>
  <c r="BK128" i="8"/>
  <c r="AU128" i="8"/>
  <c r="BD128" i="8"/>
  <c r="BL128" i="8"/>
  <c r="AV128" i="8"/>
  <c r="BE128" i="8"/>
  <c r="BJ128" i="8"/>
  <c r="AS128" i="8"/>
  <c r="AW128" i="8"/>
  <c r="AY128" i="8"/>
  <c r="BA128" i="8"/>
  <c r="BF128" i="8"/>
  <c r="BH128" i="8"/>
  <c r="AR120" i="8"/>
  <c r="AZ120" i="8"/>
  <c r="BI120" i="8"/>
  <c r="AT120" i="8"/>
  <c r="BC120" i="8"/>
  <c r="BK120" i="8"/>
  <c r="AV120" i="8"/>
  <c r="BE120" i="8"/>
  <c r="AW120" i="8"/>
  <c r="BF120" i="8"/>
  <c r="AX120" i="8"/>
  <c r="BG120" i="8"/>
  <c r="BA120" i="8"/>
  <c r="BD120" i="8"/>
  <c r="BH120" i="8"/>
  <c r="BJ120" i="8"/>
  <c r="BL120" i="8"/>
  <c r="AS120" i="8"/>
  <c r="AU120" i="8"/>
  <c r="AY120" i="8"/>
  <c r="AW112" i="8"/>
  <c r="BF112" i="8"/>
  <c r="AX112" i="8"/>
  <c r="BG112" i="8"/>
  <c r="AY112" i="8"/>
  <c r="BH112" i="8"/>
  <c r="AS112" i="8"/>
  <c r="BE112" i="8"/>
  <c r="AU112" i="8"/>
  <c r="BJ112" i="8"/>
  <c r="AZ112" i="8"/>
  <c r="BL112" i="8"/>
  <c r="BA112" i="8"/>
  <c r="BC112" i="8"/>
  <c r="AR112" i="8"/>
  <c r="AT112" i="8"/>
  <c r="AV112" i="8"/>
  <c r="BD112" i="8"/>
  <c r="BI112" i="8"/>
  <c r="BK112" i="8"/>
  <c r="AY104" i="8"/>
  <c r="BH104" i="8"/>
  <c r="AR104" i="8"/>
  <c r="AZ104" i="8"/>
  <c r="BI104" i="8"/>
  <c r="AS104" i="8"/>
  <c r="BA104" i="8"/>
  <c r="BJ104" i="8"/>
  <c r="AU104" i="8"/>
  <c r="BD104" i="8"/>
  <c r="BL104" i="8"/>
  <c r="AV104" i="8"/>
  <c r="AX104" i="8"/>
  <c r="BE104" i="8"/>
  <c r="BF104" i="8"/>
  <c r="BG104" i="8"/>
  <c r="BK104" i="8"/>
  <c r="AT104" i="8"/>
  <c r="AW104" i="8"/>
  <c r="BC104" i="8"/>
  <c r="AX785" i="8"/>
  <c r="BG785" i="8"/>
  <c r="AY785" i="8"/>
  <c r="BH785" i="8"/>
  <c r="AR785" i="8"/>
  <c r="AZ785" i="8"/>
  <c r="BI785" i="8"/>
  <c r="AS785" i="8"/>
  <c r="BA785" i="8"/>
  <c r="BJ785" i="8"/>
  <c r="BK785" i="8"/>
  <c r="AT785" i="8"/>
  <c r="BC785" i="8"/>
  <c r="AU785" i="8"/>
  <c r="BD785" i="8"/>
  <c r="BL785" i="8"/>
  <c r="AV785" i="8"/>
  <c r="BE785" i="8"/>
  <c r="AW785" i="8"/>
  <c r="BF785" i="8"/>
  <c r="AW92" i="8"/>
  <c r="BF92" i="8"/>
  <c r="AR92" i="8"/>
  <c r="AZ92" i="8"/>
  <c r="BI92" i="8"/>
  <c r="BA92" i="8"/>
  <c r="BL92" i="8"/>
  <c r="AX92" i="8"/>
  <c r="BK92" i="8"/>
  <c r="AY92" i="8"/>
  <c r="BC92" i="8"/>
  <c r="BD92" i="8"/>
  <c r="AS92" i="8"/>
  <c r="BE92" i="8"/>
  <c r="AT92" i="8"/>
  <c r="BG92" i="8"/>
  <c r="AU92" i="8"/>
  <c r="BH92" i="8"/>
  <c r="BJ92" i="8"/>
  <c r="AV92" i="8"/>
  <c r="AY84" i="8"/>
  <c r="BH84" i="8"/>
  <c r="AR84" i="8"/>
  <c r="AZ84" i="8"/>
  <c r="BI84" i="8"/>
  <c r="AT84" i="8"/>
  <c r="BC84" i="8"/>
  <c r="BK84" i="8"/>
  <c r="BA84" i="8"/>
  <c r="BE84" i="8"/>
  <c r="AS84" i="8"/>
  <c r="BF84" i="8"/>
  <c r="BJ84" i="8"/>
  <c r="BL84" i="8"/>
  <c r="AU84" i="8"/>
  <c r="AV84" i="8"/>
  <c r="AW84" i="8"/>
  <c r="AX84" i="8"/>
  <c r="BD84" i="8"/>
  <c r="BG84" i="8"/>
  <c r="AS76" i="8"/>
  <c r="BA76" i="8"/>
  <c r="BJ76" i="8"/>
  <c r="AT76" i="8"/>
  <c r="BC76" i="8"/>
  <c r="BK76" i="8"/>
  <c r="AV76" i="8"/>
  <c r="BE76" i="8"/>
  <c r="AW76" i="8"/>
  <c r="BI76" i="8"/>
  <c r="AY76" i="8"/>
  <c r="AZ76" i="8"/>
  <c r="BF76" i="8"/>
  <c r="AR76" i="8"/>
  <c r="BG76" i="8"/>
  <c r="BL76" i="8"/>
  <c r="AU76" i="8"/>
  <c r="AX76" i="8"/>
  <c r="BD76" i="8"/>
  <c r="BH76" i="8"/>
  <c r="AX68" i="8"/>
  <c r="BG68" i="8"/>
  <c r="AS68" i="8"/>
  <c r="BA68" i="8"/>
  <c r="BJ68" i="8"/>
  <c r="AR68" i="8"/>
  <c r="BD68" i="8"/>
  <c r="AT68" i="8"/>
  <c r="BE68" i="8"/>
  <c r="AV68" i="8"/>
  <c r="BH68" i="8"/>
  <c r="BI68" i="8"/>
  <c r="AU68" i="8"/>
  <c r="BL68" i="8"/>
  <c r="AW68" i="8"/>
  <c r="AZ68" i="8"/>
  <c r="BC68" i="8"/>
  <c r="AY68" i="8"/>
  <c r="BF68" i="8"/>
  <c r="BK68" i="8"/>
  <c r="AR61" i="8"/>
  <c r="AU61" i="8"/>
  <c r="BD61" i="8"/>
  <c r="BL61" i="8"/>
  <c r="AV61" i="8"/>
  <c r="BE61" i="8"/>
  <c r="AX61" i="8"/>
  <c r="BG61" i="8"/>
  <c r="AZ61" i="8"/>
  <c r="BA61" i="8"/>
  <c r="BF61" i="8"/>
  <c r="AT61" i="8"/>
  <c r="AY61" i="8"/>
  <c r="BC61" i="8"/>
  <c r="BI61" i="8"/>
  <c r="BJ61" i="8"/>
  <c r="BH61" i="8"/>
  <c r="BK61" i="8"/>
  <c r="AS61" i="8"/>
  <c r="AW61" i="8"/>
  <c r="AX55" i="8"/>
  <c r="BG55" i="8"/>
  <c r="AR55" i="8"/>
  <c r="AZ55" i="8"/>
  <c r="BI55" i="8"/>
  <c r="AT55" i="8"/>
  <c r="BC55" i="8"/>
  <c r="BK55" i="8"/>
  <c r="BE55" i="8"/>
  <c r="AS55" i="8"/>
  <c r="BF55" i="8"/>
  <c r="AV55" i="8"/>
  <c r="BJ55" i="8"/>
  <c r="AW55" i="8"/>
  <c r="AY55" i="8"/>
  <c r="BD55" i="8"/>
  <c r="BA55" i="8"/>
  <c r="BL55" i="8"/>
  <c r="AU55" i="8"/>
  <c r="BH55" i="8"/>
  <c r="AT47" i="8"/>
  <c r="BC47" i="8"/>
  <c r="BK47" i="8"/>
  <c r="AV47" i="8"/>
  <c r="BE47" i="8"/>
  <c r="AW47" i="8"/>
  <c r="BF47" i="8"/>
  <c r="AY47" i="8"/>
  <c r="BL47" i="8"/>
  <c r="BA47" i="8"/>
  <c r="AR47" i="8"/>
  <c r="BG47" i="8"/>
  <c r="BH47" i="8"/>
  <c r="BI47" i="8"/>
  <c r="AS47" i="8"/>
  <c r="BJ47" i="8"/>
  <c r="AX47" i="8"/>
  <c r="AZ47" i="8"/>
  <c r="AU47" i="8"/>
  <c r="BD47" i="8"/>
  <c r="AU41" i="8"/>
  <c r="BD41" i="8"/>
  <c r="BL41" i="8"/>
  <c r="AW41" i="8"/>
  <c r="BF41" i="8"/>
  <c r="AX41" i="8"/>
  <c r="BG41" i="8"/>
  <c r="AR41" i="8"/>
  <c r="BE41" i="8"/>
  <c r="AT41" i="8"/>
  <c r="BI41" i="8"/>
  <c r="AY41" i="8"/>
  <c r="BK41" i="8"/>
  <c r="BC41" i="8"/>
  <c r="BH41" i="8"/>
  <c r="AZ41" i="8"/>
  <c r="BA41" i="8"/>
  <c r="AV41" i="8"/>
  <c r="AS41" i="8"/>
  <c r="BJ41" i="8"/>
  <c r="AU375" i="8"/>
  <c r="BD375" i="8"/>
  <c r="AT375" i="8"/>
  <c r="BE375" i="8"/>
  <c r="AV375" i="8"/>
  <c r="BF375" i="8"/>
  <c r="AW375" i="8"/>
  <c r="BG375" i="8"/>
  <c r="AX375" i="8"/>
  <c r="BH375" i="8"/>
  <c r="AY375" i="8"/>
  <c r="BI375" i="8"/>
  <c r="AZ375" i="8"/>
  <c r="BJ375" i="8"/>
  <c r="AR375" i="8"/>
  <c r="BA375" i="8"/>
  <c r="BK375" i="8"/>
  <c r="BL375" i="8"/>
  <c r="AS375" i="8"/>
  <c r="BC375" i="8"/>
  <c r="AR383" i="8"/>
  <c r="AZ383" i="8"/>
  <c r="BI383" i="8"/>
  <c r="AS383" i="8"/>
  <c r="BA383" i="8"/>
  <c r="BJ383" i="8"/>
  <c r="AT383" i="8"/>
  <c r="BC383" i="8"/>
  <c r="BK383" i="8"/>
  <c r="AU383" i="8"/>
  <c r="BD383" i="8"/>
  <c r="BL383" i="8"/>
  <c r="AV383" i="8"/>
  <c r="BE383" i="8"/>
  <c r="AW383" i="8"/>
  <c r="BF383" i="8"/>
  <c r="AX383" i="8"/>
  <c r="BG383" i="8"/>
  <c r="BH383" i="8"/>
  <c r="AY383" i="8"/>
  <c r="AX369" i="8"/>
  <c r="BG369" i="8"/>
  <c r="AR369" i="8"/>
  <c r="AZ369" i="8"/>
  <c r="BI369" i="8"/>
  <c r="AT369" i="8"/>
  <c r="BC369" i="8"/>
  <c r="BK369" i="8"/>
  <c r="AU369" i="8"/>
  <c r="BD369" i="8"/>
  <c r="BL369" i="8"/>
  <c r="AV369" i="8"/>
  <c r="BE369" i="8"/>
  <c r="AW369" i="8"/>
  <c r="AY369" i="8"/>
  <c r="BA369" i="8"/>
  <c r="BF369" i="8"/>
  <c r="BH369" i="8"/>
  <c r="BJ369" i="8"/>
  <c r="AS369" i="8"/>
  <c r="AR342" i="8"/>
  <c r="AZ342" i="8"/>
  <c r="BI342" i="8"/>
  <c r="AS342" i="8"/>
  <c r="BA342" i="8"/>
  <c r="BJ342" i="8"/>
  <c r="AT342" i="8"/>
  <c r="BC342" i="8"/>
  <c r="BK342" i="8"/>
  <c r="AV342" i="8"/>
  <c r="BE342" i="8"/>
  <c r="AW342" i="8"/>
  <c r="BF342" i="8"/>
  <c r="AX342" i="8"/>
  <c r="BG342" i="8"/>
  <c r="BD342" i="8"/>
  <c r="BH342" i="8"/>
  <c r="BL342" i="8"/>
  <c r="AU342" i="8"/>
  <c r="AY342" i="8"/>
  <c r="AV334" i="8"/>
  <c r="BE334" i="8"/>
  <c r="AW334" i="8"/>
  <c r="BF334" i="8"/>
  <c r="AX334" i="8"/>
  <c r="BG334" i="8"/>
  <c r="AY334" i="8"/>
  <c r="BH334" i="8"/>
  <c r="AR334" i="8"/>
  <c r="AZ334" i="8"/>
  <c r="BI334" i="8"/>
  <c r="AS334" i="8"/>
  <c r="BA334" i="8"/>
  <c r="BJ334" i="8"/>
  <c r="AT334" i="8"/>
  <c r="BC334" i="8"/>
  <c r="BK334" i="8"/>
  <c r="AU334" i="8"/>
  <c r="BD334" i="8"/>
  <c r="BL334" i="8"/>
  <c r="AU327" i="8"/>
  <c r="BD327" i="8"/>
  <c r="BL327" i="8"/>
  <c r="AV327" i="8"/>
  <c r="BE327" i="8"/>
  <c r="AW327" i="8"/>
  <c r="BF327" i="8"/>
  <c r="AX327" i="8"/>
  <c r="BG327" i="8"/>
  <c r="AY327" i="8"/>
  <c r="BH327" i="8"/>
  <c r="AR327" i="8"/>
  <c r="AZ327" i="8"/>
  <c r="BI327" i="8"/>
  <c r="AS327" i="8"/>
  <c r="BA327" i="8"/>
  <c r="BJ327" i="8"/>
  <c r="AT327" i="8"/>
  <c r="BC327" i="8"/>
  <c r="BK327" i="8"/>
  <c r="AU319" i="8"/>
  <c r="BD319" i="8"/>
  <c r="BL319" i="8"/>
  <c r="AW319" i="8"/>
  <c r="BF319" i="8"/>
  <c r="AX319" i="8"/>
  <c r="BG319" i="8"/>
  <c r="AR319" i="8"/>
  <c r="AZ319" i="8"/>
  <c r="BI319" i="8"/>
  <c r="AS319" i="8"/>
  <c r="BA319" i="8"/>
  <c r="BJ319" i="8"/>
  <c r="AT319" i="8"/>
  <c r="AV319" i="8"/>
  <c r="AY319" i="8"/>
  <c r="BC319" i="8"/>
  <c r="BE319" i="8"/>
  <c r="BH319" i="8"/>
  <c r="BK319" i="8"/>
  <c r="AV310" i="8"/>
  <c r="BE310" i="8"/>
  <c r="AX310" i="8"/>
  <c r="BG310" i="8"/>
  <c r="AY310" i="8"/>
  <c r="BH310" i="8"/>
  <c r="AS310" i="8"/>
  <c r="BA310" i="8"/>
  <c r="BJ310" i="8"/>
  <c r="AT310" i="8"/>
  <c r="BC310" i="8"/>
  <c r="BK310" i="8"/>
  <c r="BF310" i="8"/>
  <c r="BI310" i="8"/>
  <c r="BL310" i="8"/>
  <c r="AR310" i="8"/>
  <c r="AU310" i="8"/>
  <c r="AW310" i="8"/>
  <c r="AZ310" i="8"/>
  <c r="BD310" i="8"/>
  <c r="AR302" i="8"/>
  <c r="AZ302" i="8"/>
  <c r="BI302" i="8"/>
  <c r="AT302" i="8"/>
  <c r="BC302" i="8"/>
  <c r="BK302" i="8"/>
  <c r="AU302" i="8"/>
  <c r="BD302" i="8"/>
  <c r="BL302" i="8"/>
  <c r="AW302" i="8"/>
  <c r="BF302" i="8"/>
  <c r="AX302" i="8"/>
  <c r="BG302" i="8"/>
  <c r="AY302" i="8"/>
  <c r="BA302" i="8"/>
  <c r="BE302" i="8"/>
  <c r="BH302" i="8"/>
  <c r="BJ302" i="8"/>
  <c r="AS302" i="8"/>
  <c r="AV302" i="8"/>
  <c r="AR276" i="8"/>
  <c r="AZ276" i="8"/>
  <c r="BI276" i="8"/>
  <c r="AT276" i="8"/>
  <c r="BC276" i="8"/>
  <c r="BK276" i="8"/>
  <c r="AW276" i="8"/>
  <c r="BF276" i="8"/>
  <c r="AU276" i="8"/>
  <c r="BH276" i="8"/>
  <c r="AV276" i="8"/>
  <c r="BJ276" i="8"/>
  <c r="AX276" i="8"/>
  <c r="BL276" i="8"/>
  <c r="AY276" i="8"/>
  <c r="BA276" i="8"/>
  <c r="BD276" i="8"/>
  <c r="BE276" i="8"/>
  <c r="AS276" i="8"/>
  <c r="BG276" i="8"/>
  <c r="AT289" i="8"/>
  <c r="BC289" i="8"/>
  <c r="BK289" i="8"/>
  <c r="AV289" i="8"/>
  <c r="BE289" i="8"/>
  <c r="AW289" i="8"/>
  <c r="BF289" i="8"/>
  <c r="AY289" i="8"/>
  <c r="BH289" i="8"/>
  <c r="AR289" i="8"/>
  <c r="AZ289" i="8"/>
  <c r="BI289" i="8"/>
  <c r="BJ289" i="8"/>
  <c r="BL289" i="8"/>
  <c r="AS289" i="8"/>
  <c r="AU289" i="8"/>
  <c r="AX289" i="8"/>
  <c r="BA289" i="8"/>
  <c r="BD289" i="8"/>
  <c r="BG289" i="8"/>
  <c r="AX282" i="8"/>
  <c r="BG282" i="8"/>
  <c r="AS282" i="8"/>
  <c r="BC282" i="8"/>
  <c r="BL282" i="8"/>
  <c r="AT282" i="8"/>
  <c r="BD282" i="8"/>
  <c r="AU282" i="8"/>
  <c r="BE282" i="8"/>
  <c r="AV282" i="8"/>
  <c r="BF282" i="8"/>
  <c r="AW282" i="8"/>
  <c r="BH282" i="8"/>
  <c r="AY282" i="8"/>
  <c r="BI282" i="8"/>
  <c r="AZ282" i="8"/>
  <c r="BJ282" i="8"/>
  <c r="BA282" i="8"/>
  <c r="BK282" i="8"/>
  <c r="AR282" i="8"/>
  <c r="AX271" i="8"/>
  <c r="BG271" i="8"/>
  <c r="AR271" i="8"/>
  <c r="AZ271" i="8"/>
  <c r="BI271" i="8"/>
  <c r="AT271" i="8"/>
  <c r="BC271" i="8"/>
  <c r="AU271" i="8"/>
  <c r="BD271" i="8"/>
  <c r="BL271" i="8"/>
  <c r="AV271" i="8"/>
  <c r="BE271" i="8"/>
  <c r="BF271" i="8"/>
  <c r="BH271" i="8"/>
  <c r="BJ271" i="8"/>
  <c r="BK271" i="8"/>
  <c r="AS271" i="8"/>
  <c r="AW271" i="8"/>
  <c r="AY271" i="8"/>
  <c r="BA271" i="8"/>
  <c r="AS261" i="8"/>
  <c r="BA261" i="8"/>
  <c r="BJ261" i="8"/>
  <c r="AU261" i="8"/>
  <c r="BD261" i="8"/>
  <c r="BL261" i="8"/>
  <c r="AW261" i="8"/>
  <c r="BF261" i="8"/>
  <c r="AX261" i="8"/>
  <c r="BG261" i="8"/>
  <c r="AY261" i="8"/>
  <c r="BH261" i="8"/>
  <c r="AT261" i="8"/>
  <c r="AV261" i="8"/>
  <c r="AZ261" i="8"/>
  <c r="BC261" i="8"/>
  <c r="BE261" i="8"/>
  <c r="BI261" i="8"/>
  <c r="BK261" i="8"/>
  <c r="AR261" i="8"/>
  <c r="AT495" i="8"/>
  <c r="BC495" i="8"/>
  <c r="BK495" i="8"/>
  <c r="AU495" i="8"/>
  <c r="BD495" i="8"/>
  <c r="BL495" i="8"/>
  <c r="AX495" i="8"/>
  <c r="BG495" i="8"/>
  <c r="AY495" i="8"/>
  <c r="BH495" i="8"/>
  <c r="BE495" i="8"/>
  <c r="BF495" i="8"/>
  <c r="AR495" i="8"/>
  <c r="BI495" i="8"/>
  <c r="AS495" i="8"/>
  <c r="BJ495" i="8"/>
  <c r="AV495" i="8"/>
  <c r="AW495" i="8"/>
  <c r="AZ495" i="8"/>
  <c r="BA495" i="8"/>
  <c r="AT239" i="8"/>
  <c r="BC239" i="8"/>
  <c r="BK239" i="8"/>
  <c r="AV239" i="8"/>
  <c r="BE239" i="8"/>
  <c r="AX239" i="8"/>
  <c r="BG239" i="8"/>
  <c r="AY239" i="8"/>
  <c r="BH239" i="8"/>
  <c r="AR239" i="8"/>
  <c r="AZ239" i="8"/>
  <c r="BI239" i="8"/>
  <c r="AU239" i="8"/>
  <c r="AW239" i="8"/>
  <c r="BA239" i="8"/>
  <c r="BD239" i="8"/>
  <c r="BF239" i="8"/>
  <c r="BJ239" i="8"/>
  <c r="BL239" i="8"/>
  <c r="AS239" i="8"/>
  <c r="AR243" i="8"/>
  <c r="AZ243" i="8"/>
  <c r="BI243" i="8"/>
  <c r="AT243" i="8"/>
  <c r="BC243" i="8"/>
  <c r="BK243" i="8"/>
  <c r="AV243" i="8"/>
  <c r="BE243" i="8"/>
  <c r="AW243" i="8"/>
  <c r="BF243" i="8"/>
  <c r="AX243" i="8"/>
  <c r="BG243" i="8"/>
  <c r="AY243" i="8"/>
  <c r="BA243" i="8"/>
  <c r="BD243" i="8"/>
  <c r="BH243" i="8"/>
  <c r="BJ243" i="8"/>
  <c r="BL243" i="8"/>
  <c r="AS243" i="8"/>
  <c r="AU243" i="8"/>
  <c r="AY494" i="8"/>
  <c r="BH494" i="8"/>
  <c r="AR494" i="8"/>
  <c r="AZ494" i="8"/>
  <c r="BI494" i="8"/>
  <c r="AU494" i="8"/>
  <c r="BD494" i="8"/>
  <c r="BL494" i="8"/>
  <c r="AV494" i="8"/>
  <c r="BE494" i="8"/>
  <c r="AS494" i="8"/>
  <c r="BJ494" i="8"/>
  <c r="AT494" i="8"/>
  <c r="BK494" i="8"/>
  <c r="AW494" i="8"/>
  <c r="AX494" i="8"/>
  <c r="BA494" i="8"/>
  <c r="BC494" i="8"/>
  <c r="BF494" i="8"/>
  <c r="BG494" i="8"/>
  <c r="AU224" i="8"/>
  <c r="BD224" i="8"/>
  <c r="BL224" i="8"/>
  <c r="AW224" i="8"/>
  <c r="BF224" i="8"/>
  <c r="AX224" i="8"/>
  <c r="BG224" i="8"/>
  <c r="AR224" i="8"/>
  <c r="AZ224" i="8"/>
  <c r="BI224" i="8"/>
  <c r="AS224" i="8"/>
  <c r="BA224" i="8"/>
  <c r="BJ224" i="8"/>
  <c r="AY224" i="8"/>
  <c r="BE224" i="8"/>
  <c r="BK224" i="8"/>
  <c r="AT224" i="8"/>
  <c r="BC224" i="8"/>
  <c r="BH224" i="8"/>
  <c r="AV224" i="8"/>
  <c r="AW218" i="8"/>
  <c r="BF218" i="8"/>
  <c r="AY218" i="8"/>
  <c r="BH218" i="8"/>
  <c r="AR218" i="8"/>
  <c r="AZ218" i="8"/>
  <c r="BI218" i="8"/>
  <c r="AT218" i="8"/>
  <c r="BC218" i="8"/>
  <c r="BK218" i="8"/>
  <c r="AU218" i="8"/>
  <c r="BD218" i="8"/>
  <c r="BL218" i="8"/>
  <c r="AS218" i="8"/>
  <c r="AX218" i="8"/>
  <c r="BE218" i="8"/>
  <c r="BG218" i="8"/>
  <c r="BJ218" i="8"/>
  <c r="AV218" i="8"/>
  <c r="BA218" i="8"/>
  <c r="AX216" i="8"/>
  <c r="BG216" i="8"/>
  <c r="AR216" i="8"/>
  <c r="AZ216" i="8"/>
  <c r="BI216" i="8"/>
  <c r="AS216" i="8"/>
  <c r="BA216" i="8"/>
  <c r="BJ216" i="8"/>
  <c r="AU216" i="8"/>
  <c r="BD216" i="8"/>
  <c r="BL216" i="8"/>
  <c r="AV216" i="8"/>
  <c r="BE216" i="8"/>
  <c r="AW216" i="8"/>
  <c r="BC216" i="8"/>
  <c r="BF216" i="8"/>
  <c r="BH216" i="8"/>
  <c r="AT216" i="8"/>
  <c r="AY216" i="8"/>
  <c r="BK216" i="8"/>
  <c r="AY201" i="8"/>
  <c r="BH201" i="8"/>
  <c r="AS201" i="8"/>
  <c r="BA201" i="8"/>
  <c r="BJ201" i="8"/>
  <c r="AT201" i="8"/>
  <c r="BC201" i="8"/>
  <c r="BK201" i="8"/>
  <c r="AV201" i="8"/>
  <c r="BE201" i="8"/>
  <c r="AW201" i="8"/>
  <c r="BF201" i="8"/>
  <c r="AX201" i="8"/>
  <c r="BD201" i="8"/>
  <c r="BI201" i="8"/>
  <c r="BL201" i="8"/>
  <c r="AR201" i="8"/>
  <c r="AU201" i="8"/>
  <c r="AZ201" i="8"/>
  <c r="BG201" i="8"/>
  <c r="AT197" i="8"/>
  <c r="BC197" i="8"/>
  <c r="BK197" i="8"/>
  <c r="AV197" i="8"/>
  <c r="BE197" i="8"/>
  <c r="AW197" i="8"/>
  <c r="BF197" i="8"/>
  <c r="AY197" i="8"/>
  <c r="BH197" i="8"/>
  <c r="AR197" i="8"/>
  <c r="AZ197" i="8"/>
  <c r="BI197" i="8"/>
  <c r="AU197" i="8"/>
  <c r="BA197" i="8"/>
  <c r="BG197" i="8"/>
  <c r="BJ197" i="8"/>
  <c r="BL197" i="8"/>
  <c r="AS197" i="8"/>
  <c r="AX197" i="8"/>
  <c r="BD197" i="8"/>
  <c r="AT190" i="8"/>
  <c r="BC190" i="8"/>
  <c r="BK190" i="8"/>
  <c r="AV190" i="8"/>
  <c r="BE190" i="8"/>
  <c r="AX190" i="8"/>
  <c r="BG190" i="8"/>
  <c r="AY190" i="8"/>
  <c r="BH190" i="8"/>
  <c r="AR190" i="8"/>
  <c r="AZ190" i="8"/>
  <c r="BI190" i="8"/>
  <c r="BF190" i="8"/>
  <c r="BL190" i="8"/>
  <c r="AS190" i="8"/>
  <c r="AW190" i="8"/>
  <c r="BA190" i="8"/>
  <c r="AU190" i="8"/>
  <c r="BJ190" i="8"/>
  <c r="BD190" i="8"/>
  <c r="AX182" i="8"/>
  <c r="BG182" i="8"/>
  <c r="AR182" i="8"/>
  <c r="AZ182" i="8"/>
  <c r="BI182" i="8"/>
  <c r="AT182" i="8"/>
  <c r="BC182" i="8"/>
  <c r="BK182" i="8"/>
  <c r="AU182" i="8"/>
  <c r="BD182" i="8"/>
  <c r="BL182" i="8"/>
  <c r="AV182" i="8"/>
  <c r="BE182" i="8"/>
  <c r="AY182" i="8"/>
  <c r="BF182" i="8"/>
  <c r="BH182" i="8"/>
  <c r="AS182" i="8"/>
  <c r="BA182" i="8"/>
  <c r="BJ182" i="8"/>
  <c r="AW182" i="8"/>
  <c r="AW173" i="8"/>
  <c r="BF173" i="8"/>
  <c r="AY173" i="8"/>
  <c r="BH173" i="8"/>
  <c r="AS173" i="8"/>
  <c r="BA173" i="8"/>
  <c r="BJ173" i="8"/>
  <c r="AT173" i="8"/>
  <c r="BC173" i="8"/>
  <c r="BK173" i="8"/>
  <c r="AU173" i="8"/>
  <c r="BD173" i="8"/>
  <c r="BL173" i="8"/>
  <c r="AR173" i="8"/>
  <c r="AV173" i="8"/>
  <c r="AX173" i="8"/>
  <c r="AZ173" i="8"/>
  <c r="BE173" i="8"/>
  <c r="BG173" i="8"/>
  <c r="BI173" i="8"/>
  <c r="AX169" i="8"/>
  <c r="BG169" i="8"/>
  <c r="AR169" i="8"/>
  <c r="AZ169" i="8"/>
  <c r="BI169" i="8"/>
  <c r="AT169" i="8"/>
  <c r="BC169" i="8"/>
  <c r="BK169" i="8"/>
  <c r="AU169" i="8"/>
  <c r="BD169" i="8"/>
  <c r="BL169" i="8"/>
  <c r="AV169" i="8"/>
  <c r="BE169" i="8"/>
  <c r="BH169" i="8"/>
  <c r="BJ169" i="8"/>
  <c r="AS169" i="8"/>
  <c r="AW169" i="8"/>
  <c r="AY169" i="8"/>
  <c r="BA169" i="8"/>
  <c r="BF169" i="8"/>
  <c r="AT490" i="8"/>
  <c r="BC490" i="8"/>
  <c r="BK490" i="8"/>
  <c r="AU490" i="8"/>
  <c r="BD490" i="8"/>
  <c r="BL490" i="8"/>
  <c r="AX490" i="8"/>
  <c r="BG490" i="8"/>
  <c r="AY490" i="8"/>
  <c r="BH490" i="8"/>
  <c r="AW490" i="8"/>
  <c r="AZ490" i="8"/>
  <c r="BF490" i="8"/>
  <c r="AR490" i="8"/>
  <c r="BI490" i="8"/>
  <c r="BA490" i="8"/>
  <c r="BE490" i="8"/>
  <c r="BJ490" i="8"/>
  <c r="AS490" i="8"/>
  <c r="AV490" i="8"/>
  <c r="AY154" i="8"/>
  <c r="BH154" i="8"/>
  <c r="AS154" i="8"/>
  <c r="BA154" i="8"/>
  <c r="BJ154" i="8"/>
  <c r="AU154" i="8"/>
  <c r="BD154" i="8"/>
  <c r="BL154" i="8"/>
  <c r="AV154" i="8"/>
  <c r="BE154" i="8"/>
  <c r="AW154" i="8"/>
  <c r="BF154" i="8"/>
  <c r="AR154" i="8"/>
  <c r="AT154" i="8"/>
  <c r="AX154" i="8"/>
  <c r="AZ154" i="8"/>
  <c r="BC154" i="8"/>
  <c r="BG154" i="8"/>
  <c r="BI154" i="8"/>
  <c r="BK154" i="8"/>
  <c r="AR148" i="8"/>
  <c r="AZ148" i="8"/>
  <c r="BI148" i="8"/>
  <c r="AT148" i="8"/>
  <c r="BC148" i="8"/>
  <c r="BK148" i="8"/>
  <c r="AV148" i="8"/>
  <c r="BE148" i="8"/>
  <c r="AW148" i="8"/>
  <c r="BF148" i="8"/>
  <c r="AX148" i="8"/>
  <c r="BG148" i="8"/>
  <c r="BH148" i="8"/>
  <c r="BJ148" i="8"/>
  <c r="BL148" i="8"/>
  <c r="AS148" i="8"/>
  <c r="AU148" i="8"/>
  <c r="AY148" i="8"/>
  <c r="BA148" i="8"/>
  <c r="BD148" i="8"/>
  <c r="AU140" i="8"/>
  <c r="BD140" i="8"/>
  <c r="BL140" i="8"/>
  <c r="AW140" i="8"/>
  <c r="BF140" i="8"/>
  <c r="AT140" i="8"/>
  <c r="BG140" i="8"/>
  <c r="AV140" i="8"/>
  <c r="BH140" i="8"/>
  <c r="AX140" i="8"/>
  <c r="BI140" i="8"/>
  <c r="AZ140" i="8"/>
  <c r="BK140" i="8"/>
  <c r="BA140" i="8"/>
  <c r="AR140" i="8"/>
  <c r="BC140" i="8"/>
  <c r="AS140" i="8"/>
  <c r="AY140" i="8"/>
  <c r="BE140" i="8"/>
  <c r="BJ140" i="8"/>
  <c r="AV134" i="8"/>
  <c r="BE134" i="8"/>
  <c r="AX134" i="8"/>
  <c r="BG134" i="8"/>
  <c r="AR134" i="8"/>
  <c r="AZ134" i="8"/>
  <c r="BI134" i="8"/>
  <c r="AS134" i="8"/>
  <c r="BA134" i="8"/>
  <c r="BJ134" i="8"/>
  <c r="AT134" i="8"/>
  <c r="BC134" i="8"/>
  <c r="BK134" i="8"/>
  <c r="AU134" i="8"/>
  <c r="AW134" i="8"/>
  <c r="AY134" i="8"/>
  <c r="BD134" i="8"/>
  <c r="BF134" i="8"/>
  <c r="BH134" i="8"/>
  <c r="BL134" i="8"/>
  <c r="AX126" i="8"/>
  <c r="BG126" i="8"/>
  <c r="AR126" i="8"/>
  <c r="AZ126" i="8"/>
  <c r="BI126" i="8"/>
  <c r="AT126" i="8"/>
  <c r="BC126" i="8"/>
  <c r="BK126" i="8"/>
  <c r="AU126" i="8"/>
  <c r="BD126" i="8"/>
  <c r="BL126" i="8"/>
  <c r="AV126" i="8"/>
  <c r="BE126" i="8"/>
  <c r="BH126" i="8"/>
  <c r="BJ126" i="8"/>
  <c r="AS126" i="8"/>
  <c r="AW126" i="8"/>
  <c r="AY126" i="8"/>
  <c r="BA126" i="8"/>
  <c r="BF126" i="8"/>
  <c r="AV119" i="8"/>
  <c r="BE119" i="8"/>
  <c r="AX119" i="8"/>
  <c r="BG119" i="8"/>
  <c r="AR119" i="8"/>
  <c r="AZ119" i="8"/>
  <c r="BI119" i="8"/>
  <c r="AS119" i="8"/>
  <c r="BA119" i="8"/>
  <c r="BJ119" i="8"/>
  <c r="AT119" i="8"/>
  <c r="BC119" i="8"/>
  <c r="BK119" i="8"/>
  <c r="AY119" i="8"/>
  <c r="BD119" i="8"/>
  <c r="BF119" i="8"/>
  <c r="BH119" i="8"/>
  <c r="BL119" i="8"/>
  <c r="AU119" i="8"/>
  <c r="AW119" i="8"/>
  <c r="AV116" i="8"/>
  <c r="BE116" i="8"/>
  <c r="AU116" i="8"/>
  <c r="BF116" i="8"/>
  <c r="AX116" i="8"/>
  <c r="BH116" i="8"/>
  <c r="AZ116" i="8"/>
  <c r="BJ116" i="8"/>
  <c r="AR116" i="8"/>
  <c r="BA116" i="8"/>
  <c r="BK116" i="8"/>
  <c r="AS116" i="8"/>
  <c r="BC116" i="8"/>
  <c r="BL116" i="8"/>
  <c r="AT116" i="8"/>
  <c r="AW116" i="8"/>
  <c r="AY116" i="8"/>
  <c r="BD116" i="8"/>
  <c r="BG116" i="8"/>
  <c r="BI116" i="8"/>
  <c r="AU103" i="8"/>
  <c r="BD103" i="8"/>
  <c r="BL103" i="8"/>
  <c r="AV103" i="8"/>
  <c r="BE103" i="8"/>
  <c r="AW103" i="8"/>
  <c r="BF103" i="8"/>
  <c r="AY103" i="8"/>
  <c r="BH103" i="8"/>
  <c r="AZ103" i="8"/>
  <c r="BC103" i="8"/>
  <c r="AR103" i="8"/>
  <c r="BI103" i="8"/>
  <c r="AS103" i="8"/>
  <c r="BJ103" i="8"/>
  <c r="AT103" i="8"/>
  <c r="BK103" i="8"/>
  <c r="AX103" i="8"/>
  <c r="BA103" i="8"/>
  <c r="BG103" i="8"/>
  <c r="AY96" i="8"/>
  <c r="AR96" i="8"/>
  <c r="BA96" i="8"/>
  <c r="BJ96" i="8"/>
  <c r="AX96" i="8"/>
  <c r="BI96" i="8"/>
  <c r="AZ96" i="8"/>
  <c r="BK96" i="8"/>
  <c r="BC96" i="8"/>
  <c r="BL96" i="8"/>
  <c r="AS96" i="8"/>
  <c r="BD96" i="8"/>
  <c r="AT96" i="8"/>
  <c r="BE96" i="8"/>
  <c r="AU96" i="8"/>
  <c r="BF96" i="8"/>
  <c r="AV96" i="8"/>
  <c r="BG96" i="8"/>
  <c r="AW96" i="8"/>
  <c r="BH96" i="8"/>
  <c r="AS91" i="8"/>
  <c r="BA91" i="8"/>
  <c r="BJ91" i="8"/>
  <c r="AV91" i="8"/>
  <c r="BE91" i="8"/>
  <c r="AY91" i="8"/>
  <c r="BK91" i="8"/>
  <c r="AT91" i="8"/>
  <c r="BG91" i="8"/>
  <c r="AU91" i="8"/>
  <c r="BH91" i="8"/>
  <c r="AW91" i="8"/>
  <c r="BI91" i="8"/>
  <c r="AX91" i="8"/>
  <c r="BL91" i="8"/>
  <c r="AZ91" i="8"/>
  <c r="BC91" i="8"/>
  <c r="BD91" i="8"/>
  <c r="AR91" i="8"/>
  <c r="BF91" i="8"/>
  <c r="AU83" i="8"/>
  <c r="BD83" i="8"/>
  <c r="BL83" i="8"/>
  <c r="AV83" i="8"/>
  <c r="BE83" i="8"/>
  <c r="AX83" i="8"/>
  <c r="BG83" i="8"/>
  <c r="AT83" i="8"/>
  <c r="BI83" i="8"/>
  <c r="AY83" i="8"/>
  <c r="BK83" i="8"/>
  <c r="AZ83" i="8"/>
  <c r="BC83" i="8"/>
  <c r="BH83" i="8"/>
  <c r="BJ83" i="8"/>
  <c r="AR83" i="8"/>
  <c r="AS83" i="8"/>
  <c r="AW83" i="8"/>
  <c r="BA83" i="8"/>
  <c r="BF83" i="8"/>
  <c r="AW75" i="8"/>
  <c r="BF75" i="8"/>
  <c r="AX75" i="8"/>
  <c r="BG75" i="8"/>
  <c r="AR75" i="8"/>
  <c r="AZ75" i="8"/>
  <c r="BI75" i="8"/>
  <c r="BD75" i="8"/>
  <c r="AT75" i="8"/>
  <c r="BH75" i="8"/>
  <c r="AU75" i="8"/>
  <c r="BJ75" i="8"/>
  <c r="AY75" i="8"/>
  <c r="BL75" i="8"/>
  <c r="BA75" i="8"/>
  <c r="AV75" i="8"/>
  <c r="BC75" i="8"/>
  <c r="BE75" i="8"/>
  <c r="BK75" i="8"/>
  <c r="AS75" i="8"/>
  <c r="AR781" i="8"/>
  <c r="AZ781" i="8"/>
  <c r="BI781" i="8"/>
  <c r="AS781" i="8"/>
  <c r="BA781" i="8"/>
  <c r="BJ781" i="8"/>
  <c r="AT781" i="8"/>
  <c r="BC781" i="8"/>
  <c r="BK781" i="8"/>
  <c r="AU781" i="8"/>
  <c r="BD781" i="8"/>
  <c r="BL781" i="8"/>
  <c r="AV781" i="8"/>
  <c r="BE781" i="8"/>
  <c r="AW781" i="8"/>
  <c r="BF781" i="8"/>
  <c r="AX781" i="8"/>
  <c r="BG781" i="8"/>
  <c r="AY781" i="8"/>
  <c r="BH781" i="8"/>
  <c r="AS60" i="8"/>
  <c r="BA60" i="8"/>
  <c r="BJ60" i="8"/>
  <c r="AW60" i="8"/>
  <c r="BF60" i="8"/>
  <c r="AU60" i="8"/>
  <c r="BG60" i="8"/>
  <c r="AV60" i="8"/>
  <c r="BH60" i="8"/>
  <c r="AY60" i="8"/>
  <c r="BK60" i="8"/>
  <c r="BE60" i="8"/>
  <c r="BI60" i="8"/>
  <c r="AT60" i="8"/>
  <c r="AX60" i="8"/>
  <c r="AZ60" i="8"/>
  <c r="BD60" i="8"/>
  <c r="BL60" i="8"/>
  <c r="AR60" i="8"/>
  <c r="BC60" i="8"/>
  <c r="AT54" i="8"/>
  <c r="BC54" i="8"/>
  <c r="BK54" i="8"/>
  <c r="AV54" i="8"/>
  <c r="BE54" i="8"/>
  <c r="AX54" i="8"/>
  <c r="BG54" i="8"/>
  <c r="AY54" i="8"/>
  <c r="BL54" i="8"/>
  <c r="AZ54" i="8"/>
  <c r="BD54" i="8"/>
  <c r="AU54" i="8"/>
  <c r="AW54" i="8"/>
  <c r="BF54" i="8"/>
  <c r="AS54" i="8"/>
  <c r="BA54" i="8"/>
  <c r="BI54" i="8"/>
  <c r="BJ54" i="8"/>
  <c r="AR54" i="8"/>
  <c r="BH54" i="8"/>
  <c r="AX46" i="8"/>
  <c r="BG46" i="8"/>
  <c r="AR46" i="8"/>
  <c r="AZ46" i="8"/>
  <c r="BI46" i="8"/>
  <c r="AS46" i="8"/>
  <c r="BA46" i="8"/>
  <c r="BJ46" i="8"/>
  <c r="AT46" i="8"/>
  <c r="BF46" i="8"/>
  <c r="AV46" i="8"/>
  <c r="BK46" i="8"/>
  <c r="AY46" i="8"/>
  <c r="BE46" i="8"/>
  <c r="BH46" i="8"/>
  <c r="AW46" i="8"/>
  <c r="BC46" i="8"/>
  <c r="BL46" i="8"/>
  <c r="BD46" i="8"/>
  <c r="AU46" i="8"/>
  <c r="AR40" i="8"/>
  <c r="AZ40" i="8"/>
  <c r="BI40" i="8"/>
  <c r="AT40" i="8"/>
  <c r="BC40" i="8"/>
  <c r="BK40" i="8"/>
  <c r="AU40" i="8"/>
  <c r="BD40" i="8"/>
  <c r="BL40" i="8"/>
  <c r="AY40" i="8"/>
  <c r="BE40" i="8"/>
  <c r="AS40" i="8"/>
  <c r="BG40" i="8"/>
  <c r="BF40" i="8"/>
  <c r="BH40" i="8"/>
  <c r="AV40" i="8"/>
  <c r="AX40" i="8"/>
  <c r="BA40" i="8"/>
  <c r="BJ40" i="8"/>
  <c r="AW40" i="8"/>
  <c r="AX387" i="8"/>
  <c r="BG387" i="8"/>
  <c r="AY387" i="8"/>
  <c r="BH387" i="8"/>
  <c r="AR387" i="8"/>
  <c r="AZ387" i="8"/>
  <c r="BI387" i="8"/>
  <c r="AS387" i="8"/>
  <c r="BA387" i="8"/>
  <c r="BJ387" i="8"/>
  <c r="AT387" i="8"/>
  <c r="BC387" i="8"/>
  <c r="BK387" i="8"/>
  <c r="AU387" i="8"/>
  <c r="BD387" i="8"/>
  <c r="BL387" i="8"/>
  <c r="AV387" i="8"/>
  <c r="BE387" i="8"/>
  <c r="BF387" i="8"/>
  <c r="AW387" i="8"/>
  <c r="AX380" i="8"/>
  <c r="BG380" i="8"/>
  <c r="AY380" i="8"/>
  <c r="BH380" i="8"/>
  <c r="AR380" i="8"/>
  <c r="AZ380" i="8"/>
  <c r="BI380" i="8"/>
  <c r="AS380" i="8"/>
  <c r="BA380" i="8"/>
  <c r="BJ380" i="8"/>
  <c r="AT380" i="8"/>
  <c r="BC380" i="8"/>
  <c r="BK380" i="8"/>
  <c r="AU380" i="8"/>
  <c r="BD380" i="8"/>
  <c r="BL380" i="8"/>
  <c r="AV380" i="8"/>
  <c r="BE380" i="8"/>
  <c r="BF380" i="8"/>
  <c r="AW380" i="8"/>
  <c r="AY378" i="8"/>
  <c r="BH378" i="8"/>
  <c r="AR378" i="8"/>
  <c r="AZ378" i="8"/>
  <c r="BI378" i="8"/>
  <c r="AS378" i="8"/>
  <c r="BA378" i="8"/>
  <c r="BJ378" i="8"/>
  <c r="AT378" i="8"/>
  <c r="BC378" i="8"/>
  <c r="BK378" i="8"/>
  <c r="AU378" i="8"/>
  <c r="BD378" i="8"/>
  <c r="BL378" i="8"/>
  <c r="AV378" i="8"/>
  <c r="BE378" i="8"/>
  <c r="AW378" i="8"/>
  <c r="BF378" i="8"/>
  <c r="AX378" i="8"/>
  <c r="BG378" i="8"/>
  <c r="AY367" i="8"/>
  <c r="BH367" i="8"/>
  <c r="AS367" i="8"/>
  <c r="BA367" i="8"/>
  <c r="BJ367" i="8"/>
  <c r="AU367" i="8"/>
  <c r="BD367" i="8"/>
  <c r="BL367" i="8"/>
  <c r="AV367" i="8"/>
  <c r="BE367" i="8"/>
  <c r="AW367" i="8"/>
  <c r="BF367" i="8"/>
  <c r="AT367" i="8"/>
  <c r="AX367" i="8"/>
  <c r="AZ367" i="8"/>
  <c r="BC367" i="8"/>
  <c r="BG367" i="8"/>
  <c r="BI367" i="8"/>
  <c r="BK367" i="8"/>
  <c r="AR367" i="8"/>
  <c r="AV341" i="8"/>
  <c r="BE341" i="8"/>
  <c r="AW341" i="8"/>
  <c r="BF341" i="8"/>
  <c r="AX341" i="8"/>
  <c r="BG341" i="8"/>
  <c r="AR341" i="8"/>
  <c r="AZ341" i="8"/>
  <c r="BI341" i="8"/>
  <c r="AS341" i="8"/>
  <c r="BA341" i="8"/>
  <c r="BJ341" i="8"/>
  <c r="AT341" i="8"/>
  <c r="BC341" i="8"/>
  <c r="BK341" i="8"/>
  <c r="AU341" i="8"/>
  <c r="AY341" i="8"/>
  <c r="BD341" i="8"/>
  <c r="BH341" i="8"/>
  <c r="BL341" i="8"/>
  <c r="AY311" i="8"/>
  <c r="BH311" i="8"/>
  <c r="AS311" i="8"/>
  <c r="BA311" i="8"/>
  <c r="BJ311" i="8"/>
  <c r="AT311" i="8"/>
  <c r="BC311" i="8"/>
  <c r="BK311" i="8"/>
  <c r="AV311" i="8"/>
  <c r="BE311" i="8"/>
  <c r="AW311" i="8"/>
  <c r="BF311" i="8"/>
  <c r="BG311" i="8"/>
  <c r="BI311" i="8"/>
  <c r="BL311" i="8"/>
  <c r="AR311" i="8"/>
  <c r="AU311" i="8"/>
  <c r="AX311" i="8"/>
  <c r="AZ311" i="8"/>
  <c r="BD311" i="8"/>
  <c r="AR326" i="8"/>
  <c r="AZ326" i="8"/>
  <c r="BI326" i="8"/>
  <c r="AS326" i="8"/>
  <c r="BA326" i="8"/>
  <c r="BJ326" i="8"/>
  <c r="AT326" i="8"/>
  <c r="BC326" i="8"/>
  <c r="BK326" i="8"/>
  <c r="AU326" i="8"/>
  <c r="BD326" i="8"/>
  <c r="BL326" i="8"/>
  <c r="AV326" i="8"/>
  <c r="BE326" i="8"/>
  <c r="AW326" i="8"/>
  <c r="BF326" i="8"/>
  <c r="AX326" i="8"/>
  <c r="BG326" i="8"/>
  <c r="AY326" i="8"/>
  <c r="BH326" i="8"/>
  <c r="AR318" i="8"/>
  <c r="AZ318" i="8"/>
  <c r="BI318" i="8"/>
  <c r="AT318" i="8"/>
  <c r="BC318" i="8"/>
  <c r="BK318" i="8"/>
  <c r="AU318" i="8"/>
  <c r="BD318" i="8"/>
  <c r="BL318" i="8"/>
  <c r="AW318" i="8"/>
  <c r="BF318" i="8"/>
  <c r="AX318" i="8"/>
  <c r="BG318" i="8"/>
  <c r="AS318" i="8"/>
  <c r="AV318" i="8"/>
  <c r="AY318" i="8"/>
  <c r="BA318" i="8"/>
  <c r="BE318" i="8"/>
  <c r="BH318" i="8"/>
  <c r="BJ318" i="8"/>
  <c r="AR309" i="8"/>
  <c r="AZ309" i="8"/>
  <c r="BI309" i="8"/>
  <c r="AT309" i="8"/>
  <c r="BC309" i="8"/>
  <c r="BK309" i="8"/>
  <c r="AU309" i="8"/>
  <c r="BD309" i="8"/>
  <c r="BL309" i="8"/>
  <c r="AW309" i="8"/>
  <c r="BF309" i="8"/>
  <c r="AX309" i="8"/>
  <c r="BG309" i="8"/>
  <c r="BE309" i="8"/>
  <c r="BH309" i="8"/>
  <c r="BJ309" i="8"/>
  <c r="AS309" i="8"/>
  <c r="AV309" i="8"/>
  <c r="AY309" i="8"/>
  <c r="BA309" i="8"/>
  <c r="AV301" i="8"/>
  <c r="BE301" i="8"/>
  <c r="AX301" i="8"/>
  <c r="BG301" i="8"/>
  <c r="AY301" i="8"/>
  <c r="BH301" i="8"/>
  <c r="AS301" i="8"/>
  <c r="BA301" i="8"/>
  <c r="BJ301" i="8"/>
  <c r="AT301" i="8"/>
  <c r="BC301" i="8"/>
  <c r="BK301" i="8"/>
  <c r="AW301" i="8"/>
  <c r="AZ301" i="8"/>
  <c r="BD301" i="8"/>
  <c r="BF301" i="8"/>
  <c r="BI301" i="8"/>
  <c r="BL301" i="8"/>
  <c r="AR301" i="8"/>
  <c r="AU301" i="8"/>
  <c r="AU296" i="8"/>
  <c r="BD296" i="8"/>
  <c r="BL296" i="8"/>
  <c r="AW296" i="8"/>
  <c r="BF296" i="8"/>
  <c r="AX296" i="8"/>
  <c r="BG296" i="8"/>
  <c r="AR296" i="8"/>
  <c r="AZ296" i="8"/>
  <c r="BI296" i="8"/>
  <c r="AS296" i="8"/>
  <c r="BA296" i="8"/>
  <c r="BJ296" i="8"/>
  <c r="AT296" i="8"/>
  <c r="AV296" i="8"/>
  <c r="AY296" i="8"/>
  <c r="BC296" i="8"/>
  <c r="BE296" i="8"/>
  <c r="BH296" i="8"/>
  <c r="BK296" i="8"/>
  <c r="AY288" i="8"/>
  <c r="BH288" i="8"/>
  <c r="AR288" i="8"/>
  <c r="AZ288" i="8"/>
  <c r="BI288" i="8"/>
  <c r="AS288" i="8"/>
  <c r="BA288" i="8"/>
  <c r="BJ288" i="8"/>
  <c r="AT288" i="8"/>
  <c r="BC288" i="8"/>
  <c r="BK288" i="8"/>
  <c r="AV288" i="8"/>
  <c r="BE288" i="8"/>
  <c r="AW288" i="8"/>
  <c r="BF288" i="8"/>
  <c r="BG288" i="8"/>
  <c r="BL288" i="8"/>
  <c r="AU288" i="8"/>
  <c r="AX288" i="8"/>
  <c r="BD288" i="8"/>
  <c r="AU281" i="8"/>
  <c r="BD281" i="8"/>
  <c r="BL281" i="8"/>
  <c r="AW281" i="8"/>
  <c r="AT281" i="8"/>
  <c r="BF281" i="8"/>
  <c r="AV281" i="8"/>
  <c r="BG281" i="8"/>
  <c r="AX281" i="8"/>
  <c r="BH281" i="8"/>
  <c r="AY281" i="8"/>
  <c r="BI281" i="8"/>
  <c r="AZ281" i="8"/>
  <c r="BJ281" i="8"/>
  <c r="BA281" i="8"/>
  <c r="BK281" i="8"/>
  <c r="AR281" i="8"/>
  <c r="BC281" i="8"/>
  <c r="AS281" i="8"/>
  <c r="BE281" i="8"/>
  <c r="AT270" i="8"/>
  <c r="BC270" i="8"/>
  <c r="BK270" i="8"/>
  <c r="AV270" i="8"/>
  <c r="BE270" i="8"/>
  <c r="AX270" i="8"/>
  <c r="BG270" i="8"/>
  <c r="AY270" i="8"/>
  <c r="BH270" i="8"/>
  <c r="AR270" i="8"/>
  <c r="AZ270" i="8"/>
  <c r="BI270" i="8"/>
  <c r="BD270" i="8"/>
  <c r="BF270" i="8"/>
  <c r="BJ270" i="8"/>
  <c r="BL270" i="8"/>
  <c r="AS270" i="8"/>
  <c r="AU270" i="8"/>
  <c r="AW270" i="8"/>
  <c r="BA270" i="8"/>
  <c r="AX260" i="8"/>
  <c r="BG260" i="8"/>
  <c r="AR260" i="8"/>
  <c r="AZ260" i="8"/>
  <c r="BI260" i="8"/>
  <c r="AT260" i="8"/>
  <c r="BC260" i="8"/>
  <c r="BK260" i="8"/>
  <c r="AU260" i="8"/>
  <c r="BD260" i="8"/>
  <c r="BL260" i="8"/>
  <c r="AV260" i="8"/>
  <c r="BE260" i="8"/>
  <c r="AS260" i="8"/>
  <c r="AW260" i="8"/>
  <c r="AY260" i="8"/>
  <c r="BA260" i="8"/>
  <c r="BF260" i="8"/>
  <c r="BH260" i="8"/>
  <c r="BJ260" i="8"/>
  <c r="AV255" i="8"/>
  <c r="BE255" i="8"/>
  <c r="AX255" i="8"/>
  <c r="BG255" i="8"/>
  <c r="AR255" i="8"/>
  <c r="AZ255" i="8"/>
  <c r="BI255" i="8"/>
  <c r="AS255" i="8"/>
  <c r="BA255" i="8"/>
  <c r="BJ255" i="8"/>
  <c r="AT255" i="8"/>
  <c r="BC255" i="8"/>
  <c r="BK255" i="8"/>
  <c r="BL255" i="8"/>
  <c r="AU255" i="8"/>
  <c r="AW255" i="8"/>
  <c r="AY255" i="8"/>
  <c r="BD255" i="8"/>
  <c r="BF255" i="8"/>
  <c r="BH255" i="8"/>
  <c r="AV244" i="8"/>
  <c r="BE244" i="8"/>
  <c r="AX244" i="8"/>
  <c r="BG244" i="8"/>
  <c r="AR244" i="8"/>
  <c r="AZ244" i="8"/>
  <c r="BI244" i="8"/>
  <c r="AS244" i="8"/>
  <c r="BA244" i="8"/>
  <c r="BJ244" i="8"/>
  <c r="AT244" i="8"/>
  <c r="BC244" i="8"/>
  <c r="BK244" i="8"/>
  <c r="AY244" i="8"/>
  <c r="BD244" i="8"/>
  <c r="BF244" i="8"/>
  <c r="BH244" i="8"/>
  <c r="BL244" i="8"/>
  <c r="AU244" i="8"/>
  <c r="AW244" i="8"/>
  <c r="AX236" i="8"/>
  <c r="BG236" i="8"/>
  <c r="AR236" i="8"/>
  <c r="BA236" i="8"/>
  <c r="BK236" i="8"/>
  <c r="AT236" i="8"/>
  <c r="BD236" i="8"/>
  <c r="AV236" i="8"/>
  <c r="BF236" i="8"/>
  <c r="AW236" i="8"/>
  <c r="BH236" i="8"/>
  <c r="AY236" i="8"/>
  <c r="BI236" i="8"/>
  <c r="BJ236" i="8"/>
  <c r="BL236" i="8"/>
  <c r="AS236" i="8"/>
  <c r="AU236" i="8"/>
  <c r="AZ236" i="8"/>
  <c r="BC236" i="8"/>
  <c r="BE236" i="8"/>
  <c r="AR232" i="8"/>
  <c r="AZ232" i="8"/>
  <c r="BI232" i="8"/>
  <c r="AT232" i="8"/>
  <c r="BC232" i="8"/>
  <c r="BK232" i="8"/>
  <c r="AX232" i="8"/>
  <c r="BJ232" i="8"/>
  <c r="BA232" i="8"/>
  <c r="AS232" i="8"/>
  <c r="BE232" i="8"/>
  <c r="AU232" i="8"/>
  <c r="BF232" i="8"/>
  <c r="AV232" i="8"/>
  <c r="BG232" i="8"/>
  <c r="AW232" i="8"/>
  <c r="AY232" i="8"/>
  <c r="BD232" i="8"/>
  <c r="BH232" i="8"/>
  <c r="BL232" i="8"/>
  <c r="AT226" i="8"/>
  <c r="BC226" i="8"/>
  <c r="BK226" i="8"/>
  <c r="AV226" i="8"/>
  <c r="BE226" i="8"/>
  <c r="AW226" i="8"/>
  <c r="BF226" i="8"/>
  <c r="AY226" i="8"/>
  <c r="BH226" i="8"/>
  <c r="AR226" i="8"/>
  <c r="AZ226" i="8"/>
  <c r="BI226" i="8"/>
  <c r="BA226" i="8"/>
  <c r="BG226" i="8"/>
  <c r="BL226" i="8"/>
  <c r="AS226" i="8"/>
  <c r="AU226" i="8"/>
  <c r="AX226" i="8"/>
  <c r="BD226" i="8"/>
  <c r="BJ226" i="8"/>
  <c r="AT213" i="8"/>
  <c r="BC213" i="8"/>
  <c r="BK213" i="8"/>
  <c r="AV213" i="8"/>
  <c r="BE213" i="8"/>
  <c r="AW213" i="8"/>
  <c r="BF213" i="8"/>
  <c r="AY213" i="8"/>
  <c r="BH213" i="8"/>
  <c r="AR213" i="8"/>
  <c r="AZ213" i="8"/>
  <c r="BI213" i="8"/>
  <c r="BJ213" i="8"/>
  <c r="AS213" i="8"/>
  <c r="AX213" i="8"/>
  <c r="BA213" i="8"/>
  <c r="BD213" i="8"/>
  <c r="AU213" i="8"/>
  <c r="BG213" i="8"/>
  <c r="BL213" i="8"/>
  <c r="AX214" i="8"/>
  <c r="BG214" i="8"/>
  <c r="AR214" i="8"/>
  <c r="AZ214" i="8"/>
  <c r="BI214" i="8"/>
  <c r="AS214" i="8"/>
  <c r="BA214" i="8"/>
  <c r="BJ214" i="8"/>
  <c r="AU214" i="8"/>
  <c r="BD214" i="8"/>
  <c r="BL214" i="8"/>
  <c r="AV214" i="8"/>
  <c r="BE214" i="8"/>
  <c r="BK214" i="8"/>
  <c r="AT214" i="8"/>
  <c r="AY214" i="8"/>
  <c r="BC214" i="8"/>
  <c r="BF214" i="8"/>
  <c r="AW214" i="8"/>
  <c r="BH214" i="8"/>
  <c r="AR493" i="8"/>
  <c r="AU493" i="8"/>
  <c r="BD493" i="8"/>
  <c r="BL493" i="8"/>
  <c r="AV493" i="8"/>
  <c r="BE493" i="8"/>
  <c r="AY493" i="8"/>
  <c r="BH493" i="8"/>
  <c r="AZ493" i="8"/>
  <c r="BI493" i="8"/>
  <c r="AW493" i="8"/>
  <c r="AX493" i="8"/>
  <c r="BA493" i="8"/>
  <c r="BC493" i="8"/>
  <c r="BF493" i="8"/>
  <c r="BG493" i="8"/>
  <c r="AS493" i="8"/>
  <c r="BJ493" i="8"/>
  <c r="AT493" i="8"/>
  <c r="BK493" i="8"/>
  <c r="AR196" i="8"/>
  <c r="AZ196" i="8"/>
  <c r="BI196" i="8"/>
  <c r="AT196" i="8"/>
  <c r="BC196" i="8"/>
  <c r="BK196" i="8"/>
  <c r="AU196" i="8"/>
  <c r="BD196" i="8"/>
  <c r="BL196" i="8"/>
  <c r="AW196" i="8"/>
  <c r="BF196" i="8"/>
  <c r="AX196" i="8"/>
  <c r="BG196" i="8"/>
  <c r="AV196" i="8"/>
  <c r="BA196" i="8"/>
  <c r="BH196" i="8"/>
  <c r="BJ196" i="8"/>
  <c r="BE196" i="8"/>
  <c r="AS196" i="8"/>
  <c r="AY196" i="8"/>
  <c r="AX189" i="8"/>
  <c r="BG189" i="8"/>
  <c r="AR189" i="8"/>
  <c r="AZ189" i="8"/>
  <c r="BI189" i="8"/>
  <c r="AT189" i="8"/>
  <c r="BC189" i="8"/>
  <c r="BK189" i="8"/>
  <c r="AU189" i="8"/>
  <c r="BD189" i="8"/>
  <c r="BL189" i="8"/>
  <c r="AV189" i="8"/>
  <c r="BE189" i="8"/>
  <c r="BF189" i="8"/>
  <c r="BJ189" i="8"/>
  <c r="AW189" i="8"/>
  <c r="AY189" i="8"/>
  <c r="BA189" i="8"/>
  <c r="AS189" i="8"/>
  <c r="BH189" i="8"/>
  <c r="AT181" i="8"/>
  <c r="BC181" i="8"/>
  <c r="BK181" i="8"/>
  <c r="AV181" i="8"/>
  <c r="BE181" i="8"/>
  <c r="AX181" i="8"/>
  <c r="BG181" i="8"/>
  <c r="AY181" i="8"/>
  <c r="BH181" i="8"/>
  <c r="AR181" i="8"/>
  <c r="AZ181" i="8"/>
  <c r="BI181" i="8"/>
  <c r="AW181" i="8"/>
  <c r="BD181" i="8"/>
  <c r="BF181" i="8"/>
  <c r="BL181" i="8"/>
  <c r="AS181" i="8"/>
  <c r="AU181" i="8"/>
  <c r="BJ181" i="8"/>
  <c r="BA181" i="8"/>
  <c r="AX171" i="8"/>
  <c r="BG171" i="8"/>
  <c r="AR171" i="8"/>
  <c r="AZ171" i="8"/>
  <c r="BI171" i="8"/>
  <c r="AT171" i="8"/>
  <c r="BC171" i="8"/>
  <c r="BK171" i="8"/>
  <c r="AU171" i="8"/>
  <c r="BD171" i="8"/>
  <c r="BL171" i="8"/>
  <c r="AV171" i="8"/>
  <c r="BE171" i="8"/>
  <c r="BJ171" i="8"/>
  <c r="AS171" i="8"/>
  <c r="AW171" i="8"/>
  <c r="AY171" i="8"/>
  <c r="BA171" i="8"/>
  <c r="BF171" i="8"/>
  <c r="BH171" i="8"/>
  <c r="AY165" i="8"/>
  <c r="BH165" i="8"/>
  <c r="AS165" i="8"/>
  <c r="BA165" i="8"/>
  <c r="BJ165" i="8"/>
  <c r="AU165" i="8"/>
  <c r="BD165" i="8"/>
  <c r="BL165" i="8"/>
  <c r="AV165" i="8"/>
  <c r="BE165" i="8"/>
  <c r="AW165" i="8"/>
  <c r="BF165" i="8"/>
  <c r="BC165" i="8"/>
  <c r="BG165" i="8"/>
  <c r="BI165" i="8"/>
  <c r="BK165" i="8"/>
  <c r="AR165" i="8"/>
  <c r="AT165" i="8"/>
  <c r="AX165" i="8"/>
  <c r="AZ165" i="8"/>
  <c r="AS159" i="8"/>
  <c r="BA159" i="8"/>
  <c r="BJ159" i="8"/>
  <c r="AU159" i="8"/>
  <c r="BD159" i="8"/>
  <c r="BL159" i="8"/>
  <c r="AW159" i="8"/>
  <c r="BF159" i="8"/>
  <c r="AX159" i="8"/>
  <c r="BG159" i="8"/>
  <c r="AY159" i="8"/>
  <c r="BH159" i="8"/>
  <c r="AV159" i="8"/>
  <c r="AZ159" i="8"/>
  <c r="BC159" i="8"/>
  <c r="BE159" i="8"/>
  <c r="BI159" i="8"/>
  <c r="BK159" i="8"/>
  <c r="AR159" i="8"/>
  <c r="AT159" i="8"/>
  <c r="AU153" i="8"/>
  <c r="BD153" i="8"/>
  <c r="BL153" i="8"/>
  <c r="AW153" i="8"/>
  <c r="BF153" i="8"/>
  <c r="AY153" i="8"/>
  <c r="BH153" i="8"/>
  <c r="AR153" i="8"/>
  <c r="AZ153" i="8"/>
  <c r="BI153" i="8"/>
  <c r="AS153" i="8"/>
  <c r="BA153" i="8"/>
  <c r="BJ153" i="8"/>
  <c r="AT153" i="8"/>
  <c r="AV153" i="8"/>
  <c r="AX153" i="8"/>
  <c r="BC153" i="8"/>
  <c r="BE153" i="8"/>
  <c r="BG153" i="8"/>
  <c r="BK153" i="8"/>
  <c r="AW147" i="8"/>
  <c r="BF147" i="8"/>
  <c r="AT147" i="8"/>
  <c r="BD147" i="8"/>
  <c r="AV147" i="8"/>
  <c r="BG147" i="8"/>
  <c r="AY147" i="8"/>
  <c r="BI147" i="8"/>
  <c r="AZ147" i="8"/>
  <c r="BJ147" i="8"/>
  <c r="AR147" i="8"/>
  <c r="BA147" i="8"/>
  <c r="BK147" i="8"/>
  <c r="BE147" i="8"/>
  <c r="BH147" i="8"/>
  <c r="BL147" i="8"/>
  <c r="AS147" i="8"/>
  <c r="AU147" i="8"/>
  <c r="AX147" i="8"/>
  <c r="BC147" i="8"/>
  <c r="AY139" i="8"/>
  <c r="BH139" i="8"/>
  <c r="AS139" i="8"/>
  <c r="BA139" i="8"/>
  <c r="BJ139" i="8"/>
  <c r="AT139" i="8"/>
  <c r="BE139" i="8"/>
  <c r="AU139" i="8"/>
  <c r="BF139" i="8"/>
  <c r="AV139" i="8"/>
  <c r="BG139" i="8"/>
  <c r="AW139" i="8"/>
  <c r="BI139" i="8"/>
  <c r="AX139" i="8"/>
  <c r="BK139" i="8"/>
  <c r="AZ139" i="8"/>
  <c r="BL139" i="8"/>
  <c r="BC139" i="8"/>
  <c r="AR139" i="8"/>
  <c r="BD139" i="8"/>
  <c r="AR133" i="8"/>
  <c r="AZ133" i="8"/>
  <c r="BI133" i="8"/>
  <c r="AT133" i="8"/>
  <c r="BC133" i="8"/>
  <c r="BK133" i="8"/>
  <c r="AV133" i="8"/>
  <c r="BE133" i="8"/>
  <c r="AW133" i="8"/>
  <c r="BF133" i="8"/>
  <c r="AX133" i="8"/>
  <c r="BG133" i="8"/>
  <c r="AS133" i="8"/>
  <c r="AU133" i="8"/>
  <c r="AY133" i="8"/>
  <c r="BA133" i="8"/>
  <c r="BD133" i="8"/>
  <c r="BH133" i="8"/>
  <c r="BJ133" i="8"/>
  <c r="BL133" i="8"/>
  <c r="AT125" i="8"/>
  <c r="BC125" i="8"/>
  <c r="BK125" i="8"/>
  <c r="AV125" i="8"/>
  <c r="BE125" i="8"/>
  <c r="AX125" i="8"/>
  <c r="BG125" i="8"/>
  <c r="AY125" i="8"/>
  <c r="BH125" i="8"/>
  <c r="AR125" i="8"/>
  <c r="AZ125" i="8"/>
  <c r="BI125" i="8"/>
  <c r="BF125" i="8"/>
  <c r="BJ125" i="8"/>
  <c r="BL125" i="8"/>
  <c r="AS125" i="8"/>
  <c r="AU125" i="8"/>
  <c r="AW125" i="8"/>
  <c r="BA125" i="8"/>
  <c r="BD125" i="8"/>
  <c r="AY117" i="8"/>
  <c r="BH117" i="8"/>
  <c r="AS117" i="8"/>
  <c r="BC117" i="8"/>
  <c r="BL117" i="8"/>
  <c r="AU117" i="8"/>
  <c r="BE117" i="8"/>
  <c r="AW117" i="8"/>
  <c r="BG117" i="8"/>
  <c r="AX117" i="8"/>
  <c r="BI117" i="8"/>
  <c r="AZ117" i="8"/>
  <c r="BJ117" i="8"/>
  <c r="AT117" i="8"/>
  <c r="AV117" i="8"/>
  <c r="BA117" i="8"/>
  <c r="BD117" i="8"/>
  <c r="BF117" i="8"/>
  <c r="BK117" i="8"/>
  <c r="AR117" i="8"/>
  <c r="AT105" i="8"/>
  <c r="BC105" i="8"/>
  <c r="BK105" i="8"/>
  <c r="AU105" i="8"/>
  <c r="BD105" i="8"/>
  <c r="BL105" i="8"/>
  <c r="AV105" i="8"/>
  <c r="BE105" i="8"/>
  <c r="AX105" i="8"/>
  <c r="BG105" i="8"/>
  <c r="AS105" i="8"/>
  <c r="BI105" i="8"/>
  <c r="AY105" i="8"/>
  <c r="AZ105" i="8"/>
  <c r="BA105" i="8"/>
  <c r="AR105" i="8"/>
  <c r="AW105" i="8"/>
  <c r="BF105" i="8"/>
  <c r="BH105" i="8"/>
  <c r="BJ105" i="8"/>
  <c r="AY102" i="8"/>
  <c r="BH102" i="8"/>
  <c r="AR102" i="8"/>
  <c r="AZ102" i="8"/>
  <c r="BI102" i="8"/>
  <c r="AS102" i="8"/>
  <c r="BA102" i="8"/>
  <c r="BJ102" i="8"/>
  <c r="AU102" i="8"/>
  <c r="BD102" i="8"/>
  <c r="BL102" i="8"/>
  <c r="AV102" i="8"/>
  <c r="BE102" i="8"/>
  <c r="BC102" i="8"/>
  <c r="BG102" i="8"/>
  <c r="AT102" i="8"/>
  <c r="AW102" i="8"/>
  <c r="BF102" i="8"/>
  <c r="BK102" i="8"/>
  <c r="AX102" i="8"/>
  <c r="AR95" i="8"/>
  <c r="AU95" i="8"/>
  <c r="BD95" i="8"/>
  <c r="BL95" i="8"/>
  <c r="AS95" i="8"/>
  <c r="BC95" i="8"/>
  <c r="AX95" i="8"/>
  <c r="BI95" i="8"/>
  <c r="AY95" i="8"/>
  <c r="BJ95" i="8"/>
  <c r="AZ95" i="8"/>
  <c r="BK95" i="8"/>
  <c r="BA95" i="8"/>
  <c r="BE95" i="8"/>
  <c r="AT95" i="8"/>
  <c r="BF95" i="8"/>
  <c r="AV95" i="8"/>
  <c r="BG95" i="8"/>
  <c r="AW95" i="8"/>
  <c r="BH95" i="8"/>
  <c r="AW90" i="8"/>
  <c r="BF90" i="8"/>
  <c r="AR90" i="8"/>
  <c r="AZ90" i="8"/>
  <c r="BI90" i="8"/>
  <c r="AX90" i="8"/>
  <c r="BJ90" i="8"/>
  <c r="BC90" i="8"/>
  <c r="BD90" i="8"/>
  <c r="AS90" i="8"/>
  <c r="BE90" i="8"/>
  <c r="AT90" i="8"/>
  <c r="BG90" i="8"/>
  <c r="AU90" i="8"/>
  <c r="BH90" i="8"/>
  <c r="AV90" i="8"/>
  <c r="BK90" i="8"/>
  <c r="AY90" i="8"/>
  <c r="BL90" i="8"/>
  <c r="BA90" i="8"/>
  <c r="AY82" i="8"/>
  <c r="BH82" i="8"/>
  <c r="AR82" i="8"/>
  <c r="AZ82" i="8"/>
  <c r="BI82" i="8"/>
  <c r="AT82" i="8"/>
  <c r="BC82" i="8"/>
  <c r="BK82" i="8"/>
  <c r="BD82" i="8"/>
  <c r="AS82" i="8"/>
  <c r="BF82" i="8"/>
  <c r="AU82" i="8"/>
  <c r="BG82" i="8"/>
  <c r="AW82" i="8"/>
  <c r="BL82" i="8"/>
  <c r="BA82" i="8"/>
  <c r="BE82" i="8"/>
  <c r="BJ82" i="8"/>
  <c r="AV82" i="8"/>
  <c r="AX82" i="8"/>
  <c r="AS74" i="8"/>
  <c r="BA74" i="8"/>
  <c r="BJ74" i="8"/>
  <c r="AT74" i="8"/>
  <c r="BC74" i="8"/>
  <c r="BK74" i="8"/>
  <c r="AV74" i="8"/>
  <c r="BE74" i="8"/>
  <c r="AX74" i="8"/>
  <c r="BL74" i="8"/>
  <c r="AZ74" i="8"/>
  <c r="BD74" i="8"/>
  <c r="AR74" i="8"/>
  <c r="BG74" i="8"/>
  <c r="AU74" i="8"/>
  <c r="BH74" i="8"/>
  <c r="AW74" i="8"/>
  <c r="AY74" i="8"/>
  <c r="BF74" i="8"/>
  <c r="BI74" i="8"/>
  <c r="AT67" i="8"/>
  <c r="BC67" i="8"/>
  <c r="BK67" i="8"/>
  <c r="AW67" i="8"/>
  <c r="BF67" i="8"/>
  <c r="BA67" i="8"/>
  <c r="AR67" i="8"/>
  <c r="BD67" i="8"/>
  <c r="AU67" i="8"/>
  <c r="BG67" i="8"/>
  <c r="AS67" i="8"/>
  <c r="BJ67" i="8"/>
  <c r="AX67" i="8"/>
  <c r="AY67" i="8"/>
  <c r="BE67" i="8"/>
  <c r="BH67" i="8"/>
  <c r="AV67" i="8"/>
  <c r="AZ67" i="8"/>
  <c r="BI67" i="8"/>
  <c r="BL67" i="8"/>
  <c r="AW59" i="8"/>
  <c r="BF59" i="8"/>
  <c r="AS59" i="8"/>
  <c r="BA59" i="8"/>
  <c r="BJ59" i="8"/>
  <c r="AT59" i="8"/>
  <c r="BE59" i="8"/>
  <c r="AU59" i="8"/>
  <c r="BG59" i="8"/>
  <c r="AX59" i="8"/>
  <c r="BI59" i="8"/>
  <c r="BK59" i="8"/>
  <c r="AR59" i="8"/>
  <c r="BL59" i="8"/>
  <c r="AY59" i="8"/>
  <c r="BH59" i="8"/>
  <c r="AZ59" i="8"/>
  <c r="BC59" i="8"/>
  <c r="AV59" i="8"/>
  <c r="BD59" i="8"/>
  <c r="AX53" i="8"/>
  <c r="BG53" i="8"/>
  <c r="AR53" i="8"/>
  <c r="AZ53" i="8"/>
  <c r="BI53" i="8"/>
  <c r="AT53" i="8"/>
  <c r="BC53" i="8"/>
  <c r="BK53" i="8"/>
  <c r="AS53" i="8"/>
  <c r="BF53" i="8"/>
  <c r="AU53" i="8"/>
  <c r="BH53" i="8"/>
  <c r="AW53" i="8"/>
  <c r="BL53" i="8"/>
  <c r="AV53" i="8"/>
  <c r="AY53" i="8"/>
  <c r="BD53" i="8"/>
  <c r="BJ53" i="8"/>
  <c r="BA53" i="8"/>
  <c r="BE53" i="8"/>
  <c r="AV39" i="8"/>
  <c r="BE39" i="8"/>
  <c r="AX39" i="8"/>
  <c r="BG39" i="8"/>
  <c r="AY39" i="8"/>
  <c r="BH39" i="8"/>
  <c r="AT39" i="8"/>
  <c r="BI39" i="8"/>
  <c r="AW39" i="8"/>
  <c r="BK39" i="8"/>
  <c r="BA39" i="8"/>
  <c r="BD39" i="8"/>
  <c r="BF39" i="8"/>
  <c r="AR39" i="8"/>
  <c r="BL39" i="8"/>
  <c r="BJ39" i="8"/>
  <c r="AS39" i="8"/>
  <c r="AZ39" i="8"/>
  <c r="BC39" i="8"/>
  <c r="AU39" i="8"/>
  <c r="AU386" i="8"/>
  <c r="BD386" i="8"/>
  <c r="BL386" i="8"/>
  <c r="AV386" i="8"/>
  <c r="BE386" i="8"/>
  <c r="AW386" i="8"/>
  <c r="BF386" i="8"/>
  <c r="AX386" i="8"/>
  <c r="BG386" i="8"/>
  <c r="AY386" i="8"/>
  <c r="BH386" i="8"/>
  <c r="AR386" i="8"/>
  <c r="AZ386" i="8"/>
  <c r="BI386" i="8"/>
  <c r="AS386" i="8"/>
  <c r="BA386" i="8"/>
  <c r="BJ386" i="8"/>
  <c r="AT386" i="8"/>
  <c r="BK386" i="8"/>
  <c r="BC386" i="8"/>
  <c r="AU368" i="8"/>
  <c r="BD368" i="8"/>
  <c r="BL368" i="8"/>
  <c r="AW368" i="8"/>
  <c r="BF368" i="8"/>
  <c r="AY368" i="8"/>
  <c r="BH368" i="8"/>
  <c r="AR368" i="8"/>
  <c r="AZ368" i="8"/>
  <c r="BI368" i="8"/>
  <c r="AS368" i="8"/>
  <c r="BA368" i="8"/>
  <c r="BJ368" i="8"/>
  <c r="AV368" i="8"/>
  <c r="AX368" i="8"/>
  <c r="BC368" i="8"/>
  <c r="BE368" i="8"/>
  <c r="BG368" i="8"/>
  <c r="BK368" i="8"/>
  <c r="AT368" i="8"/>
  <c r="AU377" i="8"/>
  <c r="BD377" i="8"/>
  <c r="BL377" i="8"/>
  <c r="AV377" i="8"/>
  <c r="BE377" i="8"/>
  <c r="AW377" i="8"/>
  <c r="BF377" i="8"/>
  <c r="AX377" i="8"/>
  <c r="BG377" i="8"/>
  <c r="AY377" i="8"/>
  <c r="BH377" i="8"/>
  <c r="AR377" i="8"/>
  <c r="AZ377" i="8"/>
  <c r="BI377" i="8"/>
  <c r="AS377" i="8"/>
  <c r="BA377" i="8"/>
  <c r="BJ377" i="8"/>
  <c r="BC377" i="8"/>
  <c r="AT377" i="8"/>
  <c r="BK377" i="8"/>
  <c r="AS363" i="8"/>
  <c r="BA363" i="8"/>
  <c r="BJ363" i="8"/>
  <c r="AU363" i="8"/>
  <c r="BD363" i="8"/>
  <c r="BL363" i="8"/>
  <c r="AW363" i="8"/>
  <c r="BF363" i="8"/>
  <c r="AX363" i="8"/>
  <c r="BG363" i="8"/>
  <c r="AY363" i="8"/>
  <c r="BH363" i="8"/>
  <c r="AR363" i="8"/>
  <c r="AT363" i="8"/>
  <c r="AV363" i="8"/>
  <c r="AZ363" i="8"/>
  <c r="BC363" i="8"/>
  <c r="BE363" i="8"/>
  <c r="BI363" i="8"/>
  <c r="BK363" i="8"/>
  <c r="AS340" i="8"/>
  <c r="BA340" i="8"/>
  <c r="BJ340" i="8"/>
  <c r="AT340" i="8"/>
  <c r="BC340" i="8"/>
  <c r="BK340" i="8"/>
  <c r="AU340" i="8"/>
  <c r="BD340" i="8"/>
  <c r="BL340" i="8"/>
  <c r="AW340" i="8"/>
  <c r="BF340" i="8"/>
  <c r="AX340" i="8"/>
  <c r="BG340" i="8"/>
  <c r="AY340" i="8"/>
  <c r="BH340" i="8"/>
  <c r="AR340" i="8"/>
  <c r="AV340" i="8"/>
  <c r="AZ340" i="8"/>
  <c r="BE340" i="8"/>
  <c r="BI340" i="8"/>
  <c r="AR333" i="8"/>
  <c r="AZ333" i="8"/>
  <c r="BI333" i="8"/>
  <c r="AS333" i="8"/>
  <c r="BA333" i="8"/>
  <c r="BJ333" i="8"/>
  <c r="AT333" i="8"/>
  <c r="BC333" i="8"/>
  <c r="BK333" i="8"/>
  <c r="AU333" i="8"/>
  <c r="BD333" i="8"/>
  <c r="BL333" i="8"/>
  <c r="AV333" i="8"/>
  <c r="BE333" i="8"/>
  <c r="AW333" i="8"/>
  <c r="BF333" i="8"/>
  <c r="AX333" i="8"/>
  <c r="BG333" i="8"/>
  <c r="AY333" i="8"/>
  <c r="BH333" i="8"/>
  <c r="AV325" i="8"/>
  <c r="BE325" i="8"/>
  <c r="AW325" i="8"/>
  <c r="BF325" i="8"/>
  <c r="AX325" i="8"/>
  <c r="BG325" i="8"/>
  <c r="AY325" i="8"/>
  <c r="BH325" i="8"/>
  <c r="AR325" i="8"/>
  <c r="AZ325" i="8"/>
  <c r="BI325" i="8"/>
  <c r="AS325" i="8"/>
  <c r="BA325" i="8"/>
  <c r="BJ325" i="8"/>
  <c r="AT325" i="8"/>
  <c r="BC325" i="8"/>
  <c r="BK325" i="8"/>
  <c r="AU325" i="8"/>
  <c r="BD325" i="8"/>
  <c r="BL325" i="8"/>
  <c r="AV317" i="8"/>
  <c r="BE317" i="8"/>
  <c r="AX317" i="8"/>
  <c r="BG317" i="8"/>
  <c r="AY317" i="8"/>
  <c r="BH317" i="8"/>
  <c r="AS317" i="8"/>
  <c r="BA317" i="8"/>
  <c r="BJ317" i="8"/>
  <c r="AT317" i="8"/>
  <c r="BC317" i="8"/>
  <c r="BK317" i="8"/>
  <c r="BL317" i="8"/>
  <c r="AR317" i="8"/>
  <c r="AU317" i="8"/>
  <c r="AW317" i="8"/>
  <c r="AZ317" i="8"/>
  <c r="BD317" i="8"/>
  <c r="BF317" i="8"/>
  <c r="BI317" i="8"/>
  <c r="AW308" i="8"/>
  <c r="BF308" i="8"/>
  <c r="AY308" i="8"/>
  <c r="BH308" i="8"/>
  <c r="AR308" i="8"/>
  <c r="AZ308" i="8"/>
  <c r="BI308" i="8"/>
  <c r="AT308" i="8"/>
  <c r="BC308" i="8"/>
  <c r="BK308" i="8"/>
  <c r="AU308" i="8"/>
  <c r="BD308" i="8"/>
  <c r="BL308" i="8"/>
  <c r="BE308" i="8"/>
  <c r="BG308" i="8"/>
  <c r="BJ308" i="8"/>
  <c r="AS308" i="8"/>
  <c r="AV308" i="8"/>
  <c r="AX308" i="8"/>
  <c r="BA308" i="8"/>
  <c r="AW299" i="8"/>
  <c r="BF299" i="8"/>
  <c r="AY299" i="8"/>
  <c r="BH299" i="8"/>
  <c r="AR299" i="8"/>
  <c r="AZ299" i="8"/>
  <c r="BI299" i="8"/>
  <c r="AT299" i="8"/>
  <c r="BC299" i="8"/>
  <c r="BK299" i="8"/>
  <c r="AU299" i="8"/>
  <c r="BD299" i="8"/>
  <c r="BL299" i="8"/>
  <c r="AV299" i="8"/>
  <c r="AX299" i="8"/>
  <c r="BA299" i="8"/>
  <c r="BE299" i="8"/>
  <c r="BG299" i="8"/>
  <c r="BJ299" i="8"/>
  <c r="AS299" i="8"/>
  <c r="AY295" i="8"/>
  <c r="BH295" i="8"/>
  <c r="AS295" i="8"/>
  <c r="BA295" i="8"/>
  <c r="BJ295" i="8"/>
  <c r="AT295" i="8"/>
  <c r="BC295" i="8"/>
  <c r="BK295" i="8"/>
  <c r="AV295" i="8"/>
  <c r="BE295" i="8"/>
  <c r="AW295" i="8"/>
  <c r="BF295" i="8"/>
  <c r="AR295" i="8"/>
  <c r="AU295" i="8"/>
  <c r="AX295" i="8"/>
  <c r="AZ295" i="8"/>
  <c r="BD295" i="8"/>
  <c r="BG295" i="8"/>
  <c r="BI295" i="8"/>
  <c r="BL295" i="8"/>
  <c r="AU287" i="8"/>
  <c r="BD287" i="8"/>
  <c r="BL287" i="8"/>
  <c r="AV287" i="8"/>
  <c r="BE287" i="8"/>
  <c r="AW287" i="8"/>
  <c r="BF287" i="8"/>
  <c r="AX287" i="8"/>
  <c r="BG287" i="8"/>
  <c r="AR287" i="8"/>
  <c r="AZ287" i="8"/>
  <c r="BI287" i="8"/>
  <c r="AS287" i="8"/>
  <c r="BA287" i="8"/>
  <c r="BJ287" i="8"/>
  <c r="AT287" i="8"/>
  <c r="AY287" i="8"/>
  <c r="BC287" i="8"/>
  <c r="BH287" i="8"/>
  <c r="BK287" i="8"/>
  <c r="AY280" i="8"/>
  <c r="BH280" i="8"/>
  <c r="AS280" i="8"/>
  <c r="BA280" i="8"/>
  <c r="BJ280" i="8"/>
  <c r="AV280" i="8"/>
  <c r="BE280" i="8"/>
  <c r="BD280" i="8"/>
  <c r="AR280" i="8"/>
  <c r="BF280" i="8"/>
  <c r="AT280" i="8"/>
  <c r="BG280" i="8"/>
  <c r="AU280" i="8"/>
  <c r="BI280" i="8"/>
  <c r="AW280" i="8"/>
  <c r="BK280" i="8"/>
  <c r="AX280" i="8"/>
  <c r="BL280" i="8"/>
  <c r="AZ280" i="8"/>
  <c r="BC280" i="8"/>
  <c r="AX269" i="8"/>
  <c r="BG269" i="8"/>
  <c r="AR269" i="8"/>
  <c r="AZ269" i="8"/>
  <c r="BI269" i="8"/>
  <c r="AT269" i="8"/>
  <c r="BC269" i="8"/>
  <c r="BK269" i="8"/>
  <c r="AU269" i="8"/>
  <c r="BD269" i="8"/>
  <c r="BL269" i="8"/>
  <c r="AV269" i="8"/>
  <c r="BE269" i="8"/>
  <c r="BA269" i="8"/>
  <c r="BF269" i="8"/>
  <c r="BH269" i="8"/>
  <c r="BJ269" i="8"/>
  <c r="AS269" i="8"/>
  <c r="AW269" i="8"/>
  <c r="AY269" i="8"/>
  <c r="AT259" i="8"/>
  <c r="BC259" i="8"/>
  <c r="BK259" i="8"/>
  <c r="AV259" i="8"/>
  <c r="BE259" i="8"/>
  <c r="AX259" i="8"/>
  <c r="BG259" i="8"/>
  <c r="AY259" i="8"/>
  <c r="BH259" i="8"/>
  <c r="AR259" i="8"/>
  <c r="AZ259" i="8"/>
  <c r="BI259" i="8"/>
  <c r="AS259" i="8"/>
  <c r="AU259" i="8"/>
  <c r="AW259" i="8"/>
  <c r="BA259" i="8"/>
  <c r="BD259" i="8"/>
  <c r="BF259" i="8"/>
  <c r="BJ259" i="8"/>
  <c r="BL259" i="8"/>
  <c r="AR254" i="8"/>
  <c r="AZ254" i="8"/>
  <c r="BI254" i="8"/>
  <c r="AT254" i="8"/>
  <c r="BC254" i="8"/>
  <c r="BK254" i="8"/>
  <c r="AV254" i="8"/>
  <c r="BE254" i="8"/>
  <c r="AW254" i="8"/>
  <c r="BF254" i="8"/>
  <c r="AX254" i="8"/>
  <c r="BG254" i="8"/>
  <c r="BJ254" i="8"/>
  <c r="BL254" i="8"/>
  <c r="AS254" i="8"/>
  <c r="AU254" i="8"/>
  <c r="AY254" i="8"/>
  <c r="BA254" i="8"/>
  <c r="BD254" i="8"/>
  <c r="BH254" i="8"/>
  <c r="AT235" i="8"/>
  <c r="BC235" i="8"/>
  <c r="BK235" i="8"/>
  <c r="AS235" i="8"/>
  <c r="BD235" i="8"/>
  <c r="AV235" i="8"/>
  <c r="BF235" i="8"/>
  <c r="AX235" i="8"/>
  <c r="BH235" i="8"/>
  <c r="AY235" i="8"/>
  <c r="BI235" i="8"/>
  <c r="AZ235" i="8"/>
  <c r="BJ235" i="8"/>
  <c r="BE235" i="8"/>
  <c r="BG235" i="8"/>
  <c r="BL235" i="8"/>
  <c r="AR235" i="8"/>
  <c r="AU235" i="8"/>
  <c r="AW235" i="8"/>
  <c r="BA235" i="8"/>
  <c r="AS241" i="8"/>
  <c r="BA241" i="8"/>
  <c r="BJ241" i="8"/>
  <c r="AU241" i="8"/>
  <c r="BD241" i="8"/>
  <c r="BL241" i="8"/>
  <c r="AW241" i="8"/>
  <c r="BF241" i="8"/>
  <c r="AX241" i="8"/>
  <c r="BG241" i="8"/>
  <c r="AY241" i="8"/>
  <c r="BH241" i="8"/>
  <c r="AV241" i="8"/>
  <c r="AZ241" i="8"/>
  <c r="BC241" i="8"/>
  <c r="BE241" i="8"/>
  <c r="BI241" i="8"/>
  <c r="BK241" i="8"/>
  <c r="AR241" i="8"/>
  <c r="AT241" i="8"/>
  <c r="AV231" i="8"/>
  <c r="BE231" i="8"/>
  <c r="AX231" i="8"/>
  <c r="BG231" i="8"/>
  <c r="AW231" i="8"/>
  <c r="BI231" i="8"/>
  <c r="AZ231" i="8"/>
  <c r="BK231" i="8"/>
  <c r="AR231" i="8"/>
  <c r="BC231" i="8"/>
  <c r="AS231" i="8"/>
  <c r="BD231" i="8"/>
  <c r="AT231" i="8"/>
  <c r="BF231" i="8"/>
  <c r="BJ231" i="8"/>
  <c r="BL231" i="8"/>
  <c r="AU231" i="8"/>
  <c r="AY231" i="8"/>
  <c r="BA231" i="8"/>
  <c r="BH231" i="8"/>
  <c r="AR219" i="8"/>
  <c r="AZ219" i="8"/>
  <c r="BI219" i="8"/>
  <c r="AT219" i="8"/>
  <c r="BC219" i="8"/>
  <c r="BK219" i="8"/>
  <c r="AU219" i="8"/>
  <c r="BD219" i="8"/>
  <c r="BL219" i="8"/>
  <c r="AW219" i="8"/>
  <c r="BF219" i="8"/>
  <c r="AX219" i="8"/>
  <c r="BG219" i="8"/>
  <c r="AS219" i="8"/>
  <c r="AY219" i="8"/>
  <c r="BE219" i="8"/>
  <c r="BH219" i="8"/>
  <c r="BJ219" i="8"/>
  <c r="AV219" i="8"/>
  <c r="BA219" i="8"/>
  <c r="AY212" i="8"/>
  <c r="BH212" i="8"/>
  <c r="AS212" i="8"/>
  <c r="BA212" i="8"/>
  <c r="BJ212" i="8"/>
  <c r="AT212" i="8"/>
  <c r="BC212" i="8"/>
  <c r="BK212" i="8"/>
  <c r="AV212" i="8"/>
  <c r="BE212" i="8"/>
  <c r="AW212" i="8"/>
  <c r="BF212" i="8"/>
  <c r="BI212" i="8"/>
  <c r="AR212" i="8"/>
  <c r="AX212" i="8"/>
  <c r="AZ212" i="8"/>
  <c r="BD212" i="8"/>
  <c r="AU212" i="8"/>
  <c r="BG212" i="8"/>
  <c r="BL212" i="8"/>
  <c r="AW207" i="8"/>
  <c r="BF207" i="8"/>
  <c r="AY207" i="8"/>
  <c r="BH207" i="8"/>
  <c r="AR207" i="8"/>
  <c r="AZ207" i="8"/>
  <c r="BI207" i="8"/>
  <c r="AT207" i="8"/>
  <c r="BC207" i="8"/>
  <c r="BK207" i="8"/>
  <c r="AU207" i="8"/>
  <c r="BD207" i="8"/>
  <c r="BL207" i="8"/>
  <c r="BE207" i="8"/>
  <c r="BJ207" i="8"/>
  <c r="AS207" i="8"/>
  <c r="AV207" i="8"/>
  <c r="AX207" i="8"/>
  <c r="BG207" i="8"/>
  <c r="BA207" i="8"/>
  <c r="AV536" i="8"/>
  <c r="BE536" i="8"/>
  <c r="AW536" i="8"/>
  <c r="BF536" i="8"/>
  <c r="AR536" i="8"/>
  <c r="AZ536" i="8"/>
  <c r="BI536" i="8"/>
  <c r="AS536" i="8"/>
  <c r="BA536" i="8"/>
  <c r="BJ536" i="8"/>
  <c r="AX536" i="8"/>
  <c r="AY536" i="8"/>
  <c r="BC536" i="8"/>
  <c r="BD536" i="8"/>
  <c r="BG536" i="8"/>
  <c r="BH536" i="8"/>
  <c r="AT536" i="8"/>
  <c r="BK536" i="8"/>
  <c r="AU536" i="8"/>
  <c r="BL536" i="8"/>
  <c r="AV195" i="8"/>
  <c r="BE195" i="8"/>
  <c r="AX195" i="8"/>
  <c r="BG195" i="8"/>
  <c r="AY195" i="8"/>
  <c r="BH195" i="8"/>
  <c r="AS195" i="8"/>
  <c r="BA195" i="8"/>
  <c r="BJ195" i="8"/>
  <c r="AT195" i="8"/>
  <c r="BC195" i="8"/>
  <c r="BK195" i="8"/>
  <c r="AU195" i="8"/>
  <c r="AZ195" i="8"/>
  <c r="BF195" i="8"/>
  <c r="BI195" i="8"/>
  <c r="BL195" i="8"/>
  <c r="AR195" i="8"/>
  <c r="AW195" i="8"/>
  <c r="BD195" i="8"/>
  <c r="AU188" i="8"/>
  <c r="BD188" i="8"/>
  <c r="BL188" i="8"/>
  <c r="AW188" i="8"/>
  <c r="BF188" i="8"/>
  <c r="AY188" i="8"/>
  <c r="BH188" i="8"/>
  <c r="AR188" i="8"/>
  <c r="AZ188" i="8"/>
  <c r="BI188" i="8"/>
  <c r="AS188" i="8"/>
  <c r="BA188" i="8"/>
  <c r="BJ188" i="8"/>
  <c r="BE188" i="8"/>
  <c r="BK188" i="8"/>
  <c r="AV188" i="8"/>
  <c r="AX188" i="8"/>
  <c r="AT188" i="8"/>
  <c r="BC188" i="8"/>
  <c r="BG188" i="8"/>
  <c r="AX180" i="8"/>
  <c r="BG180" i="8"/>
  <c r="AR180" i="8"/>
  <c r="AZ180" i="8"/>
  <c r="BI180" i="8"/>
  <c r="AT180" i="8"/>
  <c r="BC180" i="8"/>
  <c r="BK180" i="8"/>
  <c r="AU180" i="8"/>
  <c r="BD180" i="8"/>
  <c r="BL180" i="8"/>
  <c r="AV180" i="8"/>
  <c r="BE180" i="8"/>
  <c r="AW180" i="8"/>
  <c r="BA180" i="8"/>
  <c r="BF180" i="8"/>
  <c r="BJ180" i="8"/>
  <c r="AS180" i="8"/>
  <c r="AY180" i="8"/>
  <c r="BH180" i="8"/>
  <c r="AT168" i="8"/>
  <c r="BC168" i="8"/>
  <c r="BK168" i="8"/>
  <c r="AV168" i="8"/>
  <c r="BE168" i="8"/>
  <c r="AX168" i="8"/>
  <c r="BG168" i="8"/>
  <c r="AY168" i="8"/>
  <c r="BH168" i="8"/>
  <c r="AR168" i="8"/>
  <c r="AZ168" i="8"/>
  <c r="BI168" i="8"/>
  <c r="BF168" i="8"/>
  <c r="BJ168" i="8"/>
  <c r="BL168" i="8"/>
  <c r="AS168" i="8"/>
  <c r="AU168" i="8"/>
  <c r="AW168" i="8"/>
  <c r="BA168" i="8"/>
  <c r="BD168" i="8"/>
  <c r="AU164" i="8"/>
  <c r="BD164" i="8"/>
  <c r="BL164" i="8"/>
  <c r="AW164" i="8"/>
  <c r="BF164" i="8"/>
  <c r="AY164" i="8"/>
  <c r="BH164" i="8"/>
  <c r="AR164" i="8"/>
  <c r="AZ164" i="8"/>
  <c r="BI164" i="8"/>
  <c r="AS164" i="8"/>
  <c r="BA164" i="8"/>
  <c r="BJ164" i="8"/>
  <c r="BC164" i="8"/>
  <c r="BE164" i="8"/>
  <c r="BG164" i="8"/>
  <c r="BK164" i="8"/>
  <c r="AT164" i="8"/>
  <c r="AV164" i="8"/>
  <c r="AX164" i="8"/>
  <c r="AW160" i="8"/>
  <c r="BF160" i="8"/>
  <c r="AY160" i="8"/>
  <c r="BH160" i="8"/>
  <c r="AS160" i="8"/>
  <c r="BA160" i="8"/>
  <c r="BJ160" i="8"/>
  <c r="AT160" i="8"/>
  <c r="BC160" i="8"/>
  <c r="BK160" i="8"/>
  <c r="AU160" i="8"/>
  <c r="BD160" i="8"/>
  <c r="BL160" i="8"/>
  <c r="AX160" i="8"/>
  <c r="AZ160" i="8"/>
  <c r="BE160" i="8"/>
  <c r="BG160" i="8"/>
  <c r="BI160" i="8"/>
  <c r="AR160" i="8"/>
  <c r="AV160" i="8"/>
  <c r="AX29" i="8"/>
  <c r="BG29" i="8"/>
  <c r="AR29" i="8"/>
  <c r="AZ29" i="8"/>
  <c r="BI29" i="8"/>
  <c r="AS29" i="8"/>
  <c r="BA29" i="8"/>
  <c r="BJ29" i="8"/>
  <c r="BE29" i="8"/>
  <c r="AU29" i="8"/>
  <c r="BH29" i="8"/>
  <c r="AW29" i="8"/>
  <c r="BL29" i="8"/>
  <c r="BC29" i="8"/>
  <c r="BD29" i="8"/>
  <c r="BK29" i="8"/>
  <c r="AT29" i="8"/>
  <c r="AV29" i="8"/>
  <c r="AY29" i="8"/>
  <c r="BF29" i="8"/>
  <c r="AS146" i="8"/>
  <c r="BA146" i="8"/>
  <c r="BJ146" i="8"/>
  <c r="AV146" i="8"/>
  <c r="BF146" i="8"/>
  <c r="AX146" i="8"/>
  <c r="BH146" i="8"/>
  <c r="AZ146" i="8"/>
  <c r="BK146" i="8"/>
  <c r="AR146" i="8"/>
  <c r="BC146" i="8"/>
  <c r="BL146" i="8"/>
  <c r="AT146" i="8"/>
  <c r="BD146" i="8"/>
  <c r="AY146" i="8"/>
  <c r="BE146" i="8"/>
  <c r="BG146" i="8"/>
  <c r="BI146" i="8"/>
  <c r="AU146" i="8"/>
  <c r="AW146" i="8"/>
  <c r="AU138" i="8"/>
  <c r="BD138" i="8"/>
  <c r="BL138" i="8"/>
  <c r="AW138" i="8"/>
  <c r="BF138" i="8"/>
  <c r="AR138" i="8"/>
  <c r="BC138" i="8"/>
  <c r="AS138" i="8"/>
  <c r="BE138" i="8"/>
  <c r="AT138" i="8"/>
  <c r="BG138" i="8"/>
  <c r="AV138" i="8"/>
  <c r="BH138" i="8"/>
  <c r="AX138" i="8"/>
  <c r="BI138" i="8"/>
  <c r="AY138" i="8"/>
  <c r="BJ138" i="8"/>
  <c r="AZ138" i="8"/>
  <c r="BK138" i="8"/>
  <c r="BA138" i="8"/>
  <c r="AW132" i="8"/>
  <c r="BF132" i="8"/>
  <c r="AY132" i="8"/>
  <c r="BH132" i="8"/>
  <c r="AS132" i="8"/>
  <c r="BA132" i="8"/>
  <c r="BJ132" i="8"/>
  <c r="AT132" i="8"/>
  <c r="BC132" i="8"/>
  <c r="BK132" i="8"/>
  <c r="AU132" i="8"/>
  <c r="BD132" i="8"/>
  <c r="BL132" i="8"/>
  <c r="AR132" i="8"/>
  <c r="AV132" i="8"/>
  <c r="AX132" i="8"/>
  <c r="AZ132" i="8"/>
  <c r="BE132" i="8"/>
  <c r="BG132" i="8"/>
  <c r="BI132" i="8"/>
  <c r="AY124" i="8"/>
  <c r="BH124" i="8"/>
  <c r="AS124" i="8"/>
  <c r="BA124" i="8"/>
  <c r="BJ124" i="8"/>
  <c r="AU124" i="8"/>
  <c r="BD124" i="8"/>
  <c r="BL124" i="8"/>
  <c r="AV124" i="8"/>
  <c r="BE124" i="8"/>
  <c r="AW124" i="8"/>
  <c r="BF124" i="8"/>
  <c r="BG124" i="8"/>
  <c r="BI124" i="8"/>
  <c r="BK124" i="8"/>
  <c r="AR124" i="8"/>
  <c r="AT124" i="8"/>
  <c r="AX124" i="8"/>
  <c r="AZ124" i="8"/>
  <c r="BC124" i="8"/>
  <c r="AU118" i="8"/>
  <c r="AZ118" i="8"/>
  <c r="BI118" i="8"/>
  <c r="AS118" i="8"/>
  <c r="BC118" i="8"/>
  <c r="BK118" i="8"/>
  <c r="AV118" i="8"/>
  <c r="BE118" i="8"/>
  <c r="AW118" i="8"/>
  <c r="BF118" i="8"/>
  <c r="AX118" i="8"/>
  <c r="BG118" i="8"/>
  <c r="AY118" i="8"/>
  <c r="BA118" i="8"/>
  <c r="BD118" i="8"/>
  <c r="BH118" i="8"/>
  <c r="BJ118" i="8"/>
  <c r="BL118" i="8"/>
  <c r="AR118" i="8"/>
  <c r="AT118" i="8"/>
  <c r="AX106" i="8"/>
  <c r="BG106" i="8"/>
  <c r="AY106" i="8"/>
  <c r="BH106" i="8"/>
  <c r="AR106" i="8"/>
  <c r="AZ106" i="8"/>
  <c r="BI106" i="8"/>
  <c r="AW106" i="8"/>
  <c r="BL106" i="8"/>
  <c r="BC106" i="8"/>
  <c r="AS106" i="8"/>
  <c r="BE106" i="8"/>
  <c r="AT106" i="8"/>
  <c r="BF106" i="8"/>
  <c r="AU106" i="8"/>
  <c r="BJ106" i="8"/>
  <c r="BD106" i="8"/>
  <c r="BK106" i="8"/>
  <c r="AV106" i="8"/>
  <c r="BA106" i="8"/>
  <c r="AU101" i="8"/>
  <c r="BD101" i="8"/>
  <c r="BL101" i="8"/>
  <c r="AV101" i="8"/>
  <c r="BE101" i="8"/>
  <c r="AW101" i="8"/>
  <c r="BF101" i="8"/>
  <c r="AY101" i="8"/>
  <c r="BH101" i="8"/>
  <c r="AR101" i="8"/>
  <c r="AZ101" i="8"/>
  <c r="BI101" i="8"/>
  <c r="BA101" i="8"/>
  <c r="BG101" i="8"/>
  <c r="BK101" i="8"/>
  <c r="AS101" i="8"/>
  <c r="AT101" i="8"/>
  <c r="AX101" i="8"/>
  <c r="BC101" i="8"/>
  <c r="BJ101" i="8"/>
  <c r="AV94" i="8"/>
  <c r="BE94" i="8"/>
  <c r="AY94" i="8"/>
  <c r="BH94" i="8"/>
  <c r="AR94" i="8"/>
  <c r="BC94" i="8"/>
  <c r="AT94" i="8"/>
  <c r="BG94" i="8"/>
  <c r="AU94" i="8"/>
  <c r="BI94" i="8"/>
  <c r="AW94" i="8"/>
  <c r="BJ94" i="8"/>
  <c r="AX94" i="8"/>
  <c r="BK94" i="8"/>
  <c r="AZ94" i="8"/>
  <c r="BL94" i="8"/>
  <c r="BA94" i="8"/>
  <c r="BD94" i="8"/>
  <c r="AS94" i="8"/>
  <c r="BF94" i="8"/>
  <c r="AX88" i="8"/>
  <c r="BG88" i="8"/>
  <c r="AS88" i="8"/>
  <c r="BA88" i="8"/>
  <c r="BJ88" i="8"/>
  <c r="AV88" i="8"/>
  <c r="BH88" i="8"/>
  <c r="AY88" i="8"/>
  <c r="BK88" i="8"/>
  <c r="BC88" i="8"/>
  <c r="BD88" i="8"/>
  <c r="BE88" i="8"/>
  <c r="AR88" i="8"/>
  <c r="BF88" i="8"/>
  <c r="AT88" i="8"/>
  <c r="BI88" i="8"/>
  <c r="AU88" i="8"/>
  <c r="BL88" i="8"/>
  <c r="AW88" i="8"/>
  <c r="AZ88" i="8"/>
  <c r="AV79" i="8"/>
  <c r="BE79" i="8"/>
  <c r="AW79" i="8"/>
  <c r="BF79" i="8"/>
  <c r="AY79" i="8"/>
  <c r="BH79" i="8"/>
  <c r="AZ79" i="8"/>
  <c r="BL79" i="8"/>
  <c r="BC79" i="8"/>
  <c r="AR79" i="8"/>
  <c r="BD79" i="8"/>
  <c r="AT79" i="8"/>
  <c r="BI79" i="8"/>
  <c r="BK79" i="8"/>
  <c r="AS79" i="8"/>
  <c r="AU79" i="8"/>
  <c r="AX79" i="8"/>
  <c r="BA79" i="8"/>
  <c r="BG79" i="8"/>
  <c r="BJ79" i="8"/>
  <c r="AR73" i="8"/>
  <c r="AU73" i="8"/>
  <c r="AW73" i="8"/>
  <c r="BF73" i="8"/>
  <c r="AX73" i="8"/>
  <c r="BG73" i="8"/>
  <c r="AZ73" i="8"/>
  <c r="BI73" i="8"/>
  <c r="BE73" i="8"/>
  <c r="AT73" i="8"/>
  <c r="BJ73" i="8"/>
  <c r="AV73" i="8"/>
  <c r="BK73" i="8"/>
  <c r="BA73" i="8"/>
  <c r="BC73" i="8"/>
  <c r="BD73" i="8"/>
  <c r="BH73" i="8"/>
  <c r="BL73" i="8"/>
  <c r="AS73" i="8"/>
  <c r="AY73" i="8"/>
  <c r="AX66" i="8"/>
  <c r="BG66" i="8"/>
  <c r="AS66" i="8"/>
  <c r="BA66" i="8"/>
  <c r="BJ66" i="8"/>
  <c r="AZ66" i="8"/>
  <c r="BL66" i="8"/>
  <c r="BC66" i="8"/>
  <c r="AT66" i="8"/>
  <c r="BE66" i="8"/>
  <c r="AV66" i="8"/>
  <c r="AY66" i="8"/>
  <c r="BD66" i="8"/>
  <c r="BH66" i="8"/>
  <c r="AR66" i="8"/>
  <c r="BI66" i="8"/>
  <c r="BK66" i="8"/>
  <c r="AU66" i="8"/>
  <c r="AW66" i="8"/>
  <c r="BF66" i="8"/>
  <c r="AS58" i="8"/>
  <c r="BA58" i="8"/>
  <c r="BJ58" i="8"/>
  <c r="AW58" i="8"/>
  <c r="BF58" i="8"/>
  <c r="AR58" i="8"/>
  <c r="BD58" i="8"/>
  <c r="AT58" i="8"/>
  <c r="BE58" i="8"/>
  <c r="AV58" i="8"/>
  <c r="BH58" i="8"/>
  <c r="AU58" i="8"/>
  <c r="BL58" i="8"/>
  <c r="AX58" i="8"/>
  <c r="AZ58" i="8"/>
  <c r="BC58" i="8"/>
  <c r="BI58" i="8"/>
  <c r="BK58" i="8"/>
  <c r="AY58" i="8"/>
  <c r="BG58" i="8"/>
  <c r="AU52" i="8"/>
  <c r="BD52" i="8"/>
  <c r="BL52" i="8"/>
  <c r="AW52" i="8"/>
  <c r="BF52" i="8"/>
  <c r="AY52" i="8"/>
  <c r="BH52" i="8"/>
  <c r="BA52" i="8"/>
  <c r="BC52" i="8"/>
  <c r="AS52" i="8"/>
  <c r="BG52" i="8"/>
  <c r="AV52" i="8"/>
  <c r="AX52" i="8"/>
  <c r="BE52" i="8"/>
  <c r="AT52" i="8"/>
  <c r="BI52" i="8"/>
  <c r="BJ52" i="8"/>
  <c r="AR52" i="8"/>
  <c r="AZ52" i="8"/>
  <c r="BK52" i="8"/>
  <c r="AT45" i="8"/>
  <c r="BC45" i="8"/>
  <c r="BK45" i="8"/>
  <c r="AV45" i="8"/>
  <c r="BE45" i="8"/>
  <c r="AW45" i="8"/>
  <c r="BF45" i="8"/>
  <c r="AZ45" i="8"/>
  <c r="BD45" i="8"/>
  <c r="AS45" i="8"/>
  <c r="BH45" i="8"/>
  <c r="BG45" i="8"/>
  <c r="BI45" i="8"/>
  <c r="AR45" i="8"/>
  <c r="BL45" i="8"/>
  <c r="AX45" i="8"/>
  <c r="AU45" i="8"/>
  <c r="BA45" i="8"/>
  <c r="BJ45" i="8"/>
  <c r="AY45" i="8"/>
  <c r="AV37" i="8"/>
  <c r="BE37" i="8"/>
  <c r="AX37" i="8"/>
  <c r="BG37" i="8"/>
  <c r="AY37" i="8"/>
  <c r="BH37" i="8"/>
  <c r="AU37" i="8"/>
  <c r="BJ37" i="8"/>
  <c r="AZ37" i="8"/>
  <c r="BL37" i="8"/>
  <c r="BC37" i="8"/>
  <c r="BD37" i="8"/>
  <c r="BF37" i="8"/>
  <c r="AR37" i="8"/>
  <c r="BK37" i="8"/>
  <c r="AT37" i="8"/>
  <c r="AS37" i="8"/>
  <c r="AW37" i="8"/>
  <c r="BI37" i="8"/>
  <c r="BA37" i="8"/>
  <c r="U856" i="8"/>
  <c r="U858" i="8"/>
  <c r="U859" i="8"/>
  <c r="AL536" i="8"/>
  <c r="AL535" i="8"/>
  <c r="AL808" i="8"/>
  <c r="AM31" i="8"/>
  <c r="BU31" i="8"/>
  <c r="AM16" i="8"/>
  <c r="BU16" i="8"/>
  <c r="AN16" i="8"/>
  <c r="AM14" i="8"/>
  <c r="BU14" i="8"/>
  <c r="AN14" i="8"/>
  <c r="AM15" i="8"/>
  <c r="BU15" i="8"/>
  <c r="AN15" i="8"/>
  <c r="BV15" i="8"/>
  <c r="AN547" i="8"/>
  <c r="BV547" i="8"/>
  <c r="AM547" i="8"/>
  <c r="BU547" i="8"/>
  <c r="AN22" i="8"/>
  <c r="BV22" i="8"/>
  <c r="AM22" i="8"/>
  <c r="BU22" i="8"/>
  <c r="AM535" i="8"/>
  <c r="BU535" i="8"/>
  <c r="AN535" i="8"/>
  <c r="BV535" i="8"/>
  <c r="AM23" i="8"/>
  <c r="BU23" i="8"/>
  <c r="AN23" i="8"/>
  <c r="BV23" i="8"/>
  <c r="AM548" i="8"/>
  <c r="BU548" i="8"/>
  <c r="AN548" i="8"/>
  <c r="BV548" i="8"/>
  <c r="AM26" i="8"/>
  <c r="BU26" i="8"/>
  <c r="AN26" i="8"/>
  <c r="BV26" i="8"/>
  <c r="AM536" i="8"/>
  <c r="BU536" i="8"/>
  <c r="AN536" i="8"/>
  <c r="BV536" i="8"/>
  <c r="AM494" i="8"/>
  <c r="BU494" i="8"/>
  <c r="AN494" i="8"/>
  <c r="AM495" i="8"/>
  <c r="BU495" i="8"/>
  <c r="AN495" i="8"/>
  <c r="BV495" i="8"/>
  <c r="AM561" i="8"/>
  <c r="BU561" i="8"/>
  <c r="AN561" i="8"/>
  <c r="BV561" i="8"/>
  <c r="AL492" i="8"/>
  <c r="AL553" i="8"/>
  <c r="AL552" i="8"/>
  <c r="AL29" i="8"/>
  <c r="AL780" i="8"/>
  <c r="AL547" i="8"/>
  <c r="AL16" i="8"/>
  <c r="AM780" i="8"/>
  <c r="AN780" i="8"/>
  <c r="AM808" i="8"/>
  <c r="AN808" i="8"/>
  <c r="AM551" i="8"/>
  <c r="BU551" i="8"/>
  <c r="AN551" i="8"/>
  <c r="BV551" i="8"/>
  <c r="AL561" i="8"/>
  <c r="AL495" i="8"/>
  <c r="AL494" i="8"/>
  <c r="AL26" i="8"/>
  <c r="AL548" i="8"/>
  <c r="AL23" i="8"/>
  <c r="AL22" i="8"/>
  <c r="AL551" i="8"/>
  <c r="AL785" i="8"/>
  <c r="AL17" i="8"/>
  <c r="AL781" i="8"/>
  <c r="AL546" i="8"/>
  <c r="BW604" i="8"/>
  <c r="AM17" i="8"/>
  <c r="BU17" i="8"/>
  <c r="AN17" i="8"/>
  <c r="BV17" i="8"/>
  <c r="AN785" i="8"/>
  <c r="BV785" i="8"/>
  <c r="AM785" i="8"/>
  <c r="BU785" i="8"/>
  <c r="AM546" i="8"/>
  <c r="BU546" i="8"/>
  <c r="AN546" i="8"/>
  <c r="BV546" i="8"/>
  <c r="AM781" i="8"/>
  <c r="BU781" i="8"/>
  <c r="AN781" i="8"/>
  <c r="BV781" i="8"/>
  <c r="AM29" i="8"/>
  <c r="BU29" i="8"/>
  <c r="AN29" i="8"/>
  <c r="BV29" i="8"/>
  <c r="AN490" i="8"/>
  <c r="AM490" i="8"/>
  <c r="BU490" i="8"/>
  <c r="AM552" i="8"/>
  <c r="BU552" i="8"/>
  <c r="AN552" i="8"/>
  <c r="AM491" i="8"/>
  <c r="BU491" i="8"/>
  <c r="AN491" i="8"/>
  <c r="BV491" i="8"/>
  <c r="AN553" i="8"/>
  <c r="BV553" i="8"/>
  <c r="AM553" i="8"/>
  <c r="BU553" i="8"/>
  <c r="AM492" i="8"/>
  <c r="BU492" i="8"/>
  <c r="AN492" i="8"/>
  <c r="BV492" i="8"/>
  <c r="AN493" i="8"/>
  <c r="BV493" i="8"/>
  <c r="AM493" i="8"/>
  <c r="BU493" i="8"/>
  <c r="AN555" i="8"/>
  <c r="BV555" i="8"/>
  <c r="AM555" i="8"/>
  <c r="BU555" i="8"/>
  <c r="AL555" i="8"/>
  <c r="AL493" i="8"/>
  <c r="AL491" i="8"/>
  <c r="AL490" i="8"/>
  <c r="AL15" i="8"/>
  <c r="AL14" i="8"/>
  <c r="AL31" i="8"/>
  <c r="AL215" i="8"/>
  <c r="AN215" i="8"/>
  <c r="AM215" i="8"/>
  <c r="AT14" i="8"/>
  <c r="AX14" i="8"/>
  <c r="BC14" i="8"/>
  <c r="BG14" i="8"/>
  <c r="BK14" i="8"/>
  <c r="AU14" i="8"/>
  <c r="AY14" i="8"/>
  <c r="BD14" i="8"/>
  <c r="BH14" i="8"/>
  <c r="BL14" i="8"/>
  <c r="AR14" i="8"/>
  <c r="AV14" i="8"/>
  <c r="AZ14" i="8"/>
  <c r="BE14" i="8"/>
  <c r="BI14" i="8"/>
  <c r="BF14" i="8"/>
  <c r="AS14" i="8"/>
  <c r="BJ14" i="8"/>
  <c r="AW14" i="8"/>
  <c r="BA14" i="8"/>
  <c r="AL255" i="8"/>
  <c r="AM255" i="8"/>
  <c r="AN255" i="8"/>
  <c r="AN256" i="8"/>
  <c r="AL256" i="8"/>
  <c r="AM256" i="8"/>
  <c r="BU780" i="8"/>
  <c r="C900" i="8"/>
  <c r="BV780" i="8"/>
  <c r="D900" i="8"/>
  <c r="BV14" i="8"/>
  <c r="D866" i="8"/>
  <c r="BV552" i="8"/>
  <c r="D865" i="8"/>
  <c r="BV16" i="8"/>
  <c r="BV490" i="8"/>
  <c r="D872" i="8"/>
  <c r="BV494" i="8"/>
  <c r="D873" i="8"/>
  <c r="BO382" i="8"/>
  <c r="BO45" i="8"/>
  <c r="BO52" i="8"/>
  <c r="BN146" i="8"/>
  <c r="BO29" i="8"/>
  <c r="BN29" i="8"/>
  <c r="BO164" i="8"/>
  <c r="BO212" i="8"/>
  <c r="BN317" i="8"/>
  <c r="BO377" i="8"/>
  <c r="BO139" i="8"/>
  <c r="BO493" i="8"/>
  <c r="BO214" i="8"/>
  <c r="BO288" i="8"/>
  <c r="BN96" i="8"/>
  <c r="BN490" i="8"/>
  <c r="BN173" i="8"/>
  <c r="BO197" i="8"/>
  <c r="BN76" i="8"/>
  <c r="BO84" i="8"/>
  <c r="BO92" i="8"/>
  <c r="BO104" i="8"/>
  <c r="BN283" i="8"/>
  <c r="BO290" i="8"/>
  <c r="BO320" i="8"/>
  <c r="BN780" i="8"/>
  <c r="BN97" i="8"/>
  <c r="BO847" i="8"/>
  <c r="BO15" i="8"/>
  <c r="BO77" i="8"/>
  <c r="BN77" i="8"/>
  <c r="BO86" i="8"/>
  <c r="BN130" i="8"/>
  <c r="BN143" i="8"/>
  <c r="BN172" i="8"/>
  <c r="BO107" i="8"/>
  <c r="BN144" i="8"/>
  <c r="BO26" i="8"/>
  <c r="BN208" i="8"/>
  <c r="BN267" i="8"/>
  <c r="BN285" i="8"/>
  <c r="BN298" i="8"/>
  <c r="BO306" i="8"/>
  <c r="BN194" i="8"/>
  <c r="BO316" i="8"/>
  <c r="BN385" i="8"/>
  <c r="BN110" i="8"/>
  <c r="BN132" i="8"/>
  <c r="BN195" i="8"/>
  <c r="BN212" i="8"/>
  <c r="BO254" i="8"/>
  <c r="BO287" i="8"/>
  <c r="BN287" i="8"/>
  <c r="BO59" i="8"/>
  <c r="BO102" i="8"/>
  <c r="BO213" i="8"/>
  <c r="BO270" i="8"/>
  <c r="BO281" i="8"/>
  <c r="BO54" i="8"/>
  <c r="BO134" i="8"/>
  <c r="BN239" i="8"/>
  <c r="BO41" i="8"/>
  <c r="BN220" i="8"/>
  <c r="BO220" i="8"/>
  <c r="BO245" i="8"/>
  <c r="BO343" i="8"/>
  <c r="BN343" i="8"/>
  <c r="BO85" i="8"/>
  <c r="BO129" i="8"/>
  <c r="BO215" i="8"/>
  <c r="BN277" i="8"/>
  <c r="BO291" i="8"/>
  <c r="BN304" i="8"/>
  <c r="BN361" i="8"/>
  <c r="BN379" i="8"/>
  <c r="BN79" i="8"/>
  <c r="BN281" i="8"/>
  <c r="BN808" i="8"/>
  <c r="BN157" i="8"/>
  <c r="BO172" i="8"/>
  <c r="BN209" i="8"/>
  <c r="BN279" i="8"/>
  <c r="BN305" i="8"/>
  <c r="BN364" i="8"/>
  <c r="BO87" i="8"/>
  <c r="BN99" i="8"/>
  <c r="BN152" i="8"/>
  <c r="BO248" i="8"/>
  <c r="BO237" i="8"/>
  <c r="BN323" i="8"/>
  <c r="BO230" i="8"/>
  <c r="BN316" i="8"/>
  <c r="BN324" i="8"/>
  <c r="BO94" i="8"/>
  <c r="BN188" i="8"/>
  <c r="BO280" i="8"/>
  <c r="BN299" i="8"/>
  <c r="BO325" i="8"/>
  <c r="BN340" i="8"/>
  <c r="BO117" i="8"/>
  <c r="BO147" i="8"/>
  <c r="BN153" i="8"/>
  <c r="BN311" i="8"/>
  <c r="BO367" i="8"/>
  <c r="BO387" i="8"/>
  <c r="BO60" i="8"/>
  <c r="BO781" i="8"/>
  <c r="BN83" i="8"/>
  <c r="BN103" i="8"/>
  <c r="BO119" i="8"/>
  <c r="BO140" i="8"/>
  <c r="BN224" i="8"/>
  <c r="BN282" i="8"/>
  <c r="BO282" i="8"/>
  <c r="BN319" i="8"/>
  <c r="BN327" i="8"/>
  <c r="BO334" i="8"/>
  <c r="BO112" i="8"/>
  <c r="BO149" i="8"/>
  <c r="BN166" i="8"/>
  <c r="BO256" i="8"/>
  <c r="BN303" i="8"/>
  <c r="BO376" i="8"/>
  <c r="BO69" i="8"/>
  <c r="BO81" i="8"/>
  <c r="BO142" i="8"/>
  <c r="BN142" i="8"/>
  <c r="BO552" i="8"/>
  <c r="BO170" i="8"/>
  <c r="BN203" i="8"/>
  <c r="BN233" i="8"/>
  <c r="BN278" i="8"/>
  <c r="BO321" i="8"/>
  <c r="BN336" i="8"/>
  <c r="BO43" i="8"/>
  <c r="BO49" i="8"/>
  <c r="BN15" i="8"/>
  <c r="BO162" i="8"/>
  <c r="BN183" i="8"/>
  <c r="BO228" i="8"/>
  <c r="BO330" i="8"/>
  <c r="BN36" i="8"/>
  <c r="BO44" i="8"/>
  <c r="BN71" i="8"/>
  <c r="BO123" i="8"/>
  <c r="BO136" i="8"/>
  <c r="BO152" i="8"/>
  <c r="BO252" i="8"/>
  <c r="BO373" i="8"/>
  <c r="BO51" i="8"/>
  <c r="BO89" i="8"/>
  <c r="BO17" i="8"/>
  <c r="BO145" i="8"/>
  <c r="BO194" i="8"/>
  <c r="BN211" i="8"/>
  <c r="BN246" i="8"/>
  <c r="BO253" i="8"/>
  <c r="BO275" i="8"/>
  <c r="BO366" i="8"/>
  <c r="BN45" i="8"/>
  <c r="BN94" i="8"/>
  <c r="BN106" i="8"/>
  <c r="BO58" i="8"/>
  <c r="BN101" i="8"/>
  <c r="BO124" i="8"/>
  <c r="BO37" i="8"/>
  <c r="BO73" i="8"/>
  <c r="BN180" i="8"/>
  <c r="BO195" i="8"/>
  <c r="BN269" i="8"/>
  <c r="BO295" i="8"/>
  <c r="BO317" i="8"/>
  <c r="BN377" i="8"/>
  <c r="BO39" i="8"/>
  <c r="BO53" i="8"/>
  <c r="BN67" i="8"/>
  <c r="BO82" i="8"/>
  <c r="BN90" i="8"/>
  <c r="BN102" i="8"/>
  <c r="BN117" i="8"/>
  <c r="BN147" i="8"/>
  <c r="BN159" i="8"/>
  <c r="BN171" i="8"/>
  <c r="BO181" i="8"/>
  <c r="BN189" i="8"/>
  <c r="BO232" i="8"/>
  <c r="BN260" i="8"/>
  <c r="BO311" i="8"/>
  <c r="BN378" i="8"/>
  <c r="BN46" i="8"/>
  <c r="BN60" i="8"/>
  <c r="BN91" i="8"/>
  <c r="BO103" i="8"/>
  <c r="BN140" i="8"/>
  <c r="BO169" i="8"/>
  <c r="BO224" i="8"/>
  <c r="BN494" i="8"/>
  <c r="BO271" i="8"/>
  <c r="BN289" i="8"/>
  <c r="BO310" i="8"/>
  <c r="BO327" i="8"/>
  <c r="BO369" i="8"/>
  <c r="BN375" i="8"/>
  <c r="BN47" i="8"/>
  <c r="BO55" i="8"/>
  <c r="BN61" i="8"/>
  <c r="BN92" i="8"/>
  <c r="BN104" i="8"/>
  <c r="BN112" i="8"/>
  <c r="BO128" i="8"/>
  <c r="BO156" i="8"/>
  <c r="BO198" i="8"/>
  <c r="BO202" i="8"/>
  <c r="BO217" i="8"/>
  <c r="BO234" i="8"/>
  <c r="BN263" i="8"/>
  <c r="BO303" i="8"/>
  <c r="BO312" i="8"/>
  <c r="BN328" i="8"/>
  <c r="BO203" i="8"/>
  <c r="BO221" i="8"/>
  <c r="BN257" i="8"/>
  <c r="BN321" i="8"/>
  <c r="BO336" i="8"/>
  <c r="BN371" i="8"/>
  <c r="BN31" i="8"/>
  <c r="BN43" i="8"/>
  <c r="BN49" i="8"/>
  <c r="BO63" i="8"/>
  <c r="BN86" i="8"/>
  <c r="BN121" i="8"/>
  <c r="BO535" i="8"/>
  <c r="BN228" i="8"/>
  <c r="BN555" i="8"/>
  <c r="BO284" i="8"/>
  <c r="BN322" i="8"/>
  <c r="BN345" i="8"/>
  <c r="BN44" i="8"/>
  <c r="BN546" i="8"/>
  <c r="BN64" i="8"/>
  <c r="BO80" i="8"/>
  <c r="BO158" i="8"/>
  <c r="BN491" i="8"/>
  <c r="BO167" i="8"/>
  <c r="BN178" i="8"/>
  <c r="BN229" i="8"/>
  <c r="BN373" i="8"/>
  <c r="BN382" i="8"/>
  <c r="BO38" i="8"/>
  <c r="BO16" i="8"/>
  <c r="BO72" i="8"/>
  <c r="BN137" i="8"/>
  <c r="BN145" i="8"/>
  <c r="BN492" i="8"/>
  <c r="BO206" i="8"/>
  <c r="BN240" i="8"/>
  <c r="BN300" i="8"/>
  <c r="BN339" i="8"/>
  <c r="BN362" i="8"/>
  <c r="BO106" i="8"/>
  <c r="BO95" i="8"/>
  <c r="BO244" i="8"/>
  <c r="BO378" i="8"/>
  <c r="BO46" i="8"/>
  <c r="BO96" i="8"/>
  <c r="BN190" i="8"/>
  <c r="BO190" i="8"/>
  <c r="BO494" i="8"/>
  <c r="BO239" i="8"/>
  <c r="BO47" i="8"/>
  <c r="BN68" i="8"/>
  <c r="BO548" i="8"/>
  <c r="BN225" i="8"/>
  <c r="BO283" i="8"/>
  <c r="BO328" i="8"/>
  <c r="BO48" i="8"/>
  <c r="BO780" i="8"/>
  <c r="BN170" i="8"/>
  <c r="BN215" i="8"/>
  <c r="BO238" i="8"/>
  <c r="BN313" i="8"/>
  <c r="BO379" i="8"/>
  <c r="BO151" i="8"/>
  <c r="BN314" i="8"/>
  <c r="BO314" i="8"/>
  <c r="BO345" i="8"/>
  <c r="BN93" i="8"/>
  <c r="BO298" i="8"/>
  <c r="BO323" i="8"/>
  <c r="BO388" i="8"/>
  <c r="BO65" i="8"/>
  <c r="BO268" i="8"/>
  <c r="BN52" i="8"/>
  <c r="BN160" i="8"/>
  <c r="BO536" i="8"/>
  <c r="BN536" i="8"/>
  <c r="BO207" i="8"/>
  <c r="BN219" i="8"/>
  <c r="BN241" i="8"/>
  <c r="BN254" i="8"/>
  <c r="BN295" i="8"/>
  <c r="BO299" i="8"/>
  <c r="BN308" i="8"/>
  <c r="BN333" i="8"/>
  <c r="BO340" i="8"/>
  <c r="BO363" i="8"/>
  <c r="BN363" i="8"/>
  <c r="BN133" i="8"/>
  <c r="BO196" i="8"/>
  <c r="BN493" i="8"/>
  <c r="BN232" i="8"/>
  <c r="BN255" i="8"/>
  <c r="BO296" i="8"/>
  <c r="BN309" i="8"/>
  <c r="BO318" i="8"/>
  <c r="BN326" i="8"/>
  <c r="BN380" i="8"/>
  <c r="BO75" i="8"/>
  <c r="BO83" i="8"/>
  <c r="BO91" i="8"/>
  <c r="BN148" i="8"/>
  <c r="BN154" i="8"/>
  <c r="BO490" i="8"/>
  <c r="BO173" i="8"/>
  <c r="BO182" i="8"/>
  <c r="BN201" i="8"/>
  <c r="BO216" i="8"/>
  <c r="BO218" i="8"/>
  <c r="BO243" i="8"/>
  <c r="BN495" i="8"/>
  <c r="BN261" i="8"/>
  <c r="BN276" i="8"/>
  <c r="BO302" i="8"/>
  <c r="BN342" i="8"/>
  <c r="BN383" i="8"/>
  <c r="BO785" i="8"/>
  <c r="BN785" i="8"/>
  <c r="BN120" i="8"/>
  <c r="BO141" i="8"/>
  <c r="BO185" i="8"/>
  <c r="BO191" i="8"/>
  <c r="BN249" i="8"/>
  <c r="BN272" i="8"/>
  <c r="BO297" i="8"/>
  <c r="BN384" i="8"/>
  <c r="BN35" i="8"/>
  <c r="BN69" i="8"/>
  <c r="BO111" i="8"/>
  <c r="BO115" i="8"/>
  <c r="BN115" i="8"/>
  <c r="BO122" i="8"/>
  <c r="BN129" i="8"/>
  <c r="BO135" i="8"/>
  <c r="BO150" i="8"/>
  <c r="BO155" i="8"/>
  <c r="BN175" i="8"/>
  <c r="BN184" i="8"/>
  <c r="BO184" i="8"/>
  <c r="BN199" i="8"/>
  <c r="BO227" i="8"/>
  <c r="BO257" i="8"/>
  <c r="BN264" i="8"/>
  <c r="BN291" i="8"/>
  <c r="BO808" i="8"/>
  <c r="BN109" i="8"/>
  <c r="BN535" i="8"/>
  <c r="BO177" i="8"/>
  <c r="BO192" i="8"/>
  <c r="BN200" i="8"/>
  <c r="BN247" i="8"/>
  <c r="BO251" i="8"/>
  <c r="BO274" i="8"/>
  <c r="BN292" i="8"/>
  <c r="BO364" i="8"/>
  <c r="BO381" i="8"/>
  <c r="BN50" i="8"/>
  <c r="BO64" i="8"/>
  <c r="BO71" i="8"/>
  <c r="BN80" i="8"/>
  <c r="BN131" i="8"/>
  <c r="BO491" i="8"/>
  <c r="BN186" i="8"/>
  <c r="BO193" i="8"/>
  <c r="BO205" i="8"/>
  <c r="BO210" i="8"/>
  <c r="BO293" i="8"/>
  <c r="BO315" i="8"/>
  <c r="BN331" i="8"/>
  <c r="BN338" i="8"/>
  <c r="BN365" i="8"/>
  <c r="BN38" i="8"/>
  <c r="BN51" i="8"/>
  <c r="BN547" i="8"/>
  <c r="BO78" i="8"/>
  <c r="BN78" i="8"/>
  <c r="BN17" i="8"/>
  <c r="BN551" i="8"/>
  <c r="BN23" i="8"/>
  <c r="BO161" i="8"/>
  <c r="BN163" i="8"/>
  <c r="BN174" i="8"/>
  <c r="BO187" i="8"/>
  <c r="BO492" i="8"/>
  <c r="BN223" i="8"/>
  <c r="BO246" i="8"/>
  <c r="BN258" i="8"/>
  <c r="BN286" i="8"/>
  <c r="BN294" i="8"/>
  <c r="BO307" i="8"/>
  <c r="BO324" i="8"/>
  <c r="BO374" i="8"/>
  <c r="BN58" i="8"/>
  <c r="BN88" i="8"/>
  <c r="BO66" i="8"/>
  <c r="BO88" i="8"/>
  <c r="BN164" i="8"/>
  <c r="BO333" i="8"/>
  <c r="BO368" i="8"/>
  <c r="BN368" i="8"/>
  <c r="BO386" i="8"/>
  <c r="BN386" i="8"/>
  <c r="BO90" i="8"/>
  <c r="BO165" i="8"/>
  <c r="BO236" i="8"/>
  <c r="BO255" i="8"/>
  <c r="BN296" i="8"/>
  <c r="BO326" i="8"/>
  <c r="BN367" i="8"/>
  <c r="BO380" i="8"/>
  <c r="BN387" i="8"/>
  <c r="BO126" i="8"/>
  <c r="BO154" i="8"/>
  <c r="BO261" i="8"/>
  <c r="BN310" i="8"/>
  <c r="BO342" i="8"/>
  <c r="BN369" i="8"/>
  <c r="BO383" i="8"/>
  <c r="BO375" i="8"/>
  <c r="BO76" i="8"/>
  <c r="BN22" i="8"/>
  <c r="BO22" i="8"/>
  <c r="BO166" i="8"/>
  <c r="BN202" i="8"/>
  <c r="BN312" i="8"/>
  <c r="BO384" i="8"/>
  <c r="BN56" i="8"/>
  <c r="BN81" i="8"/>
  <c r="BN111" i="8"/>
  <c r="BN155" i="8"/>
  <c r="BO175" i="8"/>
  <c r="BN553" i="8"/>
  <c r="BN273" i="8"/>
  <c r="BN329" i="8"/>
  <c r="BN63" i="8"/>
  <c r="BN113" i="8"/>
  <c r="BO143" i="8"/>
  <c r="BN151" i="8"/>
  <c r="BN177" i="8"/>
  <c r="BO183" i="8"/>
  <c r="BN204" i="8"/>
  <c r="BN222" i="8"/>
  <c r="BN251" i="8"/>
  <c r="BN266" i="8"/>
  <c r="BO36" i="8"/>
  <c r="BO50" i="8"/>
  <c r="BO93" i="8"/>
  <c r="BO99" i="8"/>
  <c r="BN107" i="8"/>
  <c r="BN123" i="8"/>
  <c r="BO186" i="8"/>
  <c r="BO208" i="8"/>
  <c r="BN248" i="8"/>
  <c r="BN262" i="8"/>
  <c r="BO547" i="8"/>
  <c r="BO551" i="8"/>
  <c r="BN179" i="8"/>
  <c r="BN253" i="8"/>
  <c r="BN268" i="8"/>
  <c r="BO286" i="8"/>
  <c r="BN37" i="8"/>
  <c r="BO79" i="8"/>
  <c r="BN124" i="8"/>
  <c r="BN66" i="8"/>
  <c r="BN73" i="8"/>
  <c r="BO101" i="8"/>
  <c r="BN118" i="8"/>
  <c r="BO138" i="8"/>
  <c r="BO146" i="8"/>
  <c r="BO180" i="8"/>
  <c r="BO188" i="8"/>
  <c r="BO241" i="8"/>
  <c r="BO269" i="8"/>
  <c r="BN280" i="8"/>
  <c r="BN82" i="8"/>
  <c r="BN105" i="8"/>
  <c r="BN139" i="8"/>
  <c r="BO159" i="8"/>
  <c r="BO171" i="8"/>
  <c r="BO189" i="8"/>
  <c r="BN214" i="8"/>
  <c r="BN236" i="8"/>
  <c r="BN288" i="8"/>
  <c r="BN301" i="8"/>
  <c r="BO301" i="8"/>
  <c r="BN341" i="8"/>
  <c r="BO40" i="8"/>
  <c r="BN54" i="8"/>
  <c r="BN126" i="8"/>
  <c r="BN169" i="8"/>
  <c r="BN182" i="8"/>
  <c r="BO201" i="8"/>
  <c r="BN216" i="8"/>
  <c r="BN271" i="8"/>
  <c r="BN41" i="8"/>
  <c r="BN55" i="8"/>
  <c r="BN84" i="8"/>
  <c r="BN128" i="8"/>
  <c r="BN141" i="8"/>
  <c r="BN156" i="8"/>
  <c r="BN548" i="8"/>
  <c r="BN191" i="8"/>
  <c r="BN198" i="8"/>
  <c r="BO225" i="8"/>
  <c r="BN234" i="8"/>
  <c r="BN245" i="8"/>
  <c r="BO249" i="8"/>
  <c r="BO263" i="8"/>
  <c r="BN290" i="8"/>
  <c r="BN335" i="8"/>
  <c r="BO846" i="8"/>
  <c r="BN42" i="8"/>
  <c r="BO42" i="8"/>
  <c r="BN62" i="8"/>
  <c r="BO97" i="8"/>
  <c r="BO553" i="8"/>
  <c r="BN221" i="8"/>
  <c r="BN238" i="8"/>
  <c r="BO277" i="8"/>
  <c r="BO304" i="8"/>
  <c r="BO313" i="8"/>
  <c r="BN344" i="8"/>
  <c r="BN70" i="8"/>
  <c r="BO113" i="8"/>
  <c r="BO209" i="8"/>
  <c r="BN242" i="8"/>
  <c r="BO266" i="8"/>
  <c r="BN284" i="8"/>
  <c r="BO372" i="8"/>
  <c r="BN372" i="8"/>
  <c r="BN381" i="8"/>
  <c r="BN158" i="8"/>
  <c r="BN167" i="8"/>
  <c r="BO178" i="8"/>
  <c r="BO229" i="8"/>
  <c r="BN252" i="8"/>
  <c r="BN561" i="8"/>
  <c r="BN306" i="8"/>
  <c r="BN315" i="8"/>
  <c r="BN388" i="8"/>
  <c r="BN16" i="8"/>
  <c r="BN72" i="8"/>
  <c r="BO100" i="8"/>
  <c r="BO179" i="8"/>
  <c r="BN187" i="8"/>
  <c r="BN206" i="8"/>
  <c r="BO223" i="8"/>
  <c r="BO294" i="8"/>
  <c r="BO300" i="8"/>
  <c r="BN332" i="8"/>
  <c r="BO339" i="8"/>
  <c r="BO362" i="8"/>
  <c r="BO118" i="8"/>
  <c r="BO168" i="8"/>
  <c r="BO231" i="8"/>
  <c r="BO235" i="8"/>
  <c r="BN259" i="8"/>
  <c r="BO259" i="8"/>
  <c r="BN39" i="8"/>
  <c r="BO67" i="8"/>
  <c r="BO105" i="8"/>
  <c r="BN125" i="8"/>
  <c r="BO125" i="8"/>
  <c r="BN181" i="8"/>
  <c r="BN213" i="8"/>
  <c r="BN226" i="8"/>
  <c r="BO226" i="8"/>
  <c r="BN270" i="8"/>
  <c r="BO341" i="8"/>
  <c r="BO116" i="8"/>
  <c r="BN197" i="8"/>
  <c r="BO495" i="8"/>
  <c r="BO289" i="8"/>
  <c r="BO61" i="8"/>
  <c r="BO272" i="8"/>
  <c r="BN297" i="8"/>
  <c r="BN320" i="8"/>
  <c r="BO335" i="8"/>
  <c r="BO370" i="8"/>
  <c r="BN846" i="8"/>
  <c r="BO35" i="8"/>
  <c r="BN48" i="8"/>
  <c r="BO62" i="8"/>
  <c r="BN85" i="8"/>
  <c r="BO199" i="8"/>
  <c r="BN250" i="8"/>
  <c r="BO250" i="8"/>
  <c r="BO273" i="8"/>
  <c r="BO329" i="8"/>
  <c r="BO371" i="8"/>
  <c r="BO361" i="8"/>
  <c r="BO70" i="8"/>
  <c r="BO121" i="8"/>
  <c r="BO157" i="8"/>
  <c r="BN192" i="8"/>
  <c r="BO204" i="8"/>
  <c r="BO555" i="8"/>
  <c r="BO305" i="8"/>
  <c r="BO322" i="8"/>
  <c r="BO546" i="8"/>
  <c r="BN87" i="8"/>
  <c r="BO114" i="8"/>
  <c r="BO144" i="8"/>
  <c r="BO262" i="8"/>
  <c r="BO267" i="8"/>
  <c r="BO561" i="8"/>
  <c r="BO285" i="8"/>
  <c r="BO338" i="8"/>
  <c r="BN65" i="8"/>
  <c r="BO110" i="8"/>
  <c r="BN127" i="8"/>
  <c r="BO127" i="8"/>
  <c r="BO137" i="8"/>
  <c r="BN275" i="8"/>
  <c r="BO332" i="8"/>
  <c r="BO385" i="8"/>
  <c r="BN138" i="8"/>
  <c r="BN168" i="8"/>
  <c r="BO132" i="8"/>
  <c r="BO160" i="8"/>
  <c r="BN207" i="8"/>
  <c r="BO219" i="8"/>
  <c r="BN231" i="8"/>
  <c r="BN235" i="8"/>
  <c r="BO308" i="8"/>
  <c r="BN325" i="8"/>
  <c r="BN53" i="8"/>
  <c r="BN59" i="8"/>
  <c r="BN74" i="8"/>
  <c r="BO74" i="8"/>
  <c r="BN95" i="8"/>
  <c r="BO133" i="8"/>
  <c r="BO153" i="8"/>
  <c r="BN165" i="8"/>
  <c r="BN196" i="8"/>
  <c r="BN244" i="8"/>
  <c r="BO260" i="8"/>
  <c r="BO309" i="8"/>
  <c r="BN318" i="8"/>
  <c r="BN40" i="8"/>
  <c r="BN781" i="8"/>
  <c r="BN75" i="8"/>
  <c r="BN116" i="8"/>
  <c r="BN119" i="8"/>
  <c r="BN134" i="8"/>
  <c r="BO148" i="8"/>
  <c r="BN218" i="8"/>
  <c r="BN243" i="8"/>
  <c r="BO276" i="8"/>
  <c r="BN302" i="8"/>
  <c r="BO319" i="8"/>
  <c r="BN334" i="8"/>
  <c r="BO68" i="8"/>
  <c r="BO120" i="8"/>
  <c r="BN149" i="8"/>
  <c r="BN176" i="8"/>
  <c r="BO176" i="8"/>
  <c r="BN185" i="8"/>
  <c r="BN217" i="8"/>
  <c r="BN256" i="8"/>
  <c r="BN370" i="8"/>
  <c r="BN376" i="8"/>
  <c r="BO56" i="8"/>
  <c r="BN122" i="8"/>
  <c r="BN135" i="8"/>
  <c r="BN150" i="8"/>
  <c r="BN552" i="8"/>
  <c r="BN227" i="8"/>
  <c r="BO233" i="8"/>
  <c r="BO264" i="8"/>
  <c r="BO278" i="8"/>
  <c r="BO344" i="8"/>
  <c r="BN847" i="8"/>
  <c r="BO98" i="8"/>
  <c r="BN98" i="8"/>
  <c r="BO109" i="8"/>
  <c r="BO130" i="8"/>
  <c r="BN162" i="8"/>
  <c r="BO200" i="8"/>
  <c r="BO222" i="8"/>
  <c r="BO247" i="8"/>
  <c r="BO242" i="8"/>
  <c r="BN274" i="8"/>
  <c r="BO292" i="8"/>
  <c r="BO279" i="8"/>
  <c r="BN330" i="8"/>
  <c r="BN337" i="8"/>
  <c r="BO337" i="8"/>
  <c r="BN114" i="8"/>
  <c r="BO131" i="8"/>
  <c r="BN136" i="8"/>
  <c r="BN193" i="8"/>
  <c r="BN26" i="8"/>
  <c r="BN205" i="8"/>
  <c r="BN210" i="8"/>
  <c r="BN237" i="8"/>
  <c r="BN293" i="8"/>
  <c r="BO331" i="8"/>
  <c r="BO365" i="8"/>
  <c r="BN89" i="8"/>
  <c r="BN100" i="8"/>
  <c r="BO108" i="8"/>
  <c r="BN108" i="8"/>
  <c r="BO23" i="8"/>
  <c r="BN161" i="8"/>
  <c r="BO163" i="8"/>
  <c r="BO174" i="8"/>
  <c r="BO211" i="8"/>
  <c r="BN230" i="8"/>
  <c r="BO240" i="8"/>
  <c r="BO258" i="8"/>
  <c r="BN307" i="8"/>
  <c r="BN374" i="8"/>
  <c r="BN366" i="8"/>
  <c r="BV808" i="8"/>
  <c r="BU808" i="8"/>
  <c r="BN14" i="8"/>
  <c r="BO14" i="8"/>
  <c r="AI389" i="8"/>
  <c r="AW389" i="8"/>
  <c r="BF389" i="8"/>
  <c r="AX389" i="8"/>
  <c r="BG389" i="8"/>
  <c r="AY389" i="8"/>
  <c r="BH389" i="8"/>
  <c r="AR389" i="8"/>
  <c r="AZ389" i="8"/>
  <c r="BI389" i="8"/>
  <c r="AS389" i="8"/>
  <c r="BA389" i="8"/>
  <c r="BJ389" i="8"/>
  <c r="AT389" i="8"/>
  <c r="BC389" i="8"/>
  <c r="BK389" i="8"/>
  <c r="AU389" i="8"/>
  <c r="BD389" i="8"/>
  <c r="BL389" i="8"/>
  <c r="AV389" i="8"/>
  <c r="BE389" i="8"/>
  <c r="BT22" i="8"/>
  <c r="BW22" i="8"/>
  <c r="BT781" i="8"/>
  <c r="BW781" i="8"/>
  <c r="BT491" i="8"/>
  <c r="BW491" i="8"/>
  <c r="BT536" i="8"/>
  <c r="BW536" i="8"/>
  <c r="BT555" i="8"/>
  <c r="BW555" i="8"/>
  <c r="BT490" i="8"/>
  <c r="BW490" i="8"/>
  <c r="BT553" i="8"/>
  <c r="BW553" i="8"/>
  <c r="BT14" i="8"/>
  <c r="BW14" i="8"/>
  <c r="BT15" i="8"/>
  <c r="BW15" i="8"/>
  <c r="BT23" i="8"/>
  <c r="BW23" i="8"/>
  <c r="BT495" i="8"/>
  <c r="BW495" i="8"/>
  <c r="BT535" i="8"/>
  <c r="BW535" i="8"/>
  <c r="BT551" i="8"/>
  <c r="BW551" i="8"/>
  <c r="BT548" i="8"/>
  <c r="BW548" i="8"/>
  <c r="BT492" i="8"/>
  <c r="BW492" i="8"/>
  <c r="BT26" i="8"/>
  <c r="BW26" i="8"/>
  <c r="BT547" i="8"/>
  <c r="BW547" i="8"/>
  <c r="BT561" i="8"/>
  <c r="BW561" i="8"/>
  <c r="BT552" i="8"/>
  <c r="BW552" i="8"/>
  <c r="BT493" i="8"/>
  <c r="BW493" i="8"/>
  <c r="BT785" i="8"/>
  <c r="BW785" i="8"/>
  <c r="BT546" i="8"/>
  <c r="BW546" i="8"/>
  <c r="BT808" i="8"/>
  <c r="BW808" i="8"/>
  <c r="BT494" i="8"/>
  <c r="BW494" i="8"/>
  <c r="BT29" i="8"/>
  <c r="BW29" i="8"/>
  <c r="BT16" i="8"/>
  <c r="BW16" i="8"/>
  <c r="BT780" i="8"/>
  <c r="BW780" i="8"/>
  <c r="BT17" i="8"/>
  <c r="BW17" i="8"/>
  <c r="U447" i="8"/>
  <c r="V447" i="8"/>
  <c r="Y447" i="8"/>
  <c r="AA447" i="8"/>
  <c r="AI447" i="8"/>
  <c r="U389" i="8"/>
  <c r="U587" i="8"/>
  <c r="U609" i="8"/>
  <c r="U588" i="8"/>
  <c r="U592" i="8"/>
  <c r="U621" i="8"/>
  <c r="U594" i="8"/>
  <c r="U596" i="8"/>
  <c r="U589" i="8"/>
  <c r="U390" i="8"/>
  <c r="U591" i="8"/>
  <c r="U391" i="8"/>
  <c r="U392" i="8"/>
  <c r="U598" i="8"/>
  <c r="U393" i="8"/>
  <c r="U394" i="8"/>
  <c r="U395" i="8"/>
  <c r="U619" i="8"/>
  <c r="U600" i="8"/>
  <c r="U599" i="8"/>
  <c r="U396" i="8"/>
  <c r="U397" i="8"/>
  <c r="U398" i="8"/>
  <c r="U399" i="8"/>
  <c r="U400" i="8"/>
  <c r="U401" i="8"/>
  <c r="U402" i="8"/>
  <c r="U403" i="8"/>
  <c r="U404" i="8"/>
  <c r="U405" i="8"/>
  <c r="U406" i="8"/>
  <c r="U407" i="8"/>
  <c r="U408" i="8"/>
  <c r="U409" i="8"/>
  <c r="U410" i="8"/>
  <c r="U411" i="8"/>
  <c r="U412" i="8"/>
  <c r="U413" i="8"/>
  <c r="U584" i="8"/>
  <c r="U649" i="8"/>
  <c r="U655" i="8"/>
  <c r="U415" i="8"/>
  <c r="U620" i="8"/>
  <c r="U602" i="8"/>
  <c r="U601" i="8"/>
  <c r="U416" i="8"/>
  <c r="U417" i="8"/>
  <c r="U603" i="8"/>
  <c r="U418" i="8"/>
  <c r="U419" i="8"/>
  <c r="U420" i="8"/>
  <c r="U421" i="8"/>
  <c r="U639" i="8"/>
  <c r="U650" i="8"/>
  <c r="U423" i="8"/>
  <c r="U659" i="8"/>
  <c r="U660" i="8"/>
  <c r="U661" i="8"/>
  <c r="U662" i="8"/>
  <c r="U625" i="8"/>
  <c r="U667" i="8"/>
  <c r="U626" i="8"/>
  <c r="U424" i="8"/>
  <c r="U425" i="8"/>
  <c r="U426" i="8"/>
  <c r="U656" i="8"/>
  <c r="U651" i="8"/>
  <c r="U657" i="8"/>
  <c r="U427" i="8"/>
  <c r="U428" i="8"/>
  <c r="U429" i="8"/>
  <c r="U430" i="8"/>
  <c r="U431" i="8"/>
  <c r="U432" i="8"/>
  <c r="U606" i="8"/>
  <c r="U643" i="8"/>
  <c r="U663" i="8"/>
  <c r="U627" i="8"/>
  <c r="U434" i="8"/>
  <c r="U664" i="8"/>
  <c r="U607" i="8"/>
  <c r="U608" i="8"/>
  <c r="U435" i="8"/>
  <c r="U436" i="8"/>
  <c r="U437" i="8"/>
  <c r="U438" i="8"/>
  <c r="U439" i="8"/>
  <c r="U440" i="8"/>
  <c r="U441" i="8"/>
  <c r="U442" i="8"/>
  <c r="U443" i="8"/>
  <c r="U444" i="8"/>
  <c r="U445" i="8"/>
  <c r="U446" i="8"/>
  <c r="U449" i="8"/>
  <c r="U451" i="8"/>
  <c r="U610" i="8"/>
  <c r="U611" i="8"/>
  <c r="U612" i="8"/>
  <c r="U452" i="8"/>
  <c r="U652" i="8"/>
  <c r="U453" i="8"/>
  <c r="U613" i="8"/>
  <c r="U614" i="8"/>
  <c r="U628" i="8"/>
  <c r="U454" i="8"/>
  <c r="U455" i="8"/>
  <c r="U456" i="8"/>
  <c r="U457" i="8"/>
  <c r="U458" i="8"/>
  <c r="U459" i="8"/>
  <c r="U630" i="8"/>
  <c r="U631" i="8"/>
  <c r="U461" i="8"/>
  <c r="U448" i="8"/>
  <c r="U666" i="8"/>
  <c r="U462" i="8"/>
  <c r="U463" i="8"/>
  <c r="U464" i="8"/>
  <c r="U465" i="8"/>
  <c r="U586" i="8"/>
  <c r="U466" i="8"/>
  <c r="U467" i="8"/>
  <c r="U468" i="8"/>
  <c r="U469" i="8"/>
  <c r="U470" i="8"/>
  <c r="U471" i="8"/>
  <c r="U473" i="8"/>
  <c r="U474" i="8"/>
  <c r="U615" i="8"/>
  <c r="U632" i="8"/>
  <c r="U654" i="8"/>
  <c r="U636" i="8"/>
  <c r="U637" i="8"/>
  <c r="U638" i="8"/>
  <c r="U476" i="8"/>
  <c r="U477" i="8"/>
  <c r="U478" i="8"/>
  <c r="U634" i="8"/>
  <c r="U635" i="8"/>
  <c r="U618" i="8"/>
  <c r="U653" i="8"/>
  <c r="U479" i="8"/>
  <c r="U480" i="8"/>
  <c r="U481" i="8"/>
  <c r="U482" i="8"/>
  <c r="U483" i="8"/>
  <c r="U484" i="8"/>
  <c r="U485" i="8"/>
  <c r="U486" i="8"/>
  <c r="U487" i="8"/>
  <c r="U488" i="8"/>
  <c r="U622" i="8"/>
  <c r="U624" i="8"/>
  <c r="U623" i="8"/>
  <c r="U489" i="8"/>
  <c r="U605" i="8"/>
  <c r="U671" i="8"/>
  <c r="U669" i="8"/>
  <c r="U585" i="8"/>
  <c r="AK599" i="8"/>
  <c r="AI599" i="8"/>
  <c r="V599" i="8"/>
  <c r="X599" i="8"/>
  <c r="Y599" i="8"/>
  <c r="AA599" i="8"/>
  <c r="AI419" i="8"/>
  <c r="V419" i="8"/>
  <c r="X419" i="8"/>
  <c r="Y419" i="8"/>
  <c r="AA419" i="8"/>
  <c r="AI448" i="8"/>
  <c r="V448" i="8"/>
  <c r="X448" i="8"/>
  <c r="Y448" i="8"/>
  <c r="AA448" i="8"/>
  <c r="BN389" i="8"/>
  <c r="AR448" i="8"/>
  <c r="AZ448" i="8"/>
  <c r="BI448" i="8"/>
  <c r="AS448" i="8"/>
  <c r="BA448" i="8"/>
  <c r="BJ448" i="8"/>
  <c r="AT448" i="8"/>
  <c r="BC448" i="8"/>
  <c r="BK448" i="8"/>
  <c r="AV448" i="8"/>
  <c r="BE448" i="8"/>
  <c r="AW448" i="8"/>
  <c r="BF448" i="8"/>
  <c r="AX448" i="8"/>
  <c r="BG448" i="8"/>
  <c r="BH448" i="8"/>
  <c r="AY448" i="8"/>
  <c r="BD448" i="8"/>
  <c r="AU448" i="8"/>
  <c r="BL448" i="8"/>
  <c r="AV599" i="8"/>
  <c r="BE599" i="8"/>
  <c r="AW599" i="8"/>
  <c r="BF599" i="8"/>
  <c r="AX599" i="8"/>
  <c r="BG599" i="8"/>
  <c r="AY599" i="8"/>
  <c r="BH599" i="8"/>
  <c r="AR599" i="8"/>
  <c r="AZ599" i="8"/>
  <c r="BI599" i="8"/>
  <c r="AS599" i="8"/>
  <c r="BA599" i="8"/>
  <c r="BJ599" i="8"/>
  <c r="AT599" i="8"/>
  <c r="BC599" i="8"/>
  <c r="BK599" i="8"/>
  <c r="AU599" i="8"/>
  <c r="BD599" i="8"/>
  <c r="BL599" i="8"/>
  <c r="BO389" i="8"/>
  <c r="AV447" i="8"/>
  <c r="BE447" i="8"/>
  <c r="AW447" i="8"/>
  <c r="BF447" i="8"/>
  <c r="AX447" i="8"/>
  <c r="BG447" i="8"/>
  <c r="AR447" i="8"/>
  <c r="AZ447" i="8"/>
  <c r="BI447" i="8"/>
  <c r="AS447" i="8"/>
  <c r="BA447" i="8"/>
  <c r="BJ447" i="8"/>
  <c r="AT447" i="8"/>
  <c r="BC447" i="8"/>
  <c r="BK447" i="8"/>
  <c r="AU447" i="8"/>
  <c r="BD447" i="8"/>
  <c r="BH447" i="8"/>
  <c r="BL447" i="8"/>
  <c r="AY447" i="8"/>
  <c r="AX419" i="8"/>
  <c r="BG419" i="8"/>
  <c r="AY419" i="8"/>
  <c r="BH419" i="8"/>
  <c r="AR419" i="8"/>
  <c r="AZ419" i="8"/>
  <c r="BI419" i="8"/>
  <c r="AU419" i="8"/>
  <c r="BD419" i="8"/>
  <c r="BL419" i="8"/>
  <c r="BF419" i="8"/>
  <c r="AT419" i="8"/>
  <c r="BK419" i="8"/>
  <c r="AW419" i="8"/>
  <c r="BC419" i="8"/>
  <c r="BJ419" i="8"/>
  <c r="AS419" i="8"/>
  <c r="AV419" i="8"/>
  <c r="BA419" i="8"/>
  <c r="BE419" i="8"/>
  <c r="AL599" i="8"/>
  <c r="AM599" i="8"/>
  <c r="BU599" i="8"/>
  <c r="AN599" i="8"/>
  <c r="BV599" i="8"/>
  <c r="AM447" i="8"/>
  <c r="AN447" i="8"/>
  <c r="AL447" i="8"/>
  <c r="AM419" i="8"/>
  <c r="AN419" i="8"/>
  <c r="AL419" i="8"/>
  <c r="AM448" i="8"/>
  <c r="AN448" i="8"/>
  <c r="AL448" i="8"/>
  <c r="AK671" i="8"/>
  <c r="AI671" i="8"/>
  <c r="AI669" i="8"/>
  <c r="V671" i="8"/>
  <c r="V669" i="8"/>
  <c r="AK635" i="8"/>
  <c r="BO448" i="8"/>
  <c r="AS669" i="8"/>
  <c r="BA669" i="8"/>
  <c r="BJ669" i="8"/>
  <c r="AT669" i="8"/>
  <c r="BC669" i="8"/>
  <c r="BK669" i="8"/>
  <c r="AU669" i="8"/>
  <c r="BD669" i="8"/>
  <c r="BL669" i="8"/>
  <c r="AV669" i="8"/>
  <c r="BE669" i="8"/>
  <c r="AW669" i="8"/>
  <c r="BF669" i="8"/>
  <c r="AX669" i="8"/>
  <c r="BG669" i="8"/>
  <c r="AY669" i="8"/>
  <c r="BH669" i="8"/>
  <c r="AR669" i="8"/>
  <c r="AZ669" i="8"/>
  <c r="BI669" i="8"/>
  <c r="BN447" i="8"/>
  <c r="AR671" i="8"/>
  <c r="AZ671" i="8"/>
  <c r="BI671" i="8"/>
  <c r="AS671" i="8"/>
  <c r="BA671" i="8"/>
  <c r="BJ671" i="8"/>
  <c r="AT671" i="8"/>
  <c r="BC671" i="8"/>
  <c r="BK671" i="8"/>
  <c r="AU671" i="8"/>
  <c r="BD671" i="8"/>
  <c r="BL671" i="8"/>
  <c r="AV671" i="8"/>
  <c r="BE671" i="8"/>
  <c r="AW671" i="8"/>
  <c r="BF671" i="8"/>
  <c r="AX671" i="8"/>
  <c r="BG671" i="8"/>
  <c r="AY671" i="8"/>
  <c r="BH671" i="8"/>
  <c r="BO447" i="8"/>
  <c r="BN419" i="8"/>
  <c r="BO419" i="8"/>
  <c r="BO599" i="8"/>
  <c r="BN448" i="8"/>
  <c r="BN599" i="8"/>
  <c r="V632" i="8"/>
  <c r="AI632" i="8"/>
  <c r="AK632" i="8"/>
  <c r="Y632" i="8"/>
  <c r="AA632" i="8"/>
  <c r="Y669" i="8"/>
  <c r="AA669" i="8"/>
  <c r="Y671" i="8"/>
  <c r="AA671" i="8"/>
  <c r="AL671" i="8"/>
  <c r="V478" i="8"/>
  <c r="X478" i="8"/>
  <c r="Y478" i="8"/>
  <c r="AA478" i="8"/>
  <c r="V389" i="8"/>
  <c r="X389" i="8"/>
  <c r="Y389" i="8"/>
  <c r="AA389" i="8"/>
  <c r="BN671" i="8"/>
  <c r="AR632" i="8"/>
  <c r="AZ632" i="8"/>
  <c r="BI632" i="8"/>
  <c r="AS632" i="8"/>
  <c r="BA632" i="8"/>
  <c r="AT632" i="8"/>
  <c r="BC632" i="8"/>
  <c r="BK632" i="8"/>
  <c r="AU632" i="8"/>
  <c r="BD632" i="8"/>
  <c r="BL632" i="8"/>
  <c r="AV632" i="8"/>
  <c r="BE632" i="8"/>
  <c r="AX632" i="8"/>
  <c r="BG632" i="8"/>
  <c r="AY632" i="8"/>
  <c r="BF632" i="8"/>
  <c r="BH632" i="8"/>
  <c r="BJ632" i="8"/>
  <c r="AW632" i="8"/>
  <c r="BO671" i="8"/>
  <c r="BO669" i="8"/>
  <c r="BN669" i="8"/>
  <c r="AM632" i="8"/>
  <c r="BU632" i="8"/>
  <c r="AN632" i="8"/>
  <c r="BV632" i="8"/>
  <c r="AN671" i="8"/>
  <c r="BV671" i="8"/>
  <c r="AM671" i="8"/>
  <c r="BU671" i="8"/>
  <c r="AL632" i="8"/>
  <c r="BT599" i="8"/>
  <c r="BW599" i="8"/>
  <c r="AM669" i="8"/>
  <c r="BU669" i="8"/>
  <c r="AN669" i="8"/>
  <c r="BV669" i="8"/>
  <c r="AL669" i="8"/>
  <c r="AN389" i="8"/>
  <c r="AM389" i="8"/>
  <c r="AL389" i="8"/>
  <c r="AK654" i="8"/>
  <c r="V613" i="8"/>
  <c r="X613" i="8"/>
  <c r="Y613" i="8"/>
  <c r="AA613" i="8"/>
  <c r="AK613" i="8"/>
  <c r="AI613" i="8"/>
  <c r="AK651" i="8"/>
  <c r="V650" i="8"/>
  <c r="X650" i="8"/>
  <c r="Y650" i="8"/>
  <c r="AA650" i="8"/>
  <c r="AI650" i="8"/>
  <c r="AK650" i="8"/>
  <c r="BO632" i="8"/>
  <c r="AW613" i="8"/>
  <c r="BF613" i="8"/>
  <c r="AX613" i="8"/>
  <c r="BG613" i="8"/>
  <c r="AY613" i="8"/>
  <c r="BH613" i="8"/>
  <c r="AR613" i="8"/>
  <c r="AZ613" i="8"/>
  <c r="BI613" i="8"/>
  <c r="AS613" i="8"/>
  <c r="BA613" i="8"/>
  <c r="BJ613" i="8"/>
  <c r="AT613" i="8"/>
  <c r="BC613" i="8"/>
  <c r="BK613" i="8"/>
  <c r="AU613" i="8"/>
  <c r="BD613" i="8"/>
  <c r="BL613" i="8"/>
  <c r="AV613" i="8"/>
  <c r="BE613" i="8"/>
  <c r="BN632" i="8"/>
  <c r="AX650" i="8"/>
  <c r="BG650" i="8"/>
  <c r="AY650" i="8"/>
  <c r="BH650" i="8"/>
  <c r="AR650" i="8"/>
  <c r="AZ650" i="8"/>
  <c r="BI650" i="8"/>
  <c r="AS650" i="8"/>
  <c r="BA650" i="8"/>
  <c r="BJ650" i="8"/>
  <c r="AT650" i="8"/>
  <c r="BC650" i="8"/>
  <c r="BK650" i="8"/>
  <c r="AU650" i="8"/>
  <c r="BD650" i="8"/>
  <c r="BL650" i="8"/>
  <c r="AV650" i="8"/>
  <c r="BE650" i="8"/>
  <c r="AW650" i="8"/>
  <c r="BF650" i="8"/>
  <c r="BT669" i="8"/>
  <c r="BW669" i="8"/>
  <c r="BT671" i="8"/>
  <c r="BW671" i="8"/>
  <c r="AL613" i="8"/>
  <c r="AL650" i="8"/>
  <c r="AM650" i="8"/>
  <c r="BU650" i="8"/>
  <c r="AN650" i="8"/>
  <c r="BV650" i="8"/>
  <c r="AM613" i="8"/>
  <c r="BU613" i="8"/>
  <c r="AN613" i="8"/>
  <c r="BV613" i="8"/>
  <c r="BN613" i="8"/>
  <c r="BN650" i="8"/>
  <c r="BO650" i="8"/>
  <c r="BO613" i="8"/>
  <c r="BT632" i="8"/>
  <c r="BW632" i="8"/>
  <c r="AI612" i="8"/>
  <c r="AI611" i="8"/>
  <c r="AK611" i="8"/>
  <c r="AK601" i="8"/>
  <c r="AI601" i="8"/>
  <c r="AI600" i="8"/>
  <c r="V624" i="8"/>
  <c r="X624" i="8"/>
  <c r="Y624" i="8"/>
  <c r="AA624" i="8"/>
  <c r="V623" i="8"/>
  <c r="X623" i="8"/>
  <c r="Y623" i="8"/>
  <c r="AA623" i="8"/>
  <c r="AK622" i="8"/>
  <c r="AK624" i="8"/>
  <c r="AK623" i="8"/>
  <c r="AI622" i="8"/>
  <c r="AI624" i="8"/>
  <c r="AI623" i="8"/>
  <c r="V622" i="8"/>
  <c r="AK603" i="8"/>
  <c r="AI603" i="8"/>
  <c r="V603" i="8"/>
  <c r="X603" i="8"/>
  <c r="Y603" i="8"/>
  <c r="AA603" i="8"/>
  <c r="AK587" i="8"/>
  <c r="AK609" i="8"/>
  <c r="AK588" i="8"/>
  <c r="AK592" i="8"/>
  <c r="AK621" i="8"/>
  <c r="AK594" i="8"/>
  <c r="AK596" i="8"/>
  <c r="AK589" i="8"/>
  <c r="AK591" i="8"/>
  <c r="AK598" i="8"/>
  <c r="AK619" i="8"/>
  <c r="AK600" i="8"/>
  <c r="AK649" i="8"/>
  <c r="AK655" i="8"/>
  <c r="AK620" i="8"/>
  <c r="AK667" i="8"/>
  <c r="AK639" i="8"/>
  <c r="AK659" i="8"/>
  <c r="AK660" i="8"/>
  <c r="AK661" i="8"/>
  <c r="AK662" i="8"/>
  <c r="AK625" i="8"/>
  <c r="AK626" i="8"/>
  <c r="AK585" i="8"/>
  <c r="AK656" i="8"/>
  <c r="AK657" i="8"/>
  <c r="AK618" i="8"/>
  <c r="AK606" i="8"/>
  <c r="AK643" i="8"/>
  <c r="AK663" i="8"/>
  <c r="AK627" i="8"/>
  <c r="AK664" i="8"/>
  <c r="AK607" i="8"/>
  <c r="AK608" i="8"/>
  <c r="AK610" i="8"/>
  <c r="AK612" i="8"/>
  <c r="AK652" i="8"/>
  <c r="AK614" i="8"/>
  <c r="AK628" i="8"/>
  <c r="AK630" i="8"/>
  <c r="AK631" i="8"/>
  <c r="AK666" i="8"/>
  <c r="AK586" i="8"/>
  <c r="AK615" i="8"/>
  <c r="AK636" i="8"/>
  <c r="AK637" i="8"/>
  <c r="AK638" i="8"/>
  <c r="AK634" i="8"/>
  <c r="AK653" i="8"/>
  <c r="AK605" i="8"/>
  <c r="AK31" i="8"/>
  <c r="AW622" i="8"/>
  <c r="BF622" i="8"/>
  <c r="AX622" i="8"/>
  <c r="BG622" i="8"/>
  <c r="AY622" i="8"/>
  <c r="BH622" i="8"/>
  <c r="AR622" i="8"/>
  <c r="AZ622" i="8"/>
  <c r="BI622" i="8"/>
  <c r="AS622" i="8"/>
  <c r="BA622" i="8"/>
  <c r="BJ622" i="8"/>
  <c r="AT622" i="8"/>
  <c r="BC622" i="8"/>
  <c r="BK622" i="8"/>
  <c r="AU622" i="8"/>
  <c r="BD622" i="8"/>
  <c r="BL622" i="8"/>
  <c r="AV622" i="8"/>
  <c r="BE622" i="8"/>
  <c r="AX611" i="8"/>
  <c r="BG611" i="8"/>
  <c r="AY611" i="8"/>
  <c r="BH611" i="8"/>
  <c r="AR611" i="8"/>
  <c r="AZ611" i="8"/>
  <c r="BI611" i="8"/>
  <c r="AS611" i="8"/>
  <c r="BA611" i="8"/>
  <c r="BJ611" i="8"/>
  <c r="AT611" i="8"/>
  <c r="BC611" i="8"/>
  <c r="BK611" i="8"/>
  <c r="AU611" i="8"/>
  <c r="BD611" i="8"/>
  <c r="BL611" i="8"/>
  <c r="AV611" i="8"/>
  <c r="BE611" i="8"/>
  <c r="AW611" i="8"/>
  <c r="BF611" i="8"/>
  <c r="AT603" i="8"/>
  <c r="BC603" i="8"/>
  <c r="BK603" i="8"/>
  <c r="AU603" i="8"/>
  <c r="BD603" i="8"/>
  <c r="BL603" i="8"/>
  <c r="AV603" i="8"/>
  <c r="BE603" i="8"/>
  <c r="AW603" i="8"/>
  <c r="BF603" i="8"/>
  <c r="AX603" i="8"/>
  <c r="BG603" i="8"/>
  <c r="AY603" i="8"/>
  <c r="BH603" i="8"/>
  <c r="AR603" i="8"/>
  <c r="AZ603" i="8"/>
  <c r="BI603" i="8"/>
  <c r="AS603" i="8"/>
  <c r="BA603" i="8"/>
  <c r="BJ603" i="8"/>
  <c r="AS612" i="8"/>
  <c r="BA612" i="8"/>
  <c r="BJ612" i="8"/>
  <c r="AT612" i="8"/>
  <c r="BC612" i="8"/>
  <c r="BK612" i="8"/>
  <c r="AU612" i="8"/>
  <c r="BD612" i="8"/>
  <c r="BL612" i="8"/>
  <c r="AV612" i="8"/>
  <c r="BE612" i="8"/>
  <c r="AW612" i="8"/>
  <c r="BF612" i="8"/>
  <c r="AX612" i="8"/>
  <c r="BG612" i="8"/>
  <c r="AY612" i="8"/>
  <c r="BH612" i="8"/>
  <c r="AR612" i="8"/>
  <c r="AZ612" i="8"/>
  <c r="BI612" i="8"/>
  <c r="AR623" i="8"/>
  <c r="AZ623" i="8"/>
  <c r="BI623" i="8"/>
  <c r="AS623" i="8"/>
  <c r="BA623" i="8"/>
  <c r="BJ623" i="8"/>
  <c r="AT623" i="8"/>
  <c r="BC623" i="8"/>
  <c r="BK623" i="8"/>
  <c r="AU623" i="8"/>
  <c r="BD623" i="8"/>
  <c r="BL623" i="8"/>
  <c r="AV623" i="8"/>
  <c r="BE623" i="8"/>
  <c r="AW623" i="8"/>
  <c r="BF623" i="8"/>
  <c r="AX623" i="8"/>
  <c r="BG623" i="8"/>
  <c r="AY623" i="8"/>
  <c r="BH623" i="8"/>
  <c r="AR600" i="8"/>
  <c r="AZ600" i="8"/>
  <c r="BI600" i="8"/>
  <c r="AS600" i="8"/>
  <c r="BA600" i="8"/>
  <c r="BJ600" i="8"/>
  <c r="AT600" i="8"/>
  <c r="BC600" i="8"/>
  <c r="BK600" i="8"/>
  <c r="AU600" i="8"/>
  <c r="BD600" i="8"/>
  <c r="BL600" i="8"/>
  <c r="AV600" i="8"/>
  <c r="BE600" i="8"/>
  <c r="AW600" i="8"/>
  <c r="BF600" i="8"/>
  <c r="AX600" i="8"/>
  <c r="BG600" i="8"/>
  <c r="AY600" i="8"/>
  <c r="BH600" i="8"/>
  <c r="BI31" i="8"/>
  <c r="BK31" i="8"/>
  <c r="BC31" i="8"/>
  <c r="BE31" i="8"/>
  <c r="BJ31" i="8"/>
  <c r="BL31" i="8"/>
  <c r="BD31" i="8"/>
  <c r="BH31" i="8"/>
  <c r="BG31" i="8"/>
  <c r="BF31" i="8"/>
  <c r="AV624" i="8"/>
  <c r="BE624" i="8"/>
  <c r="AW624" i="8"/>
  <c r="BF624" i="8"/>
  <c r="AX624" i="8"/>
  <c r="BG624" i="8"/>
  <c r="AY624" i="8"/>
  <c r="BH624" i="8"/>
  <c r="AR624" i="8"/>
  <c r="AZ624" i="8"/>
  <c r="BI624" i="8"/>
  <c r="AS624" i="8"/>
  <c r="BA624" i="8"/>
  <c r="AT624" i="8"/>
  <c r="BC624" i="8"/>
  <c r="BK624" i="8"/>
  <c r="AU624" i="8"/>
  <c r="BD624" i="8"/>
  <c r="BL624" i="8"/>
  <c r="BJ624" i="8"/>
  <c r="AU601" i="8"/>
  <c r="BD601" i="8"/>
  <c r="BL601" i="8"/>
  <c r="AV601" i="8"/>
  <c r="BE601" i="8"/>
  <c r="AW601" i="8"/>
  <c r="BF601" i="8"/>
  <c r="AX601" i="8"/>
  <c r="BG601" i="8"/>
  <c r="AY601" i="8"/>
  <c r="BH601" i="8"/>
  <c r="AR601" i="8"/>
  <c r="AZ601" i="8"/>
  <c r="BI601" i="8"/>
  <c r="AS601" i="8"/>
  <c r="BA601" i="8"/>
  <c r="BJ601" i="8"/>
  <c r="AT601" i="8"/>
  <c r="BC601" i="8"/>
  <c r="BK601" i="8"/>
  <c r="AN31" i="8"/>
  <c r="D867" i="8"/>
  <c r="BT650" i="8"/>
  <c r="BW650" i="8"/>
  <c r="AM624" i="8"/>
  <c r="BU624" i="8"/>
  <c r="AN624" i="8"/>
  <c r="BV624" i="8"/>
  <c r="AM603" i="8"/>
  <c r="BU603" i="8"/>
  <c r="AN603" i="8"/>
  <c r="BV603" i="8"/>
  <c r="AL623" i="8"/>
  <c r="BT613" i="8"/>
  <c r="BW613" i="8"/>
  <c r="AL603" i="8"/>
  <c r="AL624" i="8"/>
  <c r="AM623" i="8"/>
  <c r="BU623" i="8"/>
  <c r="AN623" i="8"/>
  <c r="BV623" i="8"/>
  <c r="X622" i="8"/>
  <c r="Y622" i="8"/>
  <c r="AA622" i="8"/>
  <c r="BO603" i="8"/>
  <c r="BO623" i="8"/>
  <c r="BO611" i="8"/>
  <c r="BN603" i="8"/>
  <c r="BN622" i="8"/>
  <c r="BN612" i="8"/>
  <c r="BO622" i="8"/>
  <c r="BN600" i="8"/>
  <c r="BO600" i="8"/>
  <c r="BN611" i="8"/>
  <c r="BN624" i="8"/>
  <c r="BO31" i="8"/>
  <c r="BT31" i="8"/>
  <c r="BN601" i="8"/>
  <c r="BO601" i="8"/>
  <c r="BO624" i="8"/>
  <c r="BN623" i="8"/>
  <c r="BO612" i="8"/>
  <c r="BV31" i="8"/>
  <c r="AN622" i="8"/>
  <c r="BV622" i="8"/>
  <c r="AM622" i="8"/>
  <c r="BU622" i="8"/>
  <c r="AL622" i="8"/>
  <c r="AK571" i="8"/>
  <c r="AK572" i="8"/>
  <c r="AK574" i="8"/>
  <c r="AK575" i="8"/>
  <c r="AK577" i="8"/>
  <c r="AK579" i="8"/>
  <c r="AK580" i="8"/>
  <c r="AK581" i="8"/>
  <c r="AK582" i="8"/>
  <c r="AK583" i="8"/>
  <c r="AI572" i="8"/>
  <c r="AI574" i="8"/>
  <c r="AI575" i="8"/>
  <c r="AI577" i="8"/>
  <c r="AI579" i="8"/>
  <c r="AI580" i="8"/>
  <c r="AI581" i="8"/>
  <c r="AI582" i="8"/>
  <c r="AI583" i="8"/>
  <c r="AI571" i="8"/>
  <c r="Y571" i="8"/>
  <c r="AA571" i="8"/>
  <c r="Y572" i="8"/>
  <c r="AA572" i="8"/>
  <c r="Y574" i="8"/>
  <c r="AA574" i="8"/>
  <c r="Y575" i="8"/>
  <c r="AA575" i="8"/>
  <c r="Y577" i="8"/>
  <c r="AA577" i="8"/>
  <c r="Y579" i="8"/>
  <c r="AA579" i="8"/>
  <c r="Y580" i="8"/>
  <c r="AA580" i="8"/>
  <c r="Y581" i="8"/>
  <c r="AA581" i="8"/>
  <c r="Y582" i="8"/>
  <c r="AA582" i="8"/>
  <c r="Y583" i="8"/>
  <c r="AA583" i="8"/>
  <c r="V583" i="8"/>
  <c r="V582" i="8"/>
  <c r="V581" i="8"/>
  <c r="V580" i="8"/>
  <c r="V579" i="8"/>
  <c r="V577" i="8"/>
  <c r="V575" i="8"/>
  <c r="V574" i="8"/>
  <c r="V572" i="8"/>
  <c r="V571" i="8"/>
  <c r="BW31" i="8"/>
  <c r="AX572" i="8"/>
  <c r="BG572" i="8"/>
  <c r="AY572" i="8"/>
  <c r="BH572" i="8"/>
  <c r="AR572" i="8"/>
  <c r="AZ572" i="8"/>
  <c r="BI572" i="8"/>
  <c r="AS572" i="8"/>
  <c r="BA572" i="8"/>
  <c r="BJ572" i="8"/>
  <c r="AT572" i="8"/>
  <c r="BC572" i="8"/>
  <c r="BK572" i="8"/>
  <c r="AU572" i="8"/>
  <c r="BD572" i="8"/>
  <c r="BL572" i="8"/>
  <c r="AV572" i="8"/>
  <c r="BE572" i="8"/>
  <c r="AW572" i="8"/>
  <c r="BF572" i="8"/>
  <c r="AR582" i="8"/>
  <c r="AZ582" i="8"/>
  <c r="BI582" i="8"/>
  <c r="AS582" i="8"/>
  <c r="BA582" i="8"/>
  <c r="BJ582" i="8"/>
  <c r="AT582" i="8"/>
  <c r="BC582" i="8"/>
  <c r="BK582" i="8"/>
  <c r="AU582" i="8"/>
  <c r="BD582" i="8"/>
  <c r="BL582" i="8"/>
  <c r="AV582" i="8"/>
  <c r="BE582" i="8"/>
  <c r="AW582" i="8"/>
  <c r="BF582" i="8"/>
  <c r="AX582" i="8"/>
  <c r="BG582" i="8"/>
  <c r="AY582" i="8"/>
  <c r="BH582" i="8"/>
  <c r="AW581" i="8"/>
  <c r="BF581" i="8"/>
  <c r="AX581" i="8"/>
  <c r="BG581" i="8"/>
  <c r="AY581" i="8"/>
  <c r="BH581" i="8"/>
  <c r="AR581" i="8"/>
  <c r="AZ581" i="8"/>
  <c r="BI581" i="8"/>
  <c r="AS581" i="8"/>
  <c r="BA581" i="8"/>
  <c r="BJ581" i="8"/>
  <c r="AT581" i="8"/>
  <c r="BC581" i="8"/>
  <c r="BK581" i="8"/>
  <c r="AU581" i="8"/>
  <c r="BD581" i="8"/>
  <c r="BL581" i="8"/>
  <c r="AV581" i="8"/>
  <c r="BE581" i="8"/>
  <c r="AT580" i="8"/>
  <c r="BC580" i="8"/>
  <c r="BK580" i="8"/>
  <c r="AU580" i="8"/>
  <c r="BD580" i="8"/>
  <c r="BL580" i="8"/>
  <c r="AV580" i="8"/>
  <c r="BE580" i="8"/>
  <c r="AW580" i="8"/>
  <c r="BF580" i="8"/>
  <c r="AX580" i="8"/>
  <c r="BG580" i="8"/>
  <c r="AY580" i="8"/>
  <c r="BH580" i="8"/>
  <c r="AR580" i="8"/>
  <c r="AZ580" i="8"/>
  <c r="BI580" i="8"/>
  <c r="AS580" i="8"/>
  <c r="BA580" i="8"/>
  <c r="BJ580" i="8"/>
  <c r="AV583" i="8"/>
  <c r="BE583" i="8"/>
  <c r="AW583" i="8"/>
  <c r="BF583" i="8"/>
  <c r="AX583" i="8"/>
  <c r="BG583" i="8"/>
  <c r="AY583" i="8"/>
  <c r="BH583" i="8"/>
  <c r="AR583" i="8"/>
  <c r="AZ583" i="8"/>
  <c r="BI583" i="8"/>
  <c r="AS583" i="8"/>
  <c r="BA583" i="8"/>
  <c r="BJ583" i="8"/>
  <c r="AT583" i="8"/>
  <c r="BC583" i="8"/>
  <c r="BK583" i="8"/>
  <c r="AU583" i="8"/>
  <c r="BD583" i="8"/>
  <c r="BL583" i="8"/>
  <c r="AX579" i="8"/>
  <c r="BG579" i="8"/>
  <c r="AY579" i="8"/>
  <c r="BH579" i="8"/>
  <c r="AR579" i="8"/>
  <c r="AZ579" i="8"/>
  <c r="BI579" i="8"/>
  <c r="AS579" i="8"/>
  <c r="BA579" i="8"/>
  <c r="BJ579" i="8"/>
  <c r="AT579" i="8"/>
  <c r="BC579" i="8"/>
  <c r="BK579" i="8"/>
  <c r="AU579" i="8"/>
  <c r="BD579" i="8"/>
  <c r="BL579" i="8"/>
  <c r="AV579" i="8"/>
  <c r="BE579" i="8"/>
  <c r="AW579" i="8"/>
  <c r="BF579" i="8"/>
  <c r="AY577" i="8"/>
  <c r="BH577" i="8"/>
  <c r="AR577" i="8"/>
  <c r="AZ577" i="8"/>
  <c r="BI577" i="8"/>
  <c r="AS577" i="8"/>
  <c r="BA577" i="8"/>
  <c r="BJ577" i="8"/>
  <c r="AT577" i="8"/>
  <c r="BC577" i="8"/>
  <c r="BK577" i="8"/>
  <c r="AU577" i="8"/>
  <c r="BD577" i="8"/>
  <c r="BL577" i="8"/>
  <c r="AV577" i="8"/>
  <c r="BE577" i="8"/>
  <c r="AW577" i="8"/>
  <c r="BF577" i="8"/>
  <c r="AX577" i="8"/>
  <c r="BG577" i="8"/>
  <c r="AR575" i="8"/>
  <c r="AZ575" i="8"/>
  <c r="BI575" i="8"/>
  <c r="AS575" i="8"/>
  <c r="BA575" i="8"/>
  <c r="BJ575" i="8"/>
  <c r="AT575" i="8"/>
  <c r="BC575" i="8"/>
  <c r="BK575" i="8"/>
  <c r="AU575" i="8"/>
  <c r="BD575" i="8"/>
  <c r="BL575" i="8"/>
  <c r="AV575" i="8"/>
  <c r="BE575" i="8"/>
  <c r="AW575" i="8"/>
  <c r="BF575" i="8"/>
  <c r="AX575" i="8"/>
  <c r="BG575" i="8"/>
  <c r="AY575" i="8"/>
  <c r="BH575" i="8"/>
  <c r="AT571" i="8"/>
  <c r="BC571" i="8"/>
  <c r="BK571" i="8"/>
  <c r="AU571" i="8"/>
  <c r="BD571" i="8"/>
  <c r="BL571" i="8"/>
  <c r="AV571" i="8"/>
  <c r="BE571" i="8"/>
  <c r="AW571" i="8"/>
  <c r="BF571" i="8"/>
  <c r="AX571" i="8"/>
  <c r="BG571" i="8"/>
  <c r="AY571" i="8"/>
  <c r="BH571" i="8"/>
  <c r="AR571" i="8"/>
  <c r="AZ571" i="8"/>
  <c r="BI571" i="8"/>
  <c r="AS571" i="8"/>
  <c r="BA571" i="8"/>
  <c r="BJ571" i="8"/>
  <c r="AV574" i="8"/>
  <c r="BE574" i="8"/>
  <c r="AW574" i="8"/>
  <c r="BF574" i="8"/>
  <c r="AX574" i="8"/>
  <c r="BG574" i="8"/>
  <c r="AY574" i="8"/>
  <c r="BH574" i="8"/>
  <c r="AR574" i="8"/>
  <c r="AZ574" i="8"/>
  <c r="BI574" i="8"/>
  <c r="AS574" i="8"/>
  <c r="BA574" i="8"/>
  <c r="BJ574" i="8"/>
  <c r="AT574" i="8"/>
  <c r="BC574" i="8"/>
  <c r="BK574" i="8"/>
  <c r="AU574" i="8"/>
  <c r="BD574" i="8"/>
  <c r="BL574" i="8"/>
  <c r="BT623" i="8"/>
  <c r="BW623" i="8"/>
  <c r="BT603" i="8"/>
  <c r="BW603" i="8"/>
  <c r="BT622" i="8"/>
  <c r="BW622" i="8"/>
  <c r="BT624" i="8"/>
  <c r="BW624" i="8"/>
  <c r="BT601" i="8"/>
  <c r="AM572" i="8"/>
  <c r="BU572" i="8"/>
  <c r="AN572" i="8"/>
  <c r="BV572" i="8"/>
  <c r="AN583" i="8"/>
  <c r="BV583" i="8"/>
  <c r="AM583" i="8"/>
  <c r="BU583" i="8"/>
  <c r="AN580" i="8"/>
  <c r="BV580" i="8"/>
  <c r="AM580" i="8"/>
  <c r="BU580" i="8"/>
  <c r="AN577" i="8"/>
  <c r="AM577" i="8"/>
  <c r="BU577" i="8"/>
  <c r="AN571" i="8"/>
  <c r="AM571" i="8"/>
  <c r="BU571" i="8"/>
  <c r="AL583" i="8"/>
  <c r="AL580" i="8"/>
  <c r="AL577" i="8"/>
  <c r="AL572" i="8"/>
  <c r="AM582" i="8"/>
  <c r="BU582" i="8"/>
  <c r="AN582" i="8"/>
  <c r="BV582" i="8"/>
  <c r="AM579" i="8"/>
  <c r="BU579" i="8"/>
  <c r="AN579" i="8"/>
  <c r="BV579" i="8"/>
  <c r="AM575" i="8"/>
  <c r="BU575" i="8"/>
  <c r="AN575" i="8"/>
  <c r="BV575" i="8"/>
  <c r="AL582" i="8"/>
  <c r="AL579" i="8"/>
  <c r="AL575" i="8"/>
  <c r="BT600" i="8"/>
  <c r="BT611" i="8"/>
  <c r="AN581" i="8"/>
  <c r="BV581" i="8"/>
  <c r="AM581" i="8"/>
  <c r="BU581" i="8"/>
  <c r="AN574" i="8"/>
  <c r="BV574" i="8"/>
  <c r="AM574" i="8"/>
  <c r="BU574" i="8"/>
  <c r="AL571" i="8"/>
  <c r="AL581" i="8"/>
  <c r="AL574" i="8"/>
  <c r="BT612" i="8"/>
  <c r="BV577" i="8"/>
  <c r="D881" i="8"/>
  <c r="BV571" i="8"/>
  <c r="D880" i="8"/>
  <c r="BO583" i="8"/>
  <c r="BO579" i="8"/>
  <c r="BN571" i="8"/>
  <c r="BN581" i="8"/>
  <c r="BO580" i="8"/>
  <c r="BO581" i="8"/>
  <c r="BN574" i="8"/>
  <c r="BN575" i="8"/>
  <c r="BN582" i="8"/>
  <c r="BN572" i="8"/>
  <c r="BO575" i="8"/>
  <c r="BO582" i="8"/>
  <c r="BO572" i="8"/>
  <c r="BN577" i="8"/>
  <c r="BN580" i="8"/>
  <c r="BO571" i="8"/>
  <c r="BO577" i="8"/>
  <c r="BO574" i="8"/>
  <c r="BN579" i="8"/>
  <c r="BN583" i="8"/>
  <c r="AL245" i="8"/>
  <c r="AM245" i="8"/>
  <c r="AN245" i="8"/>
  <c r="BT583" i="8"/>
  <c r="BW583" i="8"/>
  <c r="BT580" i="8"/>
  <c r="BW580" i="8"/>
  <c r="BT577" i="8"/>
  <c r="BW577" i="8"/>
  <c r="BT572" i="8"/>
  <c r="BW572" i="8"/>
  <c r="BT571" i="8"/>
  <c r="BW571" i="8"/>
  <c r="BT581" i="8"/>
  <c r="BW581" i="8"/>
  <c r="BT579" i="8"/>
  <c r="BW579" i="8"/>
  <c r="BT582" i="8"/>
  <c r="BW582" i="8"/>
  <c r="BT574" i="8"/>
  <c r="BW574" i="8"/>
  <c r="BT575" i="8"/>
  <c r="BW575" i="8"/>
  <c r="V605" i="8"/>
  <c r="X605" i="8"/>
  <c r="V489" i="8"/>
  <c r="X489" i="8"/>
  <c r="V488" i="8"/>
  <c r="X488" i="8"/>
  <c r="V487" i="8"/>
  <c r="X487" i="8"/>
  <c r="V486" i="8"/>
  <c r="X486" i="8"/>
  <c r="V485" i="8"/>
  <c r="X485" i="8"/>
  <c r="V484" i="8"/>
  <c r="X484" i="8"/>
  <c r="V483" i="8"/>
  <c r="X483" i="8"/>
  <c r="V482" i="8"/>
  <c r="X482" i="8"/>
  <c r="V481" i="8"/>
  <c r="X481" i="8"/>
  <c r="V480" i="8"/>
  <c r="X480" i="8"/>
  <c r="V479" i="8"/>
  <c r="X479" i="8"/>
  <c r="V653" i="8"/>
  <c r="X653" i="8"/>
  <c r="V634" i="8"/>
  <c r="X634" i="8"/>
  <c r="V635" i="8"/>
  <c r="X635" i="8"/>
  <c r="V477" i="8"/>
  <c r="X477" i="8"/>
  <c r="V476" i="8"/>
  <c r="X476" i="8"/>
  <c r="V638" i="8"/>
  <c r="X638" i="8"/>
  <c r="V637" i="8"/>
  <c r="X637" i="8"/>
  <c r="V636" i="8"/>
  <c r="X636" i="8"/>
  <c r="V654" i="8"/>
  <c r="X654" i="8"/>
  <c r="V615" i="8"/>
  <c r="X615" i="8"/>
  <c r="V474" i="8"/>
  <c r="X474" i="8"/>
  <c r="V473" i="8"/>
  <c r="X473" i="8"/>
  <c r="V471" i="8"/>
  <c r="X471" i="8"/>
  <c r="V470" i="8"/>
  <c r="X470" i="8"/>
  <c r="V469" i="8"/>
  <c r="X469" i="8"/>
  <c r="V468" i="8"/>
  <c r="X468" i="8"/>
  <c r="V467" i="8"/>
  <c r="X467" i="8"/>
  <c r="V466" i="8"/>
  <c r="X466" i="8"/>
  <c r="V586" i="8"/>
  <c r="X586" i="8"/>
  <c r="V465" i="8"/>
  <c r="X465" i="8"/>
  <c r="V464" i="8"/>
  <c r="X464" i="8"/>
  <c r="V463" i="8"/>
  <c r="X463" i="8"/>
  <c r="V462" i="8"/>
  <c r="X462" i="8"/>
  <c r="V666" i="8"/>
  <c r="X666" i="8"/>
  <c r="V461" i="8"/>
  <c r="X461" i="8"/>
  <c r="V631" i="8"/>
  <c r="X631" i="8"/>
  <c r="V630" i="8"/>
  <c r="X630" i="8"/>
  <c r="V459" i="8"/>
  <c r="X459" i="8"/>
  <c r="V458" i="8"/>
  <c r="X458" i="8"/>
  <c r="V457" i="8"/>
  <c r="X457" i="8"/>
  <c r="V456" i="8"/>
  <c r="X456" i="8"/>
  <c r="V455" i="8"/>
  <c r="X455" i="8"/>
  <c r="V454" i="8"/>
  <c r="X454" i="8"/>
  <c r="V628" i="8"/>
  <c r="X628" i="8"/>
  <c r="V614" i="8"/>
  <c r="X614" i="8"/>
  <c r="V453" i="8"/>
  <c r="X453" i="8"/>
  <c r="V652" i="8"/>
  <c r="X652" i="8"/>
  <c r="V452" i="8"/>
  <c r="X452" i="8"/>
  <c r="V612" i="8"/>
  <c r="X612" i="8"/>
  <c r="V611" i="8"/>
  <c r="X611" i="8"/>
  <c r="V610" i="8"/>
  <c r="X610" i="8"/>
  <c r="V451" i="8"/>
  <c r="X451" i="8"/>
  <c r="V449" i="8"/>
  <c r="X449" i="8"/>
  <c r="Y449" i="8"/>
  <c r="AA449" i="8"/>
  <c r="V446" i="8"/>
  <c r="X446" i="8"/>
  <c r="V445" i="8"/>
  <c r="X445" i="8"/>
  <c r="V444" i="8"/>
  <c r="X444" i="8"/>
  <c r="V443" i="8"/>
  <c r="X443" i="8"/>
  <c r="V442" i="8"/>
  <c r="X442" i="8"/>
  <c r="V441" i="8"/>
  <c r="X441" i="8"/>
  <c r="V440" i="8"/>
  <c r="X440" i="8"/>
  <c r="V439" i="8"/>
  <c r="X439" i="8"/>
  <c r="V438" i="8"/>
  <c r="X438" i="8"/>
  <c r="V437" i="8"/>
  <c r="X437" i="8"/>
  <c r="V436" i="8"/>
  <c r="X436" i="8"/>
  <c r="V435" i="8"/>
  <c r="X435" i="8"/>
  <c r="V608" i="8"/>
  <c r="X608" i="8"/>
  <c r="V607" i="8"/>
  <c r="X607" i="8"/>
  <c r="V664" i="8"/>
  <c r="X664" i="8"/>
  <c r="V434" i="8"/>
  <c r="X434" i="8"/>
  <c r="V627" i="8"/>
  <c r="X627" i="8"/>
  <c r="V663" i="8"/>
  <c r="X663" i="8"/>
  <c r="V643" i="8"/>
  <c r="X643" i="8"/>
  <c r="V606" i="8"/>
  <c r="X606" i="8"/>
  <c r="V432" i="8"/>
  <c r="X432" i="8"/>
  <c r="V618" i="8"/>
  <c r="X618" i="8"/>
  <c r="V431" i="8"/>
  <c r="X431" i="8"/>
  <c r="V430" i="8"/>
  <c r="X430" i="8"/>
  <c r="V429" i="8"/>
  <c r="X429" i="8"/>
  <c r="V428" i="8"/>
  <c r="X428" i="8"/>
  <c r="V427" i="8"/>
  <c r="X427" i="8"/>
  <c r="V657" i="8"/>
  <c r="X657" i="8"/>
  <c r="V651" i="8"/>
  <c r="X651" i="8"/>
  <c r="V656" i="8"/>
  <c r="X656" i="8"/>
  <c r="V426" i="8"/>
  <c r="X426" i="8"/>
  <c r="V425" i="8"/>
  <c r="X425" i="8"/>
  <c r="V424" i="8"/>
  <c r="X424" i="8"/>
  <c r="V585" i="8"/>
  <c r="X585" i="8"/>
  <c r="V626" i="8"/>
  <c r="X626" i="8"/>
  <c r="V625" i="8"/>
  <c r="X625" i="8"/>
  <c r="V662" i="8"/>
  <c r="X662" i="8"/>
  <c r="V661" i="8"/>
  <c r="X661" i="8"/>
  <c r="V660" i="8"/>
  <c r="X660" i="8"/>
  <c r="V659" i="8"/>
  <c r="X659" i="8"/>
  <c r="V423" i="8"/>
  <c r="X423" i="8"/>
  <c r="V639" i="8"/>
  <c r="X639" i="8"/>
  <c r="V421" i="8"/>
  <c r="X421" i="8"/>
  <c r="V420" i="8"/>
  <c r="X420" i="8"/>
  <c r="V418" i="8"/>
  <c r="X418" i="8"/>
  <c r="V417" i="8"/>
  <c r="X417" i="8"/>
  <c r="V416" i="8"/>
  <c r="X416" i="8"/>
  <c r="V667" i="8"/>
  <c r="X667" i="8"/>
  <c r="V601" i="8"/>
  <c r="X601" i="8"/>
  <c r="V602" i="8"/>
  <c r="X602" i="8"/>
  <c r="V620" i="8"/>
  <c r="X620" i="8"/>
  <c r="V415" i="8"/>
  <c r="X415" i="8"/>
  <c r="V655" i="8"/>
  <c r="X655" i="8"/>
  <c r="V649" i="8"/>
  <c r="X649" i="8"/>
  <c r="V413" i="8"/>
  <c r="X413" i="8"/>
  <c r="V412" i="8"/>
  <c r="X412" i="8"/>
  <c r="V411" i="8"/>
  <c r="X411" i="8"/>
  <c r="V410" i="8"/>
  <c r="X410" i="8"/>
  <c r="V409" i="8"/>
  <c r="X409" i="8"/>
  <c r="V408" i="8"/>
  <c r="X408" i="8"/>
  <c r="V407" i="8"/>
  <c r="X407" i="8"/>
  <c r="V406" i="8"/>
  <c r="X406" i="8"/>
  <c r="V405" i="8"/>
  <c r="X405" i="8"/>
  <c r="V404" i="8"/>
  <c r="X404" i="8"/>
  <c r="V403" i="8"/>
  <c r="X403" i="8"/>
  <c r="V402" i="8"/>
  <c r="X402" i="8"/>
  <c r="V401" i="8"/>
  <c r="X401" i="8"/>
  <c r="V400" i="8"/>
  <c r="X400" i="8"/>
  <c r="V399" i="8"/>
  <c r="X399" i="8"/>
  <c r="V398" i="8"/>
  <c r="X398" i="8"/>
  <c r="V397" i="8"/>
  <c r="X397" i="8"/>
  <c r="V396" i="8"/>
  <c r="X396" i="8"/>
  <c r="V600" i="8"/>
  <c r="X600" i="8"/>
  <c r="V619" i="8"/>
  <c r="X619" i="8"/>
  <c r="V395" i="8"/>
  <c r="X395" i="8"/>
  <c r="V394" i="8"/>
  <c r="X394" i="8"/>
  <c r="V393" i="8"/>
  <c r="X393" i="8"/>
  <c r="V598" i="8"/>
  <c r="X598" i="8"/>
  <c r="V392" i="8"/>
  <c r="X392" i="8"/>
  <c r="V391" i="8"/>
  <c r="X391" i="8"/>
  <c r="V591" i="8"/>
  <c r="X591" i="8"/>
  <c r="V390" i="8"/>
  <c r="X390" i="8"/>
  <c r="Y390" i="8"/>
  <c r="V589" i="8"/>
  <c r="X589" i="8"/>
  <c r="V596" i="8"/>
  <c r="X596" i="8"/>
  <c r="V594" i="8"/>
  <c r="X594" i="8"/>
  <c r="V621" i="8"/>
  <c r="X621" i="8"/>
  <c r="V592" i="8"/>
  <c r="X592" i="8"/>
  <c r="V588" i="8"/>
  <c r="X588" i="8"/>
  <c r="V609" i="8"/>
  <c r="X609" i="8"/>
  <c r="V587" i="8"/>
  <c r="X587" i="8"/>
  <c r="V584" i="8"/>
  <c r="AK584" i="8"/>
  <c r="AI34" i="8"/>
  <c r="AI605" i="8"/>
  <c r="AI489" i="8"/>
  <c r="AI488" i="8"/>
  <c r="AI487" i="8"/>
  <c r="AI486" i="8"/>
  <c r="AI485" i="8"/>
  <c r="AI484" i="8"/>
  <c r="AI483" i="8"/>
  <c r="AI482" i="8"/>
  <c r="AI481" i="8"/>
  <c r="AI480" i="8"/>
  <c r="AI479" i="8"/>
  <c r="AI653" i="8"/>
  <c r="AI634" i="8"/>
  <c r="AI635" i="8"/>
  <c r="AI477" i="8"/>
  <c r="AI476" i="8"/>
  <c r="AI638" i="8"/>
  <c r="AI637" i="8"/>
  <c r="AI636" i="8"/>
  <c r="AI654" i="8"/>
  <c r="AI615" i="8"/>
  <c r="AI474" i="8"/>
  <c r="AI473" i="8"/>
  <c r="AI471" i="8"/>
  <c r="AI470" i="8"/>
  <c r="AI469" i="8"/>
  <c r="AI468" i="8"/>
  <c r="AI467" i="8"/>
  <c r="AI466" i="8"/>
  <c r="AI586" i="8"/>
  <c r="AI465" i="8"/>
  <c r="AI464" i="8"/>
  <c r="AI463" i="8"/>
  <c r="AI462" i="8"/>
  <c r="AI666" i="8"/>
  <c r="AI461" i="8"/>
  <c r="AI631" i="8"/>
  <c r="AI630" i="8"/>
  <c r="AI459" i="8"/>
  <c r="AI458" i="8"/>
  <c r="AI457" i="8"/>
  <c r="AI456" i="8"/>
  <c r="AI455" i="8"/>
  <c r="AI454" i="8"/>
  <c r="AI628" i="8"/>
  <c r="AI614" i="8"/>
  <c r="AI453" i="8"/>
  <c r="AI652" i="8"/>
  <c r="AI452" i="8"/>
  <c r="AI610" i="8"/>
  <c r="AI451" i="8"/>
  <c r="AI449" i="8"/>
  <c r="AI446" i="8"/>
  <c r="AI445" i="8"/>
  <c r="AI444" i="8"/>
  <c r="AI443" i="8"/>
  <c r="AI442" i="8"/>
  <c r="AI441" i="8"/>
  <c r="AI440" i="8"/>
  <c r="AI439" i="8"/>
  <c r="AI438" i="8"/>
  <c r="AI437" i="8"/>
  <c r="AI436" i="8"/>
  <c r="AI435" i="8"/>
  <c r="AI608" i="8"/>
  <c r="AI607" i="8"/>
  <c r="AI664" i="8"/>
  <c r="AI434" i="8"/>
  <c r="AI627" i="8"/>
  <c r="AI663" i="8"/>
  <c r="AI643" i="8"/>
  <c r="AI606" i="8"/>
  <c r="AI432" i="8"/>
  <c r="AI618" i="8"/>
  <c r="AI431" i="8"/>
  <c r="AI430" i="8"/>
  <c r="AI429" i="8"/>
  <c r="AI428" i="8"/>
  <c r="AI427" i="8"/>
  <c r="AI657" i="8"/>
  <c r="AI651" i="8"/>
  <c r="AI656" i="8"/>
  <c r="AI426" i="8"/>
  <c r="AI425" i="8"/>
  <c r="AI424" i="8"/>
  <c r="AI585" i="8"/>
  <c r="AI626" i="8"/>
  <c r="AI625" i="8"/>
  <c r="AI662" i="8"/>
  <c r="AI661" i="8"/>
  <c r="AI660" i="8"/>
  <c r="AI659" i="8"/>
  <c r="AI423" i="8"/>
  <c r="AI639" i="8"/>
  <c r="AI421" i="8"/>
  <c r="AI420" i="8"/>
  <c r="AI418" i="8"/>
  <c r="AI417" i="8"/>
  <c r="AI416" i="8"/>
  <c r="AI667" i="8"/>
  <c r="AI602" i="8"/>
  <c r="AI620" i="8"/>
  <c r="AI415" i="8"/>
  <c r="AI655" i="8"/>
  <c r="AI649" i="8"/>
  <c r="AI413" i="8"/>
  <c r="AI412" i="8"/>
  <c r="AI411" i="8"/>
  <c r="AI410" i="8"/>
  <c r="AI409" i="8"/>
  <c r="AI408" i="8"/>
  <c r="AI407" i="8"/>
  <c r="AI406" i="8"/>
  <c r="AI405" i="8"/>
  <c r="AI404" i="8"/>
  <c r="AI403" i="8"/>
  <c r="AI402" i="8"/>
  <c r="AI401" i="8"/>
  <c r="AI400" i="8"/>
  <c r="AI399" i="8"/>
  <c r="AI398" i="8"/>
  <c r="AI397" i="8"/>
  <c r="AI396" i="8"/>
  <c r="AI619" i="8"/>
  <c r="AI395" i="8"/>
  <c r="AI394" i="8"/>
  <c r="AI393" i="8"/>
  <c r="AI598" i="8"/>
  <c r="AI392" i="8"/>
  <c r="AI391" i="8"/>
  <c r="AI591" i="8"/>
  <c r="AI390" i="8"/>
  <c r="B847" i="8"/>
  <c r="B846" i="8"/>
  <c r="Y488" i="8"/>
  <c r="AA488" i="8"/>
  <c r="Y605" i="8"/>
  <c r="AA605" i="8"/>
  <c r="Y489" i="8"/>
  <c r="AA489" i="8"/>
  <c r="Y487" i="8"/>
  <c r="AA487" i="8"/>
  <c r="Y486" i="8"/>
  <c r="AA486" i="8"/>
  <c r="Y485" i="8"/>
  <c r="AA485" i="8"/>
  <c r="Y484" i="8"/>
  <c r="AA484" i="8"/>
  <c r="Y483" i="8"/>
  <c r="AA483" i="8"/>
  <c r="Y482" i="8"/>
  <c r="AA482" i="8"/>
  <c r="Y481" i="8"/>
  <c r="AA481" i="8"/>
  <c r="Y480" i="8"/>
  <c r="AA480" i="8"/>
  <c r="Y479" i="8"/>
  <c r="AA479" i="8"/>
  <c r="Y653" i="8"/>
  <c r="AA653" i="8"/>
  <c r="Y634" i="8"/>
  <c r="AA634" i="8"/>
  <c r="Y635" i="8"/>
  <c r="AA635" i="8"/>
  <c r="Y477" i="8"/>
  <c r="AA477" i="8"/>
  <c r="Y476" i="8"/>
  <c r="AA476" i="8"/>
  <c r="Y638" i="8"/>
  <c r="AA638" i="8"/>
  <c r="Y637" i="8"/>
  <c r="AA637" i="8"/>
  <c r="Y636" i="8"/>
  <c r="AA636" i="8"/>
  <c r="Y654" i="8"/>
  <c r="AA654" i="8"/>
  <c r="Y615" i="8"/>
  <c r="AA615" i="8"/>
  <c r="Y474" i="8"/>
  <c r="AA474" i="8"/>
  <c r="Y473" i="8"/>
  <c r="AA473" i="8"/>
  <c r="Y471" i="8"/>
  <c r="AA471" i="8"/>
  <c r="Y470" i="8"/>
  <c r="AA470" i="8"/>
  <c r="Y469" i="8"/>
  <c r="AA469" i="8"/>
  <c r="Y468" i="8"/>
  <c r="AA468" i="8"/>
  <c r="Y467" i="8"/>
  <c r="AA467" i="8"/>
  <c r="Y466" i="8"/>
  <c r="AA466" i="8"/>
  <c r="Y586" i="8"/>
  <c r="AA586" i="8"/>
  <c r="Y465" i="8"/>
  <c r="AA465" i="8"/>
  <c r="Y464" i="8"/>
  <c r="AA464" i="8"/>
  <c r="Y463" i="8"/>
  <c r="AA463" i="8"/>
  <c r="Y462" i="8"/>
  <c r="AA462" i="8"/>
  <c r="Y666" i="8"/>
  <c r="AA666" i="8"/>
  <c r="Y461" i="8"/>
  <c r="AA461" i="8"/>
  <c r="Y631" i="8"/>
  <c r="AA631" i="8"/>
  <c r="Y630" i="8"/>
  <c r="AA630" i="8"/>
  <c r="Y459" i="8"/>
  <c r="AA459" i="8"/>
  <c r="Y458" i="8"/>
  <c r="AA458" i="8"/>
  <c r="Y457" i="8"/>
  <c r="AA457" i="8"/>
  <c r="Y456" i="8"/>
  <c r="AA456" i="8"/>
  <c r="Y455" i="8"/>
  <c r="AA455" i="8"/>
  <c r="Y454" i="8"/>
  <c r="AA454" i="8"/>
  <c r="Y628" i="8"/>
  <c r="AA628" i="8"/>
  <c r="Y614" i="8"/>
  <c r="AA614" i="8"/>
  <c r="Y453" i="8"/>
  <c r="AA453" i="8"/>
  <c r="Y652" i="8"/>
  <c r="AA652" i="8"/>
  <c r="Y452" i="8"/>
  <c r="AA452" i="8"/>
  <c r="Y612" i="8"/>
  <c r="AA612" i="8"/>
  <c r="Y611" i="8"/>
  <c r="AA611" i="8"/>
  <c r="Y610" i="8"/>
  <c r="AA610" i="8"/>
  <c r="Y451" i="8"/>
  <c r="AA451" i="8"/>
  <c r="Y446" i="8"/>
  <c r="AA446" i="8"/>
  <c r="Y445" i="8"/>
  <c r="AA445" i="8"/>
  <c r="Y442" i="8"/>
  <c r="X584" i="8"/>
  <c r="Y584" i="8"/>
  <c r="AA584" i="8"/>
  <c r="AI584" i="8"/>
  <c r="P546" i="10"/>
  <c r="P545" i="10"/>
  <c r="BW545" i="10"/>
  <c r="P544" i="10"/>
  <c r="P543" i="10"/>
  <c r="P542" i="10"/>
  <c r="P541" i="10"/>
  <c r="P540" i="10"/>
  <c r="P539" i="10"/>
  <c r="P538" i="10"/>
  <c r="P537" i="10"/>
  <c r="P536" i="10"/>
  <c r="P535" i="10"/>
  <c r="P534" i="10"/>
  <c r="P533" i="10"/>
  <c r="BW533" i="10"/>
  <c r="P532" i="10"/>
  <c r="BW532" i="10"/>
  <c r="P531" i="10"/>
  <c r="P530" i="10"/>
  <c r="P529" i="10"/>
  <c r="BW529" i="10"/>
  <c r="P528" i="10"/>
  <c r="P527" i="10"/>
  <c r="P526" i="10"/>
  <c r="P525" i="10"/>
  <c r="P524" i="10"/>
  <c r="P523" i="10"/>
  <c r="P522" i="10"/>
  <c r="P521" i="10"/>
  <c r="P520" i="10"/>
  <c r="P164" i="10"/>
  <c r="P175" i="10"/>
  <c r="P112" i="10"/>
  <c r="P163" i="10"/>
  <c r="P149" i="10"/>
  <c r="P68" i="10"/>
  <c r="P34" i="10"/>
  <c r="P108" i="10"/>
  <c r="P64" i="10"/>
  <c r="P159" i="10"/>
  <c r="P158" i="10"/>
  <c r="P157" i="10"/>
  <c r="P156" i="10"/>
  <c r="P506" i="10"/>
  <c r="P505" i="10"/>
  <c r="P504" i="10"/>
  <c r="P154" i="10"/>
  <c r="P153" i="10"/>
  <c r="P152" i="10"/>
  <c r="P502" i="10"/>
  <c r="P150" i="10"/>
  <c r="P151" i="10"/>
  <c r="P148" i="10"/>
  <c r="P147" i="10"/>
  <c r="P144" i="10"/>
  <c r="P140" i="10"/>
  <c r="P135" i="10"/>
  <c r="P134" i="10"/>
  <c r="P500" i="10"/>
  <c r="P129" i="10"/>
  <c r="P128" i="10"/>
  <c r="P57" i="10"/>
  <c r="P127" i="10"/>
  <c r="P72" i="10"/>
  <c r="P73" i="10"/>
  <c r="P499" i="10"/>
  <c r="P498" i="10"/>
  <c r="P219" i="10"/>
  <c r="P126" i="10"/>
  <c r="P124" i="10"/>
  <c r="P123" i="10"/>
  <c r="P122" i="10"/>
  <c r="P121" i="10"/>
  <c r="P120" i="10"/>
  <c r="P117" i="10"/>
  <c r="P115" i="10"/>
  <c r="P113" i="10"/>
  <c r="P111" i="10"/>
  <c r="P110" i="10"/>
  <c r="P496" i="10"/>
  <c r="P493" i="10"/>
  <c r="P70" i="10"/>
  <c r="P392" i="10"/>
  <c r="P391" i="10"/>
  <c r="P390" i="10"/>
  <c r="P389" i="10"/>
  <c r="P388" i="10"/>
  <c r="P387" i="10"/>
  <c r="P386" i="10"/>
  <c r="P385" i="10"/>
  <c r="P384" i="10"/>
  <c r="P383" i="10"/>
  <c r="P382" i="10"/>
  <c r="P381" i="10"/>
  <c r="P380" i="10"/>
  <c r="P379" i="10"/>
  <c r="P378" i="10"/>
  <c r="P377" i="10"/>
  <c r="P376" i="10"/>
  <c r="P375" i="10"/>
  <c r="P374" i="10"/>
  <c r="P373" i="10"/>
  <c r="P371" i="10"/>
  <c r="P370" i="10"/>
  <c r="P368" i="10"/>
  <c r="P366" i="10"/>
  <c r="P364" i="10"/>
  <c r="P363" i="10"/>
  <c r="P361" i="10"/>
  <c r="P359" i="10"/>
  <c r="P362" i="10"/>
  <c r="P358" i="10"/>
  <c r="P357" i="10"/>
  <c r="P355" i="10"/>
  <c r="P354" i="10"/>
  <c r="P353" i="10"/>
  <c r="P352" i="10"/>
  <c r="P351" i="10"/>
  <c r="P349" i="10"/>
  <c r="P348" i="10"/>
  <c r="P346" i="10"/>
  <c r="P343" i="10"/>
  <c r="P341" i="10"/>
  <c r="P340" i="10"/>
  <c r="P338" i="10"/>
  <c r="P333" i="10"/>
  <c r="P332" i="10"/>
  <c r="P327" i="10"/>
  <c r="P331" i="10"/>
  <c r="P330" i="10"/>
  <c r="P329" i="10"/>
  <c r="P328" i="10"/>
  <c r="P492" i="10"/>
  <c r="P324" i="10"/>
  <c r="P323" i="10"/>
  <c r="P322" i="10"/>
  <c r="P321" i="10"/>
  <c r="P254" i="10"/>
  <c r="P253" i="10"/>
  <c r="P109" i="10"/>
  <c r="P107" i="10"/>
  <c r="P106" i="10"/>
  <c r="P99" i="10"/>
  <c r="P97" i="10"/>
  <c r="P490" i="10"/>
  <c r="P95" i="10"/>
  <c r="P489" i="10"/>
  <c r="P488" i="10"/>
  <c r="P486" i="10"/>
  <c r="P487" i="10"/>
  <c r="P485" i="10"/>
  <c r="P484" i="10"/>
  <c r="P94" i="10"/>
  <c r="P93" i="10"/>
  <c r="P92" i="10"/>
  <c r="P91" i="10"/>
  <c r="P90" i="10"/>
  <c r="P318" i="10"/>
  <c r="P317" i="10"/>
  <c r="P89" i="10"/>
  <c r="P482" i="10"/>
  <c r="P32" i="10"/>
  <c r="P162" i="10"/>
  <c r="P88" i="10"/>
  <c r="P87" i="10"/>
  <c r="P86" i="10"/>
  <c r="P481" i="10"/>
  <c r="P96" i="10"/>
  <c r="P85" i="10"/>
  <c r="P217" i="10"/>
  <c r="P216" i="10"/>
  <c r="P215" i="10"/>
  <c r="P214" i="10"/>
  <c r="P213" i="10"/>
  <c r="P212" i="10"/>
  <c r="P211" i="10"/>
  <c r="P84" i="10"/>
  <c r="P83" i="10"/>
  <c r="P81" i="10"/>
  <c r="P80" i="10"/>
  <c r="P480" i="10"/>
  <c r="P478" i="10"/>
  <c r="P477" i="10"/>
  <c r="P476" i="10"/>
  <c r="P207" i="10"/>
  <c r="P37" i="10"/>
  <c r="P475" i="10"/>
  <c r="P71" i="10"/>
  <c r="P204" i="10"/>
  <c r="P470" i="10"/>
  <c r="P469" i="10"/>
  <c r="P69" i="10"/>
  <c r="P161" i="10"/>
  <c r="P160" i="10"/>
  <c r="P67" i="10"/>
  <c r="P202" i="10"/>
  <c r="P201" i="10"/>
  <c r="P200" i="10"/>
  <c r="P199" i="10"/>
  <c r="P468" i="10"/>
  <c r="P467" i="10"/>
  <c r="P466" i="10"/>
  <c r="P465" i="10"/>
  <c r="P464" i="10"/>
  <c r="P463" i="10"/>
  <c r="P285" i="10"/>
  <c r="P462" i="10"/>
  <c r="P461" i="10"/>
  <c r="P63" i="10"/>
  <c r="P460" i="10"/>
  <c r="P459" i="10"/>
  <c r="P458" i="10"/>
  <c r="P283" i="10"/>
  <c r="P62" i="10"/>
  <c r="P61" i="10"/>
  <c r="P132" i="10"/>
  <c r="P60" i="10"/>
  <c r="P198" i="10"/>
  <c r="P455" i="10"/>
  <c r="P58" i="10"/>
  <c r="P452" i="10"/>
  <c r="P451" i="10"/>
  <c r="P449" i="10"/>
  <c r="P54" i="10"/>
  <c r="P53" i="10"/>
  <c r="P52" i="10"/>
  <c r="P51" i="10"/>
  <c r="P49" i="10"/>
  <c r="P47" i="10"/>
  <c r="P448" i="10"/>
  <c r="P46" i="10"/>
  <c r="P45" i="10"/>
  <c r="P44" i="10"/>
  <c r="P40" i="10"/>
  <c r="P441" i="10"/>
  <c r="P440" i="10"/>
  <c r="P434" i="10"/>
  <c r="P433" i="10"/>
  <c r="P430" i="10"/>
  <c r="P33" i="10"/>
  <c r="P423" i="10"/>
  <c r="P422" i="10"/>
  <c r="P196" i="10"/>
  <c r="P416" i="10"/>
  <c r="P415" i="10"/>
  <c r="P443" i="10"/>
  <c r="P194" i="10"/>
  <c r="P193" i="10"/>
  <c r="P412" i="10"/>
  <c r="P31" i="10"/>
  <c r="P29" i="10"/>
  <c r="P28" i="10"/>
  <c r="P27" i="10"/>
  <c r="P26" i="10"/>
  <c r="P25" i="10"/>
  <c r="P24" i="10"/>
  <c r="P165" i="10"/>
  <c r="BW165" i="10"/>
  <c r="P407" i="10"/>
  <c r="P297" i="10"/>
  <c r="P296" i="10"/>
  <c r="P291" i="10"/>
  <c r="P290" i="10"/>
  <c r="P190" i="10"/>
  <c r="P189" i="10"/>
  <c r="P23" i="10"/>
  <c r="P21" i="10"/>
  <c r="BW21" i="10"/>
  <c r="P18" i="10"/>
  <c r="P17" i="10"/>
  <c r="P16" i="10"/>
  <c r="BW16" i="10"/>
  <c r="P15" i="10"/>
  <c r="BW15" i="10"/>
  <c r="P404" i="10"/>
  <c r="P242" i="10"/>
  <c r="BW242" i="10"/>
  <c r="P13" i="10"/>
  <c r="P12" i="10"/>
  <c r="P11" i="10"/>
  <c r="BW11" i="10"/>
  <c r="P187" i="10"/>
  <c r="P184" i="10"/>
  <c r="P182" i="10"/>
  <c r="BW182" i="10"/>
  <c r="P235" i="10"/>
  <c r="BW235" i="10"/>
  <c r="P10" i="10"/>
  <c r="P402" i="10"/>
  <c r="P234" i="10"/>
  <c r="P400" i="10"/>
  <c r="P233" i="10"/>
  <c r="P232" i="10"/>
  <c r="BW232" i="10"/>
  <c r="P399" i="10"/>
  <c r="BW399" i="10"/>
  <c r="P231" i="10"/>
  <c r="P230" i="10"/>
  <c r="P229" i="10"/>
  <c r="P228" i="10"/>
  <c r="P9" i="10"/>
  <c r="P227" i="10"/>
  <c r="P226" i="10"/>
  <c r="P225" i="10"/>
  <c r="P224" i="10"/>
  <c r="P223" i="10"/>
  <c r="P222" i="10"/>
  <c r="BW9" i="10"/>
  <c r="BW523" i="10"/>
  <c r="T600" i="10"/>
  <c r="BW520" i="10"/>
  <c r="T599" i="10"/>
  <c r="AT395" i="8"/>
  <c r="BC395" i="8"/>
  <c r="BK395" i="8"/>
  <c r="AU395" i="8"/>
  <c r="BD395" i="8"/>
  <c r="BL395" i="8"/>
  <c r="AV395" i="8"/>
  <c r="BE395" i="8"/>
  <c r="AW395" i="8"/>
  <c r="BF395" i="8"/>
  <c r="AX395" i="8"/>
  <c r="BG395" i="8"/>
  <c r="AY395" i="8"/>
  <c r="BH395" i="8"/>
  <c r="AR395" i="8"/>
  <c r="AZ395" i="8"/>
  <c r="BI395" i="8"/>
  <c r="BA395" i="8"/>
  <c r="AS395" i="8"/>
  <c r="BJ395" i="8"/>
  <c r="AU402" i="8"/>
  <c r="BD402" i="8"/>
  <c r="BL402" i="8"/>
  <c r="AV402" i="8"/>
  <c r="BE402" i="8"/>
  <c r="AW402" i="8"/>
  <c r="BF402" i="8"/>
  <c r="AX402" i="8"/>
  <c r="BG402" i="8"/>
  <c r="AY402" i="8"/>
  <c r="BH402" i="8"/>
  <c r="AR402" i="8"/>
  <c r="AZ402" i="8"/>
  <c r="BI402" i="8"/>
  <c r="AS402" i="8"/>
  <c r="BA402" i="8"/>
  <c r="BJ402" i="8"/>
  <c r="BC402" i="8"/>
  <c r="AT402" i="8"/>
  <c r="BK402" i="8"/>
  <c r="AY410" i="8"/>
  <c r="BH410" i="8"/>
  <c r="AR410" i="8"/>
  <c r="AZ410" i="8"/>
  <c r="BI410" i="8"/>
  <c r="AS410" i="8"/>
  <c r="BA410" i="8"/>
  <c r="BJ410" i="8"/>
  <c r="AV410" i="8"/>
  <c r="BE410" i="8"/>
  <c r="AX410" i="8"/>
  <c r="BD410" i="8"/>
  <c r="BG410" i="8"/>
  <c r="AU410" i="8"/>
  <c r="BL410" i="8"/>
  <c r="BC410" i="8"/>
  <c r="BF410" i="8"/>
  <c r="BK410" i="8"/>
  <c r="AT410" i="8"/>
  <c r="AW410" i="8"/>
  <c r="AX602" i="8"/>
  <c r="BG602" i="8"/>
  <c r="AY602" i="8"/>
  <c r="BH602" i="8"/>
  <c r="AR602" i="8"/>
  <c r="AZ602" i="8"/>
  <c r="BI602" i="8"/>
  <c r="AS602" i="8"/>
  <c r="BA602" i="8"/>
  <c r="BJ602" i="8"/>
  <c r="AT602" i="8"/>
  <c r="BC602" i="8"/>
  <c r="BK602" i="8"/>
  <c r="AU602" i="8"/>
  <c r="BD602" i="8"/>
  <c r="BL602" i="8"/>
  <c r="AV602" i="8"/>
  <c r="BE602" i="8"/>
  <c r="AW602" i="8"/>
  <c r="BF602" i="8"/>
  <c r="AW423" i="8"/>
  <c r="BF423" i="8"/>
  <c r="AY423" i="8"/>
  <c r="BH423" i="8"/>
  <c r="AS423" i="8"/>
  <c r="BA423" i="8"/>
  <c r="BJ423" i="8"/>
  <c r="AU423" i="8"/>
  <c r="BD423" i="8"/>
  <c r="BL423" i="8"/>
  <c r="AX423" i="8"/>
  <c r="AZ423" i="8"/>
  <c r="BC423" i="8"/>
  <c r="BG423" i="8"/>
  <c r="AR423" i="8"/>
  <c r="BI423" i="8"/>
  <c r="AT423" i="8"/>
  <c r="BK423" i="8"/>
  <c r="AV423" i="8"/>
  <c r="BE423" i="8"/>
  <c r="AS424" i="8"/>
  <c r="BA424" i="8"/>
  <c r="BJ424" i="8"/>
  <c r="AU424" i="8"/>
  <c r="BD424" i="8"/>
  <c r="BL424" i="8"/>
  <c r="AW424" i="8"/>
  <c r="BF424" i="8"/>
  <c r="AY424" i="8"/>
  <c r="BH424" i="8"/>
  <c r="AT424" i="8"/>
  <c r="BK424" i="8"/>
  <c r="AV424" i="8"/>
  <c r="AX424" i="8"/>
  <c r="BC424" i="8"/>
  <c r="BE424" i="8"/>
  <c r="BG424" i="8"/>
  <c r="AR424" i="8"/>
  <c r="BI424" i="8"/>
  <c r="AZ424" i="8"/>
  <c r="AU429" i="8"/>
  <c r="BD429" i="8"/>
  <c r="BL429" i="8"/>
  <c r="AW429" i="8"/>
  <c r="BF429" i="8"/>
  <c r="AY429" i="8"/>
  <c r="BH429" i="8"/>
  <c r="AS429" i="8"/>
  <c r="BA429" i="8"/>
  <c r="BJ429" i="8"/>
  <c r="BE429" i="8"/>
  <c r="BG429" i="8"/>
  <c r="AR429" i="8"/>
  <c r="BI429" i="8"/>
  <c r="AV429" i="8"/>
  <c r="AX429" i="8"/>
  <c r="AZ429" i="8"/>
  <c r="BC429" i="8"/>
  <c r="BK429" i="8"/>
  <c r="AT429" i="8"/>
  <c r="AX627" i="8"/>
  <c r="BG627" i="8"/>
  <c r="AY627" i="8"/>
  <c r="BH627" i="8"/>
  <c r="AR627" i="8"/>
  <c r="AZ627" i="8"/>
  <c r="BI627" i="8"/>
  <c r="AS627" i="8"/>
  <c r="BA627" i="8"/>
  <c r="BJ627" i="8"/>
  <c r="AT627" i="8"/>
  <c r="BC627" i="8"/>
  <c r="BK627" i="8"/>
  <c r="AV627" i="8"/>
  <c r="BE627" i="8"/>
  <c r="AW627" i="8"/>
  <c r="BF627" i="8"/>
  <c r="AU627" i="8"/>
  <c r="BD627" i="8"/>
  <c r="BL627" i="8"/>
  <c r="AV438" i="8"/>
  <c r="BE438" i="8"/>
  <c r="AX438" i="8"/>
  <c r="BG438" i="8"/>
  <c r="AR438" i="8"/>
  <c r="AZ438" i="8"/>
  <c r="BI438" i="8"/>
  <c r="AT438" i="8"/>
  <c r="BC438" i="8"/>
  <c r="BK438" i="8"/>
  <c r="AW438" i="8"/>
  <c r="AY438" i="8"/>
  <c r="BA438" i="8"/>
  <c r="BF438" i="8"/>
  <c r="BH438" i="8"/>
  <c r="AS438" i="8"/>
  <c r="BJ438" i="8"/>
  <c r="AU438" i="8"/>
  <c r="BL438" i="8"/>
  <c r="BD438" i="8"/>
  <c r="AS446" i="8"/>
  <c r="BA446" i="8"/>
  <c r="BJ446" i="8"/>
  <c r="AT446" i="8"/>
  <c r="BC446" i="8"/>
  <c r="BK446" i="8"/>
  <c r="AU446" i="8"/>
  <c r="BD446" i="8"/>
  <c r="BL446" i="8"/>
  <c r="AW446" i="8"/>
  <c r="BF446" i="8"/>
  <c r="AX446" i="8"/>
  <c r="BG446" i="8"/>
  <c r="AY446" i="8"/>
  <c r="BH446" i="8"/>
  <c r="AR446" i="8"/>
  <c r="AV446" i="8"/>
  <c r="AZ446" i="8"/>
  <c r="BI446" i="8"/>
  <c r="BE446" i="8"/>
  <c r="AS628" i="8"/>
  <c r="BA628" i="8"/>
  <c r="BJ628" i="8"/>
  <c r="AT628" i="8"/>
  <c r="BC628" i="8"/>
  <c r="BK628" i="8"/>
  <c r="AU628" i="8"/>
  <c r="BD628" i="8"/>
  <c r="BL628" i="8"/>
  <c r="AV628" i="8"/>
  <c r="BE628" i="8"/>
  <c r="AW628" i="8"/>
  <c r="BF628" i="8"/>
  <c r="AY628" i="8"/>
  <c r="BH628" i="8"/>
  <c r="AR628" i="8"/>
  <c r="AZ628" i="8"/>
  <c r="BI628" i="8"/>
  <c r="AX628" i="8"/>
  <c r="BG628" i="8"/>
  <c r="AV631" i="8"/>
  <c r="BE631" i="8"/>
  <c r="AW631" i="8"/>
  <c r="BF631" i="8"/>
  <c r="AX631" i="8"/>
  <c r="BG631" i="8"/>
  <c r="AY631" i="8"/>
  <c r="BH631" i="8"/>
  <c r="AR631" i="8"/>
  <c r="AZ631" i="8"/>
  <c r="BI631" i="8"/>
  <c r="AT631" i="8"/>
  <c r="BC631" i="8"/>
  <c r="BK631" i="8"/>
  <c r="AU631" i="8"/>
  <c r="BD631" i="8"/>
  <c r="BL631" i="8"/>
  <c r="AS631" i="8"/>
  <c r="BA631" i="8"/>
  <c r="BJ631" i="8"/>
  <c r="AT466" i="8"/>
  <c r="BC466" i="8"/>
  <c r="BK466" i="8"/>
  <c r="AU466" i="8"/>
  <c r="BD466" i="8"/>
  <c r="BL466" i="8"/>
  <c r="AV466" i="8"/>
  <c r="BE466" i="8"/>
  <c r="AX466" i="8"/>
  <c r="BG466" i="8"/>
  <c r="AY466" i="8"/>
  <c r="BH466" i="8"/>
  <c r="AR466" i="8"/>
  <c r="AZ466" i="8"/>
  <c r="BI466" i="8"/>
  <c r="AS466" i="8"/>
  <c r="BA466" i="8"/>
  <c r="BF466" i="8"/>
  <c r="BJ466" i="8"/>
  <c r="AW466" i="8"/>
  <c r="AV615" i="8"/>
  <c r="BE615" i="8"/>
  <c r="AW615" i="8"/>
  <c r="BF615" i="8"/>
  <c r="AX615" i="8"/>
  <c r="BG615" i="8"/>
  <c r="AY615" i="8"/>
  <c r="BH615" i="8"/>
  <c r="AR615" i="8"/>
  <c r="AZ615" i="8"/>
  <c r="BI615" i="8"/>
  <c r="AS615" i="8"/>
  <c r="BA615" i="8"/>
  <c r="BJ615" i="8"/>
  <c r="AT615" i="8"/>
  <c r="BC615" i="8"/>
  <c r="BK615" i="8"/>
  <c r="AU615" i="8"/>
  <c r="BD615" i="8"/>
  <c r="BL615" i="8"/>
  <c r="AX634" i="8"/>
  <c r="BG634" i="8"/>
  <c r="AR634" i="8"/>
  <c r="AZ634" i="8"/>
  <c r="BI634" i="8"/>
  <c r="AS634" i="8"/>
  <c r="BA634" i="8"/>
  <c r="BJ634" i="8"/>
  <c r="AV634" i="8"/>
  <c r="BE634" i="8"/>
  <c r="AY634" i="8"/>
  <c r="BC634" i="8"/>
  <c r="BD634" i="8"/>
  <c r="BF634" i="8"/>
  <c r="BH634" i="8"/>
  <c r="AT634" i="8"/>
  <c r="BK634" i="8"/>
  <c r="AU634" i="8"/>
  <c r="BL634" i="8"/>
  <c r="AW634" i="8"/>
  <c r="AY485" i="8"/>
  <c r="BH485" i="8"/>
  <c r="AR485" i="8"/>
  <c r="AZ485" i="8"/>
  <c r="BI485" i="8"/>
  <c r="AU485" i="8"/>
  <c r="BD485" i="8"/>
  <c r="BL485" i="8"/>
  <c r="AV485" i="8"/>
  <c r="BE485" i="8"/>
  <c r="BC485" i="8"/>
  <c r="BF485" i="8"/>
  <c r="AT485" i="8"/>
  <c r="BK485" i="8"/>
  <c r="AW485" i="8"/>
  <c r="BG485" i="8"/>
  <c r="BJ485" i="8"/>
  <c r="AS485" i="8"/>
  <c r="AX485" i="8"/>
  <c r="BA485" i="8"/>
  <c r="AS390" i="8"/>
  <c r="BA390" i="8"/>
  <c r="BJ390" i="8"/>
  <c r="AT390" i="8"/>
  <c r="BC390" i="8"/>
  <c r="BK390" i="8"/>
  <c r="AU390" i="8"/>
  <c r="BD390" i="8"/>
  <c r="BL390" i="8"/>
  <c r="AV390" i="8"/>
  <c r="BE390" i="8"/>
  <c r="AW390" i="8"/>
  <c r="BF390" i="8"/>
  <c r="AX390" i="8"/>
  <c r="BG390" i="8"/>
  <c r="AY390" i="8"/>
  <c r="BH390" i="8"/>
  <c r="AR390" i="8"/>
  <c r="BI390" i="8"/>
  <c r="AZ390" i="8"/>
  <c r="AT619" i="8"/>
  <c r="BC619" i="8"/>
  <c r="BK619" i="8"/>
  <c r="AU619" i="8"/>
  <c r="BD619" i="8"/>
  <c r="BL619" i="8"/>
  <c r="AV619" i="8"/>
  <c r="BE619" i="8"/>
  <c r="AW619" i="8"/>
  <c r="BF619" i="8"/>
  <c r="AX619" i="8"/>
  <c r="BG619" i="8"/>
  <c r="AY619" i="8"/>
  <c r="BH619" i="8"/>
  <c r="AR619" i="8"/>
  <c r="AZ619" i="8"/>
  <c r="BI619" i="8"/>
  <c r="AS619" i="8"/>
  <c r="BA619" i="8"/>
  <c r="BJ619" i="8"/>
  <c r="AX403" i="8"/>
  <c r="BG403" i="8"/>
  <c r="AY403" i="8"/>
  <c r="BH403" i="8"/>
  <c r="AR403" i="8"/>
  <c r="AZ403" i="8"/>
  <c r="BI403" i="8"/>
  <c r="AS403" i="8"/>
  <c r="BA403" i="8"/>
  <c r="BJ403" i="8"/>
  <c r="AT403" i="8"/>
  <c r="BC403" i="8"/>
  <c r="BK403" i="8"/>
  <c r="AU403" i="8"/>
  <c r="BD403" i="8"/>
  <c r="BL403" i="8"/>
  <c r="AV403" i="8"/>
  <c r="BE403" i="8"/>
  <c r="AW403" i="8"/>
  <c r="BF403" i="8"/>
  <c r="AT411" i="8"/>
  <c r="BC411" i="8"/>
  <c r="BK411" i="8"/>
  <c r="AU411" i="8"/>
  <c r="BD411" i="8"/>
  <c r="BL411" i="8"/>
  <c r="AV411" i="8"/>
  <c r="BE411" i="8"/>
  <c r="AY411" i="8"/>
  <c r="BH411" i="8"/>
  <c r="AS411" i="8"/>
  <c r="BJ411" i="8"/>
  <c r="AX411" i="8"/>
  <c r="BA411" i="8"/>
  <c r="BG411" i="8"/>
  <c r="AW411" i="8"/>
  <c r="AZ411" i="8"/>
  <c r="BF411" i="8"/>
  <c r="BI411" i="8"/>
  <c r="AR411" i="8"/>
  <c r="AT667" i="8"/>
  <c r="BC667" i="8"/>
  <c r="BK667" i="8"/>
  <c r="AU667" i="8"/>
  <c r="BD667" i="8"/>
  <c r="BL667" i="8"/>
  <c r="AV667" i="8"/>
  <c r="BE667" i="8"/>
  <c r="AW667" i="8"/>
  <c r="BF667" i="8"/>
  <c r="AX667" i="8"/>
  <c r="BG667" i="8"/>
  <c r="AY667" i="8"/>
  <c r="BH667" i="8"/>
  <c r="AR667" i="8"/>
  <c r="AZ667" i="8"/>
  <c r="BI667" i="8"/>
  <c r="AS667" i="8"/>
  <c r="BA667" i="8"/>
  <c r="BJ667" i="8"/>
  <c r="AX659" i="8"/>
  <c r="BG659" i="8"/>
  <c r="AY659" i="8"/>
  <c r="BH659" i="8"/>
  <c r="AR659" i="8"/>
  <c r="AZ659" i="8"/>
  <c r="BI659" i="8"/>
  <c r="AS659" i="8"/>
  <c r="BA659" i="8"/>
  <c r="BJ659" i="8"/>
  <c r="AT659" i="8"/>
  <c r="BC659" i="8"/>
  <c r="BK659" i="8"/>
  <c r="AU659" i="8"/>
  <c r="BD659" i="8"/>
  <c r="BL659" i="8"/>
  <c r="AV659" i="8"/>
  <c r="BE659" i="8"/>
  <c r="AW659" i="8"/>
  <c r="BF659" i="8"/>
  <c r="AW425" i="8"/>
  <c r="BF425" i="8"/>
  <c r="AY425" i="8"/>
  <c r="BH425" i="8"/>
  <c r="AS425" i="8"/>
  <c r="BA425" i="8"/>
  <c r="BJ425" i="8"/>
  <c r="AU425" i="8"/>
  <c r="BD425" i="8"/>
  <c r="BL425" i="8"/>
  <c r="BG425" i="8"/>
  <c r="AR425" i="8"/>
  <c r="BI425" i="8"/>
  <c r="AT425" i="8"/>
  <c r="BK425" i="8"/>
  <c r="AX425" i="8"/>
  <c r="AZ425" i="8"/>
  <c r="BC425" i="8"/>
  <c r="AV425" i="8"/>
  <c r="BE425" i="8"/>
  <c r="AY430" i="8"/>
  <c r="BH430" i="8"/>
  <c r="AS430" i="8"/>
  <c r="BA430" i="8"/>
  <c r="BJ430" i="8"/>
  <c r="AU430" i="8"/>
  <c r="BD430" i="8"/>
  <c r="BL430" i="8"/>
  <c r="AW430" i="8"/>
  <c r="BF430" i="8"/>
  <c r="AZ430" i="8"/>
  <c r="BC430" i="8"/>
  <c r="BE430" i="8"/>
  <c r="AR430" i="8"/>
  <c r="BI430" i="8"/>
  <c r="AT430" i="8"/>
  <c r="BK430" i="8"/>
  <c r="AV430" i="8"/>
  <c r="AX430" i="8"/>
  <c r="BG430" i="8"/>
  <c r="AX434" i="8"/>
  <c r="BG434" i="8"/>
  <c r="AR434" i="8"/>
  <c r="AZ434" i="8"/>
  <c r="BI434" i="8"/>
  <c r="AT434" i="8"/>
  <c r="BC434" i="8"/>
  <c r="BK434" i="8"/>
  <c r="AV434" i="8"/>
  <c r="BE434" i="8"/>
  <c r="AY434" i="8"/>
  <c r="BA434" i="8"/>
  <c r="BD434" i="8"/>
  <c r="BH434" i="8"/>
  <c r="AS434" i="8"/>
  <c r="BJ434" i="8"/>
  <c r="AU434" i="8"/>
  <c r="BL434" i="8"/>
  <c r="AW434" i="8"/>
  <c r="BF434" i="8"/>
  <c r="AY439" i="8"/>
  <c r="BH439" i="8"/>
  <c r="AS439" i="8"/>
  <c r="BA439" i="8"/>
  <c r="BJ439" i="8"/>
  <c r="AU439" i="8"/>
  <c r="BD439" i="8"/>
  <c r="BL439" i="8"/>
  <c r="AW439" i="8"/>
  <c r="BF439" i="8"/>
  <c r="AR439" i="8"/>
  <c r="BI439" i="8"/>
  <c r="AT439" i="8"/>
  <c r="BK439" i="8"/>
  <c r="AV439" i="8"/>
  <c r="AZ439" i="8"/>
  <c r="BC439" i="8"/>
  <c r="BE439" i="8"/>
  <c r="BG439" i="8"/>
  <c r="AX439" i="8"/>
  <c r="AV449" i="8"/>
  <c r="BE449" i="8"/>
  <c r="AW449" i="8"/>
  <c r="BF449" i="8"/>
  <c r="AX449" i="8"/>
  <c r="BG449" i="8"/>
  <c r="AR449" i="8"/>
  <c r="AZ449" i="8"/>
  <c r="BI449" i="8"/>
  <c r="AS449" i="8"/>
  <c r="BA449" i="8"/>
  <c r="BJ449" i="8"/>
  <c r="AT449" i="8"/>
  <c r="BC449" i="8"/>
  <c r="BK449" i="8"/>
  <c r="AU449" i="8"/>
  <c r="AY449" i="8"/>
  <c r="BD449" i="8"/>
  <c r="BL449" i="8"/>
  <c r="BH449" i="8"/>
  <c r="AX454" i="8"/>
  <c r="BG454" i="8"/>
  <c r="AY454" i="8"/>
  <c r="BH454" i="8"/>
  <c r="AR454" i="8"/>
  <c r="AZ454" i="8"/>
  <c r="BI454" i="8"/>
  <c r="AT454" i="8"/>
  <c r="BC454" i="8"/>
  <c r="BK454" i="8"/>
  <c r="AU454" i="8"/>
  <c r="BD454" i="8"/>
  <c r="BL454" i="8"/>
  <c r="AV454" i="8"/>
  <c r="BE454" i="8"/>
  <c r="AS454" i="8"/>
  <c r="AW454" i="8"/>
  <c r="BF454" i="8"/>
  <c r="BJ454" i="8"/>
  <c r="BA454" i="8"/>
  <c r="AY461" i="8"/>
  <c r="BH461" i="8"/>
  <c r="AR461" i="8"/>
  <c r="AZ461" i="8"/>
  <c r="BI461" i="8"/>
  <c r="AS461" i="8"/>
  <c r="BA461" i="8"/>
  <c r="BJ461" i="8"/>
  <c r="AU461" i="8"/>
  <c r="BD461" i="8"/>
  <c r="BL461" i="8"/>
  <c r="AV461" i="8"/>
  <c r="BE461" i="8"/>
  <c r="AW461" i="8"/>
  <c r="BF461" i="8"/>
  <c r="AX461" i="8"/>
  <c r="BG461" i="8"/>
  <c r="BK461" i="8"/>
  <c r="AT461" i="8"/>
  <c r="BC461" i="8"/>
  <c r="AW467" i="8"/>
  <c r="BF467" i="8"/>
  <c r="AX467" i="8"/>
  <c r="BG467" i="8"/>
  <c r="AY467" i="8"/>
  <c r="BH467" i="8"/>
  <c r="AS467" i="8"/>
  <c r="BA467" i="8"/>
  <c r="BJ467" i="8"/>
  <c r="AT467" i="8"/>
  <c r="BC467" i="8"/>
  <c r="BK467" i="8"/>
  <c r="AU467" i="8"/>
  <c r="BD467" i="8"/>
  <c r="BL467" i="8"/>
  <c r="BE467" i="8"/>
  <c r="AV467" i="8"/>
  <c r="AZ467" i="8"/>
  <c r="AR467" i="8"/>
  <c r="BI467" i="8"/>
  <c r="AV654" i="8"/>
  <c r="BE654" i="8"/>
  <c r="AW654" i="8"/>
  <c r="BF654" i="8"/>
  <c r="AX654" i="8"/>
  <c r="BG654" i="8"/>
  <c r="AY654" i="8"/>
  <c r="BH654" i="8"/>
  <c r="AR654" i="8"/>
  <c r="AZ654" i="8"/>
  <c r="BI654" i="8"/>
  <c r="AS654" i="8"/>
  <c r="BA654" i="8"/>
  <c r="BJ654" i="8"/>
  <c r="AT654" i="8"/>
  <c r="BC654" i="8"/>
  <c r="BK654" i="8"/>
  <c r="AU654" i="8"/>
  <c r="BD654" i="8"/>
  <c r="BL654" i="8"/>
  <c r="AS653" i="8"/>
  <c r="BA653" i="8"/>
  <c r="BJ653" i="8"/>
  <c r="AT653" i="8"/>
  <c r="BC653" i="8"/>
  <c r="BK653" i="8"/>
  <c r="AU653" i="8"/>
  <c r="BD653" i="8"/>
  <c r="BL653" i="8"/>
  <c r="AV653" i="8"/>
  <c r="BE653" i="8"/>
  <c r="AW653" i="8"/>
  <c r="BF653" i="8"/>
  <c r="AX653" i="8"/>
  <c r="BG653" i="8"/>
  <c r="AY653" i="8"/>
  <c r="BH653" i="8"/>
  <c r="AR653" i="8"/>
  <c r="AZ653" i="8"/>
  <c r="BI653" i="8"/>
  <c r="AU486" i="8"/>
  <c r="BD486" i="8"/>
  <c r="BL486" i="8"/>
  <c r="AV486" i="8"/>
  <c r="BE486" i="8"/>
  <c r="AY486" i="8"/>
  <c r="BH486" i="8"/>
  <c r="AR486" i="8"/>
  <c r="AZ486" i="8"/>
  <c r="BI486" i="8"/>
  <c r="AX486" i="8"/>
  <c r="BA486" i="8"/>
  <c r="BG486" i="8"/>
  <c r="AS486" i="8"/>
  <c r="BJ486" i="8"/>
  <c r="AT486" i="8"/>
  <c r="AW486" i="8"/>
  <c r="BC486" i="8"/>
  <c r="BF486" i="8"/>
  <c r="BK486" i="8"/>
  <c r="AR584" i="8"/>
  <c r="AZ584" i="8"/>
  <c r="BI584" i="8"/>
  <c r="AS584" i="8"/>
  <c r="BA584" i="8"/>
  <c r="BJ584" i="8"/>
  <c r="AT584" i="8"/>
  <c r="BC584" i="8"/>
  <c r="BK584" i="8"/>
  <c r="AU584" i="8"/>
  <c r="BD584" i="8"/>
  <c r="BL584" i="8"/>
  <c r="AV584" i="8"/>
  <c r="BE584" i="8"/>
  <c r="AW584" i="8"/>
  <c r="BF584" i="8"/>
  <c r="AX584" i="8"/>
  <c r="BG584" i="8"/>
  <c r="AY584" i="8"/>
  <c r="BH584" i="8"/>
  <c r="AR591" i="8"/>
  <c r="AZ591" i="8"/>
  <c r="BI591" i="8"/>
  <c r="AS591" i="8"/>
  <c r="BA591" i="8"/>
  <c r="BJ591" i="8"/>
  <c r="AT591" i="8"/>
  <c r="BC591" i="8"/>
  <c r="BK591" i="8"/>
  <c r="AU591" i="8"/>
  <c r="BD591" i="8"/>
  <c r="BL591" i="8"/>
  <c r="AV591" i="8"/>
  <c r="BE591" i="8"/>
  <c r="AW591" i="8"/>
  <c r="BF591" i="8"/>
  <c r="AX591" i="8"/>
  <c r="BG591" i="8"/>
  <c r="AY591" i="8"/>
  <c r="BH591" i="8"/>
  <c r="AX396" i="8"/>
  <c r="BG396" i="8"/>
  <c r="AY396" i="8"/>
  <c r="BH396" i="8"/>
  <c r="AR396" i="8"/>
  <c r="AZ396" i="8"/>
  <c r="BI396" i="8"/>
  <c r="AS396" i="8"/>
  <c r="BA396" i="8"/>
  <c r="BJ396" i="8"/>
  <c r="AT396" i="8"/>
  <c r="BC396" i="8"/>
  <c r="BK396" i="8"/>
  <c r="AU396" i="8"/>
  <c r="BD396" i="8"/>
  <c r="BL396" i="8"/>
  <c r="AV396" i="8"/>
  <c r="BE396" i="8"/>
  <c r="AW396" i="8"/>
  <c r="BF396" i="8"/>
  <c r="AT404" i="8"/>
  <c r="BC404" i="8"/>
  <c r="BK404" i="8"/>
  <c r="AU404" i="8"/>
  <c r="BD404" i="8"/>
  <c r="BL404" i="8"/>
  <c r="AV404" i="8"/>
  <c r="BE404" i="8"/>
  <c r="AW404" i="8"/>
  <c r="BF404" i="8"/>
  <c r="AX404" i="8"/>
  <c r="BG404" i="8"/>
  <c r="AY404" i="8"/>
  <c r="BH404" i="8"/>
  <c r="AR404" i="8"/>
  <c r="AZ404" i="8"/>
  <c r="BI404" i="8"/>
  <c r="AS404" i="8"/>
  <c r="BJ404" i="8"/>
  <c r="BA404" i="8"/>
  <c r="AX412" i="8"/>
  <c r="BG412" i="8"/>
  <c r="AY412" i="8"/>
  <c r="BH412" i="8"/>
  <c r="AR412" i="8"/>
  <c r="AZ412" i="8"/>
  <c r="BI412" i="8"/>
  <c r="AU412" i="8"/>
  <c r="BD412" i="8"/>
  <c r="BL412" i="8"/>
  <c r="BF412" i="8"/>
  <c r="AT412" i="8"/>
  <c r="BK412" i="8"/>
  <c r="AW412" i="8"/>
  <c r="BC412" i="8"/>
  <c r="AS412" i="8"/>
  <c r="AV412" i="8"/>
  <c r="BA412" i="8"/>
  <c r="BJ412" i="8"/>
  <c r="BE412" i="8"/>
  <c r="AV416" i="8"/>
  <c r="BE416" i="8"/>
  <c r="AW416" i="8"/>
  <c r="BF416" i="8"/>
  <c r="AX416" i="8"/>
  <c r="BG416" i="8"/>
  <c r="AS416" i="8"/>
  <c r="BA416" i="8"/>
  <c r="BJ416" i="8"/>
  <c r="BD416" i="8"/>
  <c r="AR416" i="8"/>
  <c r="BI416" i="8"/>
  <c r="AU416" i="8"/>
  <c r="BL416" i="8"/>
  <c r="AZ416" i="8"/>
  <c r="BH416" i="8"/>
  <c r="BK416" i="8"/>
  <c r="AT416" i="8"/>
  <c r="AY416" i="8"/>
  <c r="BC416" i="8"/>
  <c r="AT660" i="8"/>
  <c r="BC660" i="8"/>
  <c r="BK660" i="8"/>
  <c r="AU660" i="8"/>
  <c r="BD660" i="8"/>
  <c r="BL660" i="8"/>
  <c r="AV660" i="8"/>
  <c r="BE660" i="8"/>
  <c r="AW660" i="8"/>
  <c r="BF660" i="8"/>
  <c r="AX660" i="8"/>
  <c r="BG660" i="8"/>
  <c r="AY660" i="8"/>
  <c r="BH660" i="8"/>
  <c r="AR660" i="8"/>
  <c r="AZ660" i="8"/>
  <c r="BI660" i="8"/>
  <c r="AS660" i="8"/>
  <c r="BA660" i="8"/>
  <c r="BJ660" i="8"/>
  <c r="AS426" i="8"/>
  <c r="BA426" i="8"/>
  <c r="BJ426" i="8"/>
  <c r="AU426" i="8"/>
  <c r="BD426" i="8"/>
  <c r="BL426" i="8"/>
  <c r="AW426" i="8"/>
  <c r="BF426" i="8"/>
  <c r="AY426" i="8"/>
  <c r="BH426" i="8"/>
  <c r="BC426" i="8"/>
  <c r="BE426" i="8"/>
  <c r="BG426" i="8"/>
  <c r="AT426" i="8"/>
  <c r="BK426" i="8"/>
  <c r="AV426" i="8"/>
  <c r="AX426" i="8"/>
  <c r="AZ426" i="8"/>
  <c r="BI426" i="8"/>
  <c r="AR426" i="8"/>
  <c r="AT431" i="8"/>
  <c r="BC431" i="8"/>
  <c r="BK431" i="8"/>
  <c r="AV431" i="8"/>
  <c r="BE431" i="8"/>
  <c r="AX431" i="8"/>
  <c r="BG431" i="8"/>
  <c r="AR431" i="8"/>
  <c r="AZ431" i="8"/>
  <c r="BI431" i="8"/>
  <c r="AU431" i="8"/>
  <c r="BL431" i="8"/>
  <c r="AW431" i="8"/>
  <c r="AY431" i="8"/>
  <c r="BD431" i="8"/>
  <c r="BF431" i="8"/>
  <c r="BH431" i="8"/>
  <c r="AS431" i="8"/>
  <c r="BA431" i="8"/>
  <c r="BJ431" i="8"/>
  <c r="AR664" i="8"/>
  <c r="AZ664" i="8"/>
  <c r="BI664" i="8"/>
  <c r="AS664" i="8"/>
  <c r="BA664" i="8"/>
  <c r="BJ664" i="8"/>
  <c r="AT664" i="8"/>
  <c r="BC664" i="8"/>
  <c r="BK664" i="8"/>
  <c r="AU664" i="8"/>
  <c r="BD664" i="8"/>
  <c r="BL664" i="8"/>
  <c r="AV664" i="8"/>
  <c r="BE664" i="8"/>
  <c r="AW664" i="8"/>
  <c r="BF664" i="8"/>
  <c r="AX664" i="8"/>
  <c r="BG664" i="8"/>
  <c r="AY664" i="8"/>
  <c r="BH664" i="8"/>
  <c r="AU440" i="8"/>
  <c r="BD440" i="8"/>
  <c r="BL440" i="8"/>
  <c r="AW440" i="8"/>
  <c r="BF440" i="8"/>
  <c r="AY440" i="8"/>
  <c r="BH440" i="8"/>
  <c r="AS440" i="8"/>
  <c r="BA440" i="8"/>
  <c r="BJ440" i="8"/>
  <c r="BE440" i="8"/>
  <c r="BG440" i="8"/>
  <c r="AR440" i="8"/>
  <c r="BI440" i="8"/>
  <c r="AV440" i="8"/>
  <c r="AX440" i="8"/>
  <c r="AZ440" i="8"/>
  <c r="BC440" i="8"/>
  <c r="BK440" i="8"/>
  <c r="AT440" i="8"/>
  <c r="AU451" i="8"/>
  <c r="BD451" i="8"/>
  <c r="BL451" i="8"/>
  <c r="AV451" i="8"/>
  <c r="BE451" i="8"/>
  <c r="AW451" i="8"/>
  <c r="BF451" i="8"/>
  <c r="AY451" i="8"/>
  <c r="BH451" i="8"/>
  <c r="AR451" i="8"/>
  <c r="AZ451" i="8"/>
  <c r="BI451" i="8"/>
  <c r="AS451" i="8"/>
  <c r="BA451" i="8"/>
  <c r="BJ451" i="8"/>
  <c r="BK451" i="8"/>
  <c r="AT451" i="8"/>
  <c r="BC451" i="8"/>
  <c r="BG451" i="8"/>
  <c r="AX451" i="8"/>
  <c r="AS455" i="8"/>
  <c r="BA455" i="8"/>
  <c r="BJ455" i="8"/>
  <c r="AT455" i="8"/>
  <c r="BC455" i="8"/>
  <c r="BK455" i="8"/>
  <c r="AU455" i="8"/>
  <c r="BD455" i="8"/>
  <c r="BL455" i="8"/>
  <c r="AW455" i="8"/>
  <c r="BF455" i="8"/>
  <c r="AX455" i="8"/>
  <c r="BG455" i="8"/>
  <c r="AY455" i="8"/>
  <c r="BH455" i="8"/>
  <c r="AR455" i="8"/>
  <c r="AZ455" i="8"/>
  <c r="BE455" i="8"/>
  <c r="BI455" i="8"/>
  <c r="AV455" i="8"/>
  <c r="AX666" i="8"/>
  <c r="BG666" i="8"/>
  <c r="AY666" i="8"/>
  <c r="BH666" i="8"/>
  <c r="AR666" i="8"/>
  <c r="AZ666" i="8"/>
  <c r="BI666" i="8"/>
  <c r="AS666" i="8"/>
  <c r="BA666" i="8"/>
  <c r="BJ666" i="8"/>
  <c r="AT666" i="8"/>
  <c r="BC666" i="8"/>
  <c r="BK666" i="8"/>
  <c r="AU666" i="8"/>
  <c r="BD666" i="8"/>
  <c r="BL666" i="8"/>
  <c r="AV666" i="8"/>
  <c r="BE666" i="8"/>
  <c r="AW666" i="8"/>
  <c r="BF666" i="8"/>
  <c r="AS468" i="8"/>
  <c r="BA468" i="8"/>
  <c r="BJ468" i="8"/>
  <c r="AT468" i="8"/>
  <c r="BC468" i="8"/>
  <c r="BK468" i="8"/>
  <c r="AU468" i="8"/>
  <c r="BD468" i="8"/>
  <c r="BL468" i="8"/>
  <c r="AW468" i="8"/>
  <c r="BF468" i="8"/>
  <c r="AX468" i="8"/>
  <c r="BG468" i="8"/>
  <c r="AY468" i="8"/>
  <c r="BH468" i="8"/>
  <c r="AR468" i="8"/>
  <c r="AV468" i="8"/>
  <c r="BI468" i="8"/>
  <c r="BE468" i="8"/>
  <c r="AZ468" i="8"/>
  <c r="AW636" i="8"/>
  <c r="BF636" i="8"/>
  <c r="AY636" i="8"/>
  <c r="BH636" i="8"/>
  <c r="AR636" i="8"/>
  <c r="AZ636" i="8"/>
  <c r="BI636" i="8"/>
  <c r="AU636" i="8"/>
  <c r="BD636" i="8"/>
  <c r="BL636" i="8"/>
  <c r="BG636" i="8"/>
  <c r="AS636" i="8"/>
  <c r="BJ636" i="8"/>
  <c r="AT636" i="8"/>
  <c r="BK636" i="8"/>
  <c r="AV636" i="8"/>
  <c r="AX636" i="8"/>
  <c r="BA636" i="8"/>
  <c r="BC636" i="8"/>
  <c r="BE636" i="8"/>
  <c r="AS479" i="8"/>
  <c r="BA479" i="8"/>
  <c r="BJ479" i="8"/>
  <c r="AT479" i="8"/>
  <c r="BC479" i="8"/>
  <c r="BK479" i="8"/>
  <c r="AW479" i="8"/>
  <c r="BF479" i="8"/>
  <c r="AX479" i="8"/>
  <c r="BG479" i="8"/>
  <c r="AV479" i="8"/>
  <c r="AY479" i="8"/>
  <c r="BE479" i="8"/>
  <c r="BH479" i="8"/>
  <c r="AZ479" i="8"/>
  <c r="BD479" i="8"/>
  <c r="BI479" i="8"/>
  <c r="BL479" i="8"/>
  <c r="AR479" i="8"/>
  <c r="AU479" i="8"/>
  <c r="AX487" i="8"/>
  <c r="BG487" i="8"/>
  <c r="AY487" i="8"/>
  <c r="BH487" i="8"/>
  <c r="AT487" i="8"/>
  <c r="BC487" i="8"/>
  <c r="BK487" i="8"/>
  <c r="AU487" i="8"/>
  <c r="BD487" i="8"/>
  <c r="BL487" i="8"/>
  <c r="AS487" i="8"/>
  <c r="BJ487" i="8"/>
  <c r="AV487" i="8"/>
  <c r="BA487" i="8"/>
  <c r="BE487" i="8"/>
  <c r="AW487" i="8"/>
  <c r="AZ487" i="8"/>
  <c r="BF487" i="8"/>
  <c r="BI487" i="8"/>
  <c r="AR487" i="8"/>
  <c r="AV391" i="8"/>
  <c r="BE391" i="8"/>
  <c r="AW391" i="8"/>
  <c r="BF391" i="8"/>
  <c r="AX391" i="8"/>
  <c r="BG391" i="8"/>
  <c r="AY391" i="8"/>
  <c r="BH391" i="8"/>
  <c r="AR391" i="8"/>
  <c r="AZ391" i="8"/>
  <c r="BI391" i="8"/>
  <c r="AS391" i="8"/>
  <c r="BA391" i="8"/>
  <c r="BJ391" i="8"/>
  <c r="AT391" i="8"/>
  <c r="BC391" i="8"/>
  <c r="BK391" i="8"/>
  <c r="BD391" i="8"/>
  <c r="BL391" i="8"/>
  <c r="AU391" i="8"/>
  <c r="AS397" i="8"/>
  <c r="BA397" i="8"/>
  <c r="BJ397" i="8"/>
  <c r="AT397" i="8"/>
  <c r="BC397" i="8"/>
  <c r="BK397" i="8"/>
  <c r="AU397" i="8"/>
  <c r="BD397" i="8"/>
  <c r="BL397" i="8"/>
  <c r="AV397" i="8"/>
  <c r="BE397" i="8"/>
  <c r="AW397" i="8"/>
  <c r="BF397" i="8"/>
  <c r="AX397" i="8"/>
  <c r="BG397" i="8"/>
  <c r="AY397" i="8"/>
  <c r="BH397" i="8"/>
  <c r="BI397" i="8"/>
  <c r="AR397" i="8"/>
  <c r="AZ397" i="8"/>
  <c r="AW405" i="8"/>
  <c r="BF405" i="8"/>
  <c r="AX405" i="8"/>
  <c r="BG405" i="8"/>
  <c r="AY405" i="8"/>
  <c r="BH405" i="8"/>
  <c r="AR405" i="8"/>
  <c r="AZ405" i="8"/>
  <c r="BI405" i="8"/>
  <c r="AS405" i="8"/>
  <c r="BA405" i="8"/>
  <c r="BJ405" i="8"/>
  <c r="AT405" i="8"/>
  <c r="BC405" i="8"/>
  <c r="BK405" i="8"/>
  <c r="AU405" i="8"/>
  <c r="BD405" i="8"/>
  <c r="BL405" i="8"/>
  <c r="BE405" i="8"/>
  <c r="AV405" i="8"/>
  <c r="AS413" i="8"/>
  <c r="BA413" i="8"/>
  <c r="BJ413" i="8"/>
  <c r="AT413" i="8"/>
  <c r="BC413" i="8"/>
  <c r="BK413" i="8"/>
  <c r="AU413" i="8"/>
  <c r="BD413" i="8"/>
  <c r="BL413" i="8"/>
  <c r="AX413" i="8"/>
  <c r="BG413" i="8"/>
  <c r="AZ413" i="8"/>
  <c r="BF413" i="8"/>
  <c r="AR413" i="8"/>
  <c r="BI413" i="8"/>
  <c r="AW413" i="8"/>
  <c r="BE413" i="8"/>
  <c r="BH413" i="8"/>
  <c r="AV413" i="8"/>
  <c r="AY413" i="8"/>
  <c r="AY417" i="8"/>
  <c r="BH417" i="8"/>
  <c r="AR417" i="8"/>
  <c r="AZ417" i="8"/>
  <c r="BI417" i="8"/>
  <c r="AS417" i="8"/>
  <c r="BA417" i="8"/>
  <c r="BJ417" i="8"/>
  <c r="AV417" i="8"/>
  <c r="BE417" i="8"/>
  <c r="AX417" i="8"/>
  <c r="BD417" i="8"/>
  <c r="BG417" i="8"/>
  <c r="AU417" i="8"/>
  <c r="BL417" i="8"/>
  <c r="AT417" i="8"/>
  <c r="BC417" i="8"/>
  <c r="BF417" i="8"/>
  <c r="BK417" i="8"/>
  <c r="AW417" i="8"/>
  <c r="AW661" i="8"/>
  <c r="BF661" i="8"/>
  <c r="AX661" i="8"/>
  <c r="BG661" i="8"/>
  <c r="AY661" i="8"/>
  <c r="BH661" i="8"/>
  <c r="AR661" i="8"/>
  <c r="AZ661" i="8"/>
  <c r="BI661" i="8"/>
  <c r="AS661" i="8"/>
  <c r="BA661" i="8"/>
  <c r="BJ661" i="8"/>
  <c r="AT661" i="8"/>
  <c r="BC661" i="8"/>
  <c r="BK661" i="8"/>
  <c r="AU661" i="8"/>
  <c r="BD661" i="8"/>
  <c r="BL661" i="8"/>
  <c r="AV661" i="8"/>
  <c r="BE661" i="8"/>
  <c r="AV656" i="8"/>
  <c r="BE656" i="8"/>
  <c r="AW656" i="8"/>
  <c r="BF656" i="8"/>
  <c r="AX656" i="8"/>
  <c r="BG656" i="8"/>
  <c r="AY656" i="8"/>
  <c r="BH656" i="8"/>
  <c r="AR656" i="8"/>
  <c r="AZ656" i="8"/>
  <c r="BI656" i="8"/>
  <c r="AS656" i="8"/>
  <c r="BA656" i="8"/>
  <c r="BJ656" i="8"/>
  <c r="AT656" i="8"/>
  <c r="BC656" i="8"/>
  <c r="BK656" i="8"/>
  <c r="AU656" i="8"/>
  <c r="BD656" i="8"/>
  <c r="BL656" i="8"/>
  <c r="AX618" i="8"/>
  <c r="BG618" i="8"/>
  <c r="AY618" i="8"/>
  <c r="BH618" i="8"/>
  <c r="AR618" i="8"/>
  <c r="AZ618" i="8"/>
  <c r="BI618" i="8"/>
  <c r="AS618" i="8"/>
  <c r="BA618" i="8"/>
  <c r="BJ618" i="8"/>
  <c r="AT618" i="8"/>
  <c r="BC618" i="8"/>
  <c r="BK618" i="8"/>
  <c r="AU618" i="8"/>
  <c r="BD618" i="8"/>
  <c r="BL618" i="8"/>
  <c r="AV618" i="8"/>
  <c r="BE618" i="8"/>
  <c r="AW618" i="8"/>
  <c r="BF618" i="8"/>
  <c r="AR607" i="8"/>
  <c r="AZ607" i="8"/>
  <c r="BI607" i="8"/>
  <c r="AS607" i="8"/>
  <c r="BA607" i="8"/>
  <c r="BJ607" i="8"/>
  <c r="AT607" i="8"/>
  <c r="BC607" i="8"/>
  <c r="BK607" i="8"/>
  <c r="AU607" i="8"/>
  <c r="BD607" i="8"/>
  <c r="BL607" i="8"/>
  <c r="AV607" i="8"/>
  <c r="BE607" i="8"/>
  <c r="AW607" i="8"/>
  <c r="BF607" i="8"/>
  <c r="AX607" i="8"/>
  <c r="BG607" i="8"/>
  <c r="AY607" i="8"/>
  <c r="BH607" i="8"/>
  <c r="AY441" i="8"/>
  <c r="BH441" i="8"/>
  <c r="AS441" i="8"/>
  <c r="BA441" i="8"/>
  <c r="BJ441" i="8"/>
  <c r="AU441" i="8"/>
  <c r="BD441" i="8"/>
  <c r="BL441" i="8"/>
  <c r="AW441" i="8"/>
  <c r="BF441" i="8"/>
  <c r="AZ441" i="8"/>
  <c r="BC441" i="8"/>
  <c r="BE441" i="8"/>
  <c r="AR441" i="8"/>
  <c r="BI441" i="8"/>
  <c r="AT441" i="8"/>
  <c r="BK441" i="8"/>
  <c r="AV441" i="8"/>
  <c r="AX441" i="8"/>
  <c r="BG441" i="8"/>
  <c r="AT610" i="8"/>
  <c r="BC610" i="8"/>
  <c r="BK610" i="8"/>
  <c r="AU610" i="8"/>
  <c r="BD610" i="8"/>
  <c r="BL610" i="8"/>
  <c r="AV610" i="8"/>
  <c r="BE610" i="8"/>
  <c r="AW610" i="8"/>
  <c r="BF610" i="8"/>
  <c r="AX610" i="8"/>
  <c r="BG610" i="8"/>
  <c r="AY610" i="8"/>
  <c r="BH610" i="8"/>
  <c r="AR610" i="8"/>
  <c r="AZ610" i="8"/>
  <c r="BI610" i="8"/>
  <c r="AS610" i="8"/>
  <c r="BA610" i="8"/>
  <c r="BJ610" i="8"/>
  <c r="AW456" i="8"/>
  <c r="BF456" i="8"/>
  <c r="AX456" i="8"/>
  <c r="BG456" i="8"/>
  <c r="AY456" i="8"/>
  <c r="BH456" i="8"/>
  <c r="AS456" i="8"/>
  <c r="BA456" i="8"/>
  <c r="BJ456" i="8"/>
  <c r="AT456" i="8"/>
  <c r="BC456" i="8"/>
  <c r="BK456" i="8"/>
  <c r="AU456" i="8"/>
  <c r="BD456" i="8"/>
  <c r="BL456" i="8"/>
  <c r="BE456" i="8"/>
  <c r="AV456" i="8"/>
  <c r="AZ456" i="8"/>
  <c r="BI456" i="8"/>
  <c r="AR456" i="8"/>
  <c r="AU462" i="8"/>
  <c r="BD462" i="8"/>
  <c r="BL462" i="8"/>
  <c r="AV462" i="8"/>
  <c r="BE462" i="8"/>
  <c r="AW462" i="8"/>
  <c r="BF462" i="8"/>
  <c r="AY462" i="8"/>
  <c r="BH462" i="8"/>
  <c r="AR462" i="8"/>
  <c r="AZ462" i="8"/>
  <c r="BI462" i="8"/>
  <c r="AS462" i="8"/>
  <c r="BA462" i="8"/>
  <c r="BJ462" i="8"/>
  <c r="BK462" i="8"/>
  <c r="AT462" i="8"/>
  <c r="BC462" i="8"/>
  <c r="BG462" i="8"/>
  <c r="AX462" i="8"/>
  <c r="AV469" i="8"/>
  <c r="BE469" i="8"/>
  <c r="AW469" i="8"/>
  <c r="BF469" i="8"/>
  <c r="AX469" i="8"/>
  <c r="BG469" i="8"/>
  <c r="AR469" i="8"/>
  <c r="AZ469" i="8"/>
  <c r="BI469" i="8"/>
  <c r="AS469" i="8"/>
  <c r="BA469" i="8"/>
  <c r="BJ469" i="8"/>
  <c r="AT469" i="8"/>
  <c r="BC469" i="8"/>
  <c r="BK469" i="8"/>
  <c r="AU469" i="8"/>
  <c r="BD469" i="8"/>
  <c r="BH469" i="8"/>
  <c r="AY469" i="8"/>
  <c r="BL469" i="8"/>
  <c r="AS637" i="8"/>
  <c r="BA637" i="8"/>
  <c r="BJ637" i="8"/>
  <c r="AU637" i="8"/>
  <c r="BD637" i="8"/>
  <c r="BL637" i="8"/>
  <c r="AV637" i="8"/>
  <c r="BE637" i="8"/>
  <c r="AY637" i="8"/>
  <c r="BH637" i="8"/>
  <c r="BC637" i="8"/>
  <c r="BF637" i="8"/>
  <c r="BG637" i="8"/>
  <c r="AR637" i="8"/>
  <c r="BI637" i="8"/>
  <c r="AT637" i="8"/>
  <c r="BK637" i="8"/>
  <c r="AW637" i="8"/>
  <c r="AX637" i="8"/>
  <c r="AZ637" i="8"/>
  <c r="AW480" i="8"/>
  <c r="BF480" i="8"/>
  <c r="AX480" i="8"/>
  <c r="BG480" i="8"/>
  <c r="AS480" i="8"/>
  <c r="BA480" i="8"/>
  <c r="BJ480" i="8"/>
  <c r="AT480" i="8"/>
  <c r="BC480" i="8"/>
  <c r="BK480" i="8"/>
  <c r="AR480" i="8"/>
  <c r="BI480" i="8"/>
  <c r="AU480" i="8"/>
  <c r="BL480" i="8"/>
  <c r="AZ480" i="8"/>
  <c r="BD480" i="8"/>
  <c r="AV480" i="8"/>
  <c r="AY480" i="8"/>
  <c r="BE480" i="8"/>
  <c r="BH480" i="8"/>
  <c r="AT488" i="8"/>
  <c r="BC488" i="8"/>
  <c r="BK488" i="8"/>
  <c r="AU488" i="8"/>
  <c r="BD488" i="8"/>
  <c r="BL488" i="8"/>
  <c r="AX488" i="8"/>
  <c r="BG488" i="8"/>
  <c r="AY488" i="8"/>
  <c r="BH488" i="8"/>
  <c r="BF488" i="8"/>
  <c r="AR488" i="8"/>
  <c r="BI488" i="8"/>
  <c r="AW488" i="8"/>
  <c r="AZ488" i="8"/>
  <c r="BJ488" i="8"/>
  <c r="AS488" i="8"/>
  <c r="AV488" i="8"/>
  <c r="BA488" i="8"/>
  <c r="BE488" i="8"/>
  <c r="AR392" i="8"/>
  <c r="AZ392" i="8"/>
  <c r="BI392" i="8"/>
  <c r="AS392" i="8"/>
  <c r="BA392" i="8"/>
  <c r="BJ392" i="8"/>
  <c r="AT392" i="8"/>
  <c r="BC392" i="8"/>
  <c r="BK392" i="8"/>
  <c r="AU392" i="8"/>
  <c r="BD392" i="8"/>
  <c r="BL392" i="8"/>
  <c r="AV392" i="8"/>
  <c r="BE392" i="8"/>
  <c r="AW392" i="8"/>
  <c r="BF392" i="8"/>
  <c r="AX392" i="8"/>
  <c r="BG392" i="8"/>
  <c r="AY392" i="8"/>
  <c r="BH392" i="8"/>
  <c r="AW398" i="8"/>
  <c r="BF398" i="8"/>
  <c r="AX398" i="8"/>
  <c r="BG398" i="8"/>
  <c r="AY398" i="8"/>
  <c r="BH398" i="8"/>
  <c r="AR398" i="8"/>
  <c r="AZ398" i="8"/>
  <c r="BI398" i="8"/>
  <c r="AS398" i="8"/>
  <c r="BA398" i="8"/>
  <c r="BJ398" i="8"/>
  <c r="AT398" i="8"/>
  <c r="BC398" i="8"/>
  <c r="BK398" i="8"/>
  <c r="AU398" i="8"/>
  <c r="BD398" i="8"/>
  <c r="BL398" i="8"/>
  <c r="BE398" i="8"/>
  <c r="AV398" i="8"/>
  <c r="AS406" i="8"/>
  <c r="BA406" i="8"/>
  <c r="BJ406" i="8"/>
  <c r="AT406" i="8"/>
  <c r="BC406" i="8"/>
  <c r="BK406" i="8"/>
  <c r="AU406" i="8"/>
  <c r="BD406" i="8"/>
  <c r="BL406" i="8"/>
  <c r="AV406" i="8"/>
  <c r="BE406" i="8"/>
  <c r="AW406" i="8"/>
  <c r="BF406" i="8"/>
  <c r="AX406" i="8"/>
  <c r="BG406" i="8"/>
  <c r="AY406" i="8"/>
  <c r="BH406" i="8"/>
  <c r="AZ406" i="8"/>
  <c r="AR406" i="8"/>
  <c r="BI406" i="8"/>
  <c r="AU649" i="8"/>
  <c r="BD649" i="8"/>
  <c r="BL649" i="8"/>
  <c r="AV649" i="8"/>
  <c r="BE649" i="8"/>
  <c r="AW649" i="8"/>
  <c r="BF649" i="8"/>
  <c r="AX649" i="8"/>
  <c r="BG649" i="8"/>
  <c r="AY649" i="8"/>
  <c r="BH649" i="8"/>
  <c r="AR649" i="8"/>
  <c r="AZ649" i="8"/>
  <c r="BI649" i="8"/>
  <c r="AS649" i="8"/>
  <c r="BA649" i="8"/>
  <c r="BJ649" i="8"/>
  <c r="AT649" i="8"/>
  <c r="BC649" i="8"/>
  <c r="BK649" i="8"/>
  <c r="AU418" i="8"/>
  <c r="BD418" i="8"/>
  <c r="BL418" i="8"/>
  <c r="AV418" i="8"/>
  <c r="BE418" i="8"/>
  <c r="AW418" i="8"/>
  <c r="BF418" i="8"/>
  <c r="AR418" i="8"/>
  <c r="AZ418" i="8"/>
  <c r="BI418" i="8"/>
  <c r="AT418" i="8"/>
  <c r="BK418" i="8"/>
  <c r="AY418" i="8"/>
  <c r="BC418" i="8"/>
  <c r="BH418" i="8"/>
  <c r="AX418" i="8"/>
  <c r="BA418" i="8"/>
  <c r="BG418" i="8"/>
  <c r="AS418" i="8"/>
  <c r="BJ418" i="8"/>
  <c r="AR662" i="8"/>
  <c r="AZ662" i="8"/>
  <c r="BI662" i="8"/>
  <c r="AS662" i="8"/>
  <c r="BA662" i="8"/>
  <c r="BJ662" i="8"/>
  <c r="AT662" i="8"/>
  <c r="BC662" i="8"/>
  <c r="BK662" i="8"/>
  <c r="AU662" i="8"/>
  <c r="BD662" i="8"/>
  <c r="BL662" i="8"/>
  <c r="AV662" i="8"/>
  <c r="BE662" i="8"/>
  <c r="AW662" i="8"/>
  <c r="BF662" i="8"/>
  <c r="AX662" i="8"/>
  <c r="BG662" i="8"/>
  <c r="AY662" i="8"/>
  <c r="BH662" i="8"/>
  <c r="AT651" i="8"/>
  <c r="BC651" i="8"/>
  <c r="BK651" i="8"/>
  <c r="AU651" i="8"/>
  <c r="BD651" i="8"/>
  <c r="BL651" i="8"/>
  <c r="AV651" i="8"/>
  <c r="BE651" i="8"/>
  <c r="AW651" i="8"/>
  <c r="BF651" i="8"/>
  <c r="AX651" i="8"/>
  <c r="BG651" i="8"/>
  <c r="AY651" i="8"/>
  <c r="BH651" i="8"/>
  <c r="AR651" i="8"/>
  <c r="AZ651" i="8"/>
  <c r="BI651" i="8"/>
  <c r="AS651" i="8"/>
  <c r="BA651" i="8"/>
  <c r="BJ651" i="8"/>
  <c r="AX432" i="8"/>
  <c r="BG432" i="8"/>
  <c r="AR432" i="8"/>
  <c r="AZ432" i="8"/>
  <c r="BI432" i="8"/>
  <c r="AT432" i="8"/>
  <c r="BC432" i="8"/>
  <c r="BK432" i="8"/>
  <c r="AV432" i="8"/>
  <c r="BE432" i="8"/>
  <c r="BH432" i="8"/>
  <c r="AS432" i="8"/>
  <c r="BJ432" i="8"/>
  <c r="AU432" i="8"/>
  <c r="BL432" i="8"/>
  <c r="AY432" i="8"/>
  <c r="BA432" i="8"/>
  <c r="BD432" i="8"/>
  <c r="BF432" i="8"/>
  <c r="AW432" i="8"/>
  <c r="AV608" i="8"/>
  <c r="BE608" i="8"/>
  <c r="AW608" i="8"/>
  <c r="BF608" i="8"/>
  <c r="AX608" i="8"/>
  <c r="BG608" i="8"/>
  <c r="AY608" i="8"/>
  <c r="BH608" i="8"/>
  <c r="AR608" i="8"/>
  <c r="AZ608" i="8"/>
  <c r="BI608" i="8"/>
  <c r="AS608" i="8"/>
  <c r="BA608" i="8"/>
  <c r="BJ608" i="8"/>
  <c r="AT608" i="8"/>
  <c r="BC608" i="8"/>
  <c r="BK608" i="8"/>
  <c r="AU608" i="8"/>
  <c r="BD608" i="8"/>
  <c r="BL608" i="8"/>
  <c r="AU442" i="8"/>
  <c r="AT442" i="8"/>
  <c r="BD442" i="8"/>
  <c r="BL442" i="8"/>
  <c r="AV442" i="8"/>
  <c r="BE442" i="8"/>
  <c r="AW442" i="8"/>
  <c r="BF442" i="8"/>
  <c r="AY442" i="8"/>
  <c r="BH442" i="8"/>
  <c r="AZ442" i="8"/>
  <c r="BI442" i="8"/>
  <c r="AR442" i="8"/>
  <c r="BA442" i="8"/>
  <c r="BJ442" i="8"/>
  <c r="BC442" i="8"/>
  <c r="BK442" i="8"/>
  <c r="AS442" i="8"/>
  <c r="AX442" i="8"/>
  <c r="BG442" i="8"/>
  <c r="AY452" i="8"/>
  <c r="BH452" i="8"/>
  <c r="AR452" i="8"/>
  <c r="AZ452" i="8"/>
  <c r="BI452" i="8"/>
  <c r="AS452" i="8"/>
  <c r="BA452" i="8"/>
  <c r="BJ452" i="8"/>
  <c r="AU452" i="8"/>
  <c r="BD452" i="8"/>
  <c r="BL452" i="8"/>
  <c r="AV452" i="8"/>
  <c r="BE452" i="8"/>
  <c r="AW452" i="8"/>
  <c r="BF452" i="8"/>
  <c r="AX452" i="8"/>
  <c r="BC452" i="8"/>
  <c r="BG452" i="8"/>
  <c r="AT452" i="8"/>
  <c r="BK452" i="8"/>
  <c r="AS457" i="8"/>
  <c r="BA457" i="8"/>
  <c r="BJ457" i="8"/>
  <c r="AT457" i="8"/>
  <c r="BC457" i="8"/>
  <c r="BK457" i="8"/>
  <c r="AU457" i="8"/>
  <c r="BD457" i="8"/>
  <c r="BL457" i="8"/>
  <c r="AW457" i="8"/>
  <c r="BF457" i="8"/>
  <c r="AX457" i="8"/>
  <c r="BG457" i="8"/>
  <c r="AY457" i="8"/>
  <c r="BH457" i="8"/>
  <c r="AR457" i="8"/>
  <c r="AV457" i="8"/>
  <c r="AZ457" i="8"/>
  <c r="BI457" i="8"/>
  <c r="BE457" i="8"/>
  <c r="AX463" i="8"/>
  <c r="BG463" i="8"/>
  <c r="AY463" i="8"/>
  <c r="BH463" i="8"/>
  <c r="AR463" i="8"/>
  <c r="AZ463" i="8"/>
  <c r="BI463" i="8"/>
  <c r="AT463" i="8"/>
  <c r="BC463" i="8"/>
  <c r="BK463" i="8"/>
  <c r="AU463" i="8"/>
  <c r="BD463" i="8"/>
  <c r="BL463" i="8"/>
  <c r="AV463" i="8"/>
  <c r="BE463" i="8"/>
  <c r="AW463" i="8"/>
  <c r="BA463" i="8"/>
  <c r="BF463" i="8"/>
  <c r="AS463" i="8"/>
  <c r="BJ463" i="8"/>
  <c r="AR470" i="8"/>
  <c r="AZ470" i="8"/>
  <c r="BI470" i="8"/>
  <c r="AS470" i="8"/>
  <c r="BA470" i="8"/>
  <c r="BJ470" i="8"/>
  <c r="AT470" i="8"/>
  <c r="BC470" i="8"/>
  <c r="BK470" i="8"/>
  <c r="AV470" i="8"/>
  <c r="BE470" i="8"/>
  <c r="AW470" i="8"/>
  <c r="BF470" i="8"/>
  <c r="AX470" i="8"/>
  <c r="BG470" i="8"/>
  <c r="AY470" i="8"/>
  <c r="BD470" i="8"/>
  <c r="AU470" i="8"/>
  <c r="BH470" i="8"/>
  <c r="BL470" i="8"/>
  <c r="AW638" i="8"/>
  <c r="BF638" i="8"/>
  <c r="AY638" i="8"/>
  <c r="BH638" i="8"/>
  <c r="AR638" i="8"/>
  <c r="AZ638" i="8"/>
  <c r="BI638" i="8"/>
  <c r="AU638" i="8"/>
  <c r="BD638" i="8"/>
  <c r="BL638" i="8"/>
  <c r="AX638" i="8"/>
  <c r="BA638" i="8"/>
  <c r="BC638" i="8"/>
  <c r="BE638" i="8"/>
  <c r="BG638" i="8"/>
  <c r="AS638" i="8"/>
  <c r="BJ638" i="8"/>
  <c r="AT638" i="8"/>
  <c r="BK638" i="8"/>
  <c r="AV638" i="8"/>
  <c r="AS481" i="8"/>
  <c r="BA481" i="8"/>
  <c r="BJ481" i="8"/>
  <c r="AT481" i="8"/>
  <c r="BC481" i="8"/>
  <c r="BK481" i="8"/>
  <c r="AW481" i="8"/>
  <c r="BF481" i="8"/>
  <c r="AX481" i="8"/>
  <c r="BG481" i="8"/>
  <c r="BE481" i="8"/>
  <c r="BH481" i="8"/>
  <c r="AV481" i="8"/>
  <c r="AY481" i="8"/>
  <c r="AR481" i="8"/>
  <c r="AU481" i="8"/>
  <c r="AZ481" i="8"/>
  <c r="BD481" i="8"/>
  <c r="BI481" i="8"/>
  <c r="BL481" i="8"/>
  <c r="AX489" i="8"/>
  <c r="BG489" i="8"/>
  <c r="AY489" i="8"/>
  <c r="BH489" i="8"/>
  <c r="AT489" i="8"/>
  <c r="BC489" i="8"/>
  <c r="BK489" i="8"/>
  <c r="AU489" i="8"/>
  <c r="BD489" i="8"/>
  <c r="BL489" i="8"/>
  <c r="BA489" i="8"/>
  <c r="BE489" i="8"/>
  <c r="AS489" i="8"/>
  <c r="BJ489" i="8"/>
  <c r="AV489" i="8"/>
  <c r="AR489" i="8"/>
  <c r="AW489" i="8"/>
  <c r="AZ489" i="8"/>
  <c r="BF489" i="8"/>
  <c r="BI489" i="8"/>
  <c r="AR598" i="8"/>
  <c r="AZ598" i="8"/>
  <c r="BI598" i="8"/>
  <c r="AS598" i="8"/>
  <c r="BA598" i="8"/>
  <c r="BJ598" i="8"/>
  <c r="AT598" i="8"/>
  <c r="BC598" i="8"/>
  <c r="BK598" i="8"/>
  <c r="AU598" i="8"/>
  <c r="BD598" i="8"/>
  <c r="BL598" i="8"/>
  <c r="AV598" i="8"/>
  <c r="BE598" i="8"/>
  <c r="AW598" i="8"/>
  <c r="BF598" i="8"/>
  <c r="AX598" i="8"/>
  <c r="BG598" i="8"/>
  <c r="AY598" i="8"/>
  <c r="BH598" i="8"/>
  <c r="AR399" i="8"/>
  <c r="AZ399" i="8"/>
  <c r="BI399" i="8"/>
  <c r="AS399" i="8"/>
  <c r="BA399" i="8"/>
  <c r="BJ399" i="8"/>
  <c r="AT399" i="8"/>
  <c r="BC399" i="8"/>
  <c r="BK399" i="8"/>
  <c r="AU399" i="8"/>
  <c r="BD399" i="8"/>
  <c r="BL399" i="8"/>
  <c r="AV399" i="8"/>
  <c r="BE399" i="8"/>
  <c r="AW399" i="8"/>
  <c r="BF399" i="8"/>
  <c r="AX399" i="8"/>
  <c r="BG399" i="8"/>
  <c r="AY399" i="8"/>
  <c r="BH399" i="8"/>
  <c r="AV407" i="8"/>
  <c r="BE407" i="8"/>
  <c r="AW407" i="8"/>
  <c r="BF407" i="8"/>
  <c r="AX407" i="8"/>
  <c r="BG407" i="8"/>
  <c r="AR407" i="8"/>
  <c r="AS407" i="8"/>
  <c r="BA407" i="8"/>
  <c r="BJ407" i="8"/>
  <c r="AT407" i="8"/>
  <c r="BC407" i="8"/>
  <c r="BL407" i="8"/>
  <c r="AY407" i="8"/>
  <c r="BD407" i="8"/>
  <c r="BI407" i="8"/>
  <c r="AU407" i="8"/>
  <c r="AZ407" i="8"/>
  <c r="BH407" i="8"/>
  <c r="BK407" i="8"/>
  <c r="AR655" i="8"/>
  <c r="AZ655" i="8"/>
  <c r="BI655" i="8"/>
  <c r="AS655" i="8"/>
  <c r="BA655" i="8"/>
  <c r="BJ655" i="8"/>
  <c r="AT655" i="8"/>
  <c r="BC655" i="8"/>
  <c r="BK655" i="8"/>
  <c r="AU655" i="8"/>
  <c r="BD655" i="8"/>
  <c r="BL655" i="8"/>
  <c r="AV655" i="8"/>
  <c r="BE655" i="8"/>
  <c r="AW655" i="8"/>
  <c r="BF655" i="8"/>
  <c r="AX655" i="8"/>
  <c r="BG655" i="8"/>
  <c r="AY655" i="8"/>
  <c r="BH655" i="8"/>
  <c r="AT420" i="8"/>
  <c r="BC420" i="8"/>
  <c r="BK420" i="8"/>
  <c r="AU420" i="8"/>
  <c r="BD420" i="8"/>
  <c r="BL420" i="8"/>
  <c r="AV420" i="8"/>
  <c r="BE420" i="8"/>
  <c r="AZ420" i="8"/>
  <c r="BF420" i="8"/>
  <c r="AS420" i="8"/>
  <c r="BH420" i="8"/>
  <c r="AX420" i="8"/>
  <c r="BJ420" i="8"/>
  <c r="AR420" i="8"/>
  <c r="AW420" i="8"/>
  <c r="BA420" i="8"/>
  <c r="BG420" i="8"/>
  <c r="BI420" i="8"/>
  <c r="AY420" i="8"/>
  <c r="AY625" i="8"/>
  <c r="BH625" i="8"/>
  <c r="AR625" i="8"/>
  <c r="AZ625" i="8"/>
  <c r="BI625" i="8"/>
  <c r="AS625" i="8"/>
  <c r="BA625" i="8"/>
  <c r="BJ625" i="8"/>
  <c r="AT625" i="8"/>
  <c r="BC625" i="8"/>
  <c r="BK625" i="8"/>
  <c r="AU625" i="8"/>
  <c r="BD625" i="8"/>
  <c r="BL625" i="8"/>
  <c r="AW625" i="8"/>
  <c r="BF625" i="8"/>
  <c r="AX625" i="8"/>
  <c r="BG625" i="8"/>
  <c r="AV625" i="8"/>
  <c r="BE625" i="8"/>
  <c r="AY657" i="8"/>
  <c r="BH657" i="8"/>
  <c r="AR657" i="8"/>
  <c r="AZ657" i="8"/>
  <c r="BI657" i="8"/>
  <c r="AS657" i="8"/>
  <c r="BA657" i="8"/>
  <c r="BJ657" i="8"/>
  <c r="AT657" i="8"/>
  <c r="BC657" i="8"/>
  <c r="BK657" i="8"/>
  <c r="AU657" i="8"/>
  <c r="BD657" i="8"/>
  <c r="BL657" i="8"/>
  <c r="AV657" i="8"/>
  <c r="BE657" i="8"/>
  <c r="AW657" i="8"/>
  <c r="BF657" i="8"/>
  <c r="AX657" i="8"/>
  <c r="BG657" i="8"/>
  <c r="AW606" i="8"/>
  <c r="BF606" i="8"/>
  <c r="AX606" i="8"/>
  <c r="BG606" i="8"/>
  <c r="AY606" i="8"/>
  <c r="BH606" i="8"/>
  <c r="AR606" i="8"/>
  <c r="AZ606" i="8"/>
  <c r="BI606" i="8"/>
  <c r="AS606" i="8"/>
  <c r="BA606" i="8"/>
  <c r="BJ606" i="8"/>
  <c r="AT606" i="8"/>
  <c r="BC606" i="8"/>
  <c r="BK606" i="8"/>
  <c r="AU606" i="8"/>
  <c r="BD606" i="8"/>
  <c r="BL606" i="8"/>
  <c r="AV606" i="8"/>
  <c r="BE606" i="8"/>
  <c r="AS435" i="8"/>
  <c r="BA435" i="8"/>
  <c r="BJ435" i="8"/>
  <c r="AU435" i="8"/>
  <c r="BD435" i="8"/>
  <c r="BL435" i="8"/>
  <c r="AW435" i="8"/>
  <c r="BF435" i="8"/>
  <c r="AY435" i="8"/>
  <c r="BH435" i="8"/>
  <c r="AT435" i="8"/>
  <c r="BK435" i="8"/>
  <c r="AV435" i="8"/>
  <c r="AX435" i="8"/>
  <c r="BC435" i="8"/>
  <c r="BE435" i="8"/>
  <c r="BG435" i="8"/>
  <c r="AR435" i="8"/>
  <c r="BI435" i="8"/>
  <c r="AZ435" i="8"/>
  <c r="AX443" i="8"/>
  <c r="BG443" i="8"/>
  <c r="AY443" i="8"/>
  <c r="BH443" i="8"/>
  <c r="AR443" i="8"/>
  <c r="AZ443" i="8"/>
  <c r="BI443" i="8"/>
  <c r="AT443" i="8"/>
  <c r="BC443" i="8"/>
  <c r="BK443" i="8"/>
  <c r="AU443" i="8"/>
  <c r="BD443" i="8"/>
  <c r="BL443" i="8"/>
  <c r="AV443" i="8"/>
  <c r="BE443" i="8"/>
  <c r="AS443" i="8"/>
  <c r="AW443" i="8"/>
  <c r="BF443" i="8"/>
  <c r="BJ443" i="8"/>
  <c r="BA443" i="8"/>
  <c r="AX652" i="8"/>
  <c r="BG652" i="8"/>
  <c r="AY652" i="8"/>
  <c r="BH652" i="8"/>
  <c r="AR652" i="8"/>
  <c r="AZ652" i="8"/>
  <c r="BI652" i="8"/>
  <c r="AS652" i="8"/>
  <c r="BA652" i="8"/>
  <c r="BJ652" i="8"/>
  <c r="AT652" i="8"/>
  <c r="BC652" i="8"/>
  <c r="BK652" i="8"/>
  <c r="AU652" i="8"/>
  <c r="BD652" i="8"/>
  <c r="BL652" i="8"/>
  <c r="AV652" i="8"/>
  <c r="BE652" i="8"/>
  <c r="AW652" i="8"/>
  <c r="BF652" i="8"/>
  <c r="AW458" i="8"/>
  <c r="BF458" i="8"/>
  <c r="AX458" i="8"/>
  <c r="BG458" i="8"/>
  <c r="AY458" i="8"/>
  <c r="BH458" i="8"/>
  <c r="AS458" i="8"/>
  <c r="BA458" i="8"/>
  <c r="BJ458" i="8"/>
  <c r="AT458" i="8"/>
  <c r="BC458" i="8"/>
  <c r="BK458" i="8"/>
  <c r="AU458" i="8"/>
  <c r="BD458" i="8"/>
  <c r="BL458" i="8"/>
  <c r="AV458" i="8"/>
  <c r="BE458" i="8"/>
  <c r="BI458" i="8"/>
  <c r="AR458" i="8"/>
  <c r="AZ458" i="8"/>
  <c r="AT464" i="8"/>
  <c r="BC464" i="8"/>
  <c r="BK464" i="8"/>
  <c r="AU464" i="8"/>
  <c r="BD464" i="8"/>
  <c r="BL464" i="8"/>
  <c r="AV464" i="8"/>
  <c r="BE464" i="8"/>
  <c r="AX464" i="8"/>
  <c r="BG464" i="8"/>
  <c r="AY464" i="8"/>
  <c r="BH464" i="8"/>
  <c r="AR464" i="8"/>
  <c r="AZ464" i="8"/>
  <c r="BI464" i="8"/>
  <c r="BA464" i="8"/>
  <c r="BJ464" i="8"/>
  <c r="AS464" i="8"/>
  <c r="AW464" i="8"/>
  <c r="BF464" i="8"/>
  <c r="AU471" i="8"/>
  <c r="BD471" i="8"/>
  <c r="BL471" i="8"/>
  <c r="AV471" i="8"/>
  <c r="BE471" i="8"/>
  <c r="AW471" i="8"/>
  <c r="BF471" i="8"/>
  <c r="AY471" i="8"/>
  <c r="BH471" i="8"/>
  <c r="AR471" i="8"/>
  <c r="AZ471" i="8"/>
  <c r="BI471" i="8"/>
  <c r="AS471" i="8"/>
  <c r="BA471" i="8"/>
  <c r="BJ471" i="8"/>
  <c r="AT471" i="8"/>
  <c r="AX471" i="8"/>
  <c r="BK471" i="8"/>
  <c r="BC471" i="8"/>
  <c r="BG471" i="8"/>
  <c r="AX476" i="8"/>
  <c r="BG476" i="8"/>
  <c r="AY476" i="8"/>
  <c r="BH476" i="8"/>
  <c r="AR476" i="8"/>
  <c r="AZ476" i="8"/>
  <c r="BI476" i="8"/>
  <c r="AT476" i="8"/>
  <c r="BC476" i="8"/>
  <c r="AU476" i="8"/>
  <c r="BD476" i="8"/>
  <c r="BL476" i="8"/>
  <c r="AV476" i="8"/>
  <c r="BE476" i="8"/>
  <c r="AS476" i="8"/>
  <c r="BF476" i="8"/>
  <c r="BJ476" i="8"/>
  <c r="AW476" i="8"/>
  <c r="BA476" i="8"/>
  <c r="BK476" i="8"/>
  <c r="AW482" i="8"/>
  <c r="BF482" i="8"/>
  <c r="AX482" i="8"/>
  <c r="BG482" i="8"/>
  <c r="AS482" i="8"/>
  <c r="BA482" i="8"/>
  <c r="BJ482" i="8"/>
  <c r="AT482" i="8"/>
  <c r="BC482" i="8"/>
  <c r="BK482" i="8"/>
  <c r="AZ482" i="8"/>
  <c r="BD482" i="8"/>
  <c r="AR482" i="8"/>
  <c r="BI482" i="8"/>
  <c r="AU482" i="8"/>
  <c r="BL482" i="8"/>
  <c r="BE482" i="8"/>
  <c r="BH482" i="8"/>
  <c r="AV482" i="8"/>
  <c r="AY482" i="8"/>
  <c r="AS605" i="8"/>
  <c r="BA605" i="8"/>
  <c r="BJ605" i="8"/>
  <c r="AT605" i="8"/>
  <c r="BC605" i="8"/>
  <c r="BK605" i="8"/>
  <c r="AU605" i="8"/>
  <c r="BD605" i="8"/>
  <c r="BL605" i="8"/>
  <c r="AV605" i="8"/>
  <c r="BE605" i="8"/>
  <c r="AW605" i="8"/>
  <c r="BF605" i="8"/>
  <c r="AX605" i="8"/>
  <c r="BG605" i="8"/>
  <c r="AY605" i="8"/>
  <c r="BH605" i="8"/>
  <c r="AR605" i="8"/>
  <c r="AZ605" i="8"/>
  <c r="BI605" i="8"/>
  <c r="AU393" i="8"/>
  <c r="BD393" i="8"/>
  <c r="BL393" i="8"/>
  <c r="AV393" i="8"/>
  <c r="BE393" i="8"/>
  <c r="AW393" i="8"/>
  <c r="BF393" i="8"/>
  <c r="AX393" i="8"/>
  <c r="BG393" i="8"/>
  <c r="AY393" i="8"/>
  <c r="BH393" i="8"/>
  <c r="AR393" i="8"/>
  <c r="AZ393" i="8"/>
  <c r="BI393" i="8"/>
  <c r="AS393" i="8"/>
  <c r="BA393" i="8"/>
  <c r="BJ393" i="8"/>
  <c r="AT393" i="8"/>
  <c r="BK393" i="8"/>
  <c r="BC393" i="8"/>
  <c r="AV400" i="8"/>
  <c r="BE400" i="8"/>
  <c r="AW400" i="8"/>
  <c r="BF400" i="8"/>
  <c r="AX400" i="8"/>
  <c r="BG400" i="8"/>
  <c r="AY400" i="8"/>
  <c r="BH400" i="8"/>
  <c r="AR400" i="8"/>
  <c r="AZ400" i="8"/>
  <c r="BI400" i="8"/>
  <c r="AS400" i="8"/>
  <c r="BA400" i="8"/>
  <c r="BJ400" i="8"/>
  <c r="AT400" i="8"/>
  <c r="BC400" i="8"/>
  <c r="BK400" i="8"/>
  <c r="BL400" i="8"/>
  <c r="AU400" i="8"/>
  <c r="BD400" i="8"/>
  <c r="AR408" i="8"/>
  <c r="AZ408" i="8"/>
  <c r="BI408" i="8"/>
  <c r="AS408" i="8"/>
  <c r="BA408" i="8"/>
  <c r="BJ408" i="8"/>
  <c r="AT408" i="8"/>
  <c r="BC408" i="8"/>
  <c r="BK408" i="8"/>
  <c r="AW408" i="8"/>
  <c r="BF408" i="8"/>
  <c r="BH408" i="8"/>
  <c r="AV408" i="8"/>
  <c r="AY408" i="8"/>
  <c r="BE408" i="8"/>
  <c r="BL408" i="8"/>
  <c r="AU408" i="8"/>
  <c r="AX408" i="8"/>
  <c r="BD408" i="8"/>
  <c r="BG408" i="8"/>
  <c r="AR415" i="8"/>
  <c r="AZ415" i="8"/>
  <c r="BI415" i="8"/>
  <c r="AS415" i="8"/>
  <c r="BA415" i="8"/>
  <c r="BJ415" i="8"/>
  <c r="AT415" i="8"/>
  <c r="BC415" i="8"/>
  <c r="BK415" i="8"/>
  <c r="AW415" i="8"/>
  <c r="BF415" i="8"/>
  <c r="BH415" i="8"/>
  <c r="AV415" i="8"/>
  <c r="AY415" i="8"/>
  <c r="BE415" i="8"/>
  <c r="AU415" i="8"/>
  <c r="AX415" i="8"/>
  <c r="BD415" i="8"/>
  <c r="BL415" i="8"/>
  <c r="BG415" i="8"/>
  <c r="AW421" i="8"/>
  <c r="BF421" i="8"/>
  <c r="AX421" i="8"/>
  <c r="BG421" i="8"/>
  <c r="AY421" i="8"/>
  <c r="BH421" i="8"/>
  <c r="AS421" i="8"/>
  <c r="BE421" i="8"/>
  <c r="AU421" i="8"/>
  <c r="BJ421" i="8"/>
  <c r="AZ421" i="8"/>
  <c r="BL421" i="8"/>
  <c r="BC421" i="8"/>
  <c r="AT421" i="8"/>
  <c r="AV421" i="8"/>
  <c r="BA421" i="8"/>
  <c r="BI421" i="8"/>
  <c r="BK421" i="8"/>
  <c r="AR421" i="8"/>
  <c r="BD421" i="8"/>
  <c r="AT626" i="8"/>
  <c r="BC626" i="8"/>
  <c r="BK626" i="8"/>
  <c r="AU626" i="8"/>
  <c r="BD626" i="8"/>
  <c r="BL626" i="8"/>
  <c r="AV626" i="8"/>
  <c r="BE626" i="8"/>
  <c r="AW626" i="8"/>
  <c r="BF626" i="8"/>
  <c r="AX626" i="8"/>
  <c r="BG626" i="8"/>
  <c r="AR626" i="8"/>
  <c r="AZ626" i="8"/>
  <c r="BI626" i="8"/>
  <c r="AS626" i="8"/>
  <c r="BA626" i="8"/>
  <c r="BJ626" i="8"/>
  <c r="AY626" i="8"/>
  <c r="BH626" i="8"/>
  <c r="AV427" i="8"/>
  <c r="BE427" i="8"/>
  <c r="AX427" i="8"/>
  <c r="BG427" i="8"/>
  <c r="AR427" i="8"/>
  <c r="AZ427" i="8"/>
  <c r="BI427" i="8"/>
  <c r="AT427" i="8"/>
  <c r="BC427" i="8"/>
  <c r="BK427" i="8"/>
  <c r="AW427" i="8"/>
  <c r="AY427" i="8"/>
  <c r="BA427" i="8"/>
  <c r="BF427" i="8"/>
  <c r="BH427" i="8"/>
  <c r="AS427" i="8"/>
  <c r="BJ427" i="8"/>
  <c r="AU427" i="8"/>
  <c r="BL427" i="8"/>
  <c r="BD427" i="8"/>
  <c r="AX643" i="8"/>
  <c r="BG643" i="8"/>
  <c r="AY643" i="8"/>
  <c r="BH643" i="8"/>
  <c r="AR643" i="8"/>
  <c r="AZ643" i="8"/>
  <c r="BI643" i="8"/>
  <c r="AS643" i="8"/>
  <c r="BA643" i="8"/>
  <c r="BJ643" i="8"/>
  <c r="AT643" i="8"/>
  <c r="BC643" i="8"/>
  <c r="BK643" i="8"/>
  <c r="AU643" i="8"/>
  <c r="BD643" i="8"/>
  <c r="BL643" i="8"/>
  <c r="AV643" i="8"/>
  <c r="BE643" i="8"/>
  <c r="AW643" i="8"/>
  <c r="BF643" i="8"/>
  <c r="AW436" i="8"/>
  <c r="BF436" i="8"/>
  <c r="AY436" i="8"/>
  <c r="BH436" i="8"/>
  <c r="AS436" i="8"/>
  <c r="BA436" i="8"/>
  <c r="BJ436" i="8"/>
  <c r="AU436" i="8"/>
  <c r="BD436" i="8"/>
  <c r="BL436" i="8"/>
  <c r="BG436" i="8"/>
  <c r="AR436" i="8"/>
  <c r="BI436" i="8"/>
  <c r="AT436" i="8"/>
  <c r="BK436" i="8"/>
  <c r="AX436" i="8"/>
  <c r="AZ436" i="8"/>
  <c r="BC436" i="8"/>
  <c r="BE436" i="8"/>
  <c r="AV436" i="8"/>
  <c r="AT444" i="8"/>
  <c r="BC444" i="8"/>
  <c r="BK444" i="8"/>
  <c r="AU444" i="8"/>
  <c r="BD444" i="8"/>
  <c r="BL444" i="8"/>
  <c r="AV444" i="8"/>
  <c r="BE444" i="8"/>
  <c r="AX444" i="8"/>
  <c r="BG444" i="8"/>
  <c r="AY444" i="8"/>
  <c r="BH444" i="8"/>
  <c r="AR444" i="8"/>
  <c r="AZ444" i="8"/>
  <c r="BI444" i="8"/>
  <c r="AS444" i="8"/>
  <c r="BA444" i="8"/>
  <c r="BF444" i="8"/>
  <c r="BJ444" i="8"/>
  <c r="AW444" i="8"/>
  <c r="AT453" i="8"/>
  <c r="BC453" i="8"/>
  <c r="BK453" i="8"/>
  <c r="AU453" i="8"/>
  <c r="BD453" i="8"/>
  <c r="BL453" i="8"/>
  <c r="AV453" i="8"/>
  <c r="BE453" i="8"/>
  <c r="AX453" i="8"/>
  <c r="BG453" i="8"/>
  <c r="AY453" i="8"/>
  <c r="BH453" i="8"/>
  <c r="AR453" i="8"/>
  <c r="AZ453" i="8"/>
  <c r="BI453" i="8"/>
  <c r="BA453" i="8"/>
  <c r="BJ453" i="8"/>
  <c r="AS453" i="8"/>
  <c r="AW453" i="8"/>
  <c r="BF453" i="8"/>
  <c r="AR459" i="8"/>
  <c r="AZ459" i="8"/>
  <c r="BI459" i="8"/>
  <c r="AS459" i="8"/>
  <c r="BA459" i="8"/>
  <c r="BJ459" i="8"/>
  <c r="AT459" i="8"/>
  <c r="BC459" i="8"/>
  <c r="BK459" i="8"/>
  <c r="AV459" i="8"/>
  <c r="BE459" i="8"/>
  <c r="AW459" i="8"/>
  <c r="BF459" i="8"/>
  <c r="AX459" i="8"/>
  <c r="BG459" i="8"/>
  <c r="BH459" i="8"/>
  <c r="AY459" i="8"/>
  <c r="BD459" i="8"/>
  <c r="AU459" i="8"/>
  <c r="BL459" i="8"/>
  <c r="AX465" i="8"/>
  <c r="BG465" i="8"/>
  <c r="AY465" i="8"/>
  <c r="BH465" i="8"/>
  <c r="AR465" i="8"/>
  <c r="AZ465" i="8"/>
  <c r="BI465" i="8"/>
  <c r="AT465" i="8"/>
  <c r="BC465" i="8"/>
  <c r="BK465" i="8"/>
  <c r="AU465" i="8"/>
  <c r="BD465" i="8"/>
  <c r="BL465" i="8"/>
  <c r="AV465" i="8"/>
  <c r="BE465" i="8"/>
  <c r="AS465" i="8"/>
  <c r="AW465" i="8"/>
  <c r="BF465" i="8"/>
  <c r="BJ465" i="8"/>
  <c r="BA465" i="8"/>
  <c r="AU473" i="8"/>
  <c r="BD473" i="8"/>
  <c r="BL473" i="8"/>
  <c r="AV473" i="8"/>
  <c r="BE473" i="8"/>
  <c r="AW473" i="8"/>
  <c r="BF473" i="8"/>
  <c r="AY473" i="8"/>
  <c r="BH473" i="8"/>
  <c r="AR473" i="8"/>
  <c r="AZ473" i="8"/>
  <c r="BI473" i="8"/>
  <c r="AS473" i="8"/>
  <c r="BA473" i="8"/>
  <c r="BJ473" i="8"/>
  <c r="BC473" i="8"/>
  <c r="BG473" i="8"/>
  <c r="AT473" i="8"/>
  <c r="AX473" i="8"/>
  <c r="BK473" i="8"/>
  <c r="AT477" i="8"/>
  <c r="BC477" i="8"/>
  <c r="BK477" i="8"/>
  <c r="AU477" i="8"/>
  <c r="BD477" i="8"/>
  <c r="BL477" i="8"/>
  <c r="AX477" i="8"/>
  <c r="BG477" i="8"/>
  <c r="AY477" i="8"/>
  <c r="BH477" i="8"/>
  <c r="AS477" i="8"/>
  <c r="BJ477" i="8"/>
  <c r="AV477" i="8"/>
  <c r="BA477" i="8"/>
  <c r="BE477" i="8"/>
  <c r="BF477" i="8"/>
  <c r="BI477" i="8"/>
  <c r="AR477" i="8"/>
  <c r="AW477" i="8"/>
  <c r="AZ477" i="8"/>
  <c r="AR483" i="8"/>
  <c r="AZ483" i="8"/>
  <c r="BI483" i="8"/>
  <c r="AS483" i="8"/>
  <c r="BA483" i="8"/>
  <c r="BJ483" i="8"/>
  <c r="AV483" i="8"/>
  <c r="BE483" i="8"/>
  <c r="AW483" i="8"/>
  <c r="BF483" i="8"/>
  <c r="AU483" i="8"/>
  <c r="BL483" i="8"/>
  <c r="AX483" i="8"/>
  <c r="BD483" i="8"/>
  <c r="BG483" i="8"/>
  <c r="AT483" i="8"/>
  <c r="AY483" i="8"/>
  <c r="BC483" i="8"/>
  <c r="BH483" i="8"/>
  <c r="BK483" i="8"/>
  <c r="AS34" i="8"/>
  <c r="BA34" i="8"/>
  <c r="BJ34" i="8"/>
  <c r="AU34" i="8"/>
  <c r="BD34" i="8"/>
  <c r="BL34" i="8"/>
  <c r="AV34" i="8"/>
  <c r="BE34" i="8"/>
  <c r="AR34" i="8"/>
  <c r="BG34" i="8"/>
  <c r="AW34" i="8"/>
  <c r="BI34" i="8"/>
  <c r="AY34" i="8"/>
  <c r="BC34" i="8"/>
  <c r="BF34" i="8"/>
  <c r="BK34" i="8"/>
  <c r="AX34" i="8"/>
  <c r="AZ34" i="8"/>
  <c r="AT34" i="8"/>
  <c r="BH34" i="8"/>
  <c r="AY394" i="8"/>
  <c r="BH394" i="8"/>
  <c r="AR394" i="8"/>
  <c r="AZ394" i="8"/>
  <c r="BI394" i="8"/>
  <c r="AS394" i="8"/>
  <c r="BA394" i="8"/>
  <c r="BJ394" i="8"/>
  <c r="AT394" i="8"/>
  <c r="BC394" i="8"/>
  <c r="BK394" i="8"/>
  <c r="AU394" i="8"/>
  <c r="BD394" i="8"/>
  <c r="BL394" i="8"/>
  <c r="AV394" i="8"/>
  <c r="BE394" i="8"/>
  <c r="AW394" i="8"/>
  <c r="BF394" i="8"/>
  <c r="BG394" i="8"/>
  <c r="AX394" i="8"/>
  <c r="AY401" i="8"/>
  <c r="BH401" i="8"/>
  <c r="AR401" i="8"/>
  <c r="AZ401" i="8"/>
  <c r="BI401" i="8"/>
  <c r="AS401" i="8"/>
  <c r="BA401" i="8"/>
  <c r="BJ401" i="8"/>
  <c r="AT401" i="8"/>
  <c r="BC401" i="8"/>
  <c r="BK401" i="8"/>
  <c r="AU401" i="8"/>
  <c r="BD401" i="8"/>
  <c r="BL401" i="8"/>
  <c r="AV401" i="8"/>
  <c r="BE401" i="8"/>
  <c r="AW401" i="8"/>
  <c r="BF401" i="8"/>
  <c r="BG401" i="8"/>
  <c r="AX401" i="8"/>
  <c r="AU409" i="8"/>
  <c r="BD409" i="8"/>
  <c r="BL409" i="8"/>
  <c r="AV409" i="8"/>
  <c r="BE409" i="8"/>
  <c r="AW409" i="8"/>
  <c r="BF409" i="8"/>
  <c r="AR409" i="8"/>
  <c r="AZ409" i="8"/>
  <c r="BI409" i="8"/>
  <c r="BC409" i="8"/>
  <c r="BH409" i="8"/>
  <c r="AT409" i="8"/>
  <c r="BK409" i="8"/>
  <c r="AY409" i="8"/>
  <c r="AS409" i="8"/>
  <c r="AX409" i="8"/>
  <c r="BG409" i="8"/>
  <c r="BJ409" i="8"/>
  <c r="BA409" i="8"/>
  <c r="AW620" i="8"/>
  <c r="BF620" i="8"/>
  <c r="AX620" i="8"/>
  <c r="BG620" i="8"/>
  <c r="AY620" i="8"/>
  <c r="BH620" i="8"/>
  <c r="AR620" i="8"/>
  <c r="AZ620" i="8"/>
  <c r="BI620" i="8"/>
  <c r="AS620" i="8"/>
  <c r="BA620" i="8"/>
  <c r="BJ620" i="8"/>
  <c r="AT620" i="8"/>
  <c r="BC620" i="8"/>
  <c r="BK620" i="8"/>
  <c r="AU620" i="8"/>
  <c r="BD620" i="8"/>
  <c r="BL620" i="8"/>
  <c r="AV620" i="8"/>
  <c r="BE620" i="8"/>
  <c r="AR639" i="8"/>
  <c r="AZ639" i="8"/>
  <c r="BI639" i="8"/>
  <c r="AT639" i="8"/>
  <c r="BC639" i="8"/>
  <c r="BK639" i="8"/>
  <c r="AU639" i="8"/>
  <c r="BD639" i="8"/>
  <c r="BL639" i="8"/>
  <c r="AX639" i="8"/>
  <c r="BG639" i="8"/>
  <c r="AS639" i="8"/>
  <c r="BJ639" i="8"/>
  <c r="AV639" i="8"/>
  <c r="AW639" i="8"/>
  <c r="AY639" i="8"/>
  <c r="BA639" i="8"/>
  <c r="BE639" i="8"/>
  <c r="BF639" i="8"/>
  <c r="BH639" i="8"/>
  <c r="AU585" i="8"/>
  <c r="BD585" i="8"/>
  <c r="BL585" i="8"/>
  <c r="AV585" i="8"/>
  <c r="BE585" i="8"/>
  <c r="AW585" i="8"/>
  <c r="BF585" i="8"/>
  <c r="AX585" i="8"/>
  <c r="BG585" i="8"/>
  <c r="AY585" i="8"/>
  <c r="BH585" i="8"/>
  <c r="AR585" i="8"/>
  <c r="AZ585" i="8"/>
  <c r="BI585" i="8"/>
  <c r="AS585" i="8"/>
  <c r="BA585" i="8"/>
  <c r="BJ585" i="8"/>
  <c r="AT585" i="8"/>
  <c r="BC585" i="8"/>
  <c r="BK585" i="8"/>
  <c r="AR428" i="8"/>
  <c r="AZ428" i="8"/>
  <c r="BI428" i="8"/>
  <c r="AT428" i="8"/>
  <c r="BC428" i="8"/>
  <c r="BK428" i="8"/>
  <c r="AV428" i="8"/>
  <c r="BE428" i="8"/>
  <c r="AX428" i="8"/>
  <c r="BG428" i="8"/>
  <c r="AS428" i="8"/>
  <c r="BJ428" i="8"/>
  <c r="AU428" i="8"/>
  <c r="BL428" i="8"/>
  <c r="AW428" i="8"/>
  <c r="BA428" i="8"/>
  <c r="BD428" i="8"/>
  <c r="BF428" i="8"/>
  <c r="AY428" i="8"/>
  <c r="BH428" i="8"/>
  <c r="AV663" i="8"/>
  <c r="BE663" i="8"/>
  <c r="AW663" i="8"/>
  <c r="BF663" i="8"/>
  <c r="AX663" i="8"/>
  <c r="BG663" i="8"/>
  <c r="AY663" i="8"/>
  <c r="BH663" i="8"/>
  <c r="AR663" i="8"/>
  <c r="AZ663" i="8"/>
  <c r="BI663" i="8"/>
  <c r="AS663" i="8"/>
  <c r="BA663" i="8"/>
  <c r="BJ663" i="8"/>
  <c r="AT663" i="8"/>
  <c r="BC663" i="8"/>
  <c r="BK663" i="8"/>
  <c r="AU663" i="8"/>
  <c r="BD663" i="8"/>
  <c r="BL663" i="8"/>
  <c r="AR437" i="8"/>
  <c r="AZ437" i="8"/>
  <c r="BI437" i="8"/>
  <c r="AT437" i="8"/>
  <c r="BC437" i="8"/>
  <c r="BK437" i="8"/>
  <c r="AV437" i="8"/>
  <c r="BE437" i="8"/>
  <c r="AX437" i="8"/>
  <c r="BG437" i="8"/>
  <c r="BA437" i="8"/>
  <c r="BD437" i="8"/>
  <c r="BF437" i="8"/>
  <c r="AS437" i="8"/>
  <c r="BJ437" i="8"/>
  <c r="AU437" i="8"/>
  <c r="BL437" i="8"/>
  <c r="AW437" i="8"/>
  <c r="AY437" i="8"/>
  <c r="BH437" i="8"/>
  <c r="AW445" i="8"/>
  <c r="BF445" i="8"/>
  <c r="AX445" i="8"/>
  <c r="BG445" i="8"/>
  <c r="AY445" i="8"/>
  <c r="BH445" i="8"/>
  <c r="AS445" i="8"/>
  <c r="BA445" i="8"/>
  <c r="BJ445" i="8"/>
  <c r="AT445" i="8"/>
  <c r="BC445" i="8"/>
  <c r="BK445" i="8"/>
  <c r="AU445" i="8"/>
  <c r="BD445" i="8"/>
  <c r="BL445" i="8"/>
  <c r="BE445" i="8"/>
  <c r="AV445" i="8"/>
  <c r="AZ445" i="8"/>
  <c r="AR445" i="8"/>
  <c r="BI445" i="8"/>
  <c r="AR614" i="8"/>
  <c r="AZ614" i="8"/>
  <c r="BI614" i="8"/>
  <c r="AS614" i="8"/>
  <c r="BA614" i="8"/>
  <c r="BJ614" i="8"/>
  <c r="AT614" i="8"/>
  <c r="BC614" i="8"/>
  <c r="BK614" i="8"/>
  <c r="AU614" i="8"/>
  <c r="BD614" i="8"/>
  <c r="BL614" i="8"/>
  <c r="AV614" i="8"/>
  <c r="BE614" i="8"/>
  <c r="AW614" i="8"/>
  <c r="BF614" i="8"/>
  <c r="AX614" i="8"/>
  <c r="BG614" i="8"/>
  <c r="AY614" i="8"/>
  <c r="BH614" i="8"/>
  <c r="AR630" i="8"/>
  <c r="AZ630" i="8"/>
  <c r="BI630" i="8"/>
  <c r="AS630" i="8"/>
  <c r="BA630" i="8"/>
  <c r="BJ630" i="8"/>
  <c r="AT630" i="8"/>
  <c r="BC630" i="8"/>
  <c r="BK630" i="8"/>
  <c r="AU630" i="8"/>
  <c r="BD630" i="8"/>
  <c r="BL630" i="8"/>
  <c r="AV630" i="8"/>
  <c r="BE630" i="8"/>
  <c r="AX630" i="8"/>
  <c r="BG630" i="8"/>
  <c r="AY630" i="8"/>
  <c r="BH630" i="8"/>
  <c r="AW630" i="8"/>
  <c r="BF630" i="8"/>
  <c r="AX586" i="8"/>
  <c r="BG586" i="8"/>
  <c r="AY586" i="8"/>
  <c r="BH586" i="8"/>
  <c r="AR586" i="8"/>
  <c r="AZ586" i="8"/>
  <c r="BI586" i="8"/>
  <c r="AS586" i="8"/>
  <c r="BA586" i="8"/>
  <c r="BJ586" i="8"/>
  <c r="AT586" i="8"/>
  <c r="BC586" i="8"/>
  <c r="BK586" i="8"/>
  <c r="AU586" i="8"/>
  <c r="BD586" i="8"/>
  <c r="BL586" i="8"/>
  <c r="AV586" i="8"/>
  <c r="BE586" i="8"/>
  <c r="AW586" i="8"/>
  <c r="BF586" i="8"/>
  <c r="AY474" i="8"/>
  <c r="BH474" i="8"/>
  <c r="AR474" i="8"/>
  <c r="AZ474" i="8"/>
  <c r="BI474" i="8"/>
  <c r="AS474" i="8"/>
  <c r="BA474" i="8"/>
  <c r="BJ474" i="8"/>
  <c r="AU474" i="8"/>
  <c r="BD474" i="8"/>
  <c r="BL474" i="8"/>
  <c r="AV474" i="8"/>
  <c r="BE474" i="8"/>
  <c r="AW474" i="8"/>
  <c r="BF474" i="8"/>
  <c r="AX474" i="8"/>
  <c r="BC474" i="8"/>
  <c r="AT474" i="8"/>
  <c r="BG474" i="8"/>
  <c r="BK474" i="8"/>
  <c r="AT635" i="8"/>
  <c r="BC635" i="8"/>
  <c r="BK635" i="8"/>
  <c r="AV635" i="8"/>
  <c r="BE635" i="8"/>
  <c r="AW635" i="8"/>
  <c r="BF635" i="8"/>
  <c r="AR635" i="8"/>
  <c r="AZ635" i="8"/>
  <c r="BI635" i="8"/>
  <c r="AU635" i="8"/>
  <c r="BL635" i="8"/>
  <c r="AX635" i="8"/>
  <c r="AY635" i="8"/>
  <c r="BA635" i="8"/>
  <c r="BD635" i="8"/>
  <c r="BG635" i="8"/>
  <c r="BH635" i="8"/>
  <c r="AS635" i="8"/>
  <c r="BJ635" i="8"/>
  <c r="AV484" i="8"/>
  <c r="BE484" i="8"/>
  <c r="AW484" i="8"/>
  <c r="BF484" i="8"/>
  <c r="AR484" i="8"/>
  <c r="AZ484" i="8"/>
  <c r="BI484" i="8"/>
  <c r="AS484" i="8"/>
  <c r="BA484" i="8"/>
  <c r="BJ484" i="8"/>
  <c r="BH484" i="8"/>
  <c r="AT484" i="8"/>
  <c r="BK484" i="8"/>
  <c r="AY484" i="8"/>
  <c r="BC484" i="8"/>
  <c r="AU484" i="8"/>
  <c r="AX484" i="8"/>
  <c r="BD484" i="8"/>
  <c r="BG484" i="8"/>
  <c r="BL484" i="8"/>
  <c r="BW17" i="10"/>
  <c r="BN231" i="10"/>
  <c r="BW231" i="10"/>
  <c r="BN184" i="10"/>
  <c r="BW184" i="10"/>
  <c r="BN296" i="10"/>
  <c r="BW296" i="10"/>
  <c r="BN27" i="10"/>
  <c r="BW27" i="10"/>
  <c r="BN194" i="10"/>
  <c r="BW194" i="10"/>
  <c r="BN423" i="10"/>
  <c r="BW423" i="10"/>
  <c r="BN455" i="10"/>
  <c r="BW455" i="10"/>
  <c r="BN460" i="10"/>
  <c r="BW460" i="10"/>
  <c r="BN160" i="10"/>
  <c r="BW160" i="10"/>
  <c r="BN209" i="10"/>
  <c r="BW209" i="10"/>
  <c r="BN211" i="10"/>
  <c r="BW211" i="10"/>
  <c r="BN86" i="10"/>
  <c r="BW86" i="10"/>
  <c r="BN317" i="10"/>
  <c r="BW317" i="10"/>
  <c r="BN486" i="10"/>
  <c r="BW486" i="10"/>
  <c r="BN324" i="10"/>
  <c r="BW324" i="10"/>
  <c r="BN340" i="10"/>
  <c r="BW340" i="10"/>
  <c r="BN358" i="10"/>
  <c r="BW358" i="10"/>
  <c r="BN370" i="10"/>
  <c r="BW370" i="10"/>
  <c r="BN383" i="10"/>
  <c r="BW383" i="10"/>
  <c r="BN496" i="10"/>
  <c r="BW496" i="10"/>
  <c r="BN129" i="10"/>
  <c r="BW129" i="10"/>
  <c r="BN140" i="10"/>
  <c r="BW140" i="10"/>
  <c r="BN158" i="10"/>
  <c r="BW158" i="10"/>
  <c r="BN521" i="10"/>
  <c r="BW521" i="10"/>
  <c r="BN541" i="10"/>
  <c r="BW541" i="10"/>
  <c r="BN222" i="10"/>
  <c r="BW222" i="10"/>
  <c r="BN226" i="10"/>
  <c r="BW226" i="10"/>
  <c r="BN400" i="10"/>
  <c r="BW400" i="10"/>
  <c r="BN187" i="10"/>
  <c r="BW187" i="10"/>
  <c r="BN12" i="10"/>
  <c r="BW12" i="10"/>
  <c r="BN23" i="10"/>
  <c r="BW23" i="10"/>
  <c r="BN297" i="10"/>
  <c r="BW297" i="10"/>
  <c r="BN24" i="10"/>
  <c r="BW24" i="10"/>
  <c r="BN28" i="10"/>
  <c r="BW28" i="10"/>
  <c r="BN31" i="10"/>
  <c r="BW31" i="10"/>
  <c r="BN443" i="10"/>
  <c r="BW443" i="10"/>
  <c r="BN417" i="10"/>
  <c r="BW417" i="10"/>
  <c r="BN422" i="10"/>
  <c r="BW422" i="10"/>
  <c r="BN33" i="10"/>
  <c r="BW33" i="10"/>
  <c r="BN430" i="10"/>
  <c r="BW430" i="10"/>
  <c r="BN434" i="10"/>
  <c r="BW434" i="10"/>
  <c r="BN45" i="10"/>
  <c r="BW45" i="10"/>
  <c r="BN53" i="10"/>
  <c r="BW53" i="10"/>
  <c r="BN58" i="10"/>
  <c r="BW58" i="10"/>
  <c r="BN60" i="10"/>
  <c r="BW60" i="10"/>
  <c r="BN283" i="10"/>
  <c r="BW283" i="10"/>
  <c r="BN63" i="10"/>
  <c r="BW63" i="10"/>
  <c r="BN285" i="10"/>
  <c r="BW285" i="10"/>
  <c r="BN466" i="10"/>
  <c r="BW466" i="10"/>
  <c r="BN202" i="10"/>
  <c r="BW202" i="10"/>
  <c r="BN161" i="10"/>
  <c r="BW161" i="10"/>
  <c r="BN470" i="10"/>
  <c r="BW470" i="10"/>
  <c r="BN475" i="10"/>
  <c r="BW475" i="10"/>
  <c r="BN478" i="10"/>
  <c r="BW478" i="10"/>
  <c r="BN83" i="10"/>
  <c r="BW83" i="10"/>
  <c r="BN212" i="10"/>
  <c r="BW212" i="10"/>
  <c r="BN216" i="10"/>
  <c r="BW216" i="10"/>
  <c r="BN87" i="10"/>
  <c r="BW87" i="10"/>
  <c r="BN32" i="10"/>
  <c r="BW32" i="10"/>
  <c r="BN318" i="10"/>
  <c r="BW318" i="10"/>
  <c r="BN93" i="10"/>
  <c r="BW93" i="10"/>
  <c r="BN485" i="10"/>
  <c r="BW485" i="10"/>
  <c r="BN488" i="10"/>
  <c r="BW488" i="10"/>
  <c r="BN97" i="10"/>
  <c r="BW97" i="10"/>
  <c r="BN106" i="10"/>
  <c r="BW106" i="10"/>
  <c r="BN321" i="10"/>
  <c r="BW321" i="10"/>
  <c r="BN329" i="10"/>
  <c r="BW329" i="10"/>
  <c r="BN332" i="10"/>
  <c r="BW332" i="10"/>
  <c r="BN341" i="10"/>
  <c r="BW341" i="10"/>
  <c r="BN349" i="10"/>
  <c r="BW349" i="10"/>
  <c r="BN354" i="10"/>
  <c r="BW354" i="10"/>
  <c r="BN362" i="10"/>
  <c r="BW362" i="10"/>
  <c r="BN364" i="10"/>
  <c r="BW364" i="10"/>
  <c r="BN371" i="10"/>
  <c r="BW371" i="10"/>
  <c r="BN376" i="10"/>
  <c r="BW376" i="10"/>
  <c r="BN380" i="10"/>
  <c r="BW380" i="10"/>
  <c r="BN384" i="10"/>
  <c r="BW384" i="10"/>
  <c r="BN388" i="10"/>
  <c r="BW388" i="10"/>
  <c r="BN392" i="10"/>
  <c r="BW392" i="10"/>
  <c r="BN110" i="10"/>
  <c r="BW110" i="10"/>
  <c r="BN115" i="10"/>
  <c r="BW115" i="10"/>
  <c r="BN123" i="10"/>
  <c r="BW123" i="10"/>
  <c r="BN498" i="10"/>
  <c r="BW498" i="10"/>
  <c r="BN127" i="10"/>
  <c r="BW127" i="10"/>
  <c r="BN151" i="10"/>
  <c r="BW151" i="10"/>
  <c r="BN152" i="10"/>
  <c r="BW152" i="10"/>
  <c r="BN504" i="10"/>
  <c r="BW504" i="10"/>
  <c r="BN506" i="10"/>
  <c r="BW506" i="10"/>
  <c r="BN159" i="10"/>
  <c r="BW159" i="10"/>
  <c r="BN68" i="10"/>
  <c r="BW68" i="10"/>
  <c r="BN175" i="10"/>
  <c r="BW175" i="10"/>
  <c r="BN522" i="10"/>
  <c r="BW522" i="10"/>
  <c r="BN526" i="10"/>
  <c r="BW526" i="10"/>
  <c r="BN530" i="10"/>
  <c r="BW530" i="10"/>
  <c r="BN534" i="10"/>
  <c r="BW534" i="10"/>
  <c r="BN538" i="10"/>
  <c r="BW538" i="10"/>
  <c r="BN542" i="10"/>
  <c r="BW542" i="10"/>
  <c r="BN546" i="10"/>
  <c r="BW546" i="10"/>
  <c r="BN228" i="10"/>
  <c r="BW228" i="10"/>
  <c r="BN233" i="10"/>
  <c r="BW233" i="10"/>
  <c r="BN416" i="10"/>
  <c r="BW416" i="10"/>
  <c r="BN440" i="10"/>
  <c r="BW440" i="10"/>
  <c r="BN52" i="10"/>
  <c r="BW52" i="10"/>
  <c r="BN201" i="10"/>
  <c r="BW201" i="10"/>
  <c r="BN469" i="10"/>
  <c r="BW469" i="10"/>
  <c r="BN96" i="10"/>
  <c r="BW96" i="10"/>
  <c r="BN92" i="10"/>
  <c r="BW92" i="10"/>
  <c r="BN490" i="10"/>
  <c r="BW490" i="10"/>
  <c r="BN328" i="10"/>
  <c r="BW328" i="10"/>
  <c r="BN348" i="10"/>
  <c r="BW348" i="10"/>
  <c r="BN363" i="10"/>
  <c r="BW363" i="10"/>
  <c r="BN379" i="10"/>
  <c r="BW379" i="10"/>
  <c r="BN387" i="10"/>
  <c r="BW387" i="10"/>
  <c r="BN122" i="10"/>
  <c r="BW122" i="10"/>
  <c r="BN72" i="10"/>
  <c r="BW72" i="10"/>
  <c r="BN148" i="10"/>
  <c r="BW148" i="10"/>
  <c r="BN154" i="10"/>
  <c r="BW154" i="10"/>
  <c r="BN34" i="10"/>
  <c r="BW34" i="10"/>
  <c r="BN537" i="10"/>
  <c r="BW537" i="10"/>
  <c r="BN223" i="10"/>
  <c r="BW223" i="10"/>
  <c r="BN227" i="10"/>
  <c r="BW227" i="10"/>
  <c r="BN229" i="10"/>
  <c r="BW229" i="10"/>
  <c r="BN234" i="10"/>
  <c r="BW234" i="10"/>
  <c r="BN191" i="10"/>
  <c r="BW191" i="10"/>
  <c r="BN18" i="10"/>
  <c r="BW18" i="10"/>
  <c r="BN189" i="10"/>
  <c r="BW189" i="10"/>
  <c r="BN290" i="10"/>
  <c r="BW290" i="10"/>
  <c r="BN407" i="10"/>
  <c r="BW407" i="10"/>
  <c r="BN25" i="10"/>
  <c r="BW25" i="10"/>
  <c r="BN29" i="10"/>
  <c r="BW29" i="10"/>
  <c r="BN412" i="10"/>
  <c r="BW412" i="10"/>
  <c r="BN418" i="10"/>
  <c r="BW418" i="10"/>
  <c r="BN441" i="10"/>
  <c r="BW441" i="10"/>
  <c r="BN46" i="10"/>
  <c r="BW46" i="10"/>
  <c r="BN49" i="10"/>
  <c r="BW49" i="10"/>
  <c r="BN54" i="10"/>
  <c r="BW54" i="10"/>
  <c r="BN449" i="10"/>
  <c r="BW449" i="10"/>
  <c r="BN452" i="10"/>
  <c r="BW452" i="10"/>
  <c r="BN198" i="10"/>
  <c r="BW198" i="10"/>
  <c r="BN132" i="10"/>
  <c r="BW132" i="10"/>
  <c r="BN458" i="10"/>
  <c r="BW458" i="10"/>
  <c r="BN461" i="10"/>
  <c r="BW461" i="10"/>
  <c r="BN463" i="10"/>
  <c r="BW463" i="10"/>
  <c r="BN467" i="10"/>
  <c r="BW467" i="10"/>
  <c r="BN199" i="10"/>
  <c r="BW199" i="10"/>
  <c r="BN204" i="10"/>
  <c r="BW204" i="10"/>
  <c r="BN37" i="10"/>
  <c r="BW37" i="10"/>
  <c r="BN80" i="10"/>
  <c r="BW80" i="10"/>
  <c r="BN213" i="10"/>
  <c r="BW213" i="10"/>
  <c r="BN217" i="10"/>
  <c r="BW217" i="10"/>
  <c r="BN88" i="10"/>
  <c r="BW88" i="10"/>
  <c r="BN482" i="10"/>
  <c r="BW482" i="10"/>
  <c r="BN90" i="10"/>
  <c r="BW90" i="10"/>
  <c r="BN94" i="10"/>
  <c r="BW94" i="10"/>
  <c r="BN489" i="10"/>
  <c r="BW489" i="10"/>
  <c r="BN107" i="10"/>
  <c r="BW107" i="10"/>
  <c r="BN253" i="10"/>
  <c r="BW253" i="10"/>
  <c r="BN322" i="10"/>
  <c r="BW322" i="10"/>
  <c r="BN330" i="10"/>
  <c r="BW330" i="10"/>
  <c r="BN333" i="10"/>
  <c r="BW333" i="10"/>
  <c r="BN343" i="10"/>
  <c r="BW343" i="10"/>
  <c r="BN351" i="10"/>
  <c r="BW351" i="10"/>
  <c r="BN355" i="10"/>
  <c r="BW355" i="10"/>
  <c r="BN359" i="10"/>
  <c r="BW359" i="10"/>
  <c r="BN366" i="10"/>
  <c r="BW366" i="10"/>
  <c r="BN373" i="10"/>
  <c r="BW373" i="10"/>
  <c r="BN377" i="10"/>
  <c r="BW377" i="10"/>
  <c r="BN381" i="10"/>
  <c r="BW381" i="10"/>
  <c r="BN385" i="10"/>
  <c r="BW385" i="10"/>
  <c r="BN389" i="10"/>
  <c r="BW389" i="10"/>
  <c r="BN70" i="10"/>
  <c r="BW70" i="10"/>
  <c r="BN111" i="10"/>
  <c r="BW111" i="10"/>
  <c r="BN120" i="10"/>
  <c r="BW120" i="10"/>
  <c r="BN124" i="10"/>
  <c r="BW124" i="10"/>
  <c r="BN499" i="10"/>
  <c r="BW499" i="10"/>
  <c r="BN57" i="10"/>
  <c r="BW57" i="10"/>
  <c r="BN134" i="10"/>
  <c r="BW134" i="10"/>
  <c r="BN150" i="10"/>
  <c r="BW150" i="10"/>
  <c r="BN505" i="10"/>
  <c r="BW505" i="10"/>
  <c r="BN156" i="10"/>
  <c r="BW156" i="10"/>
  <c r="BN64" i="10"/>
  <c r="BW64" i="10"/>
  <c r="BN149" i="10"/>
  <c r="BW149" i="10"/>
  <c r="BN164" i="10"/>
  <c r="BW164" i="10"/>
  <c r="BN527" i="10"/>
  <c r="BW527" i="10"/>
  <c r="BN531" i="10"/>
  <c r="BW531" i="10"/>
  <c r="BN535" i="10"/>
  <c r="BW535" i="10"/>
  <c r="BN539" i="10"/>
  <c r="BW539" i="10"/>
  <c r="BN543" i="10"/>
  <c r="BW543" i="10"/>
  <c r="BN225" i="10"/>
  <c r="BW225" i="10"/>
  <c r="BN10" i="10"/>
  <c r="BW10" i="10"/>
  <c r="BN188" i="10"/>
  <c r="BW188" i="10"/>
  <c r="BN196" i="10"/>
  <c r="BW196" i="10"/>
  <c r="BN47" i="10"/>
  <c r="BW47" i="10"/>
  <c r="BN62" i="10"/>
  <c r="BW62" i="10"/>
  <c r="BN465" i="10"/>
  <c r="BW465" i="10"/>
  <c r="BN477" i="10"/>
  <c r="BW477" i="10"/>
  <c r="BN215" i="10"/>
  <c r="BW215" i="10"/>
  <c r="BN484" i="10"/>
  <c r="BW484" i="10"/>
  <c r="BN255" i="10"/>
  <c r="BW255" i="10"/>
  <c r="BN327" i="10"/>
  <c r="BW327" i="10"/>
  <c r="BN353" i="10"/>
  <c r="BW353" i="10"/>
  <c r="BN375" i="10"/>
  <c r="BW375" i="10"/>
  <c r="BN391" i="10"/>
  <c r="BW391" i="10"/>
  <c r="BN219" i="10"/>
  <c r="BW219" i="10"/>
  <c r="BN144" i="10"/>
  <c r="BW144" i="10"/>
  <c r="BN112" i="10"/>
  <c r="BW112" i="10"/>
  <c r="BN525" i="10"/>
  <c r="BW525" i="10"/>
  <c r="BN224" i="10"/>
  <c r="BW224" i="10"/>
  <c r="BN230" i="10"/>
  <c r="BW230" i="10"/>
  <c r="BN402" i="10"/>
  <c r="BW402" i="10"/>
  <c r="BN13" i="10"/>
  <c r="BW13" i="10"/>
  <c r="BN404" i="10"/>
  <c r="BW404" i="10"/>
  <c r="BN190" i="10"/>
  <c r="BW190" i="10"/>
  <c r="BN291" i="10"/>
  <c r="BW291" i="10"/>
  <c r="BN26" i="10"/>
  <c r="BW26" i="10"/>
  <c r="BN193" i="10"/>
  <c r="BW193" i="10"/>
  <c r="BN415" i="10"/>
  <c r="BW415" i="10"/>
  <c r="BN433" i="10"/>
  <c r="BW433" i="10"/>
  <c r="BN40" i="10"/>
  <c r="BW40" i="10"/>
  <c r="BN44" i="10"/>
  <c r="BW44" i="10"/>
  <c r="BN448" i="10"/>
  <c r="BW448" i="10"/>
  <c r="BN51" i="10"/>
  <c r="BW51" i="10"/>
  <c r="BN451" i="10"/>
  <c r="BW451" i="10"/>
  <c r="BN61" i="10"/>
  <c r="BW61" i="10"/>
  <c r="BN459" i="10"/>
  <c r="BW459" i="10"/>
  <c r="BN462" i="10"/>
  <c r="BW462" i="10"/>
  <c r="BN464" i="10"/>
  <c r="BW464" i="10"/>
  <c r="BN468" i="10"/>
  <c r="BW468" i="10"/>
  <c r="BN200" i="10"/>
  <c r="BW200" i="10"/>
  <c r="BN67" i="10"/>
  <c r="BW67" i="10"/>
  <c r="BN69" i="10"/>
  <c r="BW69" i="10"/>
  <c r="BN71" i="10"/>
  <c r="BW71" i="10"/>
  <c r="BN207" i="10"/>
  <c r="BW207" i="10"/>
  <c r="BN476" i="10"/>
  <c r="BW476" i="10"/>
  <c r="BN480" i="10"/>
  <c r="BW480" i="10"/>
  <c r="BN81" i="10"/>
  <c r="BW81" i="10"/>
  <c r="BN84" i="10"/>
  <c r="BW84" i="10"/>
  <c r="BN214" i="10"/>
  <c r="BW214" i="10"/>
  <c r="BN85" i="10"/>
  <c r="BW85" i="10"/>
  <c r="BN481" i="10"/>
  <c r="BW481" i="10"/>
  <c r="BN162" i="10"/>
  <c r="BW162" i="10"/>
  <c r="BN89" i="10"/>
  <c r="BW89" i="10"/>
  <c r="BN91" i="10"/>
  <c r="BW91" i="10"/>
  <c r="BN487" i="10"/>
  <c r="BW487" i="10"/>
  <c r="BN95" i="10"/>
  <c r="BW95" i="10"/>
  <c r="BN99" i="10"/>
  <c r="BW99" i="10"/>
  <c r="BN109" i="10"/>
  <c r="BW109" i="10"/>
  <c r="BN254" i="10"/>
  <c r="BW254" i="10"/>
  <c r="BN323" i="10"/>
  <c r="BW323" i="10"/>
  <c r="BN492" i="10"/>
  <c r="BW492" i="10"/>
  <c r="BN331" i="10"/>
  <c r="BW331" i="10"/>
  <c r="BN338" i="10"/>
  <c r="BW338" i="10"/>
  <c r="BN346" i="10"/>
  <c r="BW346" i="10"/>
  <c r="BN352" i="10"/>
  <c r="BW352" i="10"/>
  <c r="BN357" i="10"/>
  <c r="BW357" i="10"/>
  <c r="BN361" i="10"/>
  <c r="BW361" i="10"/>
  <c r="BN368" i="10"/>
  <c r="BW368" i="10"/>
  <c r="BN374" i="10"/>
  <c r="BW374" i="10"/>
  <c r="BN378" i="10"/>
  <c r="BW378" i="10"/>
  <c r="BN382" i="10"/>
  <c r="BW382" i="10"/>
  <c r="BN386" i="10"/>
  <c r="BW386" i="10"/>
  <c r="BN390" i="10"/>
  <c r="BW390" i="10"/>
  <c r="BN493" i="10"/>
  <c r="BW493" i="10"/>
  <c r="BN113" i="10"/>
  <c r="BW113" i="10"/>
  <c r="BN117" i="10"/>
  <c r="BW117" i="10"/>
  <c r="BN121" i="10"/>
  <c r="BW121" i="10"/>
  <c r="BN126" i="10"/>
  <c r="BW126" i="10"/>
  <c r="BN73" i="10"/>
  <c r="BW73" i="10"/>
  <c r="BN128" i="10"/>
  <c r="BW128" i="10"/>
  <c r="BN500" i="10"/>
  <c r="BW500" i="10"/>
  <c r="BN135" i="10"/>
  <c r="BW135" i="10"/>
  <c r="BN147" i="10"/>
  <c r="BW147" i="10"/>
  <c r="BN502" i="10"/>
  <c r="BW502" i="10"/>
  <c r="BN153" i="10"/>
  <c r="BW153" i="10"/>
  <c r="BN157" i="10"/>
  <c r="BW157" i="10"/>
  <c r="BN108" i="10"/>
  <c r="BW108" i="10"/>
  <c r="BN163" i="10"/>
  <c r="BW163" i="10"/>
  <c r="BN524" i="10"/>
  <c r="BW524" i="10"/>
  <c r="BN528" i="10"/>
  <c r="BW528" i="10"/>
  <c r="BN536" i="10"/>
  <c r="BW536" i="10"/>
  <c r="BN540" i="10"/>
  <c r="BW540" i="10"/>
  <c r="BN544" i="10"/>
  <c r="BW544" i="10"/>
  <c r="BN529" i="10"/>
  <c r="T601" i="10"/>
  <c r="BN533" i="10"/>
  <c r="T604" i="10"/>
  <c r="BN545" i="10"/>
  <c r="T602" i="10"/>
  <c r="BN523" i="10"/>
  <c r="BN520" i="10"/>
  <c r="BN532" i="10"/>
  <c r="T603" i="10"/>
  <c r="AL652" i="8"/>
  <c r="AL631" i="8"/>
  <c r="AL666" i="8"/>
  <c r="AL636" i="8"/>
  <c r="AL653" i="8"/>
  <c r="AL605" i="8"/>
  <c r="AM586" i="8"/>
  <c r="BU586" i="8"/>
  <c r="AN586" i="8"/>
  <c r="BV586" i="8"/>
  <c r="AM610" i="8"/>
  <c r="BU610" i="8"/>
  <c r="AN610" i="8"/>
  <c r="BV610" i="8"/>
  <c r="AM652" i="8"/>
  <c r="BU652" i="8"/>
  <c r="AN652" i="8"/>
  <c r="BV652" i="8"/>
  <c r="AM631" i="8"/>
  <c r="BU631" i="8"/>
  <c r="AN631" i="8"/>
  <c r="BV631" i="8"/>
  <c r="AM666" i="8"/>
  <c r="BU666" i="8"/>
  <c r="AN666" i="8"/>
  <c r="BV666" i="8"/>
  <c r="AN636" i="8"/>
  <c r="BV636" i="8"/>
  <c r="AM636" i="8"/>
  <c r="BU636" i="8"/>
  <c r="AM653" i="8"/>
  <c r="BU653" i="8"/>
  <c r="AN653" i="8"/>
  <c r="BV653" i="8"/>
  <c r="AL628" i="8"/>
  <c r="AL630" i="8"/>
  <c r="AL654" i="8"/>
  <c r="AL634" i="8"/>
  <c r="AM611" i="8"/>
  <c r="BU611" i="8"/>
  <c r="AN611" i="8"/>
  <c r="BV611" i="8"/>
  <c r="AL611" i="8"/>
  <c r="AL584" i="8"/>
  <c r="AN612" i="8"/>
  <c r="BV612" i="8"/>
  <c r="AM612" i="8"/>
  <c r="BU612" i="8"/>
  <c r="AL612" i="8"/>
  <c r="AM614" i="8"/>
  <c r="BU614" i="8"/>
  <c r="AN614" i="8"/>
  <c r="BV614" i="8"/>
  <c r="AM615" i="8"/>
  <c r="BU615" i="8"/>
  <c r="AN615" i="8"/>
  <c r="BV615" i="8"/>
  <c r="AM638" i="8"/>
  <c r="BU638" i="8"/>
  <c r="AN638" i="8"/>
  <c r="BV638" i="8"/>
  <c r="AM635" i="8"/>
  <c r="BU635" i="8"/>
  <c r="AN635" i="8"/>
  <c r="BV635" i="8"/>
  <c r="AL586" i="8"/>
  <c r="AL637" i="8"/>
  <c r="AM637" i="8"/>
  <c r="BU637" i="8"/>
  <c r="AN637" i="8"/>
  <c r="BV637" i="8"/>
  <c r="AN584" i="8"/>
  <c r="AM584" i="8"/>
  <c r="AN628" i="8"/>
  <c r="BV628" i="8"/>
  <c r="AM628" i="8"/>
  <c r="BU628" i="8"/>
  <c r="AM630" i="8"/>
  <c r="BU630" i="8"/>
  <c r="AN630" i="8"/>
  <c r="BV630" i="8"/>
  <c r="AM654" i="8"/>
  <c r="BU654" i="8"/>
  <c r="AN654" i="8"/>
  <c r="BV654" i="8"/>
  <c r="AM634" i="8"/>
  <c r="BU634" i="8"/>
  <c r="AN634" i="8"/>
  <c r="BV634" i="8"/>
  <c r="AM605" i="8"/>
  <c r="BU605" i="8"/>
  <c r="AN605" i="8"/>
  <c r="BV605" i="8"/>
  <c r="AL610" i="8"/>
  <c r="AL614" i="8"/>
  <c r="AL615" i="8"/>
  <c r="AL638" i="8"/>
  <c r="AL635" i="8"/>
  <c r="BC9" i="10"/>
  <c r="BN9" i="10"/>
  <c r="BC232" i="10"/>
  <c r="BN232" i="10"/>
  <c r="BC235" i="10"/>
  <c r="BN235" i="10"/>
  <c r="BC165" i="10"/>
  <c r="BN165" i="10"/>
  <c r="BC16" i="10"/>
  <c r="BN16" i="10"/>
  <c r="BC182" i="10"/>
  <c r="BN182" i="10"/>
  <c r="BC11" i="10"/>
  <c r="BN11" i="10"/>
  <c r="BC242" i="10"/>
  <c r="BN242" i="10"/>
  <c r="BC17" i="10"/>
  <c r="BN17" i="10"/>
  <c r="BC399" i="10"/>
  <c r="BN399" i="10"/>
  <c r="BC15" i="10"/>
  <c r="BN15" i="10"/>
  <c r="BC21" i="10"/>
  <c r="BN21" i="10"/>
  <c r="BC184" i="10"/>
  <c r="BC13" i="10"/>
  <c r="BC18" i="10"/>
  <c r="BC296" i="10"/>
  <c r="BC196" i="10"/>
  <c r="BC423" i="10"/>
  <c r="BC433" i="10"/>
  <c r="BC449" i="10"/>
  <c r="BC61" i="10"/>
  <c r="BC468" i="10"/>
  <c r="BC213" i="10"/>
  <c r="BC488" i="10"/>
  <c r="BC106" i="10"/>
  <c r="BC254" i="10"/>
  <c r="BC338" i="10"/>
  <c r="BC352" i="10"/>
  <c r="BC368" i="10"/>
  <c r="BC381" i="10"/>
  <c r="BC385" i="10"/>
  <c r="BC113" i="10"/>
  <c r="BC123" i="10"/>
  <c r="BC57" i="10"/>
  <c r="BC135" i="10"/>
  <c r="BC148" i="10"/>
  <c r="BC149" i="10"/>
  <c r="BC529" i="10"/>
  <c r="BC537" i="10"/>
  <c r="BC223" i="10"/>
  <c r="BC226" i="10"/>
  <c r="BC400" i="10"/>
  <c r="BC402" i="10"/>
  <c r="BC24" i="10"/>
  <c r="BC28" i="10"/>
  <c r="BC193" i="10"/>
  <c r="BC415" i="10"/>
  <c r="BC434" i="10"/>
  <c r="BC53" i="10"/>
  <c r="BC283" i="10"/>
  <c r="BC463" i="10"/>
  <c r="BC467" i="10"/>
  <c r="BC202" i="10"/>
  <c r="BC160" i="10"/>
  <c r="BC469" i="10"/>
  <c r="BC37" i="10"/>
  <c r="BC476" i="10"/>
  <c r="BC480" i="10"/>
  <c r="BC81" i="10"/>
  <c r="BC212" i="10"/>
  <c r="BC216" i="10"/>
  <c r="BC482" i="10"/>
  <c r="BC91" i="10"/>
  <c r="BC486" i="10"/>
  <c r="BC97" i="10"/>
  <c r="BC109" i="10"/>
  <c r="BC253" i="10"/>
  <c r="BC322" i="10"/>
  <c r="BC330" i="10"/>
  <c r="BC341" i="10"/>
  <c r="BC348" i="10"/>
  <c r="BC355" i="10"/>
  <c r="BC359" i="10"/>
  <c r="BC371" i="10"/>
  <c r="BC373" i="10"/>
  <c r="BC376" i="10"/>
  <c r="BC379" i="10"/>
  <c r="BC384" i="10"/>
  <c r="BC389" i="10"/>
  <c r="BC70" i="10"/>
  <c r="BC111" i="10"/>
  <c r="BC122" i="10"/>
  <c r="BC126" i="10"/>
  <c r="BC127" i="10"/>
  <c r="BC134" i="10"/>
  <c r="BC144" i="10"/>
  <c r="BC147" i="10"/>
  <c r="BC502" i="10"/>
  <c r="BC153" i="10"/>
  <c r="BC504" i="10"/>
  <c r="BC506" i="10"/>
  <c r="BC158" i="10"/>
  <c r="BC108" i="10"/>
  <c r="BC175" i="10"/>
  <c r="BC520" i="10"/>
  <c r="BC524" i="10"/>
  <c r="BC528" i="10"/>
  <c r="BC532" i="10"/>
  <c r="BC536" i="10"/>
  <c r="BC540" i="10"/>
  <c r="BC544" i="10"/>
  <c r="BC229" i="10"/>
  <c r="BC10" i="10"/>
  <c r="BC29" i="10"/>
  <c r="BC194" i="10"/>
  <c r="BC40" i="10"/>
  <c r="BC54" i="10"/>
  <c r="BC452" i="10"/>
  <c r="BC198" i="10"/>
  <c r="BC63" i="10"/>
  <c r="BC464" i="10"/>
  <c r="BC470" i="10"/>
  <c r="BC71" i="10"/>
  <c r="BC477" i="10"/>
  <c r="BC84" i="10"/>
  <c r="BC217" i="10"/>
  <c r="BC92" i="10"/>
  <c r="BC485" i="10"/>
  <c r="BC327" i="10"/>
  <c r="BC357" i="10"/>
  <c r="BC361" i="10"/>
  <c r="BC380" i="10"/>
  <c r="BC386" i="10"/>
  <c r="BC390" i="10"/>
  <c r="BC219" i="10"/>
  <c r="BC505" i="10"/>
  <c r="BC156" i="10"/>
  <c r="BC159" i="10"/>
  <c r="BC112" i="10"/>
  <c r="BC164" i="10"/>
  <c r="BC521" i="10"/>
  <c r="BC525" i="10"/>
  <c r="BC533" i="10"/>
  <c r="BC541" i="10"/>
  <c r="BC545" i="10"/>
  <c r="BC224" i="10"/>
  <c r="BC230" i="10"/>
  <c r="BC187" i="10"/>
  <c r="BC191" i="10"/>
  <c r="BC189" i="10"/>
  <c r="BC290" i="10"/>
  <c r="BC297" i="10"/>
  <c r="BC26" i="10"/>
  <c r="BC31" i="10"/>
  <c r="BC443" i="10"/>
  <c r="BC417" i="10"/>
  <c r="BC422" i="10"/>
  <c r="BC33" i="10"/>
  <c r="BC430" i="10"/>
  <c r="BC44" i="10"/>
  <c r="BC45" i="10"/>
  <c r="BC448" i="10"/>
  <c r="BC51" i="10"/>
  <c r="BC451" i="10"/>
  <c r="BC60" i="10"/>
  <c r="BC62" i="10"/>
  <c r="BC459" i="10"/>
  <c r="BC461" i="10"/>
  <c r="BC465" i="10"/>
  <c r="BC200" i="10"/>
  <c r="BC67" i="10"/>
  <c r="BC207" i="10"/>
  <c r="BC478" i="10"/>
  <c r="BC214" i="10"/>
  <c r="BC85" i="10"/>
  <c r="BC481" i="10"/>
  <c r="BC32" i="10"/>
  <c r="BC89" i="10"/>
  <c r="BC318" i="10"/>
  <c r="BC93" i="10"/>
  <c r="BC484" i="10"/>
  <c r="BC489" i="10"/>
  <c r="BC107" i="10"/>
  <c r="BC255" i="10"/>
  <c r="BC328" i="10"/>
  <c r="BC331" i="10"/>
  <c r="BC333" i="10"/>
  <c r="BC351" i="10"/>
  <c r="BC353" i="10"/>
  <c r="BC358" i="10"/>
  <c r="BC363" i="10"/>
  <c r="BC374" i="10"/>
  <c r="BC377" i="10"/>
  <c r="BC378" i="10"/>
  <c r="BC382" i="10"/>
  <c r="BC387" i="10"/>
  <c r="BC391" i="10"/>
  <c r="BC496" i="10"/>
  <c r="BC120" i="10"/>
  <c r="BC124" i="10"/>
  <c r="BC498" i="10"/>
  <c r="BC73" i="10"/>
  <c r="BC128" i="10"/>
  <c r="BC500" i="10"/>
  <c r="BC140" i="10"/>
  <c r="BC151" i="10"/>
  <c r="BC152" i="10"/>
  <c r="BC157" i="10"/>
  <c r="BC68" i="10"/>
  <c r="BC163" i="10"/>
  <c r="BC522" i="10"/>
  <c r="BC526" i="10"/>
  <c r="BC530" i="10"/>
  <c r="BC534" i="10"/>
  <c r="BC538" i="10"/>
  <c r="BC542" i="10"/>
  <c r="BC546" i="10"/>
  <c r="BC227" i="10"/>
  <c r="BC234" i="10"/>
  <c r="BC188" i="10"/>
  <c r="BC23" i="10"/>
  <c r="BC25" i="10"/>
  <c r="BC416" i="10"/>
  <c r="BC441" i="10"/>
  <c r="BC49" i="10"/>
  <c r="BC458" i="10"/>
  <c r="BC199" i="10"/>
  <c r="BC161" i="10"/>
  <c r="BC87" i="10"/>
  <c r="BC317" i="10"/>
  <c r="BC490" i="10"/>
  <c r="BC323" i="10"/>
  <c r="BC332" i="10"/>
  <c r="BC343" i="10"/>
  <c r="BC349" i="10"/>
  <c r="BC366" i="10"/>
  <c r="BC493" i="10"/>
  <c r="BC117" i="10"/>
  <c r="BC34" i="10"/>
  <c r="BC222" i="10"/>
  <c r="BC225" i="10"/>
  <c r="BC228" i="10"/>
  <c r="BC231" i="10"/>
  <c r="BC233" i="10"/>
  <c r="BC12" i="10"/>
  <c r="BC404" i="10"/>
  <c r="BC190" i="10"/>
  <c r="BC291" i="10"/>
  <c r="BC407" i="10"/>
  <c r="BC27" i="10"/>
  <c r="BC412" i="10"/>
  <c r="BC418" i="10"/>
  <c r="BC440" i="10"/>
  <c r="BC46" i="10"/>
  <c r="BC47" i="10"/>
  <c r="BC52" i="10"/>
  <c r="BC58" i="10"/>
  <c r="BC455" i="10"/>
  <c r="BC132" i="10"/>
  <c r="BC460" i="10"/>
  <c r="BC462" i="10"/>
  <c r="BC285" i="10"/>
  <c r="BC466" i="10"/>
  <c r="BC201" i="10"/>
  <c r="BC69" i="10"/>
  <c r="BC204" i="10"/>
  <c r="BC475" i="10"/>
  <c r="BC209" i="10"/>
  <c r="BC80" i="10"/>
  <c r="BC83" i="10"/>
  <c r="BC211" i="10"/>
  <c r="BC215" i="10"/>
  <c r="BC96" i="10"/>
  <c r="BC86" i="10"/>
  <c r="BC88" i="10"/>
  <c r="BC162" i="10"/>
  <c r="BC90" i="10"/>
  <c r="BC94" i="10"/>
  <c r="BC487" i="10"/>
  <c r="BC95" i="10"/>
  <c r="BC99" i="10"/>
  <c r="BC321" i="10"/>
  <c r="BC324" i="10"/>
  <c r="BC492" i="10"/>
  <c r="BC329" i="10"/>
  <c r="BC340" i="10"/>
  <c r="BC346" i="10"/>
  <c r="BC354" i="10"/>
  <c r="BC362" i="10"/>
  <c r="BC364" i="10"/>
  <c r="BC370" i="10"/>
  <c r="BC375" i="10"/>
  <c r="BC383" i="10"/>
  <c r="BC388" i="10"/>
  <c r="BC392" i="10"/>
  <c r="BC110" i="10"/>
  <c r="BC115" i="10"/>
  <c r="BC121" i="10"/>
  <c r="BC499" i="10"/>
  <c r="BC72" i="10"/>
  <c r="BC129" i="10"/>
  <c r="BC150" i="10"/>
  <c r="BC154" i="10"/>
  <c r="BC64" i="10"/>
  <c r="BC523" i="10"/>
  <c r="BC527" i="10"/>
  <c r="BC531" i="10"/>
  <c r="BC535" i="10"/>
  <c r="BC539" i="10"/>
  <c r="BC543" i="10"/>
  <c r="C923" i="8"/>
  <c r="C907" i="8"/>
  <c r="C891" i="8"/>
  <c r="C875" i="8"/>
  <c r="C922" i="8"/>
  <c r="C906" i="8"/>
  <c r="C890" i="8"/>
  <c r="C874" i="8"/>
  <c r="C921" i="8"/>
  <c r="C905" i="8"/>
  <c r="C889" i="8"/>
  <c r="C920" i="8"/>
  <c r="C904" i="8"/>
  <c r="C888" i="8"/>
  <c r="C919" i="8"/>
  <c r="C903" i="8"/>
  <c r="C887" i="8"/>
  <c r="C871" i="8"/>
  <c r="C918" i="8"/>
  <c r="C902" i="8"/>
  <c r="C886" i="8"/>
  <c r="C870" i="8"/>
  <c r="C917" i="8"/>
  <c r="C901" i="8"/>
  <c r="C869" i="8"/>
  <c r="C916" i="8"/>
  <c r="C884" i="8"/>
  <c r="C868" i="8"/>
  <c r="C915" i="8"/>
  <c r="C899" i="8"/>
  <c r="C883" i="8"/>
  <c r="C914" i="8"/>
  <c r="C898" i="8"/>
  <c r="C882" i="8"/>
  <c r="C913" i="8"/>
  <c r="C897" i="8"/>
  <c r="C865" i="8"/>
  <c r="C912" i="8"/>
  <c r="C896" i="8"/>
  <c r="C864" i="8"/>
  <c r="C911" i="8"/>
  <c r="C895" i="8"/>
  <c r="C879" i="8"/>
  <c r="C863" i="8"/>
  <c r="C910" i="8"/>
  <c r="C894" i="8"/>
  <c r="C878" i="8"/>
  <c r="C862" i="8"/>
  <c r="C909" i="8"/>
  <c r="C893" i="8"/>
  <c r="C877" i="8"/>
  <c r="C861" i="8"/>
  <c r="C876" i="8"/>
  <c r="C881" i="8"/>
  <c r="C880" i="8"/>
  <c r="AN454" i="8"/>
  <c r="AM454" i="8"/>
  <c r="AL453" i="8"/>
  <c r="AL455" i="8"/>
  <c r="AN453" i="8"/>
  <c r="AM453" i="8"/>
  <c r="AN455" i="8"/>
  <c r="AM455" i="8"/>
  <c r="AL456" i="8"/>
  <c r="AM456" i="8"/>
  <c r="AN456" i="8"/>
  <c r="AL452" i="8"/>
  <c r="AL457" i="8"/>
  <c r="AM452" i="8"/>
  <c r="AN452" i="8"/>
  <c r="AM457" i="8"/>
  <c r="AN457" i="8"/>
  <c r="AL454" i="8"/>
  <c r="AM95" i="8"/>
  <c r="AM102" i="8"/>
  <c r="AN129" i="8"/>
  <c r="AN145" i="8"/>
  <c r="AM156" i="8"/>
  <c r="AN163" i="8"/>
  <c r="AN166" i="8"/>
  <c r="AM179" i="8"/>
  <c r="AM196" i="8"/>
  <c r="AM200" i="8"/>
  <c r="AM202" i="8"/>
  <c r="AM206" i="8"/>
  <c r="AM250" i="8"/>
  <c r="AM254" i="8"/>
  <c r="AL262" i="8"/>
  <c r="AL261" i="8"/>
  <c r="AL280" i="8"/>
  <c r="AL277" i="8"/>
  <c r="AL287" i="8"/>
  <c r="AL291" i="8"/>
  <c r="AL295" i="8"/>
  <c r="AL304" i="8"/>
  <c r="AL308" i="8"/>
  <c r="AL313" i="8"/>
  <c r="AL317" i="8"/>
  <c r="AL321" i="8"/>
  <c r="AL325" i="8"/>
  <c r="AM230" i="8"/>
  <c r="AM223" i="8"/>
  <c r="AM225" i="8"/>
  <c r="AL266" i="8"/>
  <c r="AL270" i="8"/>
  <c r="AM279" i="8"/>
  <c r="AL301" i="8"/>
  <c r="AM326" i="8"/>
  <c r="AL330" i="8"/>
  <c r="AL311" i="8"/>
  <c r="AL337" i="8"/>
  <c r="AL341" i="8"/>
  <c r="AL345" i="8"/>
  <c r="AL328" i="8"/>
  <c r="AL332" i="8"/>
  <c r="AL335" i="8"/>
  <c r="AL339" i="8"/>
  <c r="AL343" i="8"/>
  <c r="AM386" i="8"/>
  <c r="AM110" i="8"/>
  <c r="AM193" i="8"/>
  <c r="AM198" i="8"/>
  <c r="AM204" i="8"/>
  <c r="AM236" i="8"/>
  <c r="AM252" i="8"/>
  <c r="AL259" i="8"/>
  <c r="AL285" i="8"/>
  <c r="AL289" i="8"/>
  <c r="AL293" i="8"/>
  <c r="AL276" i="8"/>
  <c r="AM216" i="8"/>
  <c r="AM106" i="8"/>
  <c r="AN118" i="8"/>
  <c r="AN134" i="8"/>
  <c r="AN140" i="8"/>
  <c r="AN152" i="8"/>
  <c r="AN173" i="8"/>
  <c r="AM194" i="8"/>
  <c r="AM205" i="8"/>
  <c r="AN451" i="8"/>
  <c r="AL264" i="8"/>
  <c r="AL268" i="8"/>
  <c r="AL272" i="8"/>
  <c r="AN96" i="8"/>
  <c r="AN103" i="8"/>
  <c r="AM207" i="8"/>
  <c r="AM133" i="8"/>
  <c r="AM139" i="8"/>
  <c r="AM151" i="8"/>
  <c r="AM159" i="8"/>
  <c r="AM171" i="8"/>
  <c r="AN36" i="8"/>
  <c r="AN40" i="8"/>
  <c r="AN43" i="8"/>
  <c r="AN49" i="8"/>
  <c r="AN53" i="8"/>
  <c r="AN59" i="8"/>
  <c r="AN62" i="8"/>
  <c r="AN66" i="8"/>
  <c r="AN71" i="8"/>
  <c r="AN75" i="8"/>
  <c r="AN80" i="8"/>
  <c r="AN83" i="8"/>
  <c r="AN87" i="8"/>
  <c r="AM241" i="8"/>
  <c r="AM251" i="8"/>
  <c r="AM232" i="8"/>
  <c r="AN465" i="8"/>
  <c r="AM465" i="8"/>
  <c r="AN477" i="8"/>
  <c r="AM477" i="8"/>
  <c r="AL488" i="8"/>
  <c r="AN488" i="8"/>
  <c r="AM488" i="8"/>
  <c r="AN81" i="8"/>
  <c r="AM81" i="8"/>
  <c r="AL81" i="8"/>
  <c r="AN462" i="8"/>
  <c r="AL462" i="8"/>
  <c r="AN469" i="8"/>
  <c r="AL469" i="8"/>
  <c r="AN34" i="8"/>
  <c r="AL34" i="8"/>
  <c r="AN46" i="8"/>
  <c r="AL46" i="8"/>
  <c r="AN78" i="8"/>
  <c r="AL78" i="8"/>
  <c r="AM275" i="8"/>
  <c r="AN275" i="8"/>
  <c r="AL275" i="8"/>
  <c r="AN283" i="8"/>
  <c r="AL283" i="8"/>
  <c r="AM283" i="8"/>
  <c r="AN278" i="8"/>
  <c r="AL278" i="8"/>
  <c r="AM278" i="8"/>
  <c r="AM307" i="8"/>
  <c r="AL307" i="8"/>
  <c r="AN307" i="8"/>
  <c r="AM316" i="8"/>
  <c r="AL316" i="8"/>
  <c r="AN316" i="8"/>
  <c r="AN324" i="8"/>
  <c r="AL324" i="8"/>
  <c r="AM324" i="8"/>
  <c r="AL480" i="8"/>
  <c r="AM480" i="8"/>
  <c r="AN480" i="8"/>
  <c r="AN51" i="8"/>
  <c r="AM51" i="8"/>
  <c r="AL51" i="8"/>
  <c r="AN484" i="8"/>
  <c r="AM484" i="8"/>
  <c r="AL484" i="8"/>
  <c r="AN35" i="8"/>
  <c r="AM35" i="8"/>
  <c r="AL35" i="8"/>
  <c r="AL47" i="8"/>
  <c r="AN47" i="8"/>
  <c r="AM47" i="8"/>
  <c r="AM55" i="8"/>
  <c r="AL55" i="8"/>
  <c r="AN55" i="8"/>
  <c r="AN60" i="8"/>
  <c r="AM60" i="8"/>
  <c r="AL60" i="8"/>
  <c r="AM73" i="8"/>
  <c r="AL73" i="8"/>
  <c r="AN73" i="8"/>
  <c r="AN79" i="8"/>
  <c r="AM79" i="8"/>
  <c r="AL79" i="8"/>
  <c r="AN88" i="8"/>
  <c r="AM88" i="8"/>
  <c r="AL88" i="8"/>
  <c r="AN466" i="8"/>
  <c r="AM466" i="8"/>
  <c r="AL466" i="8"/>
  <c r="AM64" i="8"/>
  <c r="AL64" i="8"/>
  <c r="AN64" i="8"/>
  <c r="AN468" i="8"/>
  <c r="AM468" i="8"/>
  <c r="AN473" i="8"/>
  <c r="AM473" i="8"/>
  <c r="AN482" i="8"/>
  <c r="AM482" i="8"/>
  <c r="AN486" i="8"/>
  <c r="AM486" i="8"/>
  <c r="AN461" i="8"/>
  <c r="AM461" i="8"/>
  <c r="AL461" i="8"/>
  <c r="AN474" i="8"/>
  <c r="AL474" i="8"/>
  <c r="AN483" i="8"/>
  <c r="AL483" i="8"/>
  <c r="AL41" i="8"/>
  <c r="AN41" i="8"/>
  <c r="AN54" i="8"/>
  <c r="AL54" i="8"/>
  <c r="AN67" i="8"/>
  <c r="AL67" i="8"/>
  <c r="AN72" i="8"/>
  <c r="AL72" i="8"/>
  <c r="AL89" i="8"/>
  <c r="AN89" i="8"/>
  <c r="AN274" i="8"/>
  <c r="AL274" i="8"/>
  <c r="AM274" i="8"/>
  <c r="AM281" i="8"/>
  <c r="AN281" i="8"/>
  <c r="AL281" i="8"/>
  <c r="AM298" i="8"/>
  <c r="AN298" i="8"/>
  <c r="AL298" i="8"/>
  <c r="AN303" i="8"/>
  <c r="AL303" i="8"/>
  <c r="AM303" i="8"/>
  <c r="AN312" i="8"/>
  <c r="AL312" i="8"/>
  <c r="AM312" i="8"/>
  <c r="AL320" i="8"/>
  <c r="AN320" i="8"/>
  <c r="AM320" i="8"/>
  <c r="AL463" i="8"/>
  <c r="AN463" i="8"/>
  <c r="AM463" i="8"/>
  <c r="AN69" i="8"/>
  <c r="AM69" i="8"/>
  <c r="AL69" i="8"/>
  <c r="AL470" i="8"/>
  <c r="AM470" i="8"/>
  <c r="AN470" i="8"/>
  <c r="AL37" i="8"/>
  <c r="AN37" i="8"/>
  <c r="AM37" i="8"/>
  <c r="AL85" i="8"/>
  <c r="AN85" i="8"/>
  <c r="AM85" i="8"/>
  <c r="AN479" i="8"/>
  <c r="AL479" i="8"/>
  <c r="AN84" i="8"/>
  <c r="AL84" i="8"/>
  <c r="AN487" i="8"/>
  <c r="AL487" i="8"/>
  <c r="AN38" i="8"/>
  <c r="AL38" i="8"/>
  <c r="AN44" i="8"/>
  <c r="AL44" i="8"/>
  <c r="AL50" i="8"/>
  <c r="AN50" i="8"/>
  <c r="AN63" i="8"/>
  <c r="AL63" i="8"/>
  <c r="AL68" i="8"/>
  <c r="AN68" i="8"/>
  <c r="AL76" i="8"/>
  <c r="AN76" i="8"/>
  <c r="AN91" i="8"/>
  <c r="AL91" i="8"/>
  <c r="AN459" i="8"/>
  <c r="AL191" i="8"/>
  <c r="AM253" i="8"/>
  <c r="AL188" i="8"/>
  <c r="AM190" i="8"/>
  <c r="AN464" i="8"/>
  <c r="AL464" i="8"/>
  <c r="AN471" i="8"/>
  <c r="AL471" i="8"/>
  <c r="AN476" i="8"/>
  <c r="AL476" i="8"/>
  <c r="AN481" i="8"/>
  <c r="AL481" i="8"/>
  <c r="AN489" i="8"/>
  <c r="AL489" i="8"/>
  <c r="AN42" i="8"/>
  <c r="AL42" i="8"/>
  <c r="AN48" i="8"/>
  <c r="AL48" i="8"/>
  <c r="AN56" i="8"/>
  <c r="AL56" i="8"/>
  <c r="AN58" i="8"/>
  <c r="AL58" i="8"/>
  <c r="AN61" i="8"/>
  <c r="AL61" i="8"/>
  <c r="AN74" i="8"/>
  <c r="AL74" i="8"/>
  <c r="AN82" i="8"/>
  <c r="AL82" i="8"/>
  <c r="AN90" i="8"/>
  <c r="AL90" i="8"/>
  <c r="AL92" i="8"/>
  <c r="AL100" i="8"/>
  <c r="AL108" i="8"/>
  <c r="AL113" i="8"/>
  <c r="AM124" i="8"/>
  <c r="AL124" i="8"/>
  <c r="AM141" i="8"/>
  <c r="AL141" i="8"/>
  <c r="AM146" i="8"/>
  <c r="AL146" i="8"/>
  <c r="AL153" i="8"/>
  <c r="AL161" i="8"/>
  <c r="AN445" i="8"/>
  <c r="AN467" i="8"/>
  <c r="AL467" i="8"/>
  <c r="AN485" i="8"/>
  <c r="AL485" i="8"/>
  <c r="AN39" i="8"/>
  <c r="AL39" i="8"/>
  <c r="AN45" i="8"/>
  <c r="AL45" i="8"/>
  <c r="AN52" i="8"/>
  <c r="AL52" i="8"/>
  <c r="AN65" i="8"/>
  <c r="AL65" i="8"/>
  <c r="AN70" i="8"/>
  <c r="AL70" i="8"/>
  <c r="AN77" i="8"/>
  <c r="AL77" i="8"/>
  <c r="AN86" i="8"/>
  <c r="AL86" i="8"/>
  <c r="AM104" i="8"/>
  <c r="AL104" i="8"/>
  <c r="AM105" i="8"/>
  <c r="AL105" i="8"/>
  <c r="AM117" i="8"/>
  <c r="AL117" i="8"/>
  <c r="AL121" i="8"/>
  <c r="AL127" i="8"/>
  <c r="AL137" i="8"/>
  <c r="AM155" i="8"/>
  <c r="AL155" i="8"/>
  <c r="AM186" i="8"/>
  <c r="AL186" i="8"/>
  <c r="AL263" i="8"/>
  <c r="AN263" i="8"/>
  <c r="AM263" i="8"/>
  <c r="AM282" i="8"/>
  <c r="AL282" i="8"/>
  <c r="AN282" i="8"/>
  <c r="AN297" i="8"/>
  <c r="AM297" i="8"/>
  <c r="AN300" i="8"/>
  <c r="AM300" i="8"/>
  <c r="AL300" i="8"/>
  <c r="AN305" i="8"/>
  <c r="AM305" i="8"/>
  <c r="AL305" i="8"/>
  <c r="AN309" i="8"/>
  <c r="AM309" i="8"/>
  <c r="AM318" i="8"/>
  <c r="AL318" i="8"/>
  <c r="AN318" i="8"/>
  <c r="AL326" i="8"/>
  <c r="AN326" i="8"/>
  <c r="AM199" i="8"/>
  <c r="AM36" i="8"/>
  <c r="AL36" i="8"/>
  <c r="AM43" i="8"/>
  <c r="AL43" i="8"/>
  <c r="AM49" i="8"/>
  <c r="AL49" i="8"/>
  <c r="AM53" i="8"/>
  <c r="AL53" i="8"/>
  <c r="AM59" i="8"/>
  <c r="AL59" i="8"/>
  <c r="AM75" i="8"/>
  <c r="AL75" i="8"/>
  <c r="AM83" i="8"/>
  <c r="AL83" i="8"/>
  <c r="AM93" i="8"/>
  <c r="AM97" i="8"/>
  <c r="AM114" i="8"/>
  <c r="AM119" i="8"/>
  <c r="AM125" i="8"/>
  <c r="AM132" i="8"/>
  <c r="AM135" i="8"/>
  <c r="AM142" i="8"/>
  <c r="AM147" i="8"/>
  <c r="AM169" i="8"/>
  <c r="AM168" i="8"/>
  <c r="AM185" i="8"/>
  <c r="AM226" i="8"/>
  <c r="AM243" i="8"/>
  <c r="AM369" i="8"/>
  <c r="AM373" i="8"/>
  <c r="AM383" i="8"/>
  <c r="AL174" i="8"/>
  <c r="AL177" i="8"/>
  <c r="AM191" i="8"/>
  <c r="AL309" i="8"/>
  <c r="AM176" i="8"/>
  <c r="AL176" i="8"/>
  <c r="AM180" i="8"/>
  <c r="AL180" i="8"/>
  <c r="AM195" i="8"/>
  <c r="AM197" i="8"/>
  <c r="AM203" i="8"/>
  <c r="AM214" i="8"/>
  <c r="AN273" i="8"/>
  <c r="AM273" i="8"/>
  <c r="AL273" i="8"/>
  <c r="AN280" i="8"/>
  <c r="AM280" i="8"/>
  <c r="AN279" i="8"/>
  <c r="AL279" i="8"/>
  <c r="AM314" i="8"/>
  <c r="AL314" i="8"/>
  <c r="AN314" i="8"/>
  <c r="AL322" i="8"/>
  <c r="AM322" i="8"/>
  <c r="AN322" i="8"/>
  <c r="AM40" i="8"/>
  <c r="AL40" i="8"/>
  <c r="AM62" i="8"/>
  <c r="AL62" i="8"/>
  <c r="AM66" i="8"/>
  <c r="AL66" i="8"/>
  <c r="AM71" i="8"/>
  <c r="AL71" i="8"/>
  <c r="AM80" i="8"/>
  <c r="AL80" i="8"/>
  <c r="AM87" i="8"/>
  <c r="AL87" i="8"/>
  <c r="AM94" i="8"/>
  <c r="AM101" i="8"/>
  <c r="AM111" i="8"/>
  <c r="AM116" i="8"/>
  <c r="AM123" i="8"/>
  <c r="AM128" i="8"/>
  <c r="AM138" i="8"/>
  <c r="AM144" i="8"/>
  <c r="AM150" i="8"/>
  <c r="AM154" i="8"/>
  <c r="AM160" i="8"/>
  <c r="AM164" i="8"/>
  <c r="AM170" i="8"/>
  <c r="AM178" i="8"/>
  <c r="AM182" i="8"/>
  <c r="AM183" i="8"/>
  <c r="AM208" i="8"/>
  <c r="AM228" i="8"/>
  <c r="AM388" i="8"/>
  <c r="AM363" i="8"/>
  <c r="AM371" i="8"/>
  <c r="AM377" i="8"/>
  <c r="AM361" i="8"/>
  <c r="AN446" i="8"/>
  <c r="AL465" i="8"/>
  <c r="AL468" i="8"/>
  <c r="AL473" i="8"/>
  <c r="AL477" i="8"/>
  <c r="AL482" i="8"/>
  <c r="AL486" i="8"/>
  <c r="AN93" i="8"/>
  <c r="AN97" i="8"/>
  <c r="AN111" i="8"/>
  <c r="AN116" i="8"/>
  <c r="AN119" i="8"/>
  <c r="AN125" i="8"/>
  <c r="AN135" i="8"/>
  <c r="AN142" i="8"/>
  <c r="AN147" i="8"/>
  <c r="AN164" i="8"/>
  <c r="AN170" i="8"/>
  <c r="AN185" i="8"/>
  <c r="AM201" i="8"/>
  <c r="AM249" i="8"/>
  <c r="AL297" i="8"/>
  <c r="AN458" i="8"/>
  <c r="AL458" i="8"/>
  <c r="AN449" i="8"/>
  <c r="AL449" i="8"/>
  <c r="AM445" i="8"/>
  <c r="AM446" i="8"/>
  <c r="AM451" i="8"/>
  <c r="AM459" i="8"/>
  <c r="AL445" i="8"/>
  <c r="AL446" i="8"/>
  <c r="AL451" i="8"/>
  <c r="AL459" i="8"/>
  <c r="AN98" i="8"/>
  <c r="AL99" i="8"/>
  <c r="AN109" i="8"/>
  <c r="AL107" i="8"/>
  <c r="AN112" i="8"/>
  <c r="AL115" i="8"/>
  <c r="AN120" i="8"/>
  <c r="AL122" i="8"/>
  <c r="AL126" i="8"/>
  <c r="AN130" i="8"/>
  <c r="AL131" i="8"/>
  <c r="AL136" i="8"/>
  <c r="AL143" i="8"/>
  <c r="AN148" i="8"/>
  <c r="AL149" i="8"/>
  <c r="AN157" i="8"/>
  <c r="AL158" i="8"/>
  <c r="AL162" i="8"/>
  <c r="AL165" i="8"/>
  <c r="AN172" i="8"/>
  <c r="AL167" i="8"/>
  <c r="AN175" i="8"/>
  <c r="AN181" i="8"/>
  <c r="AL184" i="8"/>
  <c r="AN187" i="8"/>
  <c r="AN209" i="8"/>
  <c r="AM209" i="8"/>
  <c r="AL209" i="8"/>
  <c r="AN212" i="8"/>
  <c r="AM212" i="8"/>
  <c r="AL212" i="8"/>
  <c r="AN221" i="8"/>
  <c r="AM221" i="8"/>
  <c r="AL221" i="8"/>
  <c r="AN227" i="8"/>
  <c r="AM227" i="8"/>
  <c r="AL227" i="8"/>
  <c r="AN240" i="8"/>
  <c r="AM240" i="8"/>
  <c r="AL240" i="8"/>
  <c r="AN235" i="8"/>
  <c r="AM235" i="8"/>
  <c r="AL235" i="8"/>
  <c r="AM449" i="8"/>
  <c r="AM458" i="8"/>
  <c r="AM462" i="8"/>
  <c r="AM464" i="8"/>
  <c r="AM467" i="8"/>
  <c r="AM469" i="8"/>
  <c r="AM471" i="8"/>
  <c r="AM474" i="8"/>
  <c r="AM476" i="8"/>
  <c r="AM479" i="8"/>
  <c r="AM481" i="8"/>
  <c r="AM483" i="8"/>
  <c r="AM485" i="8"/>
  <c r="AM487" i="8"/>
  <c r="AM489" i="8"/>
  <c r="AM34" i="8"/>
  <c r="AM38" i="8"/>
  <c r="AM39" i="8"/>
  <c r="AM41" i="8"/>
  <c r="AM42" i="8"/>
  <c r="AM44" i="8"/>
  <c r="AM45" i="8"/>
  <c r="AM46" i="8"/>
  <c r="AM48" i="8"/>
  <c r="AM50" i="8"/>
  <c r="AM52" i="8"/>
  <c r="AM54" i="8"/>
  <c r="AM56" i="8"/>
  <c r="AM58" i="8"/>
  <c r="AM61" i="8"/>
  <c r="AM63" i="8"/>
  <c r="AM65" i="8"/>
  <c r="AM67" i="8"/>
  <c r="AM68" i="8"/>
  <c r="AM70" i="8"/>
  <c r="AM72" i="8"/>
  <c r="AM74" i="8"/>
  <c r="AM76" i="8"/>
  <c r="AM77" i="8"/>
  <c r="AM78" i="8"/>
  <c r="AM82" i="8"/>
  <c r="AM84" i="8"/>
  <c r="AM86" i="8"/>
  <c r="AM89" i="8"/>
  <c r="AM90" i="8"/>
  <c r="AM91" i="8"/>
  <c r="AM92" i="8"/>
  <c r="AL93" i="8"/>
  <c r="AN94" i="8"/>
  <c r="AL97" i="8"/>
  <c r="AL98" i="8"/>
  <c r="AM99" i="8"/>
  <c r="AM100" i="8"/>
  <c r="AN101" i="8"/>
  <c r="AN104" i="8"/>
  <c r="AL111" i="8"/>
  <c r="AL109" i="8"/>
  <c r="AM107" i="8"/>
  <c r="AM108" i="8"/>
  <c r="AN105" i="8"/>
  <c r="AL116" i="8"/>
  <c r="AL112" i="8"/>
  <c r="AM115" i="8"/>
  <c r="AM113" i="8"/>
  <c r="AN114" i="8"/>
  <c r="AN117" i="8"/>
  <c r="AL119" i="8"/>
  <c r="AL120" i="8"/>
  <c r="AM122" i="8"/>
  <c r="AM121" i="8"/>
  <c r="AN123" i="8"/>
  <c r="AN124" i="8"/>
  <c r="AL125" i="8"/>
  <c r="AM126" i="8"/>
  <c r="AN128" i="8"/>
  <c r="AL130" i="8"/>
  <c r="AM131" i="8"/>
  <c r="AM127" i="8"/>
  <c r="AN132" i="8"/>
  <c r="AL135" i="8"/>
  <c r="AM136" i="8"/>
  <c r="AM137" i="8"/>
  <c r="AN138" i="8"/>
  <c r="AN141" i="8"/>
  <c r="AL142" i="8"/>
  <c r="AM143" i="8"/>
  <c r="AN144" i="8"/>
  <c r="AN146" i="8"/>
  <c r="AL147" i="8"/>
  <c r="AL148" i="8"/>
  <c r="AM149" i="8"/>
  <c r="AN150" i="8"/>
  <c r="AM153" i="8"/>
  <c r="AN154" i="8"/>
  <c r="AN155" i="8"/>
  <c r="AL157" i="8"/>
  <c r="AM158" i="8"/>
  <c r="AM161" i="8"/>
  <c r="AN160" i="8"/>
  <c r="AM162" i="8"/>
  <c r="AL164" i="8"/>
  <c r="AM165" i="8"/>
  <c r="AN169" i="8"/>
  <c r="AL170" i="8"/>
  <c r="AL172" i="8"/>
  <c r="AM167" i="8"/>
  <c r="AM174" i="8"/>
  <c r="AN168" i="8"/>
  <c r="AN176" i="8"/>
  <c r="AL175" i="8"/>
  <c r="AM177" i="8"/>
  <c r="AN178" i="8"/>
  <c r="AN180" i="8"/>
  <c r="AL181" i="8"/>
  <c r="AN182" i="8"/>
  <c r="AL185" i="8"/>
  <c r="AM184" i="8"/>
  <c r="AN183" i="8"/>
  <c r="AN186" i="8"/>
  <c r="AL187" i="8"/>
  <c r="AM188" i="8"/>
  <c r="AN190" i="8"/>
  <c r="AL192" i="8"/>
  <c r="AN192" i="8"/>
  <c r="AM192" i="8"/>
  <c r="AL196" i="8"/>
  <c r="AN196" i="8"/>
  <c r="AL205" i="8"/>
  <c r="AN205" i="8"/>
  <c r="AN210" i="8"/>
  <c r="AM210" i="8"/>
  <c r="AL210" i="8"/>
  <c r="AN211" i="8"/>
  <c r="AM211" i="8"/>
  <c r="AL211" i="8"/>
  <c r="AN220" i="8"/>
  <c r="AM220" i="8"/>
  <c r="AL220" i="8"/>
  <c r="AN219" i="8"/>
  <c r="AM219" i="8"/>
  <c r="AL219" i="8"/>
  <c r="AN247" i="8"/>
  <c r="AM247" i="8"/>
  <c r="AL247" i="8"/>
  <c r="AN237" i="8"/>
  <c r="AM237" i="8"/>
  <c r="AL237" i="8"/>
  <c r="AN294" i="8"/>
  <c r="AM294" i="8"/>
  <c r="AL294" i="8"/>
  <c r="AN315" i="8"/>
  <c r="AM315" i="8"/>
  <c r="AL315" i="8"/>
  <c r="AN336" i="8"/>
  <c r="AM336" i="8"/>
  <c r="AL336" i="8"/>
  <c r="AN95" i="8"/>
  <c r="AL96" i="8"/>
  <c r="AM98" i="8"/>
  <c r="AN99" i="8"/>
  <c r="AN102" i="8"/>
  <c r="AL103" i="8"/>
  <c r="AM109" i="8"/>
  <c r="AN107" i="8"/>
  <c r="AN106" i="8"/>
  <c r="AM112" i="8"/>
  <c r="AN115" i="8"/>
  <c r="AN110" i="8"/>
  <c r="AL118" i="8"/>
  <c r="AM120" i="8"/>
  <c r="AN122" i="8"/>
  <c r="AN126" i="8"/>
  <c r="AL129" i="8"/>
  <c r="AM130" i="8"/>
  <c r="AN131" i="8"/>
  <c r="AN133" i="8"/>
  <c r="AL134" i="8"/>
  <c r="AN136" i="8"/>
  <c r="AN139" i="8"/>
  <c r="AL140" i="8"/>
  <c r="AN143" i="8"/>
  <c r="AL145" i="8"/>
  <c r="AM148" i="8"/>
  <c r="AN149" i="8"/>
  <c r="AN151" i="8"/>
  <c r="AL152" i="8"/>
  <c r="AN156" i="8"/>
  <c r="AM157" i="8"/>
  <c r="AN158" i="8"/>
  <c r="AN159" i="8"/>
  <c r="AN162" i="8"/>
  <c r="AL163" i="8"/>
  <c r="AN165" i="8"/>
  <c r="AL166" i="8"/>
  <c r="AM172" i="8"/>
  <c r="AN167" i="8"/>
  <c r="AN171" i="8"/>
  <c r="AL173" i="8"/>
  <c r="AM175" i="8"/>
  <c r="AN179" i="8"/>
  <c r="AM181" i="8"/>
  <c r="AN184" i="8"/>
  <c r="AM187" i="8"/>
  <c r="AL189" i="8"/>
  <c r="AN189" i="8"/>
  <c r="AN218" i="8"/>
  <c r="AM218" i="8"/>
  <c r="AL218" i="8"/>
  <c r="AN234" i="8"/>
  <c r="AM234" i="8"/>
  <c r="AL234" i="8"/>
  <c r="AN238" i="8"/>
  <c r="AM238" i="8"/>
  <c r="AL238" i="8"/>
  <c r="AN92" i="8"/>
  <c r="AL94" i="8"/>
  <c r="AL95" i="8"/>
  <c r="AM96" i="8"/>
  <c r="AN100" i="8"/>
  <c r="AL101" i="8"/>
  <c r="AL102" i="8"/>
  <c r="AM103" i="8"/>
  <c r="AN108" i="8"/>
  <c r="AL106" i="8"/>
  <c r="AN113" i="8"/>
  <c r="AL114" i="8"/>
  <c r="AL110" i="8"/>
  <c r="AM118" i="8"/>
  <c r="AN121" i="8"/>
  <c r="AL123" i="8"/>
  <c r="AL128" i="8"/>
  <c r="AM129" i="8"/>
  <c r="AN127" i="8"/>
  <c r="AL132" i="8"/>
  <c r="AL133" i="8"/>
  <c r="AM134" i="8"/>
  <c r="AN137" i="8"/>
  <c r="AL138" i="8"/>
  <c r="AL139" i="8"/>
  <c r="AM140" i="8"/>
  <c r="AL144" i="8"/>
  <c r="AM145" i="8"/>
  <c r="AL150" i="8"/>
  <c r="AL151" i="8"/>
  <c r="AM152" i="8"/>
  <c r="AN153" i="8"/>
  <c r="AL154" i="8"/>
  <c r="AL156" i="8"/>
  <c r="AN161" i="8"/>
  <c r="AL160" i="8"/>
  <c r="AL159" i="8"/>
  <c r="AM163" i="8"/>
  <c r="AL169" i="8"/>
  <c r="AM166" i="8"/>
  <c r="AN174" i="8"/>
  <c r="AL168" i="8"/>
  <c r="AL171" i="8"/>
  <c r="AM173" i="8"/>
  <c r="AN177" i="8"/>
  <c r="AL178" i="8"/>
  <c r="AL179" i="8"/>
  <c r="AL182" i="8"/>
  <c r="AL183" i="8"/>
  <c r="AN188" i="8"/>
  <c r="AM189" i="8"/>
  <c r="AL190" i="8"/>
  <c r="AN195" i="8"/>
  <c r="AL195" i="8"/>
  <c r="AN197" i="8"/>
  <c r="AL197" i="8"/>
  <c r="AN199" i="8"/>
  <c r="AL199" i="8"/>
  <c r="AN201" i="8"/>
  <c r="AL201" i="8"/>
  <c r="AN203" i="8"/>
  <c r="AL203" i="8"/>
  <c r="AN206" i="8"/>
  <c r="AL206" i="8"/>
  <c r="AN214" i="8"/>
  <c r="AL214" i="8"/>
  <c r="AN217" i="8"/>
  <c r="AM217" i="8"/>
  <c r="AL217" i="8"/>
  <c r="AN213" i="8"/>
  <c r="AM213" i="8"/>
  <c r="AL213" i="8"/>
  <c r="AN222" i="8"/>
  <c r="AM222" i="8"/>
  <c r="AL222" i="8"/>
  <c r="AN231" i="8"/>
  <c r="AM231" i="8"/>
  <c r="AL231" i="8"/>
  <c r="AN239" i="8"/>
  <c r="AM239" i="8"/>
  <c r="AL239" i="8"/>
  <c r="AN267" i="8"/>
  <c r="AM267" i="8"/>
  <c r="AL267" i="8"/>
  <c r="AN286" i="8"/>
  <c r="AM286" i="8"/>
  <c r="AL286" i="8"/>
  <c r="AN299" i="8"/>
  <c r="AM299" i="8"/>
  <c r="AL299" i="8"/>
  <c r="AN329" i="8"/>
  <c r="AM329" i="8"/>
  <c r="AL329" i="8"/>
  <c r="AN344" i="8"/>
  <c r="AM344" i="8"/>
  <c r="AL344" i="8"/>
  <c r="AN224" i="8"/>
  <c r="AM224" i="8"/>
  <c r="AL224" i="8"/>
  <c r="AN229" i="8"/>
  <c r="AM229" i="8"/>
  <c r="AL229" i="8"/>
  <c r="AN233" i="8"/>
  <c r="AM233" i="8"/>
  <c r="AL233" i="8"/>
  <c r="AN248" i="8"/>
  <c r="AM248" i="8"/>
  <c r="AL248" i="8"/>
  <c r="AN242" i="8"/>
  <c r="AM242" i="8"/>
  <c r="AL242" i="8"/>
  <c r="AN246" i="8"/>
  <c r="AM246" i="8"/>
  <c r="AL246" i="8"/>
  <c r="AN244" i="8"/>
  <c r="AM244" i="8"/>
  <c r="AL244" i="8"/>
  <c r="AN258" i="8"/>
  <c r="AM258" i="8"/>
  <c r="AL258" i="8"/>
  <c r="AN271" i="8"/>
  <c r="AM271" i="8"/>
  <c r="AL271" i="8"/>
  <c r="AN290" i="8"/>
  <c r="AM290" i="8"/>
  <c r="AL290" i="8"/>
  <c r="AN306" i="8"/>
  <c r="AM306" i="8"/>
  <c r="AL306" i="8"/>
  <c r="AN323" i="8"/>
  <c r="AM323" i="8"/>
  <c r="AL323" i="8"/>
  <c r="AN333" i="8"/>
  <c r="AM333" i="8"/>
  <c r="AL333" i="8"/>
  <c r="AN340" i="8"/>
  <c r="AM340" i="8"/>
  <c r="AL340" i="8"/>
  <c r="AN191" i="8"/>
  <c r="AN193" i="8"/>
  <c r="AL193" i="8"/>
  <c r="AN194" i="8"/>
  <c r="AL194" i="8"/>
  <c r="AN198" i="8"/>
  <c r="AL198" i="8"/>
  <c r="AN200" i="8"/>
  <c r="AL200" i="8"/>
  <c r="AN202" i="8"/>
  <c r="AL202" i="8"/>
  <c r="AN204" i="8"/>
  <c r="AL204" i="8"/>
  <c r="AN207" i="8"/>
  <c r="AL207" i="8"/>
  <c r="AN216" i="8"/>
  <c r="AL216" i="8"/>
  <c r="AM257" i="8"/>
  <c r="AN257" i="8"/>
  <c r="AL257" i="8"/>
  <c r="AN370" i="8"/>
  <c r="AL370" i="8"/>
  <c r="AM370" i="8"/>
  <c r="AN384" i="8"/>
  <c r="AL384" i="8"/>
  <c r="AM384" i="8"/>
  <c r="AN208" i="8"/>
  <c r="AN223" i="8"/>
  <c r="AN226" i="8"/>
  <c r="AN225" i="8"/>
  <c r="AN228" i="8"/>
  <c r="AN230" i="8"/>
  <c r="AN232" i="8"/>
  <c r="AN241" i="8"/>
  <c r="AN236" i="8"/>
  <c r="AN243" i="8"/>
  <c r="AN249" i="8"/>
  <c r="AN250" i="8"/>
  <c r="AN251" i="8"/>
  <c r="AN252" i="8"/>
  <c r="AN253" i="8"/>
  <c r="AN254" i="8"/>
  <c r="AN259" i="8"/>
  <c r="AM259" i="8"/>
  <c r="AN264" i="8"/>
  <c r="AM264" i="8"/>
  <c r="AN268" i="8"/>
  <c r="AM268" i="8"/>
  <c r="AN272" i="8"/>
  <c r="AM272" i="8"/>
  <c r="AN277" i="8"/>
  <c r="AM277" i="8"/>
  <c r="AN287" i="8"/>
  <c r="AM287" i="8"/>
  <c r="AN291" i="8"/>
  <c r="AM291" i="8"/>
  <c r="AN295" i="8"/>
  <c r="AM295" i="8"/>
  <c r="AN301" i="8"/>
  <c r="AM301" i="8"/>
  <c r="AN308" i="8"/>
  <c r="AM308" i="8"/>
  <c r="AN317" i="8"/>
  <c r="AM317" i="8"/>
  <c r="AN325" i="8"/>
  <c r="AM325" i="8"/>
  <c r="AN330" i="8"/>
  <c r="AM330" i="8"/>
  <c r="AN311" i="8"/>
  <c r="AM311" i="8"/>
  <c r="AN337" i="8"/>
  <c r="AM337" i="8"/>
  <c r="AN341" i="8"/>
  <c r="AM341" i="8"/>
  <c r="AN345" i="8"/>
  <c r="AM345" i="8"/>
  <c r="AN367" i="8"/>
  <c r="AL367" i="8"/>
  <c r="AM367" i="8"/>
  <c r="AN378" i="8"/>
  <c r="AL378" i="8"/>
  <c r="AM378" i="8"/>
  <c r="AN260" i="8"/>
  <c r="AM260" i="8"/>
  <c r="AN269" i="8"/>
  <c r="AM269" i="8"/>
  <c r="AN284" i="8"/>
  <c r="AM284" i="8"/>
  <c r="AN288" i="8"/>
  <c r="AM288" i="8"/>
  <c r="AN292" i="8"/>
  <c r="AM292" i="8"/>
  <c r="AN296" i="8"/>
  <c r="AM296" i="8"/>
  <c r="AN302" i="8"/>
  <c r="AM302" i="8"/>
  <c r="AN310" i="8"/>
  <c r="AM310" i="8"/>
  <c r="AN319" i="8"/>
  <c r="AM319" i="8"/>
  <c r="AN327" i="8"/>
  <c r="AM327" i="8"/>
  <c r="AN331" i="8"/>
  <c r="AM331" i="8"/>
  <c r="AN334" i="8"/>
  <c r="AM334" i="8"/>
  <c r="AN338" i="8"/>
  <c r="AM338" i="8"/>
  <c r="AN342" i="8"/>
  <c r="AM342" i="8"/>
  <c r="AN362" i="8"/>
  <c r="AL362" i="8"/>
  <c r="AM362" i="8"/>
  <c r="AN374" i="8"/>
  <c r="AL374" i="8"/>
  <c r="AM374" i="8"/>
  <c r="AN364" i="8"/>
  <c r="AM364" i="8"/>
  <c r="AL364" i="8"/>
  <c r="AN366" i="8"/>
  <c r="AM366" i="8"/>
  <c r="AL366" i="8"/>
  <c r="AN380" i="8"/>
  <c r="AM380" i="8"/>
  <c r="AL380" i="8"/>
  <c r="AN376" i="8"/>
  <c r="AM376" i="8"/>
  <c r="AL376" i="8"/>
  <c r="AN381" i="8"/>
  <c r="AM381" i="8"/>
  <c r="AL381" i="8"/>
  <c r="AN382" i="8"/>
  <c r="AM382" i="8"/>
  <c r="AL382" i="8"/>
  <c r="AN387" i="8"/>
  <c r="AM387" i="8"/>
  <c r="AL387" i="8"/>
  <c r="AL208" i="8"/>
  <c r="AL223" i="8"/>
  <c r="AL226" i="8"/>
  <c r="AL225" i="8"/>
  <c r="AL228" i="8"/>
  <c r="AL230" i="8"/>
  <c r="AL232" i="8"/>
  <c r="AL241" i="8"/>
  <c r="AL236" i="8"/>
  <c r="AL243" i="8"/>
  <c r="AL249" i="8"/>
  <c r="AL250" i="8"/>
  <c r="AL251" i="8"/>
  <c r="AL252" i="8"/>
  <c r="AL253" i="8"/>
  <c r="AL254" i="8"/>
  <c r="AN262" i="8"/>
  <c r="AM262" i="8"/>
  <c r="AL260" i="8"/>
  <c r="AN261" i="8"/>
  <c r="AM261" i="8"/>
  <c r="AN266" i="8"/>
  <c r="AM266" i="8"/>
  <c r="AL269" i="8"/>
  <c r="AN270" i="8"/>
  <c r="AM270" i="8"/>
  <c r="AL284" i="8"/>
  <c r="AN285" i="8"/>
  <c r="AM285" i="8"/>
  <c r="AL288" i="8"/>
  <c r="AN289" i="8"/>
  <c r="AM289" i="8"/>
  <c r="AL292" i="8"/>
  <c r="AN293" i="8"/>
  <c r="AM293" i="8"/>
  <c r="AL296" i="8"/>
  <c r="AN276" i="8"/>
  <c r="AM276" i="8"/>
  <c r="AL302" i="8"/>
  <c r="AN304" i="8"/>
  <c r="AM304" i="8"/>
  <c r="AL310" i="8"/>
  <c r="AN313" i="8"/>
  <c r="AM313" i="8"/>
  <c r="AL319" i="8"/>
  <c r="AN321" i="8"/>
  <c r="AM321" i="8"/>
  <c r="AL327" i="8"/>
  <c r="AN328" i="8"/>
  <c r="AM328" i="8"/>
  <c r="AL331" i="8"/>
  <c r="AN332" i="8"/>
  <c r="AM332" i="8"/>
  <c r="AL334" i="8"/>
  <c r="AN335" i="8"/>
  <c r="AM335" i="8"/>
  <c r="AL338" i="8"/>
  <c r="AN339" i="8"/>
  <c r="AM339" i="8"/>
  <c r="AL342" i="8"/>
  <c r="AN343" i="8"/>
  <c r="AM343" i="8"/>
  <c r="AN372" i="8"/>
  <c r="AL372" i="8"/>
  <c r="AM372" i="8"/>
  <c r="AN365" i="8"/>
  <c r="AM365" i="8"/>
  <c r="AL365" i="8"/>
  <c r="AN368" i="8"/>
  <c r="AM368" i="8"/>
  <c r="AL368" i="8"/>
  <c r="AN375" i="8"/>
  <c r="AM375" i="8"/>
  <c r="AL375" i="8"/>
  <c r="AN379" i="8"/>
  <c r="AM379" i="8"/>
  <c r="AL379" i="8"/>
  <c r="AN385" i="8"/>
  <c r="AM385" i="8"/>
  <c r="AL385" i="8"/>
  <c r="AN388" i="8"/>
  <c r="AL388" i="8"/>
  <c r="AN363" i="8"/>
  <c r="AL363" i="8"/>
  <c r="AN369" i="8"/>
  <c r="AL369" i="8"/>
  <c r="AN371" i="8"/>
  <c r="AL371" i="8"/>
  <c r="AN373" i="8"/>
  <c r="AL373" i="8"/>
  <c r="AN377" i="8"/>
  <c r="AL377" i="8"/>
  <c r="AN383" i="8"/>
  <c r="AL383" i="8"/>
  <c r="AN361" i="8"/>
  <c r="AL361" i="8"/>
  <c r="AN386" i="8"/>
  <c r="AL386" i="8"/>
  <c r="C930" i="8"/>
  <c r="BU584" i="8"/>
  <c r="BV584" i="8"/>
  <c r="BN393" i="8"/>
  <c r="BO432" i="8"/>
  <c r="BN651" i="8"/>
  <c r="BO649" i="8"/>
  <c r="BO488" i="8"/>
  <c r="BO637" i="8"/>
  <c r="BN469" i="8"/>
  <c r="BN456" i="8"/>
  <c r="BN479" i="8"/>
  <c r="BN404" i="8"/>
  <c r="BN467" i="8"/>
  <c r="BN449" i="8"/>
  <c r="BN667" i="8"/>
  <c r="BN411" i="8"/>
  <c r="BO485" i="8"/>
  <c r="BO421" i="8"/>
  <c r="BO416" i="8"/>
  <c r="BN474" i="8"/>
  <c r="BN445" i="8"/>
  <c r="BO445" i="8"/>
  <c r="BO585" i="8"/>
  <c r="BN421" i="8"/>
  <c r="BO471" i="8"/>
  <c r="BN458" i="8"/>
  <c r="BN420" i="8"/>
  <c r="BN481" i="8"/>
  <c r="BN406" i="8"/>
  <c r="BN405" i="8"/>
  <c r="BN397" i="8"/>
  <c r="BO636" i="8"/>
  <c r="BN660" i="8"/>
  <c r="BN615" i="8"/>
  <c r="BN395" i="8"/>
  <c r="BO586" i="8"/>
  <c r="BO630" i="8"/>
  <c r="BO663" i="8"/>
  <c r="BO643" i="8"/>
  <c r="BN427" i="8"/>
  <c r="BO408" i="8"/>
  <c r="BO464" i="8"/>
  <c r="BO652" i="8"/>
  <c r="BO655" i="8"/>
  <c r="BO407" i="8"/>
  <c r="BO399" i="8"/>
  <c r="BN489" i="8"/>
  <c r="BO608" i="8"/>
  <c r="BN432" i="8"/>
  <c r="BN418" i="8"/>
  <c r="BN649" i="8"/>
  <c r="BO392" i="8"/>
  <c r="BO664" i="8"/>
  <c r="BO396" i="8"/>
  <c r="BO591" i="8"/>
  <c r="BN486" i="8"/>
  <c r="BO654" i="8"/>
  <c r="BO659" i="8"/>
  <c r="BN403" i="8"/>
  <c r="BO466" i="8"/>
  <c r="BN631" i="8"/>
  <c r="BN628" i="8"/>
  <c r="BO446" i="8"/>
  <c r="BO627" i="8"/>
  <c r="BO602" i="8"/>
  <c r="BO410" i="8"/>
  <c r="BN402" i="8"/>
  <c r="BO484" i="8"/>
  <c r="BO409" i="8"/>
  <c r="BN394" i="8"/>
  <c r="BN606" i="8"/>
  <c r="BN657" i="8"/>
  <c r="BO470" i="8"/>
  <c r="BN661" i="8"/>
  <c r="BO467" i="8"/>
  <c r="BN439" i="8"/>
  <c r="BN485" i="8"/>
  <c r="BN614" i="8"/>
  <c r="BO620" i="8"/>
  <c r="BN401" i="8"/>
  <c r="BO394" i="8"/>
  <c r="BO34" i="8"/>
  <c r="BO483" i="8"/>
  <c r="BN473" i="8"/>
  <c r="BO444" i="8"/>
  <c r="BO626" i="8"/>
  <c r="BN605" i="8"/>
  <c r="BN464" i="8"/>
  <c r="BN435" i="8"/>
  <c r="BO606" i="8"/>
  <c r="BO657" i="8"/>
  <c r="BO420" i="8"/>
  <c r="BN598" i="8"/>
  <c r="BO489" i="8"/>
  <c r="BN662" i="8"/>
  <c r="BO418" i="8"/>
  <c r="BO469" i="8"/>
  <c r="BN462" i="8"/>
  <c r="BO610" i="8"/>
  <c r="BN441" i="8"/>
  <c r="BO661" i="8"/>
  <c r="BN413" i="8"/>
  <c r="BO487" i="8"/>
  <c r="BN636" i="8"/>
  <c r="BN666" i="8"/>
  <c r="BO431" i="8"/>
  <c r="BO660" i="8"/>
  <c r="BN653" i="8"/>
  <c r="BO449" i="8"/>
  <c r="BO411" i="8"/>
  <c r="BO402" i="8"/>
  <c r="BN484" i="8"/>
  <c r="BO474" i="8"/>
  <c r="BN437" i="8"/>
  <c r="BN428" i="8"/>
  <c r="BN639" i="8"/>
  <c r="BN620" i="8"/>
  <c r="BN483" i="8"/>
  <c r="BN465" i="8"/>
  <c r="BN459" i="8"/>
  <c r="BN453" i="8"/>
  <c r="BN626" i="8"/>
  <c r="BN415" i="8"/>
  <c r="BN400" i="8"/>
  <c r="BN482" i="8"/>
  <c r="BO476" i="8"/>
  <c r="BN443" i="8"/>
  <c r="BO638" i="8"/>
  <c r="BN638" i="8"/>
  <c r="BN470" i="8"/>
  <c r="BN463" i="8"/>
  <c r="BO406" i="8"/>
  <c r="BN488" i="8"/>
  <c r="BN480" i="8"/>
  <c r="BN610" i="8"/>
  <c r="BN607" i="8"/>
  <c r="BN618" i="8"/>
  <c r="BN656" i="8"/>
  <c r="BO417" i="8"/>
  <c r="BO413" i="8"/>
  <c r="BO397" i="8"/>
  <c r="BN391" i="8"/>
  <c r="BN584" i="8"/>
  <c r="BO486" i="8"/>
  <c r="BO439" i="8"/>
  <c r="BO390" i="8"/>
  <c r="BN466" i="8"/>
  <c r="BO628" i="8"/>
  <c r="BN438" i="8"/>
  <c r="BN429" i="8"/>
  <c r="BN424" i="8"/>
  <c r="BO423" i="8"/>
  <c r="BN423" i="8"/>
  <c r="BN635" i="8"/>
  <c r="BO614" i="8"/>
  <c r="BN585" i="8"/>
  <c r="BN409" i="8"/>
  <c r="BO473" i="8"/>
  <c r="BO459" i="8"/>
  <c r="BN436" i="8"/>
  <c r="BN643" i="8"/>
  <c r="BO415" i="8"/>
  <c r="BO400" i="8"/>
  <c r="BO393" i="8"/>
  <c r="BO598" i="8"/>
  <c r="BN457" i="8"/>
  <c r="BO662" i="8"/>
  <c r="BO441" i="8"/>
  <c r="BO607" i="8"/>
  <c r="BO618" i="8"/>
  <c r="BO656" i="8"/>
  <c r="BO391" i="8"/>
  <c r="BN487" i="8"/>
  <c r="BN468" i="8"/>
  <c r="BO666" i="8"/>
  <c r="BN455" i="8"/>
  <c r="BN440" i="8"/>
  <c r="BN431" i="8"/>
  <c r="BN426" i="8"/>
  <c r="BO426" i="8"/>
  <c r="BO584" i="8"/>
  <c r="BO461" i="8"/>
  <c r="BN425" i="8"/>
  <c r="BO403" i="8"/>
  <c r="BO619" i="8"/>
  <c r="BO634" i="8"/>
  <c r="BO615" i="8"/>
  <c r="BN446" i="8"/>
  <c r="BN627" i="8"/>
  <c r="BO424" i="8"/>
  <c r="BO435" i="8"/>
  <c r="BN625" i="8"/>
  <c r="BN407" i="8"/>
  <c r="BN452" i="8"/>
  <c r="BN398" i="8"/>
  <c r="BN416" i="8"/>
  <c r="BO412" i="8"/>
  <c r="BN461" i="8"/>
  <c r="BO454" i="8"/>
  <c r="BN434" i="8"/>
  <c r="BN619" i="8"/>
  <c r="BN634" i="8"/>
  <c r="BN410" i="8"/>
  <c r="BN630" i="8"/>
  <c r="BO401" i="8"/>
  <c r="BN477" i="8"/>
  <c r="BO477" i="8"/>
  <c r="BO453" i="8"/>
  <c r="BO436" i="8"/>
  <c r="BN471" i="8"/>
  <c r="BO625" i="8"/>
  <c r="BO442" i="8"/>
  <c r="BO651" i="8"/>
  <c r="BO398" i="8"/>
  <c r="BO480" i="8"/>
  <c r="BN637" i="8"/>
  <c r="BO456" i="8"/>
  <c r="BN417" i="8"/>
  <c r="BO405" i="8"/>
  <c r="BO451" i="8"/>
  <c r="BN451" i="8"/>
  <c r="BO404" i="8"/>
  <c r="BN654" i="8"/>
  <c r="BO434" i="8"/>
  <c r="BN430" i="8"/>
  <c r="BO425" i="8"/>
  <c r="BO667" i="8"/>
  <c r="BN390" i="8"/>
  <c r="BO438" i="8"/>
  <c r="BO429" i="8"/>
  <c r="BO395" i="8"/>
  <c r="BO635" i="8"/>
  <c r="BN586" i="8"/>
  <c r="BO437" i="8"/>
  <c r="BN663" i="8"/>
  <c r="BO428" i="8"/>
  <c r="BO639" i="8"/>
  <c r="BN34" i="8"/>
  <c r="BO465" i="8"/>
  <c r="BN444" i="8"/>
  <c r="BO427" i="8"/>
  <c r="BN408" i="8"/>
  <c r="BO605" i="8"/>
  <c r="BO482" i="8"/>
  <c r="BN476" i="8"/>
  <c r="BO458" i="8"/>
  <c r="BN652" i="8"/>
  <c r="BO443" i="8"/>
  <c r="BN655" i="8"/>
  <c r="BN399" i="8"/>
  <c r="BO481" i="8"/>
  <c r="BO463" i="8"/>
  <c r="BO457" i="8"/>
  <c r="BO452" i="8"/>
  <c r="BN442" i="8"/>
  <c r="BN608" i="8"/>
  <c r="BN392" i="8"/>
  <c r="BO462" i="8"/>
  <c r="BO479" i="8"/>
  <c r="BO468" i="8"/>
  <c r="BO455" i="8"/>
  <c r="BO440" i="8"/>
  <c r="BN664" i="8"/>
  <c r="BN412" i="8"/>
  <c r="BN396" i="8"/>
  <c r="BN591" i="8"/>
  <c r="BO653" i="8"/>
  <c r="BN454" i="8"/>
  <c r="BO430" i="8"/>
  <c r="BN659" i="8"/>
  <c r="BO631" i="8"/>
  <c r="BN602" i="8"/>
  <c r="AN862" i="8"/>
  <c r="T605" i="10"/>
  <c r="BW611" i="8"/>
  <c r="BW612" i="8"/>
  <c r="C872" i="8"/>
  <c r="C867" i="8"/>
  <c r="C873" i="8"/>
  <c r="C866" i="8"/>
  <c r="AM852" i="8"/>
  <c r="BT639" i="8"/>
  <c r="BT618" i="8"/>
  <c r="BT654" i="8"/>
  <c r="BW654" i="8"/>
  <c r="BT660" i="8"/>
  <c r="BT625" i="8"/>
  <c r="BT638" i="8"/>
  <c r="BW638" i="8"/>
  <c r="BT619" i="8"/>
  <c r="BT610" i="8"/>
  <c r="BW610" i="8"/>
  <c r="BT591" i="8"/>
  <c r="BT659" i="8"/>
  <c r="BT662" i="8"/>
  <c r="BT605" i="8"/>
  <c r="BW605" i="8"/>
  <c r="BT427" i="8"/>
  <c r="BT626" i="8"/>
  <c r="BT586" i="8"/>
  <c r="BW586" i="8"/>
  <c r="BT615" i="8"/>
  <c r="BW615" i="8"/>
  <c r="BT637" i="8"/>
  <c r="BW637" i="8"/>
  <c r="BT602" i="8"/>
  <c r="BT655" i="8"/>
  <c r="BT651" i="8"/>
  <c r="BT656" i="8"/>
  <c r="BT606" i="8"/>
  <c r="BT627" i="8"/>
  <c r="BT585" i="8"/>
  <c r="BT636" i="8"/>
  <c r="BW636" i="8"/>
  <c r="BT649" i="8"/>
  <c r="BT661" i="8"/>
  <c r="BT607" i="8"/>
  <c r="BT657" i="8"/>
  <c r="BT620" i="8"/>
  <c r="BT631" i="8"/>
  <c r="BW631" i="8"/>
  <c r="BP584" i="8"/>
  <c r="BT584" i="8"/>
  <c r="BW584" i="8"/>
  <c r="BT598" i="8"/>
  <c r="BT664" i="8"/>
  <c r="BT630" i="8"/>
  <c r="BW630" i="8"/>
  <c r="BT634" i="8"/>
  <c r="BW634" i="8"/>
  <c r="BT652" i="8"/>
  <c r="BW652" i="8"/>
  <c r="BT608" i="8"/>
  <c r="BT667" i="8"/>
  <c r="BT635" i="8"/>
  <c r="BW635" i="8"/>
  <c r="BT666" i="8"/>
  <c r="BW666" i="8"/>
  <c r="BT643" i="8"/>
  <c r="BT628" i="8"/>
  <c r="BW628" i="8"/>
  <c r="BT653" i="8"/>
  <c r="BW653" i="8"/>
  <c r="BT663" i="8"/>
  <c r="BT614" i="8"/>
  <c r="BW614" i="8"/>
  <c r="AI592" i="8"/>
  <c r="Y592" i="8"/>
  <c r="AA592" i="8"/>
  <c r="AI587" i="8"/>
  <c r="AT587" i="8"/>
  <c r="BC587" i="8"/>
  <c r="BK587" i="8"/>
  <c r="AU587" i="8"/>
  <c r="BD587" i="8"/>
  <c r="BL587" i="8"/>
  <c r="AV587" i="8"/>
  <c r="BE587" i="8"/>
  <c r="AW587" i="8"/>
  <c r="BF587" i="8"/>
  <c r="AX587" i="8"/>
  <c r="BG587" i="8"/>
  <c r="AY587" i="8"/>
  <c r="BH587" i="8"/>
  <c r="AR587" i="8"/>
  <c r="AZ587" i="8"/>
  <c r="BI587" i="8"/>
  <c r="AS587" i="8"/>
  <c r="BA587" i="8"/>
  <c r="BJ587" i="8"/>
  <c r="AV592" i="8"/>
  <c r="BE592" i="8"/>
  <c r="AW592" i="8"/>
  <c r="BF592" i="8"/>
  <c r="AX592" i="8"/>
  <c r="BG592" i="8"/>
  <c r="AY592" i="8"/>
  <c r="BH592" i="8"/>
  <c r="AR592" i="8"/>
  <c r="AZ592" i="8"/>
  <c r="BI592" i="8"/>
  <c r="AS592" i="8"/>
  <c r="BA592" i="8"/>
  <c r="BJ592" i="8"/>
  <c r="AT592" i="8"/>
  <c r="BC592" i="8"/>
  <c r="BK592" i="8"/>
  <c r="AU592" i="8"/>
  <c r="BD592" i="8"/>
  <c r="BL592" i="8"/>
  <c r="AL592" i="8"/>
  <c r="AM592" i="8"/>
  <c r="BU592" i="8"/>
  <c r="AN592" i="8"/>
  <c r="BV592" i="8"/>
  <c r="Y587" i="8"/>
  <c r="AA587" i="8"/>
  <c r="Y412" i="8"/>
  <c r="AA412" i="8"/>
  <c r="AM412" i="8"/>
  <c r="Y393" i="8"/>
  <c r="AA393" i="8"/>
  <c r="AL393" i="8"/>
  <c r="BO587" i="8"/>
  <c r="BN587" i="8"/>
  <c r="BO592" i="8"/>
  <c r="BN592" i="8"/>
  <c r="AM587" i="8"/>
  <c r="BU587" i="8"/>
  <c r="AN587" i="8"/>
  <c r="BV587" i="8"/>
  <c r="AL587" i="8"/>
  <c r="AN412" i="8"/>
  <c r="AL412" i="8"/>
  <c r="AN393" i="8"/>
  <c r="AM393" i="8"/>
  <c r="Y416" i="8"/>
  <c r="AA416" i="8"/>
  <c r="BT592" i="8"/>
  <c r="BW592" i="8"/>
  <c r="BT587" i="8"/>
  <c r="BW587" i="8"/>
  <c r="AM416" i="8"/>
  <c r="AL416" i="8"/>
  <c r="AN416" i="8"/>
  <c r="Y406" i="8"/>
  <c r="AA406" i="8"/>
  <c r="Y410" i="8"/>
  <c r="AA410" i="8"/>
  <c r="AN406" i="8"/>
  <c r="AM406" i="8"/>
  <c r="AL406" i="8"/>
  <c r="AM410" i="8"/>
  <c r="AN410" i="8"/>
  <c r="AL410" i="8"/>
  <c r="Q536" i="10"/>
  <c r="O536" i="10"/>
  <c r="BL536" i="10"/>
  <c r="BX536" i="10"/>
  <c r="AR536" i="10"/>
  <c r="BM536" i="10"/>
  <c r="BD536" i="10"/>
  <c r="BK536" i="10"/>
  <c r="BE536" i="10"/>
  <c r="BF536" i="10"/>
  <c r="G71" i="36"/>
  <c r="D71" i="36"/>
  <c r="G48" i="36"/>
  <c r="D48" i="36"/>
  <c r="G28" i="36"/>
  <c r="G135" i="36"/>
  <c r="D135" i="36"/>
  <c r="Y667" i="8"/>
  <c r="AA667" i="8"/>
  <c r="Y601" i="8"/>
  <c r="AA601" i="8"/>
  <c r="Y421" i="8"/>
  <c r="AA421" i="8"/>
  <c r="AA390" i="8"/>
  <c r="AM601" i="8"/>
  <c r="BU601" i="8"/>
  <c r="AN601" i="8"/>
  <c r="BV601" i="8"/>
  <c r="AL601" i="8"/>
  <c r="AM667" i="8"/>
  <c r="BU667" i="8"/>
  <c r="AN667" i="8"/>
  <c r="BV667" i="8"/>
  <c r="AL667" i="8"/>
  <c r="AM421" i="8"/>
  <c r="AL421" i="8"/>
  <c r="AN390" i="8"/>
  <c r="AM390" i="8"/>
  <c r="AN421" i="8"/>
  <c r="AL390" i="8"/>
  <c r="P221" i="10"/>
  <c r="BW221" i="10"/>
  <c r="BW667" i="8"/>
  <c r="BW601" i="8"/>
  <c r="BN221" i="10"/>
  <c r="AW221" i="10"/>
  <c r="I71" i="36"/>
  <c r="J48" i="36"/>
  <c r="E135" i="36"/>
  <c r="F135" i="36"/>
  <c r="J28" i="36"/>
  <c r="J135" i="36"/>
  <c r="J71" i="36"/>
  <c r="I135" i="36"/>
  <c r="I48" i="36"/>
  <c r="I28" i="36"/>
  <c r="K135" i="36"/>
  <c r="AI596" i="8"/>
  <c r="AI609" i="8"/>
  <c r="Y417" i="8"/>
  <c r="AA417" i="8"/>
  <c r="AS596" i="8"/>
  <c r="BA596" i="8"/>
  <c r="BJ596" i="8"/>
  <c r="AT596" i="8"/>
  <c r="BC596" i="8"/>
  <c r="BK596" i="8"/>
  <c r="AU596" i="8"/>
  <c r="BD596" i="8"/>
  <c r="BL596" i="8"/>
  <c r="AV596" i="8"/>
  <c r="BE596" i="8"/>
  <c r="AW596" i="8"/>
  <c r="BF596" i="8"/>
  <c r="AX596" i="8"/>
  <c r="BG596" i="8"/>
  <c r="AY596" i="8"/>
  <c r="BH596" i="8"/>
  <c r="AR596" i="8"/>
  <c r="AZ596" i="8"/>
  <c r="BI596" i="8"/>
  <c r="AY609" i="8"/>
  <c r="BH609" i="8"/>
  <c r="AR609" i="8"/>
  <c r="AZ609" i="8"/>
  <c r="BI609" i="8"/>
  <c r="AS609" i="8"/>
  <c r="BA609" i="8"/>
  <c r="BJ609" i="8"/>
  <c r="AT609" i="8"/>
  <c r="BC609" i="8"/>
  <c r="BK609" i="8"/>
  <c r="AU609" i="8"/>
  <c r="BD609" i="8"/>
  <c r="BL609" i="8"/>
  <c r="AV609" i="8"/>
  <c r="BE609" i="8"/>
  <c r="AW609" i="8"/>
  <c r="BF609" i="8"/>
  <c r="AX609" i="8"/>
  <c r="BG609" i="8"/>
  <c r="AL417" i="8"/>
  <c r="AM417" i="8"/>
  <c r="AN417" i="8"/>
  <c r="Y609" i="8"/>
  <c r="AA609" i="8"/>
  <c r="Y600" i="8"/>
  <c r="AA600" i="8"/>
  <c r="Y394" i="8"/>
  <c r="AA394" i="8"/>
  <c r="Y596" i="8"/>
  <c r="AA596" i="8"/>
  <c r="AL596" i="8"/>
  <c r="Y591" i="8"/>
  <c r="AA591" i="8"/>
  <c r="BN596" i="8"/>
  <c r="BN609" i="8"/>
  <c r="BO609" i="8"/>
  <c r="BO596" i="8"/>
  <c r="AM600" i="8"/>
  <c r="BU600" i="8"/>
  <c r="AN600" i="8"/>
  <c r="BV600" i="8"/>
  <c r="AL600" i="8"/>
  <c r="AM591" i="8"/>
  <c r="BU591" i="8"/>
  <c r="AN591" i="8"/>
  <c r="BV591" i="8"/>
  <c r="AL591" i="8"/>
  <c r="AN609" i="8"/>
  <c r="BV609" i="8"/>
  <c r="AM609" i="8"/>
  <c r="BU609" i="8"/>
  <c r="AN596" i="8"/>
  <c r="BV596" i="8"/>
  <c r="AM596" i="8"/>
  <c r="BU596" i="8"/>
  <c r="AL609" i="8"/>
  <c r="AL394" i="8"/>
  <c r="AN394" i="8"/>
  <c r="AM394" i="8"/>
  <c r="Y392" i="8"/>
  <c r="AA392" i="8"/>
  <c r="Y598" i="8"/>
  <c r="AA598" i="8"/>
  <c r="Y402" i="8"/>
  <c r="AA402" i="8"/>
  <c r="BW591" i="8"/>
  <c r="BT596" i="8"/>
  <c r="BW596" i="8"/>
  <c r="BT609" i="8"/>
  <c r="BW609" i="8"/>
  <c r="AN598" i="8"/>
  <c r="BV598" i="8"/>
  <c r="AM598" i="8"/>
  <c r="BU598" i="8"/>
  <c r="AL598" i="8"/>
  <c r="BW600" i="8"/>
  <c r="AN402" i="8"/>
  <c r="AM402" i="8"/>
  <c r="AM392" i="8"/>
  <c r="AN392" i="8"/>
  <c r="AL392" i="8"/>
  <c r="AL402" i="8"/>
  <c r="BW598" i="8"/>
  <c r="Y441" i="8"/>
  <c r="AA441" i="8"/>
  <c r="AM441" i="8"/>
  <c r="AN441" i="8"/>
  <c r="AL441" i="8"/>
  <c r="Y625" i="8"/>
  <c r="AA625" i="8"/>
  <c r="AM625" i="8"/>
  <c r="AN625" i="8"/>
  <c r="AL625" i="8"/>
  <c r="AM221" i="10"/>
  <c r="AM587" i="10"/>
  <c r="O546" i="10"/>
  <c r="Q546" i="10"/>
  <c r="O545" i="10"/>
  <c r="Q545" i="10"/>
  <c r="O544" i="10"/>
  <c r="Q544" i="10"/>
  <c r="O543" i="10"/>
  <c r="Q543" i="10"/>
  <c r="O542" i="10"/>
  <c r="Q542" i="10"/>
  <c r="O541" i="10"/>
  <c r="Q541" i="10"/>
  <c r="O540" i="10"/>
  <c r="Q540" i="10"/>
  <c r="O539" i="10"/>
  <c r="Q539" i="10"/>
  <c r="O538" i="10"/>
  <c r="Q538" i="10"/>
  <c r="O537" i="10"/>
  <c r="Q537" i="10"/>
  <c r="Q535" i="10"/>
  <c r="Q534" i="10"/>
  <c r="Q533" i="10"/>
  <c r="Q532" i="10"/>
  <c r="Q531" i="10"/>
  <c r="Q530" i="10"/>
  <c r="Q529" i="10"/>
  <c r="Q528" i="10"/>
  <c r="Q527" i="10"/>
  <c r="Q526" i="10"/>
  <c r="Q525" i="10"/>
  <c r="Q524" i="10"/>
  <c r="Q523" i="10"/>
  <c r="Q522" i="10"/>
  <c r="Q521" i="10"/>
  <c r="Q520" i="10"/>
  <c r="O535" i="10"/>
  <c r="O534" i="10"/>
  <c r="BM534" i="10"/>
  <c r="O533" i="10"/>
  <c r="O532" i="10"/>
  <c r="BM532" i="10"/>
  <c r="O531" i="10"/>
  <c r="BM531" i="10"/>
  <c r="O530" i="10"/>
  <c r="O529" i="10"/>
  <c r="BM529" i="10"/>
  <c r="O528" i="10"/>
  <c r="BM528" i="10"/>
  <c r="O527" i="10"/>
  <c r="O526" i="10"/>
  <c r="O525" i="10"/>
  <c r="BM525" i="10"/>
  <c r="O524" i="10"/>
  <c r="O523" i="10"/>
  <c r="O522" i="10"/>
  <c r="O521" i="10"/>
  <c r="BM521" i="10"/>
  <c r="O520" i="10"/>
  <c r="BM520" i="10"/>
  <c r="BM523" i="10"/>
  <c r="BV625" i="8"/>
  <c r="BU625" i="8"/>
  <c r="BM533" i="10"/>
  <c r="BL522" i="10"/>
  <c r="BX522" i="10"/>
  <c r="BL526" i="10"/>
  <c r="BX526" i="10"/>
  <c r="BL530" i="10"/>
  <c r="BX530" i="10"/>
  <c r="BL534" i="10"/>
  <c r="BX534" i="10"/>
  <c r="BL538" i="10"/>
  <c r="BX538" i="10"/>
  <c r="BL540" i="10"/>
  <c r="BX540" i="10"/>
  <c r="BL542" i="10"/>
  <c r="BX542" i="10"/>
  <c r="BL544" i="10"/>
  <c r="BX544" i="10"/>
  <c r="BL546" i="10"/>
  <c r="BX546" i="10"/>
  <c r="BL523" i="10"/>
  <c r="BX523" i="10"/>
  <c r="BL527" i="10"/>
  <c r="BX527" i="10"/>
  <c r="BL531" i="10"/>
  <c r="BX531" i="10"/>
  <c r="BL535" i="10"/>
  <c r="BX535" i="10"/>
  <c r="BL520" i="10"/>
  <c r="BX520" i="10"/>
  <c r="BL524" i="10"/>
  <c r="BX524" i="10"/>
  <c r="BL528" i="10"/>
  <c r="BX528" i="10"/>
  <c r="BL532" i="10"/>
  <c r="BX532" i="10"/>
  <c r="BL537" i="10"/>
  <c r="BX537" i="10"/>
  <c r="BL539" i="10"/>
  <c r="BX539" i="10"/>
  <c r="BL541" i="10"/>
  <c r="BX541" i="10"/>
  <c r="BL543" i="10"/>
  <c r="BX543" i="10"/>
  <c r="BL545" i="10"/>
  <c r="BX545" i="10"/>
  <c r="BL521" i="10"/>
  <c r="BX521" i="10"/>
  <c r="BL525" i="10"/>
  <c r="BX525" i="10"/>
  <c r="BL529" i="10"/>
  <c r="BX529" i="10"/>
  <c r="BL533" i="10"/>
  <c r="BX533" i="10"/>
  <c r="BM522" i="10"/>
  <c r="BM526" i="10"/>
  <c r="AM588" i="10"/>
  <c r="AR537" i="10"/>
  <c r="BM537" i="10"/>
  <c r="AR539" i="10"/>
  <c r="BM539" i="10"/>
  <c r="AR541" i="10"/>
  <c r="BM541" i="10"/>
  <c r="AR543" i="10"/>
  <c r="BM543" i="10"/>
  <c r="AR545" i="10"/>
  <c r="BM545" i="10"/>
  <c r="AR530" i="10"/>
  <c r="BM530" i="10"/>
  <c r="AR524" i="10"/>
  <c r="BM524" i="10"/>
  <c r="AR527" i="10"/>
  <c r="BM527" i="10"/>
  <c r="AR535" i="10"/>
  <c r="BM535" i="10"/>
  <c r="AR538" i="10"/>
  <c r="BM538" i="10"/>
  <c r="AR540" i="10"/>
  <c r="BM540" i="10"/>
  <c r="AR542" i="10"/>
  <c r="BM542" i="10"/>
  <c r="AR544" i="10"/>
  <c r="BM544" i="10"/>
  <c r="AR546" i="10"/>
  <c r="BM546" i="10"/>
  <c r="BD520" i="10"/>
  <c r="BK520" i="10"/>
  <c r="BE520" i="10"/>
  <c r="BF520" i="10"/>
  <c r="BD528" i="10"/>
  <c r="BK528" i="10"/>
  <c r="BE528" i="10"/>
  <c r="BF528" i="10"/>
  <c r="BD539" i="10"/>
  <c r="BK539" i="10"/>
  <c r="BE539" i="10"/>
  <c r="BF539" i="10"/>
  <c r="BD545" i="10"/>
  <c r="BK545" i="10"/>
  <c r="BE545" i="10"/>
  <c r="BF545" i="10"/>
  <c r="BD524" i="10"/>
  <c r="BK524" i="10"/>
  <c r="BE524" i="10"/>
  <c r="BF524" i="10"/>
  <c r="BD532" i="10"/>
  <c r="BK532" i="10"/>
  <c r="BE532" i="10"/>
  <c r="BF532" i="10"/>
  <c r="BD537" i="10"/>
  <c r="BK537" i="10"/>
  <c r="BE537" i="10"/>
  <c r="BF537" i="10"/>
  <c r="BD541" i="10"/>
  <c r="BK541" i="10"/>
  <c r="BE541" i="10"/>
  <c r="BF541" i="10"/>
  <c r="BD543" i="10"/>
  <c r="BK543" i="10"/>
  <c r="BE543" i="10"/>
  <c r="BF543" i="10"/>
  <c r="BD525" i="10"/>
  <c r="BK525" i="10"/>
  <c r="BE525" i="10"/>
  <c r="BF525" i="10"/>
  <c r="BD533" i="10"/>
  <c r="BK533" i="10"/>
  <c r="BE533" i="10"/>
  <c r="BF533" i="10"/>
  <c r="BD522" i="10"/>
  <c r="BK522" i="10"/>
  <c r="BE522" i="10"/>
  <c r="BF522" i="10"/>
  <c r="BD526" i="10"/>
  <c r="BK526" i="10"/>
  <c r="BE526" i="10"/>
  <c r="BF526" i="10"/>
  <c r="BD530" i="10"/>
  <c r="BK530" i="10"/>
  <c r="BE530" i="10"/>
  <c r="BF530" i="10"/>
  <c r="BD534" i="10"/>
  <c r="BK534" i="10"/>
  <c r="BE534" i="10"/>
  <c r="BF534" i="10"/>
  <c r="BD538" i="10"/>
  <c r="BK538" i="10"/>
  <c r="BE538" i="10"/>
  <c r="BF538" i="10"/>
  <c r="BD540" i="10"/>
  <c r="BK540" i="10"/>
  <c r="BE540" i="10"/>
  <c r="BF540" i="10"/>
  <c r="BD542" i="10"/>
  <c r="BK542" i="10"/>
  <c r="BE542" i="10"/>
  <c r="BF542" i="10"/>
  <c r="BD544" i="10"/>
  <c r="BK544" i="10"/>
  <c r="BE544" i="10"/>
  <c r="BF544" i="10"/>
  <c r="BD546" i="10"/>
  <c r="BK546" i="10"/>
  <c r="BE546" i="10"/>
  <c r="BF546" i="10"/>
  <c r="BD521" i="10"/>
  <c r="BK521" i="10"/>
  <c r="BE521" i="10"/>
  <c r="BF521" i="10"/>
  <c r="BD529" i="10"/>
  <c r="BK529" i="10"/>
  <c r="BE529" i="10"/>
  <c r="BF529" i="10"/>
  <c r="BD523" i="10"/>
  <c r="BK523" i="10"/>
  <c r="BE523" i="10"/>
  <c r="BF523" i="10"/>
  <c r="BD527" i="10"/>
  <c r="BK527" i="10"/>
  <c r="BE527" i="10"/>
  <c r="BF527" i="10"/>
  <c r="BD531" i="10"/>
  <c r="BK531" i="10"/>
  <c r="BE531" i="10"/>
  <c r="BF531" i="10"/>
  <c r="BD535" i="10"/>
  <c r="BK535" i="10"/>
  <c r="BE535" i="10"/>
  <c r="BF535" i="10"/>
  <c r="AR520" i="10"/>
  <c r="AR521" i="10"/>
  <c r="AR529" i="10"/>
  <c r="AR533" i="10"/>
  <c r="AR525" i="10"/>
  <c r="AR526" i="10"/>
  <c r="AR534" i="10"/>
  <c r="AR528" i="10"/>
  <c r="AR522" i="10"/>
  <c r="AR523" i="10"/>
  <c r="AR531" i="10"/>
  <c r="AR532" i="10"/>
  <c r="X138" i="36"/>
  <c r="W138" i="36"/>
  <c r="V138" i="36"/>
  <c r="U138" i="36"/>
  <c r="T138" i="36"/>
  <c r="S138" i="36"/>
  <c r="L138" i="36"/>
  <c r="G137" i="36"/>
  <c r="G136" i="36"/>
  <c r="G134" i="36"/>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G96" i="36"/>
  <c r="G95" i="36"/>
  <c r="G94" i="36"/>
  <c r="G93" i="36"/>
  <c r="G92" i="36"/>
  <c r="G91" i="36"/>
  <c r="G90" i="36"/>
  <c r="G89" i="36"/>
  <c r="G88" i="36"/>
  <c r="G87" i="36"/>
  <c r="G86" i="36"/>
  <c r="G85" i="36"/>
  <c r="G84" i="36"/>
  <c r="G83" i="36"/>
  <c r="G82" i="36"/>
  <c r="G81" i="36"/>
  <c r="G80" i="36"/>
  <c r="G79" i="36"/>
  <c r="G78" i="36"/>
  <c r="G77" i="36"/>
  <c r="G76" i="36"/>
  <c r="G75" i="36"/>
  <c r="G74" i="36"/>
  <c r="G73" i="36"/>
  <c r="G72" i="36"/>
  <c r="G70" i="36"/>
  <c r="G69" i="36"/>
  <c r="G68" i="36"/>
  <c r="G67" i="36"/>
  <c r="G66" i="36"/>
  <c r="G65" i="36"/>
  <c r="G64" i="36"/>
  <c r="G63" i="36"/>
  <c r="G62" i="36"/>
  <c r="G61" i="36"/>
  <c r="G60" i="36"/>
  <c r="G59" i="36"/>
  <c r="G58" i="36"/>
  <c r="G57" i="36"/>
  <c r="G56" i="36"/>
  <c r="G55" i="36"/>
  <c r="G54" i="36"/>
  <c r="G53" i="36"/>
  <c r="G52" i="36"/>
  <c r="G51" i="36"/>
  <c r="G50" i="36"/>
  <c r="G49" i="36"/>
  <c r="G47" i="36"/>
  <c r="G46" i="36"/>
  <c r="G45" i="36"/>
  <c r="G44" i="36"/>
  <c r="G43" i="36"/>
  <c r="G42" i="36"/>
  <c r="G41" i="36"/>
  <c r="G40" i="36"/>
  <c r="G39" i="36"/>
  <c r="G38" i="36"/>
  <c r="G37" i="36"/>
  <c r="G36" i="36"/>
  <c r="G35" i="36"/>
  <c r="G34" i="36"/>
  <c r="G33" i="36"/>
  <c r="G32" i="36"/>
  <c r="G30" i="36"/>
  <c r="G29" i="36"/>
  <c r="G27" i="36"/>
  <c r="G26" i="36"/>
  <c r="G25" i="36"/>
  <c r="G24" i="36"/>
  <c r="G23" i="36"/>
  <c r="G22" i="36"/>
  <c r="G21" i="36"/>
  <c r="G20" i="36"/>
  <c r="G19" i="36"/>
  <c r="G18" i="36"/>
  <c r="G17" i="36"/>
  <c r="G16" i="36"/>
  <c r="G15" i="36"/>
  <c r="G14" i="36"/>
  <c r="G13" i="36"/>
  <c r="G12" i="36"/>
  <c r="G11" i="36"/>
  <c r="G10" i="36"/>
  <c r="G9" i="36"/>
  <c r="G8" i="36"/>
  <c r="G7" i="36"/>
  <c r="G6" i="36"/>
  <c r="G5" i="36"/>
  <c r="G4" i="36"/>
  <c r="G3" i="36"/>
  <c r="S151" i="37"/>
  <c r="R151" i="37"/>
  <c r="P151" i="37"/>
  <c r="O151" i="37"/>
  <c r="N151" i="37"/>
  <c r="M151" i="37"/>
  <c r="L151" i="37"/>
  <c r="K151" i="37"/>
  <c r="J151" i="37"/>
  <c r="I151" i="37"/>
  <c r="H151" i="37"/>
  <c r="G151" i="37"/>
  <c r="F151" i="37"/>
  <c r="E151" i="37"/>
  <c r="D151" i="37"/>
  <c r="C151" i="37"/>
  <c r="BW625" i="8"/>
  <c r="Q148" i="37"/>
  <c r="Q144" i="37"/>
  <c r="Q140" i="37"/>
  <c r="Q136" i="37"/>
  <c r="Q132" i="37"/>
  <c r="Q128" i="37"/>
  <c r="Q124" i="37"/>
  <c r="Q120" i="37"/>
  <c r="E112" i="36"/>
  <c r="Q116" i="37"/>
  <c r="Q112" i="37"/>
  <c r="Q108" i="37"/>
  <c r="Q104" i="37"/>
  <c r="Q100" i="37"/>
  <c r="Q96" i="37"/>
  <c r="Q92" i="37"/>
  <c r="Q88" i="37"/>
  <c r="Q84" i="37"/>
  <c r="Q80" i="37"/>
  <c r="Q76" i="37"/>
  <c r="Q72" i="37"/>
  <c r="Q68" i="37"/>
  <c r="E71" i="36"/>
  <c r="F71" i="36"/>
  <c r="K71" i="36"/>
  <c r="Q64" i="37"/>
  <c r="Q60" i="37"/>
  <c r="E41" i="36"/>
  <c r="Q56" i="37"/>
  <c r="E36" i="36"/>
  <c r="Q52" i="37"/>
  <c r="Q48" i="37"/>
  <c r="Q44" i="37"/>
  <c r="Q40" i="37"/>
  <c r="Q36" i="37"/>
  <c r="Q32" i="37"/>
  <c r="Q28" i="37"/>
  <c r="Q24" i="37"/>
  <c r="E21" i="36"/>
  <c r="Q20" i="37"/>
  <c r="Q16" i="37"/>
  <c r="Q12" i="37"/>
  <c r="Q8" i="37"/>
  <c r="Q31" i="37"/>
  <c r="Q23" i="37"/>
  <c r="Q15" i="37"/>
  <c r="Q11" i="37"/>
  <c r="E16" i="36"/>
  <c r="Q133" i="37"/>
  <c r="Q125" i="37"/>
  <c r="Q113" i="37"/>
  <c r="Q101" i="37"/>
  <c r="Q89" i="37"/>
  <c r="Q77" i="37"/>
  <c r="Q65" i="37"/>
  <c r="Q53" i="37"/>
  <c r="Q45" i="37"/>
  <c r="Q29" i="37"/>
  <c r="Q21" i="37"/>
  <c r="Q9" i="37"/>
  <c r="Q147" i="37"/>
  <c r="Q143" i="37"/>
  <c r="Q139" i="37"/>
  <c r="Q135" i="37"/>
  <c r="E125" i="36"/>
  <c r="Q131" i="37"/>
  <c r="Q127" i="37"/>
  <c r="Q123" i="37"/>
  <c r="Q119" i="37"/>
  <c r="Q115" i="37"/>
  <c r="Q111" i="37"/>
  <c r="Q107" i="37"/>
  <c r="Q103" i="37"/>
  <c r="E95" i="36"/>
  <c r="Q99" i="37"/>
  <c r="Q95" i="37"/>
  <c r="Q91" i="37"/>
  <c r="Q87" i="37"/>
  <c r="Q83" i="37"/>
  <c r="Q79" i="37"/>
  <c r="Q75" i="37"/>
  <c r="E68" i="36"/>
  <c r="Q71" i="37"/>
  <c r="Q67" i="37"/>
  <c r="Q63" i="37"/>
  <c r="Q59" i="37"/>
  <c r="Q55" i="37"/>
  <c r="Q51" i="37"/>
  <c r="Q47" i="37"/>
  <c r="Q43" i="37"/>
  <c r="Q39" i="37"/>
  <c r="Q35" i="37"/>
  <c r="Q27" i="37"/>
  <c r="Q19" i="37"/>
  <c r="Q7" i="37"/>
  <c r="Q149" i="37"/>
  <c r="Q145" i="37"/>
  <c r="Q141" i="37"/>
  <c r="E127" i="36"/>
  <c r="Q129" i="37"/>
  <c r="Q121" i="37"/>
  <c r="Q109" i="37"/>
  <c r="Q97" i="37"/>
  <c r="Q85" i="37"/>
  <c r="Q69" i="37"/>
  <c r="Q49" i="37"/>
  <c r="Q37" i="37"/>
  <c r="Q25" i="37"/>
  <c r="E22" i="36"/>
  <c r="Q13" i="37"/>
  <c r="Q150" i="37"/>
  <c r="Q146" i="37"/>
  <c r="Q142" i="37"/>
  <c r="Q138" i="37"/>
  <c r="Q134" i="37"/>
  <c r="Q130" i="37"/>
  <c r="Q126" i="37"/>
  <c r="E118" i="36"/>
  <c r="Q122" i="37"/>
  <c r="Q118" i="37"/>
  <c r="Q114" i="37"/>
  <c r="Q110" i="37"/>
  <c r="Q106" i="37"/>
  <c r="Q102" i="37"/>
  <c r="Q98" i="37"/>
  <c r="E76" i="36"/>
  <c r="Q94" i="37"/>
  <c r="Q90" i="37"/>
  <c r="Q86" i="37"/>
  <c r="Q82" i="37"/>
  <c r="Q78" i="37"/>
  <c r="Q74" i="37"/>
  <c r="Q70" i="37"/>
  <c r="Q66" i="37"/>
  <c r="Q62" i="37"/>
  <c r="E50" i="36"/>
  <c r="Q58" i="37"/>
  <c r="Q54" i="37"/>
  <c r="Q50" i="37"/>
  <c r="Q46" i="37"/>
  <c r="Q42" i="37"/>
  <c r="Q38" i="37"/>
  <c r="Q34" i="37"/>
  <c r="Q30" i="37"/>
  <c r="E13" i="36"/>
  <c r="Q26" i="37"/>
  <c r="Q22" i="37"/>
  <c r="Q18" i="37"/>
  <c r="Q14" i="37"/>
  <c r="Q10" i="37"/>
  <c r="Q137" i="37"/>
  <c r="Q117" i="37"/>
  <c r="Q105" i="37"/>
  <c r="E97" i="36"/>
  <c r="Q93" i="37"/>
  <c r="Q81" i="37"/>
  <c r="Q73" i="37"/>
  <c r="Q61" i="37"/>
  <c r="Q57" i="37"/>
  <c r="Q41" i="37"/>
  <c r="Q33" i="37"/>
  <c r="Q17" i="37"/>
  <c r="E7" i="36"/>
  <c r="J134" i="36"/>
  <c r="J126" i="36"/>
  <c r="J118" i="36"/>
  <c r="J110" i="36"/>
  <c r="J102" i="36"/>
  <c r="J94" i="36"/>
  <c r="J86" i="36"/>
  <c r="J74" i="36"/>
  <c r="J65" i="36"/>
  <c r="J57" i="36"/>
  <c r="J49" i="36"/>
  <c r="J40" i="36"/>
  <c r="J32" i="36"/>
  <c r="J26" i="36"/>
  <c r="J18" i="36"/>
  <c r="J10" i="36"/>
  <c r="I129" i="36"/>
  <c r="J130" i="36"/>
  <c r="J122" i="36"/>
  <c r="J114" i="36"/>
  <c r="J106" i="36"/>
  <c r="J98" i="36"/>
  <c r="J90" i="36"/>
  <c r="J82" i="36"/>
  <c r="J78" i="36"/>
  <c r="J69" i="36"/>
  <c r="J61" i="36"/>
  <c r="J53" i="36"/>
  <c r="J44" i="36"/>
  <c r="J36" i="36"/>
  <c r="J22" i="36"/>
  <c r="J14" i="36"/>
  <c r="J6" i="36"/>
  <c r="I133" i="36"/>
  <c r="I125" i="36"/>
  <c r="I5" i="36"/>
  <c r="I13" i="36"/>
  <c r="I21" i="36"/>
  <c r="I30" i="36"/>
  <c r="I39" i="36"/>
  <c r="I47" i="36"/>
  <c r="I56" i="36"/>
  <c r="I64" i="36"/>
  <c r="I73" i="36"/>
  <c r="I81" i="36"/>
  <c r="I89" i="36"/>
  <c r="I97" i="36"/>
  <c r="I105" i="36"/>
  <c r="I113" i="36"/>
  <c r="I121" i="36"/>
  <c r="I137" i="36"/>
  <c r="J13" i="36"/>
  <c r="J30" i="36"/>
  <c r="J47" i="36"/>
  <c r="J64" i="36"/>
  <c r="J81" i="36"/>
  <c r="J97" i="36"/>
  <c r="J113" i="36"/>
  <c r="J129" i="36"/>
  <c r="I8" i="36"/>
  <c r="I16" i="36"/>
  <c r="I24" i="36"/>
  <c r="I34" i="36"/>
  <c r="I42" i="36"/>
  <c r="I51" i="36"/>
  <c r="I59" i="36"/>
  <c r="I67" i="36"/>
  <c r="I76" i="36"/>
  <c r="I84" i="36"/>
  <c r="I92" i="36"/>
  <c r="I100" i="36"/>
  <c r="I108" i="36"/>
  <c r="I116" i="36"/>
  <c r="I124" i="36"/>
  <c r="J17" i="36"/>
  <c r="J35" i="36"/>
  <c r="J52" i="36"/>
  <c r="J68" i="36"/>
  <c r="J85" i="36"/>
  <c r="J101" i="36"/>
  <c r="J117" i="36"/>
  <c r="J133" i="36"/>
  <c r="J136" i="36"/>
  <c r="I9" i="36"/>
  <c r="I17" i="36"/>
  <c r="I25" i="36"/>
  <c r="I35" i="36"/>
  <c r="I43" i="36"/>
  <c r="I52" i="36"/>
  <c r="I60" i="36"/>
  <c r="I68" i="36"/>
  <c r="I77" i="36"/>
  <c r="I85" i="36"/>
  <c r="I93" i="36"/>
  <c r="I101" i="36"/>
  <c r="I109" i="36"/>
  <c r="I117" i="36"/>
  <c r="I128" i="36"/>
  <c r="J5" i="36"/>
  <c r="J21" i="36"/>
  <c r="J39" i="36"/>
  <c r="J56" i="36"/>
  <c r="J73" i="36"/>
  <c r="J89" i="36"/>
  <c r="J105" i="36"/>
  <c r="J121" i="36"/>
  <c r="I4" i="36"/>
  <c r="I12" i="36"/>
  <c r="I20" i="36"/>
  <c r="I29" i="36"/>
  <c r="I38" i="36"/>
  <c r="I46" i="36"/>
  <c r="I55" i="36"/>
  <c r="I63" i="36"/>
  <c r="I72" i="36"/>
  <c r="I80" i="36"/>
  <c r="I88" i="36"/>
  <c r="I96" i="36"/>
  <c r="I104" i="36"/>
  <c r="I112" i="36"/>
  <c r="I120" i="36"/>
  <c r="I132" i="36"/>
  <c r="J9" i="36"/>
  <c r="J25" i="36"/>
  <c r="J43" i="36"/>
  <c r="J60" i="36"/>
  <c r="J77" i="36"/>
  <c r="J93" i="36"/>
  <c r="J109" i="36"/>
  <c r="J125" i="36"/>
  <c r="I6" i="36"/>
  <c r="I10" i="36"/>
  <c r="I14" i="36"/>
  <c r="I18" i="36"/>
  <c r="I22" i="36"/>
  <c r="I26" i="36"/>
  <c r="I32" i="36"/>
  <c r="I36" i="36"/>
  <c r="I40" i="36"/>
  <c r="I44" i="36"/>
  <c r="I49" i="36"/>
  <c r="I53" i="36"/>
  <c r="I57" i="36"/>
  <c r="I61" i="36"/>
  <c r="I65" i="36"/>
  <c r="I69" i="36"/>
  <c r="I74" i="36"/>
  <c r="I78" i="36"/>
  <c r="I82" i="36"/>
  <c r="I86" i="36"/>
  <c r="I90" i="36"/>
  <c r="I94" i="36"/>
  <c r="I98" i="36"/>
  <c r="I102" i="36"/>
  <c r="I106" i="36"/>
  <c r="I110" i="36"/>
  <c r="I114" i="36"/>
  <c r="I118" i="36"/>
  <c r="I122" i="36"/>
  <c r="I126" i="36"/>
  <c r="I130" i="36"/>
  <c r="I134" i="36"/>
  <c r="J3" i="36"/>
  <c r="J7" i="36"/>
  <c r="J11" i="36"/>
  <c r="J15" i="36"/>
  <c r="J19" i="36"/>
  <c r="J23" i="36"/>
  <c r="J27" i="36"/>
  <c r="J33" i="36"/>
  <c r="J37" i="36"/>
  <c r="J41" i="36"/>
  <c r="J45" i="36"/>
  <c r="J50" i="36"/>
  <c r="J54" i="36"/>
  <c r="J58" i="36"/>
  <c r="J62" i="36"/>
  <c r="J66" i="36"/>
  <c r="J70" i="36"/>
  <c r="J75" i="36"/>
  <c r="J79" i="36"/>
  <c r="J83" i="36"/>
  <c r="J87" i="36"/>
  <c r="J91" i="36"/>
  <c r="J95" i="36"/>
  <c r="J99" i="36"/>
  <c r="J103" i="36"/>
  <c r="J107" i="36"/>
  <c r="J111" i="36"/>
  <c r="J115" i="36"/>
  <c r="J119" i="36"/>
  <c r="J123" i="36"/>
  <c r="J127" i="36"/>
  <c r="J131" i="36"/>
  <c r="E136" i="36"/>
  <c r="E131" i="36"/>
  <c r="E123" i="36"/>
  <c r="E119" i="36"/>
  <c r="E115" i="36"/>
  <c r="E111" i="36"/>
  <c r="E107" i="36"/>
  <c r="E103" i="36"/>
  <c r="E99" i="36"/>
  <c r="E91" i="36"/>
  <c r="E87" i="36"/>
  <c r="E83" i="36"/>
  <c r="E79" i="36"/>
  <c r="E75" i="36"/>
  <c r="E70" i="36"/>
  <c r="E66" i="36"/>
  <c r="E62" i="36"/>
  <c r="E58" i="36"/>
  <c r="E54" i="36"/>
  <c r="E45" i="36"/>
  <c r="E33" i="36"/>
  <c r="E23" i="36"/>
  <c r="E15" i="36"/>
  <c r="E130" i="36"/>
  <c r="E122" i="36"/>
  <c r="E114" i="36"/>
  <c r="E106" i="36"/>
  <c r="E98" i="36"/>
  <c r="E94" i="36"/>
  <c r="E86" i="36"/>
  <c r="E78" i="36"/>
  <c r="E69" i="36"/>
  <c r="E61" i="36"/>
  <c r="E53" i="36"/>
  <c r="E44" i="36"/>
  <c r="E14" i="36"/>
  <c r="E6" i="36"/>
  <c r="E129" i="36"/>
  <c r="E117" i="36"/>
  <c r="E109" i="36"/>
  <c r="E101" i="36"/>
  <c r="E93" i="36"/>
  <c r="E85" i="36"/>
  <c r="E77" i="36"/>
  <c r="E64" i="36"/>
  <c r="E56" i="36"/>
  <c r="E47" i="36"/>
  <c r="E39" i="36"/>
  <c r="E30" i="36"/>
  <c r="E4" i="36"/>
  <c r="E137" i="36"/>
  <c r="E132" i="36"/>
  <c r="E128" i="36"/>
  <c r="E124" i="36"/>
  <c r="E120" i="36"/>
  <c r="E116" i="36"/>
  <c r="E108" i="36"/>
  <c r="E104" i="36"/>
  <c r="E100" i="36"/>
  <c r="E96" i="36"/>
  <c r="E92" i="36"/>
  <c r="E88" i="36"/>
  <c r="E84" i="36"/>
  <c r="E80" i="36"/>
  <c r="E72" i="36"/>
  <c r="E67" i="36"/>
  <c r="E63" i="36"/>
  <c r="E59" i="36"/>
  <c r="E55" i="36"/>
  <c r="E51" i="36"/>
  <c r="E46" i="36"/>
  <c r="E42" i="36"/>
  <c r="E38" i="36"/>
  <c r="E34" i="36"/>
  <c r="E29" i="36"/>
  <c r="E24" i="36"/>
  <c r="E20" i="36"/>
  <c r="E12" i="36"/>
  <c r="E8" i="36"/>
  <c r="E3" i="36"/>
  <c r="E37" i="36"/>
  <c r="E27" i="36"/>
  <c r="E19" i="36"/>
  <c r="E11" i="36"/>
  <c r="E5" i="36"/>
  <c r="E134" i="36"/>
  <c r="E126" i="36"/>
  <c r="E110" i="36"/>
  <c r="E102" i="36"/>
  <c r="E90" i="36"/>
  <c r="E82" i="36"/>
  <c r="E74" i="36"/>
  <c r="E65" i="36"/>
  <c r="E57" i="36"/>
  <c r="E49" i="36"/>
  <c r="E40" i="36"/>
  <c r="E32" i="36"/>
  <c r="E26" i="36"/>
  <c r="E18" i="36"/>
  <c r="E10" i="36"/>
  <c r="E133" i="36"/>
  <c r="E121" i="36"/>
  <c r="E113" i="36"/>
  <c r="E105" i="36"/>
  <c r="E89" i="36"/>
  <c r="E81" i="36"/>
  <c r="E73" i="36"/>
  <c r="E60" i="36"/>
  <c r="E52" i="36"/>
  <c r="E43" i="36"/>
  <c r="E35" i="36"/>
  <c r="E25" i="36"/>
  <c r="E17" i="36"/>
  <c r="E9" i="36"/>
  <c r="I3" i="36"/>
  <c r="I7" i="36"/>
  <c r="I11" i="36"/>
  <c r="I15" i="36"/>
  <c r="I19" i="36"/>
  <c r="I23" i="36"/>
  <c r="I27" i="36"/>
  <c r="I33" i="36"/>
  <c r="I37" i="36"/>
  <c r="I41" i="36"/>
  <c r="I45" i="36"/>
  <c r="I50" i="36"/>
  <c r="I54" i="36"/>
  <c r="I58" i="36"/>
  <c r="I62" i="36"/>
  <c r="I66" i="36"/>
  <c r="I70" i="36"/>
  <c r="I75" i="36"/>
  <c r="I79" i="36"/>
  <c r="I83" i="36"/>
  <c r="I87" i="36"/>
  <c r="I91" i="36"/>
  <c r="I95" i="36"/>
  <c r="I99" i="36"/>
  <c r="I103" i="36"/>
  <c r="I107" i="36"/>
  <c r="I111" i="36"/>
  <c r="I115" i="36"/>
  <c r="I119" i="36"/>
  <c r="I123" i="36"/>
  <c r="I127" i="36"/>
  <c r="I131" i="36"/>
  <c r="I136" i="36"/>
  <c r="J4" i="36"/>
  <c r="J8" i="36"/>
  <c r="J12" i="36"/>
  <c r="J16" i="36"/>
  <c r="J20" i="36"/>
  <c r="J24" i="36"/>
  <c r="J29" i="36"/>
  <c r="J34" i="36"/>
  <c r="J38" i="36"/>
  <c r="J42" i="36"/>
  <c r="J46" i="36"/>
  <c r="J51" i="36"/>
  <c r="J55" i="36"/>
  <c r="J59" i="36"/>
  <c r="J63" i="36"/>
  <c r="J67" i="36"/>
  <c r="J72" i="36"/>
  <c r="J76" i="36"/>
  <c r="J80" i="36"/>
  <c r="J84" i="36"/>
  <c r="J88" i="36"/>
  <c r="J92" i="36"/>
  <c r="J96" i="36"/>
  <c r="J100" i="36"/>
  <c r="J104" i="36"/>
  <c r="J108" i="36"/>
  <c r="J112" i="36"/>
  <c r="J116" i="36"/>
  <c r="J120" i="36"/>
  <c r="J124" i="36"/>
  <c r="J128" i="36"/>
  <c r="J132" i="36"/>
  <c r="J137" i="36"/>
  <c r="B143" i="36"/>
  <c r="B132" i="36"/>
  <c r="B15" i="36"/>
  <c r="D63" i="36"/>
  <c r="D20" i="36"/>
  <c r="D16" i="36"/>
  <c r="D14" i="36"/>
  <c r="D25" i="36"/>
  <c r="D134" i="36"/>
  <c r="D133" i="36"/>
  <c r="D102" i="36"/>
  <c r="D93" i="36"/>
  <c r="D76" i="36"/>
  <c r="D75" i="36"/>
  <c r="D74" i="36"/>
  <c r="D73" i="36"/>
  <c r="D65" i="36"/>
  <c r="D49" i="36"/>
  <c r="D29" i="36"/>
  <c r="D79" i="36"/>
  <c r="D32" i="36"/>
  <c r="D77" i="36"/>
  <c r="D89" i="36"/>
  <c r="D3" i="36"/>
  <c r="D137" i="36"/>
  <c r="D136" i="36"/>
  <c r="D131" i="36"/>
  <c r="D130" i="36"/>
  <c r="D129" i="36"/>
  <c r="D128" i="36"/>
  <c r="D127" i="36"/>
  <c r="D125" i="36"/>
  <c r="D124" i="36"/>
  <c r="D123" i="36"/>
  <c r="D122" i="36"/>
  <c r="D121" i="36"/>
  <c r="D120" i="36"/>
  <c r="D119" i="36"/>
  <c r="D118" i="36"/>
  <c r="D117" i="36"/>
  <c r="D116" i="36"/>
  <c r="D115" i="36"/>
  <c r="D114" i="36"/>
  <c r="D112" i="36"/>
  <c r="D110" i="36"/>
  <c r="D109" i="36"/>
  <c r="D106" i="36"/>
  <c r="D105" i="36"/>
  <c r="D103" i="36"/>
  <c r="D101" i="36"/>
  <c r="D100" i="36"/>
  <c r="D99" i="36"/>
  <c r="D98" i="36"/>
  <c r="D96" i="36"/>
  <c r="D95" i="36"/>
  <c r="D94" i="36"/>
  <c r="D92" i="36"/>
  <c r="D91" i="36"/>
  <c r="D90" i="36"/>
  <c r="D88" i="36"/>
  <c r="D87" i="36"/>
  <c r="D86" i="36"/>
  <c r="D85" i="36"/>
  <c r="D84" i="36"/>
  <c r="D83" i="36"/>
  <c r="D82" i="36"/>
  <c r="D81" i="36"/>
  <c r="D80" i="36"/>
  <c r="D78" i="36"/>
  <c r="D72" i="36"/>
  <c r="D70" i="36"/>
  <c r="D69" i="36"/>
  <c r="D68" i="36"/>
  <c r="D67" i="36"/>
  <c r="D66" i="36"/>
  <c r="D62" i="36"/>
  <c r="D61" i="36"/>
  <c r="D59" i="36"/>
  <c r="D57" i="36"/>
  <c r="D56" i="36"/>
  <c r="D55" i="36"/>
  <c r="D54" i="36"/>
  <c r="D52" i="36"/>
  <c r="D50" i="36"/>
  <c r="D47" i="36"/>
  <c r="D46" i="36"/>
  <c r="D45" i="36"/>
  <c r="D42" i="36"/>
  <c r="D40" i="36"/>
  <c r="D38" i="36"/>
  <c r="D37" i="36"/>
  <c r="D33" i="36"/>
  <c r="D30" i="36"/>
  <c r="D24" i="36"/>
  <c r="D23" i="36"/>
  <c r="D5" i="36"/>
  <c r="D4" i="36"/>
  <c r="E48" i="36"/>
  <c r="F48" i="36"/>
  <c r="K48" i="36"/>
  <c r="Q151" i="37"/>
  <c r="E28" i="36"/>
  <c r="F42" i="36"/>
  <c r="K42" i="36"/>
  <c r="F87" i="36"/>
  <c r="K87" i="36"/>
  <c r="F101" i="36"/>
  <c r="K101" i="36"/>
  <c r="F110" i="36"/>
  <c r="K110" i="36"/>
  <c r="F50" i="36"/>
  <c r="K50" i="36"/>
  <c r="F103" i="36"/>
  <c r="K103" i="36"/>
  <c r="F123" i="36"/>
  <c r="K123" i="36"/>
  <c r="F76" i="36"/>
  <c r="K76" i="36"/>
  <c r="F25" i="36"/>
  <c r="K25" i="36"/>
  <c r="F14" i="36"/>
  <c r="K14" i="36"/>
  <c r="F56" i="36"/>
  <c r="K56" i="36"/>
  <c r="F61" i="36"/>
  <c r="K61" i="36"/>
  <c r="F66" i="36"/>
  <c r="K66" i="36"/>
  <c r="F99" i="36"/>
  <c r="K99" i="36"/>
  <c r="F93" i="36"/>
  <c r="K93" i="36"/>
  <c r="F16" i="36"/>
  <c r="K16" i="36"/>
  <c r="F47" i="36"/>
  <c r="K47" i="36"/>
  <c r="F54" i="36"/>
  <c r="K54" i="36"/>
  <c r="F92" i="36"/>
  <c r="K92" i="36"/>
  <c r="F130" i="36"/>
  <c r="K130" i="36"/>
  <c r="F32" i="36"/>
  <c r="K32" i="36"/>
  <c r="F30" i="36"/>
  <c r="K30" i="36"/>
  <c r="F69" i="36"/>
  <c r="K69" i="36"/>
  <c r="F119" i="36"/>
  <c r="K119" i="36"/>
  <c r="F131" i="36"/>
  <c r="K131" i="36"/>
  <c r="F79" i="36"/>
  <c r="K79" i="36"/>
  <c r="F65" i="36"/>
  <c r="K65" i="36"/>
  <c r="F33" i="36"/>
  <c r="K33" i="36"/>
  <c r="F37" i="36"/>
  <c r="K37" i="36"/>
  <c r="F57" i="36"/>
  <c r="K57" i="36"/>
  <c r="F62" i="36"/>
  <c r="K62" i="36"/>
  <c r="F72" i="36"/>
  <c r="F82" i="36"/>
  <c r="K82" i="36"/>
  <c r="F96" i="36"/>
  <c r="K96" i="36"/>
  <c r="F100" i="36"/>
  <c r="K100" i="36"/>
  <c r="F109" i="36"/>
  <c r="K109" i="36"/>
  <c r="F117" i="36"/>
  <c r="K117" i="36"/>
  <c r="F129" i="36"/>
  <c r="K129" i="36"/>
  <c r="F136" i="36"/>
  <c r="K136" i="36"/>
  <c r="F77" i="36"/>
  <c r="K77" i="36"/>
  <c r="F49" i="36"/>
  <c r="K49" i="36"/>
  <c r="F74" i="36"/>
  <c r="K74" i="36"/>
  <c r="F89" i="36"/>
  <c r="K89" i="36"/>
  <c r="F68" i="36"/>
  <c r="K68" i="36"/>
  <c r="F78" i="36"/>
  <c r="K78" i="36"/>
  <c r="F83" i="36"/>
  <c r="K83" i="36"/>
  <c r="F106" i="36"/>
  <c r="K106" i="36"/>
  <c r="F114" i="36"/>
  <c r="K114" i="36"/>
  <c r="F118" i="36"/>
  <c r="K118" i="36"/>
  <c r="F122" i="36"/>
  <c r="K122" i="36"/>
  <c r="F137" i="36"/>
  <c r="K137" i="36"/>
  <c r="F102" i="36"/>
  <c r="K102" i="36"/>
  <c r="F70" i="36"/>
  <c r="K70" i="36"/>
  <c r="F85" i="36"/>
  <c r="K85" i="36"/>
  <c r="F90" i="36"/>
  <c r="K90" i="36"/>
  <c r="F95" i="36"/>
  <c r="K95" i="36"/>
  <c r="F112" i="36"/>
  <c r="K112" i="36"/>
  <c r="F120" i="36"/>
  <c r="K120" i="36"/>
  <c r="F124" i="36"/>
  <c r="K124" i="36"/>
  <c r="F128" i="36"/>
  <c r="K128" i="36"/>
  <c r="F29" i="36"/>
  <c r="K29" i="36"/>
  <c r="F134" i="36"/>
  <c r="K134" i="36"/>
  <c r="F5" i="36"/>
  <c r="K5" i="36"/>
  <c r="F38" i="36"/>
  <c r="K38" i="36"/>
  <c r="F67" i="36"/>
  <c r="K67" i="36"/>
  <c r="F86" i="36"/>
  <c r="K86" i="36"/>
  <c r="F91" i="36"/>
  <c r="K91" i="36"/>
  <c r="F105" i="36"/>
  <c r="K105" i="36"/>
  <c r="F121" i="36"/>
  <c r="K121" i="36"/>
  <c r="F125" i="36"/>
  <c r="K125" i="36"/>
  <c r="F73" i="36"/>
  <c r="K73" i="36"/>
  <c r="F81" i="36"/>
  <c r="K81" i="36"/>
  <c r="F116" i="36"/>
  <c r="K116" i="36"/>
  <c r="F46" i="36"/>
  <c r="K46" i="36"/>
  <c r="F52" i="36"/>
  <c r="K52" i="36"/>
  <c r="F24" i="36"/>
  <c r="K24" i="36"/>
  <c r="F23" i="36"/>
  <c r="K23" i="36"/>
  <c r="F40" i="36"/>
  <c r="K40" i="36"/>
  <c r="F45" i="36"/>
  <c r="K45" i="36"/>
  <c r="F55" i="36"/>
  <c r="K55" i="36"/>
  <c r="F59" i="36"/>
  <c r="K59" i="36"/>
  <c r="F80" i="36"/>
  <c r="K80" i="36"/>
  <c r="F84" i="36"/>
  <c r="K84" i="36"/>
  <c r="F88" i="36"/>
  <c r="K88" i="36"/>
  <c r="F94" i="36"/>
  <c r="K94" i="36"/>
  <c r="F98" i="36"/>
  <c r="K98" i="36"/>
  <c r="F115" i="36"/>
  <c r="K115" i="36"/>
  <c r="F127" i="36"/>
  <c r="F3" i="36"/>
  <c r="K3" i="36"/>
  <c r="F75" i="36"/>
  <c r="K75" i="36"/>
  <c r="F133" i="36"/>
  <c r="K133" i="36"/>
  <c r="K127" i="36"/>
  <c r="K72" i="36"/>
  <c r="D132" i="36"/>
  <c r="A31" i="36"/>
  <c r="B31" i="36"/>
  <c r="U581" i="10"/>
  <c r="U580" i="10"/>
  <c r="U559" i="10"/>
  <c r="U558" i="10"/>
  <c r="U557" i="10"/>
  <c r="U556" i="10"/>
  <c r="U555" i="10"/>
  <c r="U585" i="10"/>
  <c r="U583" i="10"/>
  <c r="U567" i="10"/>
  <c r="U564" i="10"/>
  <c r="U561" i="10"/>
  <c r="U552" i="10"/>
  <c r="U549" i="10"/>
  <c r="U554" i="10"/>
  <c r="U586" i="10"/>
  <c r="U582" i="10"/>
  <c r="U578" i="10"/>
  <c r="U577" i="10"/>
  <c r="U575" i="10"/>
  <c r="U572" i="10"/>
  <c r="U570" i="10"/>
  <c r="U568" i="10"/>
  <c r="U565" i="10"/>
  <c r="U562" i="10"/>
  <c r="U551" i="10"/>
  <c r="U548" i="10"/>
  <c r="U553" i="10"/>
  <c r="U584" i="10"/>
  <c r="U579" i="10"/>
  <c r="U576" i="10"/>
  <c r="U574" i="10"/>
  <c r="U573" i="10"/>
  <c r="U571" i="10"/>
  <c r="U569" i="10"/>
  <c r="U566" i="10"/>
  <c r="U563" i="10"/>
  <c r="U560" i="10"/>
  <c r="U550" i="10"/>
  <c r="U547" i="10"/>
  <c r="U536" i="10"/>
  <c r="U177" i="10"/>
  <c r="U167" i="10"/>
  <c r="U176" i="10"/>
  <c r="U220" i="10"/>
  <c r="U503" i="10"/>
  <c r="U494" i="10"/>
  <c r="U210" i="10"/>
  <c r="U205" i="10"/>
  <c r="U444" i="10"/>
  <c r="U186" i="10"/>
  <c r="U356" i="10"/>
  <c r="U345" i="10"/>
  <c r="U344" i="10"/>
  <c r="U342" i="10"/>
  <c r="U336" i="10"/>
  <c r="U337" i="10"/>
  <c r="U334" i="10"/>
  <c r="U197" i="10"/>
  <c r="U185" i="10"/>
  <c r="U369" i="10"/>
  <c r="U360" i="10"/>
  <c r="U350" i="10"/>
  <c r="U497" i="10"/>
  <c r="U479" i="10"/>
  <c r="U208" i="10"/>
  <c r="U413" i="10"/>
  <c r="U218" i="10"/>
  <c r="U372" i="10"/>
  <c r="U367" i="10"/>
  <c r="U365" i="10"/>
  <c r="U335" i="10"/>
  <c r="U125" i="10"/>
  <c r="U48" i="10"/>
  <c r="U195" i="10"/>
  <c r="U183" i="10"/>
  <c r="U347" i="10"/>
  <c r="U339" i="10"/>
  <c r="U325" i="10"/>
  <c r="U14" i="10"/>
  <c r="U50" i="10"/>
  <c r="U59" i="10"/>
  <c r="U38" i="10"/>
  <c r="U74" i="10"/>
  <c r="U105" i="10"/>
  <c r="U546" i="10"/>
  <c r="U542" i="10"/>
  <c r="U539" i="10"/>
  <c r="U535" i="10"/>
  <c r="U545" i="10"/>
  <c r="U543" i="10"/>
  <c r="U538" i="10"/>
  <c r="U534" i="10"/>
  <c r="U544" i="10"/>
  <c r="U537" i="10"/>
  <c r="U541" i="10"/>
  <c r="U540" i="10"/>
  <c r="D31" i="36"/>
  <c r="E31" i="36"/>
  <c r="J31" i="36"/>
  <c r="J138" i="36"/>
  <c r="I31" i="36"/>
  <c r="I138" i="36"/>
  <c r="G31" i="36"/>
  <c r="D149" i="36"/>
  <c r="F132" i="36"/>
  <c r="B138" i="36"/>
  <c r="U530" i="10"/>
  <c r="U526" i="10"/>
  <c r="U522" i="10"/>
  <c r="U64" i="10"/>
  <c r="U398" i="10"/>
  <c r="U154" i="10"/>
  <c r="U152" i="10"/>
  <c r="U151" i="10"/>
  <c r="U145" i="10"/>
  <c r="U140" i="10"/>
  <c r="U136" i="10"/>
  <c r="U133" i="10"/>
  <c r="U500" i="10"/>
  <c r="U128" i="10"/>
  <c r="U73" i="10"/>
  <c r="U498" i="10"/>
  <c r="U124" i="10"/>
  <c r="U120" i="10"/>
  <c r="U118" i="10"/>
  <c r="U114" i="10"/>
  <c r="U496" i="10"/>
  <c r="U393" i="10"/>
  <c r="U387" i="10"/>
  <c r="U382" i="10"/>
  <c r="U378" i="10"/>
  <c r="U377" i="10"/>
  <c r="U374" i="10"/>
  <c r="U370" i="10"/>
  <c r="U364" i="10"/>
  <c r="U362" i="10"/>
  <c r="U354" i="10"/>
  <c r="U351" i="10"/>
  <c r="U340" i="10"/>
  <c r="U332" i="10"/>
  <c r="U327" i="10"/>
  <c r="U331" i="10"/>
  <c r="U328" i="10"/>
  <c r="U326" i="10"/>
  <c r="U255" i="10"/>
  <c r="U107" i="10"/>
  <c r="U533" i="10"/>
  <c r="U529" i="10"/>
  <c r="U525" i="10"/>
  <c r="U521" i="10"/>
  <c r="U112" i="10"/>
  <c r="U163" i="10"/>
  <c r="U68" i="10"/>
  <c r="U157" i="10"/>
  <c r="U155" i="10"/>
  <c r="U148" i="10"/>
  <c r="U143" i="10"/>
  <c r="U139" i="10"/>
  <c r="U135" i="10"/>
  <c r="U131" i="10"/>
  <c r="U57" i="10"/>
  <c r="U219" i="10"/>
  <c r="U123" i="10"/>
  <c r="U117" i="10"/>
  <c r="U113" i="10"/>
  <c r="U495" i="10"/>
  <c r="U390" i="10"/>
  <c r="U386" i="10"/>
  <c r="U385" i="10"/>
  <c r="U381" i="10"/>
  <c r="U380" i="10"/>
  <c r="U363" i="10"/>
  <c r="U358" i="10"/>
  <c r="U353" i="10"/>
  <c r="U349" i="10"/>
  <c r="U323" i="10"/>
  <c r="U254" i="10"/>
  <c r="U320" i="10"/>
  <c r="U106" i="10"/>
  <c r="U104" i="10"/>
  <c r="U528" i="10"/>
  <c r="U520" i="10"/>
  <c r="U164" i="10"/>
  <c r="U149" i="10"/>
  <c r="U159" i="10"/>
  <c r="U156" i="10"/>
  <c r="U153" i="10"/>
  <c r="U147" i="10"/>
  <c r="U142" i="10"/>
  <c r="U134" i="10"/>
  <c r="U130" i="10"/>
  <c r="U122" i="10"/>
  <c r="U116" i="10"/>
  <c r="U395" i="10"/>
  <c r="U392" i="10"/>
  <c r="U389" i="10"/>
  <c r="U368" i="10"/>
  <c r="U361" i="10"/>
  <c r="U343" i="10"/>
  <c r="U330" i="10"/>
  <c r="U322" i="10"/>
  <c r="U109" i="10"/>
  <c r="U100" i="10"/>
  <c r="U490" i="10"/>
  <c r="U488" i="10"/>
  <c r="U484" i="10"/>
  <c r="U93" i="10"/>
  <c r="U318" i="10"/>
  <c r="U89" i="10"/>
  <c r="U316" i="10"/>
  <c r="U87" i="10"/>
  <c r="U96" i="10"/>
  <c r="U215" i="10"/>
  <c r="U211" i="10"/>
  <c r="U83" i="10"/>
  <c r="U80" i="10"/>
  <c r="U312" i="10"/>
  <c r="U311" i="10"/>
  <c r="U474" i="10"/>
  <c r="U307" i="10"/>
  <c r="U304" i="10"/>
  <c r="U67" i="10"/>
  <c r="U287" i="10"/>
  <c r="U200" i="10"/>
  <c r="U465" i="10"/>
  <c r="U285" i="10"/>
  <c r="U283" i="10"/>
  <c r="U527" i="10"/>
  <c r="U158" i="10"/>
  <c r="U506" i="10"/>
  <c r="U397" i="10"/>
  <c r="U146" i="10"/>
  <c r="U141" i="10"/>
  <c r="U129" i="10"/>
  <c r="U499" i="10"/>
  <c r="U121" i="10"/>
  <c r="U115" i="10"/>
  <c r="U394" i="10"/>
  <c r="U391" i="10"/>
  <c r="U388" i="10"/>
  <c r="U373" i="10"/>
  <c r="U359" i="10"/>
  <c r="U346" i="10"/>
  <c r="U341" i="10"/>
  <c r="U329" i="10"/>
  <c r="U492" i="10"/>
  <c r="U321" i="10"/>
  <c r="U103" i="10"/>
  <c r="U97" i="10"/>
  <c r="U486" i="10"/>
  <c r="U485" i="10"/>
  <c r="U92" i="10"/>
  <c r="U317" i="10"/>
  <c r="U483" i="10"/>
  <c r="U482" i="10"/>
  <c r="U85" i="10"/>
  <c r="U214" i="10"/>
  <c r="U82" i="10"/>
  <c r="U79" i="10"/>
  <c r="U478" i="10"/>
  <c r="U77" i="10"/>
  <c r="U209" i="10"/>
  <c r="U473" i="10"/>
  <c r="U71" i="10"/>
  <c r="U306" i="10"/>
  <c r="U470" i="10"/>
  <c r="U161" i="10"/>
  <c r="U66" i="10"/>
  <c r="U203" i="10"/>
  <c r="U199" i="10"/>
  <c r="U468" i="10"/>
  <c r="U464" i="10"/>
  <c r="U462" i="10"/>
  <c r="U460" i="10"/>
  <c r="U132" i="10"/>
  <c r="U455" i="10"/>
  <c r="U279" i="10"/>
  <c r="U532" i="10"/>
  <c r="U175" i="10"/>
  <c r="U34" i="10"/>
  <c r="U505" i="10"/>
  <c r="U144" i="10"/>
  <c r="U396" i="10"/>
  <c r="U126" i="10"/>
  <c r="U111" i="10"/>
  <c r="U384" i="10"/>
  <c r="U376" i="10"/>
  <c r="U366" i="10"/>
  <c r="U348" i="10"/>
  <c r="U253" i="10"/>
  <c r="U102" i="10"/>
  <c r="U487" i="10"/>
  <c r="U162" i="10"/>
  <c r="U86" i="10"/>
  <c r="U217" i="10"/>
  <c r="U84" i="10"/>
  <c r="U78" i="10"/>
  <c r="U76" i="10"/>
  <c r="U207" i="10"/>
  <c r="U472" i="10"/>
  <c r="U305" i="10"/>
  <c r="U160" i="10"/>
  <c r="U202" i="10"/>
  <c r="U467" i="10"/>
  <c r="U284" i="10"/>
  <c r="U461" i="10"/>
  <c r="U62" i="10"/>
  <c r="U456" i="10"/>
  <c r="U281" i="10"/>
  <c r="U58" i="10"/>
  <c r="U168" i="10"/>
  <c r="U449" i="10"/>
  <c r="U54" i="10"/>
  <c r="U51" i="10"/>
  <c r="U447" i="10"/>
  <c r="U43" i="10"/>
  <c r="U445" i="10"/>
  <c r="U433" i="10"/>
  <c r="U266" i="10"/>
  <c r="U429" i="10"/>
  <c r="U426" i="10"/>
  <c r="U423" i="10"/>
  <c r="U262" i="10"/>
  <c r="U258" i="10"/>
  <c r="U421" i="10"/>
  <c r="U418" i="10"/>
  <c r="U414" i="10"/>
  <c r="U412" i="10"/>
  <c r="U249" i="10"/>
  <c r="U65" i="10"/>
  <c r="U26" i="10"/>
  <c r="U300" i="10"/>
  <c r="U296" i="10"/>
  <c r="U293" i="10"/>
  <c r="U289" i="10"/>
  <c r="U23" i="10"/>
  <c r="U21" i="10"/>
  <c r="U18" i="10"/>
  <c r="U531" i="10"/>
  <c r="U108" i="10"/>
  <c r="U504" i="10"/>
  <c r="U110" i="10"/>
  <c r="U383" i="10"/>
  <c r="U375" i="10"/>
  <c r="U333" i="10"/>
  <c r="U491" i="10"/>
  <c r="U101" i="10"/>
  <c r="U319" i="10"/>
  <c r="U94" i="10"/>
  <c r="U481" i="10"/>
  <c r="U216" i="10"/>
  <c r="U313" i="10"/>
  <c r="U480" i="10"/>
  <c r="U75" i="10"/>
  <c r="U471" i="10"/>
  <c r="U204" i="10"/>
  <c r="U201" i="10"/>
  <c r="U466" i="10"/>
  <c r="U61" i="10"/>
  <c r="U282" i="10"/>
  <c r="U454" i="10"/>
  <c r="U453" i="10"/>
  <c r="U278" i="10"/>
  <c r="U53" i="10"/>
  <c r="U47" i="10"/>
  <c r="U46" i="10"/>
  <c r="U42" i="10"/>
  <c r="U434" i="10"/>
  <c r="U270" i="10"/>
  <c r="U268" i="10"/>
  <c r="U265" i="10"/>
  <c r="U428" i="10"/>
  <c r="U36" i="10"/>
  <c r="U263" i="10"/>
  <c r="U261" i="10"/>
  <c r="U257" i="10"/>
  <c r="U252" i="10"/>
  <c r="U417" i="10"/>
  <c r="U443" i="10"/>
  <c r="U411" i="10"/>
  <c r="U248" i="10"/>
  <c r="U29" i="10"/>
  <c r="U24" i="10"/>
  <c r="U524" i="10"/>
  <c r="U502" i="10"/>
  <c r="U138" i="10"/>
  <c r="U127" i="10"/>
  <c r="U493" i="10"/>
  <c r="U379" i="10"/>
  <c r="U357" i="10"/>
  <c r="U338" i="10"/>
  <c r="U99" i="10"/>
  <c r="U95" i="10"/>
  <c r="U91" i="10"/>
  <c r="U32" i="10"/>
  <c r="U88" i="10"/>
  <c r="U315" i="10"/>
  <c r="U213" i="10"/>
  <c r="U477" i="10"/>
  <c r="U310" i="10"/>
  <c r="U37" i="10"/>
  <c r="U469" i="10"/>
  <c r="U303" i="10"/>
  <c r="U286" i="10"/>
  <c r="U463" i="10"/>
  <c r="U459" i="10"/>
  <c r="U452" i="10"/>
  <c r="U277" i="10"/>
  <c r="U56" i="10"/>
  <c r="U52" i="10"/>
  <c r="U49" i="10"/>
  <c r="U448" i="10"/>
  <c r="U45" i="10"/>
  <c r="U44" i="10"/>
  <c r="U275" i="10"/>
  <c r="U41" i="10"/>
  <c r="U274" i="10"/>
  <c r="U442" i="10"/>
  <c r="U440" i="10"/>
  <c r="U271" i="10"/>
  <c r="U39" i="10"/>
  <c r="U267" i="10"/>
  <c r="U431" i="10"/>
  <c r="U427" i="10"/>
  <c r="U35" i="10"/>
  <c r="U260" i="10"/>
  <c r="U256" i="10"/>
  <c r="U251" i="10"/>
  <c r="U196" i="10"/>
  <c r="U416" i="10"/>
  <c r="U194" i="10"/>
  <c r="U31" i="10"/>
  <c r="U247" i="10"/>
  <c r="U28" i="10"/>
  <c r="U408" i="10"/>
  <c r="U407" i="10"/>
  <c r="U298" i="10"/>
  <c r="U294" i="10"/>
  <c r="U291" i="10"/>
  <c r="U190" i="10"/>
  <c r="U22" i="10"/>
  <c r="U523" i="10"/>
  <c r="U137" i="10"/>
  <c r="U90" i="10"/>
  <c r="U314" i="10"/>
  <c r="U309" i="10"/>
  <c r="U69" i="10"/>
  <c r="U280" i="10"/>
  <c r="U451" i="10"/>
  <c r="U40" i="10"/>
  <c r="U264" i="10"/>
  <c r="U422" i="10"/>
  <c r="U415" i="10"/>
  <c r="U27" i="10"/>
  <c r="U297" i="10"/>
  <c r="U189" i="10"/>
  <c r="U20" i="10"/>
  <c r="U244" i="10"/>
  <c r="U404" i="10"/>
  <c r="U241" i="10"/>
  <c r="U238" i="10"/>
  <c r="U12" i="10"/>
  <c r="U182" i="10"/>
  <c r="U402" i="10"/>
  <c r="U400" i="10"/>
  <c r="U226" i="10"/>
  <c r="U223" i="10"/>
  <c r="U272" i="10"/>
  <c r="U30" i="10"/>
  <c r="U405" i="10"/>
  <c r="U242" i="10"/>
  <c r="U11" i="10"/>
  <c r="U234" i="10"/>
  <c r="U72" i="10"/>
  <c r="U98" i="10"/>
  <c r="U212" i="10"/>
  <c r="U302" i="10"/>
  <c r="U458" i="10"/>
  <c r="U55" i="10"/>
  <c r="U166" i="10"/>
  <c r="U273" i="10"/>
  <c r="U269" i="10"/>
  <c r="U33" i="10"/>
  <c r="U193" i="10"/>
  <c r="U165" i="10"/>
  <c r="U295" i="10"/>
  <c r="U292" i="10"/>
  <c r="U246" i="10"/>
  <c r="U19" i="10"/>
  <c r="U15" i="10"/>
  <c r="U243" i="10"/>
  <c r="U188" i="10"/>
  <c r="U191" i="10"/>
  <c r="U236" i="10"/>
  <c r="U187" i="10"/>
  <c r="U233" i="10"/>
  <c r="U231" i="10"/>
  <c r="U228" i="10"/>
  <c r="U225" i="10"/>
  <c r="U222" i="10"/>
  <c r="U70" i="10"/>
  <c r="U355" i="10"/>
  <c r="U476" i="10"/>
  <c r="U259" i="10"/>
  <c r="U299" i="10"/>
  <c r="U16" i="10"/>
  <c r="U399" i="10"/>
  <c r="U227" i="10"/>
  <c r="U119" i="10"/>
  <c r="U371" i="10"/>
  <c r="U489" i="10"/>
  <c r="U81" i="10"/>
  <c r="U475" i="10"/>
  <c r="U60" i="10"/>
  <c r="U276" i="10"/>
  <c r="U441" i="10"/>
  <c r="U432" i="10"/>
  <c r="U420" i="10"/>
  <c r="U250" i="10"/>
  <c r="U301" i="10"/>
  <c r="U290" i="10"/>
  <c r="U245" i="10"/>
  <c r="U17" i="10"/>
  <c r="U406" i="10"/>
  <c r="U240" i="10"/>
  <c r="U237" i="10"/>
  <c r="U13" i="10"/>
  <c r="U403" i="10"/>
  <c r="U184" i="10"/>
  <c r="U235" i="10"/>
  <c r="U232" i="10"/>
  <c r="U230" i="10"/>
  <c r="U9" i="10"/>
  <c r="U224" i="10"/>
  <c r="U221" i="10"/>
  <c r="U150" i="10"/>
  <c r="U324" i="10"/>
  <c r="U308" i="10"/>
  <c r="U198" i="10"/>
  <c r="U430" i="10"/>
  <c r="U419" i="10"/>
  <c r="U288" i="10"/>
  <c r="U239" i="10"/>
  <c r="U10" i="10"/>
  <c r="U229" i="10"/>
  <c r="Y660" i="8"/>
  <c r="AA660" i="8"/>
  <c r="AM660" i="8"/>
  <c r="BU660" i="8"/>
  <c r="AN660" i="8"/>
  <c r="BV660" i="8"/>
  <c r="AL660" i="8"/>
  <c r="B141" i="36"/>
  <c r="B142" i="36"/>
  <c r="L148" i="36"/>
  <c r="L146" i="36"/>
  <c r="L147" i="36"/>
  <c r="L150" i="36"/>
  <c r="L149" i="36"/>
  <c r="L145" i="36"/>
  <c r="D148" i="36"/>
  <c r="I147" i="36"/>
  <c r="J150" i="36"/>
  <c r="E149" i="36"/>
  <c r="E150" i="36"/>
  <c r="J147" i="36"/>
  <c r="I149" i="36"/>
  <c r="J148" i="36"/>
  <c r="I146" i="36"/>
  <c r="I150" i="36"/>
  <c r="J145" i="36"/>
  <c r="E146" i="36"/>
  <c r="J146" i="36"/>
  <c r="J149" i="36"/>
  <c r="E147" i="36"/>
  <c r="I145" i="36"/>
  <c r="E148" i="36"/>
  <c r="E145" i="36"/>
  <c r="I148" i="36"/>
  <c r="F148" i="36"/>
  <c r="K148" i="36"/>
  <c r="I139" i="36"/>
  <c r="J139" i="36"/>
  <c r="K132" i="36"/>
  <c r="K149" i="36"/>
  <c r="F149" i="36"/>
  <c r="B139" i="36"/>
  <c r="E138" i="36"/>
  <c r="F31" i="36"/>
  <c r="K31" i="36"/>
  <c r="BJ588" i="10"/>
  <c r="BJ587" i="10"/>
  <c r="BG588" i="10"/>
  <c r="BG587" i="10"/>
  <c r="AT588" i="10"/>
  <c r="AT592" i="10"/>
  <c r="X588" i="10"/>
  <c r="O221" i="10"/>
  <c r="B221" i="10"/>
  <c r="BW660" i="8"/>
  <c r="J151" i="36"/>
  <c r="I151" i="36"/>
  <c r="L151" i="36"/>
  <c r="E151" i="36"/>
  <c r="BP660" i="8"/>
  <c r="E139" i="36"/>
  <c r="AI594" i="8"/>
  <c r="AI588" i="8"/>
  <c r="AI589" i="8"/>
  <c r="AI621" i="8"/>
  <c r="Y426" i="8"/>
  <c r="AA426" i="8"/>
  <c r="Y435" i="8"/>
  <c r="AA435" i="8"/>
  <c r="Y438" i="8"/>
  <c r="AA438" i="8"/>
  <c r="AA442" i="8"/>
  <c r="Y443" i="8"/>
  <c r="AA443" i="8"/>
  <c r="Y607" i="8"/>
  <c r="AA607" i="8"/>
  <c r="Y608" i="8"/>
  <c r="AA608" i="8"/>
  <c r="Y436" i="8"/>
  <c r="AA436" i="8"/>
  <c r="Y439" i="8"/>
  <c r="AA439" i="8"/>
  <c r="Y661" i="8"/>
  <c r="AA661" i="8"/>
  <c r="Y621" i="8"/>
  <c r="AA621" i="8"/>
  <c r="Y437" i="8"/>
  <c r="AA437" i="8"/>
  <c r="Y411" i="8"/>
  <c r="AA411" i="8"/>
  <c r="Y403" i="8"/>
  <c r="AA403" i="8"/>
  <c r="Y400" i="8"/>
  <c r="AA400" i="8"/>
  <c r="Y399" i="8"/>
  <c r="AA399" i="8"/>
  <c r="Y398" i="8"/>
  <c r="AA398" i="8"/>
  <c r="AT587" i="10"/>
  <c r="X587" i="10"/>
  <c r="AW588" i="8"/>
  <c r="BF588" i="8"/>
  <c r="AX588" i="8"/>
  <c r="BG588" i="8"/>
  <c r="AY588" i="8"/>
  <c r="BH588" i="8"/>
  <c r="AR588" i="8"/>
  <c r="AZ588" i="8"/>
  <c r="BI588" i="8"/>
  <c r="AS588" i="8"/>
  <c r="BA588" i="8"/>
  <c r="BJ588" i="8"/>
  <c r="AT588" i="8"/>
  <c r="BC588" i="8"/>
  <c r="BK588" i="8"/>
  <c r="AU588" i="8"/>
  <c r="BD588" i="8"/>
  <c r="BL588" i="8"/>
  <c r="AV588" i="8"/>
  <c r="BE588" i="8"/>
  <c r="AT594" i="8"/>
  <c r="BC594" i="8"/>
  <c r="BK594" i="8"/>
  <c r="AU594" i="8"/>
  <c r="BD594" i="8"/>
  <c r="BL594" i="8"/>
  <c r="AV594" i="8"/>
  <c r="BE594" i="8"/>
  <c r="AW594" i="8"/>
  <c r="BF594" i="8"/>
  <c r="AX594" i="8"/>
  <c r="BG594" i="8"/>
  <c r="AY594" i="8"/>
  <c r="BH594" i="8"/>
  <c r="AR594" i="8"/>
  <c r="AZ594" i="8"/>
  <c r="BI594" i="8"/>
  <c r="AS594" i="8"/>
  <c r="BA594" i="8"/>
  <c r="BJ594" i="8"/>
  <c r="AS621" i="8"/>
  <c r="BA621" i="8"/>
  <c r="BJ621" i="8"/>
  <c r="AT621" i="8"/>
  <c r="BC621" i="8"/>
  <c r="BK621" i="8"/>
  <c r="AU621" i="8"/>
  <c r="BD621" i="8"/>
  <c r="BL621" i="8"/>
  <c r="AV621" i="8"/>
  <c r="BE621" i="8"/>
  <c r="AW621" i="8"/>
  <c r="BF621" i="8"/>
  <c r="AX621" i="8"/>
  <c r="BG621" i="8"/>
  <c r="AY621" i="8"/>
  <c r="BH621" i="8"/>
  <c r="AR621" i="8"/>
  <c r="AZ621" i="8"/>
  <c r="BI621" i="8"/>
  <c r="AS589" i="8"/>
  <c r="BA589" i="8"/>
  <c r="BJ589" i="8"/>
  <c r="AT589" i="8"/>
  <c r="BC589" i="8"/>
  <c r="BK589" i="8"/>
  <c r="AU589" i="8"/>
  <c r="BD589" i="8"/>
  <c r="BL589" i="8"/>
  <c r="AV589" i="8"/>
  <c r="BE589" i="8"/>
  <c r="AW589" i="8"/>
  <c r="BF589" i="8"/>
  <c r="AX589" i="8"/>
  <c r="BG589" i="8"/>
  <c r="AY589" i="8"/>
  <c r="BH589" i="8"/>
  <c r="AR589" i="8"/>
  <c r="AZ589" i="8"/>
  <c r="BI589" i="8"/>
  <c r="AL621" i="8"/>
  <c r="AM621" i="8"/>
  <c r="BU621" i="8"/>
  <c r="AN621" i="8"/>
  <c r="BV621" i="8"/>
  <c r="AM608" i="8"/>
  <c r="BU608" i="8"/>
  <c r="AN608" i="8"/>
  <c r="BV608" i="8"/>
  <c r="AL608" i="8"/>
  <c r="AM661" i="8"/>
  <c r="BU661" i="8"/>
  <c r="AN661" i="8"/>
  <c r="BV661" i="8"/>
  <c r="AL661" i="8"/>
  <c r="AN607" i="8"/>
  <c r="BV607" i="8"/>
  <c r="AM607" i="8"/>
  <c r="BU607" i="8"/>
  <c r="AL607" i="8"/>
  <c r="J152" i="36"/>
  <c r="L152" i="36"/>
  <c r="I152" i="36"/>
  <c r="E152" i="36"/>
  <c r="AM403" i="8"/>
  <c r="AN403" i="8"/>
  <c r="AL443" i="8"/>
  <c r="AL398" i="8"/>
  <c r="AM400" i="8"/>
  <c r="AN400" i="8"/>
  <c r="AM442" i="8"/>
  <c r="AN442" i="8"/>
  <c r="AM426" i="8"/>
  <c r="AN426" i="8"/>
  <c r="AL439" i="8"/>
  <c r="AL435" i="8"/>
  <c r="AL437" i="8"/>
  <c r="AL399" i="8"/>
  <c r="AM438" i="8"/>
  <c r="AN438" i="8"/>
  <c r="AL436" i="8"/>
  <c r="AL411" i="8"/>
  <c r="AN411" i="8"/>
  <c r="AM411" i="8"/>
  <c r="AM439" i="8"/>
  <c r="AN439" i="8"/>
  <c r="AM435" i="8"/>
  <c r="AN435" i="8"/>
  <c r="AL442" i="8"/>
  <c r="AL426" i="8"/>
  <c r="AL403" i="8"/>
  <c r="AM399" i="8"/>
  <c r="AN399" i="8"/>
  <c r="AN398" i="8"/>
  <c r="AM398" i="8"/>
  <c r="AM437" i="8"/>
  <c r="AN437" i="8"/>
  <c r="AN436" i="8"/>
  <c r="AM436" i="8"/>
  <c r="AN443" i="8"/>
  <c r="AM443" i="8"/>
  <c r="AL438" i="8"/>
  <c r="AL400" i="8"/>
  <c r="Y639" i="8"/>
  <c r="AA639" i="8"/>
  <c r="AL862" i="8"/>
  <c r="Y396" i="8"/>
  <c r="AA396" i="8"/>
  <c r="Y440" i="8"/>
  <c r="AA440" i="8"/>
  <c r="AL440" i="8"/>
  <c r="Y427" i="8"/>
  <c r="AA427" i="8"/>
  <c r="Y656" i="8"/>
  <c r="AA656" i="8"/>
  <c r="Y395" i="8"/>
  <c r="AA395" i="8"/>
  <c r="Y651" i="8"/>
  <c r="AA651" i="8"/>
  <c r="Y413" i="8"/>
  <c r="AA413" i="8"/>
  <c r="Y420" i="8"/>
  <c r="AA420" i="8"/>
  <c r="Y594" i="8"/>
  <c r="AA594" i="8"/>
  <c r="Y619" i="8"/>
  <c r="AA619" i="8"/>
  <c r="Y397" i="8"/>
  <c r="AA397" i="8"/>
  <c r="Q164" i="10"/>
  <c r="O164" i="10"/>
  <c r="Q175" i="10"/>
  <c r="O175" i="10"/>
  <c r="Q163" i="10"/>
  <c r="Q112" i="10"/>
  <c r="O112" i="10"/>
  <c r="O163" i="10"/>
  <c r="O149" i="10"/>
  <c r="Q149" i="10"/>
  <c r="O68" i="10"/>
  <c r="Q68" i="10"/>
  <c r="O34" i="10"/>
  <c r="Q34" i="10"/>
  <c r="O108" i="10"/>
  <c r="Q108" i="10"/>
  <c r="Q64" i="10"/>
  <c r="O64" i="10"/>
  <c r="BN589" i="8"/>
  <c r="BO588" i="8"/>
  <c r="BO594" i="8"/>
  <c r="BO621" i="8"/>
  <c r="BN594" i="8"/>
  <c r="BN588" i="8"/>
  <c r="BN621" i="8"/>
  <c r="BO589" i="8"/>
  <c r="BL149" i="10"/>
  <c r="BX149" i="10"/>
  <c r="BL175" i="10"/>
  <c r="BX175" i="10"/>
  <c r="BL34" i="10"/>
  <c r="BX34" i="10"/>
  <c r="BL112" i="10"/>
  <c r="BX112" i="10"/>
  <c r="BL163" i="10"/>
  <c r="BX163" i="10"/>
  <c r="BL164" i="10"/>
  <c r="BX164" i="10"/>
  <c r="BL64" i="10"/>
  <c r="BX64" i="10"/>
  <c r="BL108" i="10"/>
  <c r="BX108" i="10"/>
  <c r="BL68" i="10"/>
  <c r="BX68" i="10"/>
  <c r="BW608" i="8"/>
  <c r="BW607" i="8"/>
  <c r="BW661" i="8"/>
  <c r="AN656" i="8"/>
  <c r="BV656" i="8"/>
  <c r="AM656" i="8"/>
  <c r="BU656" i="8"/>
  <c r="AL656" i="8"/>
  <c r="AN639" i="8"/>
  <c r="BV639" i="8"/>
  <c r="AM639" i="8"/>
  <c r="AL639" i="8"/>
  <c r="AN427" i="8"/>
  <c r="BV427" i="8"/>
  <c r="AM427" i="8"/>
  <c r="BU427" i="8"/>
  <c r="AL427" i="8"/>
  <c r="AM619" i="8"/>
  <c r="BU619" i="8"/>
  <c r="AN619" i="8"/>
  <c r="BV619" i="8"/>
  <c r="AL619" i="8"/>
  <c r="AM651" i="8"/>
  <c r="BU651" i="8"/>
  <c r="AN651" i="8"/>
  <c r="BV651" i="8"/>
  <c r="AL651" i="8"/>
  <c r="AM594" i="8"/>
  <c r="BU594" i="8"/>
  <c r="AN594" i="8"/>
  <c r="BV594" i="8"/>
  <c r="AL594" i="8"/>
  <c r="AR108" i="10"/>
  <c r="BM108" i="10"/>
  <c r="AR68" i="10"/>
  <c r="BM68" i="10"/>
  <c r="AR149" i="10"/>
  <c r="BM149" i="10"/>
  <c r="AR112" i="10"/>
  <c r="BM112" i="10"/>
  <c r="AR34" i="10"/>
  <c r="BM34" i="10"/>
  <c r="AR64" i="10"/>
  <c r="BM64" i="10"/>
  <c r="BM163" i="10"/>
  <c r="AR175" i="10"/>
  <c r="BM175" i="10"/>
  <c r="AR164" i="10"/>
  <c r="BM164" i="10"/>
  <c r="BD164" i="10"/>
  <c r="BK164" i="10"/>
  <c r="BE164" i="10"/>
  <c r="BF164" i="10"/>
  <c r="BD108" i="10"/>
  <c r="BK108" i="10"/>
  <c r="BE108" i="10"/>
  <c r="BF108" i="10"/>
  <c r="BD68" i="10"/>
  <c r="BK68" i="10"/>
  <c r="BE68" i="10"/>
  <c r="BF68" i="10"/>
  <c r="BD149" i="10"/>
  <c r="BK149" i="10"/>
  <c r="BE149" i="10"/>
  <c r="BF149" i="10"/>
  <c r="BD112" i="10"/>
  <c r="BK112" i="10"/>
  <c r="BE112" i="10"/>
  <c r="BF112" i="10"/>
  <c r="BD163" i="10"/>
  <c r="BK163" i="10"/>
  <c r="BE163" i="10"/>
  <c r="BF163" i="10"/>
  <c r="BD175" i="10"/>
  <c r="BK175" i="10"/>
  <c r="BE175" i="10"/>
  <c r="BF175" i="10"/>
  <c r="BD64" i="10"/>
  <c r="BK64" i="10"/>
  <c r="BE64" i="10"/>
  <c r="BF64" i="10"/>
  <c r="BD34" i="10"/>
  <c r="BK34" i="10"/>
  <c r="BE34" i="10"/>
  <c r="BF34" i="10"/>
  <c r="E183" i="23"/>
  <c r="AM420" i="8"/>
  <c r="AN420" i="8"/>
  <c r="AL420" i="8"/>
  <c r="AM397" i="8"/>
  <c r="AN397" i="8"/>
  <c r="AM413" i="8"/>
  <c r="AN413" i="8"/>
  <c r="AN396" i="8"/>
  <c r="AM396" i="8"/>
  <c r="AL397" i="8"/>
  <c r="AL413" i="8"/>
  <c r="AL396" i="8"/>
  <c r="J183" i="23"/>
  <c r="L183" i="23"/>
  <c r="F192" i="23"/>
  <c r="F183" i="23"/>
  <c r="K183" i="23"/>
  <c r="AM440" i="8"/>
  <c r="AN440" i="8"/>
  <c r="AM395" i="8"/>
  <c r="AN395" i="8"/>
  <c r="AL395" i="8"/>
  <c r="G183" i="23"/>
  <c r="F197" i="23"/>
  <c r="N201" i="23"/>
  <c r="J197" i="23"/>
  <c r="E197" i="23"/>
  <c r="L194" i="23"/>
  <c r="Y415" i="8"/>
  <c r="AA415" i="8"/>
  <c r="I204" i="23"/>
  <c r="K204" i="23"/>
  <c r="M204" i="23"/>
  <c r="G196" i="23"/>
  <c r="L204" i="23"/>
  <c r="K196" i="23"/>
  <c r="K203" i="23"/>
  <c r="H200" i="23"/>
  <c r="N195" i="23"/>
  <c r="M203" i="23"/>
  <c r="E203" i="23"/>
  <c r="L201" i="23"/>
  <c r="H201" i="23"/>
  <c r="K200" i="23"/>
  <c r="E200" i="23"/>
  <c r="J198" i="23"/>
  <c r="E198" i="23"/>
  <c r="K193" i="23"/>
  <c r="L191" i="23"/>
  <c r="M200" i="23"/>
  <c r="G193" i="23"/>
  <c r="H191" i="23"/>
  <c r="N203" i="23"/>
  <c r="J203" i="23"/>
  <c r="F203" i="23"/>
  <c r="M201" i="23"/>
  <c r="I201" i="23"/>
  <c r="E201" i="23"/>
  <c r="L200" i="23"/>
  <c r="F198" i="23"/>
  <c r="G195" i="23"/>
  <c r="F193" i="23"/>
  <c r="G191" i="23"/>
  <c r="H204" i="23"/>
  <c r="E202" i="23"/>
  <c r="I202" i="23"/>
  <c r="F200" i="23"/>
  <c r="J200" i="23"/>
  <c r="G198" i="23"/>
  <c r="K198" i="23"/>
  <c r="L196" i="23"/>
  <c r="M194" i="23"/>
  <c r="H193" i="23"/>
  <c r="L193" i="23"/>
  <c r="E193" i="23"/>
  <c r="M193" i="23"/>
  <c r="I191" i="23"/>
  <c r="M191" i="23"/>
  <c r="J191" i="23"/>
  <c r="K197" i="23"/>
  <c r="L195" i="23"/>
  <c r="H195" i="23"/>
  <c r="O225" i="10"/>
  <c r="O226" i="10"/>
  <c r="O227" i="10"/>
  <c r="O9" i="10"/>
  <c r="O228" i="10"/>
  <c r="O229" i="10"/>
  <c r="O230" i="10"/>
  <c r="O231" i="10"/>
  <c r="O399" i="10"/>
  <c r="O232" i="10"/>
  <c r="O233" i="10"/>
  <c r="O400" i="10"/>
  <c r="O234" i="10"/>
  <c r="O402" i="10"/>
  <c r="O10" i="10"/>
  <c r="O235" i="10"/>
  <c r="O182" i="10"/>
  <c r="O184" i="10"/>
  <c r="Q184" i="10"/>
  <c r="O187" i="10"/>
  <c r="Q187" i="10"/>
  <c r="O11" i="10"/>
  <c r="O12" i="10"/>
  <c r="O13" i="10"/>
  <c r="O242" i="10"/>
  <c r="O404" i="10"/>
  <c r="O15" i="10"/>
  <c r="O16" i="10"/>
  <c r="O17" i="10"/>
  <c r="O18" i="10"/>
  <c r="O21" i="10"/>
  <c r="O23" i="10"/>
  <c r="O189" i="10"/>
  <c r="O190" i="10"/>
  <c r="Q190" i="10"/>
  <c r="O290" i="10"/>
  <c r="O291" i="10"/>
  <c r="O296" i="10"/>
  <c r="O297" i="10"/>
  <c r="O407" i="10"/>
  <c r="O144" i="10"/>
  <c r="O24" i="10"/>
  <c r="O25" i="10"/>
  <c r="O26" i="10"/>
  <c r="O27" i="10"/>
  <c r="O28" i="10"/>
  <c r="O29" i="10"/>
  <c r="O31" i="10"/>
  <c r="O412" i="10"/>
  <c r="O193" i="10"/>
  <c r="O194" i="10"/>
  <c r="Q194" i="10"/>
  <c r="O443" i="10"/>
  <c r="O415" i="10"/>
  <c r="O416" i="10"/>
  <c r="O196" i="10"/>
  <c r="O422" i="10"/>
  <c r="O423" i="10"/>
  <c r="O33" i="10"/>
  <c r="O430" i="10"/>
  <c r="O433" i="10"/>
  <c r="O434" i="10"/>
  <c r="O440" i="10"/>
  <c r="O441" i="10"/>
  <c r="O40" i="10"/>
  <c r="O44" i="10"/>
  <c r="O45" i="10"/>
  <c r="O46" i="10"/>
  <c r="O448" i="10"/>
  <c r="O53" i="10"/>
  <c r="O47" i="10"/>
  <c r="O49" i="10"/>
  <c r="O51" i="10"/>
  <c r="O52" i="10"/>
  <c r="O54" i="10"/>
  <c r="O449" i="10"/>
  <c r="O451" i="10"/>
  <c r="O452" i="10"/>
  <c r="O58" i="10"/>
  <c r="O455" i="10"/>
  <c r="O198" i="10"/>
  <c r="O60" i="10"/>
  <c r="O132" i="10"/>
  <c r="O61" i="10"/>
  <c r="O62" i="10"/>
  <c r="O283" i="10"/>
  <c r="O458" i="10"/>
  <c r="O459" i="10"/>
  <c r="Q459" i="10"/>
  <c r="O460" i="10"/>
  <c r="O63" i="10"/>
  <c r="O461" i="10"/>
  <c r="O462" i="10"/>
  <c r="Q462" i="10"/>
  <c r="O165" i="10"/>
  <c r="O285" i="10"/>
  <c r="O463" i="10"/>
  <c r="O464" i="10"/>
  <c r="O465" i="10"/>
  <c r="O466" i="10"/>
  <c r="O467" i="10"/>
  <c r="O468" i="10"/>
  <c r="Q468" i="10"/>
  <c r="O199" i="10"/>
  <c r="O200" i="10"/>
  <c r="O201" i="10"/>
  <c r="O202" i="10"/>
  <c r="O67" i="10"/>
  <c r="O160" i="10"/>
  <c r="O161" i="10"/>
  <c r="Q161" i="10"/>
  <c r="O69" i="10"/>
  <c r="O469" i="10"/>
  <c r="O470" i="10"/>
  <c r="O204" i="10"/>
  <c r="O71" i="10"/>
  <c r="O475" i="10"/>
  <c r="O37" i="10"/>
  <c r="O207" i="10"/>
  <c r="O476" i="10"/>
  <c r="O477" i="10"/>
  <c r="O478" i="10"/>
  <c r="O480" i="10"/>
  <c r="O80" i="10"/>
  <c r="O81" i="10"/>
  <c r="O83" i="10"/>
  <c r="O84" i="10"/>
  <c r="O211" i="10"/>
  <c r="O212" i="10"/>
  <c r="Q212" i="10"/>
  <c r="O213" i="10"/>
  <c r="O214" i="10"/>
  <c r="Q214" i="10"/>
  <c r="O215" i="10"/>
  <c r="O216" i="10"/>
  <c r="Q216" i="10"/>
  <c r="O217" i="10"/>
  <c r="O85" i="10"/>
  <c r="O96" i="10"/>
  <c r="O481" i="10"/>
  <c r="O484" i="10"/>
  <c r="O86" i="10"/>
  <c r="O87" i="10"/>
  <c r="O88" i="10"/>
  <c r="O162" i="10"/>
  <c r="O485" i="10"/>
  <c r="O32" i="10"/>
  <c r="O482" i="10"/>
  <c r="O89" i="10"/>
  <c r="O317" i="10"/>
  <c r="O318" i="10"/>
  <c r="O90" i="10"/>
  <c r="O91" i="10"/>
  <c r="O92" i="10"/>
  <c r="O93" i="10"/>
  <c r="O94" i="10"/>
  <c r="O487" i="10"/>
  <c r="O486" i="10"/>
  <c r="O488" i="10"/>
  <c r="O95" i="10"/>
  <c r="O489" i="10"/>
  <c r="O490" i="10"/>
  <c r="Q490" i="10"/>
  <c r="O106" i="10"/>
  <c r="O97" i="10"/>
  <c r="O99" i="10"/>
  <c r="O107" i="10"/>
  <c r="O109" i="10"/>
  <c r="O253" i="10"/>
  <c r="O254" i="10"/>
  <c r="O255" i="10"/>
  <c r="O321" i="10"/>
  <c r="O322" i="10"/>
  <c r="O323" i="10"/>
  <c r="O324" i="10"/>
  <c r="O492" i="10"/>
  <c r="O328" i="10"/>
  <c r="O329" i="10"/>
  <c r="O330" i="10"/>
  <c r="O331" i="10"/>
  <c r="O327" i="10"/>
  <c r="O332" i="10"/>
  <c r="O333" i="10"/>
  <c r="O338" i="10"/>
  <c r="O340" i="10"/>
  <c r="O341" i="10"/>
  <c r="O343" i="10"/>
  <c r="O346" i="10"/>
  <c r="O348" i="10"/>
  <c r="O349" i="10"/>
  <c r="O351" i="10"/>
  <c r="O352" i="10"/>
  <c r="O353" i="10"/>
  <c r="O354" i="10"/>
  <c r="Q354" i="10"/>
  <c r="O355" i="10"/>
  <c r="O357" i="10"/>
  <c r="O358" i="10"/>
  <c r="Q358" i="10"/>
  <c r="O362" i="10"/>
  <c r="Q362" i="10"/>
  <c r="O359" i="10"/>
  <c r="O361" i="10"/>
  <c r="O363" i="10"/>
  <c r="O364" i="10"/>
  <c r="O366" i="10"/>
  <c r="O368" i="10"/>
  <c r="O370" i="10"/>
  <c r="O371" i="10"/>
  <c r="O373" i="10"/>
  <c r="O374" i="10"/>
  <c r="O375" i="10"/>
  <c r="Q375" i="10"/>
  <c r="O376" i="10"/>
  <c r="O377" i="10"/>
  <c r="O378" i="10"/>
  <c r="O379" i="10"/>
  <c r="O380" i="10"/>
  <c r="O381" i="10"/>
  <c r="O382" i="10"/>
  <c r="O383" i="10"/>
  <c r="O384" i="10"/>
  <c r="O385" i="10"/>
  <c r="O386" i="10"/>
  <c r="O387" i="10"/>
  <c r="O388" i="10"/>
  <c r="O389" i="10"/>
  <c r="O390" i="10"/>
  <c r="O391" i="10"/>
  <c r="O392" i="10"/>
  <c r="O70" i="10"/>
  <c r="O493" i="10"/>
  <c r="O496" i="10"/>
  <c r="O110" i="10"/>
  <c r="O111" i="10"/>
  <c r="O113" i="10"/>
  <c r="O115" i="10"/>
  <c r="O117" i="10"/>
  <c r="O120" i="10"/>
  <c r="O121" i="10"/>
  <c r="O122" i="10"/>
  <c r="O123" i="10"/>
  <c r="O124" i="10"/>
  <c r="O126" i="10"/>
  <c r="O219" i="10"/>
  <c r="O498" i="10"/>
  <c r="O499" i="10"/>
  <c r="O73" i="10"/>
  <c r="O72" i="10"/>
  <c r="O127" i="10"/>
  <c r="O57" i="10"/>
  <c r="O128" i="10"/>
  <c r="O129" i="10"/>
  <c r="O500" i="10"/>
  <c r="O134" i="10"/>
  <c r="O135" i="10"/>
  <c r="O140" i="10"/>
  <c r="O147" i="10"/>
  <c r="O148" i="10"/>
  <c r="O151" i="10"/>
  <c r="O150" i="10"/>
  <c r="O502" i="10"/>
  <c r="O152" i="10"/>
  <c r="O153" i="10"/>
  <c r="O504" i="10"/>
  <c r="O505" i="10"/>
  <c r="O154" i="10"/>
  <c r="O506" i="10"/>
  <c r="O156" i="10"/>
  <c r="Q156" i="10"/>
  <c r="O157" i="10"/>
  <c r="O158" i="10"/>
  <c r="O159" i="10"/>
  <c r="O222" i="10"/>
  <c r="O223" i="10"/>
  <c r="O224" i="10"/>
  <c r="E184" i="23"/>
  <c r="F184" i="23"/>
  <c r="G184" i="23"/>
  <c r="H184" i="23"/>
  <c r="I184" i="23"/>
  <c r="J184" i="23"/>
  <c r="K184" i="23"/>
  <c r="L184" i="23"/>
  <c r="M184" i="23"/>
  <c r="N184" i="23"/>
  <c r="E185" i="23"/>
  <c r="F185" i="23"/>
  <c r="G185" i="23"/>
  <c r="H185" i="23"/>
  <c r="I185" i="23"/>
  <c r="J185" i="23"/>
  <c r="K185" i="23"/>
  <c r="L185" i="23"/>
  <c r="M185" i="23"/>
  <c r="N185" i="23"/>
  <c r="E186" i="23"/>
  <c r="F186" i="23"/>
  <c r="G186" i="23"/>
  <c r="H186" i="23"/>
  <c r="I186" i="23"/>
  <c r="J186" i="23"/>
  <c r="K186" i="23"/>
  <c r="L186" i="23"/>
  <c r="M186" i="23"/>
  <c r="N186" i="23"/>
  <c r="E187" i="23"/>
  <c r="F187" i="23"/>
  <c r="G187" i="23"/>
  <c r="H187" i="23"/>
  <c r="I187" i="23"/>
  <c r="J187" i="23"/>
  <c r="K187" i="23"/>
  <c r="L187" i="23"/>
  <c r="M187" i="23"/>
  <c r="N187" i="23"/>
  <c r="E188" i="23"/>
  <c r="F188" i="23"/>
  <c r="G188" i="23"/>
  <c r="H188" i="23"/>
  <c r="I188" i="23"/>
  <c r="J188" i="23"/>
  <c r="K188" i="23"/>
  <c r="L188" i="23"/>
  <c r="M188" i="23"/>
  <c r="N188" i="23"/>
  <c r="E191" i="23"/>
  <c r="F191" i="23"/>
  <c r="K191" i="23"/>
  <c r="N191" i="23"/>
  <c r="I193" i="23"/>
  <c r="J193" i="23"/>
  <c r="N193" i="23"/>
  <c r="E194" i="23"/>
  <c r="F194" i="23"/>
  <c r="G194" i="23"/>
  <c r="H194" i="23"/>
  <c r="I194" i="23"/>
  <c r="J194" i="23"/>
  <c r="K194" i="23"/>
  <c r="N194" i="23"/>
  <c r="E195" i="23"/>
  <c r="F195" i="23"/>
  <c r="I195" i="23"/>
  <c r="J195" i="23"/>
  <c r="K195" i="23"/>
  <c r="M195" i="23"/>
  <c r="E196" i="23"/>
  <c r="F196" i="23"/>
  <c r="I196" i="23"/>
  <c r="J196" i="23"/>
  <c r="M196" i="23"/>
  <c r="N196" i="23"/>
  <c r="G197" i="23"/>
  <c r="H197" i="23"/>
  <c r="I197" i="23"/>
  <c r="L197" i="23"/>
  <c r="M197" i="23"/>
  <c r="N197" i="23"/>
  <c r="H198" i="23"/>
  <c r="I198" i="23"/>
  <c r="L198" i="23"/>
  <c r="M198" i="23"/>
  <c r="N198" i="23"/>
  <c r="G200" i="23"/>
  <c r="I200" i="23"/>
  <c r="N200" i="23"/>
  <c r="F201" i="23"/>
  <c r="G201" i="23"/>
  <c r="J201" i="23"/>
  <c r="K201" i="23"/>
  <c r="F202" i="23"/>
  <c r="G202" i="23"/>
  <c r="H202" i="23"/>
  <c r="J202" i="23"/>
  <c r="K202" i="23"/>
  <c r="L202" i="23"/>
  <c r="M202" i="23"/>
  <c r="N202" i="23"/>
  <c r="G203" i="23"/>
  <c r="H203" i="23"/>
  <c r="I203" i="23"/>
  <c r="L203" i="23"/>
  <c r="E204" i="23"/>
  <c r="F204" i="23"/>
  <c r="G204" i="23"/>
  <c r="J204" i="23"/>
  <c r="N204" i="23"/>
  <c r="E205" i="23"/>
  <c r="F205" i="23"/>
  <c r="G205" i="23"/>
  <c r="H205" i="23"/>
  <c r="I205" i="23"/>
  <c r="J205" i="23"/>
  <c r="K205" i="23"/>
  <c r="L205" i="23"/>
  <c r="M205" i="23"/>
  <c r="N205" i="23"/>
  <c r="E206" i="23"/>
  <c r="F206" i="23"/>
  <c r="G206" i="23"/>
  <c r="H206" i="23"/>
  <c r="I206" i="23"/>
  <c r="J206" i="23"/>
  <c r="K206" i="23"/>
  <c r="L206" i="23"/>
  <c r="M206" i="23"/>
  <c r="N206" i="23"/>
  <c r="E207" i="23"/>
  <c r="F207" i="23"/>
  <c r="G207" i="23"/>
  <c r="H207" i="23"/>
  <c r="I207" i="23"/>
  <c r="J207" i="23"/>
  <c r="K207" i="23"/>
  <c r="L207" i="23"/>
  <c r="M207" i="23"/>
  <c r="N207" i="23"/>
  <c r="E208" i="23"/>
  <c r="F208" i="23"/>
  <c r="G208" i="23"/>
  <c r="H208" i="23"/>
  <c r="I208" i="23"/>
  <c r="J208" i="23"/>
  <c r="K208" i="23"/>
  <c r="L208" i="23"/>
  <c r="M208" i="23"/>
  <c r="N208" i="23"/>
  <c r="E209" i="23"/>
  <c r="F209" i="23"/>
  <c r="G209" i="23"/>
  <c r="H209" i="23"/>
  <c r="I209" i="23"/>
  <c r="J209" i="23"/>
  <c r="K209" i="23"/>
  <c r="L209" i="23"/>
  <c r="M209" i="23"/>
  <c r="N209" i="23"/>
  <c r="E210" i="23"/>
  <c r="F210" i="23"/>
  <c r="G210" i="23"/>
  <c r="H210" i="23"/>
  <c r="I210" i="23"/>
  <c r="J210" i="23"/>
  <c r="K210" i="23"/>
  <c r="L210" i="23"/>
  <c r="M210" i="23"/>
  <c r="N210" i="23"/>
  <c r="E211" i="23"/>
  <c r="F211" i="23"/>
  <c r="G211" i="23"/>
  <c r="H211" i="23"/>
  <c r="I211" i="23"/>
  <c r="J211" i="23"/>
  <c r="K211" i="23"/>
  <c r="L211" i="23"/>
  <c r="M211" i="23"/>
  <c r="N211" i="23"/>
  <c r="E212" i="23"/>
  <c r="F212" i="23"/>
  <c r="G212" i="23"/>
  <c r="H212" i="23"/>
  <c r="I212" i="23"/>
  <c r="J212" i="23"/>
  <c r="K212" i="23"/>
  <c r="L212" i="23"/>
  <c r="M212" i="23"/>
  <c r="N212" i="23"/>
  <c r="E213" i="23"/>
  <c r="F213" i="23"/>
  <c r="G213" i="23"/>
  <c r="H213" i="23"/>
  <c r="I213" i="23"/>
  <c r="J213" i="23"/>
  <c r="K213" i="23"/>
  <c r="L213" i="23"/>
  <c r="M213" i="23"/>
  <c r="N213" i="23"/>
  <c r="E214" i="23"/>
  <c r="F214" i="23"/>
  <c r="G214" i="23"/>
  <c r="H214" i="23"/>
  <c r="I214" i="23"/>
  <c r="J214" i="23"/>
  <c r="K214" i="23"/>
  <c r="L214" i="23"/>
  <c r="M214" i="23"/>
  <c r="N214" i="23"/>
  <c r="E215" i="23"/>
  <c r="F215" i="23"/>
  <c r="G215" i="23"/>
  <c r="H215" i="23"/>
  <c r="I215" i="23"/>
  <c r="J215" i="23"/>
  <c r="K215" i="23"/>
  <c r="L215" i="23"/>
  <c r="M215" i="23"/>
  <c r="N215" i="23"/>
  <c r="E216" i="23"/>
  <c r="F216" i="23"/>
  <c r="G216" i="23"/>
  <c r="H216" i="23"/>
  <c r="I216" i="23"/>
  <c r="J216" i="23"/>
  <c r="K216" i="23"/>
  <c r="L216" i="23"/>
  <c r="M216" i="23"/>
  <c r="N216" i="23"/>
  <c r="E217" i="23"/>
  <c r="F217" i="23"/>
  <c r="G217" i="23"/>
  <c r="H217" i="23"/>
  <c r="I217" i="23"/>
  <c r="J217" i="23"/>
  <c r="K217" i="23"/>
  <c r="L217" i="23"/>
  <c r="M217" i="23"/>
  <c r="N217" i="23"/>
  <c r="E218" i="23"/>
  <c r="F218" i="23"/>
  <c r="G218" i="23"/>
  <c r="H218" i="23"/>
  <c r="I218" i="23"/>
  <c r="J218" i="23"/>
  <c r="K218" i="23"/>
  <c r="L218" i="23"/>
  <c r="M218" i="23"/>
  <c r="N218" i="23"/>
  <c r="BL459" i="10"/>
  <c r="BX459" i="10"/>
  <c r="BL418" i="10"/>
  <c r="BX418" i="10"/>
  <c r="BL194" i="10"/>
  <c r="BX194" i="10"/>
  <c r="BL375" i="10"/>
  <c r="BX375" i="10"/>
  <c r="BL362" i="10"/>
  <c r="BX362" i="10"/>
  <c r="BL216" i="10"/>
  <c r="BX216" i="10"/>
  <c r="BL161" i="10"/>
  <c r="BX161" i="10"/>
  <c r="BL468" i="10"/>
  <c r="BX468" i="10"/>
  <c r="BL187" i="10"/>
  <c r="BX187" i="10"/>
  <c r="BL490" i="10"/>
  <c r="BX490" i="10"/>
  <c r="BL417" i="10"/>
  <c r="BX417" i="10"/>
  <c r="BL190" i="10"/>
  <c r="BX190" i="10"/>
  <c r="BL184" i="10"/>
  <c r="BX184" i="10"/>
  <c r="BL156" i="10"/>
  <c r="BX156" i="10"/>
  <c r="BL214" i="10"/>
  <c r="BX214" i="10"/>
  <c r="BL358" i="10"/>
  <c r="BX358" i="10"/>
  <c r="BL354" i="10"/>
  <c r="BX354" i="10"/>
  <c r="BL212" i="10"/>
  <c r="BX212" i="10"/>
  <c r="BL462" i="10"/>
  <c r="BX462" i="10"/>
  <c r="BU639" i="8"/>
  <c r="BW639" i="8"/>
  <c r="AM862" i="8"/>
  <c r="AM863" i="8"/>
  <c r="AM864" i="8"/>
  <c r="BT594" i="8"/>
  <c r="BW594" i="8"/>
  <c r="BT589" i="8"/>
  <c r="BT588" i="8"/>
  <c r="BT621" i="8"/>
  <c r="BW621" i="8"/>
  <c r="BW656" i="8"/>
  <c r="BW427" i="8"/>
  <c r="BW619" i="8"/>
  <c r="BW651" i="8"/>
  <c r="BM212" i="10"/>
  <c r="BM190" i="10"/>
  <c r="AR158" i="10"/>
  <c r="AR154" i="10"/>
  <c r="AR140" i="10"/>
  <c r="AR120" i="10"/>
  <c r="AR371" i="10"/>
  <c r="AR361" i="10"/>
  <c r="AR106" i="10"/>
  <c r="AR482" i="10"/>
  <c r="AR81" i="10"/>
  <c r="AR71" i="10"/>
  <c r="AR200" i="10"/>
  <c r="AR40" i="10"/>
  <c r="AR17" i="10"/>
  <c r="AR506" i="10"/>
  <c r="AR153" i="10"/>
  <c r="AR147" i="10"/>
  <c r="AR135" i="10"/>
  <c r="AR57" i="10"/>
  <c r="AR219" i="10"/>
  <c r="AR117" i="10"/>
  <c r="AR113" i="10"/>
  <c r="AR390" i="10"/>
  <c r="AR386" i="10"/>
  <c r="AR385" i="10"/>
  <c r="AR381" i="10"/>
  <c r="AR380" i="10"/>
  <c r="AR374" i="10"/>
  <c r="AR370" i="10"/>
  <c r="AR359" i="10"/>
  <c r="AR358" i="10"/>
  <c r="BM358" i="10"/>
  <c r="AR354" i="10"/>
  <c r="BM354" i="10"/>
  <c r="AR340" i="10"/>
  <c r="AR329" i="10"/>
  <c r="AR492" i="10"/>
  <c r="AR323" i="10"/>
  <c r="AR254" i="10"/>
  <c r="AR107" i="10"/>
  <c r="AR97" i="10"/>
  <c r="AR95" i="10"/>
  <c r="AR92" i="10"/>
  <c r="AR86" i="10"/>
  <c r="BM214" i="10"/>
  <c r="AR83" i="10"/>
  <c r="AR80" i="10"/>
  <c r="AR37" i="10"/>
  <c r="BM161" i="10"/>
  <c r="AR199" i="10"/>
  <c r="AR466" i="10"/>
  <c r="AR132" i="10"/>
  <c r="AR58" i="10"/>
  <c r="AR47" i="10"/>
  <c r="AR33" i="10"/>
  <c r="AR31" i="10"/>
  <c r="AR29" i="10"/>
  <c r="AR25" i="10"/>
  <c r="AR16" i="10"/>
  <c r="AR13" i="10"/>
  <c r="BM184" i="10"/>
  <c r="AR9" i="10"/>
  <c r="AR498" i="10"/>
  <c r="AR378" i="10"/>
  <c r="AR375" i="10"/>
  <c r="BM375" i="10"/>
  <c r="AR330" i="10"/>
  <c r="AR489" i="10"/>
  <c r="AR93" i="10"/>
  <c r="AR54" i="10"/>
  <c r="BM417" i="10"/>
  <c r="AR412" i="10"/>
  <c r="AR28" i="10"/>
  <c r="AR24" i="10"/>
  <c r="AR23" i="10"/>
  <c r="AR402" i="10"/>
  <c r="AR148" i="10"/>
  <c r="AR128" i="10"/>
  <c r="AR496" i="10"/>
  <c r="AR391" i="10"/>
  <c r="AR387" i="10"/>
  <c r="AR382" i="10"/>
  <c r="AR377" i="10"/>
  <c r="AR366" i="10"/>
  <c r="AR348" i="10"/>
  <c r="AR341" i="10"/>
  <c r="AR255" i="10"/>
  <c r="AR487" i="10"/>
  <c r="AR318" i="10"/>
  <c r="AR88" i="10"/>
  <c r="AR67" i="10"/>
  <c r="AR467" i="10"/>
  <c r="BM462" i="10"/>
  <c r="AR26" i="10"/>
  <c r="AR11" i="10"/>
  <c r="AR134" i="10"/>
  <c r="AR127" i="10"/>
  <c r="AR122" i="10"/>
  <c r="AR111" i="10"/>
  <c r="AR70" i="10"/>
  <c r="AR389" i="10"/>
  <c r="AR384" i="10"/>
  <c r="AR379" i="10"/>
  <c r="AR376" i="10"/>
  <c r="AR364" i="10"/>
  <c r="AR357" i="10"/>
  <c r="AR353" i="10"/>
  <c r="AR351" i="10"/>
  <c r="AR346" i="10"/>
  <c r="AR333" i="10"/>
  <c r="AR331" i="10"/>
  <c r="AR328" i="10"/>
  <c r="AR322" i="10"/>
  <c r="AR253" i="10"/>
  <c r="AR109" i="10"/>
  <c r="BM490" i="10"/>
  <c r="AR488" i="10"/>
  <c r="AR91" i="10"/>
  <c r="AR89" i="10"/>
  <c r="AR32" i="10"/>
  <c r="AR96" i="10"/>
  <c r="BM216" i="10"/>
  <c r="AR69" i="10"/>
  <c r="AR202" i="10"/>
  <c r="AR465" i="10"/>
  <c r="AR63" i="10"/>
  <c r="AR459" i="10"/>
  <c r="BM459" i="10"/>
  <c r="AR62" i="10"/>
  <c r="AR53" i="10"/>
  <c r="AR423" i="10"/>
  <c r="BM418" i="10"/>
  <c r="BM194" i="10"/>
  <c r="AR159" i="10"/>
  <c r="BM156" i="10"/>
  <c r="AR151" i="10"/>
  <c r="AR129" i="10"/>
  <c r="AR72" i="10"/>
  <c r="AR121" i="10"/>
  <c r="AR110" i="10"/>
  <c r="AR392" i="10"/>
  <c r="AR388" i="10"/>
  <c r="AR383" i="10"/>
  <c r="AR373" i="10"/>
  <c r="AR368" i="10"/>
  <c r="AR363" i="10"/>
  <c r="AR362" i="10"/>
  <c r="BM362" i="10"/>
  <c r="AR355" i="10"/>
  <c r="AR352" i="10"/>
  <c r="AR349" i="10"/>
  <c r="AR343" i="10"/>
  <c r="AR338" i="10"/>
  <c r="AR332" i="10"/>
  <c r="AR327" i="10"/>
  <c r="AR321" i="10"/>
  <c r="AR486" i="10"/>
  <c r="AR94" i="10"/>
  <c r="AR90" i="10"/>
  <c r="AR87" i="10"/>
  <c r="AR481" i="10"/>
  <c r="AR85" i="10"/>
  <c r="AR84" i="10"/>
  <c r="AR201" i="10"/>
  <c r="AR468" i="10"/>
  <c r="BM468" i="10"/>
  <c r="AR458" i="10"/>
  <c r="AR448" i="10"/>
  <c r="AR44" i="10"/>
  <c r="AR27" i="10"/>
  <c r="AR21" i="10"/>
  <c r="AR18" i="10"/>
  <c r="BM187" i="10"/>
  <c r="BD216" i="10"/>
  <c r="BK216" i="10"/>
  <c r="BE216" i="10"/>
  <c r="BF216" i="10"/>
  <c r="BD156" i="10"/>
  <c r="BK156" i="10"/>
  <c r="BE156" i="10"/>
  <c r="BF156" i="10"/>
  <c r="BD362" i="10"/>
  <c r="BK362" i="10"/>
  <c r="BE362" i="10"/>
  <c r="BF362" i="10"/>
  <c r="BD468" i="10"/>
  <c r="BK468" i="10"/>
  <c r="BE468" i="10"/>
  <c r="BF468" i="10"/>
  <c r="BD187" i="10"/>
  <c r="BK187" i="10"/>
  <c r="BE187" i="10"/>
  <c r="BF187" i="10"/>
  <c r="BD459" i="10"/>
  <c r="BK459" i="10"/>
  <c r="BE459" i="10"/>
  <c r="BF459" i="10"/>
  <c r="BD375" i="10"/>
  <c r="BK375" i="10"/>
  <c r="BE375" i="10"/>
  <c r="BF375" i="10"/>
  <c r="BD212" i="10"/>
  <c r="BK212" i="10"/>
  <c r="BE212" i="10"/>
  <c r="BF212" i="10"/>
  <c r="BD462" i="10"/>
  <c r="BK462" i="10"/>
  <c r="BE462" i="10"/>
  <c r="BF462" i="10"/>
  <c r="BD417" i="10"/>
  <c r="BK417" i="10"/>
  <c r="BE417" i="10"/>
  <c r="BF417" i="10"/>
  <c r="BD190" i="10"/>
  <c r="BK190" i="10"/>
  <c r="BE190" i="10"/>
  <c r="BF190" i="10"/>
  <c r="BD490" i="10"/>
  <c r="BK490" i="10"/>
  <c r="BE490" i="10"/>
  <c r="BF490" i="10"/>
  <c r="BD418" i="10"/>
  <c r="BK418" i="10"/>
  <c r="BE418" i="10"/>
  <c r="BF418" i="10"/>
  <c r="BD194" i="10"/>
  <c r="BK194" i="10"/>
  <c r="BE194" i="10"/>
  <c r="BF194" i="10"/>
  <c r="BD358" i="10"/>
  <c r="BK358" i="10"/>
  <c r="BE358" i="10"/>
  <c r="BF358" i="10"/>
  <c r="BD354" i="10"/>
  <c r="BK354" i="10"/>
  <c r="BE354" i="10"/>
  <c r="BF354" i="10"/>
  <c r="BD214" i="10"/>
  <c r="BK214" i="10"/>
  <c r="BE214" i="10"/>
  <c r="BF214" i="10"/>
  <c r="BD161" i="10"/>
  <c r="BK161" i="10"/>
  <c r="BE161" i="10"/>
  <c r="BF161" i="10"/>
  <c r="BD184" i="10"/>
  <c r="BK184" i="10"/>
  <c r="BE184" i="10"/>
  <c r="BF184" i="10"/>
  <c r="AM415" i="8"/>
  <c r="AN415" i="8"/>
  <c r="AL415" i="8"/>
  <c r="L192" i="23"/>
  <c r="J192" i="23"/>
  <c r="N192" i="23"/>
  <c r="E192" i="23"/>
  <c r="K192" i="23"/>
  <c r="I192" i="23"/>
  <c r="M192" i="23"/>
  <c r="G192" i="23"/>
  <c r="H192" i="23"/>
  <c r="N183" i="23"/>
  <c r="M183" i="23"/>
  <c r="I183" i="23"/>
  <c r="H183" i="23"/>
  <c r="H196" i="23"/>
  <c r="R848" i="8"/>
  <c r="S848" i="8"/>
  <c r="T848" i="8"/>
  <c r="R849" i="8"/>
  <c r="S849" i="8"/>
  <c r="T849" i="8"/>
  <c r="K849" i="8"/>
  <c r="L849" i="8"/>
  <c r="M849" i="8"/>
  <c r="K848" i="8"/>
  <c r="L848" i="8"/>
  <c r="M848" i="8"/>
  <c r="Y444" i="8"/>
  <c r="Y662" i="8"/>
  <c r="Y620" i="8"/>
  <c r="Y664" i="8"/>
  <c r="Y434" i="8"/>
  <c r="Y657" i="8"/>
  <c r="Y428" i="8"/>
  <c r="Y429" i="8"/>
  <c r="Y430" i="8"/>
  <c r="Y431" i="8"/>
  <c r="Y432" i="8"/>
  <c r="Y606" i="8"/>
  <c r="Y643" i="8"/>
  <c r="Y663" i="8"/>
  <c r="Y627" i="8"/>
  <c r="Y407" i="8"/>
  <c r="Y408" i="8"/>
  <c r="Y409" i="8"/>
  <c r="Y618" i="8"/>
  <c r="Y602" i="8"/>
  <c r="Y588" i="8"/>
  <c r="Y589" i="8"/>
  <c r="Y391" i="8"/>
  <c r="Y401" i="8"/>
  <c r="Y404" i="8"/>
  <c r="Y405" i="8"/>
  <c r="Y649" i="8"/>
  <c r="Y418" i="8"/>
  <c r="Y626" i="8"/>
  <c r="Y423" i="8"/>
  <c r="Y659" i="8"/>
  <c r="Y655" i="8"/>
  <c r="Y585" i="8"/>
  <c r="Y424" i="8"/>
  <c r="Y425" i="8"/>
  <c r="Q182" i="10"/>
  <c r="BX182" i="10"/>
  <c r="BX209" i="10"/>
  <c r="Q215" i="10"/>
  <c r="BX215" i="10"/>
  <c r="Q213" i="10"/>
  <c r="BX213" i="10"/>
  <c r="Q211" i="10"/>
  <c r="BX211" i="10"/>
  <c r="Q196" i="10"/>
  <c r="BX196" i="10"/>
  <c r="Q193" i="10"/>
  <c r="BX193" i="10"/>
  <c r="BX188" i="10"/>
  <c r="Q24" i="10"/>
  <c r="B25" i="10"/>
  <c r="Q25" i="10"/>
  <c r="BX25" i="10"/>
  <c r="BX24" i="10"/>
  <c r="BM24" i="10"/>
  <c r="BL24" i="10"/>
  <c r="BM196" i="10"/>
  <c r="BL196" i="10"/>
  <c r="BM211" i="10"/>
  <c r="BL211" i="10"/>
  <c r="BM182" i="10"/>
  <c r="BL182" i="10"/>
  <c r="BM209" i="10"/>
  <c r="BL209" i="10"/>
  <c r="BM25" i="10"/>
  <c r="BL25" i="10"/>
  <c r="BM188" i="10"/>
  <c r="BL188" i="10"/>
  <c r="BM213" i="10"/>
  <c r="BL213" i="10"/>
  <c r="BM193" i="10"/>
  <c r="BL193" i="10"/>
  <c r="BM215" i="10"/>
  <c r="BL215" i="10"/>
  <c r="BD182" i="10"/>
  <c r="BK182" i="10"/>
  <c r="BE182" i="10"/>
  <c r="BF182" i="10"/>
  <c r="BD25" i="10"/>
  <c r="BK25" i="10"/>
  <c r="BE25" i="10"/>
  <c r="BF25" i="10"/>
  <c r="BD188" i="10"/>
  <c r="BK188" i="10"/>
  <c r="BE188" i="10"/>
  <c r="BF188" i="10"/>
  <c r="BD213" i="10"/>
  <c r="BK213" i="10"/>
  <c r="BE213" i="10"/>
  <c r="BF213" i="10"/>
  <c r="BD193" i="10"/>
  <c r="BK193" i="10"/>
  <c r="BE193" i="10"/>
  <c r="BF193" i="10"/>
  <c r="BD215" i="10"/>
  <c r="BK215" i="10"/>
  <c r="BE215" i="10"/>
  <c r="BF215" i="10"/>
  <c r="BD211" i="10"/>
  <c r="BK211" i="10"/>
  <c r="BE211" i="10"/>
  <c r="BF211" i="10"/>
  <c r="BD24" i="10"/>
  <c r="BK24" i="10"/>
  <c r="BE24" i="10"/>
  <c r="BF24" i="10"/>
  <c r="BD196" i="10"/>
  <c r="BK196" i="10"/>
  <c r="BE196" i="10"/>
  <c r="BF196" i="10"/>
  <c r="BD209" i="10"/>
  <c r="BK209" i="10"/>
  <c r="BE209" i="10"/>
  <c r="BF209" i="10"/>
  <c r="U25" i="10"/>
  <c r="Q92" i="10"/>
  <c r="BX92" i="10"/>
  <c r="Q93" i="10"/>
  <c r="BX93" i="10"/>
  <c r="Q89" i="10"/>
  <c r="BX89" i="10"/>
  <c r="Q94" i="10"/>
  <c r="BX94" i="10"/>
  <c r="Q106" i="10"/>
  <c r="BX106" i="10"/>
  <c r="Q97" i="10"/>
  <c r="BX97" i="10"/>
  <c r="Q122" i="10"/>
  <c r="BX122" i="10"/>
  <c r="Q73" i="10"/>
  <c r="BX73" i="10"/>
  <c r="Q72" i="10"/>
  <c r="BX72" i="10"/>
  <c r="Q57" i="10"/>
  <c r="BX57" i="10"/>
  <c r="Q128" i="10"/>
  <c r="BX128" i="10"/>
  <c r="Q129" i="10"/>
  <c r="BX129" i="10"/>
  <c r="Q153" i="10"/>
  <c r="BX153" i="10"/>
  <c r="Q148" i="10"/>
  <c r="BX148" i="10"/>
  <c r="Q151" i="10"/>
  <c r="BX151" i="10"/>
  <c r="Q150" i="10"/>
  <c r="BX150" i="10"/>
  <c r="Q26" i="10"/>
  <c r="BX26" i="10"/>
  <c r="Q80" i="10"/>
  <c r="BX80" i="10"/>
  <c r="Q85" i="10"/>
  <c r="BX85" i="10"/>
  <c r="Q96" i="10"/>
  <c r="BX96" i="10"/>
  <c r="Q159" i="10"/>
  <c r="BX159" i="10"/>
  <c r="Q58" i="10"/>
  <c r="Q60" i="10"/>
  <c r="BX60" i="10"/>
  <c r="Q126" i="10"/>
  <c r="BX126" i="10"/>
  <c r="Q31" i="10"/>
  <c r="BX31" i="10"/>
  <c r="Q32" i="10"/>
  <c r="BX32" i="10"/>
  <c r="Q132" i="10"/>
  <c r="BX132" i="10"/>
  <c r="Q16" i="10"/>
  <c r="BX16" i="10"/>
  <c r="Q81" i="10"/>
  <c r="BX81" i="10"/>
  <c r="Q121" i="10"/>
  <c r="BX121" i="10"/>
  <c r="Q123" i="10"/>
  <c r="BX123" i="10"/>
  <c r="Q124" i="10"/>
  <c r="BX124" i="10"/>
  <c r="Q15" i="10"/>
  <c r="BX15" i="10"/>
  <c r="Q87" i="10"/>
  <c r="BX87" i="10"/>
  <c r="Q127" i="10"/>
  <c r="BX127" i="10"/>
  <c r="Q134" i="10"/>
  <c r="BX134" i="10"/>
  <c r="Q69" i="10"/>
  <c r="BX69" i="10"/>
  <c r="Q29" i="10"/>
  <c r="BX29" i="10"/>
  <c r="Q95" i="10"/>
  <c r="BX95" i="10"/>
  <c r="Q115" i="10"/>
  <c r="BX115" i="10"/>
  <c r="Q154" i="10"/>
  <c r="BX154" i="10"/>
  <c r="Q157" i="10"/>
  <c r="Q9" i="10"/>
  <c r="Q10" i="10"/>
  <c r="Q18" i="10"/>
  <c r="BX18" i="10"/>
  <c r="Q44" i="10"/>
  <c r="BX44" i="10"/>
  <c r="Q140" i="10"/>
  <c r="BX140" i="10"/>
  <c r="Q86" i="10"/>
  <c r="BX86" i="10"/>
  <c r="Q109" i="10"/>
  <c r="BX109" i="10"/>
  <c r="Q111" i="10"/>
  <c r="BX111" i="10"/>
  <c r="Q113" i="10"/>
  <c r="BX113" i="10"/>
  <c r="Q117" i="10"/>
  <c r="BX117" i="10"/>
  <c r="Q120" i="10"/>
  <c r="BX120" i="10"/>
  <c r="Q147" i="10"/>
  <c r="BX147" i="10"/>
  <c r="Q158" i="10"/>
  <c r="BX158" i="10"/>
  <c r="Q61" i="10"/>
  <c r="BX61" i="10"/>
  <c r="Q83" i="10"/>
  <c r="BX83" i="10"/>
  <c r="Q88" i="10"/>
  <c r="BX88" i="10"/>
  <c r="Q110" i="10"/>
  <c r="BX110" i="10"/>
  <c r="Q152" i="10"/>
  <c r="BX152" i="10"/>
  <c r="Q17" i="10"/>
  <c r="BX17" i="10"/>
  <c r="Q23" i="10"/>
  <c r="BX23" i="10"/>
  <c r="Q27" i="10"/>
  <c r="BX27" i="10"/>
  <c r="Q135" i="10"/>
  <c r="BX135" i="10"/>
  <c r="Q40" i="10"/>
  <c r="BX40" i="10"/>
  <c r="Q33" i="10"/>
  <c r="BX33" i="10"/>
  <c r="Q71" i="10"/>
  <c r="BX71" i="10"/>
  <c r="Q37" i="10"/>
  <c r="BX37" i="10"/>
  <c r="Q67" i="10"/>
  <c r="BX67" i="10"/>
  <c r="Q84" i="10"/>
  <c r="BX84" i="10"/>
  <c r="Q70" i="10"/>
  <c r="BX70" i="10"/>
  <c r="Q162" i="10"/>
  <c r="BX162" i="10"/>
  <c r="Q160" i="10"/>
  <c r="Q21" i="10"/>
  <c r="BX21" i="10"/>
  <c r="Q144" i="10"/>
  <c r="BX144" i="10"/>
  <c r="Q46" i="10"/>
  <c r="BX46" i="10"/>
  <c r="Q165" i="10"/>
  <c r="BX191" i="10"/>
  <c r="Q217" i="10"/>
  <c r="BX217" i="10"/>
  <c r="Q219" i="10"/>
  <c r="BX219" i="10"/>
  <c r="Q199" i="10"/>
  <c r="Q200" i="10"/>
  <c r="BX200" i="10"/>
  <c r="Q201" i="10"/>
  <c r="BX201" i="10"/>
  <c r="Q202" i="10"/>
  <c r="BX202" i="10"/>
  <c r="Q328" i="10"/>
  <c r="BX328" i="10"/>
  <c r="Q348" i="10"/>
  <c r="BX348" i="10"/>
  <c r="Q353" i="10"/>
  <c r="BX353" i="10"/>
  <c r="Q355" i="10"/>
  <c r="BX355" i="10"/>
  <c r="Q376" i="10"/>
  <c r="BX376" i="10"/>
  <c r="Q384" i="10"/>
  <c r="BX384" i="10"/>
  <c r="Q340" i="10"/>
  <c r="BX340" i="10"/>
  <c r="Q255" i="10"/>
  <c r="BX255" i="10"/>
  <c r="Q318" i="10"/>
  <c r="BX318" i="10"/>
  <c r="Q323" i="10"/>
  <c r="BX323" i="10"/>
  <c r="Q324" i="10"/>
  <c r="BX324" i="10"/>
  <c r="Q329" i="10"/>
  <c r="BX329" i="10"/>
  <c r="Q332" i="10"/>
  <c r="BX332" i="10"/>
  <c r="Q333" i="10"/>
  <c r="BX333" i="10"/>
  <c r="Q341" i="10"/>
  <c r="BX341" i="10"/>
  <c r="Q253" i="10"/>
  <c r="BX253" i="10"/>
  <c r="Q331" i="10"/>
  <c r="BX331" i="10"/>
  <c r="Q366" i="10"/>
  <c r="BX366" i="10"/>
  <c r="Q382" i="10"/>
  <c r="BX382" i="10"/>
  <c r="Q385" i="10"/>
  <c r="BX385" i="10"/>
  <c r="Q390" i="10"/>
  <c r="BX390" i="10"/>
  <c r="Q378" i="10"/>
  <c r="BX378" i="10"/>
  <c r="Q373" i="10"/>
  <c r="BX373" i="10"/>
  <c r="Q242" i="10"/>
  <c r="BX242" i="10"/>
  <c r="Q322" i="10"/>
  <c r="BX322" i="10"/>
  <c r="Q321" i="10"/>
  <c r="BX321" i="10"/>
  <c r="Q343" i="10"/>
  <c r="BX343" i="10"/>
  <c r="Q349" i="10"/>
  <c r="BX349" i="10"/>
  <c r="Q351" i="10"/>
  <c r="BX351" i="10"/>
  <c r="Q368" i="10"/>
  <c r="BX368" i="10"/>
  <c r="Q371" i="10"/>
  <c r="BX371" i="10"/>
  <c r="Q377" i="10"/>
  <c r="BX377" i="10"/>
  <c r="Q380" i="10"/>
  <c r="BX380" i="10"/>
  <c r="Q381" i="10"/>
  <c r="BX381" i="10"/>
  <c r="Q232" i="10"/>
  <c r="BX232" i="10"/>
  <c r="Q233" i="10"/>
  <c r="BX233" i="10"/>
  <c r="Q234" i="10"/>
  <c r="BX234" i="10"/>
  <c r="Q290" i="10"/>
  <c r="BX290" i="10"/>
  <c r="Q296" i="10"/>
  <c r="BX296" i="10"/>
  <c r="Q327" i="10"/>
  <c r="BX327" i="10"/>
  <c r="Q338" i="10"/>
  <c r="BX338" i="10"/>
  <c r="Q370" i="10"/>
  <c r="BX370" i="10"/>
  <c r="Q383" i="10"/>
  <c r="BX383" i="10"/>
  <c r="Q387" i="10"/>
  <c r="BX387" i="10"/>
  <c r="Q389" i="10"/>
  <c r="BX389" i="10"/>
  <c r="N221" i="10"/>
  <c r="Q222" i="10"/>
  <c r="BX222" i="10"/>
  <c r="Q223" i="10"/>
  <c r="BX223" i="10"/>
  <c r="Q224" i="10"/>
  <c r="BX224" i="10"/>
  <c r="Q225" i="10"/>
  <c r="BX225" i="10"/>
  <c r="Q226" i="10"/>
  <c r="BX226" i="10"/>
  <c r="Q227" i="10"/>
  <c r="BX227" i="10"/>
  <c r="Q228" i="10"/>
  <c r="BX228" i="10"/>
  <c r="Q229" i="10"/>
  <c r="BX229" i="10"/>
  <c r="Q230" i="10"/>
  <c r="BX230" i="10"/>
  <c r="Q231" i="10"/>
  <c r="BX231" i="10"/>
  <c r="Q283" i="10"/>
  <c r="BX283" i="10"/>
  <c r="Q285" i="10"/>
  <c r="BX285" i="10"/>
  <c r="Q317" i="10"/>
  <c r="BX317" i="10"/>
  <c r="Q235" i="10"/>
  <c r="BX235" i="10"/>
  <c r="Q291" i="10"/>
  <c r="BX291" i="10"/>
  <c r="Q297" i="10"/>
  <c r="BX297" i="10"/>
  <c r="Q346" i="10"/>
  <c r="BX346" i="10"/>
  <c r="Q254" i="10"/>
  <c r="BX254" i="10"/>
  <c r="Q330" i="10"/>
  <c r="BX330" i="10"/>
  <c r="Q374" i="10"/>
  <c r="BX374" i="10"/>
  <c r="Q357" i="10"/>
  <c r="BX357" i="10"/>
  <c r="Q391" i="10"/>
  <c r="BX391" i="10"/>
  <c r="Q359" i="10"/>
  <c r="BX359" i="10"/>
  <c r="Q361" i="10"/>
  <c r="BX361" i="10"/>
  <c r="Q363" i="10"/>
  <c r="BX363" i="10"/>
  <c r="Q364" i="10"/>
  <c r="BX364" i="10"/>
  <c r="Q379" i="10"/>
  <c r="BX379" i="10"/>
  <c r="Q388" i="10"/>
  <c r="BX388" i="10"/>
  <c r="Q392" i="10"/>
  <c r="BX392" i="10"/>
  <c r="Q386" i="10"/>
  <c r="BX386" i="10"/>
  <c r="Q481" i="10"/>
  <c r="BX481" i="10"/>
  <c r="Q482" i="10"/>
  <c r="BX482" i="10"/>
  <c r="Q399" i="10"/>
  <c r="BX399" i="10"/>
  <c r="Q400" i="10"/>
  <c r="BX400" i="10"/>
  <c r="Q402" i="10"/>
  <c r="BX402" i="10"/>
  <c r="Q404" i="10"/>
  <c r="BX404" i="10"/>
  <c r="Q433" i="10"/>
  <c r="BX433" i="10"/>
  <c r="Q448" i="10"/>
  <c r="BX448" i="10"/>
  <c r="Q452" i="10"/>
  <c r="BX452" i="10"/>
  <c r="Q455" i="10"/>
  <c r="BX455" i="10"/>
  <c r="Q469" i="10"/>
  <c r="BX469" i="10"/>
  <c r="Q470" i="10"/>
  <c r="BX470" i="10"/>
  <c r="Q477" i="10"/>
  <c r="BX477" i="10"/>
  <c r="Q484" i="10"/>
  <c r="BX484" i="10"/>
  <c r="Q485" i="10"/>
  <c r="BX485" i="10"/>
  <c r="Q486" i="10"/>
  <c r="BX486" i="10"/>
  <c r="Q487" i="10"/>
  <c r="BX487" i="10"/>
  <c r="Q488" i="10"/>
  <c r="BX488" i="10"/>
  <c r="Q489" i="10"/>
  <c r="BX489" i="10"/>
  <c r="Q492" i="10"/>
  <c r="BX492" i="10"/>
  <c r="Q500" i="10"/>
  <c r="BX500" i="10"/>
  <c r="Q504" i="10"/>
  <c r="BX504" i="10"/>
  <c r="Q505" i="10"/>
  <c r="BX505" i="10"/>
  <c r="Q506" i="10"/>
  <c r="BX506" i="10"/>
  <c r="Q498" i="10"/>
  <c r="BX498" i="10"/>
  <c r="Q407" i="10"/>
  <c r="BX407" i="10"/>
  <c r="Q423" i="10"/>
  <c r="BX423" i="10"/>
  <c r="Q430" i="10"/>
  <c r="BX430" i="10"/>
  <c r="Q434" i="10"/>
  <c r="BX434" i="10"/>
  <c r="Q440" i="10"/>
  <c r="BX440" i="10"/>
  <c r="Q441" i="10"/>
  <c r="BX441" i="10"/>
  <c r="Q451" i="10"/>
  <c r="BX451" i="10"/>
  <c r="Q460" i="10"/>
  <c r="BX460" i="10"/>
  <c r="Q463" i="10"/>
  <c r="BX463" i="10"/>
  <c r="Q464" i="10"/>
  <c r="BX464" i="10"/>
  <c r="Q475" i="10"/>
  <c r="BX475" i="10"/>
  <c r="Q476" i="10"/>
  <c r="BX476" i="10"/>
  <c r="Q480" i="10"/>
  <c r="BX480" i="10"/>
  <c r="Q499" i="10"/>
  <c r="BX499" i="10"/>
  <c r="Q352" i="10"/>
  <c r="BX352" i="10"/>
  <c r="Q63" i="10"/>
  <c r="BX63" i="10"/>
  <c r="Q412" i="10"/>
  <c r="BX412" i="10"/>
  <c r="Q443" i="10"/>
  <c r="BX443" i="10"/>
  <c r="Q415" i="10"/>
  <c r="BX415" i="10"/>
  <c r="Q422" i="10"/>
  <c r="BX422" i="10"/>
  <c r="Q449" i="10"/>
  <c r="BX449" i="10"/>
  <c r="Q458" i="10"/>
  <c r="BX458" i="10"/>
  <c r="Q461" i="10"/>
  <c r="BX461" i="10"/>
  <c r="Q465" i="10"/>
  <c r="BX465" i="10"/>
  <c r="Q466" i="10"/>
  <c r="BX466" i="10"/>
  <c r="Q467" i="10"/>
  <c r="BX467" i="10"/>
  <c r="Q478" i="10"/>
  <c r="BX478" i="10"/>
  <c r="Q493" i="10"/>
  <c r="BX493" i="10"/>
  <c r="Q496" i="10"/>
  <c r="BX496" i="10"/>
  <c r="Q189" i="10"/>
  <c r="BX189" i="10"/>
  <c r="Q416" i="10"/>
  <c r="BX416" i="10"/>
  <c r="Q198" i="10"/>
  <c r="BX198" i="10"/>
  <c r="Q204" i="10"/>
  <c r="BX204" i="10"/>
  <c r="Q207" i="10"/>
  <c r="BX207" i="10"/>
  <c r="Q502" i="10"/>
  <c r="BX502" i="10"/>
  <c r="Q12" i="10"/>
  <c r="Q13" i="10"/>
  <c r="Q28" i="10"/>
  <c r="BX28" i="10"/>
  <c r="Q53" i="10"/>
  <c r="Q47" i="10"/>
  <c r="Q49" i="10"/>
  <c r="BX49" i="10"/>
  <c r="Q51" i="10"/>
  <c r="BX51" i="10"/>
  <c r="Q52" i="10"/>
  <c r="BX52" i="10"/>
  <c r="Q54" i="10"/>
  <c r="BX54" i="10"/>
  <c r="Q62" i="10"/>
  <c r="BX62" i="10"/>
  <c r="Q45" i="10"/>
  <c r="BX45" i="10"/>
  <c r="Q99" i="10"/>
  <c r="BX99" i="10"/>
  <c r="Q107" i="10"/>
  <c r="BX107" i="10"/>
  <c r="Q90" i="10"/>
  <c r="BX90" i="10"/>
  <c r="Q91" i="10"/>
  <c r="BX91" i="10"/>
  <c r="BX47" i="10"/>
  <c r="BX199" i="10"/>
  <c r="BX160" i="10"/>
  <c r="BX13" i="10"/>
  <c r="BX58" i="10"/>
  <c r="BX12" i="10"/>
  <c r="BX9" i="10"/>
  <c r="BX165" i="10"/>
  <c r="BX157" i="10"/>
  <c r="BX53" i="10"/>
  <c r="BX10" i="10"/>
  <c r="BM45" i="10"/>
  <c r="BL45" i="10"/>
  <c r="BM189" i="10"/>
  <c r="BL189" i="10"/>
  <c r="BM415" i="10"/>
  <c r="BL415" i="10"/>
  <c r="BM441" i="10"/>
  <c r="BL441" i="10"/>
  <c r="BM500" i="10"/>
  <c r="BL500" i="10"/>
  <c r="BM391" i="10"/>
  <c r="BL391" i="10"/>
  <c r="BM371" i="10"/>
  <c r="BL371" i="10"/>
  <c r="BM382" i="10"/>
  <c r="BL382" i="10"/>
  <c r="BM353" i="10"/>
  <c r="BL353" i="10"/>
  <c r="BM165" i="10"/>
  <c r="BL165" i="10"/>
  <c r="BM67" i="10"/>
  <c r="BL67" i="10"/>
  <c r="BM40" i="10"/>
  <c r="BL40" i="10"/>
  <c r="BM113" i="10"/>
  <c r="BL113" i="10"/>
  <c r="BM44" i="10"/>
  <c r="BL44" i="10"/>
  <c r="BM154" i="10"/>
  <c r="BL154" i="10"/>
  <c r="BM81" i="10"/>
  <c r="BL81" i="10"/>
  <c r="BM159" i="10"/>
  <c r="BL159" i="10"/>
  <c r="BM94" i="10"/>
  <c r="BL94" i="10"/>
  <c r="BM52" i="10"/>
  <c r="BL52" i="10"/>
  <c r="BM204" i="10"/>
  <c r="BL204" i="10"/>
  <c r="BM449" i="10"/>
  <c r="BL449" i="10"/>
  <c r="BM499" i="10"/>
  <c r="BL499" i="10"/>
  <c r="BM476" i="10"/>
  <c r="BL476" i="10"/>
  <c r="BM460" i="10"/>
  <c r="BL460" i="10"/>
  <c r="BM440" i="10"/>
  <c r="BL440" i="10"/>
  <c r="BM407" i="10"/>
  <c r="BL407" i="10"/>
  <c r="BM506" i="10"/>
  <c r="BL506" i="10"/>
  <c r="BM488" i="10"/>
  <c r="BL488" i="10"/>
  <c r="BM485" i="10"/>
  <c r="BL485" i="10"/>
  <c r="BM469" i="10"/>
  <c r="BL469" i="10"/>
  <c r="BM404" i="10"/>
  <c r="BL404" i="10"/>
  <c r="BM399" i="10"/>
  <c r="BL399" i="10"/>
  <c r="BM392" i="10"/>
  <c r="BL392" i="10"/>
  <c r="BM363" i="10"/>
  <c r="BL363" i="10"/>
  <c r="BM357" i="10"/>
  <c r="BL357" i="10"/>
  <c r="BM346" i="10"/>
  <c r="BL346" i="10"/>
  <c r="BM291" i="10"/>
  <c r="BL291" i="10"/>
  <c r="BM235" i="10"/>
  <c r="BL235" i="10"/>
  <c r="BM231" i="10"/>
  <c r="BL231" i="10"/>
  <c r="BM227" i="10"/>
  <c r="BL227" i="10"/>
  <c r="BM223" i="10"/>
  <c r="BL223" i="10"/>
  <c r="BM389" i="10"/>
  <c r="BL389" i="10"/>
  <c r="BM338" i="10"/>
  <c r="BL338" i="10"/>
  <c r="BM381" i="10"/>
  <c r="BL381" i="10"/>
  <c r="BM368" i="10"/>
  <c r="BL368" i="10"/>
  <c r="BM321" i="10"/>
  <c r="BL321" i="10"/>
  <c r="BM378" i="10"/>
  <c r="BL378" i="10"/>
  <c r="BM366" i="10"/>
  <c r="BL366" i="10"/>
  <c r="BM333" i="10"/>
  <c r="BL333" i="10"/>
  <c r="BM323" i="10"/>
  <c r="BL323" i="10"/>
  <c r="BM384" i="10"/>
  <c r="BL384" i="10"/>
  <c r="BM348" i="10"/>
  <c r="BL348" i="10"/>
  <c r="BM201" i="10"/>
  <c r="BL201" i="10"/>
  <c r="BM217" i="10"/>
  <c r="BL217" i="10"/>
  <c r="BM46" i="10"/>
  <c r="BL46" i="10"/>
  <c r="BM144" i="10"/>
  <c r="BL144" i="10"/>
  <c r="BM162" i="10"/>
  <c r="BL162" i="10"/>
  <c r="BM37" i="10"/>
  <c r="BL37" i="10"/>
  <c r="BM135" i="10"/>
  <c r="BL135" i="10"/>
  <c r="BM152" i="10"/>
  <c r="BL152" i="10"/>
  <c r="BM61" i="10"/>
  <c r="BL61" i="10"/>
  <c r="BM117" i="10"/>
  <c r="BL117" i="10"/>
  <c r="BM111" i="10"/>
  <c r="BL111" i="10"/>
  <c r="BM86" i="10"/>
  <c r="BL86" i="10"/>
  <c r="BM140" i="10"/>
  <c r="BL140" i="10"/>
  <c r="BM10" i="10"/>
  <c r="BL10" i="10"/>
  <c r="BM115" i="10"/>
  <c r="BL115" i="10"/>
  <c r="BM134" i="10"/>
  <c r="BL134" i="10"/>
  <c r="BM124" i="10"/>
  <c r="BL124" i="10"/>
  <c r="BM16" i="10"/>
  <c r="BL16" i="10"/>
  <c r="BM126" i="10"/>
  <c r="BL126" i="10"/>
  <c r="BM96" i="10"/>
  <c r="BL96" i="10"/>
  <c r="BM150" i="10"/>
  <c r="BL150" i="10"/>
  <c r="BM153" i="10"/>
  <c r="BL153" i="10"/>
  <c r="BM57" i="10"/>
  <c r="BL57" i="10"/>
  <c r="BM122" i="10"/>
  <c r="BL122" i="10"/>
  <c r="BM89" i="10"/>
  <c r="BL89" i="10"/>
  <c r="BM13" i="10"/>
  <c r="BL13" i="10"/>
  <c r="BM458" i="10"/>
  <c r="BL458" i="10"/>
  <c r="BM480" i="10"/>
  <c r="BL480" i="10"/>
  <c r="BM498" i="10"/>
  <c r="BL498" i="10"/>
  <c r="BM470" i="10"/>
  <c r="BL470" i="10"/>
  <c r="BM400" i="10"/>
  <c r="BL400" i="10"/>
  <c r="BM254" i="10"/>
  <c r="BL254" i="10"/>
  <c r="BM228" i="10"/>
  <c r="BL228" i="10"/>
  <c r="BM296" i="10"/>
  <c r="BL296" i="10"/>
  <c r="BM373" i="10"/>
  <c r="BL373" i="10"/>
  <c r="BM324" i="10"/>
  <c r="BL324" i="10"/>
  <c r="BM202" i="10"/>
  <c r="BL202" i="10"/>
  <c r="BM160" i="10"/>
  <c r="BL160" i="10"/>
  <c r="BM83" i="10"/>
  <c r="BL83" i="10"/>
  <c r="BM69" i="10"/>
  <c r="BL69" i="10"/>
  <c r="BM15" i="10"/>
  <c r="BL15" i="10"/>
  <c r="BM31" i="10"/>
  <c r="BL31" i="10"/>
  <c r="BM26" i="10"/>
  <c r="BL26" i="10"/>
  <c r="BM62" i="10"/>
  <c r="BL62" i="10"/>
  <c r="BM466" i="10"/>
  <c r="BL466" i="10"/>
  <c r="BM198" i="10"/>
  <c r="BL198" i="10"/>
  <c r="BM451" i="10"/>
  <c r="BL451" i="10"/>
  <c r="BM505" i="10"/>
  <c r="BL505" i="10"/>
  <c r="BM484" i="10"/>
  <c r="BL484" i="10"/>
  <c r="BM452" i="10"/>
  <c r="BL452" i="10"/>
  <c r="BM482" i="10"/>
  <c r="BL482" i="10"/>
  <c r="BM388" i="10"/>
  <c r="BL388" i="10"/>
  <c r="BM361" i="10"/>
  <c r="BL361" i="10"/>
  <c r="BM374" i="10"/>
  <c r="BL374" i="10"/>
  <c r="BM297" i="10"/>
  <c r="BL297" i="10"/>
  <c r="BM317" i="10"/>
  <c r="BL317" i="10"/>
  <c r="BM230" i="10"/>
  <c r="BL230" i="10"/>
  <c r="BM226" i="10"/>
  <c r="BL226" i="10"/>
  <c r="BM222" i="10"/>
  <c r="BL222" i="10"/>
  <c r="BM387" i="10"/>
  <c r="BL387" i="10"/>
  <c r="BM327" i="10"/>
  <c r="BL327" i="10"/>
  <c r="BM234" i="10"/>
  <c r="BL234" i="10"/>
  <c r="BM380" i="10"/>
  <c r="BL380" i="10"/>
  <c r="BM351" i="10"/>
  <c r="BL351" i="10"/>
  <c r="BM322" i="10"/>
  <c r="BL322" i="10"/>
  <c r="BM390" i="10"/>
  <c r="BL390" i="10"/>
  <c r="BM331" i="10"/>
  <c r="BL331" i="10"/>
  <c r="BM332" i="10"/>
  <c r="BL332" i="10"/>
  <c r="BM318" i="10"/>
  <c r="BL318" i="10"/>
  <c r="BM376" i="10"/>
  <c r="BL376" i="10"/>
  <c r="BM328" i="10"/>
  <c r="BL328" i="10"/>
  <c r="BM200" i="10"/>
  <c r="BL200" i="10"/>
  <c r="BM191" i="10"/>
  <c r="BL191" i="10"/>
  <c r="BM70" i="10"/>
  <c r="BL70" i="10"/>
  <c r="BM71" i="10"/>
  <c r="BL71" i="10"/>
  <c r="BM27" i="10"/>
  <c r="BL27" i="10"/>
  <c r="BM110" i="10"/>
  <c r="BL110" i="10"/>
  <c r="BM158" i="10"/>
  <c r="BL158" i="10"/>
  <c r="BM120" i="10"/>
  <c r="BL120" i="10"/>
  <c r="BM9" i="10"/>
  <c r="BL9" i="10"/>
  <c r="BM95" i="10"/>
  <c r="BL95" i="10"/>
  <c r="BM127" i="10"/>
  <c r="BL127" i="10"/>
  <c r="BM123" i="10"/>
  <c r="BL123" i="10"/>
  <c r="BM132" i="10"/>
  <c r="BL132" i="10"/>
  <c r="BM60" i="10"/>
  <c r="BL60" i="10"/>
  <c r="BM85" i="10"/>
  <c r="BL85" i="10"/>
  <c r="BM151" i="10"/>
  <c r="BL151" i="10"/>
  <c r="BM129" i="10"/>
  <c r="BL129" i="10"/>
  <c r="BM72" i="10"/>
  <c r="BL72" i="10"/>
  <c r="BM97" i="10"/>
  <c r="BL97" i="10"/>
  <c r="BM93" i="10"/>
  <c r="BL93" i="10"/>
  <c r="BM54" i="10"/>
  <c r="BL54" i="10"/>
  <c r="BM207" i="10"/>
  <c r="BL207" i="10"/>
  <c r="BM467" i="10"/>
  <c r="BL467" i="10"/>
  <c r="BM352" i="10"/>
  <c r="BL352" i="10"/>
  <c r="BM463" i="10"/>
  <c r="BL463" i="10"/>
  <c r="BM423" i="10"/>
  <c r="BL423" i="10"/>
  <c r="BM489" i="10"/>
  <c r="BL489" i="10"/>
  <c r="BM386" i="10"/>
  <c r="BL386" i="10"/>
  <c r="BM364" i="10"/>
  <c r="BL364" i="10"/>
  <c r="BM283" i="10"/>
  <c r="BL283" i="10"/>
  <c r="BM224" i="10"/>
  <c r="BL224" i="10"/>
  <c r="BM370" i="10"/>
  <c r="BL370" i="10"/>
  <c r="BM232" i="10"/>
  <c r="BL232" i="10"/>
  <c r="BM343" i="10"/>
  <c r="BL343" i="10"/>
  <c r="BM341" i="10"/>
  <c r="BL341" i="10"/>
  <c r="BM340" i="10"/>
  <c r="BL340" i="10"/>
  <c r="BM219" i="10"/>
  <c r="BL219" i="10"/>
  <c r="BM17" i="10"/>
  <c r="BL17" i="10"/>
  <c r="BM91" i="10"/>
  <c r="BL91" i="10"/>
  <c r="BM47" i="10"/>
  <c r="BL47" i="10"/>
  <c r="BM496" i="10"/>
  <c r="BL496" i="10"/>
  <c r="BM443" i="10"/>
  <c r="BL443" i="10"/>
  <c r="BM90" i="10"/>
  <c r="BL90" i="10"/>
  <c r="BM107" i="10"/>
  <c r="BL107" i="10"/>
  <c r="BM51" i="10"/>
  <c r="BL51" i="10"/>
  <c r="BM53" i="10"/>
  <c r="BL53" i="10"/>
  <c r="BM12" i="10"/>
  <c r="BL12" i="10"/>
  <c r="BM493" i="10"/>
  <c r="BL493" i="10"/>
  <c r="BM465" i="10"/>
  <c r="BL465" i="10"/>
  <c r="BM412" i="10"/>
  <c r="BL412" i="10"/>
  <c r="BM475" i="10"/>
  <c r="BL475" i="10"/>
  <c r="BM434" i="10"/>
  <c r="BL434" i="10"/>
  <c r="BM492" i="10"/>
  <c r="BL492" i="10"/>
  <c r="BM487" i="10"/>
  <c r="BL487" i="10"/>
  <c r="BM99" i="10"/>
  <c r="BL99" i="10"/>
  <c r="BM49" i="10"/>
  <c r="BL49" i="10"/>
  <c r="BM28" i="10"/>
  <c r="BL28" i="10"/>
  <c r="BM502" i="10"/>
  <c r="BL502" i="10"/>
  <c r="BM416" i="10"/>
  <c r="BL416" i="10"/>
  <c r="BM478" i="10"/>
  <c r="BL478" i="10"/>
  <c r="BM461" i="10"/>
  <c r="BL461" i="10"/>
  <c r="BM422" i="10"/>
  <c r="BL422" i="10"/>
  <c r="BM63" i="10"/>
  <c r="BL63" i="10"/>
  <c r="BM464" i="10"/>
  <c r="BL464" i="10"/>
  <c r="BM430" i="10"/>
  <c r="BL430" i="10"/>
  <c r="BM504" i="10"/>
  <c r="BL504" i="10"/>
  <c r="BM486" i="10"/>
  <c r="BL486" i="10"/>
  <c r="BM477" i="10"/>
  <c r="BL477" i="10"/>
  <c r="BM455" i="10"/>
  <c r="BL455" i="10"/>
  <c r="BM448" i="10"/>
  <c r="BL448" i="10"/>
  <c r="BM433" i="10"/>
  <c r="BL433" i="10"/>
  <c r="BM402" i="10"/>
  <c r="BL402" i="10"/>
  <c r="BM481" i="10"/>
  <c r="BL481" i="10"/>
  <c r="BM379" i="10"/>
  <c r="BL379" i="10"/>
  <c r="BM359" i="10"/>
  <c r="BL359" i="10"/>
  <c r="BM330" i="10"/>
  <c r="BL330" i="10"/>
  <c r="BM285" i="10"/>
  <c r="BL285" i="10"/>
  <c r="BM229" i="10"/>
  <c r="BL229" i="10"/>
  <c r="BM225" i="10"/>
  <c r="BL225" i="10"/>
  <c r="BM383" i="10"/>
  <c r="BL383" i="10"/>
  <c r="BM290" i="10"/>
  <c r="BL290" i="10"/>
  <c r="BM233" i="10"/>
  <c r="BL233" i="10"/>
  <c r="BM377" i="10"/>
  <c r="BL377" i="10"/>
  <c r="BM349" i="10"/>
  <c r="BL349" i="10"/>
  <c r="BM242" i="10"/>
  <c r="BL242" i="10"/>
  <c r="BM385" i="10"/>
  <c r="BL385" i="10"/>
  <c r="BM253" i="10"/>
  <c r="BL253" i="10"/>
  <c r="BM329" i="10"/>
  <c r="BL329" i="10"/>
  <c r="BM255" i="10"/>
  <c r="BL255" i="10"/>
  <c r="BM355" i="10"/>
  <c r="BL355" i="10"/>
  <c r="BM199" i="10"/>
  <c r="BL199" i="10"/>
  <c r="BM21" i="10"/>
  <c r="BL21" i="10"/>
  <c r="BM84" i="10"/>
  <c r="BL84" i="10"/>
  <c r="BM33" i="10"/>
  <c r="BL33" i="10"/>
  <c r="BM23" i="10"/>
  <c r="BL23" i="10"/>
  <c r="BM88" i="10"/>
  <c r="BL88" i="10"/>
  <c r="BM147" i="10"/>
  <c r="BL147" i="10"/>
  <c r="BM109" i="10"/>
  <c r="BL109" i="10"/>
  <c r="BM18" i="10"/>
  <c r="BL18" i="10"/>
  <c r="BM157" i="10"/>
  <c r="BL157" i="10"/>
  <c r="BM29" i="10"/>
  <c r="BL29" i="10"/>
  <c r="BM87" i="10"/>
  <c r="BL87" i="10"/>
  <c r="BM121" i="10"/>
  <c r="BL121" i="10"/>
  <c r="BM32" i="10"/>
  <c r="BL32" i="10"/>
  <c r="BM58" i="10"/>
  <c r="BL58" i="10"/>
  <c r="BM80" i="10"/>
  <c r="BL80" i="10"/>
  <c r="BM148" i="10"/>
  <c r="BL148" i="10"/>
  <c r="BM128" i="10"/>
  <c r="BL128" i="10"/>
  <c r="BM73" i="10"/>
  <c r="BL73" i="10"/>
  <c r="BM106" i="10"/>
  <c r="BL106" i="10"/>
  <c r="BM92" i="10"/>
  <c r="BL92" i="10"/>
  <c r="BD90" i="10"/>
  <c r="BK90" i="10"/>
  <c r="BE90" i="10"/>
  <c r="BF90" i="10"/>
  <c r="BD62" i="10"/>
  <c r="BK62" i="10"/>
  <c r="BE62" i="10"/>
  <c r="BF62" i="10"/>
  <c r="BD416" i="10"/>
  <c r="BK416" i="10"/>
  <c r="BE416" i="10"/>
  <c r="BF416" i="10"/>
  <c r="BD458" i="10"/>
  <c r="BK458" i="10"/>
  <c r="BE458" i="10"/>
  <c r="BF458" i="10"/>
  <c r="BD475" i="10"/>
  <c r="BK475" i="10"/>
  <c r="BE475" i="10"/>
  <c r="BF475" i="10"/>
  <c r="BD404" i="10"/>
  <c r="BK404" i="10"/>
  <c r="BE404" i="10"/>
  <c r="BF404" i="10"/>
  <c r="BD374" i="10"/>
  <c r="BK374" i="10"/>
  <c r="BE374" i="10"/>
  <c r="BF374" i="10"/>
  <c r="BD229" i="10"/>
  <c r="BK229" i="10"/>
  <c r="BE229" i="10"/>
  <c r="BF229" i="10"/>
  <c r="BD222" i="10"/>
  <c r="BK222" i="10"/>
  <c r="BE222" i="10"/>
  <c r="BF222" i="10"/>
  <c r="BD327" i="10"/>
  <c r="BK327" i="10"/>
  <c r="BE327" i="10"/>
  <c r="BF327" i="10"/>
  <c r="BD351" i="10"/>
  <c r="BK351" i="10"/>
  <c r="BE351" i="10"/>
  <c r="BF351" i="10"/>
  <c r="BD242" i="10"/>
  <c r="BK242" i="10"/>
  <c r="BE242" i="10"/>
  <c r="BF242" i="10"/>
  <c r="BD331" i="10"/>
  <c r="BK331" i="10"/>
  <c r="BE331" i="10"/>
  <c r="BF331" i="10"/>
  <c r="BD318" i="10"/>
  <c r="BK318" i="10"/>
  <c r="BE318" i="10"/>
  <c r="BF318" i="10"/>
  <c r="BD348" i="10"/>
  <c r="BK348" i="10"/>
  <c r="BE348" i="10"/>
  <c r="BF348" i="10"/>
  <c r="BD191" i="10"/>
  <c r="BK191" i="10"/>
  <c r="BE191" i="10"/>
  <c r="BF191" i="10"/>
  <c r="BD160" i="10"/>
  <c r="BK160" i="10"/>
  <c r="BE160" i="10"/>
  <c r="BF160" i="10"/>
  <c r="BD37" i="10"/>
  <c r="BK37" i="10"/>
  <c r="BE37" i="10"/>
  <c r="BF37" i="10"/>
  <c r="BD10" i="10"/>
  <c r="BK10" i="10"/>
  <c r="BE10" i="10"/>
  <c r="BF10" i="10"/>
  <c r="BD32" i="10"/>
  <c r="BK32" i="10"/>
  <c r="BE32" i="10"/>
  <c r="BF32" i="10"/>
  <c r="BD80" i="10"/>
  <c r="BK80" i="10"/>
  <c r="BE80" i="10"/>
  <c r="BF80" i="10"/>
  <c r="BD128" i="10"/>
  <c r="BK128" i="10"/>
  <c r="BE128" i="10"/>
  <c r="BF128" i="10"/>
  <c r="BD73" i="10"/>
  <c r="BK73" i="10"/>
  <c r="BE73" i="10"/>
  <c r="BF73" i="10"/>
  <c r="BD28" i="10"/>
  <c r="BK28" i="10"/>
  <c r="BE28" i="10"/>
  <c r="BF28" i="10"/>
  <c r="BD465" i="10"/>
  <c r="BK465" i="10"/>
  <c r="BE465" i="10"/>
  <c r="BF465" i="10"/>
  <c r="BD422" i="10"/>
  <c r="BK422" i="10"/>
  <c r="BE422" i="10"/>
  <c r="BF422" i="10"/>
  <c r="BD480" i="10"/>
  <c r="BK480" i="10"/>
  <c r="BE480" i="10"/>
  <c r="BF480" i="10"/>
  <c r="BD463" i="10"/>
  <c r="BK463" i="10"/>
  <c r="BE463" i="10"/>
  <c r="BF463" i="10"/>
  <c r="BD441" i="10"/>
  <c r="BK441" i="10"/>
  <c r="BE441" i="10"/>
  <c r="BF441" i="10"/>
  <c r="BD423" i="10"/>
  <c r="BK423" i="10"/>
  <c r="BE423" i="10"/>
  <c r="BF423" i="10"/>
  <c r="BD498" i="10"/>
  <c r="BK498" i="10"/>
  <c r="BE498" i="10"/>
  <c r="BF498" i="10"/>
  <c r="BD486" i="10"/>
  <c r="BK486" i="10"/>
  <c r="BE486" i="10"/>
  <c r="BF486" i="10"/>
  <c r="BD477" i="10"/>
  <c r="BK477" i="10"/>
  <c r="BE477" i="10"/>
  <c r="BF477" i="10"/>
  <c r="BD455" i="10"/>
  <c r="BK455" i="10"/>
  <c r="BE455" i="10"/>
  <c r="BF455" i="10"/>
  <c r="BD448" i="10"/>
  <c r="BK448" i="10"/>
  <c r="BE448" i="10"/>
  <c r="BF448" i="10"/>
  <c r="BD433" i="10"/>
  <c r="BK433" i="10"/>
  <c r="BE433" i="10"/>
  <c r="BF433" i="10"/>
  <c r="BD402" i="10"/>
  <c r="BK402" i="10"/>
  <c r="BE402" i="10"/>
  <c r="BF402" i="10"/>
  <c r="BD481" i="10"/>
  <c r="BK481" i="10"/>
  <c r="BE481" i="10"/>
  <c r="BF481" i="10"/>
  <c r="BD364" i="10"/>
  <c r="BK364" i="10"/>
  <c r="BE364" i="10"/>
  <c r="BF364" i="10"/>
  <c r="BD391" i="10"/>
  <c r="BK391" i="10"/>
  <c r="BE391" i="10"/>
  <c r="BF391" i="10"/>
  <c r="BD291" i="10"/>
  <c r="BK291" i="10"/>
  <c r="BE291" i="10"/>
  <c r="BF291" i="10"/>
  <c r="BD235" i="10"/>
  <c r="BK235" i="10"/>
  <c r="BE235" i="10"/>
  <c r="BF235" i="10"/>
  <c r="BD231" i="10"/>
  <c r="BK231" i="10"/>
  <c r="BE231" i="10"/>
  <c r="BF231" i="10"/>
  <c r="BD227" i="10"/>
  <c r="BK227" i="10"/>
  <c r="BE227" i="10"/>
  <c r="BF227" i="10"/>
  <c r="BD370" i="10"/>
  <c r="BK370" i="10"/>
  <c r="BE370" i="10"/>
  <c r="BF370" i="10"/>
  <c r="BD296" i="10"/>
  <c r="BK296" i="10"/>
  <c r="BE296" i="10"/>
  <c r="BF296" i="10"/>
  <c r="BD232" i="10"/>
  <c r="BK232" i="10"/>
  <c r="BE232" i="10"/>
  <c r="BF232" i="10"/>
  <c r="BD371" i="10"/>
  <c r="BK371" i="10"/>
  <c r="BE371" i="10"/>
  <c r="BF371" i="10"/>
  <c r="BD321" i="10"/>
  <c r="BK321" i="10"/>
  <c r="BE321" i="10"/>
  <c r="BF321" i="10"/>
  <c r="BD382" i="10"/>
  <c r="BK382" i="10"/>
  <c r="BE382" i="10"/>
  <c r="BF382" i="10"/>
  <c r="BD341" i="10"/>
  <c r="BK341" i="10"/>
  <c r="BE341" i="10"/>
  <c r="BF341" i="10"/>
  <c r="BD324" i="10"/>
  <c r="BK324" i="10"/>
  <c r="BE324" i="10"/>
  <c r="BF324" i="10"/>
  <c r="BD355" i="10"/>
  <c r="BK355" i="10"/>
  <c r="BE355" i="10"/>
  <c r="BF355" i="10"/>
  <c r="BD202" i="10"/>
  <c r="BK202" i="10"/>
  <c r="BE202" i="10"/>
  <c r="BF202" i="10"/>
  <c r="BD219" i="10"/>
  <c r="BK219" i="10"/>
  <c r="BE219" i="10"/>
  <c r="BF219" i="10"/>
  <c r="BD33" i="10"/>
  <c r="BK33" i="10"/>
  <c r="BE33" i="10"/>
  <c r="BF33" i="10"/>
  <c r="BD23" i="10"/>
  <c r="BK23" i="10"/>
  <c r="BE23" i="10"/>
  <c r="BF23" i="10"/>
  <c r="BD88" i="10"/>
  <c r="BK88" i="10"/>
  <c r="BE88" i="10"/>
  <c r="BF88" i="10"/>
  <c r="BD158" i="10"/>
  <c r="BK158" i="10"/>
  <c r="BE158" i="10"/>
  <c r="BF158" i="10"/>
  <c r="BD117" i="10"/>
  <c r="BK117" i="10"/>
  <c r="BE117" i="10"/>
  <c r="BF117" i="10"/>
  <c r="BD111" i="10"/>
  <c r="BK111" i="10"/>
  <c r="BE111" i="10"/>
  <c r="BF111" i="10"/>
  <c r="BD86" i="10"/>
  <c r="BK86" i="10"/>
  <c r="BE86" i="10"/>
  <c r="BF86" i="10"/>
  <c r="BD44" i="10"/>
  <c r="BK44" i="10"/>
  <c r="BE44" i="10"/>
  <c r="BF44" i="10"/>
  <c r="BD18" i="10"/>
  <c r="BK18" i="10"/>
  <c r="BE18" i="10"/>
  <c r="BF18" i="10"/>
  <c r="BD157" i="10"/>
  <c r="BK157" i="10"/>
  <c r="BE157" i="10"/>
  <c r="BF157" i="10"/>
  <c r="BD95" i="10"/>
  <c r="BK95" i="10"/>
  <c r="BE95" i="10"/>
  <c r="BF95" i="10"/>
  <c r="BD127" i="10"/>
  <c r="BK127" i="10"/>
  <c r="BE127" i="10"/>
  <c r="BF127" i="10"/>
  <c r="BD124" i="10"/>
  <c r="BK124" i="10"/>
  <c r="BE124" i="10"/>
  <c r="BF124" i="10"/>
  <c r="BD16" i="10"/>
  <c r="BK16" i="10"/>
  <c r="BE16" i="10"/>
  <c r="BF16" i="10"/>
  <c r="BD126" i="10"/>
  <c r="BK126" i="10"/>
  <c r="BE126" i="10"/>
  <c r="BF126" i="10"/>
  <c r="BD96" i="10"/>
  <c r="BK96" i="10"/>
  <c r="BE96" i="10"/>
  <c r="BF96" i="10"/>
  <c r="BD150" i="10"/>
  <c r="BK150" i="10"/>
  <c r="BE150" i="10"/>
  <c r="BF150" i="10"/>
  <c r="BD153" i="10"/>
  <c r="BK153" i="10"/>
  <c r="BE153" i="10"/>
  <c r="BF153" i="10"/>
  <c r="BD57" i="10"/>
  <c r="BK57" i="10"/>
  <c r="BE57" i="10"/>
  <c r="BF57" i="10"/>
  <c r="BD122" i="10"/>
  <c r="BK122" i="10"/>
  <c r="BE122" i="10"/>
  <c r="BF122" i="10"/>
  <c r="BD94" i="10"/>
  <c r="BK94" i="10"/>
  <c r="BE94" i="10"/>
  <c r="BF94" i="10"/>
  <c r="BD52" i="10"/>
  <c r="BK52" i="10"/>
  <c r="BE52" i="10"/>
  <c r="BF52" i="10"/>
  <c r="BD207" i="10"/>
  <c r="BK207" i="10"/>
  <c r="BE207" i="10"/>
  <c r="BF207" i="10"/>
  <c r="BD467" i="10"/>
  <c r="BK467" i="10"/>
  <c r="BE467" i="10"/>
  <c r="BF467" i="10"/>
  <c r="BD443" i="10"/>
  <c r="BK443" i="10"/>
  <c r="BE443" i="10"/>
  <c r="BF443" i="10"/>
  <c r="BD434" i="10"/>
  <c r="BK434" i="10"/>
  <c r="BE434" i="10"/>
  <c r="BF434" i="10"/>
  <c r="BD488" i="10"/>
  <c r="BK488" i="10"/>
  <c r="BE488" i="10"/>
  <c r="BF488" i="10"/>
  <c r="BD399" i="10"/>
  <c r="BK399" i="10"/>
  <c r="BE399" i="10"/>
  <c r="BF399" i="10"/>
  <c r="BD388" i="10"/>
  <c r="BK388" i="10"/>
  <c r="BE388" i="10"/>
  <c r="BF388" i="10"/>
  <c r="BD285" i="10"/>
  <c r="BK285" i="10"/>
  <c r="BE285" i="10"/>
  <c r="BF285" i="10"/>
  <c r="BD234" i="10"/>
  <c r="BK234" i="10"/>
  <c r="BE234" i="10"/>
  <c r="BF234" i="10"/>
  <c r="BD332" i="10"/>
  <c r="BK332" i="10"/>
  <c r="BE332" i="10"/>
  <c r="BF332" i="10"/>
  <c r="BD384" i="10"/>
  <c r="BK384" i="10"/>
  <c r="BE384" i="10"/>
  <c r="BF384" i="10"/>
  <c r="BD328" i="10"/>
  <c r="BK328" i="10"/>
  <c r="BE328" i="10"/>
  <c r="BF328" i="10"/>
  <c r="BD144" i="10"/>
  <c r="BK144" i="10"/>
  <c r="BE144" i="10"/>
  <c r="BF144" i="10"/>
  <c r="BD135" i="10"/>
  <c r="BK135" i="10"/>
  <c r="BE135" i="10"/>
  <c r="BF135" i="10"/>
  <c r="BD147" i="10"/>
  <c r="BK147" i="10"/>
  <c r="BE147" i="10"/>
  <c r="BF147" i="10"/>
  <c r="BD97" i="10"/>
  <c r="BK97" i="10"/>
  <c r="BE97" i="10"/>
  <c r="BF97" i="10"/>
  <c r="BD49" i="10"/>
  <c r="BK49" i="10"/>
  <c r="BE49" i="10"/>
  <c r="BF49" i="10"/>
  <c r="BD502" i="10"/>
  <c r="BK502" i="10"/>
  <c r="BE502" i="10"/>
  <c r="BF502" i="10"/>
  <c r="BD198" i="10"/>
  <c r="BK198" i="10"/>
  <c r="BE198" i="10"/>
  <c r="BF198" i="10"/>
  <c r="BD91" i="10"/>
  <c r="BK91" i="10"/>
  <c r="BE91" i="10"/>
  <c r="BF91" i="10"/>
  <c r="BD45" i="10"/>
  <c r="BK45" i="10"/>
  <c r="BE45" i="10"/>
  <c r="BF45" i="10"/>
  <c r="BD54" i="10"/>
  <c r="BK54" i="10"/>
  <c r="BE54" i="10"/>
  <c r="BF54" i="10"/>
  <c r="BD13" i="10"/>
  <c r="BK13" i="10"/>
  <c r="BE13" i="10"/>
  <c r="BF13" i="10"/>
  <c r="BD496" i="10"/>
  <c r="BK496" i="10"/>
  <c r="BE496" i="10"/>
  <c r="BF496" i="10"/>
  <c r="BD478" i="10"/>
  <c r="BK478" i="10"/>
  <c r="BE478" i="10"/>
  <c r="BF478" i="10"/>
  <c r="BD461" i="10"/>
  <c r="BK461" i="10"/>
  <c r="BE461" i="10"/>
  <c r="BF461" i="10"/>
  <c r="BD449" i="10"/>
  <c r="BK449" i="10"/>
  <c r="BE449" i="10"/>
  <c r="BF449" i="10"/>
  <c r="BD415" i="10"/>
  <c r="BK415" i="10"/>
  <c r="BE415" i="10"/>
  <c r="BF415" i="10"/>
  <c r="BD352" i="10"/>
  <c r="BK352" i="10"/>
  <c r="BE352" i="10"/>
  <c r="BF352" i="10"/>
  <c r="BD499" i="10"/>
  <c r="BK499" i="10"/>
  <c r="BE499" i="10"/>
  <c r="BF499" i="10"/>
  <c r="BD476" i="10"/>
  <c r="BK476" i="10"/>
  <c r="BE476" i="10"/>
  <c r="BF476" i="10"/>
  <c r="BD460" i="10"/>
  <c r="BK460" i="10"/>
  <c r="BE460" i="10"/>
  <c r="BF460" i="10"/>
  <c r="BD440" i="10"/>
  <c r="BK440" i="10"/>
  <c r="BE440" i="10"/>
  <c r="BF440" i="10"/>
  <c r="BD407" i="10"/>
  <c r="BK407" i="10"/>
  <c r="BE407" i="10"/>
  <c r="BF407" i="10"/>
  <c r="BD506" i="10"/>
  <c r="BK506" i="10"/>
  <c r="BE506" i="10"/>
  <c r="BF506" i="10"/>
  <c r="BD500" i="10"/>
  <c r="BK500" i="10"/>
  <c r="BE500" i="10"/>
  <c r="BF500" i="10"/>
  <c r="BD489" i="10"/>
  <c r="BK489" i="10"/>
  <c r="BE489" i="10"/>
  <c r="BF489" i="10"/>
  <c r="BD470" i="10"/>
  <c r="BK470" i="10"/>
  <c r="BE470" i="10"/>
  <c r="BF470" i="10"/>
  <c r="BD400" i="10"/>
  <c r="BK400" i="10"/>
  <c r="BE400" i="10"/>
  <c r="BF400" i="10"/>
  <c r="BD386" i="10"/>
  <c r="BK386" i="10"/>
  <c r="BE386" i="10"/>
  <c r="BF386" i="10"/>
  <c r="BD392" i="10"/>
  <c r="BK392" i="10"/>
  <c r="BE392" i="10"/>
  <c r="BF392" i="10"/>
  <c r="BD363" i="10"/>
  <c r="BK363" i="10"/>
  <c r="BE363" i="10"/>
  <c r="BF363" i="10"/>
  <c r="BD357" i="10"/>
  <c r="BK357" i="10"/>
  <c r="BE357" i="10"/>
  <c r="BF357" i="10"/>
  <c r="BD297" i="10"/>
  <c r="BK297" i="10"/>
  <c r="BE297" i="10"/>
  <c r="BF297" i="10"/>
  <c r="BD317" i="10"/>
  <c r="BK317" i="10"/>
  <c r="BE317" i="10"/>
  <c r="BF317" i="10"/>
  <c r="BD230" i="10"/>
  <c r="BK230" i="10"/>
  <c r="BE230" i="10"/>
  <c r="BF230" i="10"/>
  <c r="BD226" i="10"/>
  <c r="BK226" i="10"/>
  <c r="BE226" i="10"/>
  <c r="BF226" i="10"/>
  <c r="BD223" i="10"/>
  <c r="BK223" i="10"/>
  <c r="BE223" i="10"/>
  <c r="BF223" i="10"/>
  <c r="BD389" i="10"/>
  <c r="BK389" i="10"/>
  <c r="BE389" i="10"/>
  <c r="BF389" i="10"/>
  <c r="BD338" i="10"/>
  <c r="BK338" i="10"/>
  <c r="BE338" i="10"/>
  <c r="BF338" i="10"/>
  <c r="BD381" i="10"/>
  <c r="BK381" i="10"/>
  <c r="BE381" i="10"/>
  <c r="BF381" i="10"/>
  <c r="BD368" i="10"/>
  <c r="BK368" i="10"/>
  <c r="BE368" i="10"/>
  <c r="BF368" i="10"/>
  <c r="BD343" i="10"/>
  <c r="BK343" i="10"/>
  <c r="BE343" i="10"/>
  <c r="BF343" i="10"/>
  <c r="BD322" i="10"/>
  <c r="BK322" i="10"/>
  <c r="BE322" i="10"/>
  <c r="BF322" i="10"/>
  <c r="BD378" i="10"/>
  <c r="BK378" i="10"/>
  <c r="BE378" i="10"/>
  <c r="BF378" i="10"/>
  <c r="BD366" i="10"/>
  <c r="BK366" i="10"/>
  <c r="BE366" i="10"/>
  <c r="BF366" i="10"/>
  <c r="BD333" i="10"/>
  <c r="BK333" i="10"/>
  <c r="BE333" i="10"/>
  <c r="BF333" i="10"/>
  <c r="BD323" i="10"/>
  <c r="BK323" i="10"/>
  <c r="BE323" i="10"/>
  <c r="BF323" i="10"/>
  <c r="BD353" i="10"/>
  <c r="BK353" i="10"/>
  <c r="BE353" i="10"/>
  <c r="BF353" i="10"/>
  <c r="BD201" i="10"/>
  <c r="BK201" i="10"/>
  <c r="BE201" i="10"/>
  <c r="BF201" i="10"/>
  <c r="BD217" i="10"/>
  <c r="BK217" i="10"/>
  <c r="BE217" i="10"/>
  <c r="BF217" i="10"/>
  <c r="BD46" i="10"/>
  <c r="BK46" i="10"/>
  <c r="BE46" i="10"/>
  <c r="BF46" i="10"/>
  <c r="BD21" i="10"/>
  <c r="BK21" i="10"/>
  <c r="BE21" i="10"/>
  <c r="BF21" i="10"/>
  <c r="BD67" i="10"/>
  <c r="BK67" i="10"/>
  <c r="BE67" i="10"/>
  <c r="BF67" i="10"/>
  <c r="BD40" i="10"/>
  <c r="BK40" i="10"/>
  <c r="BE40" i="10"/>
  <c r="BF40" i="10"/>
  <c r="BD17" i="10"/>
  <c r="BK17" i="10"/>
  <c r="BE17" i="10"/>
  <c r="BF17" i="10"/>
  <c r="BD83" i="10"/>
  <c r="BK83" i="10"/>
  <c r="BE83" i="10"/>
  <c r="BF83" i="10"/>
  <c r="BD120" i="10"/>
  <c r="BK120" i="10"/>
  <c r="BE120" i="10"/>
  <c r="BF120" i="10"/>
  <c r="BD140" i="10"/>
  <c r="BK140" i="10"/>
  <c r="BE140" i="10"/>
  <c r="BF140" i="10"/>
  <c r="BD154" i="10"/>
  <c r="BK154" i="10"/>
  <c r="BE154" i="10"/>
  <c r="BF154" i="10"/>
  <c r="BD29" i="10"/>
  <c r="BK29" i="10"/>
  <c r="BE29" i="10"/>
  <c r="BF29" i="10"/>
  <c r="BD87" i="10"/>
  <c r="BK87" i="10"/>
  <c r="BE87" i="10"/>
  <c r="BF87" i="10"/>
  <c r="BD123" i="10"/>
  <c r="BK123" i="10"/>
  <c r="BE123" i="10"/>
  <c r="BF123" i="10"/>
  <c r="BD132" i="10"/>
  <c r="BK132" i="10"/>
  <c r="BE132" i="10"/>
  <c r="BF132" i="10"/>
  <c r="BD60" i="10"/>
  <c r="BK60" i="10"/>
  <c r="BE60" i="10"/>
  <c r="BF60" i="10"/>
  <c r="BD85" i="10"/>
  <c r="BK85" i="10"/>
  <c r="BE85" i="10"/>
  <c r="BF85" i="10"/>
  <c r="BD151" i="10"/>
  <c r="BK151" i="10"/>
  <c r="BE151" i="10"/>
  <c r="BF151" i="10"/>
  <c r="BD129" i="10"/>
  <c r="BK129" i="10"/>
  <c r="BE129" i="10"/>
  <c r="BF129" i="10"/>
  <c r="BD72" i="10"/>
  <c r="BK72" i="10"/>
  <c r="BE72" i="10"/>
  <c r="BF72" i="10"/>
  <c r="BD89" i="10"/>
  <c r="BK89" i="10"/>
  <c r="BE89" i="10"/>
  <c r="BF89" i="10"/>
  <c r="BD107" i="10"/>
  <c r="BK107" i="10"/>
  <c r="BE107" i="10"/>
  <c r="BF107" i="10"/>
  <c r="BD47" i="10"/>
  <c r="BK47" i="10"/>
  <c r="BE47" i="10"/>
  <c r="BF47" i="10"/>
  <c r="BD493" i="10"/>
  <c r="BK493" i="10"/>
  <c r="BE493" i="10"/>
  <c r="BF493" i="10"/>
  <c r="BD451" i="10"/>
  <c r="BK451" i="10"/>
  <c r="BE451" i="10"/>
  <c r="BF451" i="10"/>
  <c r="BD505" i="10"/>
  <c r="BK505" i="10"/>
  <c r="BE505" i="10"/>
  <c r="BF505" i="10"/>
  <c r="BD485" i="10"/>
  <c r="BK485" i="10"/>
  <c r="BE485" i="10"/>
  <c r="BF485" i="10"/>
  <c r="BD469" i="10"/>
  <c r="BK469" i="10"/>
  <c r="BE469" i="10"/>
  <c r="BF469" i="10"/>
  <c r="BD361" i="10"/>
  <c r="BK361" i="10"/>
  <c r="BE361" i="10"/>
  <c r="BF361" i="10"/>
  <c r="BD254" i="10"/>
  <c r="BK254" i="10"/>
  <c r="BE254" i="10"/>
  <c r="BF254" i="10"/>
  <c r="BD225" i="10"/>
  <c r="BK225" i="10"/>
  <c r="BE225" i="10"/>
  <c r="BF225" i="10"/>
  <c r="BD387" i="10"/>
  <c r="BK387" i="10"/>
  <c r="BE387" i="10"/>
  <c r="BF387" i="10"/>
  <c r="BD380" i="10"/>
  <c r="BK380" i="10"/>
  <c r="BE380" i="10"/>
  <c r="BF380" i="10"/>
  <c r="BD390" i="10"/>
  <c r="BK390" i="10"/>
  <c r="BE390" i="10"/>
  <c r="BF390" i="10"/>
  <c r="BD200" i="10"/>
  <c r="BK200" i="10"/>
  <c r="BE200" i="10"/>
  <c r="BF200" i="10"/>
  <c r="BD70" i="10"/>
  <c r="BK70" i="10"/>
  <c r="BE70" i="10"/>
  <c r="BF70" i="10"/>
  <c r="BD152" i="10"/>
  <c r="BK152" i="10"/>
  <c r="BE152" i="10"/>
  <c r="BF152" i="10"/>
  <c r="BD109" i="10"/>
  <c r="BK109" i="10"/>
  <c r="BE109" i="10"/>
  <c r="BF109" i="10"/>
  <c r="BD69" i="10"/>
  <c r="BK69" i="10"/>
  <c r="BE69" i="10"/>
  <c r="BF69" i="10"/>
  <c r="BD121" i="10"/>
  <c r="BK121" i="10"/>
  <c r="BE121" i="10"/>
  <c r="BF121" i="10"/>
  <c r="BD58" i="10"/>
  <c r="BK58" i="10"/>
  <c r="BE58" i="10"/>
  <c r="BF58" i="10"/>
  <c r="BD148" i="10"/>
  <c r="BK148" i="10"/>
  <c r="BE148" i="10"/>
  <c r="BF148" i="10"/>
  <c r="BD93" i="10"/>
  <c r="BK93" i="10"/>
  <c r="BE93" i="10"/>
  <c r="BF93" i="10"/>
  <c r="BD99" i="10"/>
  <c r="BK99" i="10"/>
  <c r="BE99" i="10"/>
  <c r="BF99" i="10"/>
  <c r="BD51" i="10"/>
  <c r="BK51" i="10"/>
  <c r="BE51" i="10"/>
  <c r="BF51" i="10"/>
  <c r="BD53" i="10"/>
  <c r="BK53" i="10"/>
  <c r="BE53" i="10"/>
  <c r="BF53" i="10"/>
  <c r="BD12" i="10"/>
  <c r="BK12" i="10"/>
  <c r="BE12" i="10"/>
  <c r="BF12" i="10"/>
  <c r="BD204" i="10"/>
  <c r="BK204" i="10"/>
  <c r="BE204" i="10"/>
  <c r="BF204" i="10"/>
  <c r="BD189" i="10"/>
  <c r="BK189" i="10"/>
  <c r="BE189" i="10"/>
  <c r="BF189" i="10"/>
  <c r="BD466" i="10"/>
  <c r="BK466" i="10"/>
  <c r="BE466" i="10"/>
  <c r="BF466" i="10"/>
  <c r="BD412" i="10"/>
  <c r="BK412" i="10"/>
  <c r="BE412" i="10"/>
  <c r="BF412" i="10"/>
  <c r="BD63" i="10"/>
  <c r="BK63" i="10"/>
  <c r="BE63" i="10"/>
  <c r="BF63" i="10"/>
  <c r="BD464" i="10"/>
  <c r="BK464" i="10"/>
  <c r="BE464" i="10"/>
  <c r="BF464" i="10"/>
  <c r="BD430" i="10"/>
  <c r="BK430" i="10"/>
  <c r="BE430" i="10"/>
  <c r="BF430" i="10"/>
  <c r="BD504" i="10"/>
  <c r="BK504" i="10"/>
  <c r="BE504" i="10"/>
  <c r="BF504" i="10"/>
  <c r="BD492" i="10"/>
  <c r="BK492" i="10"/>
  <c r="BE492" i="10"/>
  <c r="BF492" i="10"/>
  <c r="BD487" i="10"/>
  <c r="BK487" i="10"/>
  <c r="BE487" i="10"/>
  <c r="BF487" i="10"/>
  <c r="BD484" i="10"/>
  <c r="BK484" i="10"/>
  <c r="BE484" i="10"/>
  <c r="BF484" i="10"/>
  <c r="BD452" i="10"/>
  <c r="BK452" i="10"/>
  <c r="BE452" i="10"/>
  <c r="BF452" i="10"/>
  <c r="BD482" i="10"/>
  <c r="BK482" i="10"/>
  <c r="BE482" i="10"/>
  <c r="BF482" i="10"/>
  <c r="BD379" i="10"/>
  <c r="BK379" i="10"/>
  <c r="BE379" i="10"/>
  <c r="BF379" i="10"/>
  <c r="BD359" i="10"/>
  <c r="BK359" i="10"/>
  <c r="BE359" i="10"/>
  <c r="BF359" i="10"/>
  <c r="BD330" i="10"/>
  <c r="BK330" i="10"/>
  <c r="BE330" i="10"/>
  <c r="BF330" i="10"/>
  <c r="BD346" i="10"/>
  <c r="BK346" i="10"/>
  <c r="BE346" i="10"/>
  <c r="BF346" i="10"/>
  <c r="BD283" i="10"/>
  <c r="BK283" i="10"/>
  <c r="BE283" i="10"/>
  <c r="BF283" i="10"/>
  <c r="BD228" i="10"/>
  <c r="BK228" i="10"/>
  <c r="BE228" i="10"/>
  <c r="BF228" i="10"/>
  <c r="BD224" i="10"/>
  <c r="BK224" i="10"/>
  <c r="BE224" i="10"/>
  <c r="BF224" i="10"/>
  <c r="BD383" i="10"/>
  <c r="BK383" i="10"/>
  <c r="BE383" i="10"/>
  <c r="BF383" i="10"/>
  <c r="BD290" i="10"/>
  <c r="BK290" i="10"/>
  <c r="BE290" i="10"/>
  <c r="BF290" i="10"/>
  <c r="BD233" i="10"/>
  <c r="BK233" i="10"/>
  <c r="BE233" i="10"/>
  <c r="BF233" i="10"/>
  <c r="BD377" i="10"/>
  <c r="BK377" i="10"/>
  <c r="BE377" i="10"/>
  <c r="BF377" i="10"/>
  <c r="BD349" i="10"/>
  <c r="BK349" i="10"/>
  <c r="BE349" i="10"/>
  <c r="BF349" i="10"/>
  <c r="BD373" i="10"/>
  <c r="BK373" i="10"/>
  <c r="BE373" i="10"/>
  <c r="BF373" i="10"/>
  <c r="BD385" i="10"/>
  <c r="BK385" i="10"/>
  <c r="BE385" i="10"/>
  <c r="BF385" i="10"/>
  <c r="BD253" i="10"/>
  <c r="BK253" i="10"/>
  <c r="BE253" i="10"/>
  <c r="BF253" i="10"/>
  <c r="BD329" i="10"/>
  <c r="BK329" i="10"/>
  <c r="BE329" i="10"/>
  <c r="BF329" i="10"/>
  <c r="BD255" i="10"/>
  <c r="BK255" i="10"/>
  <c r="BE255" i="10"/>
  <c r="BF255" i="10"/>
  <c r="BD340" i="10"/>
  <c r="BK340" i="10"/>
  <c r="BE340" i="10"/>
  <c r="BF340" i="10"/>
  <c r="BD376" i="10"/>
  <c r="BK376" i="10"/>
  <c r="BE376" i="10"/>
  <c r="BF376" i="10"/>
  <c r="BD199" i="10"/>
  <c r="BK199" i="10"/>
  <c r="BE199" i="10"/>
  <c r="BF199" i="10"/>
  <c r="BD165" i="10"/>
  <c r="BK165" i="10"/>
  <c r="BE165" i="10"/>
  <c r="BF165" i="10"/>
  <c r="BD162" i="10"/>
  <c r="BK162" i="10"/>
  <c r="BE162" i="10"/>
  <c r="BF162" i="10"/>
  <c r="BD84" i="10"/>
  <c r="BK84" i="10"/>
  <c r="BE84" i="10"/>
  <c r="BF84" i="10"/>
  <c r="BD71" i="10"/>
  <c r="BK71" i="10"/>
  <c r="BE71" i="10"/>
  <c r="BF71" i="10"/>
  <c r="BD27" i="10"/>
  <c r="BK27" i="10"/>
  <c r="BE27" i="10"/>
  <c r="BF27" i="10"/>
  <c r="BD110" i="10"/>
  <c r="BK110" i="10"/>
  <c r="BE110" i="10"/>
  <c r="BF110" i="10"/>
  <c r="BD61" i="10"/>
  <c r="BK61" i="10"/>
  <c r="BE61" i="10"/>
  <c r="BF61" i="10"/>
  <c r="BD113" i="10"/>
  <c r="BK113" i="10"/>
  <c r="BE113" i="10"/>
  <c r="BF113" i="10"/>
  <c r="BD9" i="10"/>
  <c r="BK9" i="10"/>
  <c r="BE9" i="10"/>
  <c r="BF9" i="10"/>
  <c r="BD115" i="10"/>
  <c r="BK115" i="10"/>
  <c r="BE115" i="10"/>
  <c r="BF115" i="10"/>
  <c r="BD134" i="10"/>
  <c r="BK134" i="10"/>
  <c r="BE134" i="10"/>
  <c r="BF134" i="10"/>
  <c r="BD15" i="10"/>
  <c r="BK15" i="10"/>
  <c r="BE15" i="10"/>
  <c r="BF15" i="10"/>
  <c r="BD81" i="10"/>
  <c r="BK81" i="10"/>
  <c r="BE81" i="10"/>
  <c r="BF81" i="10"/>
  <c r="BD31" i="10"/>
  <c r="BK31" i="10"/>
  <c r="BE31" i="10"/>
  <c r="BF31" i="10"/>
  <c r="BD159" i="10"/>
  <c r="BK159" i="10"/>
  <c r="BE159" i="10"/>
  <c r="BF159" i="10"/>
  <c r="BD26" i="10"/>
  <c r="BK26" i="10"/>
  <c r="BE26" i="10"/>
  <c r="BF26" i="10"/>
  <c r="BD106" i="10"/>
  <c r="BK106" i="10"/>
  <c r="BE106" i="10"/>
  <c r="BF106" i="10"/>
  <c r="BD92" i="10"/>
  <c r="BK92" i="10"/>
  <c r="BE92" i="10"/>
  <c r="BF92" i="10"/>
  <c r="B352" i="10"/>
  <c r="H643" i="10"/>
  <c r="H631" i="10"/>
  <c r="H640" i="10"/>
  <c r="H608" i="10"/>
  <c r="H634" i="10"/>
  <c r="H614" i="10"/>
  <c r="H619" i="10"/>
  <c r="H629" i="10"/>
  <c r="H625" i="10"/>
  <c r="H610" i="10"/>
  <c r="H612" i="10"/>
  <c r="H605" i="10"/>
  <c r="H622" i="10"/>
  <c r="H627" i="10"/>
  <c r="H615" i="10"/>
  <c r="H638" i="10"/>
  <c r="H604" i="10"/>
  <c r="H618" i="10"/>
  <c r="H598" i="10"/>
  <c r="H624" i="10"/>
  <c r="H613" i="10"/>
  <c r="H630" i="10"/>
  <c r="H635" i="10"/>
  <c r="H609" i="10"/>
  <c r="H620" i="10"/>
  <c r="H639" i="10"/>
  <c r="H641" i="10"/>
  <c r="H626" i="10"/>
  <c r="H623" i="10"/>
  <c r="H611" i="10"/>
  <c r="H621" i="10"/>
  <c r="H642" i="10"/>
  <c r="H617" i="10"/>
  <c r="H606" i="10"/>
  <c r="H632" i="10"/>
  <c r="H637" i="10"/>
  <c r="H633" i="10"/>
  <c r="H607" i="10"/>
  <c r="H602" i="10"/>
  <c r="H628" i="10"/>
  <c r="H597" i="10"/>
  <c r="H599" i="10"/>
  <c r="AC579" i="10"/>
  <c r="AD579" i="10"/>
  <c r="AC565" i="10"/>
  <c r="AC555" i="10"/>
  <c r="AD555" i="10"/>
  <c r="AC583" i="10"/>
  <c r="AD583" i="10"/>
  <c r="AC568" i="10"/>
  <c r="AD568" i="10"/>
  <c r="AC558" i="10"/>
  <c r="AD558" i="10"/>
  <c r="AC575" i="10"/>
  <c r="AD575" i="10"/>
  <c r="AC569" i="10"/>
  <c r="AC551" i="10"/>
  <c r="AD551" i="10"/>
  <c r="AC585" i="10"/>
  <c r="AD585" i="10"/>
  <c r="AC553" i="10"/>
  <c r="AC577" i="10"/>
  <c r="AD577" i="10"/>
  <c r="AC574" i="10"/>
  <c r="AD574" i="10"/>
  <c r="AC563" i="10"/>
  <c r="AD563" i="10"/>
  <c r="AC586" i="10"/>
  <c r="AD586" i="10"/>
  <c r="AC561" i="10"/>
  <c r="AC552" i="10"/>
  <c r="AD552" i="10"/>
  <c r="AC567" i="10"/>
  <c r="AD567" i="10"/>
  <c r="AC548" i="10"/>
  <c r="AD548" i="10"/>
  <c r="AC576" i="10"/>
  <c r="AD576" i="10"/>
  <c r="AC559" i="10"/>
  <c r="AD559" i="10"/>
  <c r="AC573" i="10"/>
  <c r="AD573" i="10"/>
  <c r="AC556" i="10"/>
  <c r="AD556" i="10"/>
  <c r="AC554" i="10"/>
  <c r="AD554" i="10"/>
  <c r="AC547" i="10"/>
  <c r="AD547" i="10"/>
  <c r="AC582" i="10"/>
  <c r="AD582" i="10"/>
  <c r="AC550" i="10"/>
  <c r="AD550" i="10"/>
  <c r="AC566" i="10"/>
  <c r="AD566" i="10"/>
  <c r="AC571" i="10"/>
  <c r="AD571" i="10"/>
  <c r="AC557" i="10"/>
  <c r="AD557" i="10"/>
  <c r="AC584" i="10"/>
  <c r="AD584" i="10"/>
  <c r="AC572" i="10"/>
  <c r="AD572" i="10"/>
  <c r="AC560" i="10"/>
  <c r="AD560" i="10"/>
  <c r="AC549" i="10"/>
  <c r="AD549" i="10"/>
  <c r="AC564" i="10"/>
  <c r="AD564" i="10"/>
  <c r="AC578" i="10"/>
  <c r="AD578" i="10"/>
  <c r="AC562" i="10"/>
  <c r="AC570" i="10"/>
  <c r="AD570" i="10"/>
  <c r="AL596" i="10"/>
  <c r="AL600" i="10"/>
  <c r="AL608" i="10"/>
  <c r="AL616" i="10"/>
  <c r="AL599" i="10"/>
  <c r="AL615" i="10"/>
  <c r="AL618" i="10"/>
  <c r="AL597" i="10"/>
  <c r="AL604" i="10"/>
  <c r="AL612" i="10"/>
  <c r="AL620" i="10"/>
  <c r="AL603" i="10"/>
  <c r="AL611" i="10"/>
  <c r="AL619" i="10"/>
  <c r="AL605" i="10"/>
  <c r="AL613" i="10"/>
  <c r="AL610" i="10"/>
  <c r="AL601" i="10"/>
  <c r="AL617" i="10"/>
  <c r="AL598" i="10"/>
  <c r="AL606" i="10"/>
  <c r="AL614" i="10"/>
  <c r="AK596" i="10"/>
  <c r="AL607" i="10"/>
  <c r="AL602" i="10"/>
  <c r="AL609" i="10"/>
  <c r="AC545" i="10"/>
  <c r="AC529" i="10"/>
  <c r="AC219" i="10"/>
  <c r="AC114" i="10"/>
  <c r="AC385" i="10"/>
  <c r="AC355" i="10"/>
  <c r="AC536" i="10"/>
  <c r="AC520" i="10"/>
  <c r="AC504" i="10"/>
  <c r="AC140" i="10"/>
  <c r="AC128" i="10"/>
  <c r="AC393" i="10"/>
  <c r="AC379" i="10"/>
  <c r="AC372" i="10"/>
  <c r="AC345" i="10"/>
  <c r="AC543" i="10"/>
  <c r="AC157" i="10"/>
  <c r="AC375" i="10"/>
  <c r="AC357" i="10"/>
  <c r="AC346" i="10"/>
  <c r="AC332" i="10"/>
  <c r="AC323" i="10"/>
  <c r="AC108" i="10"/>
  <c r="AC99" i="10"/>
  <c r="AC485" i="10"/>
  <c r="AC162" i="10"/>
  <c r="AC217" i="10"/>
  <c r="AC78" i="10"/>
  <c r="AC309" i="10"/>
  <c r="AC308" i="10"/>
  <c r="AC468" i="10"/>
  <c r="AC169" i="10"/>
  <c r="AC499" i="10"/>
  <c r="AC392" i="10"/>
  <c r="AC361" i="10"/>
  <c r="AC156" i="10"/>
  <c r="AC125" i="10"/>
  <c r="AC374" i="10"/>
  <c r="AC100" i="10"/>
  <c r="AC314" i="10"/>
  <c r="AC480" i="10"/>
  <c r="AC67" i="10"/>
  <c r="AC457" i="10"/>
  <c r="AC279" i="10"/>
  <c r="AC57" i="10"/>
  <c r="AC40" i="10"/>
  <c r="AC272" i="10"/>
  <c r="AC431" i="10"/>
  <c r="AC420" i="10"/>
  <c r="AC411" i="10"/>
  <c r="AC26" i="10"/>
  <c r="AC294" i="10"/>
  <c r="AC22" i="10"/>
  <c r="AC405" i="10"/>
  <c r="AC237" i="10"/>
  <c r="AC538" i="10"/>
  <c r="AC142" i="10"/>
  <c r="AC387" i="10"/>
  <c r="AC334" i="10"/>
  <c r="AC320" i="10"/>
  <c r="AC484" i="10"/>
  <c r="AC96" i="10"/>
  <c r="AC312" i="10"/>
  <c r="AC71" i="10"/>
  <c r="AC66" i="10"/>
  <c r="AC58" i="10"/>
  <c r="AC56" i="10"/>
  <c r="AC46" i="10"/>
  <c r="AC445" i="10"/>
  <c r="AC430" i="10"/>
  <c r="AC262" i="10"/>
  <c r="AC197" i="10"/>
  <c r="AC31" i="10"/>
  <c r="AC25" i="10"/>
  <c r="AC245" i="10"/>
  <c r="AC186" i="10"/>
  <c r="AC399" i="10"/>
  <c r="AC263" i="10"/>
  <c r="AC443" i="10"/>
  <c r="AC23" i="10"/>
  <c r="AC241" i="10"/>
  <c r="AC185" i="10"/>
  <c r="AC223" i="10"/>
  <c r="AC134" i="10"/>
  <c r="AC360" i="10"/>
  <c r="AC339" i="10"/>
  <c r="AC491" i="10"/>
  <c r="AC489" i="10"/>
  <c r="AC494" i="10"/>
  <c r="AC364" i="10"/>
  <c r="AC343" i="10"/>
  <c r="AC327" i="10"/>
  <c r="AC178" i="10"/>
  <c r="AC90" i="10"/>
  <c r="AC163" i="10"/>
  <c r="AC212" i="10"/>
  <c r="AC76" i="10"/>
  <c r="AC204" i="10"/>
  <c r="AC200" i="10"/>
  <c r="AC170" i="10"/>
  <c r="AC60" i="10"/>
  <c r="AC453" i="10"/>
  <c r="AC51" i="10"/>
  <c r="AC44" i="10"/>
  <c r="AC270" i="10"/>
  <c r="AC426" i="10"/>
  <c r="AC416" i="10"/>
  <c r="AC293" i="10"/>
  <c r="AC238" i="10"/>
  <c r="AC226" i="10"/>
  <c r="AC391" i="10"/>
  <c r="AC541" i="10"/>
  <c r="AC525" i="10"/>
  <c r="AC506" i="10"/>
  <c r="AC151" i="10"/>
  <c r="AC124" i="10"/>
  <c r="AC110" i="10"/>
  <c r="AC390" i="10"/>
  <c r="AC381" i="10"/>
  <c r="AC366" i="10"/>
  <c r="AC532" i="10"/>
  <c r="AC153" i="10"/>
  <c r="AC146" i="10"/>
  <c r="AC136" i="10"/>
  <c r="AC117" i="10"/>
  <c r="AC70" i="10"/>
  <c r="AC369" i="10"/>
  <c r="AC362" i="10"/>
  <c r="AC350" i="10"/>
  <c r="AC535" i="10"/>
  <c r="AC154" i="10"/>
  <c r="AC139" i="10"/>
  <c r="AC371" i="10"/>
  <c r="AC337" i="10"/>
  <c r="AC254" i="10"/>
  <c r="AC105" i="10"/>
  <c r="AC213" i="10"/>
  <c r="AC479" i="10"/>
  <c r="AC208" i="10"/>
  <c r="AC205" i="10"/>
  <c r="AC303" i="10"/>
  <c r="AC464" i="10"/>
  <c r="AC462" i="10"/>
  <c r="AC539" i="10"/>
  <c r="AC220" i="10"/>
  <c r="AC143" i="10"/>
  <c r="AC122" i="10"/>
  <c r="AC388" i="10"/>
  <c r="AC353" i="10"/>
  <c r="AC150" i="10"/>
  <c r="AC111" i="10"/>
  <c r="AC367" i="10"/>
  <c r="AC181" i="10"/>
  <c r="AC93" i="10"/>
  <c r="AC215" i="10"/>
  <c r="AC476" i="10"/>
  <c r="AC306" i="10"/>
  <c r="AC203" i="10"/>
  <c r="AC172" i="10"/>
  <c r="AC53" i="10"/>
  <c r="AC273" i="10"/>
  <c r="AC427" i="10"/>
  <c r="AC259" i="10"/>
  <c r="AC418" i="10"/>
  <c r="AC250" i="10"/>
  <c r="AC20" i="10"/>
  <c r="AC14" i="10"/>
  <c r="AC13" i="10"/>
  <c r="AC183" i="10"/>
  <c r="AC522" i="10"/>
  <c r="AC130" i="10"/>
  <c r="AC179" i="10"/>
  <c r="AC97" i="10"/>
  <c r="AC91" i="10"/>
  <c r="AC214" i="10"/>
  <c r="AC77" i="10"/>
  <c r="AC305" i="10"/>
  <c r="AC201" i="10"/>
  <c r="AC171" i="10"/>
  <c r="AC132" i="10"/>
  <c r="AC52" i="10"/>
  <c r="AC433" i="10"/>
  <c r="AC264" i="10"/>
  <c r="AC258" i="10"/>
  <c r="AC417" i="10"/>
  <c r="AC249" i="10"/>
  <c r="AC165" i="10"/>
  <c r="AC19" i="10"/>
  <c r="AC182" i="10"/>
  <c r="AC229" i="10"/>
  <c r="AC257" i="10"/>
  <c r="AC413" i="10"/>
  <c r="AC296" i="10"/>
  <c r="AC18" i="10"/>
  <c r="AC402" i="10"/>
  <c r="AC546" i="10"/>
  <c r="AC115" i="10"/>
  <c r="AC351" i="10"/>
  <c r="AC338" i="10"/>
  <c r="AC107" i="10"/>
  <c r="AC138" i="10"/>
  <c r="AC336" i="10"/>
  <c r="AC330" i="10"/>
  <c r="AC95" i="10"/>
  <c r="AC89" i="10"/>
  <c r="AC88" i="10"/>
  <c r="AC83" i="10"/>
  <c r="AC310" i="10"/>
  <c r="AC469" i="10"/>
  <c r="AC461" i="10"/>
  <c r="AC278" i="10"/>
  <c r="AC440" i="10"/>
  <c r="AC38" i="10"/>
  <c r="AC35" i="10"/>
  <c r="AC248" i="10"/>
  <c r="AC21" i="10"/>
  <c r="AC12" i="10"/>
  <c r="AC530" i="10"/>
  <c r="AC102" i="10"/>
  <c r="AC477" i="10"/>
  <c r="AC166" i="10"/>
  <c r="AC260" i="10"/>
  <c r="AC232" i="10"/>
  <c r="AC211" i="10"/>
  <c r="AC199" i="10"/>
  <c r="AC424" i="10"/>
  <c r="AC191" i="10"/>
  <c r="AC65" i="10"/>
  <c r="AC230" i="10"/>
  <c r="AC472" i="10"/>
  <c r="AC41" i="10"/>
  <c r="AC295" i="10"/>
  <c r="AC198" i="10"/>
  <c r="AC439" i="10"/>
  <c r="AC195" i="10"/>
  <c r="AC224" i="10"/>
  <c r="AC233" i="10"/>
  <c r="AC534" i="10"/>
  <c r="AC378" i="10"/>
  <c r="AC103" i="10"/>
  <c r="AC319" i="10"/>
  <c r="AC86" i="10"/>
  <c r="AC207" i="10"/>
  <c r="AC473" i="10"/>
  <c r="AC463" i="10"/>
  <c r="AC459" i="10"/>
  <c r="AC449" i="10"/>
  <c r="AC42" i="10"/>
  <c r="AC436" i="10"/>
  <c r="AC261" i="10"/>
  <c r="AC24" i="10"/>
  <c r="AC329" i="10"/>
  <c r="AC177" i="10"/>
  <c r="AC61" i="10"/>
  <c r="AC419" i="10"/>
  <c r="AC9" i="10"/>
  <c r="AC222" i="10"/>
  <c r="AC168" i="10"/>
  <c r="AC276" i="10"/>
  <c r="AC292" i="10"/>
  <c r="AC288" i="10"/>
  <c r="AC483" i="10"/>
  <c r="AC435" i="10"/>
  <c r="AC69" i="10"/>
  <c r="AC268" i="10"/>
  <c r="AC299" i="10"/>
  <c r="AC265" i="10"/>
  <c r="AC158" i="10"/>
  <c r="AC137" i="10"/>
  <c r="AC118" i="10"/>
  <c r="AC493" i="10"/>
  <c r="AC540" i="10"/>
  <c r="AC398" i="10"/>
  <c r="AC149" i="10"/>
  <c r="AC500" i="10"/>
  <c r="AC123" i="10"/>
  <c r="AC389" i="10"/>
  <c r="AC373" i="10"/>
  <c r="AC164" i="10"/>
  <c r="AC495" i="10"/>
  <c r="AC347" i="10"/>
  <c r="AC341" i="10"/>
  <c r="AC325" i="10"/>
  <c r="AC488" i="10"/>
  <c r="AC317" i="10"/>
  <c r="AC315" i="10"/>
  <c r="AC176" i="10"/>
  <c r="AC304" i="10"/>
  <c r="AC286" i="10"/>
  <c r="AC283" i="10"/>
  <c r="AC148" i="10"/>
  <c r="AC131" i="10"/>
  <c r="AC537" i="10"/>
  <c r="AC521" i="10"/>
  <c r="AC505" i="10"/>
  <c r="AC141" i="10"/>
  <c r="AC129" i="10"/>
  <c r="AC120" i="10"/>
  <c r="AC394" i="10"/>
  <c r="AC380" i="10"/>
  <c r="AC363" i="10"/>
  <c r="AC544" i="10"/>
  <c r="AC528" i="10"/>
  <c r="AC503" i="10"/>
  <c r="AC145" i="10"/>
  <c r="AC133" i="10"/>
  <c r="AC126" i="10"/>
  <c r="AC113" i="10"/>
  <c r="AC384" i="10"/>
  <c r="AC376" i="10"/>
  <c r="AC358" i="10"/>
  <c r="AC348" i="10"/>
  <c r="AC344" i="10"/>
  <c r="AC527" i="10"/>
  <c r="AC502" i="10"/>
  <c r="AC112" i="10"/>
  <c r="AC383" i="10"/>
  <c r="AC331" i="10"/>
  <c r="AC180" i="10"/>
  <c r="AC92" i="10"/>
  <c r="AC84" i="10"/>
  <c r="AC311" i="10"/>
  <c r="AC475" i="10"/>
  <c r="AC202" i="10"/>
  <c r="AC284" i="10"/>
  <c r="AC531" i="10"/>
  <c r="AC397" i="10"/>
  <c r="AC135" i="10"/>
  <c r="AC116" i="10"/>
  <c r="AC368" i="10"/>
  <c r="AC542" i="10"/>
  <c r="AC144" i="10"/>
  <c r="AC356" i="10"/>
  <c r="AC106" i="10"/>
  <c r="AC74" i="10"/>
  <c r="AC73" i="10"/>
  <c r="AC173" i="10"/>
  <c r="AC282" i="10"/>
  <c r="AC50" i="10"/>
  <c r="AC447" i="10"/>
  <c r="AC441" i="10"/>
  <c r="AC269" i="10"/>
  <c r="AC422" i="10"/>
  <c r="AC414" i="10"/>
  <c r="AC410" i="10"/>
  <c r="AC407" i="10"/>
  <c r="AC291" i="10"/>
  <c r="AC16" i="10"/>
  <c r="AC206" i="10"/>
  <c r="AC155" i="10"/>
  <c r="AC121" i="10"/>
  <c r="AC324" i="10"/>
  <c r="AC490" i="10"/>
  <c r="AC313" i="10"/>
  <c r="AC72" i="10"/>
  <c r="AC470" i="10"/>
  <c r="AC167" i="10"/>
  <c r="AC59" i="10"/>
  <c r="AC49" i="10"/>
  <c r="AC446" i="10"/>
  <c r="AC36" i="10"/>
  <c r="AC421" i="10"/>
  <c r="AC444" i="10"/>
  <c r="AC409" i="10"/>
  <c r="AC301" i="10"/>
  <c r="AC290" i="10"/>
  <c r="AC242" i="10"/>
  <c r="AC10" i="10"/>
  <c r="AC227" i="10"/>
  <c r="AC252" i="10"/>
  <c r="AC30" i="10"/>
  <c r="AC243" i="10"/>
  <c r="AC340" i="10"/>
  <c r="AC253" i="10"/>
  <c r="AC316" i="10"/>
  <c r="AC79" i="10"/>
  <c r="AC448" i="10"/>
  <c r="AC266" i="10"/>
  <c r="AC15" i="10"/>
  <c r="AC152" i="10"/>
  <c r="AC274" i="10"/>
  <c r="AC75" i="10"/>
  <c r="AC256" i="10"/>
  <c r="AC235" i="10"/>
  <c r="AC285" i="10"/>
  <c r="AC406" i="10"/>
  <c r="AC277" i="10"/>
  <c r="AC533" i="10"/>
  <c r="AC147" i="10"/>
  <c r="AC386" i="10"/>
  <c r="AC359" i="10"/>
  <c r="AC524" i="10"/>
  <c r="AC497" i="10"/>
  <c r="AC354" i="10"/>
  <c r="AC127" i="10"/>
  <c r="AC365" i="10"/>
  <c r="AC328" i="10"/>
  <c r="AC101" i="10"/>
  <c r="AC32" i="10"/>
  <c r="AC471" i="10"/>
  <c r="AC523" i="10"/>
  <c r="AC496" i="10"/>
  <c r="AC396" i="10"/>
  <c r="AC335" i="10"/>
  <c r="AC486" i="10"/>
  <c r="AC210" i="10"/>
  <c r="AC63" i="10"/>
  <c r="AC190" i="10"/>
  <c r="AC104" i="10"/>
  <c r="AC80" i="10"/>
  <c r="AC465" i="10"/>
  <c r="AC47" i="10"/>
  <c r="AC423" i="10"/>
  <c r="AC297" i="10"/>
  <c r="AC11" i="10"/>
  <c r="AC119" i="10"/>
  <c r="AC333" i="10"/>
  <c r="AC62" i="10"/>
  <c r="AC300" i="10"/>
  <c r="AC342" i="10"/>
  <c r="AC94" i="10"/>
  <c r="AC408" i="10"/>
  <c r="AC221" i="10"/>
  <c r="AC175" i="10"/>
  <c r="AC442" i="10"/>
  <c r="AC17" i="10"/>
  <c r="AC280" i="10"/>
  <c r="AC187" i="10"/>
  <c r="AC467" i="10"/>
  <c r="AC34" i="10"/>
  <c r="AC68" i="10"/>
  <c r="AC98" i="10"/>
  <c r="AC85" i="10"/>
  <c r="AC55" i="10"/>
  <c r="AC326" i="10"/>
  <c r="AC271" i="10"/>
  <c r="AC456" i="10"/>
  <c r="AC481" i="10"/>
  <c r="AC82" i="10"/>
  <c r="AC526" i="10"/>
  <c r="AC81" i="10"/>
  <c r="AC48" i="10"/>
  <c r="AC403" i="10"/>
  <c r="AC255" i="10"/>
  <c r="AC450" i="10"/>
  <c r="AC28" i="10"/>
  <c r="AC218" i="10"/>
  <c r="AC159" i="10"/>
  <c r="AC478" i="10"/>
  <c r="AC45" i="10"/>
  <c r="AC428" i="10"/>
  <c r="AC452" i="10"/>
  <c r="AC225" i="10"/>
  <c r="AC246" i="10"/>
  <c r="AC382" i="10"/>
  <c r="AC37" i="10"/>
  <c r="AC281" i="10"/>
  <c r="AC438" i="10"/>
  <c r="AC194" i="10"/>
  <c r="AC501" i="10"/>
  <c r="AC487" i="10"/>
  <c r="AC209" i="10"/>
  <c r="AC460" i="10"/>
  <c r="AC43" i="10"/>
  <c r="AC189" i="10"/>
  <c r="AC234" i="10"/>
  <c r="AC289" i="10"/>
  <c r="AC322" i="10"/>
  <c r="AC370" i="10"/>
  <c r="AC492" i="10"/>
  <c r="AC482" i="10"/>
  <c r="AC454" i="10"/>
  <c r="AC434" i="10"/>
  <c r="AC404" i="10"/>
  <c r="AC216" i="10"/>
  <c r="AC54" i="10"/>
  <c r="AC27" i="10"/>
  <c r="AC174" i="10"/>
  <c r="AC39" i="10"/>
  <c r="AC236" i="10"/>
  <c r="AC228" i="10"/>
  <c r="AC64" i="10"/>
  <c r="AC251" i="10"/>
  <c r="AC458" i="10"/>
  <c r="AC349" i="10"/>
  <c r="AC321" i="10"/>
  <c r="AC87" i="10"/>
  <c r="AC161" i="10"/>
  <c r="AC451" i="10"/>
  <c r="AC267" i="10"/>
  <c r="AC29" i="10"/>
  <c r="AC240" i="10"/>
  <c r="AC395" i="10"/>
  <c r="AC474" i="10"/>
  <c r="AC455" i="10"/>
  <c r="AC437" i="10"/>
  <c r="AC193" i="10"/>
  <c r="AC244" i="10"/>
  <c r="AC188" i="10"/>
  <c r="AC377" i="10"/>
  <c r="AC109" i="10"/>
  <c r="AC302" i="10"/>
  <c r="AC429" i="10"/>
  <c r="AC400" i="10"/>
  <c r="AC307" i="10"/>
  <c r="AC318" i="10"/>
  <c r="AC415" i="10"/>
  <c r="AC231" i="10"/>
  <c r="AC466" i="10"/>
  <c r="AC33" i="10"/>
  <c r="AC298" i="10"/>
  <c r="AC160" i="10"/>
  <c r="AC432" i="10"/>
  <c r="AC239" i="10"/>
  <c r="AC196" i="10"/>
  <c r="AC498" i="10"/>
  <c r="AC287" i="10"/>
  <c r="AC184" i="10"/>
  <c r="AC247" i="10"/>
  <c r="AC412" i="10"/>
  <c r="AC275" i="10"/>
  <c r="AC352" i="10"/>
  <c r="K51" i="34"/>
  <c r="M51" i="34"/>
  <c r="K16" i="34"/>
  <c r="M16" i="34"/>
  <c r="K55" i="34"/>
  <c r="M55" i="34"/>
  <c r="K56" i="34"/>
  <c r="M56" i="34"/>
  <c r="K181" i="34"/>
  <c r="M181" i="34"/>
  <c r="K12" i="34"/>
  <c r="M12" i="34"/>
  <c r="K11" i="34"/>
  <c r="M11" i="34"/>
  <c r="K211" i="34"/>
  <c r="M211" i="34"/>
  <c r="K240" i="34"/>
  <c r="M240" i="34"/>
  <c r="K46" i="34"/>
  <c r="M46" i="34"/>
  <c r="K17" i="34"/>
  <c r="M17" i="34"/>
  <c r="K9" i="34"/>
  <c r="M9" i="34"/>
  <c r="K247" i="34"/>
  <c r="M247" i="34"/>
  <c r="K239" i="34"/>
  <c r="M239" i="34"/>
  <c r="K231" i="34"/>
  <c r="M231" i="34"/>
  <c r="K221" i="34"/>
  <c r="M221" i="34"/>
  <c r="K213" i="34"/>
  <c r="M213" i="34"/>
  <c r="K203" i="34"/>
  <c r="M203" i="34"/>
  <c r="K195" i="34"/>
  <c r="M195" i="34"/>
  <c r="K187" i="34"/>
  <c r="M187" i="34"/>
  <c r="K173" i="34"/>
  <c r="M173" i="34"/>
  <c r="K165" i="34"/>
  <c r="M165" i="34"/>
  <c r="K157" i="34"/>
  <c r="M157" i="34"/>
  <c r="K149" i="34"/>
  <c r="M149" i="34"/>
  <c r="K141" i="34"/>
  <c r="M141" i="34"/>
  <c r="K133" i="34"/>
  <c r="M133" i="34"/>
  <c r="K39" i="34"/>
  <c r="M39" i="34"/>
  <c r="K31" i="34"/>
  <c r="M31" i="34"/>
  <c r="K23" i="34"/>
  <c r="M23" i="34"/>
  <c r="K13" i="34"/>
  <c r="M13" i="34"/>
  <c r="J47" i="34"/>
  <c r="J63" i="34"/>
  <c r="L63" i="34"/>
  <c r="J71" i="34"/>
  <c r="J79" i="34"/>
  <c r="L79" i="34"/>
  <c r="J87" i="34"/>
  <c r="L87" i="34"/>
  <c r="J95" i="34"/>
  <c r="L95" i="34"/>
  <c r="J103" i="34"/>
  <c r="J111" i="34"/>
  <c r="L111" i="34"/>
  <c r="J119" i="34"/>
  <c r="J127" i="34"/>
  <c r="J247" i="34"/>
  <c r="J239" i="34"/>
  <c r="J231" i="34"/>
  <c r="L231" i="34"/>
  <c r="J221" i="34"/>
  <c r="J213" i="34"/>
  <c r="L213" i="34"/>
  <c r="J203" i="34"/>
  <c r="J195" i="34"/>
  <c r="J187" i="34"/>
  <c r="J173" i="34"/>
  <c r="L173" i="34"/>
  <c r="J165" i="34"/>
  <c r="L165" i="34"/>
  <c r="J157" i="34"/>
  <c r="L157" i="34"/>
  <c r="J149" i="34"/>
  <c r="L149" i="34"/>
  <c r="J141" i="34"/>
  <c r="L141" i="34"/>
  <c r="J133" i="34"/>
  <c r="L133" i="34"/>
  <c r="J39" i="34"/>
  <c r="J31" i="34"/>
  <c r="L31" i="34"/>
  <c r="J23" i="34"/>
  <c r="L23" i="34"/>
  <c r="J13" i="34"/>
  <c r="L13" i="34"/>
  <c r="K47" i="34"/>
  <c r="M47" i="34"/>
  <c r="K63" i="34"/>
  <c r="M63" i="34"/>
  <c r="K71" i="34"/>
  <c r="M71" i="34"/>
  <c r="K79" i="34"/>
  <c r="M79" i="34"/>
  <c r="K87" i="34"/>
  <c r="M87" i="34"/>
  <c r="K95" i="34"/>
  <c r="M95" i="34"/>
  <c r="K103" i="34"/>
  <c r="M103" i="34"/>
  <c r="K111" i="34"/>
  <c r="M111" i="34"/>
  <c r="K119" i="34"/>
  <c r="M119" i="34"/>
  <c r="K127" i="34"/>
  <c r="M127" i="34"/>
  <c r="K246" i="34"/>
  <c r="M246" i="34"/>
  <c r="K228" i="34"/>
  <c r="M228" i="34"/>
  <c r="K220" i="34"/>
  <c r="M220" i="34"/>
  <c r="K212" i="34"/>
  <c r="M212" i="34"/>
  <c r="K204" i="34"/>
  <c r="M204" i="34"/>
  <c r="K245" i="34"/>
  <c r="M245" i="34"/>
  <c r="K237" i="34"/>
  <c r="M237" i="34"/>
  <c r="K229" i="34"/>
  <c r="M229" i="34"/>
  <c r="K219" i="34"/>
  <c r="M219" i="34"/>
  <c r="K209" i="34"/>
  <c r="M209" i="34"/>
  <c r="K201" i="34"/>
  <c r="M201" i="34"/>
  <c r="K193" i="34"/>
  <c r="M193" i="34"/>
  <c r="K179" i="34"/>
  <c r="M179" i="34"/>
  <c r="K171" i="34"/>
  <c r="M171" i="34"/>
  <c r="K163" i="34"/>
  <c r="M163" i="34"/>
  <c r="K155" i="34"/>
  <c r="M155" i="34"/>
  <c r="K147" i="34"/>
  <c r="M147" i="34"/>
  <c r="K139" i="34"/>
  <c r="M139" i="34"/>
  <c r="K45" i="34"/>
  <c r="M45" i="34"/>
  <c r="K37" i="34"/>
  <c r="M37" i="34"/>
  <c r="K29" i="34"/>
  <c r="M29" i="34"/>
  <c r="K21" i="34"/>
  <c r="M21" i="34"/>
  <c r="J49" i="34"/>
  <c r="J65" i="34"/>
  <c r="L65" i="34"/>
  <c r="J73" i="34"/>
  <c r="J81" i="34"/>
  <c r="J97" i="34"/>
  <c r="J105" i="34"/>
  <c r="J113" i="34"/>
  <c r="J121" i="34"/>
  <c r="L121" i="34"/>
  <c r="J129" i="34"/>
  <c r="J245" i="34"/>
  <c r="L245" i="34"/>
  <c r="J237" i="34"/>
  <c r="L237" i="34"/>
  <c r="J229" i="34"/>
  <c r="L229" i="34"/>
  <c r="J219" i="34"/>
  <c r="J209" i="34"/>
  <c r="L209" i="34"/>
  <c r="J201" i="34"/>
  <c r="L201" i="34"/>
  <c r="J193" i="34"/>
  <c r="L193" i="34"/>
  <c r="J179" i="34"/>
  <c r="J171" i="34"/>
  <c r="J163" i="34"/>
  <c r="J155" i="34"/>
  <c r="J147" i="34"/>
  <c r="J139" i="34"/>
  <c r="J45" i="34"/>
  <c r="L45" i="34"/>
  <c r="J37" i="34"/>
  <c r="L37" i="34"/>
  <c r="J29" i="34"/>
  <c r="L29" i="34"/>
  <c r="J21" i="34"/>
  <c r="J9" i="34"/>
  <c r="K49" i="34"/>
  <c r="M49" i="34"/>
  <c r="K65" i="34"/>
  <c r="M65" i="34"/>
  <c r="K73" i="34"/>
  <c r="M73" i="34"/>
  <c r="K81" i="34"/>
  <c r="M81" i="34"/>
  <c r="K97" i="34"/>
  <c r="M97" i="34"/>
  <c r="K105" i="34"/>
  <c r="M105" i="34"/>
  <c r="K113" i="34"/>
  <c r="M113" i="34"/>
  <c r="K121" i="34"/>
  <c r="M121" i="34"/>
  <c r="K129" i="34"/>
  <c r="M129" i="34"/>
  <c r="K244" i="34"/>
  <c r="M244" i="34"/>
  <c r="K234" i="34"/>
  <c r="M234" i="34"/>
  <c r="K226" i="34"/>
  <c r="M226" i="34"/>
  <c r="K218" i="34"/>
  <c r="M218" i="34"/>
  <c r="K210" i="34"/>
  <c r="M210" i="34"/>
  <c r="K202" i="34"/>
  <c r="M202" i="34"/>
  <c r="K194" i="34"/>
  <c r="M194" i="34"/>
  <c r="K184" i="34"/>
  <c r="M184" i="34"/>
  <c r="K176" i="34"/>
  <c r="M176" i="34"/>
  <c r="K168" i="34"/>
  <c r="M168" i="34"/>
  <c r="K160" i="34"/>
  <c r="M160" i="34"/>
  <c r="J224" i="34"/>
  <c r="L224" i="34"/>
  <c r="J192" i="34"/>
  <c r="J160" i="34"/>
  <c r="K142" i="34"/>
  <c r="M142" i="34"/>
  <c r="K40" i="34"/>
  <c r="M40" i="34"/>
  <c r="K24" i="34"/>
  <c r="M24" i="34"/>
  <c r="J48" i="34"/>
  <c r="L48" i="34"/>
  <c r="J68" i="34"/>
  <c r="J84" i="34"/>
  <c r="L84" i="34"/>
  <c r="J104" i="34"/>
  <c r="L104" i="34"/>
  <c r="J120" i="34"/>
  <c r="J238" i="34"/>
  <c r="J206" i="34"/>
  <c r="J174" i="34"/>
  <c r="J150" i="34"/>
  <c r="L150" i="34"/>
  <c r="J134" i="34"/>
  <c r="L134" i="34"/>
  <c r="K243" i="34"/>
  <c r="M243" i="34"/>
  <c r="K235" i="34"/>
  <c r="M235" i="34"/>
  <c r="K227" i="34"/>
  <c r="M227" i="34"/>
  <c r="K207" i="34"/>
  <c r="M207" i="34"/>
  <c r="K199" i="34"/>
  <c r="M199" i="34"/>
  <c r="K191" i="34"/>
  <c r="M191" i="34"/>
  <c r="K177" i="34"/>
  <c r="M177" i="34"/>
  <c r="K169" i="34"/>
  <c r="M169" i="34"/>
  <c r="K161" i="34"/>
  <c r="M161" i="34"/>
  <c r="K153" i="34"/>
  <c r="M153" i="34"/>
  <c r="K145" i="34"/>
  <c r="M145" i="34"/>
  <c r="K137" i="34"/>
  <c r="M137" i="34"/>
  <c r="K43" i="34"/>
  <c r="M43" i="34"/>
  <c r="K35" i="34"/>
  <c r="M35" i="34"/>
  <c r="K27" i="34"/>
  <c r="M27" i="34"/>
  <c r="K19" i="34"/>
  <c r="M19" i="34"/>
  <c r="K7" i="34"/>
  <c r="M7" i="34"/>
  <c r="J57" i="34"/>
  <c r="L57" i="34"/>
  <c r="K249" i="34"/>
  <c r="M249" i="34"/>
  <c r="K241" i="34"/>
  <c r="M241" i="34"/>
  <c r="K233" i="34"/>
  <c r="M233" i="34"/>
  <c r="K223" i="34"/>
  <c r="M223" i="34"/>
  <c r="K215" i="34"/>
  <c r="M215" i="34"/>
  <c r="K205" i="34"/>
  <c r="M205" i="34"/>
  <c r="K197" i="34"/>
  <c r="M197" i="34"/>
  <c r="K189" i="34"/>
  <c r="M189" i="34"/>
  <c r="K175" i="34"/>
  <c r="M175" i="34"/>
  <c r="K167" i="34"/>
  <c r="M167" i="34"/>
  <c r="K159" i="34"/>
  <c r="M159" i="34"/>
  <c r="K151" i="34"/>
  <c r="M151" i="34"/>
  <c r="K143" i="34"/>
  <c r="M143" i="34"/>
  <c r="K135" i="34"/>
  <c r="M135" i="34"/>
  <c r="K41" i="34"/>
  <c r="M41" i="34"/>
  <c r="K33" i="34"/>
  <c r="M33" i="34"/>
  <c r="K25" i="34"/>
  <c r="M25" i="34"/>
  <c r="K15" i="34"/>
  <c r="M15" i="34"/>
  <c r="K5" i="34"/>
  <c r="M5" i="34"/>
  <c r="J61" i="34"/>
  <c r="J69" i="34"/>
  <c r="J77" i="34"/>
  <c r="J85" i="34"/>
  <c r="L85" i="34"/>
  <c r="J93" i="34"/>
  <c r="J101" i="34"/>
  <c r="J109" i="34"/>
  <c r="J117" i="34"/>
  <c r="J125" i="34"/>
  <c r="J249" i="34"/>
  <c r="J241" i="34"/>
  <c r="J233" i="34"/>
  <c r="L233" i="34"/>
  <c r="J223" i="34"/>
  <c r="L223" i="34"/>
  <c r="J215" i="34"/>
  <c r="L215" i="34"/>
  <c r="J205" i="34"/>
  <c r="J197" i="34"/>
  <c r="L197" i="34"/>
  <c r="J189" i="34"/>
  <c r="J175" i="34"/>
  <c r="L175" i="34"/>
  <c r="J167" i="34"/>
  <c r="L167" i="34"/>
  <c r="J159" i="34"/>
  <c r="L159" i="34"/>
  <c r="J151" i="34"/>
  <c r="L151" i="34"/>
  <c r="J143" i="34"/>
  <c r="L143" i="34"/>
  <c r="J135" i="34"/>
  <c r="J41" i="34"/>
  <c r="J33" i="34"/>
  <c r="J25" i="34"/>
  <c r="J15" i="34"/>
  <c r="J5" i="34"/>
  <c r="K61" i="34"/>
  <c r="M61" i="34"/>
  <c r="K69" i="34"/>
  <c r="M69" i="34"/>
  <c r="K77" i="34"/>
  <c r="M77" i="34"/>
  <c r="K85" i="34"/>
  <c r="M85" i="34"/>
  <c r="K93" i="34"/>
  <c r="M93" i="34"/>
  <c r="K101" i="34"/>
  <c r="M101" i="34"/>
  <c r="K109" i="34"/>
  <c r="M109" i="34"/>
  <c r="K117" i="34"/>
  <c r="M117" i="34"/>
  <c r="K125" i="34"/>
  <c r="M125" i="34"/>
  <c r="K248" i="34"/>
  <c r="M248" i="34"/>
  <c r="K238" i="34"/>
  <c r="M238" i="34"/>
  <c r="K230" i="34"/>
  <c r="M230" i="34"/>
  <c r="K222" i="34"/>
  <c r="M222" i="34"/>
  <c r="K214" i="34"/>
  <c r="M214" i="34"/>
  <c r="K206" i="34"/>
  <c r="M206" i="34"/>
  <c r="K198" i="34"/>
  <c r="M198" i="34"/>
  <c r="K190" i="34"/>
  <c r="M190" i="34"/>
  <c r="K180" i="34"/>
  <c r="M180" i="34"/>
  <c r="K172" i="34"/>
  <c r="M172" i="34"/>
  <c r="K164" i="34"/>
  <c r="M164" i="34"/>
  <c r="J248" i="34"/>
  <c r="L248" i="34"/>
  <c r="J208" i="34"/>
  <c r="L208" i="34"/>
  <c r="J176" i="34"/>
  <c r="K150" i="34"/>
  <c r="M150" i="34"/>
  <c r="K134" i="34"/>
  <c r="M134" i="34"/>
  <c r="K32" i="34"/>
  <c r="M32" i="34"/>
  <c r="J60" i="34"/>
  <c r="J76" i="34"/>
  <c r="L76" i="34"/>
  <c r="J92" i="34"/>
  <c r="J112" i="34"/>
  <c r="J128" i="34"/>
  <c r="J222" i="34"/>
  <c r="L222" i="34"/>
  <c r="J190" i="34"/>
  <c r="L190" i="34"/>
  <c r="J158" i="34"/>
  <c r="L158" i="34"/>
  <c r="J142" i="34"/>
  <c r="J40" i="34"/>
  <c r="L40" i="34"/>
  <c r="J24" i="34"/>
  <c r="J67" i="34"/>
  <c r="J99" i="34"/>
  <c r="J131" i="34"/>
  <c r="J177" i="34"/>
  <c r="J145" i="34"/>
  <c r="J27" i="34"/>
  <c r="K67" i="34"/>
  <c r="M67" i="34"/>
  <c r="K99" i="34"/>
  <c r="M99" i="34"/>
  <c r="K131" i="34"/>
  <c r="M131" i="34"/>
  <c r="K216" i="34"/>
  <c r="M216" i="34"/>
  <c r="K192" i="34"/>
  <c r="M192" i="34"/>
  <c r="K174" i="34"/>
  <c r="M174" i="34"/>
  <c r="K158" i="34"/>
  <c r="M158" i="34"/>
  <c r="J184" i="34"/>
  <c r="L184" i="34"/>
  <c r="K138" i="34"/>
  <c r="M138" i="34"/>
  <c r="K20" i="34"/>
  <c r="M20" i="34"/>
  <c r="J72" i="34"/>
  <c r="J108" i="34"/>
  <c r="J230" i="34"/>
  <c r="L230" i="34"/>
  <c r="J166" i="34"/>
  <c r="J44" i="34"/>
  <c r="J20" i="34"/>
  <c r="K52" i="34"/>
  <c r="M52" i="34"/>
  <c r="K72" i="34"/>
  <c r="M72" i="34"/>
  <c r="K88" i="34"/>
  <c r="M88" i="34"/>
  <c r="K108" i="34"/>
  <c r="M108" i="34"/>
  <c r="K124" i="34"/>
  <c r="M124" i="34"/>
  <c r="J62" i="34"/>
  <c r="J90" i="34"/>
  <c r="J114" i="34"/>
  <c r="L114" i="34"/>
  <c r="J226" i="34"/>
  <c r="L226" i="34"/>
  <c r="J162" i="34"/>
  <c r="L162" i="34"/>
  <c r="J136" i="34"/>
  <c r="L136" i="34"/>
  <c r="J22" i="34"/>
  <c r="K58" i="34"/>
  <c r="M58" i="34"/>
  <c r="K82" i="34"/>
  <c r="M82" i="34"/>
  <c r="K110" i="34"/>
  <c r="M110" i="34"/>
  <c r="J244" i="34"/>
  <c r="J212" i="34"/>
  <c r="J180" i="34"/>
  <c r="K152" i="34"/>
  <c r="M152" i="34"/>
  <c r="K136" i="34"/>
  <c r="M136" i="34"/>
  <c r="K30" i="34"/>
  <c r="M30" i="34"/>
  <c r="K14" i="34"/>
  <c r="M14" i="34"/>
  <c r="J74" i="34"/>
  <c r="J118" i="34"/>
  <c r="L118" i="34"/>
  <c r="J194" i="34"/>
  <c r="L194" i="34"/>
  <c r="J38" i="34"/>
  <c r="K62" i="34"/>
  <c r="M62" i="34"/>
  <c r="K106" i="34"/>
  <c r="M106" i="34"/>
  <c r="J51" i="34"/>
  <c r="J46" i="34"/>
  <c r="J55" i="34"/>
  <c r="J75" i="34"/>
  <c r="J107" i="34"/>
  <c r="J243" i="34"/>
  <c r="J207" i="34"/>
  <c r="J169" i="34"/>
  <c r="L169" i="34"/>
  <c r="J137" i="34"/>
  <c r="L137" i="34"/>
  <c r="J19" i="34"/>
  <c r="K75" i="34"/>
  <c r="M75" i="34"/>
  <c r="K107" i="34"/>
  <c r="M107" i="34"/>
  <c r="K242" i="34"/>
  <c r="M242" i="34"/>
  <c r="K208" i="34"/>
  <c r="M208" i="34"/>
  <c r="K188" i="34"/>
  <c r="M188" i="34"/>
  <c r="K170" i="34"/>
  <c r="M170" i="34"/>
  <c r="J232" i="34"/>
  <c r="L232" i="34"/>
  <c r="J168" i="34"/>
  <c r="L168" i="34"/>
  <c r="K44" i="34"/>
  <c r="M44" i="34"/>
  <c r="K4" i="34"/>
  <c r="M4" i="34"/>
  <c r="J80" i="34"/>
  <c r="L80" i="34"/>
  <c r="J116" i="34"/>
  <c r="J214" i="34"/>
  <c r="J154" i="34"/>
  <c r="L154" i="34"/>
  <c r="J36" i="34"/>
  <c r="L36" i="34"/>
  <c r="J8" i="34"/>
  <c r="K60" i="34"/>
  <c r="M60" i="34"/>
  <c r="K76" i="34"/>
  <c r="M76" i="34"/>
  <c r="K92" i="34"/>
  <c r="M92" i="34"/>
  <c r="K112" i="34"/>
  <c r="M112" i="34"/>
  <c r="K128" i="34"/>
  <c r="M128" i="34"/>
  <c r="J70" i="34"/>
  <c r="J94" i="34"/>
  <c r="L94" i="34"/>
  <c r="J122" i="34"/>
  <c r="J210" i="34"/>
  <c r="L210" i="34"/>
  <c r="J156" i="34"/>
  <c r="J42" i="34"/>
  <c r="L42" i="34"/>
  <c r="J18" i="34"/>
  <c r="K66" i="34"/>
  <c r="M66" i="34"/>
  <c r="K90" i="34"/>
  <c r="M90" i="34"/>
  <c r="K114" i="34"/>
  <c r="M114" i="34"/>
  <c r="J204" i="34"/>
  <c r="J172" i="34"/>
  <c r="K148" i="34"/>
  <c r="M148" i="34"/>
  <c r="K42" i="34"/>
  <c r="M42" i="34"/>
  <c r="K26" i="34"/>
  <c r="M26" i="34"/>
  <c r="K6" i="34"/>
  <c r="M6" i="34"/>
  <c r="J86" i="34"/>
  <c r="J130" i="34"/>
  <c r="L130" i="34"/>
  <c r="J170" i="34"/>
  <c r="J26" i="34"/>
  <c r="K74" i="34"/>
  <c r="M74" i="34"/>
  <c r="K118" i="34"/>
  <c r="M118" i="34"/>
  <c r="J211" i="34"/>
  <c r="J11" i="34"/>
  <c r="J17" i="34"/>
  <c r="L17" i="34"/>
  <c r="J181" i="34"/>
  <c r="L181" i="34"/>
  <c r="J185" i="34"/>
  <c r="L185" i="34"/>
  <c r="J83" i="34"/>
  <c r="J115" i="34"/>
  <c r="J235" i="34"/>
  <c r="J199" i="34"/>
  <c r="L199" i="34"/>
  <c r="J161" i="34"/>
  <c r="L161" i="34"/>
  <c r="J43" i="34"/>
  <c r="J7" i="34"/>
  <c r="L7" i="34"/>
  <c r="K83" i="34"/>
  <c r="M83" i="34"/>
  <c r="K115" i="34"/>
  <c r="M115" i="34"/>
  <c r="K232" i="34"/>
  <c r="M232" i="34"/>
  <c r="K200" i="34"/>
  <c r="M200" i="34"/>
  <c r="K182" i="34"/>
  <c r="M182" i="34"/>
  <c r="K166" i="34"/>
  <c r="M166" i="34"/>
  <c r="J216" i="34"/>
  <c r="L216" i="34"/>
  <c r="K154" i="34"/>
  <c r="M154" i="34"/>
  <c r="K36" i="34"/>
  <c r="M36" i="34"/>
  <c r="J52" i="34"/>
  <c r="L52" i="34"/>
  <c r="J88" i="34"/>
  <c r="L88" i="34"/>
  <c r="J124" i="34"/>
  <c r="J198" i="34"/>
  <c r="L198" i="34"/>
  <c r="J146" i="34"/>
  <c r="L146" i="34"/>
  <c r="J32" i="34"/>
  <c r="L32" i="34"/>
  <c r="J4" i="34"/>
  <c r="K64" i="34"/>
  <c r="M64" i="34"/>
  <c r="K80" i="34"/>
  <c r="M80" i="34"/>
  <c r="K100" i="34"/>
  <c r="M100" i="34"/>
  <c r="K116" i="34"/>
  <c r="M116" i="34"/>
  <c r="J50" i="34"/>
  <c r="J78" i="34"/>
  <c r="L78" i="34"/>
  <c r="J102" i="34"/>
  <c r="J126" i="34"/>
  <c r="L126" i="34"/>
  <c r="J202" i="34"/>
  <c r="J148" i="34"/>
  <c r="L148" i="34"/>
  <c r="J34" i="34"/>
  <c r="J6" i="34"/>
  <c r="L6" i="34"/>
  <c r="K70" i="34"/>
  <c r="M70" i="34"/>
  <c r="K94" i="34"/>
  <c r="M94" i="34"/>
  <c r="K122" i="34"/>
  <c r="M122" i="34"/>
  <c r="J228" i="34"/>
  <c r="L228" i="34"/>
  <c r="J196" i="34"/>
  <c r="J164" i="34"/>
  <c r="K144" i="34"/>
  <c r="M144" i="34"/>
  <c r="K38" i="34"/>
  <c r="M38" i="34"/>
  <c r="K22" i="34"/>
  <c r="M22" i="34"/>
  <c r="J54" i="34"/>
  <c r="L54" i="34"/>
  <c r="J98" i="34"/>
  <c r="J234" i="34"/>
  <c r="L234" i="34"/>
  <c r="J152" i="34"/>
  <c r="L152" i="34"/>
  <c r="J14" i="34"/>
  <c r="L14" i="34"/>
  <c r="K86" i="34"/>
  <c r="M86" i="34"/>
  <c r="K130" i="34"/>
  <c r="M130" i="34"/>
  <c r="J16" i="34"/>
  <c r="J59" i="34"/>
  <c r="J56" i="34"/>
  <c r="L56" i="34"/>
  <c r="J91" i="34"/>
  <c r="J123" i="34"/>
  <c r="J227" i="34"/>
  <c r="J191" i="34"/>
  <c r="L191" i="34"/>
  <c r="J153" i="34"/>
  <c r="L153" i="34"/>
  <c r="J35" i="34"/>
  <c r="K57" i="34"/>
  <c r="M57" i="34"/>
  <c r="K91" i="34"/>
  <c r="M91" i="34"/>
  <c r="K123" i="34"/>
  <c r="M123" i="34"/>
  <c r="K224" i="34"/>
  <c r="M224" i="34"/>
  <c r="K196" i="34"/>
  <c r="M196" i="34"/>
  <c r="K178" i="34"/>
  <c r="M178" i="34"/>
  <c r="K162" i="34"/>
  <c r="M162" i="34"/>
  <c r="J200" i="34"/>
  <c r="L200" i="34"/>
  <c r="K146" i="34"/>
  <c r="M146" i="34"/>
  <c r="K28" i="34"/>
  <c r="M28" i="34"/>
  <c r="J64" i="34"/>
  <c r="L64" i="34"/>
  <c r="J100" i="34"/>
  <c r="J246" i="34"/>
  <c r="L246" i="34"/>
  <c r="J182" i="34"/>
  <c r="L182" i="34"/>
  <c r="J138" i="34"/>
  <c r="L138" i="34"/>
  <c r="J28" i="34"/>
  <c r="K48" i="34"/>
  <c r="M48" i="34"/>
  <c r="K68" i="34"/>
  <c r="M68" i="34"/>
  <c r="K84" i="34"/>
  <c r="M84" i="34"/>
  <c r="K104" i="34"/>
  <c r="M104" i="34"/>
  <c r="K120" i="34"/>
  <c r="M120" i="34"/>
  <c r="J58" i="34"/>
  <c r="J82" i="34"/>
  <c r="L82" i="34"/>
  <c r="J106" i="34"/>
  <c r="J242" i="34"/>
  <c r="L242" i="34"/>
  <c r="J178" i="34"/>
  <c r="J140" i="34"/>
  <c r="L140" i="34"/>
  <c r="J30" i="34"/>
  <c r="K50" i="34"/>
  <c r="M50" i="34"/>
  <c r="K78" i="34"/>
  <c r="M78" i="34"/>
  <c r="K102" i="34"/>
  <c r="M102" i="34"/>
  <c r="K126" i="34"/>
  <c r="M126" i="34"/>
  <c r="J220" i="34"/>
  <c r="L220" i="34"/>
  <c r="J188" i="34"/>
  <c r="K156" i="34"/>
  <c r="M156" i="34"/>
  <c r="K140" i="34"/>
  <c r="M140" i="34"/>
  <c r="K34" i="34"/>
  <c r="M34" i="34"/>
  <c r="K18" i="34"/>
  <c r="M18" i="34"/>
  <c r="J66" i="34"/>
  <c r="L66" i="34"/>
  <c r="J110" i="34"/>
  <c r="J218" i="34"/>
  <c r="L218" i="34"/>
  <c r="J144" i="34"/>
  <c r="K54" i="34"/>
  <c r="M54" i="34"/>
  <c r="K98" i="34"/>
  <c r="M98" i="34"/>
  <c r="J240" i="34"/>
  <c r="L240" i="34"/>
  <c r="J53" i="34"/>
  <c r="J12" i="34"/>
  <c r="L12" i="34"/>
  <c r="K8" i="34"/>
  <c r="M8" i="34"/>
  <c r="K53" i="34"/>
  <c r="M53" i="34"/>
  <c r="K59" i="34"/>
  <c r="M59" i="34"/>
  <c r="N48" i="36"/>
  <c r="P48" i="36"/>
  <c r="N28" i="36"/>
  <c r="P28" i="36"/>
  <c r="N71" i="36"/>
  <c r="P71" i="36"/>
  <c r="C71" i="36"/>
  <c r="M71" i="36"/>
  <c r="O71" i="36"/>
  <c r="Q71" i="36"/>
  <c r="N135" i="36"/>
  <c r="P135" i="36"/>
  <c r="N124" i="36"/>
  <c r="P124" i="36"/>
  <c r="U63" i="10"/>
  <c r="N33" i="36"/>
  <c r="N137" i="36"/>
  <c r="P137" i="36"/>
  <c r="N132" i="36"/>
  <c r="P132" i="36"/>
  <c r="N128" i="36"/>
  <c r="P128" i="36"/>
  <c r="N120" i="36"/>
  <c r="P120" i="36"/>
  <c r="N116" i="36"/>
  <c r="P116" i="36"/>
  <c r="N108" i="36"/>
  <c r="P108" i="36"/>
  <c r="N104" i="36"/>
  <c r="P104" i="36"/>
  <c r="N100" i="36"/>
  <c r="P100" i="36"/>
  <c r="N96" i="36"/>
  <c r="P96" i="36"/>
  <c r="N92" i="36"/>
  <c r="P92" i="36"/>
  <c r="N88" i="36"/>
  <c r="P88" i="36"/>
  <c r="N84" i="36"/>
  <c r="P84" i="36"/>
  <c r="N80" i="36"/>
  <c r="P80" i="36"/>
  <c r="N67" i="36"/>
  <c r="P67" i="36"/>
  <c r="N63" i="36"/>
  <c r="P63" i="36"/>
  <c r="N59" i="36"/>
  <c r="P59" i="36"/>
  <c r="N51" i="36"/>
  <c r="P51" i="36"/>
  <c r="N46" i="36"/>
  <c r="P46" i="36"/>
  <c r="N42" i="36"/>
  <c r="P42" i="36"/>
  <c r="N38" i="36"/>
  <c r="P38" i="36"/>
  <c r="N34" i="36"/>
  <c r="P34" i="36"/>
  <c r="N29" i="36"/>
  <c r="P29" i="36"/>
  <c r="N24" i="36"/>
  <c r="P24" i="36"/>
  <c r="N20" i="36"/>
  <c r="P20" i="36"/>
  <c r="N16" i="36"/>
  <c r="P16" i="36"/>
  <c r="N8" i="36"/>
  <c r="P8" i="36"/>
  <c r="N4" i="36"/>
  <c r="P4" i="36"/>
  <c r="M126" i="36"/>
  <c r="M110" i="36"/>
  <c r="O110" i="36"/>
  <c r="M106" i="36"/>
  <c r="O106" i="36"/>
  <c r="M98" i="36"/>
  <c r="O98" i="36"/>
  <c r="M94" i="36"/>
  <c r="O94" i="36"/>
  <c r="M90" i="36"/>
  <c r="O90" i="36"/>
  <c r="M86" i="36"/>
  <c r="O86" i="36"/>
  <c r="M82" i="36"/>
  <c r="O82" i="36"/>
  <c r="M78" i="36"/>
  <c r="O78" i="36"/>
  <c r="M53" i="36"/>
  <c r="M49" i="36"/>
  <c r="O49" i="36"/>
  <c r="M32" i="36"/>
  <c r="O32" i="36"/>
  <c r="M18" i="36"/>
  <c r="M10" i="36"/>
  <c r="M6" i="36"/>
  <c r="N136" i="36"/>
  <c r="P136" i="36"/>
  <c r="N127" i="36"/>
  <c r="N107" i="36"/>
  <c r="P107" i="36"/>
  <c r="N95" i="36"/>
  <c r="P95" i="36"/>
  <c r="N83" i="36"/>
  <c r="P83" i="36"/>
  <c r="N75" i="36"/>
  <c r="P75" i="36"/>
  <c r="N62" i="36"/>
  <c r="P62" i="36"/>
  <c r="N37" i="36"/>
  <c r="P37" i="36"/>
  <c r="N27" i="36"/>
  <c r="P27" i="36"/>
  <c r="N15" i="36"/>
  <c r="P15" i="36"/>
  <c r="N3" i="36"/>
  <c r="M109" i="36"/>
  <c r="O109" i="36"/>
  <c r="M101" i="36"/>
  <c r="O101" i="36"/>
  <c r="M89" i="36"/>
  <c r="O89" i="36"/>
  <c r="M77" i="36"/>
  <c r="O77" i="36"/>
  <c r="M35" i="36"/>
  <c r="M21" i="36"/>
  <c r="M13" i="36"/>
  <c r="N133" i="36"/>
  <c r="P133" i="36"/>
  <c r="N113" i="36"/>
  <c r="P113" i="36"/>
  <c r="N97" i="36"/>
  <c r="P97" i="36"/>
  <c r="N85" i="36"/>
  <c r="P85" i="36"/>
  <c r="N68" i="36"/>
  <c r="P68" i="36"/>
  <c r="N56" i="36"/>
  <c r="P56" i="36"/>
  <c r="N39" i="36"/>
  <c r="P39" i="36"/>
  <c r="N123" i="36"/>
  <c r="P123" i="36"/>
  <c r="N119" i="36"/>
  <c r="P119" i="36"/>
  <c r="N111" i="36"/>
  <c r="P111" i="36"/>
  <c r="N103" i="36"/>
  <c r="P103" i="36"/>
  <c r="N99" i="36"/>
  <c r="P99" i="36"/>
  <c r="N91" i="36"/>
  <c r="P91" i="36"/>
  <c r="N87" i="36"/>
  <c r="P87" i="36"/>
  <c r="N79" i="36"/>
  <c r="P79" i="36"/>
  <c r="N70" i="36"/>
  <c r="P70" i="36"/>
  <c r="N66" i="36"/>
  <c r="P66" i="36"/>
  <c r="N58" i="36"/>
  <c r="P58" i="36"/>
  <c r="N54" i="36"/>
  <c r="P54" i="36"/>
  <c r="N45" i="36"/>
  <c r="P45" i="36"/>
  <c r="N41" i="36"/>
  <c r="P41" i="36"/>
  <c r="N23" i="36"/>
  <c r="P23" i="36"/>
  <c r="N19" i="36"/>
  <c r="P19" i="36"/>
  <c r="N11" i="36"/>
  <c r="P11" i="36"/>
  <c r="N7" i="36"/>
  <c r="P7" i="36"/>
  <c r="M125" i="36"/>
  <c r="O125" i="36"/>
  <c r="M97" i="36"/>
  <c r="M93" i="36"/>
  <c r="O93" i="36"/>
  <c r="M85" i="36"/>
  <c r="O85" i="36"/>
  <c r="M81" i="36"/>
  <c r="O81" i="36"/>
  <c r="M73" i="36"/>
  <c r="O73" i="36"/>
  <c r="M56" i="36"/>
  <c r="O56" i="36"/>
  <c r="M30" i="36"/>
  <c r="O30" i="36"/>
  <c r="N125" i="36"/>
  <c r="P125" i="36"/>
  <c r="N117" i="36"/>
  <c r="P117" i="36"/>
  <c r="N109" i="36"/>
  <c r="P109" i="36"/>
  <c r="N101" i="36"/>
  <c r="P101" i="36"/>
  <c r="N93" i="36"/>
  <c r="N81" i="36"/>
  <c r="P81" i="36"/>
  <c r="N73" i="36"/>
  <c r="P73" i="36"/>
  <c r="N64" i="36"/>
  <c r="P64" i="36"/>
  <c r="N52" i="36"/>
  <c r="P52" i="36"/>
  <c r="N43" i="36"/>
  <c r="P43" i="36"/>
  <c r="N35" i="36"/>
  <c r="P35" i="36"/>
  <c r="N134" i="36"/>
  <c r="P134" i="36"/>
  <c r="N126" i="36"/>
  <c r="P126" i="36"/>
  <c r="N122" i="36"/>
  <c r="P122" i="36"/>
  <c r="N118" i="36"/>
  <c r="P118" i="36"/>
  <c r="N110" i="36"/>
  <c r="P110" i="36"/>
  <c r="N106" i="36"/>
  <c r="P106" i="36"/>
  <c r="N102" i="36"/>
  <c r="P102" i="36"/>
  <c r="N98" i="36"/>
  <c r="P98" i="36"/>
  <c r="N94" i="36"/>
  <c r="P94" i="36"/>
  <c r="N90" i="36"/>
  <c r="P90" i="36"/>
  <c r="N86" i="36"/>
  <c r="P86" i="36"/>
  <c r="N82" i="36"/>
  <c r="P82" i="36"/>
  <c r="N78" i="36"/>
  <c r="P78" i="36"/>
  <c r="N69" i="36"/>
  <c r="P69" i="36"/>
  <c r="N65" i="36"/>
  <c r="P65" i="36"/>
  <c r="N61" i="36"/>
  <c r="P61" i="36"/>
  <c r="N57" i="36"/>
  <c r="P57" i="36"/>
  <c r="N53" i="36"/>
  <c r="P53" i="36"/>
  <c r="N49" i="36"/>
  <c r="P49" i="36"/>
  <c r="N44" i="36"/>
  <c r="P44" i="36"/>
  <c r="N40" i="36"/>
  <c r="P40" i="36"/>
  <c r="N36" i="36"/>
  <c r="P36" i="36"/>
  <c r="N32" i="36"/>
  <c r="P32" i="36"/>
  <c r="N26" i="36"/>
  <c r="P26" i="36"/>
  <c r="N22" i="36"/>
  <c r="P22" i="36"/>
  <c r="N18" i="36"/>
  <c r="P18" i="36"/>
  <c r="N14" i="36"/>
  <c r="P14" i="36"/>
  <c r="N10" i="36"/>
  <c r="P10" i="36"/>
  <c r="N6" i="36"/>
  <c r="P6" i="36"/>
  <c r="M137" i="36"/>
  <c r="O137" i="36"/>
  <c r="M116" i="36"/>
  <c r="O116" i="36"/>
  <c r="M108" i="36"/>
  <c r="M104" i="36"/>
  <c r="M100" i="36"/>
  <c r="O100" i="36"/>
  <c r="M96" i="36"/>
  <c r="O96" i="36"/>
  <c r="M92" i="36"/>
  <c r="O92" i="36"/>
  <c r="M88" i="36"/>
  <c r="O88" i="36"/>
  <c r="M84" i="36"/>
  <c r="O84" i="36"/>
  <c r="M80" i="36"/>
  <c r="O80" i="36"/>
  <c r="M67" i="36"/>
  <c r="O67" i="36"/>
  <c r="M63" i="36"/>
  <c r="M42" i="36"/>
  <c r="O42" i="36"/>
  <c r="M29" i="36"/>
  <c r="O29" i="36"/>
  <c r="M8" i="36"/>
  <c r="M4" i="36"/>
  <c r="N121" i="36"/>
  <c r="P121" i="36"/>
  <c r="N105" i="36"/>
  <c r="P105" i="36"/>
  <c r="N89" i="36"/>
  <c r="P89" i="36"/>
  <c r="N77" i="36"/>
  <c r="P77" i="36"/>
  <c r="N60" i="36"/>
  <c r="P60" i="36"/>
  <c r="N47" i="36"/>
  <c r="P47" i="36"/>
  <c r="N30" i="36"/>
  <c r="P30" i="36"/>
  <c r="N21" i="36"/>
  <c r="P21" i="36"/>
  <c r="M107" i="36"/>
  <c r="M91" i="36"/>
  <c r="O91" i="36"/>
  <c r="M23" i="36"/>
  <c r="O23" i="36"/>
  <c r="M7" i="36"/>
  <c r="M45" i="36"/>
  <c r="O45" i="36"/>
  <c r="N17" i="36"/>
  <c r="P17" i="36"/>
  <c r="M136" i="36"/>
  <c r="O136" i="36"/>
  <c r="M103" i="36"/>
  <c r="O103" i="36"/>
  <c r="M87" i="36"/>
  <c r="O87" i="36"/>
  <c r="M19" i="36"/>
  <c r="M3" i="36"/>
  <c r="O3" i="36"/>
  <c r="N25" i="36"/>
  <c r="P25" i="36"/>
  <c r="M79" i="36"/>
  <c r="O79" i="36"/>
  <c r="N13" i="36"/>
  <c r="P13" i="36"/>
  <c r="M99" i="36"/>
  <c r="O99" i="36"/>
  <c r="M83" i="36"/>
  <c r="O83" i="36"/>
  <c r="M15" i="36"/>
  <c r="N9" i="36"/>
  <c r="P9" i="36"/>
  <c r="M111" i="36"/>
  <c r="M11" i="36"/>
  <c r="N31" i="36"/>
  <c r="P31" i="36"/>
  <c r="M31" i="36"/>
  <c r="O31" i="36"/>
  <c r="M76" i="36"/>
  <c r="O76" i="36"/>
  <c r="N74" i="36"/>
  <c r="P74" i="36"/>
  <c r="U352" i="10"/>
  <c r="N76" i="36"/>
  <c r="P76" i="36"/>
  <c r="N131" i="36"/>
  <c r="P131" i="36"/>
  <c r="C49" i="36"/>
  <c r="C93" i="36"/>
  <c r="C73" i="36"/>
  <c r="C29" i="36"/>
  <c r="C76" i="36"/>
  <c r="C32" i="36"/>
  <c r="C137" i="36"/>
  <c r="C126" i="36"/>
  <c r="C110" i="36"/>
  <c r="C106" i="36"/>
  <c r="C101" i="36"/>
  <c r="C97" i="36"/>
  <c r="C92" i="36"/>
  <c r="C87" i="36"/>
  <c r="C83" i="36"/>
  <c r="C77" i="36"/>
  <c r="C136" i="36"/>
  <c r="C125" i="36"/>
  <c r="C109" i="36"/>
  <c r="C100" i="36"/>
  <c r="C96" i="36"/>
  <c r="C91" i="36"/>
  <c r="C86" i="36"/>
  <c r="C82" i="36"/>
  <c r="C67" i="36"/>
  <c r="C53" i="36"/>
  <c r="C42" i="36"/>
  <c r="C30" i="36"/>
  <c r="C21" i="36"/>
  <c r="C13" i="36"/>
  <c r="C8" i="36"/>
  <c r="C116" i="36"/>
  <c r="C108" i="36"/>
  <c r="C99" i="36"/>
  <c r="C90" i="36"/>
  <c r="C81" i="36"/>
  <c r="C63" i="36"/>
  <c r="C56" i="36"/>
  <c r="C11" i="36"/>
  <c r="C45" i="36"/>
  <c r="C79" i="36"/>
  <c r="C107" i="36"/>
  <c r="C98" i="36"/>
  <c r="C88" i="36"/>
  <c r="C80" i="36"/>
  <c r="C31" i="36"/>
  <c r="C15" i="36"/>
  <c r="C10" i="36"/>
  <c r="C4" i="36"/>
  <c r="C35" i="36"/>
  <c r="C19" i="36"/>
  <c r="C7" i="36"/>
  <c r="C3" i="36"/>
  <c r="C111" i="36"/>
  <c r="C94" i="36"/>
  <c r="C84" i="36"/>
  <c r="C23" i="36"/>
  <c r="C18" i="36"/>
  <c r="C89" i="36"/>
  <c r="C104" i="36"/>
  <c r="C85" i="36"/>
  <c r="C78" i="36"/>
  <c r="C103" i="36"/>
  <c r="C6" i="36"/>
  <c r="H650" i="10"/>
  <c r="H653" i="10"/>
  <c r="H649" i="10"/>
  <c r="H648" i="10"/>
  <c r="AD562" i="10"/>
  <c r="AF549" i="10"/>
  <c r="AZ549" i="10"/>
  <c r="BA549" i="10"/>
  <c r="AE549" i="10"/>
  <c r="AO549" i="10"/>
  <c r="AP549" i="10"/>
  <c r="AS549" i="10"/>
  <c r="AE557" i="10"/>
  <c r="AO557" i="10"/>
  <c r="AP557" i="10"/>
  <c r="AS557" i="10"/>
  <c r="AF557" i="10"/>
  <c r="AZ557" i="10"/>
  <c r="BA557" i="10"/>
  <c r="AF582" i="10"/>
  <c r="AZ582" i="10"/>
  <c r="BA582" i="10"/>
  <c r="AE582" i="10"/>
  <c r="AO582" i="10"/>
  <c r="AP582" i="10"/>
  <c r="AS582" i="10"/>
  <c r="AF556" i="10"/>
  <c r="AZ556" i="10"/>
  <c r="BA556" i="10"/>
  <c r="AE556" i="10"/>
  <c r="AO556" i="10"/>
  <c r="AP556" i="10"/>
  <c r="AS556" i="10"/>
  <c r="AE548" i="10"/>
  <c r="AO548" i="10"/>
  <c r="AP548" i="10"/>
  <c r="AS548" i="10"/>
  <c r="AF548" i="10"/>
  <c r="AZ548" i="10"/>
  <c r="BA548" i="10"/>
  <c r="AF577" i="10"/>
  <c r="AZ577" i="10"/>
  <c r="BA577" i="10"/>
  <c r="AE577" i="10"/>
  <c r="AO577" i="10"/>
  <c r="AP577" i="10"/>
  <c r="AS577" i="10"/>
  <c r="AD569" i="10"/>
  <c r="AE583" i="10"/>
  <c r="AO583" i="10"/>
  <c r="AP583" i="10"/>
  <c r="AS583" i="10"/>
  <c r="AF583" i="10"/>
  <c r="AZ583" i="10"/>
  <c r="BA583" i="10"/>
  <c r="AF578" i="10"/>
  <c r="AZ578" i="10"/>
  <c r="BA578" i="10"/>
  <c r="AE578" i="10"/>
  <c r="AO578" i="10"/>
  <c r="AP578" i="10"/>
  <c r="AS578" i="10"/>
  <c r="AE560" i="10"/>
  <c r="AO560" i="10"/>
  <c r="AP560" i="10"/>
  <c r="AS560" i="10"/>
  <c r="AF560" i="10"/>
  <c r="AZ560" i="10"/>
  <c r="BA560" i="10"/>
  <c r="AF571" i="10"/>
  <c r="AZ571" i="10"/>
  <c r="BA571" i="10"/>
  <c r="AE571" i="10"/>
  <c r="AO571" i="10"/>
  <c r="AP571" i="10"/>
  <c r="AS571" i="10"/>
  <c r="AF547" i="10"/>
  <c r="AZ547" i="10"/>
  <c r="BA547" i="10"/>
  <c r="AE547" i="10"/>
  <c r="AO547" i="10"/>
  <c r="AP547" i="10"/>
  <c r="AS547" i="10"/>
  <c r="AE573" i="10"/>
  <c r="AO573" i="10"/>
  <c r="AP573" i="10"/>
  <c r="AS573" i="10"/>
  <c r="AF573" i="10"/>
  <c r="AZ573" i="10"/>
  <c r="BA573" i="10"/>
  <c r="AF567" i="10"/>
  <c r="AZ567" i="10"/>
  <c r="BA567" i="10"/>
  <c r="AE567" i="10"/>
  <c r="AO567" i="10"/>
  <c r="AP567" i="10"/>
  <c r="AS567" i="10"/>
  <c r="AF586" i="10"/>
  <c r="AZ586" i="10"/>
  <c r="BA586" i="10"/>
  <c r="AE586" i="10"/>
  <c r="AO586" i="10"/>
  <c r="AP586" i="10"/>
  <c r="AS586" i="10"/>
  <c r="AD553" i="10"/>
  <c r="AF575" i="10"/>
  <c r="AZ575" i="10"/>
  <c r="BA575" i="10"/>
  <c r="AE575" i="10"/>
  <c r="AO575" i="10"/>
  <c r="AP575" i="10"/>
  <c r="AS575" i="10"/>
  <c r="AE555" i="10"/>
  <c r="AO555" i="10"/>
  <c r="AP555" i="10"/>
  <c r="AS555" i="10"/>
  <c r="AF555" i="10"/>
  <c r="AZ555" i="10"/>
  <c r="BA555" i="10"/>
  <c r="AE572" i="10"/>
  <c r="AO572" i="10"/>
  <c r="AP572" i="10"/>
  <c r="AS572" i="10"/>
  <c r="AF572" i="10"/>
  <c r="AZ572" i="10"/>
  <c r="BA572" i="10"/>
  <c r="AF566" i="10"/>
  <c r="AZ566" i="10"/>
  <c r="BA566" i="10"/>
  <c r="AE566" i="10"/>
  <c r="AO566" i="10"/>
  <c r="AP566" i="10"/>
  <c r="AS566" i="10"/>
  <c r="AF559" i="10"/>
  <c r="AZ559" i="10"/>
  <c r="BA559" i="10"/>
  <c r="AE559" i="10"/>
  <c r="AO559" i="10"/>
  <c r="AP559" i="10"/>
  <c r="AS559" i="10"/>
  <c r="AF552" i="10"/>
  <c r="AZ552" i="10"/>
  <c r="BA552" i="10"/>
  <c r="AE552" i="10"/>
  <c r="AO552" i="10"/>
  <c r="AP552" i="10"/>
  <c r="AS552" i="10"/>
  <c r="AF563" i="10"/>
  <c r="AZ563" i="10"/>
  <c r="BA563" i="10"/>
  <c r="AE563" i="10"/>
  <c r="AO563" i="10"/>
  <c r="AP563" i="10"/>
  <c r="AS563" i="10"/>
  <c r="AF585" i="10"/>
  <c r="AZ585" i="10"/>
  <c r="BA585" i="10"/>
  <c r="AE585" i="10"/>
  <c r="AO585" i="10"/>
  <c r="AP585" i="10"/>
  <c r="AS585" i="10"/>
  <c r="AE558" i="10"/>
  <c r="AO558" i="10"/>
  <c r="AP558" i="10"/>
  <c r="AS558" i="10"/>
  <c r="AF558" i="10"/>
  <c r="AZ558" i="10"/>
  <c r="BA558" i="10"/>
  <c r="AD565" i="10"/>
  <c r="AF570" i="10"/>
  <c r="AZ570" i="10"/>
  <c r="BA570" i="10"/>
  <c r="AE570" i="10"/>
  <c r="AO570" i="10"/>
  <c r="AP570" i="10"/>
  <c r="AS570" i="10"/>
  <c r="AF564" i="10"/>
  <c r="AZ564" i="10"/>
  <c r="BA564" i="10"/>
  <c r="AE564" i="10"/>
  <c r="AO564" i="10"/>
  <c r="AP564" i="10"/>
  <c r="AS564" i="10"/>
  <c r="AF584" i="10"/>
  <c r="AZ584" i="10"/>
  <c r="BA584" i="10"/>
  <c r="AE584" i="10"/>
  <c r="AO584" i="10"/>
  <c r="AP584" i="10"/>
  <c r="AS584" i="10"/>
  <c r="AF550" i="10"/>
  <c r="AZ550" i="10"/>
  <c r="BA550" i="10"/>
  <c r="AE550" i="10"/>
  <c r="AO550" i="10"/>
  <c r="AP550" i="10"/>
  <c r="AS550" i="10"/>
  <c r="AE554" i="10"/>
  <c r="AO554" i="10"/>
  <c r="AP554" i="10"/>
  <c r="AS554" i="10"/>
  <c r="AF554" i="10"/>
  <c r="AZ554" i="10"/>
  <c r="BA554" i="10"/>
  <c r="AE576" i="10"/>
  <c r="AO576" i="10"/>
  <c r="AP576" i="10"/>
  <c r="AS576" i="10"/>
  <c r="AF576" i="10"/>
  <c r="AZ576" i="10"/>
  <c r="BA576" i="10"/>
  <c r="AD561" i="10"/>
  <c r="AE574" i="10"/>
  <c r="AO574" i="10"/>
  <c r="AP574" i="10"/>
  <c r="AS574" i="10"/>
  <c r="AF574" i="10"/>
  <c r="AZ574" i="10"/>
  <c r="BA574" i="10"/>
  <c r="AE551" i="10"/>
  <c r="AO551" i="10"/>
  <c r="AP551" i="10"/>
  <c r="AS551" i="10"/>
  <c r="AF551" i="10"/>
  <c r="AZ551" i="10"/>
  <c r="BA551" i="10"/>
  <c r="AF568" i="10"/>
  <c r="AZ568" i="10"/>
  <c r="BA568" i="10"/>
  <c r="AE568" i="10"/>
  <c r="AO568" i="10"/>
  <c r="AP568" i="10"/>
  <c r="AS568" i="10"/>
  <c r="AF579" i="10"/>
  <c r="AZ579" i="10"/>
  <c r="BA579" i="10"/>
  <c r="AE579" i="10"/>
  <c r="AO579" i="10"/>
  <c r="AP579" i="10"/>
  <c r="AS579" i="10"/>
  <c r="AL621" i="10"/>
  <c r="AD247" i="10"/>
  <c r="AN247" i="10"/>
  <c r="AD498" i="10"/>
  <c r="AD432" i="10"/>
  <c r="AN432" i="10"/>
  <c r="AD298" i="10"/>
  <c r="AN298" i="10"/>
  <c r="AD302" i="10"/>
  <c r="AN302" i="10"/>
  <c r="AD188" i="10"/>
  <c r="AN188" i="10"/>
  <c r="AD437" i="10"/>
  <c r="AN437" i="10"/>
  <c r="AD267" i="10"/>
  <c r="AN267" i="10"/>
  <c r="AD321" i="10"/>
  <c r="AD458" i="10"/>
  <c r="AD174" i="10"/>
  <c r="AN174" i="10"/>
  <c r="AD216" i="10"/>
  <c r="AN216" i="10"/>
  <c r="AD454" i="10"/>
  <c r="AN454" i="10"/>
  <c r="AD370" i="10"/>
  <c r="AD234" i="10"/>
  <c r="AN234" i="10"/>
  <c r="AD460" i="10"/>
  <c r="AN460" i="10"/>
  <c r="AD501" i="10"/>
  <c r="AN501" i="10"/>
  <c r="AD281" i="10"/>
  <c r="AN281" i="10"/>
  <c r="AD382" i="10"/>
  <c r="AD225" i="10"/>
  <c r="AN225" i="10"/>
  <c r="AD45" i="10"/>
  <c r="AN45" i="10"/>
  <c r="AD28" i="10"/>
  <c r="AD48" i="10"/>
  <c r="AN48" i="10"/>
  <c r="AD456" i="10"/>
  <c r="AD85" i="10"/>
  <c r="AD467" i="10"/>
  <c r="AD17" i="10"/>
  <c r="AD408" i="10"/>
  <c r="AD300" i="10"/>
  <c r="AN300" i="10"/>
  <c r="AD423" i="10"/>
  <c r="AD104" i="10"/>
  <c r="AD486" i="10"/>
  <c r="AD496" i="10"/>
  <c r="AD354" i="10"/>
  <c r="AD524" i="10"/>
  <c r="AD147" i="10"/>
  <c r="AD406" i="10"/>
  <c r="AN406" i="10"/>
  <c r="AD75" i="10"/>
  <c r="AD15" i="10"/>
  <c r="AN15" i="10"/>
  <c r="AD340" i="10"/>
  <c r="AD252" i="10"/>
  <c r="AN252" i="10"/>
  <c r="AD242" i="10"/>
  <c r="AN242" i="10"/>
  <c r="AD409" i="10"/>
  <c r="AN409" i="10"/>
  <c r="AD470" i="10"/>
  <c r="AN470" i="10"/>
  <c r="AD324" i="10"/>
  <c r="AN324" i="10"/>
  <c r="AD407" i="10"/>
  <c r="AN407" i="10"/>
  <c r="AD50" i="10"/>
  <c r="AN50" i="10"/>
  <c r="AD106" i="10"/>
  <c r="AD542" i="10"/>
  <c r="AD116" i="10"/>
  <c r="AD475" i="10"/>
  <c r="AN475" i="10"/>
  <c r="AD502" i="10"/>
  <c r="AN502" i="10"/>
  <c r="AD358" i="10"/>
  <c r="AD145" i="10"/>
  <c r="AN145" i="10"/>
  <c r="AD544" i="10"/>
  <c r="AD141" i="10"/>
  <c r="AN141" i="10"/>
  <c r="AD537" i="10"/>
  <c r="AD286" i="10"/>
  <c r="AN286" i="10"/>
  <c r="AD315" i="10"/>
  <c r="AN315" i="10"/>
  <c r="AD325" i="10"/>
  <c r="AD123" i="10"/>
  <c r="AN123" i="10"/>
  <c r="AD540" i="10"/>
  <c r="AD118" i="10"/>
  <c r="AD265" i="10"/>
  <c r="AN265" i="10"/>
  <c r="AD292" i="10"/>
  <c r="AN292" i="10"/>
  <c r="AD9" i="10"/>
  <c r="AD329" i="10"/>
  <c r="AD261" i="10"/>
  <c r="AN261" i="10"/>
  <c r="AD459" i="10"/>
  <c r="AD86" i="10"/>
  <c r="AD195" i="10"/>
  <c r="AN195" i="10"/>
  <c r="AD230" i="10"/>
  <c r="AN230" i="10"/>
  <c r="AD424" i="10"/>
  <c r="AN424" i="10"/>
  <c r="AD232" i="10"/>
  <c r="AN232" i="10"/>
  <c r="AD248" i="10"/>
  <c r="AN248" i="10"/>
  <c r="AD461" i="10"/>
  <c r="AN461" i="10"/>
  <c r="AD310" i="10"/>
  <c r="AN310" i="10"/>
  <c r="AD95" i="10"/>
  <c r="AD336" i="10"/>
  <c r="AD138" i="10"/>
  <c r="AN138" i="10"/>
  <c r="AD338" i="10"/>
  <c r="AD402" i="10"/>
  <c r="AD413" i="10"/>
  <c r="AD165" i="10"/>
  <c r="AN165" i="10"/>
  <c r="AD264" i="10"/>
  <c r="AN264" i="10"/>
  <c r="AD52" i="10"/>
  <c r="AN52" i="10"/>
  <c r="AD201" i="10"/>
  <c r="AD214" i="10"/>
  <c r="AN214" i="10"/>
  <c r="AD183" i="10"/>
  <c r="AN183" i="10"/>
  <c r="AD259" i="10"/>
  <c r="AN259" i="10"/>
  <c r="AD172" i="10"/>
  <c r="AN172" i="10"/>
  <c r="AD476" i="10"/>
  <c r="AN476" i="10"/>
  <c r="AD150" i="10"/>
  <c r="AN150" i="10"/>
  <c r="AD388" i="10"/>
  <c r="AD539" i="10"/>
  <c r="AD205" i="10"/>
  <c r="AN205" i="10"/>
  <c r="AD213" i="10"/>
  <c r="AN213" i="10"/>
  <c r="AD371" i="10"/>
  <c r="AD154" i="10"/>
  <c r="AD362" i="10"/>
  <c r="AD70" i="10"/>
  <c r="AD146" i="10"/>
  <c r="AD390" i="10"/>
  <c r="AD541" i="10"/>
  <c r="AD293" i="10"/>
  <c r="AN293" i="10"/>
  <c r="AD60" i="10"/>
  <c r="AN60" i="10"/>
  <c r="AD90" i="10"/>
  <c r="AD327" i="10"/>
  <c r="AD494" i="10"/>
  <c r="AN494" i="10"/>
  <c r="AD223" i="10"/>
  <c r="AN223" i="10"/>
  <c r="AD186" i="10"/>
  <c r="AN186" i="10"/>
  <c r="AD262" i="10"/>
  <c r="AN262" i="10"/>
  <c r="AD46" i="10"/>
  <c r="AN46" i="10"/>
  <c r="AD312" i="10"/>
  <c r="AN312" i="10"/>
  <c r="AD538" i="10"/>
  <c r="AD22" i="10"/>
  <c r="AD420" i="10"/>
  <c r="AD40" i="10"/>
  <c r="AD457" i="10"/>
  <c r="AN457" i="10"/>
  <c r="AD125" i="10"/>
  <c r="AD78" i="10"/>
  <c r="AD485" i="10"/>
  <c r="AN485" i="10"/>
  <c r="AD346" i="10"/>
  <c r="AD345" i="10"/>
  <c r="AD379" i="10"/>
  <c r="AD128" i="10"/>
  <c r="AD520" i="10"/>
  <c r="AD219" i="10"/>
  <c r="AD275" i="10"/>
  <c r="AN275" i="10"/>
  <c r="AD160" i="10"/>
  <c r="AN160" i="10"/>
  <c r="AD33" i="10"/>
  <c r="AD231" i="10"/>
  <c r="AN231" i="10"/>
  <c r="AD307" i="10"/>
  <c r="AN307" i="10"/>
  <c r="AD109" i="10"/>
  <c r="AD455" i="10"/>
  <c r="AN455" i="10"/>
  <c r="AD395" i="10"/>
  <c r="AN395" i="10"/>
  <c r="AD451" i="10"/>
  <c r="AN451" i="10"/>
  <c r="AD349" i="10"/>
  <c r="AD251" i="10"/>
  <c r="AN251" i="10"/>
  <c r="AD236" i="10"/>
  <c r="AN236" i="10"/>
  <c r="AD27" i="10"/>
  <c r="AD322" i="10"/>
  <c r="AD189" i="10"/>
  <c r="AN189" i="10"/>
  <c r="AD209" i="10"/>
  <c r="AN209" i="10"/>
  <c r="AD37" i="10"/>
  <c r="AD452" i="10"/>
  <c r="AN452" i="10"/>
  <c r="AD478" i="10"/>
  <c r="AN478" i="10"/>
  <c r="AD450" i="10"/>
  <c r="AN450" i="10"/>
  <c r="AD81" i="10"/>
  <c r="AD82" i="10"/>
  <c r="AD271" i="10"/>
  <c r="AN271" i="10"/>
  <c r="AD98" i="10"/>
  <c r="AD187" i="10"/>
  <c r="AN187" i="10"/>
  <c r="AD442" i="10"/>
  <c r="AN442" i="10"/>
  <c r="AD333" i="10"/>
  <c r="AD47" i="10"/>
  <c r="AD335" i="10"/>
  <c r="AD523" i="10"/>
  <c r="AD32" i="10"/>
  <c r="AD365" i="10"/>
  <c r="AD359" i="10"/>
  <c r="AD533" i="10"/>
  <c r="AD285" i="10"/>
  <c r="AN285" i="10"/>
  <c r="AD274" i="10"/>
  <c r="AN274" i="10"/>
  <c r="AD266" i="10"/>
  <c r="AN266" i="10"/>
  <c r="AD79" i="10"/>
  <c r="AD243" i="10"/>
  <c r="AN243" i="10"/>
  <c r="AD227" i="10"/>
  <c r="AN227" i="10"/>
  <c r="AD444" i="10"/>
  <c r="AN444" i="10"/>
  <c r="AD59" i="10"/>
  <c r="AD72" i="10"/>
  <c r="AD121" i="10"/>
  <c r="AD410" i="10"/>
  <c r="AN410" i="10"/>
  <c r="AD269" i="10"/>
  <c r="AN269" i="10"/>
  <c r="AD173" i="10"/>
  <c r="AN173" i="10"/>
  <c r="AD356" i="10"/>
  <c r="AD135" i="10"/>
  <c r="AD284" i="10"/>
  <c r="AN284" i="10"/>
  <c r="AD383" i="10"/>
  <c r="AD527" i="10"/>
  <c r="AD113" i="10"/>
  <c r="AD503" i="10"/>
  <c r="AN503" i="10"/>
  <c r="AD363" i="10"/>
  <c r="AD394" i="10"/>
  <c r="AN394" i="10"/>
  <c r="AD131" i="10"/>
  <c r="AD304" i="10"/>
  <c r="AN304" i="10"/>
  <c r="AD317" i="10"/>
  <c r="AN317" i="10"/>
  <c r="AD495" i="10"/>
  <c r="AD500" i="10"/>
  <c r="AN500" i="10"/>
  <c r="AD137" i="10"/>
  <c r="AN137" i="10"/>
  <c r="AD299" i="10"/>
  <c r="AN299" i="10"/>
  <c r="AD435" i="10"/>
  <c r="AN435" i="10"/>
  <c r="AD276" i="10"/>
  <c r="AN276" i="10"/>
  <c r="AD419" i="10"/>
  <c r="AN419" i="10"/>
  <c r="AD436" i="10"/>
  <c r="AN436" i="10"/>
  <c r="AD463" i="10"/>
  <c r="AN463" i="10"/>
  <c r="AD319" i="10"/>
  <c r="AN319" i="10"/>
  <c r="AD233" i="10"/>
  <c r="AN233" i="10"/>
  <c r="AD439" i="10"/>
  <c r="AN439" i="10"/>
  <c r="AD295" i="10"/>
  <c r="AN295" i="10"/>
  <c r="AD65" i="10"/>
  <c r="AD199" i="10"/>
  <c r="AD477" i="10"/>
  <c r="AN477" i="10"/>
  <c r="AD530" i="10"/>
  <c r="AD35" i="10"/>
  <c r="AN35" i="10"/>
  <c r="AD83" i="10"/>
  <c r="AD351" i="10"/>
  <c r="AD257" i="10"/>
  <c r="AN257" i="10"/>
  <c r="AD249" i="10"/>
  <c r="AN249" i="10"/>
  <c r="AD433" i="10"/>
  <c r="AN433" i="10"/>
  <c r="AD305" i="10"/>
  <c r="AN305" i="10"/>
  <c r="AD179" i="10"/>
  <c r="AN179" i="10"/>
  <c r="AD13" i="10"/>
  <c r="AD427" i="10"/>
  <c r="AD53" i="10"/>
  <c r="AD203" i="10"/>
  <c r="AD215" i="10"/>
  <c r="AN215" i="10"/>
  <c r="AD122" i="10"/>
  <c r="AD462" i="10"/>
  <c r="AN462" i="10"/>
  <c r="AD105" i="10"/>
  <c r="AD337" i="10"/>
  <c r="AD535" i="10"/>
  <c r="AD369" i="10"/>
  <c r="AD117" i="10"/>
  <c r="AD153" i="10"/>
  <c r="AD366" i="10"/>
  <c r="AD110" i="10"/>
  <c r="AD151" i="10"/>
  <c r="AD391" i="10"/>
  <c r="AD416" i="10"/>
  <c r="AN416" i="10"/>
  <c r="AD44" i="10"/>
  <c r="AD170" i="10"/>
  <c r="AN170" i="10"/>
  <c r="AD76" i="10"/>
  <c r="AD339" i="10"/>
  <c r="AD185" i="10"/>
  <c r="AN185" i="10"/>
  <c r="AD443" i="10"/>
  <c r="AN443" i="10"/>
  <c r="AD25" i="10"/>
  <c r="AD430" i="10"/>
  <c r="AN430" i="10"/>
  <c r="AD56" i="10"/>
  <c r="AD66" i="10"/>
  <c r="AD96" i="10"/>
  <c r="AD320" i="10"/>
  <c r="AN320" i="10"/>
  <c r="AD294" i="10"/>
  <c r="AN294" i="10"/>
  <c r="AD480" i="10"/>
  <c r="AN480" i="10"/>
  <c r="AD100" i="10"/>
  <c r="AD156" i="10"/>
  <c r="AN156" i="10"/>
  <c r="AD392" i="10"/>
  <c r="AD308" i="10"/>
  <c r="AN308" i="10"/>
  <c r="AD217" i="10"/>
  <c r="AN217" i="10"/>
  <c r="AD99" i="10"/>
  <c r="AN99" i="10"/>
  <c r="AD332" i="10"/>
  <c r="AD357" i="10"/>
  <c r="AD140" i="10"/>
  <c r="AD536" i="10"/>
  <c r="AD385" i="10"/>
  <c r="AD529" i="10"/>
  <c r="AD412" i="10"/>
  <c r="AD184" i="10"/>
  <c r="AN184" i="10"/>
  <c r="AD196" i="10"/>
  <c r="AN196" i="10"/>
  <c r="AD466" i="10"/>
  <c r="AD415" i="10"/>
  <c r="AN415" i="10"/>
  <c r="AD400" i="10"/>
  <c r="AN400" i="10"/>
  <c r="AD244" i="10"/>
  <c r="AN244" i="10"/>
  <c r="AD474" i="10"/>
  <c r="AN474" i="10"/>
  <c r="AD240" i="10"/>
  <c r="AN240" i="10"/>
  <c r="AD161" i="10"/>
  <c r="AN161" i="10"/>
  <c r="AD64" i="10"/>
  <c r="AD404" i="10"/>
  <c r="AN404" i="10"/>
  <c r="AD482" i="10"/>
  <c r="AD487" i="10"/>
  <c r="AD194" i="10"/>
  <c r="AN194" i="10"/>
  <c r="AD246" i="10"/>
  <c r="AN246" i="10"/>
  <c r="AD428" i="10"/>
  <c r="AN428" i="10"/>
  <c r="AD159" i="10"/>
  <c r="AD255" i="10"/>
  <c r="AD526" i="10"/>
  <c r="AD326" i="10"/>
  <c r="AN326" i="10"/>
  <c r="AD68" i="10"/>
  <c r="AD280" i="10"/>
  <c r="AN280" i="10"/>
  <c r="AD175" i="10"/>
  <c r="AD94" i="10"/>
  <c r="AD62" i="10"/>
  <c r="AD119" i="10"/>
  <c r="AD11" i="10"/>
  <c r="AD465" i="10"/>
  <c r="AD63" i="10"/>
  <c r="AD396" i="10"/>
  <c r="AN396" i="10"/>
  <c r="AD101" i="10"/>
  <c r="AD127" i="10"/>
  <c r="AD497" i="10"/>
  <c r="AD386" i="10"/>
  <c r="AD235" i="10"/>
  <c r="AN235" i="10"/>
  <c r="AD448" i="10"/>
  <c r="AD316" i="10"/>
  <c r="AN316" i="10"/>
  <c r="AD10" i="10"/>
  <c r="AN10" i="10"/>
  <c r="AD290" i="10"/>
  <c r="AN290" i="10"/>
  <c r="AD421" i="10"/>
  <c r="AN421" i="10"/>
  <c r="AD446" i="10"/>
  <c r="AN446" i="10"/>
  <c r="AD167" i="10"/>
  <c r="AN167" i="10"/>
  <c r="AD490" i="10"/>
  <c r="AN490" i="10"/>
  <c r="AD155" i="10"/>
  <c r="AD16" i="10"/>
  <c r="AD414" i="10"/>
  <c r="AD441" i="10"/>
  <c r="AN441" i="10"/>
  <c r="AD282" i="10"/>
  <c r="AN282" i="10"/>
  <c r="AD73" i="10"/>
  <c r="AN73" i="10"/>
  <c r="AD368" i="10"/>
  <c r="AD397" i="10"/>
  <c r="AN397" i="10"/>
  <c r="AD202" i="10"/>
  <c r="AD311" i="10"/>
  <c r="AN311" i="10"/>
  <c r="AD92" i="10"/>
  <c r="AD180" i="10"/>
  <c r="AN180" i="10"/>
  <c r="AD112" i="10"/>
  <c r="AD344" i="10"/>
  <c r="AD376" i="10"/>
  <c r="AD126" i="10"/>
  <c r="AN126" i="10"/>
  <c r="AD120" i="10"/>
  <c r="AD505" i="10"/>
  <c r="AN505" i="10"/>
  <c r="AD148" i="10"/>
  <c r="AD176" i="10"/>
  <c r="AD488" i="10"/>
  <c r="AD341" i="10"/>
  <c r="AD164" i="10"/>
  <c r="AD373" i="10"/>
  <c r="AD149" i="10"/>
  <c r="AD268" i="10"/>
  <c r="AN268" i="10"/>
  <c r="AD483" i="10"/>
  <c r="AN483" i="10"/>
  <c r="AD168" i="10"/>
  <c r="AN168" i="10"/>
  <c r="AD61" i="10"/>
  <c r="AN61" i="10"/>
  <c r="AD42" i="10"/>
  <c r="AD473" i="10"/>
  <c r="AN473" i="10"/>
  <c r="AD103" i="10"/>
  <c r="AD378" i="10"/>
  <c r="AD198" i="10"/>
  <c r="AN198" i="10"/>
  <c r="AD41" i="10"/>
  <c r="AD191" i="10"/>
  <c r="AN191" i="10"/>
  <c r="AD211" i="10"/>
  <c r="AN211" i="10"/>
  <c r="AD260" i="10"/>
  <c r="AN260" i="10"/>
  <c r="AD102" i="10"/>
  <c r="AD12" i="10"/>
  <c r="AN12" i="10"/>
  <c r="AD38" i="10"/>
  <c r="AD278" i="10"/>
  <c r="AN278" i="10"/>
  <c r="AD469" i="10"/>
  <c r="AN469" i="10"/>
  <c r="AD88" i="10"/>
  <c r="AD107" i="10"/>
  <c r="AD115" i="10"/>
  <c r="AN115" i="10"/>
  <c r="AD18" i="10"/>
  <c r="AD229" i="10"/>
  <c r="AN229" i="10"/>
  <c r="AD19" i="10"/>
  <c r="AD417" i="10"/>
  <c r="AN417" i="10"/>
  <c r="AD132" i="10"/>
  <c r="AD91" i="10"/>
  <c r="AD130" i="10"/>
  <c r="AD14" i="10"/>
  <c r="AD250" i="10"/>
  <c r="AN250" i="10"/>
  <c r="AD306" i="10"/>
  <c r="AN306" i="10"/>
  <c r="AD181" i="10"/>
  <c r="AN181" i="10"/>
  <c r="AD367" i="10"/>
  <c r="AD353" i="10"/>
  <c r="AD143" i="10"/>
  <c r="AN143" i="10"/>
  <c r="AD464" i="10"/>
  <c r="AN464" i="10"/>
  <c r="AD208" i="10"/>
  <c r="AN208" i="10"/>
  <c r="AD254" i="10"/>
  <c r="AD124" i="10"/>
  <c r="AN124" i="10"/>
  <c r="AD506" i="10"/>
  <c r="AD226" i="10"/>
  <c r="AN226" i="10"/>
  <c r="AD426" i="10"/>
  <c r="AN426" i="10"/>
  <c r="AD51" i="10"/>
  <c r="AN51" i="10"/>
  <c r="AD200" i="10"/>
  <c r="AD212" i="10"/>
  <c r="AN212" i="10"/>
  <c r="AD343" i="10"/>
  <c r="AD489" i="10"/>
  <c r="AD360" i="10"/>
  <c r="AD241" i="10"/>
  <c r="AN241" i="10"/>
  <c r="AD263" i="10"/>
  <c r="AN263" i="10"/>
  <c r="AD31" i="10"/>
  <c r="AD58" i="10"/>
  <c r="AD71" i="10"/>
  <c r="AD387" i="10"/>
  <c r="AD237" i="10"/>
  <c r="AN237" i="10"/>
  <c r="AD26" i="10"/>
  <c r="AD431" i="10"/>
  <c r="AN431" i="10"/>
  <c r="AD57" i="10"/>
  <c r="AD67" i="10"/>
  <c r="AD314" i="10"/>
  <c r="AN314" i="10"/>
  <c r="AD499" i="10"/>
  <c r="AN499" i="10"/>
  <c r="AD169" i="10"/>
  <c r="AN169" i="10"/>
  <c r="AD162" i="10"/>
  <c r="AN162" i="10"/>
  <c r="AD108" i="10"/>
  <c r="AD375" i="10"/>
  <c r="AD157" i="10"/>
  <c r="AN157" i="10"/>
  <c r="AD393" i="10"/>
  <c r="AN393" i="10"/>
  <c r="AD355" i="10"/>
  <c r="AD545" i="10"/>
  <c r="AD352" i="10"/>
  <c r="AD287" i="10"/>
  <c r="AN287" i="10"/>
  <c r="AD239" i="10"/>
  <c r="AN239" i="10"/>
  <c r="AD318" i="10"/>
  <c r="AD429" i="10"/>
  <c r="AD377" i="10"/>
  <c r="AD193" i="10"/>
  <c r="AN193" i="10"/>
  <c r="AD29" i="10"/>
  <c r="AD87" i="10"/>
  <c r="AD228" i="10"/>
  <c r="AN228" i="10"/>
  <c r="AD39" i="10"/>
  <c r="AD54" i="10"/>
  <c r="AD434" i="10"/>
  <c r="AN434" i="10"/>
  <c r="AD492" i="10"/>
  <c r="AD289" i="10"/>
  <c r="AN289" i="10"/>
  <c r="AD43" i="10"/>
  <c r="AD438" i="10"/>
  <c r="AN438" i="10"/>
  <c r="AD218" i="10"/>
  <c r="AN218" i="10"/>
  <c r="AD403" i="10"/>
  <c r="AN403" i="10"/>
  <c r="AD481" i="10"/>
  <c r="AD55" i="10"/>
  <c r="AD34" i="10"/>
  <c r="AD342" i="10"/>
  <c r="AD297" i="10"/>
  <c r="AN297" i="10"/>
  <c r="AD80" i="10"/>
  <c r="AD190" i="10"/>
  <c r="AN190" i="10"/>
  <c r="AD210" i="10"/>
  <c r="AN210" i="10"/>
  <c r="AD471" i="10"/>
  <c r="AN471" i="10"/>
  <c r="AD328" i="10"/>
  <c r="AD277" i="10"/>
  <c r="AN277" i="10"/>
  <c r="AD256" i="10"/>
  <c r="AN256" i="10"/>
  <c r="AD152" i="10"/>
  <c r="AN152" i="10"/>
  <c r="AD253" i="10"/>
  <c r="AD30" i="10"/>
  <c r="AD301" i="10"/>
  <c r="AN301" i="10"/>
  <c r="AD36" i="10"/>
  <c r="AN36" i="10"/>
  <c r="AD49" i="10"/>
  <c r="AN49" i="10"/>
  <c r="AD313" i="10"/>
  <c r="AN313" i="10"/>
  <c r="AD206" i="10"/>
  <c r="AD291" i="10"/>
  <c r="AN291" i="10"/>
  <c r="AD422" i="10"/>
  <c r="AN422" i="10"/>
  <c r="AD447" i="10"/>
  <c r="AD74" i="10"/>
  <c r="AD144" i="10"/>
  <c r="AN144" i="10"/>
  <c r="AD531" i="10"/>
  <c r="AD84" i="10"/>
  <c r="AD331" i="10"/>
  <c r="AD348" i="10"/>
  <c r="AD384" i="10"/>
  <c r="AD133" i="10"/>
  <c r="AN133" i="10"/>
  <c r="AD528" i="10"/>
  <c r="AD380" i="10"/>
  <c r="AD129" i="10"/>
  <c r="AD521" i="10"/>
  <c r="AD283" i="10"/>
  <c r="AN283" i="10"/>
  <c r="AD347" i="10"/>
  <c r="AD389" i="10"/>
  <c r="AD398" i="10"/>
  <c r="AN398" i="10"/>
  <c r="AD493" i="10"/>
  <c r="AN493" i="10"/>
  <c r="AD158" i="10"/>
  <c r="AD69" i="10"/>
  <c r="AD288" i="10"/>
  <c r="AN288" i="10"/>
  <c r="AD222" i="10"/>
  <c r="AN222" i="10"/>
  <c r="AD177" i="10"/>
  <c r="AN177" i="10"/>
  <c r="AD24" i="10"/>
  <c r="AD449" i="10"/>
  <c r="AN449" i="10"/>
  <c r="AD207" i="10"/>
  <c r="AN207" i="10"/>
  <c r="AD534" i="10"/>
  <c r="AD224" i="10"/>
  <c r="AN224" i="10"/>
  <c r="AD472" i="10"/>
  <c r="AN472" i="10"/>
  <c r="AD166" i="10"/>
  <c r="AN166" i="10"/>
  <c r="AD21" i="10"/>
  <c r="AD440" i="10"/>
  <c r="AN440" i="10"/>
  <c r="AD89" i="10"/>
  <c r="AD330" i="10"/>
  <c r="AD546" i="10"/>
  <c r="AD296" i="10"/>
  <c r="AN296" i="10"/>
  <c r="AD182" i="10"/>
  <c r="AN182" i="10"/>
  <c r="AD258" i="10"/>
  <c r="AN258" i="10"/>
  <c r="AD171" i="10"/>
  <c r="AN171" i="10"/>
  <c r="AD77" i="10"/>
  <c r="AD97" i="10"/>
  <c r="AD522" i="10"/>
  <c r="AD20" i="10"/>
  <c r="AD418" i="10"/>
  <c r="AN418" i="10"/>
  <c r="AD273" i="10"/>
  <c r="AN273" i="10"/>
  <c r="AD93" i="10"/>
  <c r="AD111" i="10"/>
  <c r="AD220" i="10"/>
  <c r="AN220" i="10"/>
  <c r="AD303" i="10"/>
  <c r="AN303" i="10"/>
  <c r="AD479" i="10"/>
  <c r="AN479" i="10"/>
  <c r="AD139" i="10"/>
  <c r="AN139" i="10"/>
  <c r="AD350" i="10"/>
  <c r="AD136" i="10"/>
  <c r="AN136" i="10"/>
  <c r="AD532" i="10"/>
  <c r="AD381" i="10"/>
  <c r="AD525" i="10"/>
  <c r="AD238" i="10"/>
  <c r="AN238" i="10"/>
  <c r="AD270" i="10"/>
  <c r="AN270" i="10"/>
  <c r="AD453" i="10"/>
  <c r="AN453" i="10"/>
  <c r="AD204" i="10"/>
  <c r="AN204" i="10"/>
  <c r="AD163" i="10"/>
  <c r="AN163" i="10"/>
  <c r="AD178" i="10"/>
  <c r="AN178" i="10"/>
  <c r="AD364" i="10"/>
  <c r="AD491" i="10"/>
  <c r="AN491" i="10"/>
  <c r="AD134" i="10"/>
  <c r="AD23" i="10"/>
  <c r="AD399" i="10"/>
  <c r="AN399" i="10"/>
  <c r="AD245" i="10"/>
  <c r="AN245" i="10"/>
  <c r="AD197" i="10"/>
  <c r="AN197" i="10"/>
  <c r="AD445" i="10"/>
  <c r="AN445" i="10"/>
  <c r="AD484" i="10"/>
  <c r="AN484" i="10"/>
  <c r="AD334" i="10"/>
  <c r="AD142" i="10"/>
  <c r="AN142" i="10"/>
  <c r="AD405" i="10"/>
  <c r="AN405" i="10"/>
  <c r="AD411" i="10"/>
  <c r="AN411" i="10"/>
  <c r="AD272" i="10"/>
  <c r="AN272" i="10"/>
  <c r="AD279" i="10"/>
  <c r="AN279" i="10"/>
  <c r="AD374" i="10"/>
  <c r="AD361" i="10"/>
  <c r="AD468" i="10"/>
  <c r="AD309" i="10"/>
  <c r="AN309" i="10"/>
  <c r="AD323" i="10"/>
  <c r="AD543" i="10"/>
  <c r="AD372" i="10"/>
  <c r="AD504" i="10"/>
  <c r="AN504" i="10"/>
  <c r="AD114" i="10"/>
  <c r="F613" i="10"/>
  <c r="F642" i="10"/>
  <c r="F610" i="10"/>
  <c r="F643" i="10"/>
  <c r="F611" i="10"/>
  <c r="F632" i="10"/>
  <c r="F633" i="10"/>
  <c r="F630" i="10"/>
  <c r="F598" i="10"/>
  <c r="F623" i="10"/>
  <c r="F604" i="10"/>
  <c r="F637" i="10"/>
  <c r="F605" i="10"/>
  <c r="F634" i="10"/>
  <c r="F602" i="10"/>
  <c r="F635" i="10"/>
  <c r="F624" i="10"/>
  <c r="F625" i="10"/>
  <c r="F622" i="10"/>
  <c r="F615" i="10"/>
  <c r="F628" i="10"/>
  <c r="F629" i="10"/>
  <c r="F597" i="10"/>
  <c r="F626" i="10"/>
  <c r="F627" i="10"/>
  <c r="F617" i="10"/>
  <c r="F614" i="10"/>
  <c r="F639" i="10"/>
  <c r="F607" i="10"/>
  <c r="F620" i="10"/>
  <c r="F621" i="10"/>
  <c r="F618" i="10"/>
  <c r="F619" i="10"/>
  <c r="F640" i="10"/>
  <c r="F608" i="10"/>
  <c r="F641" i="10"/>
  <c r="F609" i="10"/>
  <c r="F638" i="10"/>
  <c r="F606" i="10"/>
  <c r="F631" i="10"/>
  <c r="F599" i="10"/>
  <c r="F612" i="10"/>
  <c r="R71" i="36"/>
  <c r="R103" i="36"/>
  <c r="Q45" i="36"/>
  <c r="Q88" i="36"/>
  <c r="Q137" i="36"/>
  <c r="R73" i="36"/>
  <c r="R77" i="36"/>
  <c r="Q49" i="36"/>
  <c r="R90" i="36"/>
  <c r="Q99" i="36"/>
  <c r="Q42" i="36"/>
  <c r="R67" i="36"/>
  <c r="Q92" i="36"/>
  <c r="Q30" i="36"/>
  <c r="Q81" i="36"/>
  <c r="Q89" i="36"/>
  <c r="R78" i="36"/>
  <c r="Q94" i="36"/>
  <c r="Q110" i="36"/>
  <c r="Q83" i="36"/>
  <c r="Q106" i="36"/>
  <c r="R136" i="36"/>
  <c r="Q23" i="36"/>
  <c r="Q91" i="36"/>
  <c r="Q29" i="36"/>
  <c r="Q80" i="36"/>
  <c r="Q96" i="36"/>
  <c r="Q116" i="36"/>
  <c r="Q85" i="36"/>
  <c r="R125" i="36"/>
  <c r="Q101" i="36"/>
  <c r="Q32" i="36"/>
  <c r="Q82" i="36"/>
  <c r="Q98" i="36"/>
  <c r="Q76" i="36"/>
  <c r="Q79" i="36"/>
  <c r="Q3" i="36"/>
  <c r="Q87" i="36"/>
  <c r="R84" i="36"/>
  <c r="Q100" i="36"/>
  <c r="Q56" i="36"/>
  <c r="Q109" i="36"/>
  <c r="Q86" i="36"/>
  <c r="R106" i="36"/>
  <c r="R98" i="36"/>
  <c r="R32" i="36"/>
  <c r="R49" i="36"/>
  <c r="R86" i="36"/>
  <c r="R94" i="36"/>
  <c r="R110" i="36"/>
  <c r="R101" i="36"/>
  <c r="R89" i="36"/>
  <c r="R88" i="36"/>
  <c r="R76" i="36"/>
  <c r="R109" i="36"/>
  <c r="P93" i="36"/>
  <c r="P3" i="36"/>
  <c r="R23" i="36"/>
  <c r="R87" i="36"/>
  <c r="P33" i="36"/>
  <c r="N146" i="36"/>
  <c r="R79" i="36"/>
  <c r="Q31" i="36"/>
  <c r="R91" i="36"/>
  <c r="P127" i="36"/>
  <c r="R80" i="36"/>
  <c r="R116" i="36"/>
  <c r="R137" i="36"/>
  <c r="R45" i="36"/>
  <c r="R99" i="36"/>
  <c r="R56" i="36"/>
  <c r="R42" i="36"/>
  <c r="R100" i="36"/>
  <c r="D107" i="36"/>
  <c r="F107" i="36"/>
  <c r="K107" i="36"/>
  <c r="O107" i="36"/>
  <c r="D111" i="36"/>
  <c r="F111" i="36"/>
  <c r="K111" i="36"/>
  <c r="O111" i="36"/>
  <c r="D104" i="36"/>
  <c r="D108" i="36"/>
  <c r="AC600" i="10"/>
  <c r="AB600" i="10"/>
  <c r="AC602" i="10"/>
  <c r="AB602" i="10"/>
  <c r="AC601" i="10"/>
  <c r="AB601" i="10"/>
  <c r="AD221" i="10"/>
  <c r="AN221" i="10"/>
  <c r="AC588" i="10"/>
  <c r="AC590" i="10"/>
  <c r="AC604" i="10"/>
  <c r="AB604" i="10"/>
  <c r="AC603" i="10"/>
  <c r="AB603" i="10"/>
  <c r="AC599" i="10"/>
  <c r="AB599" i="10"/>
  <c r="Q600" i="10"/>
  <c r="AF565" i="10"/>
  <c r="AZ565" i="10"/>
  <c r="BA565" i="10"/>
  <c r="AE565" i="10"/>
  <c r="AO565" i="10"/>
  <c r="AP565" i="10"/>
  <c r="AS565" i="10"/>
  <c r="AF553" i="10"/>
  <c r="AZ553" i="10"/>
  <c r="BA553" i="10"/>
  <c r="AE553" i="10"/>
  <c r="AO553" i="10"/>
  <c r="AP553" i="10"/>
  <c r="AS553" i="10"/>
  <c r="AF561" i="10"/>
  <c r="AZ561" i="10"/>
  <c r="BA561" i="10"/>
  <c r="AE561" i="10"/>
  <c r="AO561" i="10"/>
  <c r="AP561" i="10"/>
  <c r="AS561" i="10"/>
  <c r="AF569" i="10"/>
  <c r="AZ569" i="10"/>
  <c r="BA569" i="10"/>
  <c r="AE569" i="10"/>
  <c r="AO569" i="10"/>
  <c r="AP569" i="10"/>
  <c r="AS569" i="10"/>
  <c r="AE562" i="10"/>
  <c r="AO562" i="10"/>
  <c r="AP562" i="10"/>
  <c r="AS562" i="10"/>
  <c r="AF562" i="10"/>
  <c r="AZ562" i="10"/>
  <c r="BA562" i="10"/>
  <c r="AE114" i="10"/>
  <c r="AO114" i="10"/>
  <c r="AP114" i="10"/>
  <c r="AS114" i="10"/>
  <c r="AF114" i="10"/>
  <c r="AG114" i="10"/>
  <c r="AE504" i="10"/>
  <c r="AO504" i="10"/>
  <c r="AF504" i="10"/>
  <c r="AG504" i="10"/>
  <c r="AE372" i="10"/>
  <c r="AO372" i="10"/>
  <c r="AP372" i="10"/>
  <c r="AS372" i="10"/>
  <c r="AF372" i="10"/>
  <c r="AG372" i="10"/>
  <c r="AE323" i="10"/>
  <c r="AO323" i="10"/>
  <c r="AP323" i="10"/>
  <c r="AS323" i="10"/>
  <c r="AF323" i="10"/>
  <c r="AG323" i="10"/>
  <c r="AE309" i="10"/>
  <c r="AO309" i="10"/>
  <c r="AF309" i="10"/>
  <c r="AG309" i="10"/>
  <c r="AE374" i="10"/>
  <c r="AO374" i="10"/>
  <c r="AP374" i="10"/>
  <c r="AS374" i="10"/>
  <c r="AF374" i="10"/>
  <c r="AG374" i="10"/>
  <c r="AF279" i="10"/>
  <c r="AG279" i="10"/>
  <c r="AE279" i="10"/>
  <c r="AO279" i="10"/>
  <c r="AF411" i="10"/>
  <c r="AG411" i="10"/>
  <c r="AE411" i="10"/>
  <c r="AO411" i="10"/>
  <c r="AE142" i="10"/>
  <c r="AO142" i="10"/>
  <c r="AF142" i="10"/>
  <c r="AG142" i="10"/>
  <c r="AF484" i="10"/>
  <c r="AG484" i="10"/>
  <c r="AE484" i="10"/>
  <c r="AO484" i="10"/>
  <c r="AF197" i="10"/>
  <c r="AG197" i="10"/>
  <c r="AE197" i="10"/>
  <c r="AO197" i="10"/>
  <c r="AF399" i="10"/>
  <c r="AG399" i="10"/>
  <c r="AE399" i="10"/>
  <c r="AO399" i="10"/>
  <c r="AE134" i="10"/>
  <c r="AO134" i="10"/>
  <c r="AP134" i="10"/>
  <c r="AS134" i="10"/>
  <c r="AF134" i="10"/>
  <c r="AG134" i="10"/>
  <c r="AE364" i="10"/>
  <c r="AO364" i="10"/>
  <c r="AP364" i="10"/>
  <c r="AS364" i="10"/>
  <c r="AF364" i="10"/>
  <c r="AG364" i="10"/>
  <c r="AF163" i="10"/>
  <c r="AG163" i="10"/>
  <c r="AE163" i="10"/>
  <c r="AO163" i="10"/>
  <c r="AF453" i="10"/>
  <c r="AG453" i="10"/>
  <c r="AE453" i="10"/>
  <c r="AO453" i="10"/>
  <c r="AF238" i="10"/>
  <c r="AG238" i="10"/>
  <c r="AE238" i="10"/>
  <c r="AO238" i="10"/>
  <c r="AE139" i="10"/>
  <c r="AO139" i="10"/>
  <c r="AF139" i="10"/>
  <c r="AG139" i="10"/>
  <c r="AE479" i="10"/>
  <c r="AO479" i="10"/>
  <c r="AF479" i="10"/>
  <c r="AG479" i="10"/>
  <c r="AF220" i="10"/>
  <c r="AG220" i="10"/>
  <c r="AE220" i="10"/>
  <c r="AO220" i="10"/>
  <c r="AE111" i="10"/>
  <c r="AO111" i="10"/>
  <c r="AP111" i="10"/>
  <c r="AS111" i="10"/>
  <c r="AF111" i="10"/>
  <c r="AG111" i="10"/>
  <c r="AF93" i="10"/>
  <c r="AG93" i="10"/>
  <c r="AE93" i="10"/>
  <c r="AO93" i="10"/>
  <c r="AP93" i="10"/>
  <c r="AS93" i="10"/>
  <c r="AF97" i="10"/>
  <c r="AG97" i="10"/>
  <c r="AE97" i="10"/>
  <c r="AO97" i="10"/>
  <c r="AP97" i="10"/>
  <c r="AS97" i="10"/>
  <c r="AF171" i="10"/>
  <c r="AG171" i="10"/>
  <c r="AE171" i="10"/>
  <c r="AO171" i="10"/>
  <c r="AF258" i="10"/>
  <c r="AG258" i="10"/>
  <c r="AE258" i="10"/>
  <c r="AO258" i="10"/>
  <c r="AF182" i="10"/>
  <c r="AG182" i="10"/>
  <c r="AE182" i="10"/>
  <c r="AO182" i="10"/>
  <c r="AE546" i="10"/>
  <c r="AO546" i="10"/>
  <c r="AP546" i="10"/>
  <c r="AS546" i="10"/>
  <c r="AF546" i="10"/>
  <c r="AZ546" i="10"/>
  <c r="BA546" i="10"/>
  <c r="AF89" i="10"/>
  <c r="AG89" i="10"/>
  <c r="AE89" i="10"/>
  <c r="AO89" i="10"/>
  <c r="AP89" i="10"/>
  <c r="AS89" i="10"/>
  <c r="AF21" i="10"/>
  <c r="AG21" i="10"/>
  <c r="AE21" i="10"/>
  <c r="AO21" i="10"/>
  <c r="AP21" i="10"/>
  <c r="AS21" i="10"/>
  <c r="AF166" i="10"/>
  <c r="AG166" i="10"/>
  <c r="AF207" i="10"/>
  <c r="AG207" i="10"/>
  <c r="AE207" i="10"/>
  <c r="AO207" i="10"/>
  <c r="AF24" i="10"/>
  <c r="AG24" i="10"/>
  <c r="AE24" i="10"/>
  <c r="AO24" i="10"/>
  <c r="AP24" i="10"/>
  <c r="AS24" i="10"/>
  <c r="AF222" i="10"/>
  <c r="AG222" i="10"/>
  <c r="AE222" i="10"/>
  <c r="AO222" i="10"/>
  <c r="AF69" i="10"/>
  <c r="AG69" i="10"/>
  <c r="AE69" i="10"/>
  <c r="AO69" i="10"/>
  <c r="AP69" i="10"/>
  <c r="AS69" i="10"/>
  <c r="AF493" i="10"/>
  <c r="AG493" i="10"/>
  <c r="AE493" i="10"/>
  <c r="AO493" i="10"/>
  <c r="AE389" i="10"/>
  <c r="AO389" i="10"/>
  <c r="AP389" i="10"/>
  <c r="AS389" i="10"/>
  <c r="AF389" i="10"/>
  <c r="AG389" i="10"/>
  <c r="AE347" i="10"/>
  <c r="AO347" i="10"/>
  <c r="AP347" i="10"/>
  <c r="AS347" i="10"/>
  <c r="AF347" i="10"/>
  <c r="AG347" i="10"/>
  <c r="AE380" i="10"/>
  <c r="AO380" i="10"/>
  <c r="AP380" i="10"/>
  <c r="AS380" i="10"/>
  <c r="AF380" i="10"/>
  <c r="AG380" i="10"/>
  <c r="AE133" i="10"/>
  <c r="AO133" i="10"/>
  <c r="AF133" i="10"/>
  <c r="AG133" i="10"/>
  <c r="AE348" i="10"/>
  <c r="AO348" i="10"/>
  <c r="AP348" i="10"/>
  <c r="AS348" i="10"/>
  <c r="AF348" i="10"/>
  <c r="AG348" i="10"/>
  <c r="AF74" i="10"/>
  <c r="AG74" i="10"/>
  <c r="AE74" i="10"/>
  <c r="AO74" i="10"/>
  <c r="AP74" i="10"/>
  <c r="AS74" i="10"/>
  <c r="AF447" i="10"/>
  <c r="AG447" i="10"/>
  <c r="AE447" i="10"/>
  <c r="AO447" i="10"/>
  <c r="AP447" i="10"/>
  <c r="AS447" i="10"/>
  <c r="AF291" i="10"/>
  <c r="AG291" i="10"/>
  <c r="AE291" i="10"/>
  <c r="AO291" i="10"/>
  <c r="AF313" i="10"/>
  <c r="AG313" i="10"/>
  <c r="AE313" i="10"/>
  <c r="AO313" i="10"/>
  <c r="AF49" i="10"/>
  <c r="AG49" i="10"/>
  <c r="AE49" i="10"/>
  <c r="AO49" i="10"/>
  <c r="AF301" i="10"/>
  <c r="AG301" i="10"/>
  <c r="AE301" i="10"/>
  <c r="AO301" i="10"/>
  <c r="AF30" i="10"/>
  <c r="AG30" i="10"/>
  <c r="AE30" i="10"/>
  <c r="AO30" i="10"/>
  <c r="AP30" i="10"/>
  <c r="AS30" i="10"/>
  <c r="AF256" i="10"/>
  <c r="AG256" i="10"/>
  <c r="AE256" i="10"/>
  <c r="AO256" i="10"/>
  <c r="AF471" i="10"/>
  <c r="AG471" i="10"/>
  <c r="AE471" i="10"/>
  <c r="AO471" i="10"/>
  <c r="AE210" i="10"/>
  <c r="AO210" i="10"/>
  <c r="AF210" i="10"/>
  <c r="AG210" i="10"/>
  <c r="AE80" i="10"/>
  <c r="AO80" i="10"/>
  <c r="AP80" i="10"/>
  <c r="AS80" i="10"/>
  <c r="AF80" i="10"/>
  <c r="AG80" i="10"/>
  <c r="AF342" i="10"/>
  <c r="AG342" i="10"/>
  <c r="AE342" i="10"/>
  <c r="AO342" i="10"/>
  <c r="AP342" i="10"/>
  <c r="AS342" i="10"/>
  <c r="AF34" i="10"/>
  <c r="AG34" i="10"/>
  <c r="AE34" i="10"/>
  <c r="AO34" i="10"/>
  <c r="AP34" i="10"/>
  <c r="AS34" i="10"/>
  <c r="AF481" i="10"/>
  <c r="AG481" i="10"/>
  <c r="AE481" i="10"/>
  <c r="AO481" i="10"/>
  <c r="AP481" i="10"/>
  <c r="AS481" i="10"/>
  <c r="AF403" i="10"/>
  <c r="AG403" i="10"/>
  <c r="AE403" i="10"/>
  <c r="AO403" i="10"/>
  <c r="AF289" i="10"/>
  <c r="AG289" i="10"/>
  <c r="AE289" i="10"/>
  <c r="AO289" i="10"/>
  <c r="AF434" i="10"/>
  <c r="AG434" i="10"/>
  <c r="AE434" i="10"/>
  <c r="AO434" i="10"/>
  <c r="AP434" i="10"/>
  <c r="AF39" i="10"/>
  <c r="AG39" i="10"/>
  <c r="AE39" i="10"/>
  <c r="AO39" i="10"/>
  <c r="AP39" i="10"/>
  <c r="AS39" i="10"/>
  <c r="AF29" i="10"/>
  <c r="AG29" i="10"/>
  <c r="AE29" i="10"/>
  <c r="AO29" i="10"/>
  <c r="AP29" i="10"/>
  <c r="AS29" i="10"/>
  <c r="AF193" i="10"/>
  <c r="AG193" i="10"/>
  <c r="AE193" i="10"/>
  <c r="AO193" i="10"/>
  <c r="AF429" i="10"/>
  <c r="AG429" i="10"/>
  <c r="AE429" i="10"/>
  <c r="AO429" i="10"/>
  <c r="AP429" i="10"/>
  <c r="AS429" i="10"/>
  <c r="AF239" i="10"/>
  <c r="AG239" i="10"/>
  <c r="AE239" i="10"/>
  <c r="AO239" i="10"/>
  <c r="AF287" i="10"/>
  <c r="AG287" i="10"/>
  <c r="AE287" i="10"/>
  <c r="AO287" i="10"/>
  <c r="AE352" i="10"/>
  <c r="AO352" i="10"/>
  <c r="AP352" i="10"/>
  <c r="AS352" i="10"/>
  <c r="AF352" i="10"/>
  <c r="AG352" i="10"/>
  <c r="AE355" i="10"/>
  <c r="AO355" i="10"/>
  <c r="AP355" i="10"/>
  <c r="AS355" i="10"/>
  <c r="AF355" i="10"/>
  <c r="AG355" i="10"/>
  <c r="AE393" i="10"/>
  <c r="AO393" i="10"/>
  <c r="AF393" i="10"/>
  <c r="AG393" i="10"/>
  <c r="AF157" i="10"/>
  <c r="AG157" i="10"/>
  <c r="AE157" i="10"/>
  <c r="AO157" i="10"/>
  <c r="AE162" i="10"/>
  <c r="AO162" i="10"/>
  <c r="AF162" i="10"/>
  <c r="AG162" i="10"/>
  <c r="AF67" i="10"/>
  <c r="AG67" i="10"/>
  <c r="AE67" i="10"/>
  <c r="AO67" i="10"/>
  <c r="AP67" i="10"/>
  <c r="AS67" i="10"/>
  <c r="AF431" i="10"/>
  <c r="AG431" i="10"/>
  <c r="AE431" i="10"/>
  <c r="AO431" i="10"/>
  <c r="AF237" i="10"/>
  <c r="AG237" i="10"/>
  <c r="AE237" i="10"/>
  <c r="AO237" i="10"/>
  <c r="AF71" i="10"/>
  <c r="AG71" i="10"/>
  <c r="AE71" i="10"/>
  <c r="AO71" i="10"/>
  <c r="AP71" i="10"/>
  <c r="AS71" i="10"/>
  <c r="AF241" i="10"/>
  <c r="AG241" i="10"/>
  <c r="AE241" i="10"/>
  <c r="AO241" i="10"/>
  <c r="AF489" i="10"/>
  <c r="AG489" i="10"/>
  <c r="AE489" i="10"/>
  <c r="AO489" i="10"/>
  <c r="AP489" i="10"/>
  <c r="AS489" i="10"/>
  <c r="AF200" i="10"/>
  <c r="AG200" i="10"/>
  <c r="AE200" i="10"/>
  <c r="AO200" i="10"/>
  <c r="AP200" i="10"/>
  <c r="AS200" i="10"/>
  <c r="AF426" i="10"/>
  <c r="AG426" i="10"/>
  <c r="AE426" i="10"/>
  <c r="AO426" i="10"/>
  <c r="AF506" i="10"/>
  <c r="AG506" i="10"/>
  <c r="AE506" i="10"/>
  <c r="AO506" i="10"/>
  <c r="AP506" i="10"/>
  <c r="AS506" i="10"/>
  <c r="AE353" i="10"/>
  <c r="AO353" i="10"/>
  <c r="AP353" i="10"/>
  <c r="AS353" i="10"/>
  <c r="AF353" i="10"/>
  <c r="AG353" i="10"/>
  <c r="AE181" i="10"/>
  <c r="AO181" i="10"/>
  <c r="AP181" i="10"/>
  <c r="AF181" i="10"/>
  <c r="AG181" i="10"/>
  <c r="AF306" i="10"/>
  <c r="AG306" i="10"/>
  <c r="AE306" i="10"/>
  <c r="AO306" i="10"/>
  <c r="AF14" i="10"/>
  <c r="AG14" i="10"/>
  <c r="AE14" i="10"/>
  <c r="AO14" i="10"/>
  <c r="AP14" i="10"/>
  <c r="AS14" i="10"/>
  <c r="AF19" i="10"/>
  <c r="AG19" i="10"/>
  <c r="AE19" i="10"/>
  <c r="AO19" i="10"/>
  <c r="AP19" i="10"/>
  <c r="AS19" i="10"/>
  <c r="AF18" i="10"/>
  <c r="AG18" i="10"/>
  <c r="AE18" i="10"/>
  <c r="AO18" i="10"/>
  <c r="AP18" i="10"/>
  <c r="AS18" i="10"/>
  <c r="AF107" i="10"/>
  <c r="AG107" i="10"/>
  <c r="AE107" i="10"/>
  <c r="AO107" i="10"/>
  <c r="AP107" i="10"/>
  <c r="AS107" i="10"/>
  <c r="AF469" i="10"/>
  <c r="AG469" i="10"/>
  <c r="AE469" i="10"/>
  <c r="AO469" i="10"/>
  <c r="AF38" i="10"/>
  <c r="AG38" i="10"/>
  <c r="AE38" i="10"/>
  <c r="AO38" i="10"/>
  <c r="AP38" i="10"/>
  <c r="AS38" i="10"/>
  <c r="AF102" i="10"/>
  <c r="AG102" i="10"/>
  <c r="AE102" i="10"/>
  <c r="AO102" i="10"/>
  <c r="AP102" i="10"/>
  <c r="AS102" i="10"/>
  <c r="AE211" i="10"/>
  <c r="AO211" i="10"/>
  <c r="AF211" i="10"/>
  <c r="AG211" i="10"/>
  <c r="AF41" i="10"/>
  <c r="AG41" i="10"/>
  <c r="AE41" i="10"/>
  <c r="AO41" i="10"/>
  <c r="AP41" i="10"/>
  <c r="AS41" i="10"/>
  <c r="AE103" i="10"/>
  <c r="AO103" i="10"/>
  <c r="AP103" i="10"/>
  <c r="AS103" i="10"/>
  <c r="AF103" i="10"/>
  <c r="AG103" i="10"/>
  <c r="AF42" i="10"/>
  <c r="AG42" i="10"/>
  <c r="AE42" i="10"/>
  <c r="AO42" i="10"/>
  <c r="AP42" i="10"/>
  <c r="AS42" i="10"/>
  <c r="AF61" i="10"/>
  <c r="AG61" i="10"/>
  <c r="AE61" i="10"/>
  <c r="AO61" i="10"/>
  <c r="AE483" i="10"/>
  <c r="AO483" i="10"/>
  <c r="AF483" i="10"/>
  <c r="AG483" i="10"/>
  <c r="AE149" i="10"/>
  <c r="AO149" i="10"/>
  <c r="AP149" i="10"/>
  <c r="AS149" i="10"/>
  <c r="AF149" i="10"/>
  <c r="AG149" i="10"/>
  <c r="AE488" i="10"/>
  <c r="AO488" i="10"/>
  <c r="AP488" i="10"/>
  <c r="AS488" i="10"/>
  <c r="AF488" i="10"/>
  <c r="AG488" i="10"/>
  <c r="AF148" i="10"/>
  <c r="AG148" i="10"/>
  <c r="AE148" i="10"/>
  <c r="AO148" i="10"/>
  <c r="AP148" i="10"/>
  <c r="AS148" i="10"/>
  <c r="AE120" i="10"/>
  <c r="AO120" i="10"/>
  <c r="AP120" i="10"/>
  <c r="AS120" i="10"/>
  <c r="AF120" i="10"/>
  <c r="AG120" i="10"/>
  <c r="AE376" i="10"/>
  <c r="AO376" i="10"/>
  <c r="AP376" i="10"/>
  <c r="AS376" i="10"/>
  <c r="AF376" i="10"/>
  <c r="AG376" i="10"/>
  <c r="AE112" i="10"/>
  <c r="AO112" i="10"/>
  <c r="AP112" i="10"/>
  <c r="AS112" i="10"/>
  <c r="AF112" i="10"/>
  <c r="AG112" i="10"/>
  <c r="AE180" i="10"/>
  <c r="AO180" i="10"/>
  <c r="AF180" i="10"/>
  <c r="AG180" i="10"/>
  <c r="AE311" i="10"/>
  <c r="AO311" i="10"/>
  <c r="AF311" i="10"/>
  <c r="AG311" i="10"/>
  <c r="AF397" i="10"/>
  <c r="AG397" i="10"/>
  <c r="AE397" i="10"/>
  <c r="AO397" i="10"/>
  <c r="AF282" i="10"/>
  <c r="AG282" i="10"/>
  <c r="AE282" i="10"/>
  <c r="AO282" i="10"/>
  <c r="AF414" i="10"/>
  <c r="AG414" i="10"/>
  <c r="AE414" i="10"/>
  <c r="AO414" i="10"/>
  <c r="AP414" i="10"/>
  <c r="AS414" i="10"/>
  <c r="AE155" i="10"/>
  <c r="AO155" i="10"/>
  <c r="AP155" i="10"/>
  <c r="AS155" i="10"/>
  <c r="AF155" i="10"/>
  <c r="AG155" i="10"/>
  <c r="AF167" i="10"/>
  <c r="AG167" i="10"/>
  <c r="AE167" i="10"/>
  <c r="AO167" i="10"/>
  <c r="AF421" i="10"/>
  <c r="AG421" i="10"/>
  <c r="AE421" i="10"/>
  <c r="AO421" i="10"/>
  <c r="AF10" i="10"/>
  <c r="AG10" i="10"/>
  <c r="AE10" i="10"/>
  <c r="AO10" i="10"/>
  <c r="AF316" i="10"/>
  <c r="AG316" i="10"/>
  <c r="AE316" i="10"/>
  <c r="AO316" i="10"/>
  <c r="AE497" i="10"/>
  <c r="AO497" i="10"/>
  <c r="AP497" i="10"/>
  <c r="AS497" i="10"/>
  <c r="AF497" i="10"/>
  <c r="AG497" i="10"/>
  <c r="AE101" i="10"/>
  <c r="AO101" i="10"/>
  <c r="AP101" i="10"/>
  <c r="AS101" i="10"/>
  <c r="AF101" i="10"/>
  <c r="AG101" i="10"/>
  <c r="AE396" i="10"/>
  <c r="AO396" i="10"/>
  <c r="AF396" i="10"/>
  <c r="AG396" i="10"/>
  <c r="AF11" i="10"/>
  <c r="AG11" i="10"/>
  <c r="AE11" i="10"/>
  <c r="AO11" i="10"/>
  <c r="AP11" i="10"/>
  <c r="AS11" i="10"/>
  <c r="AF62" i="10"/>
  <c r="AG62" i="10"/>
  <c r="AE62" i="10"/>
  <c r="AO62" i="10"/>
  <c r="AP62" i="10"/>
  <c r="AS62" i="10"/>
  <c r="AF175" i="10"/>
  <c r="AG175" i="10"/>
  <c r="AE175" i="10"/>
  <c r="AO175" i="10"/>
  <c r="AP175" i="10"/>
  <c r="AS175" i="10"/>
  <c r="AF68" i="10"/>
  <c r="AG68" i="10"/>
  <c r="AE68" i="10"/>
  <c r="AO68" i="10"/>
  <c r="AP68" i="10"/>
  <c r="AS68" i="10"/>
  <c r="AF255" i="10"/>
  <c r="AG255" i="10"/>
  <c r="AH255" i="10"/>
  <c r="AI255" i="10"/>
  <c r="AE255" i="10"/>
  <c r="AO255" i="10"/>
  <c r="AP255" i="10"/>
  <c r="AS255" i="10"/>
  <c r="AF428" i="10"/>
  <c r="AG428" i="10"/>
  <c r="AE428" i="10"/>
  <c r="AO428" i="10"/>
  <c r="AE487" i="10"/>
  <c r="AO487" i="10"/>
  <c r="AP487" i="10"/>
  <c r="AS487" i="10"/>
  <c r="AF487" i="10"/>
  <c r="AG487" i="10"/>
  <c r="AF404" i="10"/>
  <c r="AG404" i="10"/>
  <c r="AE404" i="10"/>
  <c r="AO404" i="10"/>
  <c r="AF240" i="10"/>
  <c r="AG240" i="10"/>
  <c r="AE240" i="10"/>
  <c r="AO240" i="10"/>
  <c r="AF244" i="10"/>
  <c r="AG244" i="10"/>
  <c r="AE244" i="10"/>
  <c r="AO244" i="10"/>
  <c r="AF400" i="10"/>
  <c r="AG400" i="10"/>
  <c r="AE400" i="10"/>
  <c r="AO400" i="10"/>
  <c r="AF196" i="10"/>
  <c r="AG196" i="10"/>
  <c r="AE196" i="10"/>
  <c r="AO196" i="10"/>
  <c r="AF184" i="10"/>
  <c r="AG184" i="10"/>
  <c r="AE184" i="10"/>
  <c r="AO184" i="10"/>
  <c r="AE140" i="10"/>
  <c r="AO140" i="10"/>
  <c r="AP140" i="10"/>
  <c r="AS140" i="10"/>
  <c r="AF140" i="10"/>
  <c r="AG140" i="10"/>
  <c r="AE357" i="10"/>
  <c r="AO357" i="10"/>
  <c r="AP357" i="10"/>
  <c r="AS357" i="10"/>
  <c r="AF357" i="10"/>
  <c r="AG357" i="10"/>
  <c r="AE99" i="10"/>
  <c r="AO99" i="10"/>
  <c r="AF99" i="10"/>
  <c r="AG99" i="10"/>
  <c r="AF308" i="10"/>
  <c r="AG308" i="10"/>
  <c r="AE308" i="10"/>
  <c r="AO308" i="10"/>
  <c r="AE392" i="10"/>
  <c r="AO392" i="10"/>
  <c r="AP392" i="10"/>
  <c r="AS392" i="10"/>
  <c r="AF392" i="10"/>
  <c r="AG392" i="10"/>
  <c r="AF294" i="10"/>
  <c r="AG294" i="10"/>
  <c r="AE294" i="10"/>
  <c r="AO294" i="10"/>
  <c r="AE96" i="10"/>
  <c r="AO96" i="10"/>
  <c r="AP96" i="10"/>
  <c r="AS96" i="10"/>
  <c r="AF96" i="10"/>
  <c r="AG96" i="10"/>
  <c r="AF56" i="10"/>
  <c r="AG56" i="10"/>
  <c r="AE56" i="10"/>
  <c r="AO56" i="10"/>
  <c r="AP56" i="10"/>
  <c r="AS56" i="10"/>
  <c r="AF25" i="10"/>
  <c r="AG25" i="10"/>
  <c r="AE25" i="10"/>
  <c r="AO25" i="10"/>
  <c r="AP25" i="10"/>
  <c r="AS25" i="10"/>
  <c r="AF443" i="10"/>
  <c r="AG443" i="10"/>
  <c r="AE443" i="10"/>
  <c r="AO443" i="10"/>
  <c r="AE339" i="10"/>
  <c r="AO339" i="10"/>
  <c r="AP339" i="10"/>
  <c r="AS339" i="10"/>
  <c r="AF339" i="10"/>
  <c r="AG339" i="10"/>
  <c r="AE76" i="10"/>
  <c r="AO76" i="10"/>
  <c r="AP76" i="10"/>
  <c r="AS76" i="10"/>
  <c r="AF76" i="10"/>
  <c r="AG76" i="10"/>
  <c r="AF44" i="10"/>
  <c r="AG44" i="10"/>
  <c r="AE44" i="10"/>
  <c r="AO44" i="10"/>
  <c r="AP44" i="10"/>
  <c r="AS44" i="10"/>
  <c r="AF110" i="10"/>
  <c r="AG110" i="10"/>
  <c r="AE110" i="10"/>
  <c r="AO110" i="10"/>
  <c r="AP110" i="10"/>
  <c r="AS110" i="10"/>
  <c r="AE153" i="10"/>
  <c r="AO153" i="10"/>
  <c r="AP153" i="10"/>
  <c r="AS153" i="10"/>
  <c r="AF153" i="10"/>
  <c r="AG153" i="10"/>
  <c r="AE369" i="10"/>
  <c r="AO369" i="10"/>
  <c r="AP369" i="10"/>
  <c r="AS369" i="10"/>
  <c r="AF369" i="10"/>
  <c r="AG369" i="10"/>
  <c r="AE105" i="10"/>
  <c r="AO105" i="10"/>
  <c r="AP105" i="10"/>
  <c r="AS105" i="10"/>
  <c r="AF105" i="10"/>
  <c r="AG105" i="10"/>
  <c r="AE122" i="10"/>
  <c r="AO122" i="10"/>
  <c r="AP122" i="10"/>
  <c r="AS122" i="10"/>
  <c r="AF122" i="10"/>
  <c r="AG122" i="10"/>
  <c r="AE215" i="10"/>
  <c r="AO215" i="10"/>
  <c r="AF215" i="10"/>
  <c r="AG215" i="10"/>
  <c r="AF53" i="10"/>
  <c r="AG53" i="10"/>
  <c r="AE53" i="10"/>
  <c r="AO53" i="10"/>
  <c r="AP53" i="10"/>
  <c r="AS53" i="10"/>
  <c r="AF249" i="10"/>
  <c r="AG249" i="10"/>
  <c r="AE249" i="10"/>
  <c r="AO249" i="10"/>
  <c r="AF257" i="10"/>
  <c r="AG257" i="10"/>
  <c r="AE257" i="10"/>
  <c r="AO257" i="10"/>
  <c r="AE351" i="10"/>
  <c r="AO351" i="10"/>
  <c r="AP351" i="10"/>
  <c r="AS351" i="10"/>
  <c r="AF351" i="10"/>
  <c r="AG351" i="10"/>
  <c r="AE83" i="10"/>
  <c r="AO83" i="10"/>
  <c r="AP83" i="10"/>
  <c r="AS83" i="10"/>
  <c r="AF83" i="10"/>
  <c r="AG83" i="10"/>
  <c r="AF65" i="10"/>
  <c r="AG65" i="10"/>
  <c r="AE65" i="10"/>
  <c r="AO65" i="10"/>
  <c r="AP65" i="10"/>
  <c r="AS65" i="10"/>
  <c r="AF463" i="10"/>
  <c r="AG463" i="10"/>
  <c r="AE463" i="10"/>
  <c r="AO463" i="10"/>
  <c r="AP463" i="10"/>
  <c r="AF276" i="10"/>
  <c r="AG276" i="10"/>
  <c r="AE276" i="10"/>
  <c r="AO276" i="10"/>
  <c r="AF299" i="10"/>
  <c r="AG299" i="10"/>
  <c r="AE299" i="10"/>
  <c r="AO299" i="10"/>
  <c r="AF304" i="10"/>
  <c r="AG304" i="10"/>
  <c r="AE304" i="10"/>
  <c r="AO304" i="10"/>
  <c r="AE363" i="10"/>
  <c r="AO363" i="10"/>
  <c r="AP363" i="10"/>
  <c r="AS363" i="10"/>
  <c r="AF363" i="10"/>
  <c r="AG363" i="10"/>
  <c r="AE113" i="10"/>
  <c r="AO113" i="10"/>
  <c r="AP113" i="10"/>
  <c r="AS113" i="10"/>
  <c r="AF113" i="10"/>
  <c r="AG113" i="10"/>
  <c r="AF284" i="10"/>
  <c r="AG284" i="10"/>
  <c r="AE284" i="10"/>
  <c r="AO284" i="10"/>
  <c r="AF173" i="10"/>
  <c r="AG173" i="10"/>
  <c r="AE173" i="10"/>
  <c r="AO173" i="10"/>
  <c r="AP173" i="10"/>
  <c r="AF269" i="10"/>
  <c r="AG269" i="10"/>
  <c r="AE269" i="10"/>
  <c r="AO269" i="10"/>
  <c r="AF72" i="10"/>
  <c r="AG72" i="10"/>
  <c r="AE72" i="10"/>
  <c r="AO72" i="10"/>
  <c r="AP72" i="10"/>
  <c r="AS72" i="10"/>
  <c r="AF243" i="10"/>
  <c r="AG243" i="10"/>
  <c r="AE243" i="10"/>
  <c r="AO243" i="10"/>
  <c r="AF266" i="10"/>
  <c r="AG266" i="10"/>
  <c r="AE266" i="10"/>
  <c r="AO266" i="10"/>
  <c r="AF285" i="10"/>
  <c r="AG285" i="10"/>
  <c r="AE285" i="10"/>
  <c r="AO285" i="10"/>
  <c r="AE359" i="10"/>
  <c r="AO359" i="10"/>
  <c r="AP359" i="10"/>
  <c r="AS359" i="10"/>
  <c r="AF359" i="10"/>
  <c r="AG359" i="10"/>
  <c r="AE365" i="10"/>
  <c r="AO365" i="10"/>
  <c r="AP365" i="10"/>
  <c r="AS365" i="10"/>
  <c r="AF365" i="10"/>
  <c r="AG365" i="10"/>
  <c r="AF47" i="10"/>
  <c r="AG47" i="10"/>
  <c r="AE47" i="10"/>
  <c r="AO47" i="10"/>
  <c r="AP47" i="10"/>
  <c r="AS47" i="10"/>
  <c r="AE333" i="10"/>
  <c r="AO333" i="10"/>
  <c r="AP333" i="10"/>
  <c r="AS333" i="10"/>
  <c r="AF333" i="10"/>
  <c r="AG333" i="10"/>
  <c r="AF187" i="10"/>
  <c r="AG187" i="10"/>
  <c r="AE187" i="10"/>
  <c r="AO187" i="10"/>
  <c r="AF271" i="10"/>
  <c r="AG271" i="10"/>
  <c r="AE271" i="10"/>
  <c r="AO271" i="10"/>
  <c r="AF81" i="10"/>
  <c r="AG81" i="10"/>
  <c r="AE81" i="10"/>
  <c r="AO81" i="10"/>
  <c r="AP81" i="10"/>
  <c r="AS81" i="10"/>
  <c r="AF478" i="10"/>
  <c r="AG478" i="10"/>
  <c r="AE478" i="10"/>
  <c r="AO478" i="10"/>
  <c r="AF189" i="10"/>
  <c r="AG189" i="10"/>
  <c r="AE189" i="10"/>
  <c r="AO189" i="10"/>
  <c r="AF27" i="10"/>
  <c r="AG27" i="10"/>
  <c r="AE27" i="10"/>
  <c r="AO27" i="10"/>
  <c r="AP27" i="10"/>
  <c r="AS27" i="10"/>
  <c r="AF251" i="10"/>
  <c r="AG251" i="10"/>
  <c r="AE251" i="10"/>
  <c r="AO251" i="10"/>
  <c r="AF451" i="10"/>
  <c r="AG451" i="10"/>
  <c r="AE451" i="10"/>
  <c r="AO451" i="10"/>
  <c r="AP451" i="10"/>
  <c r="AF455" i="10"/>
  <c r="AG455" i="10"/>
  <c r="AE455" i="10"/>
  <c r="AO455" i="10"/>
  <c r="AE109" i="10"/>
  <c r="AO109" i="10"/>
  <c r="AP109" i="10"/>
  <c r="AS109" i="10"/>
  <c r="AF109" i="10"/>
  <c r="AG109" i="10"/>
  <c r="AF231" i="10"/>
  <c r="AG231" i="10"/>
  <c r="AE231" i="10"/>
  <c r="AO231" i="10"/>
  <c r="AF160" i="10"/>
  <c r="AG160" i="10"/>
  <c r="AE160" i="10"/>
  <c r="AO160" i="10"/>
  <c r="AF275" i="10"/>
  <c r="AG275" i="10"/>
  <c r="AE275" i="10"/>
  <c r="AO275" i="10"/>
  <c r="AE128" i="10"/>
  <c r="AO128" i="10"/>
  <c r="AP128" i="10"/>
  <c r="AS128" i="10"/>
  <c r="AF128" i="10"/>
  <c r="AG128" i="10"/>
  <c r="AE345" i="10"/>
  <c r="AO345" i="10"/>
  <c r="AP345" i="10"/>
  <c r="AS345" i="10"/>
  <c r="AF345" i="10"/>
  <c r="AG345" i="10"/>
  <c r="AF346" i="10"/>
  <c r="AG346" i="10"/>
  <c r="AE346" i="10"/>
  <c r="AO346" i="10"/>
  <c r="AP346" i="10"/>
  <c r="AS346" i="10"/>
  <c r="AE485" i="10"/>
  <c r="AO485" i="10"/>
  <c r="AF485" i="10"/>
  <c r="AG485" i="10"/>
  <c r="AF40" i="10"/>
  <c r="AG40" i="10"/>
  <c r="AE40" i="10"/>
  <c r="AO40" i="10"/>
  <c r="AP40" i="10"/>
  <c r="AS40" i="10"/>
  <c r="AF22" i="10"/>
  <c r="AG22" i="10"/>
  <c r="AE22" i="10"/>
  <c r="AO22" i="10"/>
  <c r="AP22" i="10"/>
  <c r="AS22" i="10"/>
  <c r="AF312" i="10"/>
  <c r="AG312" i="10"/>
  <c r="AE312" i="10"/>
  <c r="AO312" i="10"/>
  <c r="AF46" i="10"/>
  <c r="AG46" i="10"/>
  <c r="AE46" i="10"/>
  <c r="AO46" i="10"/>
  <c r="AF327" i="10"/>
  <c r="AG327" i="10"/>
  <c r="AE327" i="10"/>
  <c r="AO327" i="10"/>
  <c r="AP327" i="10"/>
  <c r="AS327" i="10"/>
  <c r="AE146" i="10"/>
  <c r="AO146" i="10"/>
  <c r="AP146" i="10"/>
  <c r="AS146" i="10"/>
  <c r="AF146" i="10"/>
  <c r="AG146" i="10"/>
  <c r="AE362" i="10"/>
  <c r="AO362" i="10"/>
  <c r="AP362" i="10"/>
  <c r="AS362" i="10"/>
  <c r="AF362" i="10"/>
  <c r="AG362" i="10"/>
  <c r="AE371" i="10"/>
  <c r="AO371" i="10"/>
  <c r="AP371" i="10"/>
  <c r="AS371" i="10"/>
  <c r="AF371" i="10"/>
  <c r="AG371" i="10"/>
  <c r="AF205" i="10"/>
  <c r="AG205" i="10"/>
  <c r="AE205" i="10"/>
  <c r="AO205" i="10"/>
  <c r="AE388" i="10"/>
  <c r="AO388" i="10"/>
  <c r="AP388" i="10"/>
  <c r="AS388" i="10"/>
  <c r="AF388" i="10"/>
  <c r="AG388" i="10"/>
  <c r="AF476" i="10"/>
  <c r="AG476" i="10"/>
  <c r="AE476" i="10"/>
  <c r="AO476" i="10"/>
  <c r="AF214" i="10"/>
  <c r="AG214" i="10"/>
  <c r="AE214" i="10"/>
  <c r="AO214" i="10"/>
  <c r="AF52" i="10"/>
  <c r="AG52" i="10"/>
  <c r="AE52" i="10"/>
  <c r="AO52" i="10"/>
  <c r="AF165" i="10"/>
  <c r="AG165" i="10"/>
  <c r="AE165" i="10"/>
  <c r="AO165" i="10"/>
  <c r="AF413" i="10"/>
  <c r="AG413" i="10"/>
  <c r="AE413" i="10"/>
  <c r="AO413" i="10"/>
  <c r="AP413" i="10"/>
  <c r="AS413" i="10"/>
  <c r="AE338" i="10"/>
  <c r="AO338" i="10"/>
  <c r="AP338" i="10"/>
  <c r="AS338" i="10"/>
  <c r="AF338" i="10"/>
  <c r="AG338" i="10"/>
  <c r="AF336" i="10"/>
  <c r="AG336" i="10"/>
  <c r="AE336" i="10"/>
  <c r="AO336" i="10"/>
  <c r="AP336" i="10"/>
  <c r="AS336" i="10"/>
  <c r="AF310" i="10"/>
  <c r="AG310" i="10"/>
  <c r="AE310" i="10"/>
  <c r="AO310" i="10"/>
  <c r="AF232" i="10"/>
  <c r="AG232" i="10"/>
  <c r="AE232" i="10"/>
  <c r="AO232" i="10"/>
  <c r="AF230" i="10"/>
  <c r="AG230" i="10"/>
  <c r="AE230" i="10"/>
  <c r="AO230" i="10"/>
  <c r="AF195" i="10"/>
  <c r="AG195" i="10"/>
  <c r="AE195" i="10"/>
  <c r="AO195" i="10"/>
  <c r="AF329" i="10"/>
  <c r="AG329" i="10"/>
  <c r="AE329" i="10"/>
  <c r="AO329" i="10"/>
  <c r="AP329" i="10"/>
  <c r="AS329" i="10"/>
  <c r="AF292" i="10"/>
  <c r="AG292" i="10"/>
  <c r="AE292" i="10"/>
  <c r="AO292" i="10"/>
  <c r="AF265" i="10"/>
  <c r="AG265" i="10"/>
  <c r="AE265" i="10"/>
  <c r="AO265" i="10"/>
  <c r="AE325" i="10"/>
  <c r="AO325" i="10"/>
  <c r="AP325" i="10"/>
  <c r="AS325" i="10"/>
  <c r="AF325" i="10"/>
  <c r="AG325" i="10"/>
  <c r="AF286" i="10"/>
  <c r="AG286" i="10"/>
  <c r="AE286" i="10"/>
  <c r="AO286" i="10"/>
  <c r="AE141" i="10"/>
  <c r="AO141" i="10"/>
  <c r="AF141" i="10"/>
  <c r="AG141" i="10"/>
  <c r="AF502" i="10"/>
  <c r="AG502" i="10"/>
  <c r="AE502" i="10"/>
  <c r="AO502" i="10"/>
  <c r="AE106" i="10"/>
  <c r="AO106" i="10"/>
  <c r="AP106" i="10"/>
  <c r="AS106" i="10"/>
  <c r="AF106" i="10"/>
  <c r="AG106" i="10"/>
  <c r="AE324" i="10"/>
  <c r="AO324" i="10"/>
  <c r="AF324" i="10"/>
  <c r="AG324" i="10"/>
  <c r="AF470" i="10"/>
  <c r="AG470" i="10"/>
  <c r="AE470" i="10"/>
  <c r="AO470" i="10"/>
  <c r="AF340" i="10"/>
  <c r="AG340" i="10"/>
  <c r="AE340" i="10"/>
  <c r="AO340" i="10"/>
  <c r="AP340" i="10"/>
  <c r="AS340" i="10"/>
  <c r="AF15" i="10"/>
  <c r="AG15" i="10"/>
  <c r="AE15" i="10"/>
  <c r="AO15" i="10"/>
  <c r="AF406" i="10"/>
  <c r="AG406" i="10"/>
  <c r="AE406" i="10"/>
  <c r="AO406" i="10"/>
  <c r="AE496" i="10"/>
  <c r="AO496" i="10"/>
  <c r="AP496" i="10"/>
  <c r="AS496" i="10"/>
  <c r="AF496" i="10"/>
  <c r="AG496" i="10"/>
  <c r="AF408" i="10"/>
  <c r="AG408" i="10"/>
  <c r="AE408" i="10"/>
  <c r="AO408" i="10"/>
  <c r="AP408" i="10"/>
  <c r="AS408" i="10"/>
  <c r="AF467" i="10"/>
  <c r="AG467" i="10"/>
  <c r="AE467" i="10"/>
  <c r="AO467" i="10"/>
  <c r="AP467" i="10"/>
  <c r="AS467" i="10"/>
  <c r="AF456" i="10"/>
  <c r="AG456" i="10"/>
  <c r="AE456" i="10"/>
  <c r="AO456" i="10"/>
  <c r="AP456" i="10"/>
  <c r="AS456" i="10"/>
  <c r="AF48" i="10"/>
  <c r="AG48" i="10"/>
  <c r="AE48" i="10"/>
  <c r="AO48" i="10"/>
  <c r="AF45" i="10"/>
  <c r="AG45" i="10"/>
  <c r="AE45" i="10"/>
  <c r="AO45" i="10"/>
  <c r="AE501" i="10"/>
  <c r="AO501" i="10"/>
  <c r="AF501" i="10"/>
  <c r="AG501" i="10"/>
  <c r="AF234" i="10"/>
  <c r="AG234" i="10"/>
  <c r="AE234" i="10"/>
  <c r="AO234" i="10"/>
  <c r="AF454" i="10"/>
  <c r="AG454" i="10"/>
  <c r="AE454" i="10"/>
  <c r="AO454" i="10"/>
  <c r="AF174" i="10"/>
  <c r="AG174" i="10"/>
  <c r="AE174" i="10"/>
  <c r="AO174" i="10"/>
  <c r="AF458" i="10"/>
  <c r="AG458" i="10"/>
  <c r="AE458" i="10"/>
  <c r="AO458" i="10"/>
  <c r="AP458" i="10"/>
  <c r="AS458" i="10"/>
  <c r="AF267" i="10"/>
  <c r="AG267" i="10"/>
  <c r="AE267" i="10"/>
  <c r="AO267" i="10"/>
  <c r="AF302" i="10"/>
  <c r="AG302" i="10"/>
  <c r="AE302" i="10"/>
  <c r="AO302" i="10"/>
  <c r="AF432" i="10"/>
  <c r="AG432" i="10"/>
  <c r="AE432" i="10"/>
  <c r="AO432" i="10"/>
  <c r="AE532" i="10"/>
  <c r="AO532" i="10"/>
  <c r="AP532" i="10"/>
  <c r="AS532" i="10"/>
  <c r="AF532" i="10"/>
  <c r="AZ532" i="10"/>
  <c r="BA532" i="10"/>
  <c r="AF418" i="10"/>
  <c r="AG418" i="10"/>
  <c r="AE418" i="10"/>
  <c r="AO418" i="10"/>
  <c r="AP418" i="10"/>
  <c r="AS418" i="10"/>
  <c r="AE522" i="10"/>
  <c r="AO522" i="10"/>
  <c r="AP522" i="10"/>
  <c r="AS522" i="10"/>
  <c r="AF522" i="10"/>
  <c r="AZ522" i="10"/>
  <c r="BA522" i="10"/>
  <c r="AE534" i="10"/>
  <c r="AO534" i="10"/>
  <c r="AP534" i="10"/>
  <c r="AS534" i="10"/>
  <c r="AF534" i="10"/>
  <c r="AZ534" i="10"/>
  <c r="BA534" i="10"/>
  <c r="AF521" i="10"/>
  <c r="AZ521" i="10"/>
  <c r="BA521" i="10"/>
  <c r="AE521" i="10"/>
  <c r="AO521" i="10"/>
  <c r="AP521" i="10"/>
  <c r="AS521" i="10"/>
  <c r="AF169" i="10"/>
  <c r="AG169" i="10"/>
  <c r="AE169" i="10"/>
  <c r="AO169" i="10"/>
  <c r="AP169" i="10"/>
  <c r="AF464" i="10"/>
  <c r="AG464" i="10"/>
  <c r="AE464" i="10"/>
  <c r="AO464" i="10"/>
  <c r="AP464" i="10"/>
  <c r="AF164" i="10"/>
  <c r="AG164" i="10"/>
  <c r="AH164" i="10"/>
  <c r="AI164" i="10"/>
  <c r="AE164" i="10"/>
  <c r="AO164" i="10"/>
  <c r="AP164" i="10"/>
  <c r="AS164" i="10"/>
  <c r="AF490" i="10"/>
  <c r="AG490" i="10"/>
  <c r="AE490" i="10"/>
  <c r="AO490" i="10"/>
  <c r="AP490" i="10"/>
  <c r="AS490" i="10"/>
  <c r="AF466" i="10"/>
  <c r="AG466" i="10"/>
  <c r="AE466" i="10"/>
  <c r="AO466" i="10"/>
  <c r="AP466" i="10"/>
  <c r="AS466" i="10"/>
  <c r="AF529" i="10"/>
  <c r="AZ529" i="10"/>
  <c r="BA529" i="10"/>
  <c r="AE529" i="10"/>
  <c r="AO529" i="10"/>
  <c r="AP529" i="10"/>
  <c r="AS529" i="10"/>
  <c r="AE385" i="10"/>
  <c r="AO385" i="10"/>
  <c r="AP385" i="10"/>
  <c r="AS385" i="10"/>
  <c r="AF385" i="10"/>
  <c r="AG385" i="10"/>
  <c r="AE480" i="10"/>
  <c r="AO480" i="10"/>
  <c r="AP480" i="10"/>
  <c r="AF480" i="10"/>
  <c r="AG480" i="10"/>
  <c r="AE391" i="10"/>
  <c r="AO391" i="10"/>
  <c r="AP391" i="10"/>
  <c r="AS391" i="10"/>
  <c r="AF391" i="10"/>
  <c r="AG391" i="10"/>
  <c r="AE530" i="10"/>
  <c r="AO530" i="10"/>
  <c r="AP530" i="10"/>
  <c r="AS530" i="10"/>
  <c r="AF530" i="10"/>
  <c r="AZ530" i="10"/>
  <c r="BA530" i="10"/>
  <c r="AF439" i="10"/>
  <c r="AG439" i="10"/>
  <c r="AE439" i="10"/>
  <c r="AO439" i="10"/>
  <c r="AP439" i="10"/>
  <c r="AF527" i="10"/>
  <c r="AZ527" i="10"/>
  <c r="BA527" i="10"/>
  <c r="AE527" i="10"/>
  <c r="AO527" i="10"/>
  <c r="AP527" i="10"/>
  <c r="AS527" i="10"/>
  <c r="AF523" i="10"/>
  <c r="AZ523" i="10"/>
  <c r="BA523" i="10"/>
  <c r="AE523" i="10"/>
  <c r="AO523" i="10"/>
  <c r="AP523" i="10"/>
  <c r="AS523" i="10"/>
  <c r="AF541" i="10"/>
  <c r="AZ541" i="10"/>
  <c r="BA541" i="10"/>
  <c r="AE541" i="10"/>
  <c r="AO541" i="10"/>
  <c r="AP541" i="10"/>
  <c r="AS541" i="10"/>
  <c r="AF390" i="10"/>
  <c r="AG390" i="10"/>
  <c r="AE390" i="10"/>
  <c r="AO390" i="10"/>
  <c r="AP390" i="10"/>
  <c r="AS390" i="10"/>
  <c r="AF459" i="10"/>
  <c r="AG459" i="10"/>
  <c r="AE459" i="10"/>
  <c r="AO459" i="10"/>
  <c r="AP459" i="10"/>
  <c r="AS459" i="10"/>
  <c r="AE540" i="10"/>
  <c r="AO540" i="10"/>
  <c r="AP540" i="10"/>
  <c r="AS540" i="10"/>
  <c r="AF540" i="10"/>
  <c r="AZ540" i="10"/>
  <c r="BA540" i="10"/>
  <c r="AE544" i="10"/>
  <c r="AO544" i="10"/>
  <c r="AP544" i="10"/>
  <c r="AS544" i="10"/>
  <c r="AF544" i="10"/>
  <c r="AZ544" i="10"/>
  <c r="BA544" i="10"/>
  <c r="AE542" i="10"/>
  <c r="AO542" i="10"/>
  <c r="AP542" i="10"/>
  <c r="AS542" i="10"/>
  <c r="AF542" i="10"/>
  <c r="AZ542" i="10"/>
  <c r="BA542" i="10"/>
  <c r="AF242" i="10"/>
  <c r="AG242" i="10"/>
  <c r="AE242" i="10"/>
  <c r="AO242" i="10"/>
  <c r="AE524" i="10"/>
  <c r="AO524" i="10"/>
  <c r="AP524" i="10"/>
  <c r="AS524" i="10"/>
  <c r="AF524" i="10"/>
  <c r="AZ524" i="10"/>
  <c r="BA524" i="10"/>
  <c r="AF423" i="10"/>
  <c r="AG423" i="10"/>
  <c r="AE423" i="10"/>
  <c r="AO423" i="10"/>
  <c r="AP423" i="10"/>
  <c r="AS423" i="10"/>
  <c r="AE382" i="10"/>
  <c r="AO382" i="10"/>
  <c r="AP382" i="10"/>
  <c r="AS382" i="10"/>
  <c r="AF382" i="10"/>
  <c r="AG382" i="10"/>
  <c r="AF437" i="10"/>
  <c r="AG437" i="10"/>
  <c r="AE437" i="10"/>
  <c r="AO437" i="10"/>
  <c r="AP437" i="10"/>
  <c r="AE498" i="10"/>
  <c r="AO498" i="10"/>
  <c r="AP498" i="10"/>
  <c r="AS498" i="10"/>
  <c r="AF498" i="10"/>
  <c r="AG498" i="10"/>
  <c r="AE361" i="10"/>
  <c r="AO361" i="10"/>
  <c r="AP361" i="10"/>
  <c r="AS361" i="10"/>
  <c r="AF361" i="10"/>
  <c r="AG361" i="10"/>
  <c r="AF272" i="10"/>
  <c r="AG272" i="10"/>
  <c r="AE272" i="10"/>
  <c r="AO272" i="10"/>
  <c r="AF405" i="10"/>
  <c r="AG405" i="10"/>
  <c r="AE405" i="10"/>
  <c r="AO405" i="10"/>
  <c r="AE334" i="10"/>
  <c r="AO334" i="10"/>
  <c r="AP334" i="10"/>
  <c r="AS334" i="10"/>
  <c r="AF334" i="10"/>
  <c r="AG334" i="10"/>
  <c r="AF445" i="10"/>
  <c r="AG445" i="10"/>
  <c r="AE445" i="10"/>
  <c r="AO445" i="10"/>
  <c r="AF245" i="10"/>
  <c r="AG245" i="10"/>
  <c r="AE245" i="10"/>
  <c r="AO245" i="10"/>
  <c r="AF23" i="10"/>
  <c r="AG23" i="10"/>
  <c r="AE23" i="10"/>
  <c r="AO23" i="10"/>
  <c r="AP23" i="10"/>
  <c r="AS23" i="10"/>
  <c r="AE491" i="10"/>
  <c r="AO491" i="10"/>
  <c r="AF491" i="10"/>
  <c r="AG491" i="10"/>
  <c r="AE178" i="10"/>
  <c r="AO178" i="10"/>
  <c r="AF178" i="10"/>
  <c r="AG178" i="10"/>
  <c r="AF204" i="10"/>
  <c r="AG204" i="10"/>
  <c r="AE204" i="10"/>
  <c r="AO204" i="10"/>
  <c r="AF270" i="10"/>
  <c r="AG270" i="10"/>
  <c r="AE270" i="10"/>
  <c r="AO270" i="10"/>
  <c r="AF381" i="10"/>
  <c r="AG381" i="10"/>
  <c r="AE381" i="10"/>
  <c r="AO381" i="10"/>
  <c r="AP381" i="10"/>
  <c r="AS381" i="10"/>
  <c r="AE136" i="10"/>
  <c r="AO136" i="10"/>
  <c r="AF136" i="10"/>
  <c r="AG136" i="10"/>
  <c r="AE350" i="10"/>
  <c r="AO350" i="10"/>
  <c r="AP350" i="10"/>
  <c r="AS350" i="10"/>
  <c r="AF350" i="10"/>
  <c r="AG350" i="10"/>
  <c r="AF303" i="10"/>
  <c r="AG303" i="10"/>
  <c r="AE303" i="10"/>
  <c r="AO303" i="10"/>
  <c r="AF273" i="10"/>
  <c r="AG273" i="10"/>
  <c r="AE273" i="10"/>
  <c r="AO273" i="10"/>
  <c r="AF20" i="10"/>
  <c r="AG20" i="10"/>
  <c r="AE20" i="10"/>
  <c r="AO20" i="10"/>
  <c r="AP20" i="10"/>
  <c r="AS20" i="10"/>
  <c r="AF77" i="10"/>
  <c r="AG77" i="10"/>
  <c r="AE77" i="10"/>
  <c r="AO77" i="10"/>
  <c r="AP77" i="10"/>
  <c r="AS77" i="10"/>
  <c r="AF296" i="10"/>
  <c r="AG296" i="10"/>
  <c r="AE296" i="10"/>
  <c r="AO296" i="10"/>
  <c r="AE330" i="10"/>
  <c r="AO330" i="10"/>
  <c r="AP330" i="10"/>
  <c r="AS330" i="10"/>
  <c r="AF330" i="10"/>
  <c r="AG330" i="10"/>
  <c r="AF440" i="10"/>
  <c r="AG440" i="10"/>
  <c r="AE440" i="10"/>
  <c r="AO440" i="10"/>
  <c r="AF472" i="10"/>
  <c r="AG472" i="10"/>
  <c r="AE472" i="10"/>
  <c r="AO472" i="10"/>
  <c r="AF224" i="10"/>
  <c r="AG224" i="10"/>
  <c r="AE224" i="10"/>
  <c r="AO224" i="10"/>
  <c r="AF449" i="10"/>
  <c r="AG449" i="10"/>
  <c r="AE449" i="10"/>
  <c r="AO449" i="10"/>
  <c r="AP449" i="10"/>
  <c r="AS449" i="10"/>
  <c r="AF177" i="10"/>
  <c r="AG177" i="10"/>
  <c r="AE177" i="10"/>
  <c r="AO177" i="10"/>
  <c r="AF288" i="10"/>
  <c r="AG288" i="10"/>
  <c r="AE288" i="10"/>
  <c r="AO288" i="10"/>
  <c r="AF158" i="10"/>
  <c r="AG158" i="10"/>
  <c r="AE158" i="10"/>
  <c r="AO158" i="10"/>
  <c r="AP158" i="10"/>
  <c r="AS158" i="10"/>
  <c r="AE398" i="10"/>
  <c r="AO398" i="10"/>
  <c r="AF398" i="10"/>
  <c r="AG398" i="10"/>
  <c r="AF283" i="10"/>
  <c r="AG283" i="10"/>
  <c r="AE283" i="10"/>
  <c r="AO283" i="10"/>
  <c r="AE129" i="10"/>
  <c r="AO129" i="10"/>
  <c r="AP129" i="10"/>
  <c r="AS129" i="10"/>
  <c r="AF129" i="10"/>
  <c r="AG129" i="10"/>
  <c r="AE384" i="10"/>
  <c r="AO384" i="10"/>
  <c r="AP384" i="10"/>
  <c r="AS384" i="10"/>
  <c r="AF384" i="10"/>
  <c r="AG384" i="10"/>
  <c r="AE331" i="10"/>
  <c r="AO331" i="10"/>
  <c r="AP331" i="10"/>
  <c r="AS331" i="10"/>
  <c r="AF331" i="10"/>
  <c r="AG331" i="10"/>
  <c r="AE84" i="10"/>
  <c r="AO84" i="10"/>
  <c r="AP84" i="10"/>
  <c r="AS84" i="10"/>
  <c r="AF84" i="10"/>
  <c r="AG84" i="10"/>
  <c r="AE144" i="10"/>
  <c r="AO144" i="10"/>
  <c r="AP144" i="10"/>
  <c r="AF144" i="10"/>
  <c r="AG144" i="10"/>
  <c r="AF206" i="10"/>
  <c r="AG206" i="10"/>
  <c r="AE206" i="10"/>
  <c r="AO206" i="10"/>
  <c r="AP206" i="10"/>
  <c r="AS206" i="10"/>
  <c r="AF36" i="10"/>
  <c r="AG36" i="10"/>
  <c r="AE36" i="10"/>
  <c r="AO36" i="10"/>
  <c r="AE152" i="10"/>
  <c r="AO152" i="10"/>
  <c r="AF152" i="10"/>
  <c r="AG152" i="10"/>
  <c r="AF277" i="10"/>
  <c r="AG277" i="10"/>
  <c r="AE277" i="10"/>
  <c r="AO277" i="10"/>
  <c r="AE328" i="10"/>
  <c r="AO328" i="10"/>
  <c r="AP328" i="10"/>
  <c r="AS328" i="10"/>
  <c r="AF328" i="10"/>
  <c r="AG328" i="10"/>
  <c r="AH328" i="10"/>
  <c r="AI328" i="10"/>
  <c r="AF190" i="10"/>
  <c r="AG190" i="10"/>
  <c r="AE190" i="10"/>
  <c r="AO190" i="10"/>
  <c r="AF297" i="10"/>
  <c r="AG297" i="10"/>
  <c r="AE297" i="10"/>
  <c r="AO297" i="10"/>
  <c r="AF55" i="10"/>
  <c r="AG55" i="10"/>
  <c r="AE55" i="10"/>
  <c r="AO55" i="10"/>
  <c r="AP55" i="10"/>
  <c r="AS55" i="10"/>
  <c r="AF218" i="10"/>
  <c r="AG218" i="10"/>
  <c r="AE218" i="10"/>
  <c r="AO218" i="10"/>
  <c r="AF438" i="10"/>
  <c r="AG438" i="10"/>
  <c r="AE438" i="10"/>
  <c r="AO438" i="10"/>
  <c r="AP438" i="10"/>
  <c r="AF43" i="10"/>
  <c r="AG43" i="10"/>
  <c r="AE43" i="10"/>
  <c r="AO43" i="10"/>
  <c r="AP43" i="10"/>
  <c r="AS43" i="10"/>
  <c r="AF492" i="10"/>
  <c r="AG492" i="10"/>
  <c r="AE492" i="10"/>
  <c r="AO492" i="10"/>
  <c r="AP492" i="10"/>
  <c r="AS492" i="10"/>
  <c r="AF54" i="10"/>
  <c r="AG54" i="10"/>
  <c r="AE54" i="10"/>
  <c r="AO54" i="10"/>
  <c r="AP54" i="10"/>
  <c r="AS54" i="10"/>
  <c r="AF228" i="10"/>
  <c r="AG228" i="10"/>
  <c r="AE228" i="10"/>
  <c r="AO228" i="10"/>
  <c r="AF87" i="10"/>
  <c r="AG87" i="10"/>
  <c r="AH87" i="10"/>
  <c r="AI87" i="10"/>
  <c r="AE87" i="10"/>
  <c r="AO87" i="10"/>
  <c r="AP87" i="10"/>
  <c r="AS87" i="10"/>
  <c r="AE377" i="10"/>
  <c r="AO377" i="10"/>
  <c r="AP377" i="10"/>
  <c r="AS377" i="10"/>
  <c r="AF377" i="10"/>
  <c r="AG377" i="10"/>
  <c r="AF318" i="10"/>
  <c r="AG318" i="10"/>
  <c r="AH318" i="10"/>
  <c r="AI318" i="10"/>
  <c r="AE318" i="10"/>
  <c r="AO318" i="10"/>
  <c r="AP318" i="10"/>
  <c r="AS318" i="10"/>
  <c r="AF545" i="10"/>
  <c r="AZ545" i="10"/>
  <c r="BA545" i="10"/>
  <c r="AE545" i="10"/>
  <c r="AO545" i="10"/>
  <c r="AP545" i="10"/>
  <c r="AS545" i="10"/>
  <c r="AE375" i="10"/>
  <c r="AO375" i="10"/>
  <c r="AP375" i="10"/>
  <c r="AS375" i="10"/>
  <c r="AF375" i="10"/>
  <c r="AG375" i="10"/>
  <c r="AE108" i="10"/>
  <c r="AO108" i="10"/>
  <c r="AP108" i="10"/>
  <c r="AS108" i="10"/>
  <c r="AF108" i="10"/>
  <c r="AG108" i="10"/>
  <c r="AF314" i="10"/>
  <c r="AG314" i="10"/>
  <c r="AE314" i="10"/>
  <c r="AO314" i="10"/>
  <c r="AF57" i="10"/>
  <c r="AG57" i="10"/>
  <c r="AE57" i="10"/>
  <c r="AO57" i="10"/>
  <c r="AP57" i="10"/>
  <c r="AS57" i="10"/>
  <c r="AF26" i="10"/>
  <c r="AG26" i="10"/>
  <c r="AE26" i="10"/>
  <c r="AO26" i="10"/>
  <c r="AP26" i="10"/>
  <c r="AS26" i="10"/>
  <c r="AE387" i="10"/>
  <c r="AO387" i="10"/>
  <c r="AP387" i="10"/>
  <c r="AS387" i="10"/>
  <c r="AF387" i="10"/>
  <c r="AG387" i="10"/>
  <c r="AF58" i="10"/>
  <c r="AG58" i="10"/>
  <c r="AE58" i="10"/>
  <c r="AO58" i="10"/>
  <c r="AP58" i="10"/>
  <c r="AS58" i="10"/>
  <c r="AF31" i="10"/>
  <c r="AG31" i="10"/>
  <c r="AE31" i="10"/>
  <c r="AO31" i="10"/>
  <c r="AP31" i="10"/>
  <c r="AS31" i="10"/>
  <c r="AF263" i="10"/>
  <c r="AG263" i="10"/>
  <c r="AE263" i="10"/>
  <c r="AO263" i="10"/>
  <c r="AE360" i="10"/>
  <c r="AO360" i="10"/>
  <c r="AP360" i="10"/>
  <c r="AS360" i="10"/>
  <c r="AF360" i="10"/>
  <c r="AG360" i="10"/>
  <c r="AE343" i="10"/>
  <c r="AO343" i="10"/>
  <c r="AP343" i="10"/>
  <c r="AS343" i="10"/>
  <c r="AF343" i="10"/>
  <c r="AG343" i="10"/>
  <c r="AF212" i="10"/>
  <c r="AG212" i="10"/>
  <c r="AE212" i="10"/>
  <c r="AO212" i="10"/>
  <c r="AF51" i="10"/>
  <c r="AG51" i="10"/>
  <c r="AE51" i="10"/>
  <c r="AO51" i="10"/>
  <c r="AF226" i="10"/>
  <c r="AG226" i="10"/>
  <c r="AE226" i="10"/>
  <c r="AO226" i="10"/>
  <c r="AF124" i="10"/>
  <c r="AG124" i="10"/>
  <c r="AE124" i="10"/>
  <c r="AO124" i="10"/>
  <c r="AE254" i="10"/>
  <c r="AO254" i="10"/>
  <c r="AP254" i="10"/>
  <c r="AS254" i="10"/>
  <c r="AF254" i="10"/>
  <c r="AG254" i="10"/>
  <c r="AH254" i="10"/>
  <c r="AI254" i="10"/>
  <c r="AE208" i="10"/>
  <c r="AO208" i="10"/>
  <c r="AF208" i="10"/>
  <c r="AG208" i="10"/>
  <c r="AE143" i="10"/>
  <c r="AO143" i="10"/>
  <c r="AF143" i="10"/>
  <c r="AG143" i="10"/>
  <c r="AE367" i="10"/>
  <c r="AO367" i="10"/>
  <c r="AP367" i="10"/>
  <c r="AS367" i="10"/>
  <c r="AF367" i="10"/>
  <c r="AG367" i="10"/>
  <c r="AF250" i="10"/>
  <c r="AG250" i="10"/>
  <c r="AE250" i="10"/>
  <c r="AO250" i="10"/>
  <c r="AE130" i="10"/>
  <c r="AO130" i="10"/>
  <c r="AP130" i="10"/>
  <c r="AS130" i="10"/>
  <c r="AF130" i="10"/>
  <c r="AG130" i="10"/>
  <c r="AF91" i="10"/>
  <c r="AG91" i="10"/>
  <c r="AE91" i="10"/>
  <c r="AO91" i="10"/>
  <c r="AP91" i="10"/>
  <c r="AS91" i="10"/>
  <c r="AF132" i="10"/>
  <c r="AG132" i="10"/>
  <c r="AH132" i="10"/>
  <c r="AI132" i="10"/>
  <c r="AE132" i="10"/>
  <c r="AO132" i="10"/>
  <c r="AP132" i="10"/>
  <c r="AS132" i="10"/>
  <c r="AF417" i="10"/>
  <c r="AG417" i="10"/>
  <c r="AE417" i="10"/>
  <c r="AO417" i="10"/>
  <c r="AF229" i="10"/>
  <c r="AG229" i="10"/>
  <c r="AE229" i="10"/>
  <c r="AO229" i="10"/>
  <c r="AF88" i="10"/>
  <c r="AG88" i="10"/>
  <c r="AE88" i="10"/>
  <c r="AO88" i="10"/>
  <c r="AP88" i="10"/>
  <c r="AS88" i="10"/>
  <c r="AF278" i="10"/>
  <c r="AG278" i="10"/>
  <c r="AE278" i="10"/>
  <c r="AO278" i="10"/>
  <c r="AF12" i="10"/>
  <c r="AG12" i="10"/>
  <c r="AE12" i="10"/>
  <c r="AO12" i="10"/>
  <c r="AF260" i="10"/>
  <c r="AG260" i="10"/>
  <c r="AE260" i="10"/>
  <c r="AO260" i="10"/>
  <c r="AF191" i="10"/>
  <c r="AG191" i="10"/>
  <c r="AE191" i="10"/>
  <c r="AO191" i="10"/>
  <c r="AF198" i="10"/>
  <c r="AG198" i="10"/>
  <c r="AE198" i="10"/>
  <c r="AO198" i="10"/>
  <c r="AE378" i="10"/>
  <c r="AO378" i="10"/>
  <c r="AP378" i="10"/>
  <c r="AS378" i="10"/>
  <c r="AF378" i="10"/>
  <c r="AG378" i="10"/>
  <c r="AF473" i="10"/>
  <c r="AG473" i="10"/>
  <c r="AE473" i="10"/>
  <c r="AO473" i="10"/>
  <c r="AF168" i="10"/>
  <c r="AG168" i="10"/>
  <c r="AE168" i="10"/>
  <c r="AO168" i="10"/>
  <c r="AF268" i="10"/>
  <c r="AG268" i="10"/>
  <c r="AE268" i="10"/>
  <c r="AO268" i="10"/>
  <c r="AE373" i="10"/>
  <c r="AO373" i="10"/>
  <c r="AP373" i="10"/>
  <c r="AS373" i="10"/>
  <c r="AF373" i="10"/>
  <c r="AG373" i="10"/>
  <c r="AE341" i="10"/>
  <c r="AO341" i="10"/>
  <c r="AP341" i="10"/>
  <c r="AS341" i="10"/>
  <c r="AF341" i="10"/>
  <c r="AG341" i="10"/>
  <c r="AE176" i="10"/>
  <c r="AO176" i="10"/>
  <c r="AP176" i="10"/>
  <c r="AS176" i="10"/>
  <c r="AF176" i="10"/>
  <c r="AG176" i="10"/>
  <c r="AF505" i="10"/>
  <c r="AG505" i="10"/>
  <c r="AE505" i="10"/>
  <c r="AO505" i="10"/>
  <c r="AE126" i="10"/>
  <c r="AO126" i="10"/>
  <c r="AF126" i="10"/>
  <c r="AG126" i="10"/>
  <c r="AF344" i="10"/>
  <c r="AG344" i="10"/>
  <c r="AE344" i="10"/>
  <c r="AO344" i="10"/>
  <c r="AP344" i="10"/>
  <c r="AS344" i="10"/>
  <c r="AE92" i="10"/>
  <c r="AO92" i="10"/>
  <c r="AP92" i="10"/>
  <c r="AS92" i="10"/>
  <c r="AF92" i="10"/>
  <c r="AG92" i="10"/>
  <c r="AF202" i="10"/>
  <c r="AG202" i="10"/>
  <c r="AE202" i="10"/>
  <c r="AO202" i="10"/>
  <c r="AP202" i="10"/>
  <c r="AS202" i="10"/>
  <c r="AE368" i="10"/>
  <c r="AO368" i="10"/>
  <c r="AP368" i="10"/>
  <c r="AS368" i="10"/>
  <c r="AF368" i="10"/>
  <c r="AG368" i="10"/>
  <c r="AE73" i="10"/>
  <c r="AO73" i="10"/>
  <c r="AF73" i="10"/>
  <c r="AG73" i="10"/>
  <c r="AF441" i="10"/>
  <c r="AG441" i="10"/>
  <c r="AE441" i="10"/>
  <c r="AO441" i="10"/>
  <c r="AF16" i="10"/>
  <c r="AG16" i="10"/>
  <c r="AE16" i="10"/>
  <c r="AO16" i="10"/>
  <c r="AP16" i="10"/>
  <c r="AS16" i="10"/>
  <c r="AF446" i="10"/>
  <c r="AG446" i="10"/>
  <c r="AE446" i="10"/>
  <c r="AO446" i="10"/>
  <c r="AF290" i="10"/>
  <c r="AG290" i="10"/>
  <c r="AE290" i="10"/>
  <c r="AO290" i="10"/>
  <c r="AF448" i="10"/>
  <c r="AG448" i="10"/>
  <c r="AE448" i="10"/>
  <c r="AO448" i="10"/>
  <c r="AP448" i="10"/>
  <c r="AS448" i="10"/>
  <c r="AF235" i="10"/>
  <c r="AG235" i="10"/>
  <c r="AE235" i="10"/>
  <c r="AO235" i="10"/>
  <c r="AF386" i="10"/>
  <c r="AG386" i="10"/>
  <c r="AH386" i="10"/>
  <c r="AI386" i="10"/>
  <c r="AE386" i="10"/>
  <c r="AO386" i="10"/>
  <c r="AP386" i="10"/>
  <c r="AS386" i="10"/>
  <c r="AE127" i="10"/>
  <c r="AO127" i="10"/>
  <c r="AP127" i="10"/>
  <c r="AS127" i="10"/>
  <c r="AF127" i="10"/>
  <c r="AG127" i="10"/>
  <c r="AH127" i="10"/>
  <c r="AI127" i="10"/>
  <c r="AF63" i="10"/>
  <c r="AG63" i="10"/>
  <c r="AE63" i="10"/>
  <c r="AO63" i="10"/>
  <c r="AP63" i="10"/>
  <c r="AS63" i="10"/>
  <c r="AF465" i="10"/>
  <c r="AG465" i="10"/>
  <c r="AE465" i="10"/>
  <c r="AO465" i="10"/>
  <c r="AP465" i="10"/>
  <c r="AS465" i="10"/>
  <c r="AE119" i="10"/>
  <c r="AO119" i="10"/>
  <c r="AP119" i="10"/>
  <c r="AS119" i="10"/>
  <c r="AF119" i="10"/>
  <c r="AG119" i="10"/>
  <c r="AE94" i="10"/>
  <c r="AO94" i="10"/>
  <c r="AP94" i="10"/>
  <c r="AS94" i="10"/>
  <c r="AF94" i="10"/>
  <c r="AG94" i="10"/>
  <c r="AF280" i="10"/>
  <c r="AG280" i="10"/>
  <c r="AE280" i="10"/>
  <c r="AO280" i="10"/>
  <c r="AE326" i="10"/>
  <c r="AO326" i="10"/>
  <c r="AF326" i="10"/>
  <c r="AG326" i="10"/>
  <c r="AE159" i="10"/>
  <c r="AO159" i="10"/>
  <c r="AP159" i="10"/>
  <c r="AS159" i="10"/>
  <c r="AF159" i="10"/>
  <c r="AG159" i="10"/>
  <c r="AF246" i="10"/>
  <c r="AG246" i="10"/>
  <c r="AE246" i="10"/>
  <c r="AO246" i="10"/>
  <c r="AF194" i="10"/>
  <c r="AG194" i="10"/>
  <c r="AE194" i="10"/>
  <c r="AO194" i="10"/>
  <c r="AE482" i="10"/>
  <c r="AO482" i="10"/>
  <c r="AP482" i="10"/>
  <c r="AS482" i="10"/>
  <c r="AF482" i="10"/>
  <c r="AG482" i="10"/>
  <c r="AF64" i="10"/>
  <c r="AG64" i="10"/>
  <c r="AE64" i="10"/>
  <c r="AO64" i="10"/>
  <c r="AP64" i="10"/>
  <c r="AS64" i="10"/>
  <c r="AF161" i="10"/>
  <c r="AG161" i="10"/>
  <c r="AE161" i="10"/>
  <c r="AO161" i="10"/>
  <c r="AF474" i="10"/>
  <c r="AG474" i="10"/>
  <c r="AE474" i="10"/>
  <c r="AO474" i="10"/>
  <c r="AF415" i="10"/>
  <c r="AG415" i="10"/>
  <c r="AE415" i="10"/>
  <c r="AO415" i="10"/>
  <c r="AF412" i="10"/>
  <c r="AG412" i="10"/>
  <c r="AE412" i="10"/>
  <c r="AO412" i="10"/>
  <c r="AP412" i="10"/>
  <c r="AS412" i="10"/>
  <c r="AE536" i="10"/>
  <c r="AO536" i="10"/>
  <c r="AP536" i="10"/>
  <c r="AS536" i="10"/>
  <c r="AF536" i="10"/>
  <c r="AZ536" i="10"/>
  <c r="BA536" i="10"/>
  <c r="AE332" i="10"/>
  <c r="AO332" i="10"/>
  <c r="AP332" i="10"/>
  <c r="AS332" i="10"/>
  <c r="AF332" i="10"/>
  <c r="AG332" i="10"/>
  <c r="AE217" i="10"/>
  <c r="AO217" i="10"/>
  <c r="AF217" i="10"/>
  <c r="AG217" i="10"/>
  <c r="AE156" i="10"/>
  <c r="AO156" i="10"/>
  <c r="AF156" i="10"/>
  <c r="AG156" i="10"/>
  <c r="AF100" i="10"/>
  <c r="AG100" i="10"/>
  <c r="AE100" i="10"/>
  <c r="AO100" i="10"/>
  <c r="AP100" i="10"/>
  <c r="AS100" i="10"/>
  <c r="AE320" i="10"/>
  <c r="AO320" i="10"/>
  <c r="AF320" i="10"/>
  <c r="AG320" i="10"/>
  <c r="AF66" i="10"/>
  <c r="AG66" i="10"/>
  <c r="AE66" i="10"/>
  <c r="AO66" i="10"/>
  <c r="AP66" i="10"/>
  <c r="AS66" i="10"/>
  <c r="AF185" i="10"/>
  <c r="AG185" i="10"/>
  <c r="AE185" i="10"/>
  <c r="AO185" i="10"/>
  <c r="AF170" i="10"/>
  <c r="AG170" i="10"/>
  <c r="AH170" i="10"/>
  <c r="AI170" i="10"/>
  <c r="AE170" i="10"/>
  <c r="AO170" i="10"/>
  <c r="AP170" i="10"/>
  <c r="AF416" i="10"/>
  <c r="AG416" i="10"/>
  <c r="AE416" i="10"/>
  <c r="AO416" i="10"/>
  <c r="AP416" i="10"/>
  <c r="AS416" i="10"/>
  <c r="AF151" i="10"/>
  <c r="AG151" i="10"/>
  <c r="AE151" i="10"/>
  <c r="AO151" i="10"/>
  <c r="AP151" i="10"/>
  <c r="AS151" i="10"/>
  <c r="AE117" i="10"/>
  <c r="AO117" i="10"/>
  <c r="AP117" i="10"/>
  <c r="AS117" i="10"/>
  <c r="AF117" i="10"/>
  <c r="AG117" i="10"/>
  <c r="AE337" i="10"/>
  <c r="AO337" i="10"/>
  <c r="AP337" i="10"/>
  <c r="AS337" i="10"/>
  <c r="AF337" i="10"/>
  <c r="AG337" i="10"/>
  <c r="AF203" i="10"/>
  <c r="AG203" i="10"/>
  <c r="AE203" i="10"/>
  <c r="AO203" i="10"/>
  <c r="AP203" i="10"/>
  <c r="AS203" i="10"/>
  <c r="AF427" i="10"/>
  <c r="AG427" i="10"/>
  <c r="AE427" i="10"/>
  <c r="AO427" i="10"/>
  <c r="AP427" i="10"/>
  <c r="AS427" i="10"/>
  <c r="AF13" i="10"/>
  <c r="AG13" i="10"/>
  <c r="AE13" i="10"/>
  <c r="AO13" i="10"/>
  <c r="AP13" i="10"/>
  <c r="AS13" i="10"/>
  <c r="AF305" i="10"/>
  <c r="AG305" i="10"/>
  <c r="AE305" i="10"/>
  <c r="AO305" i="10"/>
  <c r="AF433" i="10"/>
  <c r="AG433" i="10"/>
  <c r="AE433" i="10"/>
  <c r="AO433" i="10"/>
  <c r="AF35" i="10"/>
  <c r="AG35" i="10"/>
  <c r="AE35" i="10"/>
  <c r="AO35" i="10"/>
  <c r="AE477" i="10"/>
  <c r="AO477" i="10"/>
  <c r="AF477" i="10"/>
  <c r="AG477" i="10"/>
  <c r="AF199" i="10"/>
  <c r="AG199" i="10"/>
  <c r="AE199" i="10"/>
  <c r="AO199" i="10"/>
  <c r="AP199" i="10"/>
  <c r="AS199" i="10"/>
  <c r="AF295" i="10"/>
  <c r="AG295" i="10"/>
  <c r="AE295" i="10"/>
  <c r="AO295" i="10"/>
  <c r="AF233" i="10"/>
  <c r="AG233" i="10"/>
  <c r="AE233" i="10"/>
  <c r="AO233" i="10"/>
  <c r="AF319" i="10"/>
  <c r="AG319" i="10"/>
  <c r="AE319" i="10"/>
  <c r="AO319" i="10"/>
  <c r="AF436" i="10"/>
  <c r="AG436" i="10"/>
  <c r="AE436" i="10"/>
  <c r="AO436" i="10"/>
  <c r="AP436" i="10"/>
  <c r="AF419" i="10"/>
  <c r="AG419" i="10"/>
  <c r="AE419" i="10"/>
  <c r="AO419" i="10"/>
  <c r="AF137" i="10"/>
  <c r="AG137" i="10"/>
  <c r="AE137" i="10"/>
  <c r="AO137" i="10"/>
  <c r="AE500" i="10"/>
  <c r="AO500" i="10"/>
  <c r="AF500" i="10"/>
  <c r="AG500" i="10"/>
  <c r="AE495" i="10"/>
  <c r="AO495" i="10"/>
  <c r="AP495" i="10"/>
  <c r="AS495" i="10"/>
  <c r="AF495" i="10"/>
  <c r="AG495" i="10"/>
  <c r="AE317" i="10"/>
  <c r="AO317" i="10"/>
  <c r="AF317" i="10"/>
  <c r="AG317" i="10"/>
  <c r="AE131" i="10"/>
  <c r="AO131" i="10"/>
  <c r="AP131" i="10"/>
  <c r="AS131" i="10"/>
  <c r="AF131" i="10"/>
  <c r="AG131" i="10"/>
  <c r="AE394" i="10"/>
  <c r="AO394" i="10"/>
  <c r="AF394" i="10"/>
  <c r="AG394" i="10"/>
  <c r="AE503" i="10"/>
  <c r="AO503" i="10"/>
  <c r="AF503" i="10"/>
  <c r="AG503" i="10"/>
  <c r="AE383" i="10"/>
  <c r="AO383" i="10"/>
  <c r="AP383" i="10"/>
  <c r="AS383" i="10"/>
  <c r="AF383" i="10"/>
  <c r="AG383" i="10"/>
  <c r="AE135" i="10"/>
  <c r="AO135" i="10"/>
  <c r="AP135" i="10"/>
  <c r="AS135" i="10"/>
  <c r="AF135" i="10"/>
  <c r="AG135" i="10"/>
  <c r="AE356" i="10"/>
  <c r="AO356" i="10"/>
  <c r="AP356" i="10"/>
  <c r="AS356" i="10"/>
  <c r="AF356" i="10"/>
  <c r="AG356" i="10"/>
  <c r="AF410" i="10"/>
  <c r="AG410" i="10"/>
  <c r="AE410" i="10"/>
  <c r="AO410" i="10"/>
  <c r="AE121" i="10"/>
  <c r="AO121" i="10"/>
  <c r="AP121" i="10"/>
  <c r="AS121" i="10"/>
  <c r="AF121" i="10"/>
  <c r="AG121" i="10"/>
  <c r="AF59" i="10"/>
  <c r="AG59" i="10"/>
  <c r="AE59" i="10"/>
  <c r="AO59" i="10"/>
  <c r="AP59" i="10"/>
  <c r="AS59" i="10"/>
  <c r="AF444" i="10"/>
  <c r="AG444" i="10"/>
  <c r="AE444" i="10"/>
  <c r="AO444" i="10"/>
  <c r="AF227" i="10"/>
  <c r="AG227" i="10"/>
  <c r="AE227" i="10"/>
  <c r="AO227" i="10"/>
  <c r="AF79" i="10"/>
  <c r="AG79" i="10"/>
  <c r="AE79" i="10"/>
  <c r="AO79" i="10"/>
  <c r="AP79" i="10"/>
  <c r="AS79" i="10"/>
  <c r="AF274" i="10"/>
  <c r="AG274" i="10"/>
  <c r="AE274" i="10"/>
  <c r="AO274" i="10"/>
  <c r="AE32" i="10"/>
  <c r="AO32" i="10"/>
  <c r="AP32" i="10"/>
  <c r="AS32" i="10"/>
  <c r="AF32" i="10"/>
  <c r="AG32" i="10"/>
  <c r="AE335" i="10"/>
  <c r="AO335" i="10"/>
  <c r="AP335" i="10"/>
  <c r="AS335" i="10"/>
  <c r="AF335" i="10"/>
  <c r="AG335" i="10"/>
  <c r="AF442" i="10"/>
  <c r="AG442" i="10"/>
  <c r="AE442" i="10"/>
  <c r="AO442" i="10"/>
  <c r="AF98" i="10"/>
  <c r="AG98" i="10"/>
  <c r="AE98" i="10"/>
  <c r="AO98" i="10"/>
  <c r="AP98" i="10"/>
  <c r="AS98" i="10"/>
  <c r="AF82" i="10"/>
  <c r="AG82" i="10"/>
  <c r="AE82" i="10"/>
  <c r="AO82" i="10"/>
  <c r="AP82" i="10"/>
  <c r="AS82" i="10"/>
  <c r="AF450" i="10"/>
  <c r="AG450" i="10"/>
  <c r="AE450" i="10"/>
  <c r="AO450" i="10"/>
  <c r="AP450" i="10"/>
  <c r="AS450" i="10"/>
  <c r="AF452" i="10"/>
  <c r="AG452" i="10"/>
  <c r="AE452" i="10"/>
  <c r="AO452" i="10"/>
  <c r="AF37" i="10"/>
  <c r="AG37" i="10"/>
  <c r="AE37" i="10"/>
  <c r="AO37" i="10"/>
  <c r="AP37" i="10"/>
  <c r="AS37" i="10"/>
  <c r="AF209" i="10"/>
  <c r="AG209" i="10"/>
  <c r="AE209" i="10"/>
  <c r="AO209" i="10"/>
  <c r="AE322" i="10"/>
  <c r="AO322" i="10"/>
  <c r="AP322" i="10"/>
  <c r="AS322" i="10"/>
  <c r="AF322" i="10"/>
  <c r="AG322" i="10"/>
  <c r="AF236" i="10"/>
  <c r="AG236" i="10"/>
  <c r="AE236" i="10"/>
  <c r="AO236" i="10"/>
  <c r="AE349" i="10"/>
  <c r="AO349" i="10"/>
  <c r="AP349" i="10"/>
  <c r="AS349" i="10"/>
  <c r="AF349" i="10"/>
  <c r="AG349" i="10"/>
  <c r="AE395" i="10"/>
  <c r="AO395" i="10"/>
  <c r="AF395" i="10"/>
  <c r="AG395" i="10"/>
  <c r="AF307" i="10"/>
  <c r="AG307" i="10"/>
  <c r="AE307" i="10"/>
  <c r="AO307" i="10"/>
  <c r="AF33" i="10"/>
  <c r="AG33" i="10"/>
  <c r="AE33" i="10"/>
  <c r="AO33" i="10"/>
  <c r="AP33" i="10"/>
  <c r="AS33" i="10"/>
  <c r="AE219" i="10"/>
  <c r="AO219" i="10"/>
  <c r="AP219" i="10"/>
  <c r="AS219" i="10"/>
  <c r="AF219" i="10"/>
  <c r="AG219" i="10"/>
  <c r="AE379" i="10"/>
  <c r="AO379" i="10"/>
  <c r="AP379" i="10"/>
  <c r="AS379" i="10"/>
  <c r="AF379" i="10"/>
  <c r="AG379" i="10"/>
  <c r="AE78" i="10"/>
  <c r="AO78" i="10"/>
  <c r="AP78" i="10"/>
  <c r="AS78" i="10"/>
  <c r="AF78" i="10"/>
  <c r="AG78" i="10"/>
  <c r="AE125" i="10"/>
  <c r="AO125" i="10"/>
  <c r="AP125" i="10"/>
  <c r="AS125" i="10"/>
  <c r="AF125" i="10"/>
  <c r="AG125" i="10"/>
  <c r="AF457" i="10"/>
  <c r="AG457" i="10"/>
  <c r="AE457" i="10"/>
  <c r="AO457" i="10"/>
  <c r="AF420" i="10"/>
  <c r="AG420" i="10"/>
  <c r="AE420" i="10"/>
  <c r="AO420" i="10"/>
  <c r="AP420" i="10"/>
  <c r="AS420" i="10"/>
  <c r="AE538" i="10"/>
  <c r="AO538" i="10"/>
  <c r="AP538" i="10"/>
  <c r="AS538" i="10"/>
  <c r="AF538" i="10"/>
  <c r="AZ538" i="10"/>
  <c r="BA538" i="10"/>
  <c r="AF262" i="10"/>
  <c r="AG262" i="10"/>
  <c r="AE262" i="10"/>
  <c r="AO262" i="10"/>
  <c r="AF186" i="10"/>
  <c r="AG186" i="10"/>
  <c r="AE186" i="10"/>
  <c r="AO186" i="10"/>
  <c r="AF223" i="10"/>
  <c r="AG223" i="10"/>
  <c r="AE223" i="10"/>
  <c r="AO223" i="10"/>
  <c r="AE494" i="10"/>
  <c r="AO494" i="10"/>
  <c r="AF494" i="10"/>
  <c r="AG494" i="10"/>
  <c r="AE90" i="10"/>
  <c r="AO90" i="10"/>
  <c r="AP90" i="10"/>
  <c r="AS90" i="10"/>
  <c r="AF90" i="10"/>
  <c r="AG90" i="10"/>
  <c r="AF60" i="10"/>
  <c r="AG60" i="10"/>
  <c r="AE60" i="10"/>
  <c r="AO60" i="10"/>
  <c r="AF293" i="10"/>
  <c r="AG293" i="10"/>
  <c r="AE293" i="10"/>
  <c r="AO293" i="10"/>
  <c r="AE70" i="10"/>
  <c r="AO70" i="10"/>
  <c r="AP70" i="10"/>
  <c r="AS70" i="10"/>
  <c r="AF70" i="10"/>
  <c r="AG70" i="10"/>
  <c r="AE213" i="10"/>
  <c r="AO213" i="10"/>
  <c r="AF213" i="10"/>
  <c r="AG213" i="10"/>
  <c r="AF539" i="10"/>
  <c r="AZ539" i="10"/>
  <c r="BA539" i="10"/>
  <c r="AE539" i="10"/>
  <c r="AO539" i="10"/>
  <c r="AP539" i="10"/>
  <c r="AS539" i="10"/>
  <c r="AE150" i="10"/>
  <c r="AO150" i="10"/>
  <c r="AF150" i="10"/>
  <c r="AG150" i="10"/>
  <c r="AF172" i="10"/>
  <c r="AG172" i="10"/>
  <c r="AE172" i="10"/>
  <c r="AO172" i="10"/>
  <c r="AP172" i="10"/>
  <c r="AF259" i="10"/>
  <c r="AG259" i="10"/>
  <c r="AE259" i="10"/>
  <c r="AO259" i="10"/>
  <c r="AF183" i="10"/>
  <c r="AG183" i="10"/>
  <c r="AE183" i="10"/>
  <c r="AO183" i="10"/>
  <c r="AF201" i="10"/>
  <c r="AG201" i="10"/>
  <c r="AE201" i="10"/>
  <c r="AO201" i="10"/>
  <c r="AP201" i="10"/>
  <c r="AS201" i="10"/>
  <c r="AF264" i="10"/>
  <c r="AG264" i="10"/>
  <c r="AE264" i="10"/>
  <c r="AO264" i="10"/>
  <c r="AF402" i="10"/>
  <c r="AG402" i="10"/>
  <c r="AE402" i="10"/>
  <c r="AO402" i="10"/>
  <c r="AP402" i="10"/>
  <c r="AS402" i="10"/>
  <c r="AE138" i="10"/>
  <c r="AO138" i="10"/>
  <c r="AF138" i="10"/>
  <c r="AG138" i="10"/>
  <c r="AE95" i="10"/>
  <c r="AO95" i="10"/>
  <c r="AP95" i="10"/>
  <c r="AS95" i="10"/>
  <c r="AF95" i="10"/>
  <c r="AG95" i="10"/>
  <c r="AF461" i="10"/>
  <c r="AG461" i="10"/>
  <c r="AE461" i="10"/>
  <c r="AO461" i="10"/>
  <c r="AP461" i="10"/>
  <c r="AS461" i="10"/>
  <c r="AF248" i="10"/>
  <c r="AG248" i="10"/>
  <c r="AE248" i="10"/>
  <c r="AO248" i="10"/>
  <c r="AF424" i="10"/>
  <c r="AG424" i="10"/>
  <c r="AE424" i="10"/>
  <c r="AO424" i="10"/>
  <c r="AE86" i="10"/>
  <c r="AO86" i="10"/>
  <c r="AP86" i="10"/>
  <c r="AS86" i="10"/>
  <c r="AF86" i="10"/>
  <c r="AG86" i="10"/>
  <c r="AF261" i="10"/>
  <c r="AG261" i="10"/>
  <c r="AE261" i="10"/>
  <c r="AO261" i="10"/>
  <c r="AF9" i="10"/>
  <c r="AG9" i="10"/>
  <c r="AE9" i="10"/>
  <c r="AO9" i="10"/>
  <c r="AP9" i="10"/>
  <c r="AS9" i="10"/>
  <c r="AF118" i="10"/>
  <c r="AG118" i="10"/>
  <c r="AE118" i="10"/>
  <c r="AO118" i="10"/>
  <c r="AP118" i="10"/>
  <c r="AS118" i="10"/>
  <c r="AE123" i="10"/>
  <c r="AO123" i="10"/>
  <c r="AF123" i="10"/>
  <c r="AG123" i="10"/>
  <c r="AE315" i="10"/>
  <c r="AO315" i="10"/>
  <c r="AF315" i="10"/>
  <c r="AG315" i="10"/>
  <c r="AF537" i="10"/>
  <c r="AZ537" i="10"/>
  <c r="BA537" i="10"/>
  <c r="AE537" i="10"/>
  <c r="AO537" i="10"/>
  <c r="AP537" i="10"/>
  <c r="AS537" i="10"/>
  <c r="AE145" i="10"/>
  <c r="AO145" i="10"/>
  <c r="AF145" i="10"/>
  <c r="AG145" i="10"/>
  <c r="AE358" i="10"/>
  <c r="AO358" i="10"/>
  <c r="AP358" i="10"/>
  <c r="AS358" i="10"/>
  <c r="AF358" i="10"/>
  <c r="AG358" i="10"/>
  <c r="AE116" i="10"/>
  <c r="AO116" i="10"/>
  <c r="AP116" i="10"/>
  <c r="AS116" i="10"/>
  <c r="AF116" i="10"/>
  <c r="AG116" i="10"/>
  <c r="AF50" i="10"/>
  <c r="AG50" i="10"/>
  <c r="AE50" i="10"/>
  <c r="AO50" i="10"/>
  <c r="AF407" i="10"/>
  <c r="AG407" i="10"/>
  <c r="AE407" i="10"/>
  <c r="AO407" i="10"/>
  <c r="AP407" i="10"/>
  <c r="AF409" i="10"/>
  <c r="AG409" i="10"/>
  <c r="AE409" i="10"/>
  <c r="AO409" i="10"/>
  <c r="AF252" i="10"/>
  <c r="AG252" i="10"/>
  <c r="AE252" i="10"/>
  <c r="AO252" i="10"/>
  <c r="AF75" i="10"/>
  <c r="AG75" i="10"/>
  <c r="AE75" i="10"/>
  <c r="AO75" i="10"/>
  <c r="AP75" i="10"/>
  <c r="AS75" i="10"/>
  <c r="AF147" i="10"/>
  <c r="AG147" i="10"/>
  <c r="AE147" i="10"/>
  <c r="AO147" i="10"/>
  <c r="AP147" i="10"/>
  <c r="AS147" i="10"/>
  <c r="AE354" i="10"/>
  <c r="AO354" i="10"/>
  <c r="AP354" i="10"/>
  <c r="AS354" i="10"/>
  <c r="AF354" i="10"/>
  <c r="AG354" i="10"/>
  <c r="AF486" i="10"/>
  <c r="AG486" i="10"/>
  <c r="AE486" i="10"/>
  <c r="AO486" i="10"/>
  <c r="AP486" i="10"/>
  <c r="AS486" i="10"/>
  <c r="AF104" i="10"/>
  <c r="AG104" i="10"/>
  <c r="AE104" i="10"/>
  <c r="AO104" i="10"/>
  <c r="AP104" i="10"/>
  <c r="AS104" i="10"/>
  <c r="AF300" i="10"/>
  <c r="AG300" i="10"/>
  <c r="AE300" i="10"/>
  <c r="AO300" i="10"/>
  <c r="AF17" i="10"/>
  <c r="AG17" i="10"/>
  <c r="AE17" i="10"/>
  <c r="AO17" i="10"/>
  <c r="AP17" i="10"/>
  <c r="AS17" i="10"/>
  <c r="AF85" i="10"/>
  <c r="AG85" i="10"/>
  <c r="AE85" i="10"/>
  <c r="AO85" i="10"/>
  <c r="AP85" i="10"/>
  <c r="AS85" i="10"/>
  <c r="AF28" i="10"/>
  <c r="AG28" i="10"/>
  <c r="AE28" i="10"/>
  <c r="AO28" i="10"/>
  <c r="AP28" i="10"/>
  <c r="AS28" i="10"/>
  <c r="AF225" i="10"/>
  <c r="AG225" i="10"/>
  <c r="AE225" i="10"/>
  <c r="AO225" i="10"/>
  <c r="AF281" i="10"/>
  <c r="AG281" i="10"/>
  <c r="AE281" i="10"/>
  <c r="AO281" i="10"/>
  <c r="AF460" i="10"/>
  <c r="AG460" i="10"/>
  <c r="AE460" i="10"/>
  <c r="AO460" i="10"/>
  <c r="AE370" i="10"/>
  <c r="AO370" i="10"/>
  <c r="AP370" i="10"/>
  <c r="AS370" i="10"/>
  <c r="AF370" i="10"/>
  <c r="AG370" i="10"/>
  <c r="AF216" i="10"/>
  <c r="AG216" i="10"/>
  <c r="AE216" i="10"/>
  <c r="AO216" i="10"/>
  <c r="AE321" i="10"/>
  <c r="AO321" i="10"/>
  <c r="AP321" i="10"/>
  <c r="AS321" i="10"/>
  <c r="AF321" i="10"/>
  <c r="AG321" i="10"/>
  <c r="AF188" i="10"/>
  <c r="AG188" i="10"/>
  <c r="AE188" i="10"/>
  <c r="AO188" i="10"/>
  <c r="AF298" i="10"/>
  <c r="AG298" i="10"/>
  <c r="AE298" i="10"/>
  <c r="AO298" i="10"/>
  <c r="AF247" i="10"/>
  <c r="AG247" i="10"/>
  <c r="AE247" i="10"/>
  <c r="AO247" i="10"/>
  <c r="AF543" i="10"/>
  <c r="AZ543" i="10"/>
  <c r="BA543" i="10"/>
  <c r="AE543" i="10"/>
  <c r="AO543" i="10"/>
  <c r="AP543" i="10"/>
  <c r="AS543" i="10"/>
  <c r="AF468" i="10"/>
  <c r="AG468" i="10"/>
  <c r="AE468" i="10"/>
  <c r="AO468" i="10"/>
  <c r="AP468" i="10"/>
  <c r="AS468" i="10"/>
  <c r="AF525" i="10"/>
  <c r="AZ525" i="10"/>
  <c r="BA525" i="10"/>
  <c r="AE525" i="10"/>
  <c r="AO525" i="10"/>
  <c r="AP525" i="10"/>
  <c r="AS525" i="10"/>
  <c r="AE528" i="10"/>
  <c r="AO528" i="10"/>
  <c r="AP528" i="10"/>
  <c r="AS528" i="10"/>
  <c r="AF528" i="10"/>
  <c r="AZ528" i="10"/>
  <c r="BA528" i="10"/>
  <c r="AF531" i="10"/>
  <c r="AZ531" i="10"/>
  <c r="BA531" i="10"/>
  <c r="AE531" i="10"/>
  <c r="AO531" i="10"/>
  <c r="AP531" i="10"/>
  <c r="AS531" i="10"/>
  <c r="AF422" i="10"/>
  <c r="AG422" i="10"/>
  <c r="AE422" i="10"/>
  <c r="AO422" i="10"/>
  <c r="AP422" i="10"/>
  <c r="AF253" i="10"/>
  <c r="AG253" i="10"/>
  <c r="AE253" i="10"/>
  <c r="AO253" i="10"/>
  <c r="AP253" i="10"/>
  <c r="AS253" i="10"/>
  <c r="AE499" i="10"/>
  <c r="AO499" i="10"/>
  <c r="AP499" i="10"/>
  <c r="AF499" i="10"/>
  <c r="AG499" i="10"/>
  <c r="AE115" i="10"/>
  <c r="AO115" i="10"/>
  <c r="AP115" i="10"/>
  <c r="AF115" i="10"/>
  <c r="AG115" i="10"/>
  <c r="AE526" i="10"/>
  <c r="AO526" i="10"/>
  <c r="AP526" i="10"/>
  <c r="AS526" i="10"/>
  <c r="AF526" i="10"/>
  <c r="AZ526" i="10"/>
  <c r="BA526" i="10"/>
  <c r="AF430" i="10"/>
  <c r="AG430" i="10"/>
  <c r="AE430" i="10"/>
  <c r="AO430" i="10"/>
  <c r="AP430" i="10"/>
  <c r="AE366" i="10"/>
  <c r="AO366" i="10"/>
  <c r="AP366" i="10"/>
  <c r="AS366" i="10"/>
  <c r="AF366" i="10"/>
  <c r="AG366" i="10"/>
  <c r="AF535" i="10"/>
  <c r="AZ535" i="10"/>
  <c r="BA535" i="10"/>
  <c r="AE535" i="10"/>
  <c r="AO535" i="10"/>
  <c r="AP535" i="10"/>
  <c r="AS535" i="10"/>
  <c r="AF462" i="10"/>
  <c r="AG462" i="10"/>
  <c r="AE462" i="10"/>
  <c r="AO462" i="10"/>
  <c r="AP462" i="10"/>
  <c r="AS462" i="10"/>
  <c r="AE179" i="10"/>
  <c r="AO179" i="10"/>
  <c r="AP179" i="10"/>
  <c r="AF179" i="10"/>
  <c r="AG179" i="10"/>
  <c r="AF435" i="10"/>
  <c r="AG435" i="10"/>
  <c r="AE435" i="10"/>
  <c r="AO435" i="10"/>
  <c r="AP435" i="10"/>
  <c r="AF533" i="10"/>
  <c r="AZ533" i="10"/>
  <c r="BA533" i="10"/>
  <c r="AE533" i="10"/>
  <c r="AO533" i="10"/>
  <c r="AP533" i="10"/>
  <c r="AS533" i="10"/>
  <c r="AE520" i="10"/>
  <c r="AO520" i="10"/>
  <c r="AP520" i="10"/>
  <c r="AS520" i="10"/>
  <c r="AF520" i="10"/>
  <c r="AZ520" i="10"/>
  <c r="BA520" i="10"/>
  <c r="AF154" i="10"/>
  <c r="AG154" i="10"/>
  <c r="AE154" i="10"/>
  <c r="AO154" i="10"/>
  <c r="AP154" i="10"/>
  <c r="AS154" i="10"/>
  <c r="AE475" i="10"/>
  <c r="AO475" i="10"/>
  <c r="AP475" i="10"/>
  <c r="AF475" i="10"/>
  <c r="AG475" i="10"/>
  <c r="R81" i="36"/>
  <c r="R29" i="36"/>
  <c r="R82" i="36"/>
  <c r="R92" i="36"/>
  <c r="R96" i="36"/>
  <c r="R85" i="36"/>
  <c r="R83" i="36"/>
  <c r="Q84" i="36"/>
  <c r="Q77" i="36"/>
  <c r="Q73" i="36"/>
  <c r="Q103" i="36"/>
  <c r="Q125" i="36"/>
  <c r="Q136" i="36"/>
  <c r="Q78" i="36"/>
  <c r="Q67" i="36"/>
  <c r="R30" i="36"/>
  <c r="Q90" i="36"/>
  <c r="AC609" i="10"/>
  <c r="AC610" i="10"/>
  <c r="AC612" i="10"/>
  <c r="AC607" i="10"/>
  <c r="AC608" i="10"/>
  <c r="AC611" i="10"/>
  <c r="AD603" i="10"/>
  <c r="AD602" i="10"/>
  <c r="AD601" i="10"/>
  <c r="AD600" i="10"/>
  <c r="AF221" i="10"/>
  <c r="AG221" i="10"/>
  <c r="R31" i="36"/>
  <c r="R93" i="36"/>
  <c r="Q93" i="36"/>
  <c r="P146" i="36"/>
  <c r="R3" i="36"/>
  <c r="R107" i="36"/>
  <c r="Q107" i="36"/>
  <c r="R111" i="36"/>
  <c r="Q111" i="36"/>
  <c r="F108" i="36"/>
  <c r="K108" i="36"/>
  <c r="O108" i="36"/>
  <c r="F104" i="36"/>
  <c r="K104" i="36"/>
  <c r="O104" i="36"/>
  <c r="F20" i="36"/>
  <c r="K20" i="36"/>
  <c r="F63" i="36"/>
  <c r="K63" i="36"/>
  <c r="O63" i="36"/>
  <c r="F4" i="36"/>
  <c r="K4" i="36"/>
  <c r="O4" i="36"/>
  <c r="AD604" i="10"/>
  <c r="AC605" i="10"/>
  <c r="C924" i="8"/>
  <c r="AH508" i="10"/>
  <c r="AH425" i="10"/>
  <c r="AI425" i="10"/>
  <c r="AJ425" i="10"/>
  <c r="AK425" i="10"/>
  <c r="AH192" i="10"/>
  <c r="AI192" i="10"/>
  <c r="AJ192" i="10"/>
  <c r="AK192" i="10"/>
  <c r="AH401" i="10"/>
  <c r="AI401" i="10"/>
  <c r="AJ401" i="10"/>
  <c r="AK401" i="10"/>
  <c r="AH242" i="10"/>
  <c r="AI242" i="10"/>
  <c r="AH21" i="10"/>
  <c r="AI21" i="10"/>
  <c r="AJ21" i="10"/>
  <c r="AK21" i="10"/>
  <c r="AP242" i="10"/>
  <c r="AS242" i="10"/>
  <c r="AK605" i="10"/>
  <c r="AJ328" i="10"/>
  <c r="AK328" i="10"/>
  <c r="AJ386" i="10"/>
  <c r="AK386" i="10"/>
  <c r="AJ318" i="10"/>
  <c r="AK318" i="10"/>
  <c r="AJ87" i="10"/>
  <c r="AK87" i="10"/>
  <c r="AJ242" i="10"/>
  <c r="AK242" i="10"/>
  <c r="AK608" i="10"/>
  <c r="AJ127" i="10"/>
  <c r="AK127" i="10"/>
  <c r="AJ254" i="10"/>
  <c r="AK254" i="10"/>
  <c r="AK607" i="10"/>
  <c r="AJ170" i="10"/>
  <c r="AK170" i="10"/>
  <c r="AJ132" i="10"/>
  <c r="AK132" i="10"/>
  <c r="AJ164" i="10"/>
  <c r="AK164" i="10"/>
  <c r="AJ255" i="10"/>
  <c r="AK255" i="10"/>
  <c r="AG588" i="10"/>
  <c r="AG587" i="10"/>
  <c r="AH156" i="10"/>
  <c r="AI156" i="10"/>
  <c r="AP156" i="10"/>
  <c r="AQ156" i="10"/>
  <c r="AR156" i="10"/>
  <c r="AH157" i="10"/>
  <c r="AI157" i="10"/>
  <c r="AP157" i="10"/>
  <c r="AQ157" i="10"/>
  <c r="AR157" i="10"/>
  <c r="AH147" i="10"/>
  <c r="AI147" i="10"/>
  <c r="AH143" i="10"/>
  <c r="AI143" i="10"/>
  <c r="AP143" i="10"/>
  <c r="AQ143" i="10"/>
  <c r="AH140" i="10"/>
  <c r="AI140" i="10"/>
  <c r="AH137" i="10"/>
  <c r="AI137" i="10"/>
  <c r="AP137" i="10"/>
  <c r="AS137" i="10"/>
  <c r="AH131" i="10"/>
  <c r="AI131" i="10"/>
  <c r="AH120" i="10"/>
  <c r="AI120" i="10"/>
  <c r="AH119" i="10"/>
  <c r="AI119" i="10"/>
  <c r="AH158" i="10"/>
  <c r="AI158" i="10"/>
  <c r="AH145" i="10"/>
  <c r="AI145" i="10"/>
  <c r="AH138" i="10"/>
  <c r="AI138" i="10"/>
  <c r="AP138" i="10"/>
  <c r="AS138" i="10"/>
  <c r="AH133" i="10"/>
  <c r="AI133" i="10"/>
  <c r="AP133" i="10"/>
  <c r="AH117" i="10"/>
  <c r="AI117" i="10"/>
  <c r="AH114" i="10"/>
  <c r="AI114" i="10"/>
  <c r="AH111" i="10"/>
  <c r="AI111" i="10"/>
  <c r="AH146" i="10"/>
  <c r="AI146" i="10"/>
  <c r="AH139" i="10"/>
  <c r="AI139" i="10"/>
  <c r="AP139" i="10"/>
  <c r="AQ139" i="10"/>
  <c r="AH130" i="10"/>
  <c r="AI130" i="10"/>
  <c r="AH118" i="10"/>
  <c r="AI118" i="10"/>
  <c r="AH116" i="10"/>
  <c r="AI116" i="10"/>
  <c r="AH142" i="10"/>
  <c r="AI142" i="10"/>
  <c r="AP142" i="10"/>
  <c r="AQ142" i="10"/>
  <c r="AH86" i="10"/>
  <c r="AI86" i="10"/>
  <c r="AH76" i="10"/>
  <c r="AI76" i="10"/>
  <c r="AH43" i="10"/>
  <c r="AI43" i="10"/>
  <c r="AH41" i="10"/>
  <c r="AI41" i="10"/>
  <c r="AH78" i="10"/>
  <c r="AI78" i="10"/>
  <c r="AH66" i="10"/>
  <c r="AI66" i="10"/>
  <c r="AH44" i="10"/>
  <c r="AI44" i="10"/>
  <c r="AH42" i="10"/>
  <c r="AI42" i="10"/>
  <c r="AH22" i="10"/>
  <c r="AI22" i="10"/>
  <c r="AH19" i="10"/>
  <c r="AI19" i="10"/>
  <c r="AH9" i="10"/>
  <c r="AI9" i="10"/>
  <c r="AH141" i="10"/>
  <c r="AI141" i="10"/>
  <c r="AP141" i="10"/>
  <c r="AH109" i="10"/>
  <c r="AI109" i="10"/>
  <c r="AH77" i="10"/>
  <c r="AI77" i="10"/>
  <c r="AH65" i="10"/>
  <c r="AI65" i="10"/>
  <c r="AH136" i="10"/>
  <c r="AI136" i="10"/>
  <c r="AP136" i="10"/>
  <c r="AQ136" i="10"/>
  <c r="AH113" i="10"/>
  <c r="AI113" i="10"/>
  <c r="AH79" i="10"/>
  <c r="AI79" i="10"/>
  <c r="AH30" i="10"/>
  <c r="AI30" i="10"/>
  <c r="AH10" i="10"/>
  <c r="AI10" i="10"/>
  <c r="AP10" i="10"/>
  <c r="AQ10" i="10"/>
  <c r="AR10" i="10"/>
  <c r="AH18" i="10"/>
  <c r="AI18" i="10"/>
  <c r="AH82" i="10"/>
  <c r="AI82" i="10"/>
  <c r="AH20" i="10"/>
  <c r="AI20" i="10"/>
  <c r="AH75" i="10"/>
  <c r="AI75" i="10"/>
  <c r="AH39" i="10"/>
  <c r="AI39" i="10"/>
  <c r="AH25" i="10"/>
  <c r="AI25" i="10"/>
  <c r="AH31" i="10"/>
  <c r="AI31" i="10"/>
  <c r="AH32" i="10"/>
  <c r="AI32" i="10"/>
  <c r="AH377" i="10"/>
  <c r="AI377" i="10"/>
  <c r="AH334" i="10"/>
  <c r="AI334" i="10"/>
  <c r="AH337" i="10"/>
  <c r="AI337" i="10"/>
  <c r="AH342" i="10"/>
  <c r="AI342" i="10"/>
  <c r="AH369" i="10"/>
  <c r="AI369" i="10"/>
  <c r="AH322" i="10"/>
  <c r="AI322" i="10"/>
  <c r="AH343" i="10"/>
  <c r="AI343" i="10"/>
  <c r="AH351" i="10"/>
  <c r="AI351" i="10"/>
  <c r="AH335" i="10"/>
  <c r="AI335" i="10"/>
  <c r="AH372" i="10"/>
  <c r="AI372" i="10"/>
  <c r="AH347" i="10"/>
  <c r="AI347" i="10"/>
  <c r="AH336" i="10"/>
  <c r="AI336" i="10"/>
  <c r="AH380" i="10"/>
  <c r="AI380" i="10"/>
  <c r="AH368" i="10"/>
  <c r="AI368" i="10"/>
  <c r="AH349" i="10"/>
  <c r="AI349" i="10"/>
  <c r="AH333" i="10"/>
  <c r="AI333" i="10"/>
  <c r="AH350" i="10"/>
  <c r="AI350" i="10"/>
  <c r="AH381" i="10"/>
  <c r="AI381" i="10"/>
  <c r="AH371" i="10"/>
  <c r="AI371" i="10"/>
  <c r="AH231" i="10"/>
  <c r="AH226" i="10"/>
  <c r="AH229" i="10"/>
  <c r="AH225" i="10"/>
  <c r="AH223" i="10"/>
  <c r="AH317" i="10"/>
  <c r="AH285" i="10"/>
  <c r="AH227" i="10"/>
  <c r="AH224" i="10"/>
  <c r="AH222" i="10"/>
  <c r="AH230" i="10"/>
  <c r="AH221" i="10"/>
  <c r="AH283" i="10"/>
  <c r="AH228" i="10"/>
  <c r="AH112" i="10"/>
  <c r="AI112" i="10"/>
  <c r="AH135" i="10"/>
  <c r="AI135" i="10"/>
  <c r="AH37" i="10"/>
  <c r="AI37" i="10"/>
  <c r="AH68" i="10"/>
  <c r="AI68" i="10"/>
  <c r="AH27" i="10"/>
  <c r="AI27" i="10"/>
  <c r="AH23" i="10"/>
  <c r="AI23" i="10"/>
  <c r="AH17" i="10"/>
  <c r="AI17" i="10"/>
  <c r="AH33" i="10"/>
  <c r="AI33" i="10"/>
  <c r="AH71" i="10"/>
  <c r="AI71" i="10"/>
  <c r="AH67" i="10"/>
  <c r="AI67" i="10"/>
  <c r="AH40" i="10"/>
  <c r="AI40" i="10"/>
  <c r="AH34" i="10"/>
  <c r="AI34" i="10"/>
  <c r="AH84" i="10"/>
  <c r="AI84" i="10"/>
  <c r="AH70" i="10"/>
  <c r="AI70" i="10"/>
  <c r="AH59" i="10"/>
  <c r="AI59" i="10"/>
  <c r="AH417" i="10"/>
  <c r="AI417" i="10"/>
  <c r="AQ417" i="10"/>
  <c r="AR417" i="10"/>
  <c r="AH411" i="10"/>
  <c r="AI411" i="10"/>
  <c r="AP411" i="10"/>
  <c r="AS411" i="10"/>
  <c r="AH413" i="10"/>
  <c r="AI413" i="10"/>
  <c r="AH415" i="10"/>
  <c r="AI415" i="10"/>
  <c r="AQ415" i="10"/>
  <c r="AR415" i="10"/>
  <c r="AH481" i="10"/>
  <c r="AI481" i="10"/>
  <c r="AH412" i="10"/>
  <c r="AI412" i="10"/>
  <c r="AH482" i="10"/>
  <c r="AI482" i="10"/>
  <c r="AH410" i="10"/>
  <c r="AI410" i="10"/>
  <c r="AP410" i="10"/>
  <c r="AH199" i="10"/>
  <c r="AI199" i="10"/>
  <c r="AH202" i="10"/>
  <c r="AI202" i="10"/>
  <c r="AH201" i="10"/>
  <c r="AI201" i="10"/>
  <c r="AH200" i="10"/>
  <c r="AI200" i="10"/>
  <c r="AH203" i="10"/>
  <c r="AI203" i="10"/>
  <c r="AH210" i="10"/>
  <c r="AI210" i="10"/>
  <c r="AH209" i="10"/>
  <c r="AI209" i="10"/>
  <c r="AP209" i="10"/>
  <c r="AS209" i="10"/>
  <c r="AH498" i="10"/>
  <c r="AI498" i="10"/>
  <c r="AH422" i="10"/>
  <c r="AI422" i="10"/>
  <c r="AH462" i="10"/>
  <c r="AI462" i="10"/>
  <c r="AQ462" i="10"/>
  <c r="AR462" i="10"/>
  <c r="AH436" i="10"/>
  <c r="AI436" i="10"/>
  <c r="AQ436" i="10"/>
  <c r="AR436" i="10"/>
  <c r="AH490" i="10"/>
  <c r="AI490" i="10"/>
  <c r="AQ490" i="10"/>
  <c r="AR490" i="10"/>
  <c r="AH418" i="10"/>
  <c r="AI418" i="10"/>
  <c r="AQ418" i="10"/>
  <c r="AR418" i="10"/>
  <c r="AH459" i="10"/>
  <c r="AI459" i="10"/>
  <c r="AH435" i="10"/>
  <c r="AI435" i="10"/>
  <c r="AQ435" i="10"/>
  <c r="AR435" i="10"/>
  <c r="AH458" i="10"/>
  <c r="AI458" i="10"/>
  <c r="AH439" i="10"/>
  <c r="AI439" i="10"/>
  <c r="AH416" i="10"/>
  <c r="AI416" i="10"/>
  <c r="AQ416" i="10"/>
  <c r="AR416" i="10"/>
  <c r="AH461" i="10"/>
  <c r="AI461" i="10"/>
  <c r="AQ461" i="10"/>
  <c r="AR461" i="10"/>
  <c r="AH438" i="10"/>
  <c r="AI438" i="10"/>
  <c r="AH437" i="10"/>
  <c r="AI437" i="10"/>
  <c r="AH144" i="10"/>
  <c r="AI144" i="10"/>
  <c r="AQ144" i="10"/>
  <c r="AR144" i="10"/>
  <c r="AH36" i="10"/>
  <c r="AI36" i="10"/>
  <c r="AH35" i="10"/>
  <c r="AI35" i="10"/>
  <c r="AP35" i="10"/>
  <c r="AH179" i="10"/>
  <c r="AI179" i="10"/>
  <c r="AH173" i="10"/>
  <c r="AI173" i="10"/>
  <c r="AQ173" i="10"/>
  <c r="AR173" i="10"/>
  <c r="AH169" i="10"/>
  <c r="AI169" i="10"/>
  <c r="AQ169" i="10"/>
  <c r="AR169" i="10"/>
  <c r="AH163" i="10"/>
  <c r="AI163" i="10"/>
  <c r="AP163" i="10"/>
  <c r="AQ163" i="10"/>
  <c r="AR163" i="10"/>
  <c r="AH162" i="10"/>
  <c r="AI162" i="10"/>
  <c r="AP162" i="10"/>
  <c r="AQ162" i="10"/>
  <c r="AR162" i="10"/>
  <c r="AH161" i="10"/>
  <c r="AI161" i="10"/>
  <c r="AP161" i="10"/>
  <c r="AH160" i="10"/>
  <c r="AI160" i="10"/>
  <c r="AP160" i="10"/>
  <c r="AH175" i="10"/>
  <c r="AI175" i="10"/>
  <c r="AH176" i="10"/>
  <c r="AI176" i="10"/>
  <c r="AH378" i="10"/>
  <c r="AI378" i="10"/>
  <c r="AH373" i="10"/>
  <c r="AI373" i="10"/>
  <c r="AH361" i="10"/>
  <c r="AI361" i="10"/>
  <c r="AH388" i="10"/>
  <c r="AI388" i="10"/>
  <c r="AH365" i="10"/>
  <c r="AI365" i="10"/>
  <c r="AH379" i="10"/>
  <c r="AI379" i="10"/>
  <c r="AH362" i="10"/>
  <c r="AI362" i="10"/>
  <c r="AH392" i="10"/>
  <c r="AI392" i="10"/>
  <c r="AH363" i="10"/>
  <c r="AI363" i="10"/>
  <c r="AH364" i="10"/>
  <c r="AI364" i="10"/>
  <c r="AH359" i="10"/>
  <c r="AI359" i="10"/>
  <c r="AH360" i="10"/>
  <c r="AI360" i="10"/>
  <c r="AH340" i="10"/>
  <c r="AI340" i="10"/>
  <c r="AH339" i="10"/>
  <c r="AI339" i="10"/>
  <c r="AH323" i="10"/>
  <c r="AI323" i="10"/>
  <c r="AH324" i="10"/>
  <c r="AI324" i="10"/>
  <c r="AP324" i="10"/>
  <c r="AS324" i="10"/>
  <c r="AH375" i="10"/>
  <c r="AI375" i="10"/>
  <c r="AH374" i="10"/>
  <c r="AI374" i="10"/>
  <c r="AH330" i="10"/>
  <c r="AI330" i="10"/>
  <c r="AH348" i="10"/>
  <c r="AI348" i="10"/>
  <c r="AH384" i="10"/>
  <c r="AI384" i="10"/>
  <c r="AH325" i="10"/>
  <c r="AI325" i="10"/>
  <c r="AH356" i="10"/>
  <c r="AI356" i="10"/>
  <c r="AH376" i="10"/>
  <c r="AI376" i="10"/>
  <c r="AH355" i="10"/>
  <c r="AI355" i="10"/>
  <c r="AH354" i="10"/>
  <c r="AI354" i="10"/>
  <c r="AH353" i="10"/>
  <c r="AI353" i="10"/>
  <c r="AH391" i="10"/>
  <c r="AI391" i="10"/>
  <c r="AH358" i="10"/>
  <c r="AI358" i="10"/>
  <c r="AH367" i="10"/>
  <c r="AI367" i="10"/>
  <c r="AH357" i="10"/>
  <c r="AI357" i="10"/>
  <c r="AH253" i="10"/>
  <c r="AI253" i="10"/>
  <c r="AH382" i="10"/>
  <c r="AI382" i="10"/>
  <c r="AH366" i="10"/>
  <c r="AI366" i="10"/>
  <c r="AH385" i="10"/>
  <c r="AI385" i="10"/>
  <c r="AH390" i="10"/>
  <c r="AI390" i="10"/>
  <c r="AH331" i="10"/>
  <c r="AI331" i="10"/>
  <c r="AH123" i="10"/>
  <c r="AI123" i="10"/>
  <c r="AP123" i="10"/>
  <c r="AH121" i="10"/>
  <c r="AI121" i="10"/>
  <c r="AH81" i="10"/>
  <c r="AI81" i="10"/>
  <c r="AH16" i="10"/>
  <c r="AI16" i="10"/>
  <c r="AH124" i="10"/>
  <c r="AI124" i="10"/>
  <c r="AP124" i="10"/>
  <c r="AS124" i="10"/>
  <c r="AH396" i="10"/>
  <c r="AI396" i="10"/>
  <c r="AP396" i="10"/>
  <c r="AS396" i="10"/>
  <c r="AH389" i="10"/>
  <c r="AI389" i="10"/>
  <c r="AH338" i="10"/>
  <c r="AI338" i="10"/>
  <c r="AH387" i="10"/>
  <c r="AI387" i="10"/>
  <c r="AH383" i="10"/>
  <c r="AI383" i="10"/>
  <c r="AH394" i="10"/>
  <c r="AI394" i="10"/>
  <c r="AP394" i="10"/>
  <c r="AS394" i="10"/>
  <c r="AH320" i="10"/>
  <c r="AI320" i="10"/>
  <c r="AP320" i="10"/>
  <c r="AQ320" i="10"/>
  <c r="AH315" i="10"/>
  <c r="AI315" i="10"/>
  <c r="AP315" i="10"/>
  <c r="AQ315" i="10"/>
  <c r="AH309" i="10"/>
  <c r="AI309" i="10"/>
  <c r="AP309" i="10"/>
  <c r="AS309" i="10"/>
  <c r="AH307" i="10"/>
  <c r="AI307" i="10"/>
  <c r="AP307" i="10"/>
  <c r="AS307" i="10"/>
  <c r="AH282" i="10"/>
  <c r="AI282" i="10"/>
  <c r="AP282" i="10"/>
  <c r="AQ282" i="10"/>
  <c r="AH281" i="10"/>
  <c r="AI281" i="10"/>
  <c r="AP281" i="10"/>
  <c r="AQ281" i="10"/>
  <c r="AH280" i="10"/>
  <c r="AI280" i="10"/>
  <c r="AH264" i="10"/>
  <c r="AI264" i="10"/>
  <c r="AP264" i="10"/>
  <c r="AH256" i="10"/>
  <c r="AI256" i="10"/>
  <c r="AP256" i="10"/>
  <c r="AQ256" i="10"/>
  <c r="AH370" i="10"/>
  <c r="AI370" i="10"/>
  <c r="AH314" i="10"/>
  <c r="AI314" i="10"/>
  <c r="AP314" i="10"/>
  <c r="AS314" i="10"/>
  <c r="AH313" i="10"/>
  <c r="AI313" i="10"/>
  <c r="AP313" i="10"/>
  <c r="AQ313" i="10"/>
  <c r="AH310" i="10"/>
  <c r="AI310" i="10"/>
  <c r="AP310" i="10"/>
  <c r="AS310" i="10"/>
  <c r="AH305" i="10"/>
  <c r="AI305" i="10"/>
  <c r="AH270" i="10"/>
  <c r="AI270" i="10"/>
  <c r="AP270" i="10"/>
  <c r="AQ270" i="10"/>
  <c r="AH269" i="10"/>
  <c r="AI269" i="10"/>
  <c r="AP269" i="10"/>
  <c r="AH250" i="10"/>
  <c r="AI250" i="10"/>
  <c r="AP250" i="10"/>
  <c r="AQ250" i="10"/>
  <c r="AH296" i="10"/>
  <c r="AI296" i="10"/>
  <c r="AP296" i="10"/>
  <c r="AS296" i="10"/>
  <c r="AH294" i="10"/>
  <c r="AI294" i="10"/>
  <c r="AP294" i="10"/>
  <c r="AQ294" i="10"/>
  <c r="AH292" i="10"/>
  <c r="AI292" i="10"/>
  <c r="AP292" i="10"/>
  <c r="AH327" i="10"/>
  <c r="AI327" i="10"/>
  <c r="AH287" i="10"/>
  <c r="AI287" i="10"/>
  <c r="AP287" i="10"/>
  <c r="AH257" i="10"/>
  <c r="AI257" i="10"/>
  <c r="AH300" i="10"/>
  <c r="AI300" i="10"/>
  <c r="AP300" i="10"/>
  <c r="AS300" i="10"/>
  <c r="AH298" i="10"/>
  <c r="AI298" i="10"/>
  <c r="AP298" i="10"/>
  <c r="AH306" i="10"/>
  <c r="AI306" i="10"/>
  <c r="AP306" i="10"/>
  <c r="AH251" i="10"/>
  <c r="AI251" i="10"/>
  <c r="AP251" i="10"/>
  <c r="AS251" i="10"/>
  <c r="AH288" i="10"/>
  <c r="AI288" i="10"/>
  <c r="AP288" i="10"/>
  <c r="AQ288" i="10"/>
  <c r="AH246" i="10"/>
  <c r="AI246" i="10"/>
  <c r="AP246" i="10"/>
  <c r="AH233" i="10"/>
  <c r="AI233" i="10"/>
  <c r="AP233" i="10"/>
  <c r="AQ233" i="10"/>
  <c r="AR233" i="10"/>
  <c r="AH239" i="10"/>
  <c r="AI239" i="10"/>
  <c r="AP239" i="10"/>
  <c r="AQ239" i="10"/>
  <c r="AH234" i="10"/>
  <c r="AI234" i="10"/>
  <c r="AP234" i="10"/>
  <c r="AH232" i="10"/>
  <c r="AI232" i="10"/>
  <c r="AP232" i="10"/>
  <c r="AQ232" i="10"/>
  <c r="AR232" i="10"/>
  <c r="AH311" i="10"/>
  <c r="AI311" i="10"/>
  <c r="AP311" i="10"/>
  <c r="AQ311" i="10"/>
  <c r="AH262" i="10"/>
  <c r="AI262" i="10"/>
  <c r="AH290" i="10"/>
  <c r="AI290" i="10"/>
  <c r="AP290" i="10"/>
  <c r="AQ290" i="10"/>
  <c r="AR290" i="10"/>
  <c r="AH244" i="10"/>
  <c r="AI244" i="10"/>
  <c r="AP244" i="10"/>
  <c r="AQ244" i="10"/>
  <c r="AH274" i="10"/>
  <c r="AI274" i="10"/>
  <c r="AP274" i="10"/>
  <c r="AS274" i="10"/>
  <c r="AH236" i="10"/>
  <c r="AI236" i="10"/>
  <c r="AP236" i="10"/>
  <c r="AQ236" i="10"/>
  <c r="AH308" i="10"/>
  <c r="AI308" i="10"/>
  <c r="AP308" i="10"/>
  <c r="AH278" i="10"/>
  <c r="AI278" i="10"/>
  <c r="AP278" i="10"/>
  <c r="AH302" i="10"/>
  <c r="AI302" i="10"/>
  <c r="AP302" i="10"/>
  <c r="AS302" i="10"/>
  <c r="AH279" i="10"/>
  <c r="AI279" i="10"/>
  <c r="AP279" i="10"/>
  <c r="AQ279" i="10"/>
  <c r="AH240" i="10"/>
  <c r="AI240" i="10"/>
  <c r="AP240" i="10"/>
  <c r="AS240" i="10"/>
  <c r="AH167" i="10"/>
  <c r="AI167" i="10"/>
  <c r="AP167" i="10"/>
  <c r="AS167" i="10"/>
  <c r="AH177" i="10"/>
  <c r="AI177" i="10"/>
  <c r="AP177" i="10"/>
  <c r="AS177" i="10"/>
  <c r="AH165" i="10"/>
  <c r="AI165" i="10"/>
  <c r="AP165" i="10"/>
  <c r="AQ165" i="10"/>
  <c r="AR165" i="10"/>
  <c r="AH444" i="10"/>
  <c r="AI444" i="10"/>
  <c r="AQ444" i="10"/>
  <c r="AR444" i="10"/>
  <c r="AH443" i="10"/>
  <c r="AI443" i="10"/>
  <c r="AH149" i="10"/>
  <c r="AI149" i="10"/>
  <c r="AH128" i="10"/>
  <c r="AI128" i="10"/>
  <c r="AH155" i="10"/>
  <c r="AI155" i="10"/>
  <c r="AH150" i="10"/>
  <c r="AI150" i="10"/>
  <c r="AP150" i="10"/>
  <c r="AS150" i="10"/>
  <c r="AH129" i="10"/>
  <c r="AI129" i="10"/>
  <c r="AH148" i="10"/>
  <c r="AI148" i="10"/>
  <c r="AH122" i="10"/>
  <c r="AI122" i="10"/>
  <c r="AH106" i="10"/>
  <c r="AI106" i="10"/>
  <c r="AH104" i="10"/>
  <c r="AI104" i="10"/>
  <c r="AH102" i="10"/>
  <c r="AI102" i="10"/>
  <c r="AH100" i="10"/>
  <c r="AI100" i="10"/>
  <c r="AH93" i="10"/>
  <c r="AI93" i="10"/>
  <c r="AH153" i="10"/>
  <c r="AI153" i="10"/>
  <c r="AH107" i="10"/>
  <c r="AI107" i="10"/>
  <c r="AH103" i="10"/>
  <c r="AI103" i="10"/>
  <c r="AH92" i="10"/>
  <c r="AI92" i="10"/>
  <c r="AH72" i="10"/>
  <c r="AI72" i="10"/>
  <c r="AH56" i="10"/>
  <c r="AI56" i="10"/>
  <c r="AH53" i="10"/>
  <c r="AI53" i="10"/>
  <c r="AH49" i="10"/>
  <c r="AI49" i="10"/>
  <c r="AP49" i="10"/>
  <c r="AH47" i="10"/>
  <c r="AI47" i="10"/>
  <c r="AH99" i="10"/>
  <c r="AI99" i="10"/>
  <c r="AP99" i="10"/>
  <c r="AH97" i="10"/>
  <c r="AI97" i="10"/>
  <c r="AH91" i="10"/>
  <c r="AI91" i="10"/>
  <c r="AH73" i="10"/>
  <c r="AI73" i="10"/>
  <c r="AQ73" i="10"/>
  <c r="AR73" i="10"/>
  <c r="AH51" i="10"/>
  <c r="AI51" i="10"/>
  <c r="AP51" i="10"/>
  <c r="AH28" i="10"/>
  <c r="AI28" i="10"/>
  <c r="AH151" i="10"/>
  <c r="AI151" i="10"/>
  <c r="AH105" i="10"/>
  <c r="AI105" i="10"/>
  <c r="AH101" i="10"/>
  <c r="AI101" i="10"/>
  <c r="AH94" i="10"/>
  <c r="AI94" i="10"/>
  <c r="AH90" i="10"/>
  <c r="AI90" i="10"/>
  <c r="AH50" i="10"/>
  <c r="AI50" i="10"/>
  <c r="AP50" i="10"/>
  <c r="AH108" i="10"/>
  <c r="AI108" i="10"/>
  <c r="AH98" i="10"/>
  <c r="AI98" i="10"/>
  <c r="AH89" i="10"/>
  <c r="AI89" i="10"/>
  <c r="AH45" i="10"/>
  <c r="AI45" i="10"/>
  <c r="AP45" i="10"/>
  <c r="AQ45" i="10"/>
  <c r="AR45" i="10"/>
  <c r="AH55" i="10"/>
  <c r="AI55" i="10"/>
  <c r="AH62" i="10"/>
  <c r="AI62" i="10"/>
  <c r="AH54" i="10"/>
  <c r="AI54" i="10"/>
  <c r="AH13" i="10"/>
  <c r="AI13" i="10"/>
  <c r="AH12" i="10"/>
  <c r="AI12" i="10"/>
  <c r="AP12" i="10"/>
  <c r="AH11" i="10"/>
  <c r="AI11" i="10"/>
  <c r="AH48" i="10"/>
  <c r="AI48" i="10"/>
  <c r="AQ48" i="10"/>
  <c r="AR48" i="10"/>
  <c r="AH46" i="10"/>
  <c r="AI46" i="10"/>
  <c r="AP46" i="10"/>
  <c r="AH57" i="10"/>
  <c r="AI57" i="10"/>
  <c r="AH52" i="10"/>
  <c r="AI52" i="10"/>
  <c r="AH341" i="10"/>
  <c r="AI341" i="10"/>
  <c r="AH321" i="10"/>
  <c r="AI321" i="10"/>
  <c r="AH352" i="10"/>
  <c r="AI352" i="10"/>
  <c r="AH332" i="10"/>
  <c r="AI332" i="10"/>
  <c r="AH329" i="10"/>
  <c r="AI329" i="10"/>
  <c r="AH497" i="10"/>
  <c r="AI497" i="10"/>
  <c r="AH499" i="10"/>
  <c r="AI499" i="10"/>
  <c r="AH480" i="10"/>
  <c r="AI480" i="10"/>
  <c r="AQ480" i="10"/>
  <c r="AR480" i="10"/>
  <c r="AH468" i="10"/>
  <c r="AI468" i="10"/>
  <c r="AH466" i="10"/>
  <c r="AI466" i="10"/>
  <c r="AH463" i="10"/>
  <c r="AI463" i="10"/>
  <c r="AH451" i="10"/>
  <c r="AI451" i="10"/>
  <c r="AQ451" i="10"/>
  <c r="AR451" i="10"/>
  <c r="AH441" i="10"/>
  <c r="AI441" i="10"/>
  <c r="AP441" i="10"/>
  <c r="AH434" i="10"/>
  <c r="AI434" i="10"/>
  <c r="AH464" i="10"/>
  <c r="AI464" i="10"/>
  <c r="AQ464" i="10"/>
  <c r="AR464" i="10"/>
  <c r="AH449" i="10"/>
  <c r="AI449" i="10"/>
  <c r="AQ449" i="10"/>
  <c r="AR449" i="10"/>
  <c r="AH460" i="10"/>
  <c r="AI460" i="10"/>
  <c r="AP460" i="10"/>
  <c r="AH446" i="10"/>
  <c r="AI446" i="10"/>
  <c r="AP446" i="10"/>
  <c r="AS446" i="10"/>
  <c r="AH430" i="10"/>
  <c r="AI430" i="10"/>
  <c r="AQ430" i="10"/>
  <c r="AR430" i="10"/>
  <c r="AH476" i="10"/>
  <c r="AI476" i="10"/>
  <c r="AP476" i="10"/>
  <c r="AS476" i="10"/>
  <c r="AH496" i="10"/>
  <c r="AI496" i="10"/>
  <c r="AH475" i="10"/>
  <c r="AI475" i="10"/>
  <c r="AQ475" i="10"/>
  <c r="AR475" i="10"/>
  <c r="AH465" i="10"/>
  <c r="AI465" i="10"/>
  <c r="AH450" i="10"/>
  <c r="AI450" i="10"/>
  <c r="AQ450" i="10"/>
  <c r="AR450" i="10"/>
  <c r="AH467" i="10"/>
  <c r="AI467" i="10"/>
  <c r="AH440" i="10"/>
  <c r="AI440" i="10"/>
  <c r="AP440" i="10"/>
  <c r="AS440" i="10"/>
  <c r="AH407" i="10"/>
  <c r="AI407" i="10"/>
  <c r="AH423" i="10"/>
  <c r="AI423" i="10"/>
  <c r="AH456" i="10"/>
  <c r="AI456" i="10"/>
  <c r="AH452" i="10"/>
  <c r="AI452" i="10"/>
  <c r="AP452" i="10"/>
  <c r="AQ452" i="10"/>
  <c r="AR452" i="10"/>
  <c r="AH424" i="10"/>
  <c r="AH457" i="10"/>
  <c r="AI457" i="10"/>
  <c r="AH181" i="10"/>
  <c r="AI181" i="10"/>
  <c r="AQ181" i="10"/>
  <c r="AR181" i="10"/>
  <c r="AH172" i="10"/>
  <c r="AI172" i="10"/>
  <c r="AQ172" i="10"/>
  <c r="AR172" i="10"/>
  <c r="AH64" i="10"/>
  <c r="AI64" i="10"/>
  <c r="AH63" i="10"/>
  <c r="AI63" i="10"/>
  <c r="AH126" i="10"/>
  <c r="AI126" i="10"/>
  <c r="AH60" i="10"/>
  <c r="AI60" i="10"/>
  <c r="AP60" i="10"/>
  <c r="AQ60" i="10"/>
  <c r="AR60" i="10"/>
  <c r="AH395" i="10"/>
  <c r="AI395" i="10"/>
  <c r="AP395" i="10"/>
  <c r="AQ395" i="10"/>
  <c r="AH345" i="10"/>
  <c r="AI345" i="10"/>
  <c r="AH326" i="10"/>
  <c r="AI326" i="10"/>
  <c r="AP326" i="10"/>
  <c r="AS326" i="10"/>
  <c r="AH397" i="10"/>
  <c r="AI397" i="10"/>
  <c r="AP397" i="10"/>
  <c r="AS397" i="10"/>
  <c r="AH393" i="10"/>
  <c r="AI393" i="10"/>
  <c r="AP393" i="10"/>
  <c r="AS393" i="10"/>
  <c r="AH344" i="10"/>
  <c r="AI344" i="10"/>
  <c r="AH398" i="10"/>
  <c r="AI398" i="10"/>
  <c r="AP398" i="10"/>
  <c r="AS398" i="10"/>
  <c r="AH346" i="10"/>
  <c r="AI346" i="10"/>
  <c r="AH319" i="10"/>
  <c r="AI319" i="10"/>
  <c r="AP319" i="10"/>
  <c r="AH316" i="10"/>
  <c r="AI316" i="10"/>
  <c r="AH303" i="10"/>
  <c r="AI303" i="10"/>
  <c r="AP303" i="10"/>
  <c r="AS303" i="10"/>
  <c r="AH276" i="10"/>
  <c r="AI276" i="10"/>
  <c r="AP276" i="10"/>
  <c r="AS276" i="10"/>
  <c r="AH261" i="10"/>
  <c r="AI261" i="10"/>
  <c r="AP261" i="10"/>
  <c r="AS261" i="10"/>
  <c r="AH259" i="10"/>
  <c r="AI259" i="10"/>
  <c r="AP259" i="10"/>
  <c r="AS259" i="10"/>
  <c r="AH275" i="10"/>
  <c r="AI275" i="10"/>
  <c r="AP275" i="10"/>
  <c r="AH258" i="10"/>
  <c r="AI258" i="10"/>
  <c r="AH248" i="10"/>
  <c r="AI248" i="10"/>
  <c r="AP248" i="10"/>
  <c r="AS248" i="10"/>
  <c r="AH243" i="10"/>
  <c r="AI243" i="10"/>
  <c r="AP243" i="10"/>
  <c r="AS243" i="10"/>
  <c r="AH237" i="10"/>
  <c r="AI237" i="10"/>
  <c r="AH272" i="10"/>
  <c r="AI272" i="10"/>
  <c r="AP272" i="10"/>
  <c r="AQ272" i="10"/>
  <c r="AH271" i="10"/>
  <c r="AI271" i="10"/>
  <c r="AP271" i="10"/>
  <c r="AS271" i="10"/>
  <c r="AH268" i="10"/>
  <c r="AI268" i="10"/>
  <c r="AP268" i="10"/>
  <c r="AS268" i="10"/>
  <c r="AH266" i="10"/>
  <c r="AI266" i="10"/>
  <c r="AH260" i="10"/>
  <c r="AI260" i="10"/>
  <c r="AP260" i="10"/>
  <c r="AH289" i="10"/>
  <c r="AI289" i="10"/>
  <c r="AP289" i="10"/>
  <c r="AS289" i="10"/>
  <c r="AH304" i="10"/>
  <c r="AI304" i="10"/>
  <c r="AH286" i="10"/>
  <c r="AI286" i="10"/>
  <c r="AP286" i="10"/>
  <c r="AS286" i="10"/>
  <c r="AH284" i="10"/>
  <c r="AI284" i="10"/>
  <c r="AP284" i="10"/>
  <c r="AS284" i="10"/>
  <c r="AH312" i="10"/>
  <c r="AI312" i="10"/>
  <c r="AP312" i="10"/>
  <c r="AS312" i="10"/>
  <c r="AH277" i="10"/>
  <c r="AI277" i="10"/>
  <c r="AH273" i="10"/>
  <c r="AI273" i="10"/>
  <c r="AP273" i="10"/>
  <c r="AS273" i="10"/>
  <c r="AH263" i="10"/>
  <c r="AI263" i="10"/>
  <c r="AP263" i="10"/>
  <c r="AS263" i="10"/>
  <c r="AH301" i="10"/>
  <c r="AI301" i="10"/>
  <c r="AP301" i="10"/>
  <c r="AQ301" i="10"/>
  <c r="AH247" i="10"/>
  <c r="AI247" i="10"/>
  <c r="AP247" i="10"/>
  <c r="AH295" i="10"/>
  <c r="AI295" i="10"/>
  <c r="AP295" i="10"/>
  <c r="AH291" i="10"/>
  <c r="AI291" i="10"/>
  <c r="AP291" i="10"/>
  <c r="AS291" i="10"/>
  <c r="AH241" i="10"/>
  <c r="AI241" i="10"/>
  <c r="AP241" i="10"/>
  <c r="AQ241" i="10"/>
  <c r="AH267" i="10"/>
  <c r="AI267" i="10"/>
  <c r="AP267" i="10"/>
  <c r="AQ267" i="10"/>
  <c r="AH299" i="10"/>
  <c r="AI299" i="10"/>
  <c r="AP299" i="10"/>
  <c r="AH245" i="10"/>
  <c r="AI245" i="10"/>
  <c r="AH238" i="10"/>
  <c r="AI238" i="10"/>
  <c r="AP238" i="10"/>
  <c r="AQ238" i="10"/>
  <c r="AH235" i="10"/>
  <c r="AI235" i="10"/>
  <c r="AP235" i="10"/>
  <c r="AQ235" i="10"/>
  <c r="AR235" i="10"/>
  <c r="AH265" i="10"/>
  <c r="AI265" i="10"/>
  <c r="AH252" i="10"/>
  <c r="AI252" i="10"/>
  <c r="AH293" i="10"/>
  <c r="AI293" i="10"/>
  <c r="AP293" i="10"/>
  <c r="AQ293" i="10"/>
  <c r="AH249" i="10"/>
  <c r="AI249" i="10"/>
  <c r="AH297" i="10"/>
  <c r="AI297" i="10"/>
  <c r="AP297" i="10"/>
  <c r="AS297" i="10"/>
  <c r="AH168" i="10"/>
  <c r="AI168" i="10"/>
  <c r="AP168" i="10"/>
  <c r="AQ168" i="10"/>
  <c r="AR168" i="10"/>
  <c r="AH178" i="10"/>
  <c r="AI178" i="10"/>
  <c r="AP178" i="10"/>
  <c r="AH198" i="10"/>
  <c r="AI198" i="10"/>
  <c r="AH204" i="10"/>
  <c r="AI204" i="10"/>
  <c r="AP204" i="10"/>
  <c r="AS204" i="10"/>
  <c r="AH205" i="10"/>
  <c r="AI205" i="10"/>
  <c r="AP205" i="10"/>
  <c r="AS205" i="10"/>
  <c r="AH208" i="10"/>
  <c r="AI208" i="10"/>
  <c r="AP208" i="10"/>
  <c r="AQ208" i="10"/>
  <c r="AR208" i="10"/>
  <c r="AH207" i="10"/>
  <c r="AI207" i="10"/>
  <c r="AP207" i="10"/>
  <c r="AQ207" i="10"/>
  <c r="AR207" i="10"/>
  <c r="AH85" i="10"/>
  <c r="AI85" i="10"/>
  <c r="AH26" i="10"/>
  <c r="AI26" i="10"/>
  <c r="AH80" i="10"/>
  <c r="AI80" i="10"/>
  <c r="AH159" i="10"/>
  <c r="AI159" i="10"/>
  <c r="AH96" i="10"/>
  <c r="AI96" i="10"/>
  <c r="AH220" i="10"/>
  <c r="AI220" i="10"/>
  <c r="AP220" i="10"/>
  <c r="AS220" i="10"/>
  <c r="AH219" i="10"/>
  <c r="AI219" i="10"/>
  <c r="AH215" i="10"/>
  <c r="AI215" i="10"/>
  <c r="AP215" i="10"/>
  <c r="AS215" i="10"/>
  <c r="AH211" i="10"/>
  <c r="AI211" i="10"/>
  <c r="AP211" i="10"/>
  <c r="AS211" i="10"/>
  <c r="AH217" i="10"/>
  <c r="AI217" i="10"/>
  <c r="AP217" i="10"/>
  <c r="AS217" i="10"/>
  <c r="AH196" i="10"/>
  <c r="AI196" i="10"/>
  <c r="AP196" i="10"/>
  <c r="AS196" i="10"/>
  <c r="AH193" i="10"/>
  <c r="AI193" i="10"/>
  <c r="AP193" i="10"/>
  <c r="AQ193" i="10"/>
  <c r="AR193" i="10"/>
  <c r="AH191" i="10"/>
  <c r="AI191" i="10"/>
  <c r="AH186" i="10"/>
  <c r="AI186" i="10"/>
  <c r="AP186" i="10"/>
  <c r="AS186" i="10"/>
  <c r="AH184" i="10"/>
  <c r="AI184" i="10"/>
  <c r="AP184" i="10"/>
  <c r="AQ184" i="10"/>
  <c r="AR184" i="10"/>
  <c r="AH206" i="10"/>
  <c r="AI206" i="10"/>
  <c r="AH216" i="10"/>
  <c r="AI216" i="10"/>
  <c r="AP216" i="10"/>
  <c r="AS216" i="10"/>
  <c r="AH213" i="10"/>
  <c r="AI213" i="10"/>
  <c r="AP213" i="10"/>
  <c r="AS213" i="10"/>
  <c r="AH195" i="10"/>
  <c r="AI195" i="10"/>
  <c r="AP195" i="10"/>
  <c r="AH190" i="10"/>
  <c r="AI190" i="10"/>
  <c r="AP190" i="10"/>
  <c r="AS190" i="10"/>
  <c r="AH212" i="10"/>
  <c r="AI212" i="10"/>
  <c r="AP212" i="10"/>
  <c r="AS212" i="10"/>
  <c r="AH197" i="10"/>
  <c r="AI197" i="10"/>
  <c r="AP197" i="10"/>
  <c r="AS197" i="10"/>
  <c r="AH187" i="10"/>
  <c r="AI187" i="10"/>
  <c r="AP187" i="10"/>
  <c r="AQ187" i="10"/>
  <c r="AR187" i="10"/>
  <c r="AH189" i="10"/>
  <c r="AI189" i="10"/>
  <c r="AP189" i="10"/>
  <c r="AS189" i="10"/>
  <c r="AH188" i="10"/>
  <c r="AI188" i="10"/>
  <c r="AH183" i="10"/>
  <c r="AI183" i="10"/>
  <c r="AP183" i="10"/>
  <c r="AS183" i="10"/>
  <c r="AH214" i="10"/>
  <c r="AI214" i="10"/>
  <c r="AP214" i="10"/>
  <c r="AS214" i="10"/>
  <c r="AH185" i="10"/>
  <c r="AI185" i="10"/>
  <c r="AP185" i="10"/>
  <c r="AQ185" i="10"/>
  <c r="AR185" i="10"/>
  <c r="AH194" i="10"/>
  <c r="AI194" i="10"/>
  <c r="AH182" i="10"/>
  <c r="AI182" i="10"/>
  <c r="AP182" i="10"/>
  <c r="AS182" i="10"/>
  <c r="AH218" i="10"/>
  <c r="AI218" i="10"/>
  <c r="AP218" i="10"/>
  <c r="AS218" i="10"/>
  <c r="AH38" i="10"/>
  <c r="AI38" i="10"/>
  <c r="AH15" i="10"/>
  <c r="AI15" i="10"/>
  <c r="AP15" i="10"/>
  <c r="AS15" i="10"/>
  <c r="AH166" i="10"/>
  <c r="AI166" i="10"/>
  <c r="AH152" i="10"/>
  <c r="AI152" i="10"/>
  <c r="AP152" i="10"/>
  <c r="AH110" i="10"/>
  <c r="AI110" i="10"/>
  <c r="AH61" i="10"/>
  <c r="AI61" i="10"/>
  <c r="AH58" i="10"/>
  <c r="AI58" i="10"/>
  <c r="AH88" i="10"/>
  <c r="AI88" i="10"/>
  <c r="AH74" i="10"/>
  <c r="AI74" i="10"/>
  <c r="AH83" i="10"/>
  <c r="AI83" i="10"/>
  <c r="AH24" i="10"/>
  <c r="AI24" i="10"/>
  <c r="AH14" i="10"/>
  <c r="AI14" i="10"/>
  <c r="AH95" i="10"/>
  <c r="AI95" i="10"/>
  <c r="AH115" i="10"/>
  <c r="AI115" i="10"/>
  <c r="AQ115" i="10"/>
  <c r="AR115" i="10"/>
  <c r="AH69" i="10"/>
  <c r="AI69" i="10"/>
  <c r="AH134" i="10"/>
  <c r="AI134" i="10"/>
  <c r="AH125" i="10"/>
  <c r="AI125" i="10"/>
  <c r="AH29" i="10"/>
  <c r="AI29" i="10"/>
  <c r="AH154" i="10"/>
  <c r="AI154" i="10"/>
  <c r="AH171" i="10"/>
  <c r="AI171" i="10"/>
  <c r="AP171" i="10"/>
  <c r="AS171" i="10"/>
  <c r="AH180" i="10"/>
  <c r="AI180" i="10"/>
  <c r="AH174" i="10"/>
  <c r="AI174" i="10"/>
  <c r="AP174" i="10"/>
  <c r="AS174" i="10"/>
  <c r="AH504" i="10"/>
  <c r="AI504" i="10"/>
  <c r="AP504" i="10"/>
  <c r="AH506" i="10"/>
  <c r="AI506" i="10"/>
  <c r="AH503" i="10"/>
  <c r="AI503" i="10"/>
  <c r="AH493" i="10"/>
  <c r="AI493" i="10"/>
  <c r="AH502" i="10"/>
  <c r="AI502" i="10"/>
  <c r="AQ502" i="10"/>
  <c r="AR502" i="10"/>
  <c r="AH501" i="10"/>
  <c r="AI501" i="10"/>
  <c r="AP501" i="10"/>
  <c r="AS501" i="10"/>
  <c r="AH495" i="10"/>
  <c r="AI495" i="10"/>
  <c r="AH491" i="10"/>
  <c r="AI491" i="10"/>
  <c r="AH487" i="10"/>
  <c r="AI487" i="10"/>
  <c r="AH485" i="10"/>
  <c r="AI485" i="10"/>
  <c r="AP485" i="10"/>
  <c r="AS485" i="10"/>
  <c r="AH484" i="10"/>
  <c r="AI484" i="10"/>
  <c r="AH494" i="10"/>
  <c r="AI494" i="10"/>
  <c r="AQ494" i="10"/>
  <c r="AR494" i="10"/>
  <c r="AH488" i="10"/>
  <c r="AI488" i="10"/>
  <c r="AH477" i="10"/>
  <c r="AI477" i="10"/>
  <c r="AQ477" i="10"/>
  <c r="AR477" i="10"/>
  <c r="AH474" i="10"/>
  <c r="AI474" i="10"/>
  <c r="AH470" i="10"/>
  <c r="AI470" i="10"/>
  <c r="AP470" i="10"/>
  <c r="AS470" i="10"/>
  <c r="AH432" i="10"/>
  <c r="AI432" i="10"/>
  <c r="AP432" i="10"/>
  <c r="AQ432" i="10"/>
  <c r="AH429" i="10"/>
  <c r="AI429" i="10"/>
  <c r="AH500" i="10"/>
  <c r="AI500" i="10"/>
  <c r="AP500" i="10"/>
  <c r="AS500" i="10"/>
  <c r="AH479" i="10"/>
  <c r="AI479" i="10"/>
  <c r="AH473" i="10"/>
  <c r="AI473" i="10"/>
  <c r="AP473" i="10"/>
  <c r="AS473" i="10"/>
  <c r="AH469" i="10"/>
  <c r="AI469" i="10"/>
  <c r="AP469" i="10"/>
  <c r="AS469" i="10"/>
  <c r="AH453" i="10"/>
  <c r="AI453" i="10"/>
  <c r="AH448" i="10"/>
  <c r="AI448" i="10"/>
  <c r="AH447" i="10"/>
  <c r="AI447" i="10"/>
  <c r="AH445" i="10"/>
  <c r="AI445" i="10"/>
  <c r="AP445" i="10"/>
  <c r="AQ445" i="10"/>
  <c r="AH431" i="10"/>
  <c r="AI431" i="10"/>
  <c r="AH427" i="10"/>
  <c r="AI427" i="10"/>
  <c r="AH405" i="10"/>
  <c r="AI405" i="10"/>
  <c r="AP405" i="10"/>
  <c r="AS405" i="10"/>
  <c r="AH402" i="10"/>
  <c r="AI402" i="10"/>
  <c r="AH399" i="10"/>
  <c r="AI399" i="10"/>
  <c r="AH486" i="10"/>
  <c r="AI486" i="10"/>
  <c r="AH483" i="10"/>
  <c r="AI483" i="10"/>
  <c r="AP483" i="10"/>
  <c r="AQ483" i="10"/>
  <c r="AH472" i="10"/>
  <c r="AI472" i="10"/>
  <c r="AP472" i="10"/>
  <c r="AS472" i="10"/>
  <c r="AH421" i="10"/>
  <c r="AI421" i="10"/>
  <c r="AH419" i="10"/>
  <c r="AI419" i="10"/>
  <c r="AP419" i="10"/>
  <c r="AS419" i="10"/>
  <c r="AH414" i="10"/>
  <c r="AI414" i="10"/>
  <c r="AH409" i="10"/>
  <c r="AI409" i="10"/>
  <c r="AP409" i="10"/>
  <c r="AS409" i="10"/>
  <c r="AH505" i="10"/>
  <c r="AI505" i="10"/>
  <c r="AP505" i="10"/>
  <c r="AS505" i="10"/>
  <c r="AH489" i="10"/>
  <c r="AI489" i="10"/>
  <c r="AH478" i="10"/>
  <c r="AI478" i="10"/>
  <c r="AQ478" i="10"/>
  <c r="AR478" i="10"/>
  <c r="AH471" i="10"/>
  <c r="AI471" i="10"/>
  <c r="AP471" i="10"/>
  <c r="AS471" i="10"/>
  <c r="AH408" i="10"/>
  <c r="AI408" i="10"/>
  <c r="AH404" i="10"/>
  <c r="AI404" i="10"/>
  <c r="AP404" i="10"/>
  <c r="AS404" i="10"/>
  <c r="AH403" i="10"/>
  <c r="AI403" i="10"/>
  <c r="AP403" i="10"/>
  <c r="AS403" i="10"/>
  <c r="AH455" i="10"/>
  <c r="AI455" i="10"/>
  <c r="AH454" i="10"/>
  <c r="AI454" i="10"/>
  <c r="AP454" i="10"/>
  <c r="AS454" i="10"/>
  <c r="AH428" i="10"/>
  <c r="AI428" i="10"/>
  <c r="AQ428" i="10"/>
  <c r="AH406" i="10"/>
  <c r="AI406" i="10"/>
  <c r="AH492" i="10"/>
  <c r="AI492" i="10"/>
  <c r="AH442" i="10"/>
  <c r="AI442" i="10"/>
  <c r="AP442" i="10"/>
  <c r="AS442" i="10"/>
  <c r="AH433" i="10"/>
  <c r="AI433" i="10"/>
  <c r="AP433" i="10"/>
  <c r="AS433" i="10"/>
  <c r="AH426" i="10"/>
  <c r="AI426" i="10"/>
  <c r="AP426" i="10"/>
  <c r="AS426" i="10"/>
  <c r="AH400" i="10"/>
  <c r="AI400" i="10"/>
  <c r="AH420" i="10"/>
  <c r="AI420" i="10"/>
  <c r="AQ437" i="10"/>
  <c r="AR437" i="10"/>
  <c r="AS437" i="10"/>
  <c r="AS169" i="10"/>
  <c r="AS173" i="10"/>
  <c r="AS475" i="10"/>
  <c r="AS179" i="10"/>
  <c r="AQ179" i="10"/>
  <c r="AR179" i="10"/>
  <c r="AS499" i="10"/>
  <c r="AQ499" i="10"/>
  <c r="AR499" i="10"/>
  <c r="AS144" i="10"/>
  <c r="AS181" i="10"/>
  <c r="AS407" i="10"/>
  <c r="AQ407" i="10"/>
  <c r="AR407" i="10"/>
  <c r="AS430" i="10"/>
  <c r="AS422" i="10"/>
  <c r="AQ422" i="10"/>
  <c r="AR422" i="10"/>
  <c r="AS436" i="10"/>
  <c r="AQ439" i="10"/>
  <c r="AR439" i="10"/>
  <c r="AS439" i="10"/>
  <c r="AS464" i="10"/>
  <c r="AS451" i="10"/>
  <c r="AS434" i="10"/>
  <c r="AQ434" i="10"/>
  <c r="AR434" i="10"/>
  <c r="AS435" i="10"/>
  <c r="AS172" i="10"/>
  <c r="AS170" i="10"/>
  <c r="AQ170" i="10"/>
  <c r="AR170" i="10"/>
  <c r="AS438" i="10"/>
  <c r="AQ438" i="10"/>
  <c r="AR438" i="10"/>
  <c r="AS463" i="10"/>
  <c r="AQ463" i="10"/>
  <c r="AR463" i="10"/>
  <c r="AS115" i="10"/>
  <c r="AS480" i="10"/>
  <c r="C47" i="36"/>
  <c r="M47" i="36"/>
  <c r="O47" i="36"/>
  <c r="C113" i="36"/>
  <c r="M113" i="36"/>
  <c r="O113" i="36"/>
  <c r="M25" i="36"/>
  <c r="O25" i="36"/>
  <c r="C25" i="36"/>
  <c r="M51" i="36"/>
  <c r="O51" i="36"/>
  <c r="C51" i="36"/>
  <c r="M70" i="36"/>
  <c r="O70" i="36"/>
  <c r="C70" i="36"/>
  <c r="C40" i="36"/>
  <c r="M40" i="36"/>
  <c r="O40" i="36"/>
  <c r="C69" i="36"/>
  <c r="M69" i="36"/>
  <c r="O69" i="36"/>
  <c r="C27" i="36"/>
  <c r="M27" i="36"/>
  <c r="O27" i="36"/>
  <c r="C20" i="36"/>
  <c r="D13" i="36"/>
  <c r="F13" i="36"/>
  <c r="K13" i="36"/>
  <c r="O13" i="36"/>
  <c r="M20" i="36"/>
  <c r="O20" i="36"/>
  <c r="C120" i="36"/>
  <c r="M120" i="36"/>
  <c r="O120" i="36"/>
  <c r="AB605" i="10"/>
  <c r="AC613" i="10"/>
  <c r="Q63" i="36"/>
  <c r="R63" i="36"/>
  <c r="Q108" i="36"/>
  <c r="R108" i="36"/>
  <c r="Q104" i="36"/>
  <c r="R104" i="36"/>
  <c r="AQ242" i="10"/>
  <c r="AR242" i="10"/>
  <c r="AS244" i="10"/>
  <c r="AS156" i="10"/>
  <c r="AQ240" i="10"/>
  <c r="AS233" i="10"/>
  <c r="AS162" i="10"/>
  <c r="AS311" i="10"/>
  <c r="AQ396" i="10"/>
  <c r="AS315" i="10"/>
  <c r="AQ440" i="10"/>
  <c r="AR440" i="10"/>
  <c r="AS193" i="10"/>
  <c r="AS272" i="10"/>
  <c r="AQ138" i="10"/>
  <c r="AS250" i="10"/>
  <c r="AS184" i="10"/>
  <c r="AQ196" i="10"/>
  <c r="AR196" i="10"/>
  <c r="AS207" i="10"/>
  <c r="AS45" i="10"/>
  <c r="AQ476" i="10"/>
  <c r="AR476" i="10"/>
  <c r="AS235" i="10"/>
  <c r="AQ137" i="10"/>
  <c r="AS279" i="10"/>
  <c r="AS157" i="10"/>
  <c r="AS187" i="10"/>
  <c r="AS163" i="10"/>
  <c r="AS142" i="10"/>
  <c r="AS320" i="10"/>
  <c r="AQ216" i="10"/>
  <c r="AR216" i="10"/>
  <c r="AQ310" i="10"/>
  <c r="AS232" i="10"/>
  <c r="AS256" i="10"/>
  <c r="AS136" i="10"/>
  <c r="AS282" i="10"/>
  <c r="AS10" i="10"/>
  <c r="AS294" i="10"/>
  <c r="AS165" i="10"/>
  <c r="AS270" i="10"/>
  <c r="AS208" i="10"/>
  <c r="AS185" i="10"/>
  <c r="AQ251" i="10"/>
  <c r="AQ411" i="10"/>
  <c r="AS301" i="10"/>
  <c r="AQ243" i="10"/>
  <c r="AS267" i="10"/>
  <c r="AQ314" i="10"/>
  <c r="AQ393" i="10"/>
  <c r="AS395" i="10"/>
  <c r="AS281" i="10"/>
  <c r="AQ312" i="10"/>
  <c r="AQ183" i="10"/>
  <c r="AR183" i="10"/>
  <c r="AQ500" i="10"/>
  <c r="AR500" i="10"/>
  <c r="AQ472" i="10"/>
  <c r="AQ214" i="10"/>
  <c r="AR214" i="10"/>
  <c r="AQ261" i="10"/>
  <c r="AQ271" i="10"/>
  <c r="AQ289" i="10"/>
  <c r="AS168" i="10"/>
  <c r="AS60" i="10"/>
  <c r="AQ213" i="10"/>
  <c r="AR213" i="10"/>
  <c r="AQ470" i="10"/>
  <c r="AR470" i="10"/>
  <c r="AS445" i="10"/>
  <c r="AQ403" i="10"/>
  <c r="AQ469" i="10"/>
  <c r="AR469" i="10"/>
  <c r="AQ405" i="10"/>
  <c r="AQ205" i="10"/>
  <c r="AR205" i="10"/>
  <c r="AS236" i="10"/>
  <c r="AQ263" i="10"/>
  <c r="AS483" i="10"/>
  <c r="AQ248" i="10"/>
  <c r="AS432" i="10"/>
  <c r="AS290" i="10"/>
  <c r="AQ209" i="10"/>
  <c r="AR209" i="10"/>
  <c r="AQ286" i="10"/>
  <c r="AQ204" i="10"/>
  <c r="AR204" i="10"/>
  <c r="AS452" i="10"/>
  <c r="AQ174" i="10"/>
  <c r="AR174" i="10"/>
  <c r="AQ473" i="10"/>
  <c r="AS293" i="10"/>
  <c r="AQ398" i="10"/>
  <c r="AQ150" i="10"/>
  <c r="AR150" i="10"/>
  <c r="AQ300" i="10"/>
  <c r="AQ220" i="10"/>
  <c r="AR220" i="10"/>
  <c r="AQ397" i="10"/>
  <c r="AQ284" i="10"/>
  <c r="AQ324" i="10"/>
  <c r="AR324" i="10"/>
  <c r="AS143" i="10"/>
  <c r="AS241" i="10"/>
  <c r="AQ276" i="10"/>
  <c r="AQ177" i="10"/>
  <c r="AR177" i="10"/>
  <c r="AQ186" i="10"/>
  <c r="AR186" i="10"/>
  <c r="AQ326" i="10"/>
  <c r="AQ302" i="10"/>
  <c r="AQ190" i="10"/>
  <c r="AR190" i="10"/>
  <c r="AQ124" i="10"/>
  <c r="AR124" i="10"/>
  <c r="AQ274" i="10"/>
  <c r="AQ189" i="10"/>
  <c r="AR189" i="10"/>
  <c r="AQ15" i="10"/>
  <c r="AR15" i="10"/>
  <c r="AQ303" i="10"/>
  <c r="AQ259" i="10"/>
  <c r="AS239" i="10"/>
  <c r="AQ268" i="10"/>
  <c r="AQ211" i="10"/>
  <c r="AR211" i="10"/>
  <c r="AQ215" i="10"/>
  <c r="AR215" i="10"/>
  <c r="AQ217" i="10"/>
  <c r="AR217" i="10"/>
  <c r="AQ394" i="10"/>
  <c r="AQ197" i="10"/>
  <c r="AR197" i="10"/>
  <c r="AQ182" i="10"/>
  <c r="AR182" i="10"/>
  <c r="AQ291" i="10"/>
  <c r="AR291" i="10"/>
  <c r="AQ296" i="10"/>
  <c r="AR296" i="10"/>
  <c r="AQ218" i="10"/>
  <c r="AR218" i="10"/>
  <c r="AQ419" i="10"/>
  <c r="AQ504" i="10"/>
  <c r="AR504" i="10"/>
  <c r="AS504" i="10"/>
  <c r="AQ247" i="10"/>
  <c r="AS247" i="10"/>
  <c r="AS260" i="10"/>
  <c r="AQ260" i="10"/>
  <c r="AQ275" i="10"/>
  <c r="AS275" i="10"/>
  <c r="AS234" i="10"/>
  <c r="AQ234" i="10"/>
  <c r="AR234" i="10"/>
  <c r="AS264" i="10"/>
  <c r="AQ264" i="10"/>
  <c r="AQ123" i="10"/>
  <c r="AR123" i="10"/>
  <c r="AS123" i="10"/>
  <c r="AQ160" i="10"/>
  <c r="AR160" i="10"/>
  <c r="AS160" i="10"/>
  <c r="AS49" i="10"/>
  <c r="AQ49" i="10"/>
  <c r="AR49" i="10"/>
  <c r="AQ161" i="10"/>
  <c r="AR161" i="10"/>
  <c r="AS161" i="10"/>
  <c r="AQ460" i="10"/>
  <c r="AR460" i="10"/>
  <c r="AS460" i="10"/>
  <c r="AQ306" i="10"/>
  <c r="AS306" i="10"/>
  <c r="AS141" i="10"/>
  <c r="AQ141" i="10"/>
  <c r="AS152" i="10"/>
  <c r="AQ152" i="10"/>
  <c r="AR152" i="10"/>
  <c r="AS195" i="10"/>
  <c r="AQ195" i="10"/>
  <c r="AR195" i="10"/>
  <c r="AS178" i="10"/>
  <c r="AQ178" i="10"/>
  <c r="AR178" i="10"/>
  <c r="AS319" i="10"/>
  <c r="AQ319" i="10"/>
  <c r="AS441" i="10"/>
  <c r="AQ441" i="10"/>
  <c r="AR441" i="10"/>
  <c r="AQ50" i="10"/>
  <c r="AR50" i="10"/>
  <c r="AS50" i="10"/>
  <c r="AS51" i="10"/>
  <c r="AQ51" i="10"/>
  <c r="AR51" i="10"/>
  <c r="AQ99" i="10"/>
  <c r="AR99" i="10"/>
  <c r="AS99" i="10"/>
  <c r="AQ308" i="10"/>
  <c r="AS308" i="10"/>
  <c r="AQ287" i="10"/>
  <c r="AS287" i="10"/>
  <c r="AQ35" i="10"/>
  <c r="AS35" i="10"/>
  <c r="AS133" i="10"/>
  <c r="AQ133" i="10"/>
  <c r="AQ505" i="10"/>
  <c r="AR505" i="10"/>
  <c r="AQ433" i="10"/>
  <c r="AR433" i="10"/>
  <c r="AQ426" i="10"/>
  <c r="AP477" i="10"/>
  <c r="AS477" i="10"/>
  <c r="AP48" i="10"/>
  <c r="AS48" i="10"/>
  <c r="AP494" i="10"/>
  <c r="AS494" i="10"/>
  <c r="AP415" i="10"/>
  <c r="AS415" i="10"/>
  <c r="AP73" i="10"/>
  <c r="AS73" i="10"/>
  <c r="AS299" i="10"/>
  <c r="AQ299" i="10"/>
  <c r="AS313" i="10"/>
  <c r="AS139" i="10"/>
  <c r="AQ307" i="10"/>
  <c r="AS288" i="10"/>
  <c r="AP406" i="10"/>
  <c r="AS406" i="10"/>
  <c r="AS295" i="10"/>
  <c r="AQ295" i="10"/>
  <c r="AQ46" i="10"/>
  <c r="AR46" i="10"/>
  <c r="AS46" i="10"/>
  <c r="AQ246" i="10"/>
  <c r="AS246" i="10"/>
  <c r="AS298" i="10"/>
  <c r="AQ298" i="10"/>
  <c r="AQ410" i="10"/>
  <c r="AR410" i="10"/>
  <c r="AS410" i="10"/>
  <c r="AS238" i="10"/>
  <c r="AP455" i="10"/>
  <c r="AS455" i="10"/>
  <c r="AP421" i="10"/>
  <c r="AS421" i="10"/>
  <c r="AQ399" i="10"/>
  <c r="AR399" i="10"/>
  <c r="AP399" i="10"/>
  <c r="AS399" i="10"/>
  <c r="AP431" i="10"/>
  <c r="AS431" i="10"/>
  <c r="AP453" i="10"/>
  <c r="AS453" i="10"/>
  <c r="AP474" i="10"/>
  <c r="AS474" i="10"/>
  <c r="AP484" i="10"/>
  <c r="AS484" i="10"/>
  <c r="AQ503" i="10"/>
  <c r="AR503" i="10"/>
  <c r="AP503" i="10"/>
  <c r="AS503" i="10"/>
  <c r="AP180" i="10"/>
  <c r="AS180" i="10"/>
  <c r="AP194" i="10"/>
  <c r="AS194" i="10"/>
  <c r="AP198" i="10"/>
  <c r="AS198" i="10"/>
  <c r="AP249" i="10"/>
  <c r="AS249" i="10"/>
  <c r="AP265" i="10"/>
  <c r="AS265" i="10"/>
  <c r="AP277" i="10"/>
  <c r="AS277" i="10"/>
  <c r="AP304" i="10"/>
  <c r="AS304" i="10"/>
  <c r="AP316" i="10"/>
  <c r="AS316" i="10"/>
  <c r="AP457" i="10"/>
  <c r="AS457" i="10"/>
  <c r="AQ12" i="10"/>
  <c r="AR12" i="10"/>
  <c r="AS12" i="10"/>
  <c r="AQ278" i="10"/>
  <c r="AS278" i="10"/>
  <c r="AQ292" i="10"/>
  <c r="AS292" i="10"/>
  <c r="AQ269" i="10"/>
  <c r="AS269" i="10"/>
  <c r="AP400" i="10"/>
  <c r="AS400" i="10"/>
  <c r="AQ404" i="10"/>
  <c r="AR404" i="10"/>
  <c r="AQ479" i="10"/>
  <c r="AR479" i="10"/>
  <c r="AP479" i="10"/>
  <c r="AS479" i="10"/>
  <c r="AP491" i="10"/>
  <c r="AS491" i="10"/>
  <c r="AQ493" i="10"/>
  <c r="AR493" i="10"/>
  <c r="AP493" i="10"/>
  <c r="AS493" i="10"/>
  <c r="AP61" i="10"/>
  <c r="AS61" i="10"/>
  <c r="AP188" i="10"/>
  <c r="AS188" i="10"/>
  <c r="AQ297" i="10"/>
  <c r="AR297" i="10"/>
  <c r="AP245" i="10"/>
  <c r="AS245" i="10"/>
  <c r="AQ273" i="10"/>
  <c r="AP266" i="10"/>
  <c r="AS266" i="10"/>
  <c r="AP237" i="10"/>
  <c r="AS237" i="10"/>
  <c r="AP258" i="10"/>
  <c r="AS258" i="10"/>
  <c r="AQ126" i="10"/>
  <c r="AR126" i="10"/>
  <c r="AP126" i="10"/>
  <c r="AS126" i="10"/>
  <c r="AQ446" i="10"/>
  <c r="AR446" i="10"/>
  <c r="AP52" i="10"/>
  <c r="AS52" i="10"/>
  <c r="AQ443" i="10"/>
  <c r="AR443" i="10"/>
  <c r="AP443" i="10"/>
  <c r="AS443" i="10"/>
  <c r="AQ167" i="10"/>
  <c r="AP262" i="10"/>
  <c r="AS262" i="10"/>
  <c r="AP257" i="10"/>
  <c r="AS257" i="10"/>
  <c r="AP305" i="10"/>
  <c r="AS305" i="10"/>
  <c r="AP280" i="10"/>
  <c r="AS280" i="10"/>
  <c r="AP36" i="10"/>
  <c r="AS36" i="10"/>
  <c r="AP210" i="10"/>
  <c r="AS210" i="10"/>
  <c r="AP145" i="10"/>
  <c r="AS145" i="10"/>
  <c r="AP191" i="10"/>
  <c r="AS191" i="10"/>
  <c r="AP252" i="10"/>
  <c r="AS252" i="10"/>
  <c r="AQ442" i="10"/>
  <c r="AQ212" i="10"/>
  <c r="AR212" i="10"/>
  <c r="AQ309" i="10"/>
  <c r="AQ454" i="10"/>
  <c r="AQ471" i="10"/>
  <c r="AQ409" i="10"/>
  <c r="AR409" i="10"/>
  <c r="AQ485" i="10"/>
  <c r="AR485" i="10"/>
  <c r="AQ501" i="10"/>
  <c r="AR501" i="10"/>
  <c r="AQ171" i="10"/>
  <c r="AR171" i="10"/>
  <c r="AP502" i="10"/>
  <c r="AS502" i="10"/>
  <c r="AP428" i="10"/>
  <c r="AS428" i="10"/>
  <c r="AP444" i="10"/>
  <c r="AS444" i="10"/>
  <c r="AP478" i="10"/>
  <c r="AS478" i="10"/>
  <c r="AP417" i="10"/>
  <c r="AS417" i="10"/>
  <c r="AJ420" i="10"/>
  <c r="AK420" i="10"/>
  <c r="AJ433" i="10"/>
  <c r="AK433" i="10"/>
  <c r="AJ428" i="10"/>
  <c r="AK428" i="10"/>
  <c r="AJ403" i="10"/>
  <c r="AK403" i="10"/>
  <c r="AJ478" i="10"/>
  <c r="AK478" i="10"/>
  <c r="AJ414" i="10"/>
  <c r="AK414" i="10"/>
  <c r="AJ483" i="10"/>
  <c r="AK483" i="10"/>
  <c r="AJ405" i="10"/>
  <c r="AK405" i="10"/>
  <c r="AJ447" i="10"/>
  <c r="AK447" i="10"/>
  <c r="AJ473" i="10"/>
  <c r="AK473" i="10"/>
  <c r="AJ432" i="10"/>
  <c r="AK432" i="10"/>
  <c r="AJ488" i="10"/>
  <c r="AK488" i="10"/>
  <c r="AJ487" i="10"/>
  <c r="AK487" i="10"/>
  <c r="AJ502" i="10"/>
  <c r="AK502" i="10"/>
  <c r="AJ504" i="10"/>
  <c r="AK504" i="10"/>
  <c r="AJ154" i="10"/>
  <c r="AK154" i="10"/>
  <c r="AJ69" i="10"/>
  <c r="AK69" i="10"/>
  <c r="AJ24" i="10"/>
  <c r="AK24" i="10"/>
  <c r="AJ58" i="10"/>
  <c r="AK58" i="10"/>
  <c r="AJ166" i="10"/>
  <c r="AK166" i="10"/>
  <c r="AJ15" i="10"/>
  <c r="AK15" i="10"/>
  <c r="AJ218" i="10"/>
  <c r="AK218" i="10"/>
  <c r="AJ197" i="10"/>
  <c r="AK197" i="10"/>
  <c r="AJ213" i="10"/>
  <c r="AK213" i="10"/>
  <c r="AJ186" i="10"/>
  <c r="AK186" i="10"/>
  <c r="AJ217" i="10"/>
  <c r="AK217" i="10"/>
  <c r="AJ220" i="10"/>
  <c r="AK220" i="10"/>
  <c r="AJ26" i="10"/>
  <c r="AK26" i="10"/>
  <c r="AJ205" i="10"/>
  <c r="AK205" i="10"/>
  <c r="AJ168" i="10"/>
  <c r="AK168" i="10"/>
  <c r="AJ293" i="10"/>
  <c r="AK293" i="10"/>
  <c r="AJ238" i="10"/>
  <c r="AK238" i="10"/>
  <c r="AJ241" i="10"/>
  <c r="AK241" i="10"/>
  <c r="AJ247" i="10"/>
  <c r="AK247" i="10"/>
  <c r="AJ263" i="10"/>
  <c r="AK263" i="10"/>
  <c r="AJ284" i="10"/>
  <c r="AK284" i="10"/>
  <c r="AJ260" i="10"/>
  <c r="AK260" i="10"/>
  <c r="AJ272" i="10"/>
  <c r="AK272" i="10"/>
  <c r="AJ248" i="10"/>
  <c r="AK248" i="10"/>
  <c r="AJ275" i="10"/>
  <c r="AK275" i="10"/>
  <c r="AJ276" i="10"/>
  <c r="AK276" i="10"/>
  <c r="AJ346" i="10"/>
  <c r="AK346" i="10"/>
  <c r="AJ397" i="10"/>
  <c r="AK397" i="10"/>
  <c r="AJ60" i="10"/>
  <c r="AK60" i="10"/>
  <c r="AJ172" i="10"/>
  <c r="AK172" i="10"/>
  <c r="AJ452" i="10"/>
  <c r="AK452" i="10"/>
  <c r="AJ423" i="10"/>
  <c r="AK423" i="10"/>
  <c r="AJ475" i="10"/>
  <c r="AK475" i="10"/>
  <c r="AJ430" i="10"/>
  <c r="AK430" i="10"/>
  <c r="AJ464" i="10"/>
  <c r="AK464" i="10"/>
  <c r="AJ468" i="10"/>
  <c r="AK468" i="10"/>
  <c r="AJ329" i="10"/>
  <c r="AK329" i="10"/>
  <c r="AJ341" i="10"/>
  <c r="AK341" i="10"/>
  <c r="AJ48" i="10"/>
  <c r="AK48" i="10"/>
  <c r="AJ54" i="10"/>
  <c r="AK54" i="10"/>
  <c r="AJ89" i="10"/>
  <c r="AK89" i="10"/>
  <c r="AJ90" i="10"/>
  <c r="AK90" i="10"/>
  <c r="AJ151" i="10"/>
  <c r="AK151" i="10"/>
  <c r="AJ73" i="10"/>
  <c r="AK73" i="10"/>
  <c r="AJ47" i="10"/>
  <c r="AK47" i="10"/>
  <c r="AJ72" i="10"/>
  <c r="AK72" i="10"/>
  <c r="AJ153" i="10"/>
  <c r="AK153" i="10"/>
  <c r="AJ104" i="10"/>
  <c r="AK104" i="10"/>
  <c r="AJ129" i="10"/>
  <c r="AK129" i="10"/>
  <c r="AJ149" i="10"/>
  <c r="AK149" i="10"/>
  <c r="AJ177" i="10"/>
  <c r="AK177" i="10"/>
  <c r="AJ302" i="10"/>
  <c r="AK302" i="10"/>
  <c r="AJ236" i="10"/>
  <c r="AK236" i="10"/>
  <c r="AJ290" i="10"/>
  <c r="AK290" i="10"/>
  <c r="AJ234" i="10"/>
  <c r="AK234" i="10"/>
  <c r="AJ288" i="10"/>
  <c r="AK288" i="10"/>
  <c r="AJ300" i="10"/>
  <c r="AK300" i="10"/>
  <c r="AJ327" i="10"/>
  <c r="AK327" i="10"/>
  <c r="AJ296" i="10"/>
  <c r="AK296" i="10"/>
  <c r="AJ313" i="10"/>
  <c r="AK313" i="10"/>
  <c r="AJ264" i="10"/>
  <c r="AK264" i="10"/>
  <c r="AJ307" i="10"/>
  <c r="AK307" i="10"/>
  <c r="AJ394" i="10"/>
  <c r="AK394" i="10"/>
  <c r="AJ338" i="10"/>
  <c r="AK338" i="10"/>
  <c r="AJ124" i="10"/>
  <c r="AK124" i="10"/>
  <c r="AJ123" i="10"/>
  <c r="AK123" i="10"/>
  <c r="AJ331" i="10"/>
  <c r="AK331" i="10"/>
  <c r="AJ382" i="10"/>
  <c r="AK382" i="10"/>
  <c r="AJ358" i="10"/>
  <c r="AK358" i="10"/>
  <c r="AJ355" i="10"/>
  <c r="AK355" i="10"/>
  <c r="AJ384" i="10"/>
  <c r="AK384" i="10"/>
  <c r="AJ375" i="10"/>
  <c r="AK375" i="10"/>
  <c r="AJ324" i="10"/>
  <c r="AK324" i="10"/>
  <c r="AJ360" i="10"/>
  <c r="AK360" i="10"/>
  <c r="AJ392" i="10"/>
  <c r="AK392" i="10"/>
  <c r="AJ388" i="10"/>
  <c r="AK388" i="10"/>
  <c r="AJ160" i="10"/>
  <c r="AK160" i="10"/>
  <c r="AJ169" i="10"/>
  <c r="AK169" i="10"/>
  <c r="AJ461" i="10"/>
  <c r="AK461" i="10"/>
  <c r="AJ435" i="10"/>
  <c r="AK435" i="10"/>
  <c r="AJ436" i="10"/>
  <c r="AK436" i="10"/>
  <c r="AJ209" i="10"/>
  <c r="AK209" i="10"/>
  <c r="AJ201" i="10"/>
  <c r="AK201" i="10"/>
  <c r="AJ482" i="10"/>
  <c r="AK482" i="10"/>
  <c r="AJ413" i="10"/>
  <c r="AK413" i="10"/>
  <c r="AJ70" i="10"/>
  <c r="AK70" i="10"/>
  <c r="AJ67" i="10"/>
  <c r="AK67" i="10"/>
  <c r="AJ23" i="10"/>
  <c r="AK23" i="10"/>
  <c r="AJ135" i="10"/>
  <c r="AK135" i="10"/>
  <c r="AJ371" i="10"/>
  <c r="AK371" i="10"/>
  <c r="AJ349" i="10"/>
  <c r="AK349" i="10"/>
  <c r="AJ347" i="10"/>
  <c r="AK347" i="10"/>
  <c r="AJ343" i="10"/>
  <c r="AK343" i="10"/>
  <c r="AJ337" i="10"/>
  <c r="AK337" i="10"/>
  <c r="AJ31" i="10"/>
  <c r="AK31" i="10"/>
  <c r="AJ25" i="10"/>
  <c r="AK25" i="10"/>
  <c r="AJ82" i="10"/>
  <c r="AK82" i="10"/>
  <c r="AJ79" i="10"/>
  <c r="AK79" i="10"/>
  <c r="AJ77" i="10"/>
  <c r="AK77" i="10"/>
  <c r="AJ19" i="10"/>
  <c r="AK19" i="10"/>
  <c r="AJ66" i="10"/>
  <c r="AK66" i="10"/>
  <c r="AJ76" i="10"/>
  <c r="AK76" i="10"/>
  <c r="AJ118" i="10"/>
  <c r="AK118" i="10"/>
  <c r="AJ111" i="10"/>
  <c r="AK111" i="10"/>
  <c r="AJ138" i="10"/>
  <c r="AK138" i="10"/>
  <c r="AJ120" i="10"/>
  <c r="AK120" i="10"/>
  <c r="AJ143" i="10"/>
  <c r="AK143" i="10"/>
  <c r="AJ400" i="10"/>
  <c r="AK400" i="10"/>
  <c r="AJ442" i="10"/>
  <c r="AK442" i="10"/>
  <c r="AJ454" i="10"/>
  <c r="AK454" i="10"/>
  <c r="AJ404" i="10"/>
  <c r="AK404" i="10"/>
  <c r="AJ489" i="10"/>
  <c r="AK489" i="10"/>
  <c r="AJ419" i="10"/>
  <c r="AK419" i="10"/>
  <c r="AJ486" i="10"/>
  <c r="AK486" i="10"/>
  <c r="AJ427" i="10"/>
  <c r="AK427" i="10"/>
  <c r="AJ448" i="10"/>
  <c r="AK448" i="10"/>
  <c r="AJ479" i="10"/>
  <c r="AK479" i="10"/>
  <c r="AJ470" i="10"/>
  <c r="AK470" i="10"/>
  <c r="AJ494" i="10"/>
  <c r="AK494" i="10"/>
  <c r="AJ491" i="10"/>
  <c r="AK491" i="10"/>
  <c r="AJ493" i="10"/>
  <c r="AK493" i="10"/>
  <c r="AJ174" i="10"/>
  <c r="AK174" i="10"/>
  <c r="AJ29" i="10"/>
  <c r="AK29" i="10"/>
  <c r="AJ115" i="10"/>
  <c r="AK115" i="10"/>
  <c r="AJ83" i="10"/>
  <c r="AK83" i="10"/>
  <c r="AJ61" i="10"/>
  <c r="AK61" i="10"/>
  <c r="AJ38" i="10"/>
  <c r="AK38" i="10"/>
  <c r="AJ182" i="10"/>
  <c r="AK182" i="10"/>
  <c r="AJ188" i="10"/>
  <c r="AK188" i="10"/>
  <c r="AJ212" i="10"/>
  <c r="AK212" i="10"/>
  <c r="AJ216" i="10"/>
  <c r="AK216" i="10"/>
  <c r="AJ191" i="10"/>
  <c r="AK191" i="10"/>
  <c r="AJ211" i="10"/>
  <c r="AK211" i="10"/>
  <c r="AJ96" i="10"/>
  <c r="AK96" i="10"/>
  <c r="AJ85" i="10"/>
  <c r="AK85" i="10"/>
  <c r="AJ204" i="10"/>
  <c r="AK204" i="10"/>
  <c r="AJ297" i="10"/>
  <c r="AK297" i="10"/>
  <c r="AJ252" i="10"/>
  <c r="AK252" i="10"/>
  <c r="AJ245" i="10"/>
  <c r="AK245" i="10"/>
  <c r="AJ273" i="10"/>
  <c r="AK273" i="10"/>
  <c r="AJ286" i="10"/>
  <c r="AK286" i="10"/>
  <c r="AJ266" i="10"/>
  <c r="AK266" i="10"/>
  <c r="AJ237" i="10"/>
  <c r="AK237" i="10"/>
  <c r="AJ258" i="10"/>
  <c r="AK258" i="10"/>
  <c r="AJ259" i="10"/>
  <c r="AK259" i="10"/>
  <c r="AJ303" i="10"/>
  <c r="AK303" i="10"/>
  <c r="AJ398" i="10"/>
  <c r="AK398" i="10"/>
  <c r="AJ326" i="10"/>
  <c r="AK326" i="10"/>
  <c r="AJ126" i="10"/>
  <c r="AK126" i="10"/>
  <c r="AJ181" i="10"/>
  <c r="AK181" i="10"/>
  <c r="AJ456" i="10"/>
  <c r="AK456" i="10"/>
  <c r="AJ407" i="10"/>
  <c r="AK407" i="10"/>
  <c r="AJ450" i="10"/>
  <c r="AK450" i="10"/>
  <c r="AJ446" i="10"/>
  <c r="AK446" i="10"/>
  <c r="AJ451" i="10"/>
  <c r="AK451" i="10"/>
  <c r="AJ480" i="10"/>
  <c r="AK480" i="10"/>
  <c r="AJ332" i="10"/>
  <c r="AK332" i="10"/>
  <c r="AJ52" i="10"/>
  <c r="AK52" i="10"/>
  <c r="AJ11" i="10"/>
  <c r="AK11" i="10"/>
  <c r="AJ62" i="10"/>
  <c r="AK62" i="10"/>
  <c r="AJ98" i="10"/>
  <c r="AK98" i="10"/>
  <c r="AJ94" i="10"/>
  <c r="AK94" i="10"/>
  <c r="AJ28" i="10"/>
  <c r="AK28" i="10"/>
  <c r="AJ91" i="10"/>
  <c r="AK91" i="10"/>
  <c r="AJ49" i="10"/>
  <c r="AK49" i="10"/>
  <c r="AJ92" i="10"/>
  <c r="AK92" i="10"/>
  <c r="AJ93" i="10"/>
  <c r="AK93" i="10"/>
  <c r="AJ106" i="10"/>
  <c r="AK106" i="10"/>
  <c r="AJ150" i="10"/>
  <c r="AK150" i="10"/>
  <c r="AJ443" i="10"/>
  <c r="AK443" i="10"/>
  <c r="AJ167" i="10"/>
  <c r="AK167" i="10"/>
  <c r="AJ274" i="10"/>
  <c r="AK274" i="10"/>
  <c r="AJ262" i="10"/>
  <c r="AK262" i="10"/>
  <c r="AJ239" i="10"/>
  <c r="AK239" i="10"/>
  <c r="AJ251" i="10"/>
  <c r="AK251" i="10"/>
  <c r="AJ257" i="10"/>
  <c r="AK257" i="10"/>
  <c r="AJ250" i="10"/>
  <c r="AK250" i="10"/>
  <c r="AJ305" i="10"/>
  <c r="AK305" i="10"/>
  <c r="AJ314" i="10"/>
  <c r="AK314" i="10"/>
  <c r="AJ280" i="10"/>
  <c r="AK280" i="10"/>
  <c r="AJ309" i="10"/>
  <c r="AK309" i="10"/>
  <c r="AJ389" i="10"/>
  <c r="AK389" i="10"/>
  <c r="AJ16" i="10"/>
  <c r="AK16" i="10"/>
  <c r="AJ390" i="10"/>
  <c r="AK390" i="10"/>
  <c r="AJ253" i="10"/>
  <c r="AK253" i="10"/>
  <c r="AJ391" i="10"/>
  <c r="AK391" i="10"/>
  <c r="AJ376" i="10"/>
  <c r="AK376" i="10"/>
  <c r="AJ348" i="10"/>
  <c r="AK348" i="10"/>
  <c r="AJ323" i="10"/>
  <c r="AK323" i="10"/>
  <c r="AJ359" i="10"/>
  <c r="AK359" i="10"/>
  <c r="AJ362" i="10"/>
  <c r="AK362" i="10"/>
  <c r="AJ361" i="10"/>
  <c r="AK361" i="10"/>
  <c r="AJ373" i="10"/>
  <c r="AK373" i="10"/>
  <c r="AJ161" i="10"/>
  <c r="AK161" i="10"/>
  <c r="AJ173" i="10"/>
  <c r="AK173" i="10"/>
  <c r="AJ36" i="10"/>
  <c r="AK36" i="10"/>
  <c r="AJ144" i="10"/>
  <c r="AK144" i="10"/>
  <c r="AJ416" i="10"/>
  <c r="AK416" i="10"/>
  <c r="AJ459" i="10"/>
  <c r="AK459" i="10"/>
  <c r="AJ462" i="10"/>
  <c r="AK462" i="10"/>
  <c r="AJ210" i="10"/>
  <c r="AK210" i="10"/>
  <c r="AJ202" i="10"/>
  <c r="AK202" i="10"/>
  <c r="AJ412" i="10"/>
  <c r="AK412" i="10"/>
  <c r="AJ411" i="10"/>
  <c r="AK411" i="10"/>
  <c r="AJ84" i="10"/>
  <c r="AK84" i="10"/>
  <c r="AJ71" i="10"/>
  <c r="AK71" i="10"/>
  <c r="AJ27" i="10"/>
  <c r="AK27" i="10"/>
  <c r="AJ112" i="10"/>
  <c r="AK112" i="10"/>
  <c r="AJ381" i="10"/>
  <c r="AK381" i="10"/>
  <c r="AJ368" i="10"/>
  <c r="AK368" i="10"/>
  <c r="AJ372" i="10"/>
  <c r="AK372" i="10"/>
  <c r="AJ322" i="10"/>
  <c r="AK322" i="10"/>
  <c r="AJ334" i="10"/>
  <c r="AK334" i="10"/>
  <c r="AJ39" i="10"/>
  <c r="AK39" i="10"/>
  <c r="AJ18" i="10"/>
  <c r="AK18" i="10"/>
  <c r="AJ113" i="10"/>
  <c r="AK113" i="10"/>
  <c r="AJ109" i="10"/>
  <c r="AK109" i="10"/>
  <c r="AJ22" i="10"/>
  <c r="AK22" i="10"/>
  <c r="AJ78" i="10"/>
  <c r="AK78" i="10"/>
  <c r="AJ86" i="10"/>
  <c r="AK86" i="10"/>
  <c r="AJ130" i="10"/>
  <c r="AK130" i="10"/>
  <c r="AJ114" i="10"/>
  <c r="AK114" i="10"/>
  <c r="AJ145" i="10"/>
  <c r="AK145" i="10"/>
  <c r="AJ131" i="10"/>
  <c r="AK131" i="10"/>
  <c r="AJ147" i="10"/>
  <c r="AK147" i="10"/>
  <c r="AJ492" i="10"/>
  <c r="AK492" i="10"/>
  <c r="AJ455" i="10"/>
  <c r="AK455" i="10"/>
  <c r="AJ408" i="10"/>
  <c r="AK408" i="10"/>
  <c r="AJ505" i="10"/>
  <c r="AK505" i="10"/>
  <c r="AJ421" i="10"/>
  <c r="AK421" i="10"/>
  <c r="AJ399" i="10"/>
  <c r="AK399" i="10"/>
  <c r="AJ431" i="10"/>
  <c r="AK431" i="10"/>
  <c r="AJ453" i="10"/>
  <c r="AK453" i="10"/>
  <c r="AJ500" i="10"/>
  <c r="AK500" i="10"/>
  <c r="AJ474" i="10"/>
  <c r="AK474" i="10"/>
  <c r="AJ484" i="10"/>
  <c r="AK484" i="10"/>
  <c r="AJ495" i="10"/>
  <c r="AK495" i="10"/>
  <c r="AJ503" i="10"/>
  <c r="AK503" i="10"/>
  <c r="AJ180" i="10"/>
  <c r="AK180" i="10"/>
  <c r="AJ125" i="10"/>
  <c r="AK125" i="10"/>
  <c r="AJ95" i="10"/>
  <c r="AK95" i="10"/>
  <c r="AJ74" i="10"/>
  <c r="AK74" i="10"/>
  <c r="AJ110" i="10"/>
  <c r="AK110" i="10"/>
  <c r="AJ194" i="10"/>
  <c r="AK194" i="10"/>
  <c r="AJ214" i="10"/>
  <c r="AK214" i="10"/>
  <c r="AJ189" i="10"/>
  <c r="AK189" i="10"/>
  <c r="AJ190" i="10"/>
  <c r="AK190" i="10"/>
  <c r="AJ206" i="10"/>
  <c r="AK206" i="10"/>
  <c r="AJ193" i="10"/>
  <c r="AK193" i="10"/>
  <c r="AJ215" i="10"/>
  <c r="AK215" i="10"/>
  <c r="AJ159" i="10"/>
  <c r="AK159" i="10"/>
  <c r="AJ207" i="10"/>
  <c r="AK207" i="10"/>
  <c r="AJ198" i="10"/>
  <c r="AK198" i="10"/>
  <c r="AJ249" i="10"/>
  <c r="AK249" i="10"/>
  <c r="AJ265" i="10"/>
  <c r="AK265" i="10"/>
  <c r="AJ299" i="10"/>
  <c r="AK299" i="10"/>
  <c r="AJ291" i="10"/>
  <c r="AK291" i="10"/>
  <c r="AJ277" i="10"/>
  <c r="AK277" i="10"/>
  <c r="AJ304" i="10"/>
  <c r="AK304" i="10"/>
  <c r="AJ268" i="10"/>
  <c r="AK268" i="10"/>
  <c r="AJ261" i="10"/>
  <c r="AK261" i="10"/>
  <c r="AJ316" i="10"/>
  <c r="AK316" i="10"/>
  <c r="AJ344" i="10"/>
  <c r="AK344" i="10"/>
  <c r="AJ345" i="10"/>
  <c r="AK345" i="10"/>
  <c r="AJ63" i="10"/>
  <c r="AK63" i="10"/>
  <c r="AJ457" i="10"/>
  <c r="AK457" i="10"/>
  <c r="AJ440" i="10"/>
  <c r="AK440" i="10"/>
  <c r="AJ496" i="10"/>
  <c r="AK496" i="10"/>
  <c r="AJ460" i="10"/>
  <c r="AK460" i="10"/>
  <c r="AJ434" i="10"/>
  <c r="AK434" i="10"/>
  <c r="AJ463" i="10"/>
  <c r="AK463" i="10"/>
  <c r="AJ499" i="10"/>
  <c r="AK499" i="10"/>
  <c r="AJ352" i="10"/>
  <c r="AK352" i="10"/>
  <c r="AJ57" i="10"/>
  <c r="AK57" i="10"/>
  <c r="AJ12" i="10"/>
  <c r="AK12" i="10"/>
  <c r="AJ55" i="10"/>
  <c r="AK55" i="10"/>
  <c r="AJ108" i="10"/>
  <c r="AK108" i="10"/>
  <c r="AJ101" i="10"/>
  <c r="AK101" i="10"/>
  <c r="AJ97" i="10"/>
  <c r="AK97" i="10"/>
  <c r="AJ53" i="10"/>
  <c r="AK53" i="10"/>
  <c r="AJ103" i="10"/>
  <c r="AK103" i="10"/>
  <c r="AJ100" i="10"/>
  <c r="AK100" i="10"/>
  <c r="AJ122" i="10"/>
  <c r="AK122" i="10"/>
  <c r="AJ155" i="10"/>
  <c r="AK155" i="10"/>
  <c r="AJ444" i="10"/>
  <c r="AK444" i="10"/>
  <c r="AJ240" i="10"/>
  <c r="AK240" i="10"/>
  <c r="AJ278" i="10"/>
  <c r="AK278" i="10"/>
  <c r="AJ311" i="10"/>
  <c r="AK311" i="10"/>
  <c r="AJ233" i="10"/>
  <c r="AK233" i="10"/>
  <c r="AJ306" i="10"/>
  <c r="AK306" i="10"/>
  <c r="AJ292" i="10"/>
  <c r="AK292" i="10"/>
  <c r="AJ269" i="10"/>
  <c r="AK269" i="10"/>
  <c r="AJ370" i="10"/>
  <c r="AK370" i="10"/>
  <c r="AJ281" i="10"/>
  <c r="AK281" i="10"/>
  <c r="AJ315" i="10"/>
  <c r="AK315" i="10"/>
  <c r="AJ383" i="10"/>
  <c r="AK383" i="10"/>
  <c r="AJ396" i="10"/>
  <c r="AK396" i="10"/>
  <c r="AJ81" i="10"/>
  <c r="AK81" i="10"/>
  <c r="AJ385" i="10"/>
  <c r="AK385" i="10"/>
  <c r="AJ357" i="10"/>
  <c r="AK357" i="10"/>
  <c r="AJ353" i="10"/>
  <c r="AK353" i="10"/>
  <c r="AJ356" i="10"/>
  <c r="AK356" i="10"/>
  <c r="AJ330" i="10"/>
  <c r="AK330" i="10"/>
  <c r="AJ339" i="10"/>
  <c r="AK339" i="10"/>
  <c r="AJ364" i="10"/>
  <c r="AK364" i="10"/>
  <c r="AJ379" i="10"/>
  <c r="AK379" i="10"/>
  <c r="AJ378" i="10"/>
  <c r="AK378" i="10"/>
  <c r="AJ176" i="10"/>
  <c r="AK176" i="10"/>
  <c r="AJ162" i="10"/>
  <c r="AK162" i="10"/>
  <c r="AJ179" i="10"/>
  <c r="AK179" i="10"/>
  <c r="AJ437" i="10"/>
  <c r="AK437" i="10"/>
  <c r="AJ439" i="10"/>
  <c r="AK439" i="10"/>
  <c r="AJ418" i="10"/>
  <c r="AK418" i="10"/>
  <c r="AJ422" i="10"/>
  <c r="AK422" i="10"/>
  <c r="AJ203" i="10"/>
  <c r="AK203" i="10"/>
  <c r="AJ199" i="10"/>
  <c r="AK199" i="10"/>
  <c r="AJ481" i="10"/>
  <c r="AK481" i="10"/>
  <c r="AJ417" i="10"/>
  <c r="AK417" i="10"/>
  <c r="AJ34" i="10"/>
  <c r="AK34" i="10"/>
  <c r="AJ33" i="10"/>
  <c r="AK33" i="10"/>
  <c r="AJ68" i="10"/>
  <c r="AK68" i="10"/>
  <c r="AJ350" i="10"/>
  <c r="AK350" i="10"/>
  <c r="AJ380" i="10"/>
  <c r="AK380" i="10"/>
  <c r="AJ335" i="10"/>
  <c r="AK335" i="10"/>
  <c r="AJ369" i="10"/>
  <c r="AK369" i="10"/>
  <c r="AJ377" i="10"/>
  <c r="AK377" i="10"/>
  <c r="AJ75" i="10"/>
  <c r="AK75" i="10"/>
  <c r="AJ10" i="10"/>
  <c r="AK10" i="10"/>
  <c r="AJ136" i="10"/>
  <c r="AK136" i="10"/>
  <c r="AJ141" i="10"/>
  <c r="AK141" i="10"/>
  <c r="AJ42" i="10"/>
  <c r="AK42" i="10"/>
  <c r="AJ41" i="10"/>
  <c r="AK41" i="10"/>
  <c r="AJ142" i="10"/>
  <c r="AK142" i="10"/>
  <c r="AJ139" i="10"/>
  <c r="AK139" i="10"/>
  <c r="AJ117" i="10"/>
  <c r="AK117" i="10"/>
  <c r="AJ158" i="10"/>
  <c r="AK158" i="10"/>
  <c r="AJ137" i="10"/>
  <c r="AK137" i="10"/>
  <c r="AJ157" i="10"/>
  <c r="AK157" i="10"/>
  <c r="AJ426" i="10"/>
  <c r="AK426" i="10"/>
  <c r="AJ406" i="10"/>
  <c r="AK406" i="10"/>
  <c r="AJ471" i="10"/>
  <c r="AK471" i="10"/>
  <c r="AJ409" i="10"/>
  <c r="AK409" i="10"/>
  <c r="AJ472" i="10"/>
  <c r="AK472" i="10"/>
  <c r="AJ402" i="10"/>
  <c r="AK402" i="10"/>
  <c r="AJ445" i="10"/>
  <c r="AK445" i="10"/>
  <c r="AJ469" i="10"/>
  <c r="AK469" i="10"/>
  <c r="AJ429" i="10"/>
  <c r="AK429" i="10"/>
  <c r="AJ477" i="10"/>
  <c r="AK477" i="10"/>
  <c r="AJ485" i="10"/>
  <c r="AK485" i="10"/>
  <c r="AJ501" i="10"/>
  <c r="AK501" i="10"/>
  <c r="AJ506" i="10"/>
  <c r="AK506" i="10"/>
  <c r="AJ171" i="10"/>
  <c r="AK171" i="10"/>
  <c r="AJ134" i="10"/>
  <c r="AK134" i="10"/>
  <c r="AJ14" i="10"/>
  <c r="AK14" i="10"/>
  <c r="AJ88" i="10"/>
  <c r="AK88" i="10"/>
  <c r="AJ152" i="10"/>
  <c r="AK152" i="10"/>
  <c r="AJ185" i="10"/>
  <c r="AK185" i="10"/>
  <c r="AJ183" i="10"/>
  <c r="AK183" i="10"/>
  <c r="AJ187" i="10"/>
  <c r="AK187" i="10"/>
  <c r="AJ195" i="10"/>
  <c r="AK195" i="10"/>
  <c r="AJ184" i="10"/>
  <c r="AK184" i="10"/>
  <c r="AJ196" i="10"/>
  <c r="AK196" i="10"/>
  <c r="AJ219" i="10"/>
  <c r="AK219" i="10"/>
  <c r="AJ80" i="10"/>
  <c r="AK80" i="10"/>
  <c r="AJ208" i="10"/>
  <c r="AK208" i="10"/>
  <c r="AJ178" i="10"/>
  <c r="AK178" i="10"/>
  <c r="AJ235" i="10"/>
  <c r="AK235" i="10"/>
  <c r="AJ267" i="10"/>
  <c r="AK267" i="10"/>
  <c r="AJ295" i="10"/>
  <c r="AK295" i="10"/>
  <c r="AJ301" i="10"/>
  <c r="AK301" i="10"/>
  <c r="AJ312" i="10"/>
  <c r="AK312" i="10"/>
  <c r="AJ289" i="10"/>
  <c r="AK289" i="10"/>
  <c r="AJ271" i="10"/>
  <c r="AK271" i="10"/>
  <c r="AJ243" i="10"/>
  <c r="AK243" i="10"/>
  <c r="AJ319" i="10"/>
  <c r="AK319" i="10"/>
  <c r="AJ393" i="10"/>
  <c r="AK393" i="10"/>
  <c r="AJ395" i="10"/>
  <c r="AK395" i="10"/>
  <c r="AJ64" i="10"/>
  <c r="AK64" i="10"/>
  <c r="AJ467" i="10"/>
  <c r="AK467" i="10"/>
  <c r="AJ465" i="10"/>
  <c r="AK465" i="10"/>
  <c r="AJ476" i="10"/>
  <c r="AK476" i="10"/>
  <c r="AJ449" i="10"/>
  <c r="AK449" i="10"/>
  <c r="AJ441" i="10"/>
  <c r="AK441" i="10"/>
  <c r="AJ466" i="10"/>
  <c r="AK466" i="10"/>
  <c r="AJ497" i="10"/>
  <c r="AK497" i="10"/>
  <c r="AJ321" i="10"/>
  <c r="AK321" i="10"/>
  <c r="AJ46" i="10"/>
  <c r="AK46" i="10"/>
  <c r="AJ13" i="10"/>
  <c r="AK13" i="10"/>
  <c r="AJ45" i="10"/>
  <c r="AK45" i="10"/>
  <c r="AJ50" i="10"/>
  <c r="AK50" i="10"/>
  <c r="AJ105" i="10"/>
  <c r="AK105" i="10"/>
  <c r="AJ51" i="10"/>
  <c r="AK51" i="10"/>
  <c r="AJ99" i="10"/>
  <c r="AK99" i="10"/>
  <c r="AJ56" i="10"/>
  <c r="AK56" i="10"/>
  <c r="AJ107" i="10"/>
  <c r="AK107" i="10"/>
  <c r="AJ102" i="10"/>
  <c r="AK102" i="10"/>
  <c r="AJ148" i="10"/>
  <c r="AK148" i="10"/>
  <c r="AJ128" i="10"/>
  <c r="AK128" i="10"/>
  <c r="AJ165" i="10"/>
  <c r="AK165" i="10"/>
  <c r="AJ279" i="10"/>
  <c r="AK279" i="10"/>
  <c r="AJ308" i="10"/>
  <c r="AK308" i="10"/>
  <c r="AJ244" i="10"/>
  <c r="AK244" i="10"/>
  <c r="AJ232" i="10"/>
  <c r="AK232" i="10"/>
  <c r="AJ246" i="10"/>
  <c r="AK246" i="10"/>
  <c r="AJ298" i="10"/>
  <c r="AK298" i="10"/>
  <c r="AJ287" i="10"/>
  <c r="AK287" i="10"/>
  <c r="AJ294" i="10"/>
  <c r="AK294" i="10"/>
  <c r="AJ270" i="10"/>
  <c r="AK270" i="10"/>
  <c r="AJ310" i="10"/>
  <c r="AK310" i="10"/>
  <c r="AJ256" i="10"/>
  <c r="AK256" i="10"/>
  <c r="AJ282" i="10"/>
  <c r="AK282" i="10"/>
  <c r="AJ320" i="10"/>
  <c r="AK320" i="10"/>
  <c r="AJ387" i="10"/>
  <c r="AK387" i="10"/>
  <c r="AJ121" i="10"/>
  <c r="AK121" i="10"/>
  <c r="AJ366" i="10"/>
  <c r="AK366" i="10"/>
  <c r="AJ367" i="10"/>
  <c r="AK367" i="10"/>
  <c r="AJ354" i="10"/>
  <c r="AK354" i="10"/>
  <c r="AJ325" i="10"/>
  <c r="AK325" i="10"/>
  <c r="AJ374" i="10"/>
  <c r="AK374" i="10"/>
  <c r="AJ340" i="10"/>
  <c r="AK340" i="10"/>
  <c r="AJ363" i="10"/>
  <c r="AK363" i="10"/>
  <c r="AJ365" i="10"/>
  <c r="AK365" i="10"/>
  <c r="AJ175" i="10"/>
  <c r="AK175" i="10"/>
  <c r="AJ163" i="10"/>
  <c r="AK163" i="10"/>
  <c r="AJ35" i="10"/>
  <c r="AK35" i="10"/>
  <c r="AJ438" i="10"/>
  <c r="AK438" i="10"/>
  <c r="AJ458" i="10"/>
  <c r="AK458" i="10"/>
  <c r="AJ490" i="10"/>
  <c r="AK490" i="10"/>
  <c r="AJ498" i="10"/>
  <c r="AK498" i="10"/>
  <c r="AJ200" i="10"/>
  <c r="AK200" i="10"/>
  <c r="AJ410" i="10"/>
  <c r="AK410" i="10"/>
  <c r="AJ415" i="10"/>
  <c r="AK415" i="10"/>
  <c r="AJ59" i="10"/>
  <c r="AK59" i="10"/>
  <c r="AJ40" i="10"/>
  <c r="AK40" i="10"/>
  <c r="AJ17" i="10"/>
  <c r="AK17" i="10"/>
  <c r="AJ37" i="10"/>
  <c r="AK37" i="10"/>
  <c r="AJ333" i="10"/>
  <c r="AK333" i="10"/>
  <c r="AJ336" i="10"/>
  <c r="AK336" i="10"/>
  <c r="AJ351" i="10"/>
  <c r="AK351" i="10"/>
  <c r="AJ342" i="10"/>
  <c r="AK342" i="10"/>
  <c r="AJ32" i="10"/>
  <c r="AK32" i="10"/>
  <c r="AJ20" i="10"/>
  <c r="AK20" i="10"/>
  <c r="AJ30" i="10"/>
  <c r="AK30" i="10"/>
  <c r="AJ65" i="10"/>
  <c r="AK65" i="10"/>
  <c r="AJ9" i="10"/>
  <c r="AK9" i="10"/>
  <c r="AJ44" i="10"/>
  <c r="AK44" i="10"/>
  <c r="AJ43" i="10"/>
  <c r="AK43" i="10"/>
  <c r="AJ116" i="10"/>
  <c r="AK116" i="10"/>
  <c r="AJ146" i="10"/>
  <c r="AK146" i="10"/>
  <c r="AJ133" i="10"/>
  <c r="AK133" i="10"/>
  <c r="AJ119" i="10"/>
  <c r="AK119" i="10"/>
  <c r="AJ140" i="10"/>
  <c r="AK140" i="10"/>
  <c r="AJ156" i="10"/>
  <c r="AK156" i="10"/>
  <c r="AI424" i="10"/>
  <c r="AH587" i="10"/>
  <c r="AH588" i="10"/>
  <c r="C34" i="36"/>
  <c r="M34" i="36"/>
  <c r="C135" i="36"/>
  <c r="M135" i="36"/>
  <c r="O135" i="36"/>
  <c r="M36" i="36"/>
  <c r="C36" i="36"/>
  <c r="M38" i="36"/>
  <c r="O38" i="36"/>
  <c r="C38" i="36"/>
  <c r="M17" i="36"/>
  <c r="C17" i="36"/>
  <c r="C37" i="36"/>
  <c r="M37" i="36"/>
  <c r="O37" i="36"/>
  <c r="M14" i="36"/>
  <c r="O14" i="36"/>
  <c r="C14" i="36"/>
  <c r="M41" i="36"/>
  <c r="C41" i="36"/>
  <c r="C133" i="36"/>
  <c r="M133" i="36"/>
  <c r="O133" i="36"/>
  <c r="M24" i="36"/>
  <c r="O24" i="36"/>
  <c r="C24" i="36"/>
  <c r="C102" i="36"/>
  <c r="M102" i="36"/>
  <c r="O102" i="36"/>
  <c r="M95" i="36"/>
  <c r="O95" i="36"/>
  <c r="C95" i="36"/>
  <c r="M122" i="36"/>
  <c r="O122" i="36"/>
  <c r="C122" i="36"/>
  <c r="C123" i="36"/>
  <c r="M123" i="36"/>
  <c r="O123" i="36"/>
  <c r="M119" i="36"/>
  <c r="O119" i="36"/>
  <c r="C119" i="36"/>
  <c r="M131" i="36"/>
  <c r="O131" i="36"/>
  <c r="C131" i="36"/>
  <c r="C121" i="36"/>
  <c r="M121" i="36"/>
  <c r="O121" i="36"/>
  <c r="M39" i="36"/>
  <c r="C39" i="36"/>
  <c r="M59" i="36"/>
  <c r="O59" i="36"/>
  <c r="C59" i="36"/>
  <c r="C61" i="36"/>
  <c r="M61" i="36"/>
  <c r="O61" i="36"/>
  <c r="C57" i="36"/>
  <c r="M57" i="36"/>
  <c r="O57" i="36"/>
  <c r="M60" i="36"/>
  <c r="C60" i="36"/>
  <c r="M75" i="36"/>
  <c r="O75" i="36"/>
  <c r="C75" i="36"/>
  <c r="C124" i="36"/>
  <c r="M124" i="36"/>
  <c r="O124" i="36"/>
  <c r="M132" i="36"/>
  <c r="O132" i="36"/>
  <c r="C132" i="36"/>
  <c r="C118" i="36"/>
  <c r="M118" i="36"/>
  <c r="O118" i="36"/>
  <c r="C66" i="36"/>
  <c r="M66" i="36"/>
  <c r="O66" i="36"/>
  <c r="C28" i="36"/>
  <c r="M28" i="36"/>
  <c r="M58" i="36"/>
  <c r="C58" i="36"/>
  <c r="M54" i="36"/>
  <c r="O54" i="36"/>
  <c r="C54" i="36"/>
  <c r="M65" i="36"/>
  <c r="O65" i="36"/>
  <c r="C65" i="36"/>
  <c r="C127" i="36"/>
  <c r="M127" i="36"/>
  <c r="O127" i="36"/>
  <c r="M33" i="36"/>
  <c r="O33" i="36"/>
  <c r="R33" i="36"/>
  <c r="C33" i="36"/>
  <c r="M52" i="36"/>
  <c r="O52" i="36"/>
  <c r="R52" i="36"/>
  <c r="C26" i="36"/>
  <c r="D26" i="36"/>
  <c r="F26" i="36"/>
  <c r="K26" i="36"/>
  <c r="M26" i="36"/>
  <c r="O26" i="36"/>
  <c r="C64" i="36"/>
  <c r="D64" i="36"/>
  <c r="F64" i="36"/>
  <c r="K64" i="36"/>
  <c r="M134" i="36"/>
  <c r="O134" i="36"/>
  <c r="Q134" i="36"/>
  <c r="C74" i="36"/>
  <c r="C52" i="36"/>
  <c r="C134" i="36"/>
  <c r="M74" i="36"/>
  <c r="O74" i="36"/>
  <c r="C105" i="36"/>
  <c r="M64" i="36"/>
  <c r="O64" i="36"/>
  <c r="Q64" i="36"/>
  <c r="M105" i="36"/>
  <c r="O105" i="36"/>
  <c r="R105" i="36"/>
  <c r="Q13" i="36"/>
  <c r="C48" i="36"/>
  <c r="M48" i="36"/>
  <c r="O48" i="36"/>
  <c r="R20" i="36"/>
  <c r="Q20" i="36"/>
  <c r="Q70" i="36"/>
  <c r="R70" i="36"/>
  <c r="Q25" i="36"/>
  <c r="R25" i="36"/>
  <c r="R13" i="36"/>
  <c r="M43" i="36"/>
  <c r="C43" i="36"/>
  <c r="P600" i="10"/>
  <c r="D113" i="36"/>
  <c r="F113" i="36"/>
  <c r="K113" i="36"/>
  <c r="D126" i="36"/>
  <c r="F126" i="36"/>
  <c r="K126" i="36"/>
  <c r="O126" i="36"/>
  <c r="D97" i="36"/>
  <c r="M46" i="36"/>
  <c r="O46" i="36"/>
  <c r="C46" i="36"/>
  <c r="C44" i="36"/>
  <c r="M44" i="36"/>
  <c r="Q120" i="36"/>
  <c r="R120" i="36"/>
  <c r="M128" i="36"/>
  <c r="O128" i="36"/>
  <c r="C128" i="36"/>
  <c r="C9" i="36"/>
  <c r="M9" i="36"/>
  <c r="M68" i="36"/>
  <c r="O68" i="36"/>
  <c r="C68" i="36"/>
  <c r="Q47" i="36"/>
  <c r="R47" i="36"/>
  <c r="Q69" i="36"/>
  <c r="R69" i="36"/>
  <c r="C117" i="36"/>
  <c r="M117" i="36"/>
  <c r="O117" i="36"/>
  <c r="M62" i="36"/>
  <c r="O62" i="36"/>
  <c r="C62" i="36"/>
  <c r="R4" i="36"/>
  <c r="Q4" i="36"/>
  <c r="Q849" i="8"/>
  <c r="P849" i="8"/>
  <c r="O849" i="8"/>
  <c r="Q848" i="8"/>
  <c r="P848" i="8"/>
  <c r="O848" i="8"/>
  <c r="AK611" i="10"/>
  <c r="AK613" i="10"/>
  <c r="AK612" i="10"/>
  <c r="AK619" i="10"/>
  <c r="AK614" i="10"/>
  <c r="AK604" i="10"/>
  <c r="AK599" i="10"/>
  <c r="AK597" i="10"/>
  <c r="AK598" i="10"/>
  <c r="AK606" i="10"/>
  <c r="AK617" i="10"/>
  <c r="AK609" i="10"/>
  <c r="AK610" i="10"/>
  <c r="AK616" i="10"/>
  <c r="AK600" i="10"/>
  <c r="AK618" i="10"/>
  <c r="AK602" i="10"/>
  <c r="AK620" i="10"/>
  <c r="AK603" i="10"/>
  <c r="AK601" i="10"/>
  <c r="AQ491" i="10"/>
  <c r="AQ61" i="10"/>
  <c r="AR61" i="10"/>
  <c r="AQ305" i="10"/>
  <c r="AQ457" i="10"/>
  <c r="AR457" i="10"/>
  <c r="AQ145" i="10"/>
  <c r="AQ265" i="10"/>
  <c r="AQ431" i="10"/>
  <c r="AQ421" i="10"/>
  <c r="AQ262" i="10"/>
  <c r="AQ277" i="10"/>
  <c r="AQ180" i="10"/>
  <c r="AR180" i="10"/>
  <c r="AQ474" i="10"/>
  <c r="AQ36" i="10"/>
  <c r="AQ237" i="10"/>
  <c r="AQ198" i="10"/>
  <c r="AR198" i="10"/>
  <c r="AQ252" i="10"/>
  <c r="AQ210" i="10"/>
  <c r="AR210" i="10"/>
  <c r="AQ280" i="10"/>
  <c r="AQ257" i="10"/>
  <c r="AQ258" i="10"/>
  <c r="AQ266" i="10"/>
  <c r="AQ245" i="10"/>
  <c r="AQ188" i="10"/>
  <c r="AR188" i="10"/>
  <c r="AJ424" i="10"/>
  <c r="AK424" i="10"/>
  <c r="AQ52" i="10"/>
  <c r="AR52" i="10"/>
  <c r="AQ191" i="10"/>
  <c r="AR191" i="10"/>
  <c r="AQ400" i="10"/>
  <c r="AR400" i="10"/>
  <c r="AQ316" i="10"/>
  <c r="AQ304" i="10"/>
  <c r="AQ249" i="10"/>
  <c r="AQ194" i="10"/>
  <c r="AR194" i="10"/>
  <c r="AQ484" i="10"/>
  <c r="AR484" i="10"/>
  <c r="AQ453" i="10"/>
  <c r="AQ455" i="10"/>
  <c r="AR455" i="10"/>
  <c r="AQ406" i="10"/>
  <c r="D27" i="36"/>
  <c r="F27" i="36"/>
  <c r="K27" i="36"/>
  <c r="D58" i="36"/>
  <c r="F58" i="36"/>
  <c r="K58" i="36"/>
  <c r="O58" i="36"/>
  <c r="D39" i="36"/>
  <c r="F39" i="36"/>
  <c r="K39" i="36"/>
  <c r="O39" i="36"/>
  <c r="D28" i="36"/>
  <c r="F28" i="36"/>
  <c r="K28" i="36"/>
  <c r="O28" i="36"/>
  <c r="Q28" i="36"/>
  <c r="Q118" i="36"/>
  <c r="R118" i="36"/>
  <c r="R124" i="36"/>
  <c r="Q124" i="36"/>
  <c r="Q59" i="36"/>
  <c r="R59" i="36"/>
  <c r="Q119" i="36"/>
  <c r="R119" i="36"/>
  <c r="D36" i="36"/>
  <c r="F36" i="36"/>
  <c r="K36" i="36"/>
  <c r="O36" i="36"/>
  <c r="D35" i="36"/>
  <c r="F35" i="36"/>
  <c r="K35" i="36"/>
  <c r="O35" i="36"/>
  <c r="Q132" i="36"/>
  <c r="R132" i="36"/>
  <c r="R57" i="36"/>
  <c r="Q57" i="36"/>
  <c r="R121" i="36"/>
  <c r="Q121" i="36"/>
  <c r="Q37" i="36"/>
  <c r="R37" i="36"/>
  <c r="R38" i="36"/>
  <c r="Q38" i="36"/>
  <c r="R54" i="36"/>
  <c r="Q54" i="36"/>
  <c r="Q66" i="36"/>
  <c r="R66" i="36"/>
  <c r="Q75" i="36"/>
  <c r="R75" i="36"/>
  <c r="Q61" i="36"/>
  <c r="R61" i="36"/>
  <c r="Q123" i="36"/>
  <c r="R123" i="36"/>
  <c r="Q95" i="36"/>
  <c r="R95" i="36"/>
  <c r="D41" i="36"/>
  <c r="F41" i="36"/>
  <c r="K41" i="36"/>
  <c r="O41" i="36"/>
  <c r="D15" i="36"/>
  <c r="F15" i="36"/>
  <c r="K15" i="36"/>
  <c r="O15" i="36"/>
  <c r="D17" i="36"/>
  <c r="F17" i="36"/>
  <c r="K17" i="36"/>
  <c r="O17" i="36"/>
  <c r="R135" i="36"/>
  <c r="Q135" i="36"/>
  <c r="R65" i="36"/>
  <c r="Q65" i="36"/>
  <c r="D60" i="36"/>
  <c r="F60" i="36"/>
  <c r="K60" i="36"/>
  <c r="O60" i="36"/>
  <c r="Q131" i="36"/>
  <c r="R131" i="36"/>
  <c r="Q122" i="36"/>
  <c r="R122" i="36"/>
  <c r="Q102" i="36"/>
  <c r="R102" i="36"/>
  <c r="Q24" i="36"/>
  <c r="R24" i="36"/>
  <c r="R133" i="36"/>
  <c r="Q133" i="36"/>
  <c r="R14" i="36"/>
  <c r="Q14" i="36"/>
  <c r="Q52" i="36"/>
  <c r="D51" i="36"/>
  <c r="Q33" i="36"/>
  <c r="R127" i="36"/>
  <c r="Q127" i="36"/>
  <c r="D53" i="36"/>
  <c r="F53" i="36"/>
  <c r="K53" i="36"/>
  <c r="O53" i="36"/>
  <c r="Q53" i="36"/>
  <c r="Q105" i="36"/>
  <c r="R134" i="36"/>
  <c r="M16" i="36"/>
  <c r="O16" i="36"/>
  <c r="C16" i="36"/>
  <c r="R64" i="36"/>
  <c r="Q48" i="36"/>
  <c r="R48" i="36"/>
  <c r="D44" i="36"/>
  <c r="F44" i="36"/>
  <c r="K44" i="36"/>
  <c r="O44" i="36"/>
  <c r="M146" i="36"/>
  <c r="Q74" i="36"/>
  <c r="R74" i="36"/>
  <c r="D150" i="36"/>
  <c r="F97" i="36"/>
  <c r="Q126" i="36"/>
  <c r="R126" i="36"/>
  <c r="Q62" i="36"/>
  <c r="R62" i="36"/>
  <c r="Q46" i="36"/>
  <c r="R46" i="36"/>
  <c r="C146" i="36"/>
  <c r="Q113" i="36"/>
  <c r="R113" i="36"/>
  <c r="Q117" i="36"/>
  <c r="R117" i="36"/>
  <c r="Q27" i="36"/>
  <c r="R27" i="36"/>
  <c r="Q68" i="36"/>
  <c r="R68" i="36"/>
  <c r="Q128" i="36"/>
  <c r="R128" i="36"/>
  <c r="Q26" i="36"/>
  <c r="R26" i="36"/>
  <c r="Q40" i="36"/>
  <c r="R40" i="36"/>
  <c r="D43" i="36"/>
  <c r="F43" i="36"/>
  <c r="K43" i="36"/>
  <c r="O43" i="36"/>
  <c r="D34" i="36"/>
  <c r="AP424" i="10"/>
  <c r="AS424" i="10"/>
  <c r="R28" i="36"/>
  <c r="R41" i="36"/>
  <c r="Q41" i="36"/>
  <c r="Q36" i="36"/>
  <c r="R36" i="36"/>
  <c r="Q39" i="36"/>
  <c r="R39" i="36"/>
  <c r="Q17" i="36"/>
  <c r="R17" i="36"/>
  <c r="R58" i="36"/>
  <c r="Q58" i="36"/>
  <c r="Q60" i="36"/>
  <c r="R60" i="36"/>
  <c r="Q15" i="36"/>
  <c r="R15" i="36"/>
  <c r="Q35" i="36"/>
  <c r="R35" i="36"/>
  <c r="D147" i="36"/>
  <c r="F51" i="36"/>
  <c r="K51" i="36"/>
  <c r="R53" i="36"/>
  <c r="Q16" i="36"/>
  <c r="R16" i="36"/>
  <c r="Q44" i="36"/>
  <c r="R44" i="36"/>
  <c r="F34" i="36"/>
  <c r="D146" i="36"/>
  <c r="Q43" i="36"/>
  <c r="R43" i="36"/>
  <c r="K97" i="36"/>
  <c r="O97" i="36"/>
  <c r="F150" i="36"/>
  <c r="AQ424" i="10"/>
  <c r="AR424" i="10"/>
  <c r="F147" i="36"/>
  <c r="K147" i="36"/>
  <c r="K150" i="36"/>
  <c r="K34" i="36"/>
  <c r="O34" i="36"/>
  <c r="F146" i="36"/>
  <c r="K146" i="36"/>
  <c r="R51" i="36"/>
  <c r="Q51" i="36"/>
  <c r="R97" i="36"/>
  <c r="Q97" i="36"/>
  <c r="O146" i="36"/>
  <c r="Q34" i="36"/>
  <c r="R34" i="36"/>
  <c r="E34" i="24"/>
  <c r="C34" i="24"/>
  <c r="B34" i="24"/>
  <c r="D34" i="24"/>
  <c r="E33" i="24"/>
  <c r="C33" i="24"/>
  <c r="B33" i="24"/>
  <c r="D33" i="24"/>
  <c r="E32" i="24"/>
  <c r="C32" i="24"/>
  <c r="B32" i="24"/>
  <c r="E31" i="24"/>
  <c r="C31" i="24"/>
  <c r="B31" i="24"/>
  <c r="D30" i="24"/>
  <c r="E29" i="24"/>
  <c r="C29" i="24"/>
  <c r="B29" i="24"/>
  <c r="E28" i="24"/>
  <c r="C28" i="24"/>
  <c r="B28" i="24"/>
  <c r="E27" i="24"/>
  <c r="C27" i="24"/>
  <c r="B27" i="24"/>
  <c r="E26" i="24"/>
  <c r="C26" i="24"/>
  <c r="B26" i="24"/>
  <c r="E25" i="24"/>
  <c r="C25" i="24"/>
  <c r="B25" i="24"/>
  <c r="E24" i="24"/>
  <c r="C24" i="24"/>
  <c r="B24" i="24"/>
  <c r="E23" i="24"/>
  <c r="C23" i="24"/>
  <c r="B23" i="24"/>
  <c r="E22" i="24"/>
  <c r="C22" i="24"/>
  <c r="B22" i="24"/>
  <c r="E21" i="24"/>
  <c r="C21" i="24"/>
  <c r="B21" i="24"/>
  <c r="E20" i="24"/>
  <c r="C20" i="24"/>
  <c r="B20" i="24"/>
  <c r="H19" i="24"/>
  <c r="G19" i="24"/>
  <c r="E19" i="24"/>
  <c r="C19" i="24"/>
  <c r="B19" i="24"/>
  <c r="D18" i="24"/>
  <c r="D17" i="24"/>
  <c r="D16" i="24"/>
  <c r="D15" i="24"/>
  <c r="D14" i="24"/>
  <c r="D13" i="24"/>
  <c r="D12" i="24"/>
  <c r="D11" i="24"/>
  <c r="D10" i="24"/>
  <c r="D9" i="24"/>
  <c r="D8" i="24"/>
  <c r="D7" i="24"/>
  <c r="D6" i="24"/>
  <c r="D5" i="24"/>
  <c r="D4" i="24"/>
  <c r="D3" i="24"/>
  <c r="D2" i="24"/>
  <c r="Q221" i="10"/>
  <c r="Q11" i="10"/>
  <c r="AA409" i="8"/>
  <c r="AA408" i="8"/>
  <c r="AA407" i="8"/>
  <c r="AA425" i="8"/>
  <c r="AA424" i="8"/>
  <c r="AA585" i="8"/>
  <c r="AA655" i="8"/>
  <c r="AA659" i="8"/>
  <c r="AA423" i="8"/>
  <c r="AA626" i="8"/>
  <c r="AA418" i="8"/>
  <c r="AA649" i="8"/>
  <c r="AA405" i="8"/>
  <c r="AA404" i="8"/>
  <c r="AA391" i="8"/>
  <c r="AA588" i="8"/>
  <c r="AA589" i="8"/>
  <c r="AA618" i="8"/>
  <c r="AA602" i="8"/>
  <c r="AA627" i="8"/>
  <c r="AA663" i="8"/>
  <c r="AA643" i="8"/>
  <c r="AA606" i="8"/>
  <c r="AA432" i="8"/>
  <c r="AA431" i="8"/>
  <c r="AA430" i="8"/>
  <c r="AA429" i="8"/>
  <c r="AA428" i="8"/>
  <c r="I199" i="23"/>
  <c r="AA657" i="8"/>
  <c r="AA434" i="8"/>
  <c r="AA664" i="8"/>
  <c r="AA620" i="8"/>
  <c r="AA662" i="8"/>
  <c r="AA444" i="8"/>
  <c r="AM444" i="8"/>
  <c r="Z3" i="8"/>
  <c r="BX221" i="10"/>
  <c r="D19" i="24"/>
  <c r="D26" i="24"/>
  <c r="I7" i="24"/>
  <c r="D22" i="24"/>
  <c r="BX11" i="10"/>
  <c r="I5" i="24"/>
  <c r="D31" i="24"/>
  <c r="I3" i="24"/>
  <c r="I9" i="24"/>
  <c r="C35" i="24"/>
  <c r="D23" i="24"/>
  <c r="AM664" i="8"/>
  <c r="BU664" i="8"/>
  <c r="AN664" i="8"/>
  <c r="BV664" i="8"/>
  <c r="AL664" i="8"/>
  <c r="AM627" i="8"/>
  <c r="BU627" i="8"/>
  <c r="AN627" i="8"/>
  <c r="BV627" i="8"/>
  <c r="AL627" i="8"/>
  <c r="AN588" i="8"/>
  <c r="BV588" i="8"/>
  <c r="AM588" i="8"/>
  <c r="BU588" i="8"/>
  <c r="AL588" i="8"/>
  <c r="AM649" i="8"/>
  <c r="BU649" i="8"/>
  <c r="AN649" i="8"/>
  <c r="BV649" i="8"/>
  <c r="AL649" i="8"/>
  <c r="AM659" i="8"/>
  <c r="BU659" i="8"/>
  <c r="AN659" i="8"/>
  <c r="BV659" i="8"/>
  <c r="AL659" i="8"/>
  <c r="AM620" i="8"/>
  <c r="BU620" i="8"/>
  <c r="AN620" i="8"/>
  <c r="BV620" i="8"/>
  <c r="AL620" i="8"/>
  <c r="AM606" i="8"/>
  <c r="BU606" i="8"/>
  <c r="AN606" i="8"/>
  <c r="BV606" i="8"/>
  <c r="AL606" i="8"/>
  <c r="AN602" i="8"/>
  <c r="BV602" i="8"/>
  <c r="AM602" i="8"/>
  <c r="BU602" i="8"/>
  <c r="AL602" i="8"/>
  <c r="AM655" i="8"/>
  <c r="BU655" i="8"/>
  <c r="AN655" i="8"/>
  <c r="BV655" i="8"/>
  <c r="AL655" i="8"/>
  <c r="AN663" i="8"/>
  <c r="BV663" i="8"/>
  <c r="AM663" i="8"/>
  <c r="BU663" i="8"/>
  <c r="AL663" i="8"/>
  <c r="AM589" i="8"/>
  <c r="BU589" i="8"/>
  <c r="AN589" i="8"/>
  <c r="BV589" i="8"/>
  <c r="AL589" i="8"/>
  <c r="AN662" i="8"/>
  <c r="BV662" i="8"/>
  <c r="AM662" i="8"/>
  <c r="BU662" i="8"/>
  <c r="AL662" i="8"/>
  <c r="AM657" i="8"/>
  <c r="BU657" i="8"/>
  <c r="AN657" i="8"/>
  <c r="BV657" i="8"/>
  <c r="AL657" i="8"/>
  <c r="AM643" i="8"/>
  <c r="BU643" i="8"/>
  <c r="AN643" i="8"/>
  <c r="BV643" i="8"/>
  <c r="AL643" i="8"/>
  <c r="AM618" i="8"/>
  <c r="BU618" i="8"/>
  <c r="AN618" i="8"/>
  <c r="BV618" i="8"/>
  <c r="AL618" i="8"/>
  <c r="AM626" i="8"/>
  <c r="AN626" i="8"/>
  <c r="AL626" i="8"/>
  <c r="AM585" i="8"/>
  <c r="AN585" i="8"/>
  <c r="AL585" i="8"/>
  <c r="AE221" i="10"/>
  <c r="BM11" i="10"/>
  <c r="BL11" i="10"/>
  <c r="AI227" i="10"/>
  <c r="AI228" i="10"/>
  <c r="AI221" i="10"/>
  <c r="AI317" i="10"/>
  <c r="AI225" i="10"/>
  <c r="AI230" i="10"/>
  <c r="AI223" i="10"/>
  <c r="AI226" i="10"/>
  <c r="AI224" i="10"/>
  <c r="AI285" i="10"/>
  <c r="AI283" i="10"/>
  <c r="AI231" i="10"/>
  <c r="AI229" i="10"/>
  <c r="AI222" i="10"/>
  <c r="P411" i="10"/>
  <c r="AW411" i="10"/>
  <c r="AY411" i="10"/>
  <c r="BD11" i="10"/>
  <c r="BK11" i="10"/>
  <c r="BE11" i="10"/>
  <c r="BF11" i="10"/>
  <c r="K185" i="34"/>
  <c r="M185" i="34"/>
  <c r="E35" i="24"/>
  <c r="I18" i="24"/>
  <c r="D27" i="24"/>
  <c r="D21" i="24"/>
  <c r="D25" i="24"/>
  <c r="D29" i="24"/>
  <c r="D20" i="24"/>
  <c r="D24" i="24"/>
  <c r="D28" i="24"/>
  <c r="D32" i="24"/>
  <c r="B35" i="24"/>
  <c r="I11" i="24"/>
  <c r="I13" i="24"/>
  <c r="I15" i="24"/>
  <c r="I17" i="24"/>
  <c r="I2" i="24"/>
  <c r="I4" i="24"/>
  <c r="I6" i="24"/>
  <c r="I8" i="24"/>
  <c r="I10" i="24"/>
  <c r="I12" i="24"/>
  <c r="I14" i="24"/>
  <c r="I16" i="24"/>
  <c r="BM221" i="10"/>
  <c r="L21" i="5"/>
  <c r="L23" i="5"/>
  <c r="F21" i="5"/>
  <c r="F23" i="5"/>
  <c r="J21" i="5"/>
  <c r="J23" i="5"/>
  <c r="M21" i="5"/>
  <c r="M23" i="5"/>
  <c r="G21" i="5"/>
  <c r="G23" i="5"/>
  <c r="K21" i="5"/>
  <c r="K23" i="5"/>
  <c r="N21" i="5"/>
  <c r="N23" i="5"/>
  <c r="E21" i="5"/>
  <c r="E23" i="5"/>
  <c r="I21" i="5"/>
  <c r="I23" i="5"/>
  <c r="BC221" i="10"/>
  <c r="BE221" i="10"/>
  <c r="F190" i="23"/>
  <c r="F189" i="23"/>
  <c r="AN423" i="8"/>
  <c r="AM423" i="8"/>
  <c r="AL423" i="8"/>
  <c r="AM424" i="8"/>
  <c r="AN424" i="8"/>
  <c r="AL424" i="8"/>
  <c r="AM429" i="8"/>
  <c r="AN429" i="8"/>
  <c r="AL429" i="8"/>
  <c r="AM434" i="8"/>
  <c r="BP434" i="8"/>
  <c r="AN434" i="8"/>
  <c r="AL434" i="8"/>
  <c r="AM428" i="8"/>
  <c r="AN428" i="8"/>
  <c r="AL428" i="8"/>
  <c r="AN430" i="8"/>
  <c r="AM430" i="8"/>
  <c r="AL430" i="8"/>
  <c r="AM431" i="8"/>
  <c r="AN431" i="8"/>
  <c r="AL431" i="8"/>
  <c r="AM432" i="8"/>
  <c r="AN432" i="8"/>
  <c r="AL432" i="8"/>
  <c r="AM405" i="8"/>
  <c r="AN405" i="8"/>
  <c r="AL405" i="8"/>
  <c r="AM407" i="8"/>
  <c r="AN407" i="8"/>
  <c r="AL407" i="8"/>
  <c r="AM409" i="8"/>
  <c r="AN409" i="8"/>
  <c r="AL409" i="8"/>
  <c r="AN391" i="8"/>
  <c r="AM391" i="8"/>
  <c r="AL391" i="8"/>
  <c r="AM425" i="8"/>
  <c r="AN425" i="8"/>
  <c r="AL425" i="8"/>
  <c r="AM408" i="8"/>
  <c r="AN408" i="8"/>
  <c r="AL408" i="8"/>
  <c r="AM404" i="8"/>
  <c r="AN404" i="8"/>
  <c r="AL404" i="8"/>
  <c r="AM418" i="8"/>
  <c r="AN418" i="8"/>
  <c r="AL418" i="8"/>
  <c r="N114" i="36"/>
  <c r="BD221" i="10"/>
  <c r="C114" i="36"/>
  <c r="M114" i="36"/>
  <c r="O114" i="36"/>
  <c r="K255" i="34"/>
  <c r="O411" i="10"/>
  <c r="Q411" i="10"/>
  <c r="BX411" i="10"/>
  <c r="AU6" i="8"/>
  <c r="AR6" i="8"/>
  <c r="AV6" i="8"/>
  <c r="AS6" i="8"/>
  <c r="AW6" i="8"/>
  <c r="AT6" i="8"/>
  <c r="AX6" i="8"/>
  <c r="AT848" i="8"/>
  <c r="AS848" i="8"/>
  <c r="AR848" i="8"/>
  <c r="AS849" i="8"/>
  <c r="AA401" i="8"/>
  <c r="AR849" i="8"/>
  <c r="AT849" i="8"/>
  <c r="F649" i="10"/>
  <c r="F653" i="10"/>
  <c r="N199" i="23"/>
  <c r="E199" i="23"/>
  <c r="AX221" i="10"/>
  <c r="AY221" i="10"/>
  <c r="BK221" i="10"/>
  <c r="AN444" i="8"/>
  <c r="AL444" i="8"/>
  <c r="K199" i="23"/>
  <c r="G199" i="23"/>
  <c r="M199" i="23"/>
  <c r="J199" i="23"/>
  <c r="F199" i="23"/>
  <c r="L199" i="23"/>
  <c r="H199" i="23"/>
  <c r="BV585" i="8"/>
  <c r="D892" i="8"/>
  <c r="BU585" i="8"/>
  <c r="C892" i="8"/>
  <c r="BV626" i="8"/>
  <c r="D908" i="8"/>
  <c r="BU626" i="8"/>
  <c r="C908" i="8"/>
  <c r="BC411" i="10"/>
  <c r="BE411" i="10"/>
  <c r="BF411" i="10"/>
  <c r="BW411" i="10"/>
  <c r="BW664" i="8"/>
  <c r="BW643" i="8"/>
  <c r="BW620" i="8"/>
  <c r="BW627" i="8"/>
  <c r="BW618" i="8"/>
  <c r="BW588" i="8"/>
  <c r="BW649" i="8"/>
  <c r="BW662" i="8"/>
  <c r="BW589" i="8"/>
  <c r="BW602" i="8"/>
  <c r="BW606" i="8"/>
  <c r="BW585" i="8"/>
  <c r="BW657" i="8"/>
  <c r="BW663" i="8"/>
  <c r="BW655" i="8"/>
  <c r="BW659" i="8"/>
  <c r="BL411" i="10"/>
  <c r="BL221" i="10"/>
  <c r="AP231" i="10"/>
  <c r="AS231" i="10"/>
  <c r="AP226" i="10"/>
  <c r="AS226" i="10"/>
  <c r="AP317" i="10"/>
  <c r="AS317" i="10"/>
  <c r="AP283" i="10"/>
  <c r="AS283" i="10"/>
  <c r="AP223" i="10"/>
  <c r="AS223" i="10"/>
  <c r="AJ221" i="10"/>
  <c r="AK221" i="10"/>
  <c r="AP222" i="10"/>
  <c r="AS222" i="10"/>
  <c r="AP285" i="10"/>
  <c r="AS285" i="10"/>
  <c r="AP230" i="10"/>
  <c r="AS230" i="10"/>
  <c r="AP228" i="10"/>
  <c r="AS228" i="10"/>
  <c r="AP229" i="10"/>
  <c r="AS229" i="10"/>
  <c r="AP224" i="10"/>
  <c r="AS224" i="10"/>
  <c r="AP225" i="10"/>
  <c r="AS225" i="10"/>
  <c r="AP227" i="10"/>
  <c r="AS227" i="10"/>
  <c r="AJ231" i="10"/>
  <c r="AK231" i="10"/>
  <c r="AJ226" i="10"/>
  <c r="AK226" i="10"/>
  <c r="AJ317" i="10"/>
  <c r="AK317" i="10"/>
  <c r="AJ283" i="10"/>
  <c r="AK283" i="10"/>
  <c r="AJ223" i="10"/>
  <c r="AK223" i="10"/>
  <c r="AJ222" i="10"/>
  <c r="AK222" i="10"/>
  <c r="AJ285" i="10"/>
  <c r="AK285" i="10"/>
  <c r="AJ230" i="10"/>
  <c r="AK230" i="10"/>
  <c r="AJ228" i="10"/>
  <c r="AK228" i="10"/>
  <c r="AJ229" i="10"/>
  <c r="AK229" i="10"/>
  <c r="AJ224" i="10"/>
  <c r="AK224" i="10"/>
  <c r="AJ225" i="10"/>
  <c r="AK225" i="10"/>
  <c r="AJ227" i="10"/>
  <c r="AK227" i="10"/>
  <c r="AI587" i="10"/>
  <c r="AI588" i="10"/>
  <c r="J236" i="34"/>
  <c r="L236" i="34"/>
  <c r="BN411" i="10"/>
  <c r="AX411" i="10"/>
  <c r="AZ411" i="10"/>
  <c r="BA411" i="10"/>
  <c r="AR411" i="10"/>
  <c r="BM411" i="10"/>
  <c r="BD411" i="10"/>
  <c r="BK411" i="10"/>
  <c r="K236" i="34"/>
  <c r="J255" i="34"/>
  <c r="D35" i="24"/>
  <c r="I19" i="24"/>
  <c r="AZ221" i="10"/>
  <c r="AO221" i="10"/>
  <c r="AP221" i="10"/>
  <c r="J190" i="23"/>
  <c r="J189" i="23"/>
  <c r="E190" i="23"/>
  <c r="E189" i="23"/>
  <c r="L190" i="23"/>
  <c r="L189" i="23"/>
  <c r="M190" i="23"/>
  <c r="M189" i="23"/>
  <c r="N190" i="23"/>
  <c r="N189" i="23"/>
  <c r="I190" i="23"/>
  <c r="I189" i="23"/>
  <c r="H190" i="23"/>
  <c r="H189" i="23"/>
  <c r="G190" i="23"/>
  <c r="G189" i="23"/>
  <c r="K190" i="23"/>
  <c r="K189" i="23"/>
  <c r="BP444" i="8"/>
  <c r="AM401" i="8"/>
  <c r="AN401" i="8"/>
  <c r="AL401" i="8"/>
  <c r="P114" i="36"/>
  <c r="C130" i="36"/>
  <c r="M130" i="36"/>
  <c r="O130" i="36"/>
  <c r="N130" i="36"/>
  <c r="BN1" i="8"/>
  <c r="AM1" i="8"/>
  <c r="BH6" i="8"/>
  <c r="AW5" i="8"/>
  <c r="BD6" i="8"/>
  <c r="AS5" i="8"/>
  <c r="BE6" i="8"/>
  <c r="AT5" i="8"/>
  <c r="BI6" i="8"/>
  <c r="AX5" i="8"/>
  <c r="BF6" i="8"/>
  <c r="AU5" i="8"/>
  <c r="BG6" i="8"/>
  <c r="AV5" i="8"/>
  <c r="BC6" i="8"/>
  <c r="AR5" i="8"/>
  <c r="C932" i="8"/>
  <c r="F650" i="10"/>
  <c r="D931" i="8"/>
  <c r="D930" i="8"/>
  <c r="D935" i="8"/>
  <c r="C931" i="8"/>
  <c r="C935" i="8"/>
  <c r="F648" i="10"/>
  <c r="BP662" i="8"/>
  <c r="BP664" i="8"/>
  <c r="BP428" i="8"/>
  <c r="BP657" i="8"/>
  <c r="BP431" i="8"/>
  <c r="BP430" i="8"/>
  <c r="BP620" i="8"/>
  <c r="BP618" i="8"/>
  <c r="BP429" i="8"/>
  <c r="BF221" i="10"/>
  <c r="BP432" i="8"/>
  <c r="BP606" i="8"/>
  <c r="BP627" i="8"/>
  <c r="BP663" i="8"/>
  <c r="BP643" i="8"/>
  <c r="BP589" i="8"/>
  <c r="BW626" i="8"/>
  <c r="C937" i="8"/>
  <c r="AK615" i="10"/>
  <c r="AK621" i="10"/>
  <c r="AQ228" i="10"/>
  <c r="AR228" i="10"/>
  <c r="AQ285" i="10"/>
  <c r="AR285" i="10"/>
  <c r="AQ283" i="10"/>
  <c r="AR283" i="10"/>
  <c r="AQ227" i="10"/>
  <c r="AR227" i="10"/>
  <c r="AQ224" i="10"/>
  <c r="AR224" i="10"/>
  <c r="AQ226" i="10"/>
  <c r="AR226" i="10"/>
  <c r="AQ225" i="10"/>
  <c r="AR225" i="10"/>
  <c r="AQ229" i="10"/>
  <c r="AR229" i="10"/>
  <c r="AQ230" i="10"/>
  <c r="AR230" i="10"/>
  <c r="AQ222" i="10"/>
  <c r="AR222" i="10"/>
  <c r="AQ223" i="10"/>
  <c r="AR223" i="10"/>
  <c r="AQ317" i="10"/>
  <c r="AR317" i="10"/>
  <c r="AQ231" i="10"/>
  <c r="AR231" i="10"/>
  <c r="AJ587" i="10"/>
  <c r="AJ588" i="10"/>
  <c r="M236" i="34"/>
  <c r="M255" i="34"/>
  <c r="AS221" i="10"/>
  <c r="AQ221" i="10"/>
  <c r="BA221" i="10"/>
  <c r="P130" i="36"/>
  <c r="Q114" i="36"/>
  <c r="O150" i="36"/>
  <c r="R114" i="36"/>
  <c r="Y587" i="10"/>
  <c r="Y588" i="10"/>
  <c r="AC587" i="10"/>
  <c r="AN2" i="8"/>
  <c r="AM2" i="8"/>
  <c r="BO1" i="8"/>
  <c r="AN1" i="8"/>
  <c r="E115" i="23"/>
  <c r="M91" i="23"/>
  <c r="E100" i="23"/>
  <c r="N108" i="23"/>
  <c r="M100" i="23"/>
  <c r="E111" i="23"/>
  <c r="E37" i="23"/>
  <c r="I37" i="23"/>
  <c r="M37" i="23"/>
  <c r="F38" i="23"/>
  <c r="J38" i="23"/>
  <c r="N38" i="23"/>
  <c r="G39" i="23"/>
  <c r="K39" i="23"/>
  <c r="E40" i="23"/>
  <c r="I40" i="23"/>
  <c r="M40" i="23"/>
  <c r="F41" i="23"/>
  <c r="J41" i="23"/>
  <c r="N41" i="23"/>
  <c r="G42" i="23"/>
  <c r="K42" i="23"/>
  <c r="H43" i="23"/>
  <c r="L43" i="23"/>
  <c r="E44" i="23"/>
  <c r="I44" i="23"/>
  <c r="M44" i="23"/>
  <c r="F45" i="23"/>
  <c r="J45" i="23"/>
  <c r="N45" i="23"/>
  <c r="G46" i="23"/>
  <c r="K46" i="23"/>
  <c r="H47" i="23"/>
  <c r="L47" i="23"/>
  <c r="E48" i="23"/>
  <c r="I48" i="23"/>
  <c r="M48" i="23"/>
  <c r="G41" i="23"/>
  <c r="K45" i="23"/>
  <c r="N47" i="23"/>
  <c r="G38" i="23"/>
  <c r="H46" i="23"/>
  <c r="G48" i="23"/>
  <c r="M43" i="23"/>
  <c r="H39" i="23"/>
  <c r="E43" i="23"/>
  <c r="H42" i="23"/>
  <c r="M47" i="23"/>
  <c r="N137" i="23"/>
  <c r="E85" i="23"/>
  <c r="E102" i="23"/>
  <c r="H136" i="23"/>
  <c r="H137" i="23"/>
  <c r="I85" i="23"/>
  <c r="M104" i="23"/>
  <c r="G116" i="23"/>
  <c r="N13" i="23"/>
  <c r="F66" i="23"/>
  <c r="M164" i="23"/>
  <c r="E137" i="23"/>
  <c r="K66" i="23"/>
  <c r="M66" i="23"/>
  <c r="M115" i="23"/>
  <c r="H65" i="23"/>
  <c r="F49" i="23"/>
  <c r="M136" i="23"/>
  <c r="H135" i="23"/>
  <c r="F102" i="23"/>
  <c r="G87" i="23"/>
  <c r="N102" i="23"/>
  <c r="H49" i="23"/>
  <c r="G65" i="23"/>
  <c r="F88" i="23"/>
  <c r="G94" i="23"/>
  <c r="I135" i="23"/>
  <c r="L116" i="23"/>
  <c r="E101" i="23"/>
  <c r="J135" i="23"/>
  <c r="J102" i="23"/>
  <c r="I101" i="23"/>
  <c r="H166" i="23"/>
  <c r="K49" i="23"/>
  <c r="H134" i="23"/>
  <c r="E89" i="23"/>
  <c r="D936" i="8"/>
  <c r="C936" i="8"/>
  <c r="D937" i="8"/>
  <c r="D934" i="8"/>
  <c r="D932" i="8"/>
  <c r="C934" i="8"/>
  <c r="C933" i="8"/>
  <c r="D933" i="8"/>
  <c r="AK588" i="10"/>
  <c r="AJ590" i="10"/>
  <c r="AK587" i="10"/>
  <c r="AR221" i="10"/>
  <c r="R130" i="36"/>
  <c r="Q130" i="36"/>
  <c r="O149" i="36"/>
  <c r="F136" i="23"/>
  <c r="E88" i="23"/>
  <c r="J14" i="23"/>
  <c r="E136" i="23"/>
  <c r="E87" i="23"/>
  <c r="J134" i="23"/>
  <c r="J61" i="23"/>
  <c r="K94" i="23"/>
  <c r="F165" i="23"/>
  <c r="K137" i="23"/>
  <c r="M13" i="23"/>
  <c r="N14" i="23"/>
  <c r="N65" i="23"/>
  <c r="K104" i="23"/>
  <c r="L161" i="23"/>
  <c r="J164" i="23"/>
  <c r="I61" i="23"/>
  <c r="H133" i="23"/>
  <c r="L115" i="23"/>
  <c r="K136" i="23"/>
  <c r="K166" i="23"/>
  <c r="AM3" i="8"/>
  <c r="M101" i="23"/>
  <c r="L165" i="23"/>
  <c r="J161" i="23"/>
  <c r="F134" i="23"/>
  <c r="N164" i="23"/>
  <c r="M87" i="23"/>
  <c r="N136" i="23"/>
  <c r="F116" i="23"/>
  <c r="F89" i="23"/>
  <c r="K133" i="23"/>
  <c r="N101" i="23"/>
  <c r="E13" i="23"/>
  <c r="M88" i="23"/>
  <c r="K89" i="23"/>
  <c r="M161" i="23"/>
  <c r="I134" i="23"/>
  <c r="H85" i="23"/>
  <c r="E14" i="23"/>
  <c r="E164" i="23"/>
  <c r="H94" i="23"/>
  <c r="J115" i="23"/>
  <c r="J48" i="23"/>
  <c r="H61" i="23"/>
  <c r="F164" i="23"/>
  <c r="E135" i="23"/>
  <c r="J137" i="23"/>
  <c r="H13" i="23"/>
  <c r="E51" i="23"/>
  <c r="E90" i="23"/>
  <c r="G14" i="23"/>
  <c r="H88" i="23"/>
  <c r="J13" i="23"/>
  <c r="F85" i="23"/>
  <c r="M65" i="23"/>
  <c r="L61" i="23"/>
  <c r="G45" i="23"/>
  <c r="J40" i="23"/>
  <c r="J112" i="23"/>
  <c r="L106" i="23"/>
  <c r="E109" i="23"/>
  <c r="G100" i="23"/>
  <c r="I93" i="23"/>
  <c r="H66" i="23"/>
  <c r="H90" i="23"/>
  <c r="K164" i="23"/>
  <c r="L87" i="23"/>
  <c r="N88" i="23"/>
  <c r="N89" i="23"/>
  <c r="E166" i="23"/>
  <c r="E50" i="23"/>
  <c r="E99" i="23"/>
  <c r="E49" i="23"/>
  <c r="E161" i="23"/>
  <c r="F104" i="23"/>
  <c r="E104" i="23"/>
  <c r="H57" i="23"/>
  <c r="I13" i="23"/>
  <c r="K102" i="23"/>
  <c r="I137" i="23"/>
  <c r="N56" i="23"/>
  <c r="K87" i="23"/>
  <c r="G61" i="23"/>
  <c r="J90" i="23"/>
  <c r="E165" i="23"/>
  <c r="I102" i="23"/>
  <c r="N94" i="23"/>
  <c r="J63" i="23"/>
  <c r="L63" i="23"/>
  <c r="H64" i="23"/>
  <c r="G23" i="23"/>
  <c r="N19" i="23"/>
  <c r="E62" i="23"/>
  <c r="G55" i="23"/>
  <c r="N48" i="23"/>
  <c r="N72" i="23"/>
  <c r="K35" i="23"/>
  <c r="M29" i="23"/>
  <c r="J54" i="23"/>
  <c r="K72" i="23"/>
  <c r="M64" i="23"/>
  <c r="I32" i="23"/>
  <c r="M28" i="23"/>
  <c r="N25" i="23"/>
  <c r="H20" i="23"/>
  <c r="I17" i="23"/>
  <c r="N58" i="23"/>
  <c r="H51" i="23"/>
  <c r="E33" i="23"/>
  <c r="F30" i="23"/>
  <c r="L21" i="23"/>
  <c r="G113" i="23"/>
  <c r="I107" i="23"/>
  <c r="H86" i="23"/>
  <c r="M114" i="23"/>
  <c r="H113" i="23"/>
  <c r="J111" i="23"/>
  <c r="E110" i="23"/>
  <c r="G108" i="23"/>
  <c r="M106" i="23"/>
  <c r="H105" i="23"/>
  <c r="J100" i="23"/>
  <c r="G97" i="23"/>
  <c r="M95" i="23"/>
  <c r="H93" i="23"/>
  <c r="J91" i="23"/>
  <c r="E86" i="23"/>
  <c r="N113" i="23"/>
  <c r="I112" i="23"/>
  <c r="K110" i="23"/>
  <c r="F109" i="23"/>
  <c r="L107" i="23"/>
  <c r="N105" i="23"/>
  <c r="I103" i="23"/>
  <c r="K99" i="23"/>
  <c r="F98" i="23"/>
  <c r="L96" i="23"/>
  <c r="N93" i="23"/>
  <c r="I92" i="23"/>
  <c r="K86" i="23"/>
  <c r="H99" i="23"/>
  <c r="E114" i="23"/>
  <c r="G112" i="23"/>
  <c r="M110" i="23"/>
  <c r="H109" i="23"/>
  <c r="J107" i="23"/>
  <c r="E106" i="23"/>
  <c r="G103" i="23"/>
  <c r="M99" i="23"/>
  <c r="H98" i="23"/>
  <c r="J96" i="23"/>
  <c r="E95" i="23"/>
  <c r="G92" i="23"/>
  <c r="M86" i="23"/>
  <c r="K114" i="23"/>
  <c r="F113" i="23"/>
  <c r="L111" i="23"/>
  <c r="N109" i="23"/>
  <c r="I108" i="23"/>
  <c r="K106" i="23"/>
  <c r="F105" i="23"/>
  <c r="L100" i="23"/>
  <c r="N98" i="23"/>
  <c r="I97" i="23"/>
  <c r="K95" i="23"/>
  <c r="F93" i="23"/>
  <c r="L91" i="23"/>
  <c r="E66" i="23"/>
  <c r="H87" i="23"/>
  <c r="E134" i="23"/>
  <c r="F72" i="23"/>
  <c r="K163" i="23"/>
  <c r="I70" i="23"/>
  <c r="I53" i="23"/>
  <c r="M62" i="23"/>
  <c r="E163" i="23"/>
  <c r="K69" i="23"/>
  <c r="L64" i="23"/>
  <c r="K23" i="23"/>
  <c r="H116" i="23"/>
  <c r="L164" i="23"/>
  <c r="J88" i="23"/>
  <c r="J56" i="23"/>
  <c r="G164" i="23"/>
  <c r="G56" i="23"/>
  <c r="N116" i="23"/>
  <c r="F161" i="23"/>
  <c r="N61" i="23"/>
  <c r="H164" i="23"/>
  <c r="L104" i="23"/>
  <c r="K63" i="23"/>
  <c r="M163" i="23"/>
  <c r="K27" i="23"/>
  <c r="M22" i="23"/>
  <c r="F19" i="23"/>
  <c r="K38" i="23"/>
  <c r="J59" i="23"/>
  <c r="F48" i="23"/>
  <c r="K41" i="23"/>
  <c r="I133" i="23"/>
  <c r="G136" i="23"/>
  <c r="F137" i="23"/>
  <c r="J166" i="23"/>
  <c r="L13" i="23"/>
  <c r="M133" i="23"/>
  <c r="G88" i="23"/>
  <c r="K101" i="23"/>
  <c r="F40" i="23"/>
  <c r="I43" i="23"/>
  <c r="F37" i="23"/>
  <c r="E18" i="23"/>
  <c r="F15" i="23"/>
  <c r="J71" i="23"/>
  <c r="K68" i="23"/>
  <c r="L35" i="23"/>
  <c r="F29" i="23"/>
  <c r="J25" i="23"/>
  <c r="L20" i="23"/>
  <c r="E17" i="23"/>
  <c r="F62" i="23"/>
  <c r="J58" i="23"/>
  <c r="K54" i="23"/>
  <c r="L51" i="23"/>
  <c r="E47" i="23"/>
  <c r="I36" i="23"/>
  <c r="F114" i="23"/>
  <c r="H108" i="23"/>
  <c r="E98" i="23"/>
  <c r="G91" i="23"/>
  <c r="H163" i="23"/>
  <c r="J84" i="23"/>
  <c r="F73" i="23"/>
  <c r="L71" i="23"/>
  <c r="N69" i="23"/>
  <c r="K64" i="23"/>
  <c r="F35" i="23"/>
  <c r="L33" i="23"/>
  <c r="N31" i="23"/>
  <c r="I30" i="23"/>
  <c r="F27" i="23"/>
  <c r="L25" i="23"/>
  <c r="N23" i="23"/>
  <c r="K21" i="23"/>
  <c r="F20" i="23"/>
  <c r="L18" i="23"/>
  <c r="N16" i="23"/>
  <c r="I15" i="23"/>
  <c r="L58" i="23"/>
  <c r="N55" i="23"/>
  <c r="K52" i="23"/>
  <c r="F51" i="23"/>
  <c r="L66" i="23"/>
  <c r="L101" i="23"/>
  <c r="G134" i="23"/>
  <c r="M137" i="23"/>
  <c r="M166" i="23"/>
  <c r="F166" i="23"/>
  <c r="K161" i="23"/>
  <c r="N87" i="23"/>
  <c r="K88" i="23"/>
  <c r="L94" i="23"/>
  <c r="K115" i="23"/>
  <c r="M165" i="23"/>
  <c r="N66" i="23"/>
  <c r="L134" i="23"/>
  <c r="I136" i="23"/>
  <c r="N135" i="23"/>
  <c r="G49" i="23"/>
  <c r="G102" i="23"/>
  <c r="G163" i="23"/>
  <c r="I71" i="23"/>
  <c r="F34" i="23"/>
  <c r="E22" i="23"/>
  <c r="M53" i="23"/>
  <c r="L46" i="23"/>
  <c r="H35" i="23"/>
  <c r="E28" i="23"/>
  <c r="J22" i="23"/>
  <c r="K19" i="23"/>
  <c r="E60" i="23"/>
  <c r="J53" i="23"/>
  <c r="N44" i="23"/>
  <c r="N68" i="23"/>
  <c r="G35" i="23"/>
  <c r="H32" i="23"/>
  <c r="H17" i="23"/>
  <c r="N163" i="23"/>
  <c r="M70" i="23"/>
  <c r="G34" i="23"/>
  <c r="M24" i="23"/>
  <c r="G19" i="23"/>
  <c r="I60" i="23"/>
  <c r="M57" i="23"/>
  <c r="G50" i="23"/>
  <c r="J37" i="23"/>
  <c r="E36" i="23"/>
  <c r="L112" i="23"/>
  <c r="N106" i="23"/>
  <c r="K96" i="23"/>
  <c r="M72" i="23"/>
  <c r="G64" i="23"/>
  <c r="E30" i="23"/>
  <c r="G28" i="23"/>
  <c r="G133" i="23"/>
  <c r="J133" i="23"/>
  <c r="G101" i="23"/>
  <c r="N115" i="23"/>
  <c r="F13" i="23"/>
  <c r="E61" i="23"/>
  <c r="G85" i="23"/>
  <c r="M49" i="23"/>
  <c r="M94" i="23"/>
  <c r="M134" i="23"/>
  <c r="G115" i="23"/>
  <c r="M61" i="23"/>
  <c r="G105" i="23"/>
  <c r="I96" i="23"/>
  <c r="F162" i="23"/>
  <c r="M73" i="23"/>
  <c r="J70" i="23"/>
  <c r="E69" i="23"/>
  <c r="G67" i="23"/>
  <c r="M35" i="23"/>
  <c r="H34" i="23"/>
  <c r="J32" i="23"/>
  <c r="E31" i="23"/>
  <c r="G29" i="23"/>
  <c r="M27" i="23"/>
  <c r="H26" i="23"/>
  <c r="J24" i="23"/>
  <c r="E23" i="23"/>
  <c r="G22" i="23"/>
  <c r="M20" i="23"/>
  <c r="H19" i="23"/>
  <c r="J17" i="23"/>
  <c r="E16" i="23"/>
  <c r="H59" i="23"/>
  <c r="J57" i="23"/>
  <c r="E55" i="23"/>
  <c r="G53" i="23"/>
  <c r="M51" i="23"/>
  <c r="H50" i="23"/>
  <c r="G47" i="23"/>
  <c r="M45" i="23"/>
  <c r="H44" i="23"/>
  <c r="J42" i="23"/>
  <c r="E41" i="23"/>
  <c r="J39" i="23"/>
  <c r="E38" i="23"/>
  <c r="G36" i="23"/>
  <c r="N114" i="23"/>
  <c r="K107" i="23"/>
  <c r="M98" i="23"/>
  <c r="J86" i="23"/>
  <c r="M46" i="23"/>
  <c r="H45" i="23"/>
  <c r="J43" i="23"/>
  <c r="E42" i="23"/>
  <c r="G40" i="23"/>
  <c r="E39" i="23"/>
  <c r="G37" i="23"/>
  <c r="F97" i="23"/>
  <c r="J114" i="23"/>
  <c r="K111" i="23"/>
  <c r="L108" i="23"/>
  <c r="E105" i="23"/>
  <c r="F99" i="23"/>
  <c r="J95" i="23"/>
  <c r="K91" i="23"/>
  <c r="E91" i="23"/>
  <c r="L110" i="23"/>
  <c r="F103" i="23"/>
  <c r="K93" i="23"/>
  <c r="M26" i="23"/>
  <c r="E15" i="23"/>
  <c r="G60" i="23"/>
  <c r="E54" i="23"/>
  <c r="M50" i="23"/>
  <c r="K109" i="23"/>
  <c r="J92" i="23"/>
  <c r="I73" i="23"/>
  <c r="F70" i="23"/>
  <c r="L68" i="23"/>
  <c r="N64" i="23"/>
  <c r="F32" i="23"/>
  <c r="L30" i="23"/>
  <c r="N28" i="23"/>
  <c r="I27" i="23"/>
  <c r="F24" i="23"/>
  <c r="N21" i="23"/>
  <c r="F17" i="23"/>
  <c r="L15" i="23"/>
  <c r="L54" i="23"/>
  <c r="L48" i="23"/>
  <c r="N46" i="23"/>
  <c r="I45" i="23"/>
  <c r="K43" i="23"/>
  <c r="F42" i="23"/>
  <c r="L40" i="23"/>
  <c r="F39" i="23"/>
  <c r="L37" i="23"/>
  <c r="E96" i="23"/>
  <c r="I46" i="23"/>
  <c r="K44" i="23"/>
  <c r="F43" i="23"/>
  <c r="L41" i="23"/>
  <c r="L38" i="23"/>
  <c r="N36" i="23"/>
  <c r="M111" i="23"/>
  <c r="M113" i="23"/>
  <c r="N110" i="23"/>
  <c r="G107" i="23"/>
  <c r="H103" i="23"/>
  <c r="I98" i="23"/>
  <c r="M93" i="23"/>
  <c r="N86" i="23"/>
  <c r="G109" i="23"/>
  <c r="I100" i="23"/>
  <c r="N92" i="23"/>
  <c r="I114" i="23"/>
  <c r="K112" i="23"/>
  <c r="F111" i="23"/>
  <c r="L109" i="23"/>
  <c r="N107" i="23"/>
  <c r="I106" i="23"/>
  <c r="K103" i="23"/>
  <c r="F100" i="23"/>
  <c r="L98" i="23"/>
  <c r="N96" i="23"/>
  <c r="I95" i="23"/>
  <c r="K92" i="23"/>
  <c r="F91" i="23"/>
  <c r="J113" i="23"/>
  <c r="E112" i="23"/>
  <c r="G110" i="23"/>
  <c r="M108" i="23"/>
  <c r="H107" i="23"/>
  <c r="J105" i="23"/>
  <c r="E103" i="23"/>
  <c r="G99" i="23"/>
  <c r="M97" i="23"/>
  <c r="H96" i="23"/>
  <c r="J93" i="23"/>
  <c r="E92" i="23"/>
  <c r="G86" i="23"/>
  <c r="H36" i="23"/>
  <c r="E107" i="23"/>
  <c r="L86" i="23"/>
  <c r="L90" i="23"/>
  <c r="J72" i="23"/>
  <c r="H72" i="23"/>
  <c r="M56" i="23"/>
  <c r="I116" i="23"/>
  <c r="J104" i="23"/>
  <c r="I88" i="23"/>
  <c r="J66" i="23"/>
  <c r="L70" i="23"/>
  <c r="E162" i="23"/>
  <c r="J67" i="23"/>
  <c r="K55" i="23"/>
  <c r="H60" i="23"/>
  <c r="F71" i="23"/>
  <c r="L31" i="23"/>
  <c r="F25" i="23"/>
  <c r="L16" i="23"/>
  <c r="F58" i="23"/>
  <c r="K50" i="23"/>
  <c r="J162" i="23"/>
  <c r="G20" i="23"/>
  <c r="I28" i="23"/>
  <c r="N22" i="23"/>
  <c r="H16" i="23"/>
  <c r="K162" i="23"/>
  <c r="F84" i="23"/>
  <c r="H71" i="23"/>
  <c r="E68" i="23"/>
  <c r="M34" i="23"/>
  <c r="J31" i="23"/>
  <c r="H25" i="23"/>
  <c r="G21" i="23"/>
  <c r="H18" i="23"/>
  <c r="M59" i="23"/>
  <c r="J55" i="23"/>
  <c r="G52" i="23"/>
  <c r="M84" i="23"/>
  <c r="K33" i="23"/>
  <c r="K18" i="23"/>
  <c r="F57" i="23"/>
  <c r="N52" i="23"/>
  <c r="I51" i="23"/>
  <c r="I113" i="23"/>
  <c r="H97" i="23"/>
  <c r="L95" i="23"/>
  <c r="H106" i="23"/>
  <c r="M96" i="23"/>
  <c r="I90" i="23"/>
  <c r="I14" i="23"/>
  <c r="N49" i="23"/>
  <c r="L135" i="23"/>
  <c r="N85" i="23"/>
  <c r="L56" i="23"/>
  <c r="L166" i="23"/>
  <c r="H56" i="23"/>
  <c r="F14" i="23"/>
  <c r="L89" i="23"/>
  <c r="L136" i="23"/>
  <c r="I161" i="23"/>
  <c r="E133" i="23"/>
  <c r="K14" i="23"/>
  <c r="M135" i="23"/>
  <c r="I89" i="23"/>
  <c r="F90" i="23"/>
  <c r="M90" i="23"/>
  <c r="I66" i="23"/>
  <c r="I65" i="23"/>
  <c r="N90" i="23"/>
  <c r="E94" i="23"/>
  <c r="G104" i="23"/>
  <c r="N63" i="23"/>
  <c r="I63" i="23"/>
  <c r="M162" i="23"/>
  <c r="G69" i="23"/>
  <c r="I33" i="23"/>
  <c r="F26" i="23"/>
  <c r="H21" i="23"/>
  <c r="I18" i="23"/>
  <c r="F59" i="23"/>
  <c r="K51" i="23"/>
  <c r="H73" i="23"/>
  <c r="E64" i="23"/>
  <c r="M58" i="23"/>
  <c r="N54" i="23"/>
  <c r="G51" i="23"/>
  <c r="I47" i="23"/>
  <c r="H162" i="23"/>
  <c r="J68" i="23"/>
  <c r="L32" i="23"/>
  <c r="N26" i="23"/>
  <c r="L17" i="23"/>
  <c r="N59" i="23"/>
  <c r="H52" i="23"/>
  <c r="L162" i="23"/>
  <c r="L69" i="23"/>
  <c r="K34" i="23"/>
  <c r="G30" i="23"/>
  <c r="H27" i="23"/>
  <c r="I24" i="23"/>
  <c r="M21" i="23"/>
  <c r="N18" i="23"/>
  <c r="G15" i="23"/>
  <c r="I57" i="23"/>
  <c r="M52" i="23"/>
  <c r="K84" i="23"/>
  <c r="E71" i="23"/>
  <c r="F68" i="23"/>
  <c r="J34" i="23"/>
  <c r="K31" i="23"/>
  <c r="L28" i="23"/>
  <c r="E25" i="23"/>
  <c r="J19" i="23"/>
  <c r="K16" i="23"/>
  <c r="L60" i="23"/>
  <c r="I163" i="23"/>
  <c r="L73" i="23"/>
  <c r="E70" i="23"/>
  <c r="F67" i="23"/>
  <c r="J33" i="23"/>
  <c r="K30" i="23"/>
  <c r="L27" i="23"/>
  <c r="E24" i="23"/>
  <c r="F22" i="23"/>
  <c r="J18" i="23"/>
  <c r="K15" i="23"/>
  <c r="E57" i="23"/>
  <c r="F53" i="23"/>
  <c r="K48" i="23"/>
  <c r="F44" i="23"/>
  <c r="G111" i="23"/>
  <c r="I105" i="23"/>
  <c r="F95" i="23"/>
  <c r="G162" i="23"/>
  <c r="N73" i="23"/>
  <c r="I72" i="23"/>
  <c r="K70" i="23"/>
  <c r="F69" i="23"/>
  <c r="L67" i="23"/>
  <c r="N35" i="23"/>
  <c r="I34" i="23"/>
  <c r="K32" i="23"/>
  <c r="F31" i="23"/>
  <c r="L29" i="23"/>
  <c r="N27" i="23"/>
  <c r="I26" i="23"/>
  <c r="K24" i="23"/>
  <c r="F23" i="23"/>
  <c r="L22" i="23"/>
  <c r="N20" i="23"/>
  <c r="I19" i="23"/>
  <c r="K17" i="23"/>
  <c r="F16" i="23"/>
  <c r="L62" i="23"/>
  <c r="I59" i="23"/>
  <c r="K57" i="23"/>
  <c r="F55" i="23"/>
  <c r="L53" i="23"/>
  <c r="N51" i="23"/>
  <c r="I50" i="23"/>
  <c r="F108" i="23"/>
  <c r="I84" i="23"/>
  <c r="E73" i="23"/>
  <c r="G71" i="23"/>
  <c r="M69" i="23"/>
  <c r="H68" i="23"/>
  <c r="J64" i="23"/>
  <c r="E35" i="23"/>
  <c r="G33" i="23"/>
  <c r="M31" i="23"/>
  <c r="H30" i="23"/>
  <c r="J28" i="23"/>
  <c r="E27" i="23"/>
  <c r="G25" i="23"/>
  <c r="M23" i="23"/>
  <c r="J21" i="23"/>
  <c r="E20" i="23"/>
  <c r="G18" i="23"/>
  <c r="M16" i="23"/>
  <c r="H15" i="23"/>
  <c r="J60" i="23"/>
  <c r="G58" i="23"/>
  <c r="M55" i="23"/>
  <c r="H54" i="23"/>
  <c r="J52" i="23"/>
  <c r="H48" i="23"/>
  <c r="J46" i="23"/>
  <c r="E45" i="23"/>
  <c r="G43" i="23"/>
  <c r="M41" i="23"/>
  <c r="H40" i="23"/>
  <c r="M38" i="23"/>
  <c r="H37" i="23"/>
  <c r="J110" i="23"/>
  <c r="L103" i="23"/>
  <c r="N95" i="23"/>
  <c r="E46" i="23"/>
  <c r="G44" i="23"/>
  <c r="M42" i="23"/>
  <c r="H41" i="23"/>
  <c r="M39" i="23"/>
  <c r="H38" i="23"/>
  <c r="J36" i="23"/>
  <c r="H110" i="23"/>
  <c r="G93" i="23"/>
  <c r="E113" i="23"/>
  <c r="F110" i="23"/>
  <c r="J106" i="23"/>
  <c r="K100" i="23"/>
  <c r="L97" i="23"/>
  <c r="E93" i="23"/>
  <c r="F86" i="23"/>
  <c r="F112" i="23"/>
  <c r="J108" i="23"/>
  <c r="K105" i="23"/>
  <c r="L99" i="23"/>
  <c r="F92" i="23"/>
  <c r="K165" i="23"/>
  <c r="I165" i="23"/>
  <c r="K90" i="23"/>
  <c r="J165" i="23"/>
  <c r="L133" i="23"/>
  <c r="J94" i="23"/>
  <c r="J101" i="23"/>
  <c r="I49" i="23"/>
  <c r="J89" i="23"/>
  <c r="N161" i="23"/>
  <c r="E56" i="23"/>
  <c r="I87" i="23"/>
  <c r="J87" i="23"/>
  <c r="J65" i="23"/>
  <c r="L102" i="23"/>
  <c r="M85" i="23"/>
  <c r="F135" i="23"/>
  <c r="F61" i="23"/>
  <c r="N165" i="23"/>
  <c r="H14" i="23"/>
  <c r="L137" i="23"/>
  <c r="E65" i="23"/>
  <c r="H101" i="23"/>
  <c r="J49" i="23"/>
  <c r="K61" i="23"/>
  <c r="M63" i="23"/>
  <c r="E29" i="23"/>
  <c r="M60" i="23"/>
  <c r="G54" i="23"/>
  <c r="J26" i="23"/>
  <c r="I162" i="23"/>
  <c r="E32" i="23"/>
  <c r="I68" i="23"/>
  <c r="K28" i="23"/>
  <c r="K60" i="23"/>
  <c r="I54" i="23"/>
  <c r="G62" i="23"/>
  <c r="K113" i="23"/>
  <c r="J97" i="23"/>
  <c r="G137" i="23"/>
  <c r="L88" i="23"/>
  <c r="I104" i="23"/>
  <c r="I94" i="23"/>
  <c r="H161" i="23"/>
  <c r="N133" i="23"/>
  <c r="J85" i="23"/>
  <c r="H104" i="23"/>
  <c r="E63" i="23"/>
  <c r="N34" i="23"/>
  <c r="E53" i="23"/>
  <c r="L52" i="23"/>
  <c r="H28" i="23"/>
  <c r="F163" i="23"/>
  <c r="M71" i="23"/>
  <c r="I29" i="23"/>
  <c r="M25" i="23"/>
  <c r="I62" i="23"/>
  <c r="H84" i="23"/>
  <c r="N67" i="23"/>
  <c r="H31" i="23"/>
  <c r="N53" i="23"/>
  <c r="J69" i="23"/>
  <c r="H33" i="23"/>
  <c r="J23" i="23"/>
  <c r="M19" i="23"/>
  <c r="J16" i="23"/>
  <c r="H58" i="23"/>
  <c r="K71" i="23"/>
  <c r="I35" i="23"/>
  <c r="K25" i="23"/>
  <c r="I20" i="23"/>
  <c r="N60" i="23"/>
  <c r="K58" i="23"/>
  <c r="F106" i="23"/>
  <c r="J103" i="23"/>
  <c r="N112" i="23"/>
  <c r="N166" i="23"/>
  <c r="H102" i="23"/>
  <c r="K56" i="23"/>
  <c r="G161" i="23"/>
  <c r="J136" i="23"/>
  <c r="I115" i="23"/>
  <c r="K134" i="23"/>
  <c r="N134" i="23"/>
  <c r="F65" i="23"/>
  <c r="F101" i="23"/>
  <c r="I166" i="23"/>
  <c r="I164" i="23"/>
  <c r="K85" i="23"/>
  <c r="K13" i="23"/>
  <c r="L49" i="23"/>
  <c r="F94" i="23"/>
  <c r="M14" i="23"/>
  <c r="L85" i="23"/>
  <c r="G90" i="23"/>
  <c r="G165" i="23"/>
  <c r="F63" i="23"/>
  <c r="G63" i="23"/>
  <c r="H63" i="23"/>
  <c r="K73" i="23"/>
  <c r="M67" i="23"/>
  <c r="J30" i="23"/>
  <c r="L24" i="23"/>
  <c r="K20" i="23"/>
  <c r="J15" i="23"/>
  <c r="L57" i="23"/>
  <c r="F50" i="23"/>
  <c r="N71" i="23"/>
  <c r="F33" i="23"/>
  <c r="E58" i="23"/>
  <c r="F54" i="23"/>
  <c r="J50" i="23"/>
  <c r="J44" i="23"/>
  <c r="N37" i="23"/>
  <c r="G84" i="23"/>
  <c r="E67" i="23"/>
  <c r="G31" i="23"/>
  <c r="I25" i="23"/>
  <c r="G16" i="23"/>
  <c r="I58" i="23"/>
  <c r="N50" i="23"/>
  <c r="N40" i="23"/>
  <c r="L84" i="23"/>
  <c r="G68" i="23"/>
  <c r="N33" i="23"/>
  <c r="J29" i="23"/>
  <c r="K26" i="23"/>
  <c r="L23" i="23"/>
  <c r="E21" i="23"/>
  <c r="F18" i="23"/>
  <c r="J62" i="23"/>
  <c r="K59" i="23"/>
  <c r="L55" i="23"/>
  <c r="E52" i="23"/>
  <c r="J47" i="23"/>
  <c r="L39" i="23"/>
  <c r="J163" i="23"/>
  <c r="G73" i="23"/>
  <c r="H70" i="23"/>
  <c r="I67" i="23"/>
  <c r="M33" i="23"/>
  <c r="N30" i="23"/>
  <c r="G27" i="23"/>
  <c r="H24" i="23"/>
  <c r="I22" i="23"/>
  <c r="M18" i="23"/>
  <c r="N15" i="23"/>
  <c r="N162" i="23"/>
  <c r="G72" i="23"/>
  <c r="H69" i="23"/>
  <c r="I64" i="23"/>
  <c r="M32" i="23"/>
  <c r="N29" i="23"/>
  <c r="G26" i="23"/>
  <c r="H23" i="23"/>
  <c r="I21" i="23"/>
  <c r="M17" i="23"/>
  <c r="N62" i="23"/>
  <c r="G59" i="23"/>
  <c r="H55" i="23"/>
  <c r="I52" i="23"/>
  <c r="L42" i="23"/>
  <c r="M36" i="23"/>
  <c r="M109" i="23"/>
  <c r="J99" i="23"/>
  <c r="L92" i="23"/>
  <c r="L163" i="23"/>
  <c r="N84" i="23"/>
  <c r="J73" i="23"/>
  <c r="E72" i="23"/>
  <c r="G70" i="23"/>
  <c r="M68" i="23"/>
  <c r="H67" i="23"/>
  <c r="J35" i="23"/>
  <c r="E34" i="23"/>
  <c r="G32" i="23"/>
  <c r="M30" i="23"/>
  <c r="H29" i="23"/>
  <c r="J27" i="23"/>
  <c r="E26" i="23"/>
  <c r="G24" i="23"/>
  <c r="H22" i="23"/>
  <c r="J20" i="23"/>
  <c r="E19" i="23"/>
  <c r="G17" i="23"/>
  <c r="M15" i="23"/>
  <c r="H62" i="23"/>
  <c r="E59" i="23"/>
  <c r="G57" i="23"/>
  <c r="M54" i="23"/>
  <c r="H53" i="23"/>
  <c r="J51" i="23"/>
  <c r="L36" i="23"/>
  <c r="N97" i="23"/>
  <c r="E84" i="23"/>
  <c r="L72" i="23"/>
  <c r="N70" i="23"/>
  <c r="I69" i="23"/>
  <c r="K67" i="23"/>
  <c r="F64" i="23"/>
  <c r="L34" i="23"/>
  <c r="N32" i="23"/>
  <c r="I31" i="23"/>
  <c r="K29" i="23"/>
  <c r="F28" i="23"/>
  <c r="L26" i="23"/>
  <c r="N24" i="23"/>
  <c r="I23" i="23"/>
  <c r="K22" i="23"/>
  <c r="F21" i="23"/>
  <c r="L19" i="23"/>
  <c r="N17" i="23"/>
  <c r="I16" i="23"/>
  <c r="K62" i="23"/>
  <c r="F60" i="23"/>
  <c r="L59" i="23"/>
  <c r="N57" i="23"/>
  <c r="I55" i="23"/>
  <c r="K53" i="23"/>
  <c r="F52" i="23"/>
  <c r="L50" i="23"/>
  <c r="K47" i="23"/>
  <c r="F46" i="23"/>
  <c r="L44" i="23"/>
  <c r="N42" i="23"/>
  <c r="I41" i="23"/>
  <c r="N39" i="23"/>
  <c r="I38" i="23"/>
  <c r="K36" i="23"/>
  <c r="F47" i="23"/>
  <c r="L45" i="23"/>
  <c r="N43" i="23"/>
  <c r="I42" i="23"/>
  <c r="K40" i="23"/>
  <c r="I39" i="23"/>
  <c r="K37" i="23"/>
  <c r="F36" i="23"/>
  <c r="L114" i="23"/>
  <c r="K98" i="23"/>
  <c r="H112" i="23"/>
  <c r="I109" i="23"/>
  <c r="M105" i="23"/>
  <c r="N99" i="23"/>
  <c r="G96" i="23"/>
  <c r="H92" i="23"/>
  <c r="H114" i="23"/>
  <c r="I111" i="23"/>
  <c r="M107" i="23"/>
  <c r="N103" i="23"/>
  <c r="G98" i="23"/>
  <c r="H95" i="23"/>
  <c r="I91" i="23"/>
  <c r="L113" i="23"/>
  <c r="N111" i="23"/>
  <c r="I110" i="23"/>
  <c r="K108" i="23"/>
  <c r="F107" i="23"/>
  <c r="L105" i="23"/>
  <c r="N100" i="23"/>
  <c r="I99" i="23"/>
  <c r="K97" i="23"/>
  <c r="F96" i="23"/>
  <c r="L93" i="23"/>
  <c r="N91" i="23"/>
  <c r="I86" i="23"/>
  <c r="G114" i="23"/>
  <c r="M112" i="23"/>
  <c r="H111" i="23"/>
  <c r="J109" i="23"/>
  <c r="E108" i="23"/>
  <c r="G106" i="23"/>
  <c r="M103" i="23"/>
  <c r="H100" i="23"/>
  <c r="J98" i="23"/>
  <c r="E97" i="23"/>
  <c r="G95" i="23"/>
  <c r="M92" i="23"/>
  <c r="H91" i="23"/>
  <c r="H165" i="23"/>
  <c r="G66" i="23"/>
  <c r="K65" i="23"/>
  <c r="L65" i="23"/>
  <c r="F56" i="23"/>
  <c r="G166" i="23"/>
  <c r="I56" i="23"/>
  <c r="G89" i="23"/>
  <c r="K116" i="23"/>
  <c r="G13" i="23"/>
  <c r="J116" i="23"/>
  <c r="K135" i="23"/>
  <c r="M102" i="23"/>
  <c r="F115" i="23"/>
  <c r="G135" i="23"/>
  <c r="N104" i="23"/>
  <c r="F133" i="23"/>
  <c r="E116" i="23"/>
  <c r="H89" i="23"/>
  <c r="M116" i="23"/>
  <c r="M89" i="23"/>
  <c r="L14" i="23"/>
  <c r="F87" i="23"/>
  <c r="D926" i="8"/>
  <c r="AN3" i="8"/>
  <c r="D939" i="8"/>
  <c r="J12" i="23"/>
  <c r="H12" i="23"/>
  <c r="N12" i="23"/>
  <c r="F12" i="23"/>
  <c r="G12" i="23"/>
  <c r="I12" i="23"/>
  <c r="L12" i="23"/>
  <c r="K12" i="23"/>
  <c r="M12" i="23"/>
  <c r="E12" i="23"/>
  <c r="M83" i="23"/>
  <c r="E83" i="23"/>
  <c r="J82" i="23"/>
  <c r="K81" i="23"/>
  <c r="L80" i="23"/>
  <c r="M79" i="23"/>
  <c r="E79" i="23"/>
  <c r="J78" i="23"/>
  <c r="K77" i="23"/>
  <c r="L76" i="23"/>
  <c r="J75" i="23"/>
  <c r="L83" i="23"/>
  <c r="M82" i="23"/>
  <c r="E82" i="23"/>
  <c r="J81" i="23"/>
  <c r="K80" i="23"/>
  <c r="L79" i="23"/>
  <c r="M78" i="23"/>
  <c r="E78" i="23"/>
  <c r="J77" i="23"/>
  <c r="K76" i="23"/>
  <c r="M75" i="23"/>
  <c r="E75" i="23"/>
  <c r="G82" i="23"/>
  <c r="M80" i="23"/>
  <c r="J79" i="23"/>
  <c r="I77" i="23"/>
  <c r="E76" i="23"/>
  <c r="L82" i="23"/>
  <c r="J80" i="23"/>
  <c r="L78" i="23"/>
  <c r="J76" i="23"/>
  <c r="L75" i="23"/>
  <c r="F83" i="23"/>
  <c r="M81" i="23"/>
  <c r="I80" i="23"/>
  <c r="F79" i="23"/>
  <c r="M77" i="23"/>
  <c r="I76" i="23"/>
  <c r="H82" i="23"/>
  <c r="N80" i="23"/>
  <c r="K79" i="23"/>
  <c r="L77" i="23"/>
  <c r="F76" i="23"/>
  <c r="H83" i="23"/>
  <c r="I82" i="23"/>
  <c r="N81" i="23"/>
  <c r="F81" i="23"/>
  <c r="G80" i="23"/>
  <c r="H79" i="23"/>
  <c r="I78" i="23"/>
  <c r="N77" i="23"/>
  <c r="F77" i="23"/>
  <c r="G76" i="23"/>
  <c r="I75" i="23"/>
  <c r="J83" i="23"/>
  <c r="I81" i="23"/>
  <c r="E80" i="23"/>
  <c r="G78" i="23"/>
  <c r="M76" i="23"/>
  <c r="G75" i="23"/>
  <c r="G83" i="23"/>
  <c r="H81" i="23"/>
  <c r="G79" i="23"/>
  <c r="H77" i="23"/>
  <c r="I83" i="23"/>
  <c r="N82" i="23"/>
  <c r="F82" i="23"/>
  <c r="G81" i="23"/>
  <c r="H80" i="23"/>
  <c r="I79" i="23"/>
  <c r="N78" i="23"/>
  <c r="F78" i="23"/>
  <c r="G77" i="23"/>
  <c r="H76" i="23"/>
  <c r="N75" i="23"/>
  <c r="F75" i="23"/>
  <c r="N83" i="23"/>
  <c r="K82" i="23"/>
  <c r="E81" i="23"/>
  <c r="N79" i="23"/>
  <c r="K78" i="23"/>
  <c r="E77" i="23"/>
  <c r="K75" i="23"/>
  <c r="K83" i="23"/>
  <c r="L81" i="23"/>
  <c r="F80" i="23"/>
  <c r="H78" i="23"/>
  <c r="N76" i="23"/>
  <c r="I74" i="23"/>
  <c r="E74" i="23"/>
  <c r="N74" i="23"/>
  <c r="M74" i="23"/>
  <c r="J74" i="23"/>
  <c r="H75" i="23"/>
  <c r="L74" i="23"/>
  <c r="F74" i="23"/>
  <c r="G74" i="23"/>
  <c r="H74" i="23"/>
  <c r="K74" i="23"/>
  <c r="M119" i="23"/>
  <c r="N119" i="23"/>
  <c r="N118" i="23"/>
  <c r="M118" i="23"/>
  <c r="G119" i="23"/>
  <c r="L118" i="23"/>
  <c r="I119" i="23"/>
  <c r="E118" i="23"/>
  <c r="J118" i="23"/>
  <c r="G117" i="23"/>
  <c r="J119" i="23"/>
  <c r="L119" i="23"/>
  <c r="F117" i="23"/>
  <c r="H119" i="23"/>
  <c r="I118" i="23"/>
  <c r="F118" i="23"/>
  <c r="G118" i="23"/>
  <c r="K118" i="23"/>
  <c r="H118" i="23"/>
  <c r="N117" i="23"/>
  <c r="F119" i="23"/>
  <c r="L117" i="23"/>
  <c r="E117" i="23"/>
  <c r="H117" i="23"/>
  <c r="K119" i="23"/>
  <c r="E119" i="23"/>
  <c r="I117" i="23"/>
  <c r="M117" i="23"/>
  <c r="J117" i="23"/>
  <c r="K117" i="23"/>
  <c r="J128" i="23"/>
  <c r="N122" i="23"/>
  <c r="M129" i="23"/>
  <c r="I123" i="23"/>
  <c r="I129" i="23"/>
  <c r="E129" i="23"/>
  <c r="L124" i="23"/>
  <c r="H124" i="23"/>
  <c r="M128" i="23"/>
  <c r="H128" i="23"/>
  <c r="K131" i="23"/>
  <c r="G126" i="23"/>
  <c r="L127" i="23"/>
  <c r="L130" i="23"/>
  <c r="N131" i="23"/>
  <c r="J121" i="23"/>
  <c r="I125" i="23"/>
  <c r="M127" i="23"/>
  <c r="E126" i="23"/>
  <c r="I127" i="23"/>
  <c r="G127" i="23"/>
  <c r="G128" i="23"/>
  <c r="H125" i="23"/>
  <c r="I121" i="23"/>
  <c r="N128" i="23"/>
  <c r="L122" i="23"/>
  <c r="E128" i="23"/>
  <c r="J131" i="23"/>
  <c r="G121" i="23"/>
  <c r="G122" i="23"/>
  <c r="H126" i="23"/>
  <c r="H130" i="23"/>
  <c r="G131" i="23"/>
  <c r="M130" i="23"/>
  <c r="K125" i="23"/>
  <c r="F123" i="23"/>
  <c r="H127" i="23"/>
  <c r="F122" i="23"/>
  <c r="H129" i="23"/>
  <c r="M123" i="23"/>
  <c r="I124" i="23"/>
  <c r="F128" i="23"/>
  <c r="F127" i="23"/>
  <c r="I130" i="23"/>
  <c r="G125" i="23"/>
  <c r="L129" i="23"/>
  <c r="N124" i="23"/>
  <c r="E131" i="23"/>
  <c r="K122" i="23"/>
  <c r="E121" i="23"/>
  <c r="I131" i="23"/>
  <c r="N129" i="23"/>
  <c r="N121" i="23"/>
  <c r="I122" i="23"/>
  <c r="M122" i="23"/>
  <c r="J124" i="23"/>
  <c r="J129" i="23"/>
  <c r="F124" i="23"/>
  <c r="H123" i="23"/>
  <c r="M121" i="23"/>
  <c r="J120" i="23"/>
  <c r="L128" i="23"/>
  <c r="M124" i="23"/>
  <c r="H131" i="23"/>
  <c r="K130" i="23"/>
  <c r="G130" i="23"/>
  <c r="K129" i="23"/>
  <c r="G124" i="23"/>
  <c r="F121" i="23"/>
  <c r="J130" i="23"/>
  <c r="F125" i="23"/>
  <c r="J122" i="23"/>
  <c r="E124" i="23"/>
  <c r="K123" i="23"/>
  <c r="F126" i="23"/>
  <c r="L131" i="23"/>
  <c r="G129" i="23"/>
  <c r="F129" i="23"/>
  <c r="L126" i="23"/>
  <c r="E123" i="23"/>
  <c r="E127" i="23"/>
  <c r="N126" i="23"/>
  <c r="L125" i="23"/>
  <c r="L120" i="23"/>
  <c r="K128" i="23"/>
  <c r="M125" i="23"/>
  <c r="K120" i="23"/>
  <c r="N127" i="23"/>
  <c r="K124" i="23"/>
  <c r="N123" i="23"/>
  <c r="F131" i="23"/>
  <c r="M126" i="23"/>
  <c r="E122" i="23"/>
  <c r="K127" i="23"/>
  <c r="I126" i="23"/>
  <c r="L121" i="23"/>
  <c r="H122" i="23"/>
  <c r="K121" i="23"/>
  <c r="F130" i="23"/>
  <c r="I128" i="23"/>
  <c r="N130" i="23"/>
  <c r="H121" i="23"/>
  <c r="N125" i="23"/>
  <c r="J123" i="23"/>
  <c r="J127" i="23"/>
  <c r="E130" i="23"/>
  <c r="J125" i="23"/>
  <c r="L123" i="23"/>
  <c r="K126" i="23"/>
  <c r="J126" i="23"/>
  <c r="M131" i="23"/>
  <c r="G123" i="23"/>
  <c r="E125" i="23"/>
  <c r="F120" i="23"/>
  <c r="N120" i="23"/>
  <c r="G120" i="23"/>
  <c r="I120" i="23"/>
  <c r="E120" i="23"/>
  <c r="M120" i="23"/>
  <c r="H120" i="23"/>
  <c r="L160" i="23"/>
  <c r="M159" i="23"/>
  <c r="E159" i="23"/>
  <c r="J158" i="23"/>
  <c r="K157" i="23"/>
  <c r="L156" i="23"/>
  <c r="M155" i="23"/>
  <c r="E155" i="23"/>
  <c r="J154" i="23"/>
  <c r="K153" i="23"/>
  <c r="L152" i="23"/>
  <c r="M151" i="23"/>
  <c r="E151" i="23"/>
  <c r="J150" i="23"/>
  <c r="K149" i="23"/>
  <c r="J148" i="23"/>
  <c r="K147" i="23"/>
  <c r="L146" i="23"/>
  <c r="M145" i="23"/>
  <c r="E145" i="23"/>
  <c r="J144" i="23"/>
  <c r="K143" i="23"/>
  <c r="L142" i="23"/>
  <c r="M141" i="23"/>
  <c r="E141" i="23"/>
  <c r="J140" i="23"/>
  <c r="K139" i="23"/>
  <c r="G160" i="23"/>
  <c r="H159" i="23"/>
  <c r="I158" i="23"/>
  <c r="N157" i="23"/>
  <c r="F157" i="23"/>
  <c r="G156" i="23"/>
  <c r="H155" i="23"/>
  <c r="I154" i="23"/>
  <c r="N153" i="23"/>
  <c r="F153" i="23"/>
  <c r="G152" i="23"/>
  <c r="H151" i="23"/>
  <c r="I150" i="23"/>
  <c r="N149" i="23"/>
  <c r="F149" i="23"/>
  <c r="I148" i="23"/>
  <c r="N147" i="23"/>
  <c r="F147" i="23"/>
  <c r="G146" i="23"/>
  <c r="J160" i="23"/>
  <c r="K159" i="23"/>
  <c r="L158" i="23"/>
  <c r="M157" i="23"/>
  <c r="E157" i="23"/>
  <c r="J156" i="23"/>
  <c r="K155" i="23"/>
  <c r="L154" i="23"/>
  <c r="M153" i="23"/>
  <c r="E153" i="23"/>
  <c r="J152" i="23"/>
  <c r="K151" i="23"/>
  <c r="L150" i="23"/>
  <c r="M149" i="23"/>
  <c r="E149" i="23"/>
  <c r="L148" i="23"/>
  <c r="M147" i="23"/>
  <c r="E147" i="23"/>
  <c r="J146" i="23"/>
  <c r="K145" i="23"/>
  <c r="L144" i="23"/>
  <c r="M143" i="23"/>
  <c r="E143" i="23"/>
  <c r="J142" i="23"/>
  <c r="K141" i="23"/>
  <c r="L140" i="23"/>
  <c r="M139" i="23"/>
  <c r="E139" i="23"/>
  <c r="M160" i="23"/>
  <c r="E160" i="23"/>
  <c r="J159" i="23"/>
  <c r="K158" i="23"/>
  <c r="I160" i="23"/>
  <c r="N159" i="23"/>
  <c r="F159" i="23"/>
  <c r="G158" i="23"/>
  <c r="H160" i="23"/>
  <c r="I159" i="23"/>
  <c r="N158" i="23"/>
  <c r="F158" i="23"/>
  <c r="G157" i="23"/>
  <c r="H156" i="23"/>
  <c r="I155" i="23"/>
  <c r="N154" i="23"/>
  <c r="F154" i="23"/>
  <c r="G153" i="23"/>
  <c r="H152" i="23"/>
  <c r="I151" i="23"/>
  <c r="N150" i="23"/>
  <c r="F150" i="23"/>
  <c r="G149" i="23"/>
  <c r="N148" i="23"/>
  <c r="F148" i="23"/>
  <c r="G147" i="23"/>
  <c r="H146" i="23"/>
  <c r="I145" i="23"/>
  <c r="N144" i="23"/>
  <c r="F144" i="23"/>
  <c r="G143" i="23"/>
  <c r="H142" i="23"/>
  <c r="I141" i="23"/>
  <c r="N140" i="23"/>
  <c r="F140" i="23"/>
  <c r="K160" i="23"/>
  <c r="L159" i="23"/>
  <c r="M158" i="23"/>
  <c r="E158" i="23"/>
  <c r="J157" i="23"/>
  <c r="K156" i="23"/>
  <c r="L155" i="23"/>
  <c r="M154" i="23"/>
  <c r="E154" i="23"/>
  <c r="J153" i="23"/>
  <c r="K152" i="23"/>
  <c r="L151" i="23"/>
  <c r="M150" i="23"/>
  <c r="E150" i="23"/>
  <c r="J149" i="23"/>
  <c r="M148" i="23"/>
  <c r="E148" i="23"/>
  <c r="J147" i="23"/>
  <c r="K146" i="23"/>
  <c r="N160" i="23"/>
  <c r="F160" i="23"/>
  <c r="G159" i="23"/>
  <c r="H158" i="23"/>
  <c r="I157" i="23"/>
  <c r="N156" i="23"/>
  <c r="F156" i="23"/>
  <c r="G155" i="23"/>
  <c r="H154" i="23"/>
  <c r="I153" i="23"/>
  <c r="N152" i="23"/>
  <c r="F152" i="23"/>
  <c r="G151" i="23"/>
  <c r="H150" i="23"/>
  <c r="I149" i="23"/>
  <c r="H148" i="23"/>
  <c r="I147" i="23"/>
  <c r="N146" i="23"/>
  <c r="F146" i="23"/>
  <c r="G145" i="23"/>
  <c r="H144" i="23"/>
  <c r="I143" i="23"/>
  <c r="N142" i="23"/>
  <c r="G141" i="23"/>
  <c r="I139" i="23"/>
  <c r="H157" i="23"/>
  <c r="I156" i="23"/>
  <c r="N155" i="23"/>
  <c r="F155" i="23"/>
  <c r="G154" i="23"/>
  <c r="H153" i="23"/>
  <c r="I152" i="23"/>
  <c r="N151" i="23"/>
  <c r="F151" i="23"/>
  <c r="G150" i="23"/>
  <c r="H149" i="23"/>
  <c r="G148" i="23"/>
  <c r="H147" i="23"/>
  <c r="I146" i="23"/>
  <c r="N145" i="23"/>
  <c r="F145" i="23"/>
  <c r="G144" i="23"/>
  <c r="L143" i="23"/>
  <c r="L141" i="23"/>
  <c r="L139" i="23"/>
  <c r="M144" i="23"/>
  <c r="G142" i="23"/>
  <c r="G140" i="23"/>
  <c r="H143" i="23"/>
  <c r="E142" i="23"/>
  <c r="M140" i="23"/>
  <c r="H139" i="23"/>
  <c r="L145" i="23"/>
  <c r="N143" i="23"/>
  <c r="K142" i="23"/>
  <c r="F141" i="23"/>
  <c r="N139" i="23"/>
  <c r="F142" i="23"/>
  <c r="H140" i="23"/>
  <c r="J143" i="23"/>
  <c r="J141" i="23"/>
  <c r="J139" i="23"/>
  <c r="L157" i="23"/>
  <c r="M156" i="23"/>
  <c r="E156" i="23"/>
  <c r="J155" i="23"/>
  <c r="K154" i="23"/>
  <c r="L153" i="23"/>
  <c r="M152" i="23"/>
  <c r="E152" i="23"/>
  <c r="J151" i="23"/>
  <c r="K150" i="23"/>
  <c r="L149" i="23"/>
  <c r="K148" i="23"/>
  <c r="L147" i="23"/>
  <c r="M146" i="23"/>
  <c r="E146" i="23"/>
  <c r="J145" i="23"/>
  <c r="K144" i="23"/>
  <c r="H145" i="23"/>
  <c r="I142" i="23"/>
  <c r="I140" i="23"/>
  <c r="F139" i="23"/>
  <c r="I144" i="23"/>
  <c r="M142" i="23"/>
  <c r="H141" i="23"/>
  <c r="E140" i="23"/>
  <c r="E144" i="23"/>
  <c r="F143" i="23"/>
  <c r="N141" i="23"/>
  <c r="K140" i="23"/>
  <c r="G139" i="23"/>
  <c r="F138" i="23"/>
  <c r="I138" i="23"/>
  <c r="G138" i="23"/>
  <c r="J138" i="23"/>
  <c r="L138" i="23"/>
  <c r="N138" i="23"/>
  <c r="K138" i="23"/>
  <c r="H138" i="23"/>
  <c r="E138" i="23"/>
  <c r="M138" i="23"/>
  <c r="L182" i="23"/>
  <c r="M181" i="23"/>
  <c r="E181" i="23"/>
  <c r="J180" i="23"/>
  <c r="J179" i="23"/>
  <c r="K178" i="23"/>
  <c r="J177" i="23"/>
  <c r="K176" i="23"/>
  <c r="L175" i="23"/>
  <c r="M174" i="23"/>
  <c r="E174" i="23"/>
  <c r="J173" i="23"/>
  <c r="K172" i="23"/>
  <c r="L171" i="23"/>
  <c r="M170" i="23"/>
  <c r="E170" i="23"/>
  <c r="J169" i="23"/>
  <c r="K168" i="23"/>
  <c r="K182" i="23"/>
  <c r="L181" i="23"/>
  <c r="M180" i="23"/>
  <c r="E180" i="23"/>
  <c r="M179" i="23"/>
  <c r="E179" i="23"/>
  <c r="J178" i="23"/>
  <c r="N182" i="23"/>
  <c r="F182" i="23"/>
  <c r="G181" i="23"/>
  <c r="H180" i="23"/>
  <c r="H179" i="23"/>
  <c r="I178" i="23"/>
  <c r="H177" i="23"/>
  <c r="I176" i="23"/>
  <c r="N175" i="23"/>
  <c r="F175" i="23"/>
  <c r="G174" i="23"/>
  <c r="H173" i="23"/>
  <c r="I172" i="23"/>
  <c r="N171" i="23"/>
  <c r="F171" i="23"/>
  <c r="G170" i="23"/>
  <c r="H169" i="23"/>
  <c r="I168" i="23"/>
  <c r="I182" i="23"/>
  <c r="N181" i="23"/>
  <c r="F181" i="23"/>
  <c r="G180" i="23"/>
  <c r="H182" i="23"/>
  <c r="N180" i="23"/>
  <c r="N179" i="23"/>
  <c r="G178" i="23"/>
  <c r="F177" i="23"/>
  <c r="H175" i="23"/>
  <c r="N173" i="23"/>
  <c r="G172" i="23"/>
  <c r="I170" i="23"/>
  <c r="F169" i="23"/>
  <c r="G182" i="23"/>
  <c r="I180" i="23"/>
  <c r="I179" i="23"/>
  <c r="F178" i="23"/>
  <c r="J182" i="23"/>
  <c r="L180" i="23"/>
  <c r="L179" i="23"/>
  <c r="E178" i="23"/>
  <c r="M176" i="23"/>
  <c r="J175" i="23"/>
  <c r="L173" i="23"/>
  <c r="E172" i="23"/>
  <c r="K170" i="23"/>
  <c r="E168" i="23"/>
  <c r="J181" i="23"/>
  <c r="K180" i="23"/>
  <c r="G179" i="23"/>
  <c r="H178" i="23"/>
  <c r="G177" i="23"/>
  <c r="H176" i="23"/>
  <c r="I175" i="23"/>
  <c r="N174" i="23"/>
  <c r="F174" i="23"/>
  <c r="G173" i="23"/>
  <c r="H172" i="23"/>
  <c r="I171" i="23"/>
  <c r="N170" i="23"/>
  <c r="F170" i="23"/>
  <c r="G169" i="23"/>
  <c r="H168" i="23"/>
  <c r="I177" i="23"/>
  <c r="J172" i="23"/>
  <c r="I169" i="23"/>
  <c r="N176" i="23"/>
  <c r="M173" i="23"/>
  <c r="L170" i="23"/>
  <c r="N168" i="23"/>
  <c r="G175" i="23"/>
  <c r="H170" i="23"/>
  <c r="F176" i="23"/>
  <c r="E173" i="23"/>
  <c r="K171" i="23"/>
  <c r="F168" i="23"/>
  <c r="I181" i="23"/>
  <c r="F180" i="23"/>
  <c r="F179" i="23"/>
  <c r="N177" i="23"/>
  <c r="G176" i="23"/>
  <c r="I174" i="23"/>
  <c r="F173" i="23"/>
  <c r="H171" i="23"/>
  <c r="N169" i="23"/>
  <c r="G168" i="23"/>
  <c r="H181" i="23"/>
  <c r="N178" i="23"/>
  <c r="K181" i="23"/>
  <c r="M178" i="23"/>
  <c r="L177" i="23"/>
  <c r="E176" i="23"/>
  <c r="K174" i="23"/>
  <c r="M172" i="23"/>
  <c r="J171" i="23"/>
  <c r="L169" i="23"/>
  <c r="M168" i="23"/>
  <c r="M182" i="23"/>
  <c r="E182" i="23"/>
  <c r="K179" i="23"/>
  <c r="L178" i="23"/>
  <c r="K177" i="23"/>
  <c r="L176" i="23"/>
  <c r="M175" i="23"/>
  <c r="E175" i="23"/>
  <c r="J174" i="23"/>
  <c r="K173" i="23"/>
  <c r="L172" i="23"/>
  <c r="M171" i="23"/>
  <c r="E171" i="23"/>
  <c r="J170" i="23"/>
  <c r="K169" i="23"/>
  <c r="L168" i="23"/>
  <c r="H174" i="23"/>
  <c r="G171" i="23"/>
  <c r="E177" i="23"/>
  <c r="K175" i="23"/>
  <c r="F172" i="23"/>
  <c r="E169" i="23"/>
  <c r="J176" i="23"/>
  <c r="I173" i="23"/>
  <c r="J168" i="23"/>
  <c r="M177" i="23"/>
  <c r="L174" i="23"/>
  <c r="N172" i="23"/>
  <c r="M169" i="23"/>
  <c r="M167" i="23"/>
  <c r="F167" i="23"/>
  <c r="H167" i="23"/>
  <c r="G167" i="23"/>
  <c r="L167" i="23"/>
  <c r="E167" i="23"/>
  <c r="N167" i="23"/>
  <c r="K167" i="23"/>
  <c r="J167" i="23"/>
  <c r="I167" i="23"/>
  <c r="BD848" i="8"/>
  <c r="BL849" i="8"/>
  <c r="BD849" i="8"/>
  <c r="F220" i="6"/>
  <c r="F222" i="6"/>
  <c r="BG849" i="8"/>
  <c r="AV849" i="8"/>
  <c r="BE848" i="8"/>
  <c r="BI848" i="8"/>
  <c r="AX849" i="8"/>
  <c r="BK849" i="8"/>
  <c r="M220" i="6"/>
  <c r="M222" i="6"/>
  <c r="BJ849" i="8"/>
  <c r="BG848" i="8"/>
  <c r="I220" i="6"/>
  <c r="I222" i="6"/>
  <c r="BC848" i="8"/>
  <c r="BH848" i="8"/>
  <c r="AZ848" i="8"/>
  <c r="AW848" i="8"/>
  <c r="AY849" i="8"/>
  <c r="BA848" i="8"/>
  <c r="C926" i="8"/>
  <c r="AY848" i="8"/>
  <c r="J220" i="6"/>
  <c r="J222" i="6"/>
  <c r="L220" i="6"/>
  <c r="L222" i="6"/>
  <c r="N220" i="6"/>
  <c r="N222" i="6"/>
  <c r="AZ849" i="8"/>
  <c r="F132" i="23"/>
  <c r="F219" i="23"/>
  <c r="F221" i="23"/>
  <c r="K220" i="6"/>
  <c r="K222" i="6"/>
  <c r="BA849" i="8"/>
  <c r="BH849" i="8"/>
  <c r="BC849" i="8"/>
  <c r="E132" i="23"/>
  <c r="E219" i="23"/>
  <c r="E221" i="23"/>
  <c r="G220" i="6"/>
  <c r="G222" i="6"/>
  <c r="I132" i="23"/>
  <c r="I219" i="23"/>
  <c r="I221" i="23"/>
  <c r="BJ848" i="8"/>
  <c r="BL848" i="8"/>
  <c r="AV848" i="8"/>
  <c r="AX848" i="8"/>
  <c r="BI849" i="8"/>
  <c r="BE849" i="8"/>
  <c r="BK848" i="8"/>
  <c r="AW849" i="8"/>
  <c r="C939" i="8"/>
  <c r="M132" i="23"/>
  <c r="M219" i="23"/>
  <c r="M221" i="23"/>
  <c r="N132" i="23"/>
  <c r="N219" i="23"/>
  <c r="N221" i="23"/>
  <c r="H132" i="23"/>
  <c r="L132" i="23"/>
  <c r="L219" i="23"/>
  <c r="L221" i="23"/>
  <c r="J132" i="23"/>
  <c r="J219" i="23"/>
  <c r="J221" i="23"/>
  <c r="K132" i="23"/>
  <c r="K219" i="23"/>
  <c r="K221" i="23"/>
  <c r="G132" i="23"/>
  <c r="G219" i="23"/>
  <c r="G221" i="23"/>
  <c r="E220" i="6"/>
  <c r="E222" i="6"/>
  <c r="AD588" i="10"/>
  <c r="AD590" i="10"/>
  <c r="AD587" i="10"/>
  <c r="AD599" i="10"/>
  <c r="AD605" i="10"/>
  <c r="AF587" i="10"/>
  <c r="AF588" i="10"/>
  <c r="AF590" i="10"/>
  <c r="M22" i="36"/>
  <c r="C22" i="36"/>
  <c r="D6" i="36"/>
  <c r="D7" i="36"/>
  <c r="F7" i="36"/>
  <c r="K7" i="36"/>
  <c r="O7" i="36"/>
  <c r="D8" i="36"/>
  <c r="F8" i="36"/>
  <c r="K8" i="36"/>
  <c r="O8" i="36"/>
  <c r="D22" i="36"/>
  <c r="F22" i="36"/>
  <c r="K22" i="36"/>
  <c r="O22" i="36"/>
  <c r="D21" i="36"/>
  <c r="F21" i="36"/>
  <c r="K21" i="36"/>
  <c r="O21" i="36"/>
  <c r="D9" i="36"/>
  <c r="F9" i="36"/>
  <c r="K9" i="36"/>
  <c r="O9" i="36"/>
  <c r="D10" i="36"/>
  <c r="F10" i="36"/>
  <c r="K10" i="36"/>
  <c r="O10" i="36"/>
  <c r="Q22" i="36"/>
  <c r="R22" i="36"/>
  <c r="Q8" i="36"/>
  <c r="R8" i="36"/>
  <c r="D145" i="36"/>
  <c r="D151" i="36"/>
  <c r="F6" i="36"/>
  <c r="D138" i="36"/>
  <c r="R10" i="36"/>
  <c r="Q10" i="36"/>
  <c r="R9" i="36"/>
  <c r="Q9" i="36"/>
  <c r="R21" i="36"/>
  <c r="Q21" i="36"/>
  <c r="R7" i="36"/>
  <c r="Q7" i="36"/>
  <c r="D139" i="36"/>
  <c r="F145" i="36"/>
  <c r="F151" i="36"/>
  <c r="K6" i="36"/>
  <c r="O6" i="36"/>
  <c r="F138" i="36"/>
  <c r="D152" i="36"/>
  <c r="K145" i="36"/>
  <c r="K151" i="36"/>
  <c r="K138" i="36"/>
  <c r="F152" i="36"/>
  <c r="F139" i="36"/>
  <c r="K139" i="36"/>
  <c r="R6" i="36"/>
  <c r="R138" i="36"/>
  <c r="O138" i="36"/>
  <c r="Q6" i="36"/>
  <c r="Q138" i="36"/>
  <c r="K152" i="36"/>
  <c r="I1" i="8"/>
  <c r="G1" i="8"/>
  <c r="N849" i="8"/>
  <c r="N848" i="8"/>
  <c r="Y848" i="8"/>
  <c r="U849" i="8"/>
  <c r="H220" i="6"/>
  <c r="H222" i="6"/>
  <c r="BF848" i="8"/>
  <c r="BF849" i="8"/>
  <c r="AU849" i="8"/>
  <c r="AU848" i="8"/>
  <c r="Y849" i="8"/>
  <c r="U848" i="8"/>
  <c r="I2" i="8"/>
  <c r="I3" i="8"/>
  <c r="BT848" i="8"/>
  <c r="BV848" i="8"/>
  <c r="BU848" i="8"/>
  <c r="BN848" i="8"/>
  <c r="BN849" i="8"/>
  <c r="BO848" i="8"/>
  <c r="BO849" i="8"/>
  <c r="G2" i="8"/>
  <c r="G3" i="8"/>
  <c r="AA849" i="8"/>
  <c r="AA848" i="8"/>
  <c r="H21" i="5"/>
  <c r="H23" i="5"/>
  <c r="H115" i="23"/>
  <c r="BW848" i="8"/>
  <c r="H219" i="23"/>
  <c r="H221" i="23"/>
  <c r="AL849" i="8"/>
  <c r="AL848" i="8"/>
  <c r="AN848" i="8"/>
  <c r="AN849" i="8"/>
  <c r="AM848" i="8"/>
  <c r="AM849" i="8"/>
  <c r="AL858" i="8"/>
  <c r="AR859" i="8"/>
  <c r="AN858" i="8"/>
  <c r="AM858" i="8"/>
  <c r="Q237" i="10"/>
  <c r="BD237" i="10"/>
  <c r="AW246" i="10"/>
  <c r="O239" i="10"/>
  <c r="AR239" i="10"/>
  <c r="AW406" i="10"/>
  <c r="AY406" i="10"/>
  <c r="P238" i="10"/>
  <c r="BC238" i="10"/>
  <c r="O403" i="10"/>
  <c r="P236" i="10"/>
  <c r="P243" i="10"/>
  <c r="BC243" i="10"/>
  <c r="P22" i="10"/>
  <c r="AN859" i="8"/>
  <c r="Q236" i="10"/>
  <c r="P403" i="10"/>
  <c r="BN403" i="10"/>
  <c r="O246" i="10"/>
  <c r="AR246" i="10"/>
  <c r="P246" i="10"/>
  <c r="BN246" i="10"/>
  <c r="BC236" i="10"/>
  <c r="BN236" i="10"/>
  <c r="BW236" i="10"/>
  <c r="AR403" i="10"/>
  <c r="BN238" i="10"/>
  <c r="BW238" i="10"/>
  <c r="BN22" i="10"/>
  <c r="BW22" i="10"/>
  <c r="BC22" i="10"/>
  <c r="O236" i="10"/>
  <c r="AR236" i="10"/>
  <c r="AW236" i="10"/>
  <c r="AY236" i="10"/>
  <c r="BW243" i="10"/>
  <c r="BN243" i="10"/>
  <c r="Q243" i="10"/>
  <c r="O243" i="10"/>
  <c r="AR243" i="10"/>
  <c r="AW243" i="10"/>
  <c r="AX243" i="10"/>
  <c r="Q22" i="10"/>
  <c r="AW22" i="10"/>
  <c r="AY22" i="10"/>
  <c r="O22" i="10"/>
  <c r="AR22" i="10"/>
  <c r="AX406" i="10"/>
  <c r="AZ406" i="10"/>
  <c r="BA406" i="10"/>
  <c r="AW244" i="10"/>
  <c r="AY244" i="10"/>
  <c r="P237" i="10"/>
  <c r="AW240" i="10"/>
  <c r="AY240" i="10"/>
  <c r="P406" i="10"/>
  <c r="O405" i="10"/>
  <c r="AR405" i="10"/>
  <c r="O238" i="10"/>
  <c r="AR238" i="10"/>
  <c r="Q239" i="10"/>
  <c r="O406" i="10"/>
  <c r="AR406" i="10"/>
  <c r="AW238" i="10"/>
  <c r="AY238" i="10"/>
  <c r="AW237" i="10"/>
  <c r="AY237" i="10"/>
  <c r="AY246" i="10"/>
  <c r="Q403" i="10"/>
  <c r="O241" i="10"/>
  <c r="AR241" i="10"/>
  <c r="P241" i="10"/>
  <c r="P244" i="10"/>
  <c r="AW403" i="10"/>
  <c r="O244" i="10"/>
  <c r="AR244" i="10"/>
  <c r="Q241" i="10"/>
  <c r="Q238" i="10"/>
  <c r="Q406" i="10"/>
  <c r="O240" i="10"/>
  <c r="AR240" i="10"/>
  <c r="AW405" i="10"/>
  <c r="AY405" i="10"/>
  <c r="Q246" i="10"/>
  <c r="AW241" i="10"/>
  <c r="AX241" i="10"/>
  <c r="AX246" i="10"/>
  <c r="AW239" i="10"/>
  <c r="AY239" i="10"/>
  <c r="P240" i="10"/>
  <c r="P405" i="10"/>
  <c r="Q405" i="10"/>
  <c r="BX237" i="10"/>
  <c r="Q240" i="10"/>
  <c r="Q244" i="10"/>
  <c r="P239" i="10"/>
  <c r="O237" i="10"/>
  <c r="AR237" i="10"/>
  <c r="BD236" i="10"/>
  <c r="BW403" i="10"/>
  <c r="BX236" i="10"/>
  <c r="AZ246" i="10"/>
  <c r="BA246" i="10"/>
  <c r="BC403" i="10"/>
  <c r="BE403" i="10"/>
  <c r="AX240" i="10"/>
  <c r="AZ240" i="10"/>
  <c r="BA240" i="10"/>
  <c r="BE236" i="10"/>
  <c r="BF236" i="10"/>
  <c r="AX22" i="10"/>
  <c r="AZ22" i="10"/>
  <c r="BA22" i="10"/>
  <c r="BM22" i="10"/>
  <c r="AX236" i="10"/>
  <c r="AZ236" i="10"/>
  <c r="BA236" i="10"/>
  <c r="BM236" i="10"/>
  <c r="BW246" i="10"/>
  <c r="BC246" i="10"/>
  <c r="BE246" i="10"/>
  <c r="BF246" i="10"/>
  <c r="AX405" i="10"/>
  <c r="AZ405" i="10"/>
  <c r="BA405" i="10"/>
  <c r="AX239" i="10"/>
  <c r="AZ239" i="10"/>
  <c r="BA239" i="10"/>
  <c r="BM406" i="10"/>
  <c r="AY243" i="10"/>
  <c r="BK243" i="10"/>
  <c r="BK405" i="10"/>
  <c r="BK22" i="10"/>
  <c r="BK237" i="10"/>
  <c r="BL237" i="10"/>
  <c r="BK236" i="10"/>
  <c r="BL236" i="10"/>
  <c r="BN239" i="10"/>
  <c r="BC239" i="10"/>
  <c r="BE239" i="10"/>
  <c r="BF239" i="10"/>
  <c r="BW239" i="10"/>
  <c r="BN405" i="10"/>
  <c r="BW405" i="10"/>
  <c r="BC405" i="10"/>
  <c r="BE405" i="10"/>
  <c r="BF405" i="10"/>
  <c r="BN241" i="10"/>
  <c r="BC241" i="10"/>
  <c r="BE241" i="10"/>
  <c r="BF241" i="10"/>
  <c r="BW241" i="10"/>
  <c r="AX237" i="10"/>
  <c r="AZ237" i="10"/>
  <c r="BA237" i="10"/>
  <c r="BD244" i="10"/>
  <c r="BX244" i="10"/>
  <c r="BL244" i="10"/>
  <c r="BW244" i="10"/>
  <c r="BN244" i="10"/>
  <c r="BC244" i="10"/>
  <c r="BE244" i="10"/>
  <c r="BF244" i="10"/>
  <c r="BD405" i="10"/>
  <c r="BX405" i="10"/>
  <c r="BL405" i="10"/>
  <c r="BK239" i="10"/>
  <c r="BM237" i="10"/>
  <c r="BD406" i="10"/>
  <c r="BX406" i="10"/>
  <c r="BL406" i="10"/>
  <c r="BX403" i="10"/>
  <c r="BD403" i="10"/>
  <c r="BM246" i="10"/>
  <c r="BM244" i="10"/>
  <c r="BK240" i="10"/>
  <c r="BM243" i="10"/>
  <c r="BK406" i="10"/>
  <c r="BM405" i="10"/>
  <c r="BD238" i="10"/>
  <c r="BL238" i="10"/>
  <c r="BX238" i="10"/>
  <c r="BL239" i="10"/>
  <c r="BD239" i="10"/>
  <c r="BX239" i="10"/>
  <c r="BD22" i="10"/>
  <c r="BX22" i="10"/>
  <c r="BL22" i="10"/>
  <c r="BE22" i="10"/>
  <c r="BF22" i="10"/>
  <c r="BM238" i="10"/>
  <c r="BM240" i="10"/>
  <c r="BD240" i="10"/>
  <c r="BX240" i="10"/>
  <c r="BL240" i="10"/>
  <c r="BC240" i="10"/>
  <c r="BE240" i="10"/>
  <c r="BF240" i="10"/>
  <c r="BN240" i="10"/>
  <c r="BW240" i="10"/>
  <c r="BX241" i="10"/>
  <c r="BD241" i="10"/>
  <c r="BM403" i="10"/>
  <c r="BK246" i="10"/>
  <c r="BM241" i="10"/>
  <c r="AY403" i="10"/>
  <c r="BN406" i="10"/>
  <c r="BW406" i="10"/>
  <c r="BC406" i="10"/>
  <c r="BE406" i="10"/>
  <c r="BF406" i="10"/>
  <c r="AY241" i="10"/>
  <c r="BL241" i="10"/>
  <c r="BK244" i="10"/>
  <c r="AX403" i="10"/>
  <c r="BE238" i="10"/>
  <c r="BF238" i="10"/>
  <c r="BX243" i="10"/>
  <c r="BD243" i="10"/>
  <c r="BX246" i="10"/>
  <c r="BL246" i="10"/>
  <c r="BD246" i="10"/>
  <c r="BK238" i="10"/>
  <c r="BM239" i="10"/>
  <c r="AX238" i="10"/>
  <c r="AZ238" i="10"/>
  <c r="BA238" i="10"/>
  <c r="BC237" i="10"/>
  <c r="BE237" i="10"/>
  <c r="BF237" i="10"/>
  <c r="BW237" i="10"/>
  <c r="BN237" i="10"/>
  <c r="AX244" i="10"/>
  <c r="AZ244" i="10"/>
  <c r="BA244" i="10"/>
  <c r="BE243" i="10"/>
  <c r="BF243" i="10"/>
  <c r="AZ243" i="10"/>
  <c r="BA243" i="10"/>
  <c r="BL243" i="10"/>
  <c r="BK241" i="10"/>
  <c r="AZ241" i="10"/>
  <c r="BA241" i="10"/>
  <c r="BK403" i="10"/>
  <c r="AZ403" i="10"/>
  <c r="BL403" i="10"/>
  <c r="BF403" i="10"/>
  <c r="BA403" i="10"/>
  <c r="P447" i="10"/>
  <c r="BC447" i="10"/>
  <c r="O249" i="10"/>
  <c r="AR249" i="10"/>
  <c r="P289" i="10"/>
  <c r="BC289" i="10"/>
  <c r="O77" i="10"/>
  <c r="AR77" i="10"/>
  <c r="P316" i="10"/>
  <c r="BC316" i="10"/>
  <c r="O286" i="10"/>
  <c r="AR286" i="10"/>
  <c r="P471" i="10"/>
  <c r="P116" i="10"/>
  <c r="O429" i="10"/>
  <c r="AR429" i="10"/>
  <c r="P495" i="10"/>
  <c r="P294" i="10"/>
  <c r="BC294" i="10"/>
  <c r="O310" i="10"/>
  <c r="AR310" i="10"/>
  <c r="P298" i="10"/>
  <c r="P420" i="10"/>
  <c r="BC420" i="10"/>
  <c r="O396" i="10"/>
  <c r="AR396" i="10"/>
  <c r="O266" i="10"/>
  <c r="AR266" i="10"/>
  <c r="O145" i="10"/>
  <c r="AR145" i="10"/>
  <c r="P146" i="10"/>
  <c r="BC146" i="10"/>
  <c r="P307" i="10"/>
  <c r="P75" i="10"/>
  <c r="O278" i="10"/>
  <c r="AR278" i="10"/>
  <c r="O264" i="10"/>
  <c r="AR264" i="10"/>
  <c r="P103" i="10"/>
  <c r="O133" i="10"/>
  <c r="AR133" i="10"/>
  <c r="P309" i="10"/>
  <c r="O265" i="10"/>
  <c r="AR265" i="10"/>
  <c r="O272" i="10"/>
  <c r="AR272" i="10"/>
  <c r="O295" i="10"/>
  <c r="AR295" i="10"/>
  <c r="O304" i="10"/>
  <c r="AR304" i="10"/>
  <c r="P432" i="10"/>
  <c r="O136" i="10"/>
  <c r="AR136" i="10"/>
  <c r="O393" i="10"/>
  <c r="AR393" i="10"/>
  <c r="O280" i="10"/>
  <c r="AR280" i="10"/>
  <c r="O35" i="10"/>
  <c r="AR35" i="10"/>
  <c r="P131" i="10"/>
  <c r="P315" i="10"/>
  <c r="O394" i="10"/>
  <c r="AR394" i="10"/>
  <c r="O268" i="10"/>
  <c r="AR268" i="10"/>
  <c r="P100" i="10"/>
  <c r="O442" i="10"/>
  <c r="AR442" i="10"/>
  <c r="O491" i="10"/>
  <c r="AR491" i="10"/>
  <c r="O303" i="10"/>
  <c r="AR303" i="10"/>
  <c r="P261" i="10"/>
  <c r="O251" i="10"/>
  <c r="AR251" i="10"/>
  <c r="O276" i="10"/>
  <c r="AR276" i="10"/>
  <c r="O421" i="10"/>
  <c r="AR421" i="10"/>
  <c r="O483" i="10"/>
  <c r="AR483" i="10"/>
  <c r="O262" i="10"/>
  <c r="AR262" i="10"/>
  <c r="O428" i="10"/>
  <c r="AR428" i="10"/>
  <c r="O302" i="10"/>
  <c r="AR302" i="10"/>
  <c r="P273" i="10"/>
  <c r="O299" i="10"/>
  <c r="AR299" i="10"/>
  <c r="O271" i="10"/>
  <c r="AR271" i="10"/>
  <c r="P271" i="10"/>
  <c r="O284" i="10"/>
  <c r="AR284" i="10"/>
  <c r="O454" i="10"/>
  <c r="AR454" i="10"/>
  <c r="O277" i="10"/>
  <c r="AR277" i="10"/>
  <c r="O281" i="10"/>
  <c r="AR281" i="10"/>
  <c r="O275" i="10"/>
  <c r="AR275" i="10"/>
  <c r="O263" i="10"/>
  <c r="AR263" i="10"/>
  <c r="O142" i="10"/>
  <c r="AR142" i="10"/>
  <c r="O248" i="10"/>
  <c r="AR248" i="10"/>
  <c r="O259" i="10"/>
  <c r="AR259" i="10"/>
  <c r="O431" i="10"/>
  <c r="AR431" i="10"/>
  <c r="P78" i="10"/>
  <c r="O257" i="10"/>
  <c r="AR257" i="10"/>
  <c r="P119" i="10"/>
  <c r="P293" i="10"/>
  <c r="O260" i="10"/>
  <c r="AR260" i="10"/>
  <c r="P282" i="10"/>
  <c r="O319" i="10"/>
  <c r="AR319" i="10"/>
  <c r="P474" i="10"/>
  <c r="O426" i="10"/>
  <c r="AR426" i="10"/>
  <c r="P39" i="10"/>
  <c r="P118" i="10"/>
  <c r="O19" i="10"/>
  <c r="AR19" i="10"/>
  <c r="P288" i="10"/>
  <c r="P408" i="10"/>
  <c r="O258" i="10"/>
  <c r="AR258" i="10"/>
  <c r="P167" i="10"/>
  <c r="O250" i="10"/>
  <c r="AR250" i="10"/>
  <c r="Q166" i="10"/>
  <c r="Q55" i="10"/>
  <c r="P456" i="10"/>
  <c r="P43" i="10"/>
  <c r="O141" i="10"/>
  <c r="AR141" i="10"/>
  <c r="P245" i="10"/>
  <c r="Q456" i="10"/>
  <c r="Q245" i="10"/>
  <c r="P19" i="10"/>
  <c r="P281" i="10"/>
  <c r="BC281" i="10"/>
  <c r="O298" i="10"/>
  <c r="AR298" i="10"/>
  <c r="O261" i="10"/>
  <c r="AR261" i="10"/>
  <c r="BD55" i="10"/>
  <c r="BX55" i="10"/>
  <c r="BX166" i="10"/>
  <c r="BD166" i="10"/>
  <c r="N50" i="36"/>
  <c r="K89" i="34"/>
  <c r="C55" i="36"/>
  <c r="BN167" i="10"/>
  <c r="BW167" i="10"/>
  <c r="J96" i="34"/>
  <c r="L96" i="34"/>
  <c r="BC167" i="10"/>
  <c r="M55" i="36"/>
  <c r="O55" i="36"/>
  <c r="Q55" i="36"/>
  <c r="AW326" i="10"/>
  <c r="AX326" i="10"/>
  <c r="Q326" i="10"/>
  <c r="P326" i="10"/>
  <c r="AW320" i="10"/>
  <c r="AX320" i="10"/>
  <c r="Q320" i="10"/>
  <c r="P320" i="10"/>
  <c r="O320" i="10"/>
  <c r="AR320" i="10"/>
  <c r="BW43" i="10"/>
  <c r="BN43" i="10"/>
  <c r="BC43" i="10"/>
  <c r="AW203" i="10"/>
  <c r="AX203" i="10"/>
  <c r="O203" i="10"/>
  <c r="AR203" i="10"/>
  <c r="Q203" i="10"/>
  <c r="P203" i="10"/>
  <c r="AW41" i="10"/>
  <c r="AX41" i="10"/>
  <c r="Q41" i="10"/>
  <c r="O41" i="10"/>
  <c r="AR41" i="10"/>
  <c r="P41" i="10"/>
  <c r="AW292" i="10"/>
  <c r="AX292" i="10"/>
  <c r="Q292" i="10"/>
  <c r="P292" i="10"/>
  <c r="O292" i="10"/>
  <c r="AR292" i="10"/>
  <c r="AW252" i="10"/>
  <c r="AX252" i="10"/>
  <c r="Q252" i="10"/>
  <c r="P252" i="10"/>
  <c r="O252" i="10"/>
  <c r="AR252" i="10"/>
  <c r="AW269" i="10"/>
  <c r="AX269" i="10"/>
  <c r="Q269" i="10"/>
  <c r="P269" i="10"/>
  <c r="O269" i="10"/>
  <c r="AR269" i="10"/>
  <c r="BW78" i="10"/>
  <c r="BN78" i="10"/>
  <c r="BC78" i="10"/>
  <c r="BW315" i="10"/>
  <c r="BN315" i="10"/>
  <c r="BC315" i="10"/>
  <c r="BN432" i="10"/>
  <c r="BW432" i="10"/>
  <c r="BC432" i="10"/>
  <c r="BN309" i="10"/>
  <c r="BW309" i="10"/>
  <c r="BC309" i="10"/>
  <c r="BN103" i="10"/>
  <c r="BW103" i="10"/>
  <c r="BC103" i="10"/>
  <c r="AW141" i="10"/>
  <c r="AY141" i="10"/>
  <c r="Q141" i="10"/>
  <c r="P141" i="10"/>
  <c r="AW43" i="10"/>
  <c r="AX43" i="10"/>
  <c r="Q43" i="10"/>
  <c r="O43" i="10"/>
  <c r="AR43" i="10"/>
  <c r="BN288" i="10"/>
  <c r="BW288" i="10"/>
  <c r="BC288" i="10"/>
  <c r="AW76" i="10"/>
  <c r="AY76" i="10"/>
  <c r="O76" i="10"/>
  <c r="AR76" i="10"/>
  <c r="Q76" i="10"/>
  <c r="P76" i="10"/>
  <c r="BW39" i="10"/>
  <c r="BN39" i="10"/>
  <c r="BC39" i="10"/>
  <c r="BW293" i="10"/>
  <c r="BN293" i="10"/>
  <c r="BC293" i="10"/>
  <c r="BW273" i="10"/>
  <c r="BN273" i="10"/>
  <c r="BC273" i="10"/>
  <c r="BW100" i="10"/>
  <c r="BN100" i="10"/>
  <c r="BC100" i="10"/>
  <c r="BD456" i="10"/>
  <c r="BX456" i="10"/>
  <c r="K217" i="34"/>
  <c r="BW245" i="10"/>
  <c r="BN245" i="10"/>
  <c r="BC245" i="10"/>
  <c r="BE245" i="10"/>
  <c r="BF245" i="10"/>
  <c r="AW256" i="10"/>
  <c r="AY256" i="10"/>
  <c r="Q256" i="10"/>
  <c r="P256" i="10"/>
  <c r="O256" i="10"/>
  <c r="AR256" i="10"/>
  <c r="AW305" i="10"/>
  <c r="AY305" i="10"/>
  <c r="Q305" i="10"/>
  <c r="O305" i="10"/>
  <c r="AR305" i="10"/>
  <c r="P305" i="10"/>
  <c r="BN456" i="10"/>
  <c r="BW456" i="10"/>
  <c r="BC456" i="10"/>
  <c r="BE456" i="10"/>
  <c r="BF456" i="10"/>
  <c r="J217" i="34"/>
  <c r="L217" i="34"/>
  <c r="O326" i="10"/>
  <c r="AR326" i="10"/>
  <c r="AW167" i="10"/>
  <c r="AY167" i="10"/>
  <c r="O167" i="10"/>
  <c r="AR167" i="10"/>
  <c r="Q167" i="10"/>
  <c r="BW408" i="10"/>
  <c r="BN408" i="10"/>
  <c r="BC408" i="10"/>
  <c r="BW118" i="10"/>
  <c r="BN118" i="10"/>
  <c r="BC118" i="10"/>
  <c r="BN474" i="10"/>
  <c r="BW474" i="10"/>
  <c r="BC474" i="10"/>
  <c r="BW119" i="10"/>
  <c r="BN119" i="10"/>
  <c r="BC119" i="10"/>
  <c r="BW261" i="10"/>
  <c r="BN261" i="10"/>
  <c r="BC261" i="10"/>
  <c r="BW75" i="10"/>
  <c r="BN75" i="10"/>
  <c r="BC75" i="10"/>
  <c r="AW55" i="10"/>
  <c r="AY55" i="10"/>
  <c r="O55" i="10"/>
  <c r="AR55" i="10"/>
  <c r="P55" i="10"/>
  <c r="AW166" i="10"/>
  <c r="AX166" i="10"/>
  <c r="P166" i="10"/>
  <c r="AE166" i="10"/>
  <c r="O166" i="10"/>
  <c r="AW247" i="10"/>
  <c r="AX247" i="10"/>
  <c r="Q247" i="10"/>
  <c r="P247" i="10"/>
  <c r="O247" i="10"/>
  <c r="AR247" i="10"/>
  <c r="AW270" i="10"/>
  <c r="AX270" i="10"/>
  <c r="Q270" i="10"/>
  <c r="O270" i="10"/>
  <c r="AR270" i="10"/>
  <c r="P270" i="10"/>
  <c r="BW19" i="10"/>
  <c r="BC19" i="10"/>
  <c r="BN19" i="10"/>
  <c r="AW397" i="10"/>
  <c r="AY397" i="10"/>
  <c r="Q397" i="10"/>
  <c r="P397" i="10"/>
  <c r="O397" i="10"/>
  <c r="AR397" i="10"/>
  <c r="BN282" i="10"/>
  <c r="BW282" i="10"/>
  <c r="BC282" i="10"/>
  <c r="BW307" i="10"/>
  <c r="BN307" i="10"/>
  <c r="BC307" i="10"/>
  <c r="AW306" i="10"/>
  <c r="AY306" i="10"/>
  <c r="Q306" i="10"/>
  <c r="AW30" i="10"/>
  <c r="AY30" i="10"/>
  <c r="Q30" i="10"/>
  <c r="O30" i="10"/>
  <c r="AR30" i="10"/>
  <c r="AW311" i="10"/>
  <c r="AX311" i="10"/>
  <c r="Q311" i="10"/>
  <c r="AW66" i="10"/>
  <c r="AY66" i="10"/>
  <c r="P66" i="10"/>
  <c r="O66" i="10"/>
  <c r="AR66" i="10"/>
  <c r="Q66" i="10"/>
  <c r="P472" i="10"/>
  <c r="AW274" i="10"/>
  <c r="AY274" i="10"/>
  <c r="Q274" i="10"/>
  <c r="AW20" i="10"/>
  <c r="AY20" i="10"/>
  <c r="O20" i="10"/>
  <c r="AR20" i="10"/>
  <c r="Q20" i="10"/>
  <c r="AW267" i="10"/>
  <c r="AX267" i="10"/>
  <c r="Q267" i="10"/>
  <c r="O267" i="10"/>
  <c r="AR267" i="10"/>
  <c r="AW419" i="10"/>
  <c r="AX419" i="10"/>
  <c r="Q419" i="10"/>
  <c r="P419" i="10"/>
  <c r="AW82" i="10"/>
  <c r="AX82" i="10"/>
  <c r="Q82" i="10"/>
  <c r="O82" i="10"/>
  <c r="AR82" i="10"/>
  <c r="AW453" i="10"/>
  <c r="AX453" i="10"/>
  <c r="Q453" i="10"/>
  <c r="O138" i="10"/>
  <c r="AR138" i="10"/>
  <c r="AW309" i="10"/>
  <c r="AY309" i="10"/>
  <c r="Q309" i="10"/>
  <c r="AW395" i="10"/>
  <c r="AX395" i="10"/>
  <c r="Q395" i="10"/>
  <c r="O395" i="10"/>
  <c r="AR395" i="10"/>
  <c r="AW245" i="10"/>
  <c r="AY245" i="10"/>
  <c r="BK245" i="10"/>
  <c r="O245" i="10"/>
  <c r="AR245" i="10"/>
  <c r="P250" i="10"/>
  <c r="AW118" i="10"/>
  <c r="AX118" i="10"/>
  <c r="Q118" i="10"/>
  <c r="O118" i="10"/>
  <c r="AR118" i="10"/>
  <c r="AW39" i="10"/>
  <c r="AY39" i="10"/>
  <c r="Q39" i="10"/>
  <c r="O39" i="10"/>
  <c r="AR39" i="10"/>
  <c r="AW431" i="10"/>
  <c r="AX431" i="10"/>
  <c r="Q431" i="10"/>
  <c r="P431" i="10"/>
  <c r="AW259" i="10"/>
  <c r="AX259" i="10"/>
  <c r="Q259" i="10"/>
  <c r="AW483" i="10"/>
  <c r="AY483" i="10"/>
  <c r="Q483" i="10"/>
  <c r="P483" i="10"/>
  <c r="AW284" i="10"/>
  <c r="AX284" i="10"/>
  <c r="Q284" i="10"/>
  <c r="AW271" i="10"/>
  <c r="AX271" i="10"/>
  <c r="Q271" i="10"/>
  <c r="BM271" i="10"/>
  <c r="AW287" i="10"/>
  <c r="AY287" i="10"/>
  <c r="Q287" i="10"/>
  <c r="P287" i="10"/>
  <c r="AW262" i="10"/>
  <c r="AX262" i="10"/>
  <c r="Q262" i="10"/>
  <c r="P262" i="10"/>
  <c r="AW276" i="10"/>
  <c r="AX276" i="10"/>
  <c r="Q276" i="10"/>
  <c r="P276" i="10"/>
  <c r="P313" i="10"/>
  <c r="AW131" i="10"/>
  <c r="AX131" i="10"/>
  <c r="Q131" i="10"/>
  <c r="O131" i="10"/>
  <c r="AR131" i="10"/>
  <c r="AW295" i="10"/>
  <c r="AY295" i="10"/>
  <c r="Q295" i="10"/>
  <c r="O287" i="10"/>
  <c r="AR287" i="10"/>
  <c r="O36" i="10"/>
  <c r="AR36" i="10"/>
  <c r="O474" i="10"/>
  <c r="AR474" i="10"/>
  <c r="AW265" i="10"/>
  <c r="AX265" i="10"/>
  <c r="Q265" i="10"/>
  <c r="P265" i="10"/>
  <c r="P259" i="10"/>
  <c r="AW264" i="10"/>
  <c r="AX264" i="10"/>
  <c r="Q264" i="10"/>
  <c r="P306" i="10"/>
  <c r="AW75" i="10"/>
  <c r="AX75" i="10"/>
  <c r="O75" i="10"/>
  <c r="AR75" i="10"/>
  <c r="Q75" i="10"/>
  <c r="BN146" i="10"/>
  <c r="BW146" i="10"/>
  <c r="P284" i="10"/>
  <c r="P311" i="10"/>
  <c r="AW473" i="10"/>
  <c r="AY473" i="10"/>
  <c r="Q473" i="10"/>
  <c r="P473" i="10"/>
  <c r="O473" i="10"/>
  <c r="AR473" i="10"/>
  <c r="P295" i="10"/>
  <c r="BW495" i="10"/>
  <c r="BN495" i="10"/>
  <c r="BC495" i="10"/>
  <c r="AW139" i="10"/>
  <c r="AY139" i="10"/>
  <c r="Q139" i="10"/>
  <c r="AW300" i="10"/>
  <c r="AY300" i="10"/>
  <c r="Q300" i="10"/>
  <c r="P300" i="10"/>
  <c r="BN271" i="10"/>
  <c r="BW271" i="10"/>
  <c r="O155" i="10"/>
  <c r="AR155" i="10"/>
  <c r="Q155" i="10"/>
  <c r="AW155" i="10"/>
  <c r="AX155" i="10"/>
  <c r="AW308" i="10"/>
  <c r="AX308" i="10"/>
  <c r="Q308" i="10"/>
  <c r="P308" i="10"/>
  <c r="BN131" i="10"/>
  <c r="BW131" i="10"/>
  <c r="AW445" i="10"/>
  <c r="AX445" i="10"/>
  <c r="Q445" i="10"/>
  <c r="AW456" i="10"/>
  <c r="AX456" i="10"/>
  <c r="O456" i="10"/>
  <c r="AR456" i="10"/>
  <c r="AW250" i="10"/>
  <c r="AY250" i="10"/>
  <c r="Q250" i="10"/>
  <c r="AW258" i="10"/>
  <c r="AY258" i="10"/>
  <c r="Q258" i="10"/>
  <c r="P258" i="10"/>
  <c r="AW408" i="10"/>
  <c r="AY408" i="10"/>
  <c r="O408" i="10"/>
  <c r="AR408" i="10"/>
  <c r="AW288" i="10"/>
  <c r="AX288" i="10"/>
  <c r="O288" i="10"/>
  <c r="AR288" i="10"/>
  <c r="BX245" i="10"/>
  <c r="BD245" i="10"/>
  <c r="AW319" i="10"/>
  <c r="AX319" i="10"/>
  <c r="Q319" i="10"/>
  <c r="P319" i="10"/>
  <c r="AW282" i="10"/>
  <c r="AY282" i="10"/>
  <c r="Q282" i="10"/>
  <c r="AW260" i="10"/>
  <c r="AX260" i="10"/>
  <c r="Q260" i="10"/>
  <c r="AW293" i="10"/>
  <c r="AX293" i="10"/>
  <c r="Q293" i="10"/>
  <c r="AW119" i="10"/>
  <c r="AX119" i="10"/>
  <c r="Q119" i="10"/>
  <c r="O119" i="10"/>
  <c r="AR119" i="10"/>
  <c r="Q288" i="10"/>
  <c r="Q19" i="10"/>
  <c r="Q408" i="10"/>
  <c r="AW257" i="10"/>
  <c r="AX257" i="10"/>
  <c r="Q257" i="10"/>
  <c r="AW78" i="10"/>
  <c r="AX78" i="10"/>
  <c r="Q78" i="10"/>
  <c r="O78" i="10"/>
  <c r="AR78" i="10"/>
  <c r="AW142" i="10"/>
  <c r="AX142" i="10"/>
  <c r="Q142" i="10"/>
  <c r="P142" i="10"/>
  <c r="AW281" i="10"/>
  <c r="AX281" i="10"/>
  <c r="Q281" i="10"/>
  <c r="AW454" i="10"/>
  <c r="AY454" i="10"/>
  <c r="Q454" i="10"/>
  <c r="P454" i="10"/>
  <c r="AW299" i="10"/>
  <c r="AX299" i="10"/>
  <c r="Q299" i="10"/>
  <c r="AW273" i="10"/>
  <c r="AX273" i="10"/>
  <c r="Q273" i="10"/>
  <c r="O273" i="10"/>
  <c r="AR273" i="10"/>
  <c r="AW428" i="10"/>
  <c r="AX428" i="10"/>
  <c r="Q428" i="10"/>
  <c r="P428" i="10"/>
  <c r="AW421" i="10"/>
  <c r="AX421" i="10"/>
  <c r="Q421" i="10"/>
  <c r="P421" i="10"/>
  <c r="P299" i="10"/>
  <c r="AW79" i="10"/>
  <c r="AX79" i="10"/>
  <c r="Q79" i="10"/>
  <c r="O79" i="10"/>
  <c r="AR79" i="10"/>
  <c r="P79" i="10"/>
  <c r="O282" i="10"/>
  <c r="AR282" i="10"/>
  <c r="AW261" i="10"/>
  <c r="AX261" i="10"/>
  <c r="Q261" i="10"/>
  <c r="BM261" i="10"/>
  <c r="AW313" i="10"/>
  <c r="AY313" i="10"/>
  <c r="Q313" i="10"/>
  <c r="O313" i="10"/>
  <c r="AR313" i="10"/>
  <c r="P303" i="10"/>
  <c r="AW442" i="10"/>
  <c r="AX442" i="10"/>
  <c r="Q442" i="10"/>
  <c r="P442" i="10"/>
  <c r="AW268" i="10"/>
  <c r="AY268" i="10"/>
  <c r="Q268" i="10"/>
  <c r="P268" i="10"/>
  <c r="AW280" i="10"/>
  <c r="AX280" i="10"/>
  <c r="Q280" i="10"/>
  <c r="P280" i="10"/>
  <c r="AW136" i="10"/>
  <c r="AY136" i="10"/>
  <c r="Q136" i="10"/>
  <c r="AW304" i="10"/>
  <c r="AY304" i="10"/>
  <c r="Q304" i="10"/>
  <c r="P304" i="10"/>
  <c r="AW19" i="10"/>
  <c r="AX19" i="10"/>
  <c r="P260" i="10"/>
  <c r="AW103" i="10"/>
  <c r="AY103" i="10"/>
  <c r="O103" i="10"/>
  <c r="AR103" i="10"/>
  <c r="Q103" i="10"/>
  <c r="AW278" i="10"/>
  <c r="AX278" i="10"/>
  <c r="Q278" i="10"/>
  <c r="P264" i="10"/>
  <c r="AW307" i="10"/>
  <c r="AY307" i="10"/>
  <c r="Q307" i="10"/>
  <c r="O307" i="10"/>
  <c r="AR307" i="10"/>
  <c r="P257" i="10"/>
  <c r="BN420" i="10"/>
  <c r="BW420" i="10"/>
  <c r="AW398" i="10"/>
  <c r="AX398" i="10"/>
  <c r="Q398" i="10"/>
  <c r="P398" i="10"/>
  <c r="O398" i="10"/>
  <c r="AR398" i="10"/>
  <c r="BN298" i="10"/>
  <c r="BW298" i="10"/>
  <c r="BC298" i="10"/>
  <c r="P136" i="10"/>
  <c r="AW426" i="10"/>
  <c r="AX426" i="10"/>
  <c r="Q426" i="10"/>
  <c r="P426" i="10"/>
  <c r="AW474" i="10"/>
  <c r="AX474" i="10"/>
  <c r="Q474" i="10"/>
  <c r="O274" i="10"/>
  <c r="AR274" i="10"/>
  <c r="AW138" i="10"/>
  <c r="AY138" i="10"/>
  <c r="Q138" i="10"/>
  <c r="P138" i="10"/>
  <c r="O306" i="10"/>
  <c r="AR306" i="10"/>
  <c r="P20" i="10"/>
  <c r="AW42" i="10"/>
  <c r="AY42" i="10"/>
  <c r="O42" i="10"/>
  <c r="AR42" i="10"/>
  <c r="Q42" i="10"/>
  <c r="P42" i="10"/>
  <c r="O139" i="10"/>
  <c r="AR139" i="10"/>
  <c r="P267" i="10"/>
  <c r="AW472" i="10"/>
  <c r="AY472" i="10"/>
  <c r="Q472" i="10"/>
  <c r="AW248" i="10"/>
  <c r="AY248" i="10"/>
  <c r="Q248" i="10"/>
  <c r="P248" i="10"/>
  <c r="AW263" i="10"/>
  <c r="AY263" i="10"/>
  <c r="Q263" i="10"/>
  <c r="P263" i="10"/>
  <c r="AW275" i="10"/>
  <c r="AY275" i="10"/>
  <c r="Q275" i="10"/>
  <c r="P275" i="10"/>
  <c r="O300" i="10"/>
  <c r="AR300" i="10"/>
  <c r="AW277" i="10"/>
  <c r="AX277" i="10"/>
  <c r="Q277" i="10"/>
  <c r="P277" i="10"/>
  <c r="BC271" i="10"/>
  <c r="O419" i="10"/>
  <c r="AR419" i="10"/>
  <c r="BW281" i="10"/>
  <c r="BN281" i="10"/>
  <c r="AW302" i="10"/>
  <c r="AY302" i="10"/>
  <c r="Q302" i="10"/>
  <c r="P302" i="10"/>
  <c r="AW301" i="10"/>
  <c r="AY301" i="10"/>
  <c r="Q301" i="10"/>
  <c r="O301" i="10"/>
  <c r="AR301" i="10"/>
  <c r="AW251" i="10"/>
  <c r="AX251" i="10"/>
  <c r="Q251" i="10"/>
  <c r="P251" i="10"/>
  <c r="P155" i="10"/>
  <c r="AW303" i="10"/>
  <c r="AX303" i="10"/>
  <c r="Q303" i="10"/>
  <c r="AW491" i="10"/>
  <c r="AY491" i="10"/>
  <c r="Q491" i="10"/>
  <c r="P491" i="10"/>
  <c r="P82" i="10"/>
  <c r="AW143" i="10"/>
  <c r="AY143" i="10"/>
  <c r="Q143" i="10"/>
  <c r="O143" i="10"/>
  <c r="AR143" i="10"/>
  <c r="P143" i="10"/>
  <c r="AW100" i="10"/>
  <c r="AX100" i="10"/>
  <c r="O100" i="10"/>
  <c r="AR100" i="10"/>
  <c r="Q100" i="10"/>
  <c r="P274" i="10"/>
  <c r="AW394" i="10"/>
  <c r="AY394" i="10"/>
  <c r="Q394" i="10"/>
  <c r="P394" i="10"/>
  <c r="AW315" i="10"/>
  <c r="AY315" i="10"/>
  <c r="Q315" i="10"/>
  <c r="O315" i="10"/>
  <c r="AR315" i="10"/>
  <c r="O308" i="10"/>
  <c r="AR308" i="10"/>
  <c r="BC131" i="10"/>
  <c r="AW35" i="10"/>
  <c r="AX35" i="10"/>
  <c r="Q35" i="10"/>
  <c r="P35" i="10"/>
  <c r="O453" i="10"/>
  <c r="AR453" i="10"/>
  <c r="AW36" i="10"/>
  <c r="AY36" i="10"/>
  <c r="Q36" i="10"/>
  <c r="P36" i="10"/>
  <c r="AW393" i="10"/>
  <c r="AY393" i="10"/>
  <c r="Q393" i="10"/>
  <c r="P393" i="10"/>
  <c r="AW432" i="10"/>
  <c r="AX432" i="10"/>
  <c r="Q432" i="10"/>
  <c r="O432" i="10"/>
  <c r="AR432" i="10"/>
  <c r="O445" i="10"/>
  <c r="AR445" i="10"/>
  <c r="P453" i="10"/>
  <c r="P445" i="10"/>
  <c r="O293" i="10"/>
  <c r="AR293" i="10"/>
  <c r="AW272" i="10"/>
  <c r="AY272" i="10"/>
  <c r="Q272" i="10"/>
  <c r="P272" i="10"/>
  <c r="AW279" i="10"/>
  <c r="AY279" i="10"/>
  <c r="Q279" i="10"/>
  <c r="P279" i="10"/>
  <c r="O279" i="10"/>
  <c r="AR279" i="10"/>
  <c r="AW130" i="10"/>
  <c r="AY130" i="10"/>
  <c r="O130" i="10"/>
  <c r="AR130" i="10"/>
  <c r="Q130" i="10"/>
  <c r="P130" i="10"/>
  <c r="O309" i="10"/>
  <c r="AR309" i="10"/>
  <c r="AW133" i="10"/>
  <c r="AX133" i="10"/>
  <c r="Q133" i="10"/>
  <c r="P133" i="10"/>
  <c r="P395" i="10"/>
  <c r="P30" i="10"/>
  <c r="O311" i="10"/>
  <c r="AR311" i="10"/>
  <c r="O472" i="10"/>
  <c r="AR472" i="10"/>
  <c r="P278" i="10"/>
  <c r="P301" i="10"/>
  <c r="P139" i="10"/>
  <c r="AW145" i="10"/>
  <c r="AX145" i="10"/>
  <c r="Q145" i="10"/>
  <c r="P145" i="10"/>
  <c r="Q266" i="10"/>
  <c r="AW266" i="10"/>
  <c r="AY266" i="10"/>
  <c r="P266" i="10"/>
  <c r="BN471" i="10"/>
  <c r="BW471" i="10"/>
  <c r="BC471" i="10"/>
  <c r="BW116" i="10"/>
  <c r="BN116" i="10"/>
  <c r="AW427" i="10"/>
  <c r="AX427" i="10"/>
  <c r="Q427" i="10"/>
  <c r="O427" i="10"/>
  <c r="AR427" i="10"/>
  <c r="AW312" i="10"/>
  <c r="AY312" i="10"/>
  <c r="Q312" i="10"/>
  <c r="AW137" i="10"/>
  <c r="AX137" i="10"/>
  <c r="Q137" i="10"/>
  <c r="AW56" i="10"/>
  <c r="AX56" i="10"/>
  <c r="O56" i="10"/>
  <c r="AR56" i="10"/>
  <c r="Q56" i="10"/>
  <c r="O102" i="10"/>
  <c r="AR102" i="10"/>
  <c r="AW102" i="10"/>
  <c r="AX102" i="10"/>
  <c r="Q102" i="10"/>
  <c r="AW414" i="10"/>
  <c r="AX414" i="10"/>
  <c r="Q414" i="10"/>
  <c r="O414" i="10"/>
  <c r="AR414" i="10"/>
  <c r="AW447" i="10"/>
  <c r="AX447" i="10"/>
  <c r="O447" i="10"/>
  <c r="AR447" i="10"/>
  <c r="Q447" i="10"/>
  <c r="O312" i="10"/>
  <c r="AR312" i="10"/>
  <c r="O294" i="10"/>
  <c r="AR294" i="10"/>
  <c r="AW310" i="10"/>
  <c r="AX310" i="10"/>
  <c r="Q310" i="10"/>
  <c r="BN294" i="10"/>
  <c r="BW294" i="10"/>
  <c r="P396" i="10"/>
  <c r="AW495" i="10"/>
  <c r="AY495" i="10"/>
  <c r="Q495" i="10"/>
  <c r="H644" i="10"/>
  <c r="O495" i="10"/>
  <c r="AR495" i="10"/>
  <c r="P429" i="10"/>
  <c r="AW116" i="10"/>
  <c r="AY116" i="10"/>
  <c r="O116" i="10"/>
  <c r="AR116" i="10"/>
  <c r="Q116" i="10"/>
  <c r="AW286" i="10"/>
  <c r="AX286" i="10"/>
  <c r="Q286" i="10"/>
  <c r="BN316" i="10"/>
  <c r="BW316" i="10"/>
  <c r="AW104" i="10"/>
  <c r="AY104" i="10"/>
  <c r="Q104" i="10"/>
  <c r="O104" i="10"/>
  <c r="AR104" i="10"/>
  <c r="AW65" i="10"/>
  <c r="AY65" i="10"/>
  <c r="Q65" i="10"/>
  <c r="O65" i="10"/>
  <c r="AR65" i="10"/>
  <c r="BW289" i="10"/>
  <c r="BN289" i="10"/>
  <c r="P286" i="10"/>
  <c r="AW249" i="10"/>
  <c r="AY249" i="10"/>
  <c r="P249" i="10"/>
  <c r="P310" i="10"/>
  <c r="P65" i="10"/>
  <c r="Q249" i="10"/>
  <c r="AW146" i="10"/>
  <c r="AX146" i="10"/>
  <c r="Q146" i="10"/>
  <c r="BE146" i="10"/>
  <c r="BF146" i="10"/>
  <c r="O146" i="10"/>
  <c r="AR146" i="10"/>
  <c r="AW420" i="10"/>
  <c r="AX420" i="10"/>
  <c r="Q420" i="10"/>
  <c r="BE420" i="10"/>
  <c r="BF420" i="10"/>
  <c r="O420" i="10"/>
  <c r="AR420" i="10"/>
  <c r="O314" i="10"/>
  <c r="AR314" i="10"/>
  <c r="AW298" i="10"/>
  <c r="AX298" i="10"/>
  <c r="Q298" i="10"/>
  <c r="AW294" i="10"/>
  <c r="AX294" i="10"/>
  <c r="Q294" i="10"/>
  <c r="BE294" i="10"/>
  <c r="BF294" i="10"/>
  <c r="P314" i="10"/>
  <c r="AW429" i="10"/>
  <c r="AY429" i="10"/>
  <c r="Q429" i="10"/>
  <c r="P98" i="10"/>
  <c r="AW471" i="10"/>
  <c r="AX471" i="10"/>
  <c r="Q471" i="10"/>
  <c r="AW316" i="10"/>
  <c r="AY316" i="10"/>
  <c r="Q316" i="10"/>
  <c r="BE316" i="10"/>
  <c r="BF316" i="10"/>
  <c r="AW77" i="10"/>
  <c r="AY77" i="10"/>
  <c r="Q77" i="10"/>
  <c r="AW289" i="10"/>
  <c r="AY289" i="10"/>
  <c r="Q289" i="10"/>
  <c r="AW101" i="10"/>
  <c r="AY101" i="10"/>
  <c r="P101" i="10"/>
  <c r="Q101" i="10"/>
  <c r="O101" i="10"/>
  <c r="AR101" i="10"/>
  <c r="P104" i="10"/>
  <c r="O289" i="10"/>
  <c r="AR289" i="10"/>
  <c r="O316" i="10"/>
  <c r="AR316" i="10"/>
  <c r="AW396" i="10"/>
  <c r="AY396" i="10"/>
  <c r="Q396" i="10"/>
  <c r="AW314" i="10"/>
  <c r="AY314" i="10"/>
  <c r="Q314" i="10"/>
  <c r="AW98" i="10"/>
  <c r="AY98" i="10"/>
  <c r="O98" i="10"/>
  <c r="AR98" i="10"/>
  <c r="BC116" i="10"/>
  <c r="P427" i="10"/>
  <c r="P312" i="10"/>
  <c r="P137" i="10"/>
  <c r="P56" i="10"/>
  <c r="P77" i="10"/>
  <c r="P102" i="10"/>
  <c r="P414" i="10"/>
  <c r="BN447" i="10"/>
  <c r="BW447" i="10"/>
  <c r="O471" i="10"/>
  <c r="AR471" i="10"/>
  <c r="O137" i="10"/>
  <c r="AR137" i="10"/>
  <c r="AW114" i="10"/>
  <c r="AX114" i="10"/>
  <c r="O114" i="10"/>
  <c r="AR114" i="10"/>
  <c r="Q114" i="10"/>
  <c r="P114" i="10"/>
  <c r="Q98" i="10"/>
  <c r="F600" i="10"/>
  <c r="H601" i="10"/>
  <c r="H652" i="10"/>
  <c r="Q646" i="10"/>
  <c r="P646" i="10"/>
  <c r="H600" i="10"/>
  <c r="F603" i="10"/>
  <c r="F654" i="10"/>
  <c r="F601" i="10"/>
  <c r="F652" i="10"/>
  <c r="H636" i="10"/>
  <c r="H655" i="10"/>
  <c r="H616" i="10"/>
  <c r="H603" i="10"/>
  <c r="H654" i="10"/>
  <c r="BM303" i="10"/>
  <c r="BE271" i="10"/>
  <c r="BF271" i="10"/>
  <c r="BE281" i="10"/>
  <c r="BF281" i="10"/>
  <c r="BM299" i="10"/>
  <c r="AY456" i="10"/>
  <c r="BK456" i="10"/>
  <c r="BK263" i="10"/>
  <c r="AY19" i="10"/>
  <c r="AZ19" i="10"/>
  <c r="AY303" i="10"/>
  <c r="AZ303" i="10"/>
  <c r="BA303" i="10"/>
  <c r="P594" i="10"/>
  <c r="Q595" i="10"/>
  <c r="P595" i="10"/>
  <c r="BM298" i="10"/>
  <c r="AX167" i="10"/>
  <c r="AZ167" i="10"/>
  <c r="BA167" i="10"/>
  <c r="AY326" i="10"/>
  <c r="BK326" i="10"/>
  <c r="BK304" i="10"/>
  <c r="AY308" i="10"/>
  <c r="BL308" i="10"/>
  <c r="AY259" i="10"/>
  <c r="BK259" i="10"/>
  <c r="AY431" i="10"/>
  <c r="AZ431" i="10"/>
  <c r="BA431" i="10"/>
  <c r="AY82" i="10"/>
  <c r="BK82" i="10"/>
  <c r="AY284" i="10"/>
  <c r="BL284" i="10"/>
  <c r="AX483" i="10"/>
  <c r="AZ483" i="10"/>
  <c r="BA483" i="10"/>
  <c r="AY118" i="10"/>
  <c r="BK118" i="10"/>
  <c r="BK66" i="10"/>
  <c r="AY270" i="10"/>
  <c r="AZ270" i="10"/>
  <c r="BA270" i="10"/>
  <c r="AX136" i="10"/>
  <c r="AZ136" i="10"/>
  <c r="BA136" i="10"/>
  <c r="AX396" i="10"/>
  <c r="AZ396" i="10"/>
  <c r="BA396" i="10"/>
  <c r="AY414" i="10"/>
  <c r="BL414" i="10"/>
  <c r="AY56" i="10"/>
  <c r="BK56" i="10"/>
  <c r="BE131" i="10"/>
  <c r="BF131" i="10"/>
  <c r="AY319" i="10"/>
  <c r="AZ319" i="10"/>
  <c r="BA319" i="10"/>
  <c r="BM258" i="10"/>
  <c r="AY155" i="10"/>
  <c r="BK155" i="10"/>
  <c r="AX139" i="10"/>
  <c r="AZ139" i="10"/>
  <c r="BA139" i="10"/>
  <c r="BM250" i="10"/>
  <c r="AY273" i="10"/>
  <c r="BL273" i="10"/>
  <c r="AX304" i="10"/>
  <c r="AZ304" i="10"/>
  <c r="BA304" i="10"/>
  <c r="AY78" i="10"/>
  <c r="BK78" i="10"/>
  <c r="BK258" i="10"/>
  <c r="AY35" i="10"/>
  <c r="AZ35" i="10"/>
  <c r="BA35" i="10"/>
  <c r="BK295" i="10"/>
  <c r="BM78" i="10"/>
  <c r="AX316" i="10"/>
  <c r="AZ316" i="10"/>
  <c r="BA316" i="10"/>
  <c r="BM257" i="10"/>
  <c r="BM454" i="10"/>
  <c r="BM66" i="10"/>
  <c r="AY146" i="10"/>
  <c r="BL146" i="10"/>
  <c r="AX312" i="10"/>
  <c r="AZ312" i="10"/>
  <c r="BA312" i="10"/>
  <c r="BM272" i="10"/>
  <c r="AY100" i="10"/>
  <c r="BL100" i="10"/>
  <c r="BK302" i="10"/>
  <c r="AX313" i="10"/>
  <c r="AZ313" i="10"/>
  <c r="BA313" i="10"/>
  <c r="AX245" i="10"/>
  <c r="AZ245" i="10"/>
  <c r="BA245" i="10"/>
  <c r="BE116" i="10"/>
  <c r="BF116" i="10"/>
  <c r="AY471" i="10"/>
  <c r="BK471" i="10"/>
  <c r="AX272" i="10"/>
  <c r="AZ272" i="10"/>
  <c r="BA272" i="10"/>
  <c r="AY432" i="10"/>
  <c r="BK432" i="10"/>
  <c r="AX472" i="10"/>
  <c r="AZ472" i="10"/>
  <c r="BA472" i="10"/>
  <c r="AY428" i="10"/>
  <c r="AZ428" i="10"/>
  <c r="BA428" i="10"/>
  <c r="AX258" i="10"/>
  <c r="AZ258" i="10"/>
  <c r="BA258" i="10"/>
  <c r="AX295" i="10"/>
  <c r="AZ295" i="10"/>
  <c r="BA295" i="10"/>
  <c r="AY262" i="10"/>
  <c r="AZ262" i="10"/>
  <c r="BA262" i="10"/>
  <c r="BM287" i="10"/>
  <c r="AY260" i="10"/>
  <c r="AZ260" i="10"/>
  <c r="BA260" i="10"/>
  <c r="BK39" i="10"/>
  <c r="AY203" i="10"/>
  <c r="BK203" i="10"/>
  <c r="AX141" i="10"/>
  <c r="AZ141" i="10"/>
  <c r="BA141" i="10"/>
  <c r="AY320" i="10"/>
  <c r="AZ320" i="10"/>
  <c r="BA320" i="10"/>
  <c r="BK104" i="10"/>
  <c r="AY474" i="10"/>
  <c r="BK474" i="10"/>
  <c r="AY299" i="10"/>
  <c r="BK299" i="10"/>
  <c r="BM262" i="10"/>
  <c r="F644" i="10"/>
  <c r="AX101" i="10"/>
  <c r="AZ101" i="10"/>
  <c r="BA101" i="10"/>
  <c r="BK316" i="10"/>
  <c r="AY286" i="10"/>
  <c r="AX249" i="10"/>
  <c r="AZ249" i="10"/>
  <c r="BA249" i="10"/>
  <c r="AX393" i="10"/>
  <c r="AZ393" i="10"/>
  <c r="BA393" i="10"/>
  <c r="AY277" i="10"/>
  <c r="AZ277" i="10"/>
  <c r="BA277" i="10"/>
  <c r="AX315" i="10"/>
  <c r="AZ315" i="10"/>
  <c r="BA315" i="10"/>
  <c r="BM277" i="10"/>
  <c r="BM275" i="10"/>
  <c r="BM264" i="10"/>
  <c r="AX250" i="10"/>
  <c r="AZ250" i="10"/>
  <c r="BA250" i="10"/>
  <c r="BM456" i="10"/>
  <c r="AX39" i="10"/>
  <c r="AZ39" i="10"/>
  <c r="BA39" i="10"/>
  <c r="BK314" i="10"/>
  <c r="BM414" i="10"/>
  <c r="AX279" i="10"/>
  <c r="AZ279" i="10"/>
  <c r="BA279" i="10"/>
  <c r="BM251" i="10"/>
  <c r="BM302" i="10"/>
  <c r="AX263" i="10"/>
  <c r="AZ263" i="10"/>
  <c r="BA263" i="10"/>
  <c r="BM304" i="10"/>
  <c r="AY280" i="10"/>
  <c r="AZ280" i="10"/>
  <c r="BA280" i="10"/>
  <c r="BM268" i="10"/>
  <c r="AX268" i="10"/>
  <c r="AZ268" i="10"/>
  <c r="BA268" i="10"/>
  <c r="AY281" i="10"/>
  <c r="BM281" i="10"/>
  <c r="AY257" i="10"/>
  <c r="BK257" i="10"/>
  <c r="BM319" i="10"/>
  <c r="AY288" i="10"/>
  <c r="BK288" i="10"/>
  <c r="BM445" i="10"/>
  <c r="AY131" i="10"/>
  <c r="AZ131" i="10"/>
  <c r="BA131" i="10"/>
  <c r="BK287" i="10"/>
  <c r="BK483" i="10"/>
  <c r="AY395" i="10"/>
  <c r="BK395" i="10"/>
  <c r="AY267" i="10"/>
  <c r="BK267" i="10"/>
  <c r="AX66" i="10"/>
  <c r="AZ66" i="10"/>
  <c r="BA66" i="10"/>
  <c r="BM247" i="10"/>
  <c r="AY166" i="10"/>
  <c r="BK166" i="10"/>
  <c r="BM76" i="10"/>
  <c r="BM447" i="10"/>
  <c r="J183" i="34"/>
  <c r="L183" i="34"/>
  <c r="AY269" i="10"/>
  <c r="BK269" i="10"/>
  <c r="AY252" i="10"/>
  <c r="BK252" i="10"/>
  <c r="BK77" i="10"/>
  <c r="AX314" i="10"/>
  <c r="AZ314" i="10"/>
  <c r="BA314" i="10"/>
  <c r="AX289" i="10"/>
  <c r="AZ289" i="10"/>
  <c r="BA289" i="10"/>
  <c r="BM65" i="10"/>
  <c r="BM286" i="10"/>
  <c r="AX116" i="10"/>
  <c r="AZ116" i="10"/>
  <c r="BA116" i="10"/>
  <c r="AX266" i="10"/>
  <c r="AZ266" i="10"/>
  <c r="BA266" i="10"/>
  <c r="BM393" i="10"/>
  <c r="AX143" i="10"/>
  <c r="AZ143" i="10"/>
  <c r="BA143" i="10"/>
  <c r="AY251" i="10"/>
  <c r="AZ251" i="10"/>
  <c r="BA251" i="10"/>
  <c r="AX302" i="10"/>
  <c r="AZ302" i="10"/>
  <c r="BA302" i="10"/>
  <c r="BM248" i="10"/>
  <c r="AX42" i="10"/>
  <c r="AZ42" i="10"/>
  <c r="BA42" i="10"/>
  <c r="BM426" i="10"/>
  <c r="BK282" i="10"/>
  <c r="BM288" i="10"/>
  <c r="AY265" i="10"/>
  <c r="BK265" i="10"/>
  <c r="AY75" i="10"/>
  <c r="BK75" i="10"/>
  <c r="BM276" i="10"/>
  <c r="BM39" i="10"/>
  <c r="AY419" i="10"/>
  <c r="AZ419" i="10"/>
  <c r="BA419" i="10"/>
  <c r="AX274" i="10"/>
  <c r="AZ274" i="10"/>
  <c r="BA274" i="10"/>
  <c r="BM270" i="10"/>
  <c r="AY247" i="10"/>
  <c r="BK247" i="10"/>
  <c r="BM314" i="10"/>
  <c r="AY102" i="10"/>
  <c r="BL102" i="10"/>
  <c r="AX65" i="10"/>
  <c r="AZ65" i="10"/>
  <c r="BA65" i="10"/>
  <c r="BM429" i="10"/>
  <c r="BE471" i="10"/>
  <c r="BF471" i="10"/>
  <c r="BM279" i="10"/>
  <c r="AX491" i="10"/>
  <c r="AZ491" i="10"/>
  <c r="BA491" i="10"/>
  <c r="BM472" i="10"/>
  <c r="AY142" i="10"/>
  <c r="BK142" i="10"/>
  <c r="BM118" i="10"/>
  <c r="AY453" i="10"/>
  <c r="BK453" i="10"/>
  <c r="AX305" i="10"/>
  <c r="AZ305" i="10"/>
  <c r="BA305" i="10"/>
  <c r="BK272" i="10"/>
  <c r="BK393" i="10"/>
  <c r="BK36" i="10"/>
  <c r="BK315" i="10"/>
  <c r="BK394" i="10"/>
  <c r="BK491" i="10"/>
  <c r="BK275" i="10"/>
  <c r="BK248" i="10"/>
  <c r="BK472" i="10"/>
  <c r="BK98" i="10"/>
  <c r="BK396" i="10"/>
  <c r="BK309" i="10"/>
  <c r="BK495" i="10"/>
  <c r="BK250" i="10"/>
  <c r="BK20" i="10"/>
  <c r="BK101" i="10"/>
  <c r="BK289" i="10"/>
  <c r="BK130" i="10"/>
  <c r="BK143" i="10"/>
  <c r="BK42" i="10"/>
  <c r="BK454" i="10"/>
  <c r="BK300" i="10"/>
  <c r="BK306" i="10"/>
  <c r="AI590" i="10"/>
  <c r="AE587" i="10"/>
  <c r="AO166" i="10"/>
  <c r="AP166" i="10"/>
  <c r="AE588" i="10"/>
  <c r="AE590" i="10"/>
  <c r="BK76" i="10"/>
  <c r="BK138" i="10"/>
  <c r="BK313" i="10"/>
  <c r="BK473" i="10"/>
  <c r="BK55" i="10"/>
  <c r="BL55" i="10"/>
  <c r="BK305" i="10"/>
  <c r="BK256" i="10"/>
  <c r="BK429" i="10"/>
  <c r="BK279" i="10"/>
  <c r="BK301" i="10"/>
  <c r="BK307" i="10"/>
  <c r="BK103" i="10"/>
  <c r="BK408" i="10"/>
  <c r="BK30" i="10"/>
  <c r="BK397" i="10"/>
  <c r="BK141" i="10"/>
  <c r="BN56" i="10"/>
  <c r="BW56" i="10"/>
  <c r="BC56" i="10"/>
  <c r="BE56" i="10"/>
  <c r="BF56" i="10"/>
  <c r="BN101" i="10"/>
  <c r="BC101" i="10"/>
  <c r="BE101" i="10"/>
  <c r="BF101" i="10"/>
  <c r="BW101" i="10"/>
  <c r="BD249" i="10"/>
  <c r="BL249" i="10"/>
  <c r="BX249" i="10"/>
  <c r="BX312" i="10"/>
  <c r="BD312" i="10"/>
  <c r="BL312" i="10"/>
  <c r="BM315" i="10"/>
  <c r="BX100" i="10"/>
  <c r="BD100" i="10"/>
  <c r="BC136" i="10"/>
  <c r="BE136" i="10"/>
  <c r="BF136" i="10"/>
  <c r="BW136" i="10"/>
  <c r="BN136" i="10"/>
  <c r="AY278" i="10"/>
  <c r="BL278" i="10"/>
  <c r="BX442" i="10"/>
  <c r="BD442" i="10"/>
  <c r="BN98" i="10"/>
  <c r="BW98" i="10"/>
  <c r="BC98" i="10"/>
  <c r="BE98" i="10"/>
  <c r="BF98" i="10"/>
  <c r="BN278" i="10"/>
  <c r="BW278" i="10"/>
  <c r="BC278" i="10"/>
  <c r="BE278" i="10"/>
  <c r="BF278" i="10"/>
  <c r="BN35" i="10"/>
  <c r="BW35" i="10"/>
  <c r="BC35" i="10"/>
  <c r="BE35" i="10"/>
  <c r="BF35" i="10"/>
  <c r="BW155" i="10"/>
  <c r="BN155" i="10"/>
  <c r="BC155" i="10"/>
  <c r="BE155" i="10"/>
  <c r="BF155" i="10"/>
  <c r="BD248" i="10"/>
  <c r="BX248" i="10"/>
  <c r="BL248" i="10"/>
  <c r="AX248" i="10"/>
  <c r="AZ248" i="10"/>
  <c r="BA248" i="10"/>
  <c r="BW42" i="10"/>
  <c r="BN42" i="10"/>
  <c r="BC42" i="10"/>
  <c r="BE42" i="10"/>
  <c r="BF42" i="10"/>
  <c r="BM42" i="10"/>
  <c r="BX138" i="10"/>
  <c r="BD138" i="10"/>
  <c r="BL138" i="10"/>
  <c r="AY114" i="10"/>
  <c r="BL114" i="10"/>
  <c r="BD307" i="10"/>
  <c r="BX307" i="10"/>
  <c r="BL307" i="10"/>
  <c r="BM307" i="10"/>
  <c r="BX278" i="10"/>
  <c r="BD278" i="10"/>
  <c r="AX103" i="10"/>
  <c r="AZ103" i="10"/>
  <c r="BA103" i="10"/>
  <c r="BN280" i="10"/>
  <c r="BW280" i="10"/>
  <c r="BC280" i="10"/>
  <c r="BE280" i="10"/>
  <c r="BF280" i="10"/>
  <c r="BX268" i="10"/>
  <c r="BD268" i="10"/>
  <c r="BL268" i="10"/>
  <c r="BW303" i="10"/>
  <c r="BN303" i="10"/>
  <c r="BC303" i="10"/>
  <c r="BE303" i="10"/>
  <c r="BF303" i="10"/>
  <c r="BN299" i="10"/>
  <c r="BW299" i="10"/>
  <c r="BC299" i="10"/>
  <c r="BE299" i="10"/>
  <c r="BF299" i="10"/>
  <c r="BW428" i="10"/>
  <c r="BN428" i="10"/>
  <c r="BC428" i="10"/>
  <c r="BE428" i="10"/>
  <c r="BF428" i="10"/>
  <c r="BL454" i="10"/>
  <c r="BX454" i="10"/>
  <c r="BD454" i="10"/>
  <c r="AX454" i="10"/>
  <c r="AZ454" i="10"/>
  <c r="BA454" i="10"/>
  <c r="BN142" i="10"/>
  <c r="BW142" i="10"/>
  <c r="BC142" i="10"/>
  <c r="BE142" i="10"/>
  <c r="BF142" i="10"/>
  <c r="BM142" i="10"/>
  <c r="BD408" i="10"/>
  <c r="BL408" i="10"/>
  <c r="BX408" i="10"/>
  <c r="Q603" i="10"/>
  <c r="K225" i="34"/>
  <c r="M225" i="34"/>
  <c r="N129" i="36"/>
  <c r="AY119" i="10"/>
  <c r="BL119" i="10"/>
  <c r="BM119" i="10"/>
  <c r="BD260" i="10"/>
  <c r="BX260" i="10"/>
  <c r="BM260" i="10"/>
  <c r="BM282" i="10"/>
  <c r="BM155" i="10"/>
  <c r="BD300" i="10"/>
  <c r="BL300" i="10"/>
  <c r="BX300" i="10"/>
  <c r="BW473" i="10"/>
  <c r="BN473" i="10"/>
  <c r="BC473" i="10"/>
  <c r="BE473" i="10"/>
  <c r="BF473" i="10"/>
  <c r="BN284" i="10"/>
  <c r="BW284" i="10"/>
  <c r="BC284" i="10"/>
  <c r="BE284" i="10"/>
  <c r="BF284" i="10"/>
  <c r="AY264" i="10"/>
  <c r="BL264" i="10"/>
  <c r="BW265" i="10"/>
  <c r="BN265" i="10"/>
  <c r="BC265" i="10"/>
  <c r="BE265" i="10"/>
  <c r="BF265" i="10"/>
  <c r="BX131" i="10"/>
  <c r="BD131" i="10"/>
  <c r="BM131" i="10"/>
  <c r="BK268" i="10"/>
  <c r="BX276" i="10"/>
  <c r="BD276" i="10"/>
  <c r="BM284" i="10"/>
  <c r="BX259" i="10"/>
  <c r="BD259" i="10"/>
  <c r="BW250" i="10"/>
  <c r="BN250" i="10"/>
  <c r="BC250" i="10"/>
  <c r="BE250" i="10"/>
  <c r="BF250" i="10"/>
  <c r="BM453" i="10"/>
  <c r="BD82" i="10"/>
  <c r="BX82" i="10"/>
  <c r="BD419" i="10"/>
  <c r="BX419" i="10"/>
  <c r="BD20" i="10"/>
  <c r="BX20" i="10"/>
  <c r="BL20" i="10"/>
  <c r="BM274" i="10"/>
  <c r="AY294" i="10"/>
  <c r="BL294" i="10"/>
  <c r="AY261" i="10"/>
  <c r="BL261" i="10"/>
  <c r="BD397" i="10"/>
  <c r="BX397" i="10"/>
  <c r="BL397" i="10"/>
  <c r="M12" i="36"/>
  <c r="BE75" i="10"/>
  <c r="BF75" i="10"/>
  <c r="C129" i="36"/>
  <c r="C149" i="36"/>
  <c r="BW256" i="10"/>
  <c r="BN256" i="10"/>
  <c r="BC256" i="10"/>
  <c r="BE256" i="10"/>
  <c r="BF256" i="10"/>
  <c r="BE100" i="10"/>
  <c r="BF100" i="10"/>
  <c r="BE293" i="10"/>
  <c r="BF293" i="10"/>
  <c r="BL76" i="10"/>
  <c r="BX76" i="10"/>
  <c r="BD76" i="10"/>
  <c r="C112" i="36"/>
  <c r="BD43" i="10"/>
  <c r="BX43" i="10"/>
  <c r="BE309" i="10"/>
  <c r="BF309" i="10"/>
  <c r="BE432" i="10"/>
  <c r="BF432" i="10"/>
  <c r="BE315" i="10"/>
  <c r="BF315" i="10"/>
  <c r="AY79" i="10"/>
  <c r="BL79" i="10"/>
  <c r="BW252" i="10"/>
  <c r="BN252" i="10"/>
  <c r="BC252" i="10"/>
  <c r="BE252" i="10"/>
  <c r="BF252" i="10"/>
  <c r="BM252" i="10"/>
  <c r="BD292" i="10"/>
  <c r="BX292" i="10"/>
  <c r="BX41" i="10"/>
  <c r="BD41" i="10"/>
  <c r="BM203" i="10"/>
  <c r="BW326" i="10"/>
  <c r="BN326" i="10"/>
  <c r="BC326" i="10"/>
  <c r="BE326" i="10"/>
  <c r="BF326" i="10"/>
  <c r="BW396" i="10"/>
  <c r="BN396" i="10"/>
  <c r="BC396" i="10"/>
  <c r="BE396" i="10"/>
  <c r="BF396" i="10"/>
  <c r="BM312" i="10"/>
  <c r="BX266" i="10"/>
  <c r="BD266" i="10"/>
  <c r="BL266" i="10"/>
  <c r="AY145" i="10"/>
  <c r="BL145" i="10"/>
  <c r="BN133" i="10"/>
  <c r="BW133" i="10"/>
  <c r="BC133" i="10"/>
  <c r="BE133" i="10"/>
  <c r="BF133" i="10"/>
  <c r="BX394" i="10"/>
  <c r="BL394" i="10"/>
  <c r="BD394" i="10"/>
  <c r="BN82" i="10"/>
  <c r="BW82" i="10"/>
  <c r="BC82" i="10"/>
  <c r="BE82" i="10"/>
  <c r="BF82" i="10"/>
  <c r="BN263" i="10"/>
  <c r="BW263" i="10"/>
  <c r="BC263" i="10"/>
  <c r="BE263" i="10"/>
  <c r="BF263" i="10"/>
  <c r="BN20" i="10"/>
  <c r="BW20" i="10"/>
  <c r="BC20" i="10"/>
  <c r="BE20" i="10"/>
  <c r="BF20" i="10"/>
  <c r="BN249" i="10"/>
  <c r="BW249" i="10"/>
  <c r="BC249" i="10"/>
  <c r="BE249" i="10"/>
  <c r="BF249" i="10"/>
  <c r="BD104" i="10"/>
  <c r="BL104" i="10"/>
  <c r="BX104" i="10"/>
  <c r="AX104" i="10"/>
  <c r="AZ104" i="10"/>
  <c r="BA104" i="10"/>
  <c r="BM116" i="10"/>
  <c r="BX102" i="10"/>
  <c r="BD102" i="10"/>
  <c r="BM137" i="10"/>
  <c r="AY133" i="10"/>
  <c r="BL133" i="10"/>
  <c r="BD272" i="10"/>
  <c r="BL272" i="10"/>
  <c r="BX272" i="10"/>
  <c r="BN274" i="10"/>
  <c r="BW274" i="10"/>
  <c r="BC274" i="10"/>
  <c r="BE274" i="10"/>
  <c r="BF274" i="10"/>
  <c r="BN491" i="10"/>
  <c r="BW491" i="10"/>
  <c r="BC491" i="10"/>
  <c r="BE491" i="10"/>
  <c r="BF491" i="10"/>
  <c r="BX302" i="10"/>
  <c r="BD302" i="10"/>
  <c r="BL302" i="10"/>
  <c r="BX114" i="10"/>
  <c r="BD114" i="10"/>
  <c r="AY447" i="10"/>
  <c r="BL447" i="10"/>
  <c r="BW102" i="10"/>
  <c r="BN102" i="10"/>
  <c r="BC102" i="10"/>
  <c r="BE102" i="10"/>
  <c r="BF102" i="10"/>
  <c r="AX98" i="10"/>
  <c r="AZ98" i="10"/>
  <c r="BA98" i="10"/>
  <c r="BD289" i="10"/>
  <c r="BL289" i="10"/>
  <c r="BX289" i="10"/>
  <c r="BD116" i="10"/>
  <c r="BX116" i="10"/>
  <c r="BL116" i="10"/>
  <c r="AX495" i="10"/>
  <c r="AZ495" i="10"/>
  <c r="BA495" i="10"/>
  <c r="AY298" i="10"/>
  <c r="BL298" i="10"/>
  <c r="BD427" i="10"/>
  <c r="BX427" i="10"/>
  <c r="BD145" i="10"/>
  <c r="BX145" i="10"/>
  <c r="BM130" i="10"/>
  <c r="BM432" i="10"/>
  <c r="M597" i="10"/>
  <c r="AX408" i="10"/>
  <c r="AZ408" i="10"/>
  <c r="BA408" i="10"/>
  <c r="AY445" i="10"/>
  <c r="BL445" i="10"/>
  <c r="BN308" i="10"/>
  <c r="BW308" i="10"/>
  <c r="BC308" i="10"/>
  <c r="BE308" i="10"/>
  <c r="BF308" i="10"/>
  <c r="BM308" i="10"/>
  <c r="AX300" i="10"/>
  <c r="AZ300" i="10"/>
  <c r="BA300" i="10"/>
  <c r="BL473" i="10"/>
  <c r="BX473" i="10"/>
  <c r="BD473" i="10"/>
  <c r="AX473" i="10"/>
  <c r="AZ473" i="10"/>
  <c r="BA473" i="10"/>
  <c r="BD264" i="10"/>
  <c r="BX264" i="10"/>
  <c r="BD265" i="10"/>
  <c r="BX265" i="10"/>
  <c r="BM265" i="10"/>
  <c r="BW313" i="10"/>
  <c r="BN313" i="10"/>
  <c r="BC313" i="10"/>
  <c r="BE313" i="10"/>
  <c r="BF313" i="10"/>
  <c r="BN287" i="10"/>
  <c r="BW287" i="10"/>
  <c r="BC287" i="10"/>
  <c r="BE287" i="10"/>
  <c r="BF287" i="10"/>
  <c r="BX118" i="10"/>
  <c r="BD118" i="10"/>
  <c r="AX309" i="10"/>
  <c r="AZ309" i="10"/>
  <c r="BA309" i="10"/>
  <c r="BN419" i="10"/>
  <c r="BW419" i="10"/>
  <c r="BC419" i="10"/>
  <c r="BE419" i="10"/>
  <c r="BF419" i="10"/>
  <c r="BM419" i="10"/>
  <c r="AX20" i="10"/>
  <c r="AY310" i="10"/>
  <c r="BL310" i="10"/>
  <c r="BD66" i="10"/>
  <c r="BX66" i="10"/>
  <c r="BL66" i="10"/>
  <c r="AY311" i="10"/>
  <c r="BL311" i="10"/>
  <c r="AX30" i="10"/>
  <c r="AZ30" i="10"/>
  <c r="BA30" i="10"/>
  <c r="AX306" i="10"/>
  <c r="AZ306" i="10"/>
  <c r="BA306" i="10"/>
  <c r="BE307" i="10"/>
  <c r="BF307" i="10"/>
  <c r="AX397" i="10"/>
  <c r="AZ397" i="10"/>
  <c r="BA397" i="10"/>
  <c r="J10" i="34"/>
  <c r="P587" i="10"/>
  <c r="BX270" i="10"/>
  <c r="BD270" i="10"/>
  <c r="BX247" i="10"/>
  <c r="BD247" i="10"/>
  <c r="BM166" i="10"/>
  <c r="BN55" i="10"/>
  <c r="BW55" i="10"/>
  <c r="BC55" i="10"/>
  <c r="BE55" i="10"/>
  <c r="BF55" i="10"/>
  <c r="M5" i="36"/>
  <c r="C5" i="36"/>
  <c r="J3" i="34"/>
  <c r="AX55" i="10"/>
  <c r="AZ55" i="10"/>
  <c r="BA55" i="10"/>
  <c r="BE118" i="10"/>
  <c r="BF118" i="10"/>
  <c r="M129" i="36"/>
  <c r="BK167" i="10"/>
  <c r="BX256" i="10"/>
  <c r="BD256" i="10"/>
  <c r="BL256" i="10"/>
  <c r="AX256" i="10"/>
  <c r="AZ256" i="10"/>
  <c r="BA256" i="10"/>
  <c r="M217" i="34"/>
  <c r="AX76" i="10"/>
  <c r="AZ76" i="10"/>
  <c r="BA76" i="10"/>
  <c r="BN141" i="10"/>
  <c r="BW141" i="10"/>
  <c r="BC141" i="10"/>
  <c r="BE141" i="10"/>
  <c r="BF141" i="10"/>
  <c r="BE103" i="10"/>
  <c r="BF103" i="10"/>
  <c r="BW269" i="10"/>
  <c r="BN269" i="10"/>
  <c r="BC269" i="10"/>
  <c r="BE269" i="10"/>
  <c r="BF269" i="10"/>
  <c r="BM269" i="10"/>
  <c r="BN292" i="10"/>
  <c r="BW292" i="10"/>
  <c r="BC292" i="10"/>
  <c r="BE292" i="10"/>
  <c r="BF292" i="10"/>
  <c r="F636" i="10"/>
  <c r="AY41" i="10"/>
  <c r="BM41" i="10"/>
  <c r="BN203" i="10"/>
  <c r="BW203" i="10"/>
  <c r="P602" i="10"/>
  <c r="M72" i="36"/>
  <c r="BC203" i="10"/>
  <c r="BE203" i="10"/>
  <c r="BF203" i="10"/>
  <c r="C72" i="36"/>
  <c r="C148" i="36"/>
  <c r="J132" i="34"/>
  <c r="BE43" i="10"/>
  <c r="BF43" i="10"/>
  <c r="BW320" i="10"/>
  <c r="BN320" i="10"/>
  <c r="BC320" i="10"/>
  <c r="BE320" i="10"/>
  <c r="BF320" i="10"/>
  <c r="BM320" i="10"/>
  <c r="P50" i="36"/>
  <c r="Q601" i="10"/>
  <c r="BL98" i="10"/>
  <c r="BX98" i="10"/>
  <c r="BD98" i="10"/>
  <c r="BD294" i="10"/>
  <c r="BX294" i="10"/>
  <c r="BX420" i="10"/>
  <c r="BD420" i="10"/>
  <c r="BW310" i="10"/>
  <c r="BN310" i="10"/>
  <c r="BC310" i="10"/>
  <c r="BE310" i="10"/>
  <c r="BF310" i="10"/>
  <c r="BX414" i="10"/>
  <c r="BD414" i="10"/>
  <c r="BM56" i="10"/>
  <c r="BD303" i="10"/>
  <c r="BX303" i="10"/>
  <c r="BD277" i="10"/>
  <c r="BX277" i="10"/>
  <c r="BX398" i="10"/>
  <c r="BD398" i="10"/>
  <c r="BN114" i="10"/>
  <c r="BW114" i="10"/>
  <c r="BC114" i="10"/>
  <c r="BE114" i="10"/>
  <c r="BF114" i="10"/>
  <c r="BW414" i="10"/>
  <c r="BN414" i="10"/>
  <c r="BC414" i="10"/>
  <c r="BE414" i="10"/>
  <c r="BF414" i="10"/>
  <c r="BN137" i="10"/>
  <c r="BW137" i="10"/>
  <c r="BC137" i="10"/>
  <c r="BE137" i="10"/>
  <c r="BF137" i="10"/>
  <c r="BN104" i="10"/>
  <c r="BW104" i="10"/>
  <c r="BC104" i="10"/>
  <c r="BE104" i="10"/>
  <c r="BF104" i="10"/>
  <c r="AY427" i="10"/>
  <c r="BM289" i="10"/>
  <c r="BX316" i="10"/>
  <c r="BL316" i="10"/>
  <c r="BD316" i="10"/>
  <c r="AX429" i="10"/>
  <c r="AZ429" i="10"/>
  <c r="BA429" i="10"/>
  <c r="BX298" i="10"/>
  <c r="BD298" i="10"/>
  <c r="BM420" i="10"/>
  <c r="BK249" i="10"/>
  <c r="BN429" i="10"/>
  <c r="BW429" i="10"/>
  <c r="BC429" i="10"/>
  <c r="BE429" i="10"/>
  <c r="BF429" i="10"/>
  <c r="BX447" i="10"/>
  <c r="BD447" i="10"/>
  <c r="BD137" i="10"/>
  <c r="BX137" i="10"/>
  <c r="BM427" i="10"/>
  <c r="AY420" i="10"/>
  <c r="BN145" i="10"/>
  <c r="BW145" i="10"/>
  <c r="BC145" i="10"/>
  <c r="BE145" i="10"/>
  <c r="BF145" i="10"/>
  <c r="BW30" i="10"/>
  <c r="BN30" i="10"/>
  <c r="BC30" i="10"/>
  <c r="BE30" i="10"/>
  <c r="BF30" i="10"/>
  <c r="BM133" i="10"/>
  <c r="BD393" i="10"/>
  <c r="BL393" i="10"/>
  <c r="BX393" i="10"/>
  <c r="BX315" i="10"/>
  <c r="BD315" i="10"/>
  <c r="BL315" i="10"/>
  <c r="BN143" i="10"/>
  <c r="BW143" i="10"/>
  <c r="BC143" i="10"/>
  <c r="BE143" i="10"/>
  <c r="BF143" i="10"/>
  <c r="BN312" i="10"/>
  <c r="BW312" i="10"/>
  <c r="BC312" i="10"/>
  <c r="BE312" i="10"/>
  <c r="BF312" i="10"/>
  <c r="BX314" i="10"/>
  <c r="BD314" i="10"/>
  <c r="BL314" i="10"/>
  <c r="AX77" i="10"/>
  <c r="AZ77" i="10"/>
  <c r="BA77" i="10"/>
  <c r="BD429" i="10"/>
  <c r="BX429" i="10"/>
  <c r="BL429" i="10"/>
  <c r="BM294" i="10"/>
  <c r="BK286" i="10"/>
  <c r="BN286" i="10"/>
  <c r="BW286" i="10"/>
  <c r="BC286" i="10"/>
  <c r="BE286" i="10"/>
  <c r="BF286" i="10"/>
  <c r="AY137" i="10"/>
  <c r="BL137" i="10"/>
  <c r="BM102" i="10"/>
  <c r="BE447" i="10"/>
  <c r="BF447" i="10"/>
  <c r="BN266" i="10"/>
  <c r="BW266" i="10"/>
  <c r="BC266" i="10"/>
  <c r="BE266" i="10"/>
  <c r="BF266" i="10"/>
  <c r="BX133" i="10"/>
  <c r="BD133" i="10"/>
  <c r="BN130" i="10"/>
  <c r="BW130" i="10"/>
  <c r="BC130" i="10"/>
  <c r="BE130" i="10"/>
  <c r="BF130" i="10"/>
  <c r="BN279" i="10"/>
  <c r="BW279" i="10"/>
  <c r="BC279" i="10"/>
  <c r="BE279" i="10"/>
  <c r="BF279" i="10"/>
  <c r="BN453" i="10"/>
  <c r="BW453" i="10"/>
  <c r="BC453" i="10"/>
  <c r="BE453" i="10"/>
  <c r="BF453" i="10"/>
  <c r="BD432" i="10"/>
  <c r="BX432" i="10"/>
  <c r="BN36" i="10"/>
  <c r="BW36" i="10"/>
  <c r="BC36" i="10"/>
  <c r="BE36" i="10"/>
  <c r="BF36" i="10"/>
  <c r="AX36" i="10"/>
  <c r="AZ36" i="10"/>
  <c r="BA36" i="10"/>
  <c r="BN394" i="10"/>
  <c r="BW394" i="10"/>
  <c r="BC394" i="10"/>
  <c r="BE394" i="10"/>
  <c r="BF394" i="10"/>
  <c r="AX394" i="10"/>
  <c r="AZ394" i="10"/>
  <c r="BA394" i="10"/>
  <c r="BM143" i="10"/>
  <c r="BM491" i="10"/>
  <c r="AX301" i="10"/>
  <c r="AZ301" i="10"/>
  <c r="BA301" i="10"/>
  <c r="BN275" i="10"/>
  <c r="BW275" i="10"/>
  <c r="BC275" i="10"/>
  <c r="BE275" i="10"/>
  <c r="BF275" i="10"/>
  <c r="AX275" i="10"/>
  <c r="AZ275" i="10"/>
  <c r="BA275" i="10"/>
  <c r="BM263" i="10"/>
  <c r="BD42" i="10"/>
  <c r="BL42" i="10"/>
  <c r="BX42" i="10"/>
  <c r="O588" i="10"/>
  <c r="AX138" i="10"/>
  <c r="AZ138" i="10"/>
  <c r="BA138" i="10"/>
  <c r="BX474" i="10"/>
  <c r="BD474" i="10"/>
  <c r="BW426" i="10"/>
  <c r="BN426" i="10"/>
  <c r="BC426" i="10"/>
  <c r="BE426" i="10"/>
  <c r="BF426" i="10"/>
  <c r="BE298" i="10"/>
  <c r="BF298" i="10"/>
  <c r="BN398" i="10"/>
  <c r="BW398" i="10"/>
  <c r="BC398" i="10"/>
  <c r="BE398" i="10"/>
  <c r="BF398" i="10"/>
  <c r="BM398" i="10"/>
  <c r="BW264" i="10"/>
  <c r="BN264" i="10"/>
  <c r="BC264" i="10"/>
  <c r="BE264" i="10"/>
  <c r="BF264" i="10"/>
  <c r="BN260" i="10"/>
  <c r="BW260" i="10"/>
  <c r="BC260" i="10"/>
  <c r="BE260" i="10"/>
  <c r="BF260" i="10"/>
  <c r="BD304" i="10"/>
  <c r="BL304" i="10"/>
  <c r="BX304" i="10"/>
  <c r="BM136" i="10"/>
  <c r="BD280" i="10"/>
  <c r="BX280" i="10"/>
  <c r="BM280" i="10"/>
  <c r="AY442" i="10"/>
  <c r="BL442" i="10"/>
  <c r="BN79" i="10"/>
  <c r="BW79" i="10"/>
  <c r="BC79" i="10"/>
  <c r="BE79" i="10"/>
  <c r="BF79" i="10"/>
  <c r="AY421" i="10"/>
  <c r="BL421" i="10"/>
  <c r="BD428" i="10"/>
  <c r="BX428" i="10"/>
  <c r="BM428" i="10"/>
  <c r="BX299" i="10"/>
  <c r="BD299" i="10"/>
  <c r="BD78" i="10"/>
  <c r="BX78" i="10"/>
  <c r="BD19" i="10"/>
  <c r="BX19" i="10"/>
  <c r="K10" i="34"/>
  <c r="M10" i="34"/>
  <c r="N12" i="36"/>
  <c r="P12" i="36"/>
  <c r="Q587" i="10"/>
  <c r="Q588" i="10"/>
  <c r="BX588" i="10"/>
  <c r="Q599" i="10"/>
  <c r="BX119" i="10"/>
  <c r="BD119" i="10"/>
  <c r="BL282" i="10"/>
  <c r="BX282" i="10"/>
  <c r="BD282" i="10"/>
  <c r="AX282" i="10"/>
  <c r="AZ282" i="10"/>
  <c r="BA282" i="10"/>
  <c r="BD319" i="10"/>
  <c r="BX319" i="10"/>
  <c r="Q604" i="10"/>
  <c r="BD258" i="10"/>
  <c r="BX258" i="10"/>
  <c r="BL258" i="10"/>
  <c r="BW295" i="10"/>
  <c r="BN295" i="10"/>
  <c r="BC295" i="10"/>
  <c r="BE295" i="10"/>
  <c r="BF295" i="10"/>
  <c r="BX75" i="10"/>
  <c r="BD75" i="10"/>
  <c r="BX295" i="10"/>
  <c r="BD295" i="10"/>
  <c r="BL295" i="10"/>
  <c r="AY271" i="10"/>
  <c r="BL271" i="10"/>
  <c r="BN483" i="10"/>
  <c r="BW483" i="10"/>
  <c r="BC483" i="10"/>
  <c r="BE483" i="10"/>
  <c r="BF483" i="10"/>
  <c r="BN431" i="10"/>
  <c r="BW431" i="10"/>
  <c r="BC431" i="10"/>
  <c r="BE431" i="10"/>
  <c r="BF431" i="10"/>
  <c r="BM431" i="10"/>
  <c r="BM114" i="10"/>
  <c r="BN77" i="10"/>
  <c r="BC77" i="10"/>
  <c r="BE77" i="10"/>
  <c r="BF77" i="10"/>
  <c r="BW77" i="10"/>
  <c r="BW427" i="10"/>
  <c r="BN427" i="10"/>
  <c r="BC427" i="10"/>
  <c r="BE427" i="10"/>
  <c r="BF427" i="10"/>
  <c r="BM98" i="10"/>
  <c r="BM396" i="10"/>
  <c r="BD101" i="10"/>
  <c r="BL101" i="10"/>
  <c r="BX101" i="10"/>
  <c r="BM101" i="10"/>
  <c r="BD77" i="10"/>
  <c r="BX77" i="10"/>
  <c r="BL77" i="10"/>
  <c r="BM77" i="10"/>
  <c r="BM316" i="10"/>
  <c r="BX471" i="10"/>
  <c r="BD471" i="10"/>
  <c r="BM471" i="10"/>
  <c r="BW314" i="10"/>
  <c r="BN314" i="10"/>
  <c r="BC314" i="10"/>
  <c r="BE314" i="10"/>
  <c r="BF314" i="10"/>
  <c r="BM146" i="10"/>
  <c r="BN65" i="10"/>
  <c r="BW65" i="10"/>
  <c r="BC65" i="10"/>
  <c r="BE65" i="10"/>
  <c r="BF65" i="10"/>
  <c r="BM249" i="10"/>
  <c r="BD65" i="10"/>
  <c r="BX65" i="10"/>
  <c r="BL65" i="10"/>
  <c r="BK65" i="10"/>
  <c r="BM104" i="10"/>
  <c r="AZ286" i="10"/>
  <c r="BA286" i="10"/>
  <c r="BK116" i="10"/>
  <c r="BD495" i="10"/>
  <c r="BX495" i="10"/>
  <c r="BL495" i="10"/>
  <c r="BM495" i="10"/>
  <c r="BD310" i="10"/>
  <c r="BX310" i="10"/>
  <c r="BM310" i="10"/>
  <c r="BD56" i="10"/>
  <c r="BX56" i="10"/>
  <c r="BK312" i="10"/>
  <c r="BE289" i="10"/>
  <c r="BF289" i="10"/>
  <c r="BK266" i="10"/>
  <c r="BM266" i="10"/>
  <c r="BM145" i="10"/>
  <c r="BW139" i="10"/>
  <c r="BN139" i="10"/>
  <c r="BC139" i="10"/>
  <c r="BE139" i="10"/>
  <c r="BF139" i="10"/>
  <c r="BW395" i="10"/>
  <c r="BN395" i="10"/>
  <c r="BC395" i="10"/>
  <c r="BE395" i="10"/>
  <c r="BF395" i="10"/>
  <c r="BX130" i="10"/>
  <c r="BL130" i="10"/>
  <c r="BD130" i="10"/>
  <c r="AX130" i="10"/>
  <c r="AZ130" i="10"/>
  <c r="BA130" i="10"/>
  <c r="BD279" i="10"/>
  <c r="BX279" i="10"/>
  <c r="BL279" i="10"/>
  <c r="BN445" i="10"/>
  <c r="BW445" i="10"/>
  <c r="BC445" i="10"/>
  <c r="BE445" i="10"/>
  <c r="BF445" i="10"/>
  <c r="BL36" i="10"/>
  <c r="BD36" i="10"/>
  <c r="BX36" i="10"/>
  <c r="BM36" i="10"/>
  <c r="BD35" i="10"/>
  <c r="BX35" i="10"/>
  <c r="BM35" i="10"/>
  <c r="BM394" i="10"/>
  <c r="BD143" i="10"/>
  <c r="BL143" i="10"/>
  <c r="BX143" i="10"/>
  <c r="BX491" i="10"/>
  <c r="BL491" i="10"/>
  <c r="BD491" i="10"/>
  <c r="BN251" i="10"/>
  <c r="BW251" i="10"/>
  <c r="BC251" i="10"/>
  <c r="BE251" i="10"/>
  <c r="BF251" i="10"/>
  <c r="BD301" i="10"/>
  <c r="BX301" i="10"/>
  <c r="BL301" i="10"/>
  <c r="BW302" i="10"/>
  <c r="BN302" i="10"/>
  <c r="BC302" i="10"/>
  <c r="BE302" i="10"/>
  <c r="BF302" i="10"/>
  <c r="BN277" i="10"/>
  <c r="BW277" i="10"/>
  <c r="BC277" i="10"/>
  <c r="BE277" i="10"/>
  <c r="BF277" i="10"/>
  <c r="BX275" i="10"/>
  <c r="BD275" i="10"/>
  <c r="BL275" i="10"/>
  <c r="BL263" i="10"/>
  <c r="BX263" i="10"/>
  <c r="BD263" i="10"/>
  <c r="BL472" i="10"/>
  <c r="BX472" i="10"/>
  <c r="BD472" i="10"/>
  <c r="BW267" i="10"/>
  <c r="BN267" i="10"/>
  <c r="BC267" i="10"/>
  <c r="BE267" i="10"/>
  <c r="BF267" i="10"/>
  <c r="BN138" i="10"/>
  <c r="BW138" i="10"/>
  <c r="BC138" i="10"/>
  <c r="BE138" i="10"/>
  <c r="BF138" i="10"/>
  <c r="BM138" i="10"/>
  <c r="BM474" i="10"/>
  <c r="AY426" i="10"/>
  <c r="BL426" i="10"/>
  <c r="AY398" i="10"/>
  <c r="BL398" i="10"/>
  <c r="BW257" i="10"/>
  <c r="BN257" i="10"/>
  <c r="BC257" i="10"/>
  <c r="BE257" i="10"/>
  <c r="BF257" i="10"/>
  <c r="AX307" i="10"/>
  <c r="AZ307" i="10"/>
  <c r="BA307" i="10"/>
  <c r="BK428" i="10"/>
  <c r="BM278" i="10"/>
  <c r="BM103" i="10"/>
  <c r="AW588" i="10"/>
  <c r="AW587" i="10"/>
  <c r="BK136" i="10"/>
  <c r="BW442" i="10"/>
  <c r="BN442" i="10"/>
  <c r="BC442" i="10"/>
  <c r="BE442" i="10"/>
  <c r="BF442" i="10"/>
  <c r="BM442" i="10"/>
  <c r="BD313" i="10"/>
  <c r="BX313" i="10"/>
  <c r="BL313" i="10"/>
  <c r="BM313" i="10"/>
  <c r="BW421" i="10"/>
  <c r="BN421" i="10"/>
  <c r="BC421" i="10"/>
  <c r="BE421" i="10"/>
  <c r="BF421" i="10"/>
  <c r="BX281" i="10"/>
  <c r="BD281" i="10"/>
  <c r="BL281" i="10"/>
  <c r="BD142" i="10"/>
  <c r="BX142" i="10"/>
  <c r="AZ78" i="10"/>
  <c r="BA78" i="10"/>
  <c r="BD257" i="10"/>
  <c r="BX257" i="10"/>
  <c r="BD288" i="10"/>
  <c r="BX288" i="10"/>
  <c r="N112" i="36"/>
  <c r="K183" i="34"/>
  <c r="AY293" i="10"/>
  <c r="BL293" i="10"/>
  <c r="BL245" i="10"/>
  <c r="BM408" i="10"/>
  <c r="BX250" i="10"/>
  <c r="BD250" i="10"/>
  <c r="BL250" i="10"/>
  <c r="BX445" i="10"/>
  <c r="BD445" i="10"/>
  <c r="BX155" i="10"/>
  <c r="BD155" i="10"/>
  <c r="BK139" i="10"/>
  <c r="BE495" i="10"/>
  <c r="BF495" i="10"/>
  <c r="BM473" i="10"/>
  <c r="BN311" i="10"/>
  <c r="BW311" i="10"/>
  <c r="BC311" i="10"/>
  <c r="BE311" i="10"/>
  <c r="BF311" i="10"/>
  <c r="BM75" i="10"/>
  <c r="BM19" i="10"/>
  <c r="BM295" i="10"/>
  <c r="AY276" i="10"/>
  <c r="BL276" i="10"/>
  <c r="BW262" i="10"/>
  <c r="BN262" i="10"/>
  <c r="BC262" i="10"/>
  <c r="BE262" i="10"/>
  <c r="BF262" i="10"/>
  <c r="BL287" i="10"/>
  <c r="BX287" i="10"/>
  <c r="BD287" i="10"/>
  <c r="AX287" i="10"/>
  <c r="AZ287" i="10"/>
  <c r="BA287" i="10"/>
  <c r="BD271" i="10"/>
  <c r="BX271" i="10"/>
  <c r="BD483" i="10"/>
  <c r="BX483" i="10"/>
  <c r="BL483" i="10"/>
  <c r="BM483" i="10"/>
  <c r="BK431" i="10"/>
  <c r="BD39" i="10"/>
  <c r="BX39" i="10"/>
  <c r="BL39" i="10"/>
  <c r="N115" i="36"/>
  <c r="P115" i="36"/>
  <c r="BM245" i="10"/>
  <c r="BX395" i="10"/>
  <c r="BD395" i="10"/>
  <c r="BM309" i="10"/>
  <c r="BM267" i="10"/>
  <c r="BM20" i="10"/>
  <c r="BK274" i="10"/>
  <c r="BN472" i="10"/>
  <c r="BW472" i="10"/>
  <c r="BC472" i="10"/>
  <c r="BE472" i="10"/>
  <c r="BF472" i="10"/>
  <c r="BD311" i="10"/>
  <c r="BX311" i="10"/>
  <c r="BM30" i="10"/>
  <c r="BM306" i="10"/>
  <c r="BE282" i="10"/>
  <c r="BF282" i="10"/>
  <c r="BN397" i="10"/>
  <c r="BW397" i="10"/>
  <c r="BC397" i="10"/>
  <c r="BE397" i="10"/>
  <c r="BF397" i="10"/>
  <c r="P599" i="10"/>
  <c r="BE19" i="10"/>
  <c r="Q592" i="10"/>
  <c r="BX592" i="10"/>
  <c r="BN270" i="10"/>
  <c r="BW270" i="10"/>
  <c r="BC270" i="10"/>
  <c r="BE270" i="10"/>
  <c r="BF270" i="10"/>
  <c r="BM55" i="10"/>
  <c r="BE474" i="10"/>
  <c r="BF474" i="10"/>
  <c r="BE408" i="10"/>
  <c r="BF408" i="10"/>
  <c r="BM167" i="10"/>
  <c r="BD305" i="10"/>
  <c r="BX305" i="10"/>
  <c r="BL305" i="10"/>
  <c r="J186" i="34"/>
  <c r="L186" i="34"/>
  <c r="P604" i="10"/>
  <c r="BE288" i="10"/>
  <c r="BF288" i="10"/>
  <c r="AY43" i="10"/>
  <c r="BL43" i="10"/>
  <c r="BM141" i="10"/>
  <c r="BE78" i="10"/>
  <c r="BF78" i="10"/>
  <c r="BD269" i="10"/>
  <c r="BX269" i="10"/>
  <c r="BL269" i="10"/>
  <c r="BX252" i="10"/>
  <c r="BD252" i="10"/>
  <c r="BM292" i="10"/>
  <c r="BN41" i="10"/>
  <c r="BW41" i="10"/>
  <c r="BC41" i="10"/>
  <c r="BE41" i="10"/>
  <c r="BF41" i="10"/>
  <c r="BX203" i="10"/>
  <c r="Q602" i="10"/>
  <c r="BD203" i="10"/>
  <c r="N72" i="36"/>
  <c r="K132" i="34"/>
  <c r="BD326" i="10"/>
  <c r="BX326" i="10"/>
  <c r="BM326" i="10"/>
  <c r="N5" i="36"/>
  <c r="BD396" i="10"/>
  <c r="BX396" i="10"/>
  <c r="BL396" i="10"/>
  <c r="BX146" i="10"/>
  <c r="BD146" i="10"/>
  <c r="BD286" i="10"/>
  <c r="BL286" i="10"/>
  <c r="BX286" i="10"/>
  <c r="BN301" i="10"/>
  <c r="BW301" i="10"/>
  <c r="BC301" i="10"/>
  <c r="BE301" i="10"/>
  <c r="BF301" i="10"/>
  <c r="BN272" i="10"/>
  <c r="BW272" i="10"/>
  <c r="BC272" i="10"/>
  <c r="BE272" i="10"/>
  <c r="BF272" i="10"/>
  <c r="BW393" i="10"/>
  <c r="BN393" i="10"/>
  <c r="BC393" i="10"/>
  <c r="BE393" i="10"/>
  <c r="BF393" i="10"/>
  <c r="BM100" i="10"/>
  <c r="BD251" i="10"/>
  <c r="BX251" i="10"/>
  <c r="BM301" i="10"/>
  <c r="BW248" i="10"/>
  <c r="BN248" i="10"/>
  <c r="BC248" i="10"/>
  <c r="BE248" i="10"/>
  <c r="BF248" i="10"/>
  <c r="BX426" i="10"/>
  <c r="BD426" i="10"/>
  <c r="BD103" i="10"/>
  <c r="BL103" i="10"/>
  <c r="BX103" i="10"/>
  <c r="BN304" i="10"/>
  <c r="BW304" i="10"/>
  <c r="BC304" i="10"/>
  <c r="BE304" i="10"/>
  <c r="BF304" i="10"/>
  <c r="BD136" i="10"/>
  <c r="BX136" i="10"/>
  <c r="BL136" i="10"/>
  <c r="BW268" i="10"/>
  <c r="BN268" i="10"/>
  <c r="BC268" i="10"/>
  <c r="BE268" i="10"/>
  <c r="BF268" i="10"/>
  <c r="BX261" i="10"/>
  <c r="BD261" i="10"/>
  <c r="BD79" i="10"/>
  <c r="BX79" i="10"/>
  <c r="BM79" i="10"/>
  <c r="BX421" i="10"/>
  <c r="BD421" i="10"/>
  <c r="BM421" i="10"/>
  <c r="BD273" i="10"/>
  <c r="BX273" i="10"/>
  <c r="BM273" i="10"/>
  <c r="BN454" i="10"/>
  <c r="BW454" i="10"/>
  <c r="BC454" i="10"/>
  <c r="BE454" i="10"/>
  <c r="BF454" i="10"/>
  <c r="K186" i="34"/>
  <c r="M186" i="34"/>
  <c r="BX293" i="10"/>
  <c r="BD293" i="10"/>
  <c r="BM293" i="10"/>
  <c r="BW319" i="10"/>
  <c r="BN319" i="10"/>
  <c r="BC319" i="10"/>
  <c r="BE319" i="10"/>
  <c r="BF319" i="10"/>
  <c r="BW258" i="10"/>
  <c r="BN258" i="10"/>
  <c r="BC258" i="10"/>
  <c r="BE258" i="10"/>
  <c r="BF258" i="10"/>
  <c r="BX308" i="10"/>
  <c r="BD308" i="10"/>
  <c r="BW300" i="10"/>
  <c r="BN300" i="10"/>
  <c r="BC300" i="10"/>
  <c r="BE300" i="10"/>
  <c r="BF300" i="10"/>
  <c r="BM300" i="10"/>
  <c r="BD139" i="10"/>
  <c r="BX139" i="10"/>
  <c r="BL139" i="10"/>
  <c r="BM139" i="10"/>
  <c r="BN306" i="10"/>
  <c r="BW306" i="10"/>
  <c r="BC306" i="10"/>
  <c r="BE306" i="10"/>
  <c r="BF306" i="10"/>
  <c r="BN259" i="10"/>
  <c r="BW259" i="10"/>
  <c r="BC259" i="10"/>
  <c r="BE259" i="10"/>
  <c r="BF259" i="10"/>
  <c r="O587" i="10"/>
  <c r="BN276" i="10"/>
  <c r="BW276" i="10"/>
  <c r="BC276" i="10"/>
  <c r="BE276" i="10"/>
  <c r="BF276" i="10"/>
  <c r="BD262" i="10"/>
  <c r="BX262" i="10"/>
  <c r="BX284" i="10"/>
  <c r="BD284" i="10"/>
  <c r="BM259" i="10"/>
  <c r="BX431" i="10"/>
  <c r="BD431" i="10"/>
  <c r="BL431" i="10"/>
  <c r="BM395" i="10"/>
  <c r="BD309" i="10"/>
  <c r="BL309" i="10"/>
  <c r="BX309" i="10"/>
  <c r="BX453" i="10"/>
  <c r="BD453" i="10"/>
  <c r="BM82" i="10"/>
  <c r="BX267" i="10"/>
  <c r="BD267" i="10"/>
  <c r="BD274" i="10"/>
  <c r="BX274" i="10"/>
  <c r="BL274" i="10"/>
  <c r="BN66" i="10"/>
  <c r="BW66" i="10"/>
  <c r="BC66" i="10"/>
  <c r="BE66" i="10"/>
  <c r="BF66" i="10"/>
  <c r="BM311" i="10"/>
  <c r="BX30" i="10"/>
  <c r="BD30" i="10"/>
  <c r="BL30" i="10"/>
  <c r="BX306" i="10"/>
  <c r="BD306" i="10"/>
  <c r="BL306" i="10"/>
  <c r="BM397" i="10"/>
  <c r="P588" i="10"/>
  <c r="BN247" i="10"/>
  <c r="BW247" i="10"/>
  <c r="BC247" i="10"/>
  <c r="BE247" i="10"/>
  <c r="BF247" i="10"/>
  <c r="BN166" i="10"/>
  <c r="BW166" i="10"/>
  <c r="P601" i="10"/>
  <c r="BC166" i="10"/>
  <c r="BE166" i="10"/>
  <c r="BF166" i="10"/>
  <c r="M50" i="36"/>
  <c r="C50" i="36"/>
  <c r="C147" i="36"/>
  <c r="J89" i="34"/>
  <c r="F616" i="10"/>
  <c r="BE261" i="10"/>
  <c r="BF261" i="10"/>
  <c r="BE119" i="10"/>
  <c r="BF119" i="10"/>
  <c r="J225" i="34"/>
  <c r="L225" i="34"/>
  <c r="P603" i="10"/>
  <c r="BX167" i="10"/>
  <c r="BD167" i="10"/>
  <c r="BL167" i="10"/>
  <c r="K96" i="34"/>
  <c r="M96" i="34"/>
  <c r="N55" i="36"/>
  <c r="P55" i="36"/>
  <c r="R55" i="36"/>
  <c r="BN305" i="10"/>
  <c r="BW305" i="10"/>
  <c r="BC305" i="10"/>
  <c r="BE305" i="10"/>
  <c r="BF305" i="10"/>
  <c r="BM305" i="10"/>
  <c r="BM256" i="10"/>
  <c r="M115" i="36"/>
  <c r="O115" i="36"/>
  <c r="Q115" i="36"/>
  <c r="C115" i="36"/>
  <c r="BE273" i="10"/>
  <c r="BF273" i="10"/>
  <c r="BE39" i="10"/>
  <c r="BF39" i="10"/>
  <c r="BN76" i="10"/>
  <c r="BW76" i="10"/>
  <c r="BC76" i="10"/>
  <c r="BE76" i="10"/>
  <c r="BF76" i="10"/>
  <c r="M112" i="36"/>
  <c r="BM43" i="10"/>
  <c r="BX141" i="10"/>
  <c r="BD141" i="10"/>
  <c r="BL141" i="10"/>
  <c r="AZ269" i="10"/>
  <c r="BA269" i="10"/>
  <c r="AY292" i="10"/>
  <c r="BD320" i="10"/>
  <c r="BX320" i="10"/>
  <c r="BE167" i="10"/>
  <c r="BF167" i="10"/>
  <c r="M89" i="34"/>
  <c r="K3" i="34"/>
  <c r="C12" i="36"/>
  <c r="AZ456" i="10"/>
  <c r="BA456" i="10"/>
  <c r="BL456" i="10"/>
  <c r="BL252" i="10"/>
  <c r="AZ267" i="10"/>
  <c r="BA267" i="10"/>
  <c r="BL267" i="10"/>
  <c r="BL262" i="10"/>
  <c r="AZ326" i="10"/>
  <c r="BA326" i="10"/>
  <c r="BL326" i="10"/>
  <c r="AZ252" i="10"/>
  <c r="BA252" i="10"/>
  <c r="BL75" i="10"/>
  <c r="BK308" i="10"/>
  <c r="BL471" i="10"/>
  <c r="AZ288" i="10"/>
  <c r="BA288" i="10"/>
  <c r="BL288" i="10"/>
  <c r="BL19" i="10"/>
  <c r="H651" i="10"/>
  <c r="H657" i="10"/>
  <c r="H646" i="10"/>
  <c r="BL203" i="10"/>
  <c r="BK319" i="10"/>
  <c r="AZ118" i="10"/>
  <c r="BA118" i="10"/>
  <c r="BK262" i="10"/>
  <c r="BL319" i="10"/>
  <c r="BL428" i="10"/>
  <c r="BL118" i="10"/>
  <c r="AZ474" i="10"/>
  <c r="BA474" i="10"/>
  <c r="BK19" i="10"/>
  <c r="BL257" i="10"/>
  <c r="BL277" i="10"/>
  <c r="BK146" i="10"/>
  <c r="AZ146" i="10"/>
  <c r="BA146" i="10"/>
  <c r="BL453" i="10"/>
  <c r="AZ453" i="10"/>
  <c r="BA453" i="10"/>
  <c r="AZ259" i="10"/>
  <c r="BA259" i="10"/>
  <c r="BL320" i="10"/>
  <c r="BK320" i="10"/>
  <c r="BK277" i="10"/>
  <c r="AZ432" i="10"/>
  <c r="BA432" i="10"/>
  <c r="BL303" i="10"/>
  <c r="BK303" i="10"/>
  <c r="AZ273" i="10"/>
  <c r="BA273" i="10"/>
  <c r="BK280" i="10"/>
  <c r="AZ100" i="10"/>
  <c r="BA100" i="10"/>
  <c r="AZ414" i="10"/>
  <c r="BA414" i="10"/>
  <c r="BK100" i="10"/>
  <c r="BK35" i="10"/>
  <c r="AZ203" i="10"/>
  <c r="BA203" i="10"/>
  <c r="BK270" i="10"/>
  <c r="AZ308" i="10"/>
  <c r="BA308" i="10"/>
  <c r="BL474" i="10"/>
  <c r="BL432" i="10"/>
  <c r="BK273" i="10"/>
  <c r="BK414" i="10"/>
  <c r="BL82" i="10"/>
  <c r="AZ82" i="10"/>
  <c r="BA82" i="10"/>
  <c r="BL35" i="10"/>
  <c r="AZ247" i="10"/>
  <c r="BA247" i="10"/>
  <c r="BK260" i="10"/>
  <c r="AZ284" i="10"/>
  <c r="BA284" i="10"/>
  <c r="AZ155" i="10"/>
  <c r="BA155" i="10"/>
  <c r="BL142" i="10"/>
  <c r="AZ56" i="10"/>
  <c r="BA56" i="10"/>
  <c r="BL259" i="10"/>
  <c r="BK284" i="10"/>
  <c r="BL131" i="10"/>
  <c r="BL260" i="10"/>
  <c r="AZ166" i="10"/>
  <c r="BA166" i="10"/>
  <c r="BL395" i="10"/>
  <c r="BL155" i="10"/>
  <c r="BL270" i="10"/>
  <c r="BK131" i="10"/>
  <c r="BL56" i="10"/>
  <c r="AZ395" i="10"/>
  <c r="BA395" i="10"/>
  <c r="BL166" i="10"/>
  <c r="AZ471" i="10"/>
  <c r="BA471" i="10"/>
  <c r="BL251" i="10"/>
  <c r="AZ265" i="10"/>
  <c r="BA265" i="10"/>
  <c r="BL78" i="10"/>
  <c r="BL299" i="10"/>
  <c r="BL280" i="10"/>
  <c r="BK251" i="10"/>
  <c r="BL265" i="10"/>
  <c r="BK419" i="10"/>
  <c r="AZ299" i="10"/>
  <c r="BA299" i="10"/>
  <c r="BL419" i="10"/>
  <c r="AZ257" i="10"/>
  <c r="BA257" i="10"/>
  <c r="BL247" i="10"/>
  <c r="F655" i="10"/>
  <c r="J258" i="34"/>
  <c r="K258" i="34"/>
  <c r="M258" i="34"/>
  <c r="AZ75" i="10"/>
  <c r="BA75" i="10"/>
  <c r="BK281" i="10"/>
  <c r="AZ281" i="10"/>
  <c r="BA281" i="10"/>
  <c r="AX588" i="10"/>
  <c r="BK102" i="10"/>
  <c r="AZ102" i="10"/>
  <c r="BA102" i="10"/>
  <c r="BN588" i="10"/>
  <c r="BN587" i="10"/>
  <c r="AZ142" i="10"/>
  <c r="BA142" i="10"/>
  <c r="F646" i="10"/>
  <c r="F651" i="10"/>
  <c r="O597" i="10"/>
  <c r="N148" i="36"/>
  <c r="P72" i="36"/>
  <c r="K256" i="34"/>
  <c r="BK292" i="10"/>
  <c r="AZ292" i="10"/>
  <c r="BA292" i="10"/>
  <c r="BK293" i="10"/>
  <c r="AZ293" i="10"/>
  <c r="BA293" i="10"/>
  <c r="BK426" i="10"/>
  <c r="AZ426" i="10"/>
  <c r="BA426" i="10"/>
  <c r="BK420" i="10"/>
  <c r="AZ420" i="10"/>
  <c r="BA420" i="10"/>
  <c r="BK427" i="10"/>
  <c r="AZ427" i="10"/>
  <c r="BA427" i="10"/>
  <c r="M148" i="36"/>
  <c r="O72" i="36"/>
  <c r="BL427" i="10"/>
  <c r="BK114" i="10"/>
  <c r="AZ114" i="10"/>
  <c r="BA114" i="10"/>
  <c r="AY587" i="10"/>
  <c r="AX587" i="10"/>
  <c r="AZ20" i="10"/>
  <c r="BA20" i="10"/>
  <c r="K252" i="34"/>
  <c r="M3" i="34"/>
  <c r="K250" i="34"/>
  <c r="K251" i="34"/>
  <c r="K254" i="34"/>
  <c r="M256" i="34"/>
  <c r="L89" i="34"/>
  <c r="L256" i="34" s="1"/>
  <c r="J256" i="34"/>
  <c r="O50" i="36"/>
  <c r="R50" i="36"/>
  <c r="M147" i="36"/>
  <c r="BK43" i="10"/>
  <c r="AZ43" i="10"/>
  <c r="BA43" i="10"/>
  <c r="N150" i="36"/>
  <c r="P112" i="36"/>
  <c r="BX587" i="10"/>
  <c r="Q597" i="10"/>
  <c r="X589" i="10"/>
  <c r="BL420" i="10"/>
  <c r="P147" i="36"/>
  <c r="J257" i="34"/>
  <c r="BK41" i="10"/>
  <c r="AZ41" i="10"/>
  <c r="BA41" i="10"/>
  <c r="O129" i="36"/>
  <c r="Q129" i="36"/>
  <c r="M149" i="36"/>
  <c r="J252" i="34"/>
  <c r="J250" i="34"/>
  <c r="J254" i="34"/>
  <c r="P597" i="10"/>
  <c r="BW587" i="10"/>
  <c r="BK445" i="10"/>
  <c r="AZ445" i="10"/>
  <c r="BA445" i="10"/>
  <c r="BL41" i="10"/>
  <c r="BL292" i="10"/>
  <c r="BK261" i="10"/>
  <c r="AZ261" i="10"/>
  <c r="BA261" i="10"/>
  <c r="AY588" i="10"/>
  <c r="AQ166" i="10"/>
  <c r="AS166" i="10"/>
  <c r="J259" i="34"/>
  <c r="D18" i="36"/>
  <c r="F18" i="36"/>
  <c r="K18" i="36"/>
  <c r="O18" i="36"/>
  <c r="D11" i="36"/>
  <c r="F11" i="36"/>
  <c r="K11" i="36"/>
  <c r="O11" i="36"/>
  <c r="D19" i="36"/>
  <c r="F19" i="36"/>
  <c r="K19" i="36"/>
  <c r="O19" i="36"/>
  <c r="D12" i="36"/>
  <c r="F12" i="36"/>
  <c r="K12" i="36"/>
  <c r="O12" i="36"/>
  <c r="Q12" i="36"/>
  <c r="BW588" i="10"/>
  <c r="Q589" i="10"/>
  <c r="BX589" i="10"/>
  <c r="K257" i="34"/>
  <c r="M132" i="34"/>
  <c r="M257" i="34"/>
  <c r="BH587" i="10"/>
  <c r="BF19" i="10"/>
  <c r="BE587" i="10"/>
  <c r="R115" i="36"/>
  <c r="BK271" i="10"/>
  <c r="AZ271" i="10"/>
  <c r="BA271" i="10"/>
  <c r="N147" i="36"/>
  <c r="C138" i="36"/>
  <c r="C139" i="36"/>
  <c r="C145" i="36"/>
  <c r="BK447" i="10"/>
  <c r="AZ447" i="10"/>
  <c r="BA447" i="10"/>
  <c r="BK133" i="10"/>
  <c r="AZ133" i="10"/>
  <c r="BA133" i="10"/>
  <c r="BK145" i="10"/>
  <c r="AZ145" i="10"/>
  <c r="BA145" i="10"/>
  <c r="C150" i="36"/>
  <c r="BK294" i="10"/>
  <c r="AZ294" i="10"/>
  <c r="BA294" i="10"/>
  <c r="BK264" i="10"/>
  <c r="AZ264" i="10"/>
  <c r="BA264" i="10"/>
  <c r="BK119" i="10"/>
  <c r="AZ119" i="10"/>
  <c r="BA119" i="10"/>
  <c r="BA19" i="10"/>
  <c r="M150" i="36"/>
  <c r="O112" i="36"/>
  <c r="Q112" i="36"/>
  <c r="P5" i="36"/>
  <c r="N138" i="36"/>
  <c r="N139" i="36"/>
  <c r="N145" i="36"/>
  <c r="P605" i="10"/>
  <c r="BK276" i="10"/>
  <c r="AZ276" i="10"/>
  <c r="BA276" i="10"/>
  <c r="BM587" i="10"/>
  <c r="BM588" i="10"/>
  <c r="K259" i="34"/>
  <c r="M183" i="34"/>
  <c r="M259" i="34"/>
  <c r="BK398" i="10"/>
  <c r="AZ398" i="10"/>
  <c r="BA398" i="10"/>
  <c r="Q605" i="10"/>
  <c r="BK421" i="10"/>
  <c r="AZ421" i="10"/>
  <c r="BA421" i="10"/>
  <c r="BK442" i="10"/>
  <c r="AZ442" i="10"/>
  <c r="BA442" i="10"/>
  <c r="BK137" i="10"/>
  <c r="AZ137" i="10"/>
  <c r="BA137" i="10"/>
  <c r="M145" i="36"/>
  <c r="O5" i="36"/>
  <c r="M138" i="36"/>
  <c r="BK311" i="10"/>
  <c r="AZ311" i="10"/>
  <c r="BA311" i="10"/>
  <c r="BK310" i="10"/>
  <c r="AZ310" i="10"/>
  <c r="BA310" i="10"/>
  <c r="BK298" i="10"/>
  <c r="AZ298" i="10"/>
  <c r="BA298" i="10"/>
  <c r="BK79" i="10"/>
  <c r="AZ79" i="10"/>
  <c r="BA79" i="10"/>
  <c r="P129" i="36"/>
  <c r="N149" i="36"/>
  <c r="BK278" i="10"/>
  <c r="AZ278" i="10"/>
  <c r="BA278" i="10"/>
  <c r="J251" i="34"/>
  <c r="F657" i="10"/>
  <c r="BK587" i="10"/>
  <c r="BK588" i="10"/>
  <c r="BL587" i="10"/>
  <c r="O145" i="36"/>
  <c r="O151" i="36"/>
  <c r="O152" i="36"/>
  <c r="Q5" i="36"/>
  <c r="R5" i="36"/>
  <c r="P145" i="36"/>
  <c r="P138" i="36"/>
  <c r="P139" i="36"/>
  <c r="BA588" i="10"/>
  <c r="BA587" i="10"/>
  <c r="P149" i="36"/>
  <c r="R129" i="36"/>
  <c r="M151" i="36"/>
  <c r="M152" i="36"/>
  <c r="AZ588" i="10"/>
  <c r="C151" i="36"/>
  <c r="C152" i="36"/>
  <c r="Q19" i="36"/>
  <c r="R19" i="36"/>
  <c r="O147" i="36"/>
  <c r="Q50" i="36"/>
  <c r="N151" i="36"/>
  <c r="N152" i="36"/>
  <c r="R12" i="36"/>
  <c r="Q11" i="36"/>
  <c r="R11" i="36"/>
  <c r="AQ587" i="10"/>
  <c r="AQ588" i="10"/>
  <c r="AR166" i="10"/>
  <c r="K260" i="34"/>
  <c r="K261" i="34"/>
  <c r="O148" i="36"/>
  <c r="Q72" i="36"/>
  <c r="BL588" i="10"/>
  <c r="AZ587" i="10"/>
  <c r="M139" i="36"/>
  <c r="O139" i="36"/>
  <c r="BF587" i="10"/>
  <c r="BF590" i="10"/>
  <c r="BF589" i="10"/>
  <c r="BF588" i="10"/>
  <c r="Q18" i="36"/>
  <c r="R18" i="36"/>
  <c r="J260" i="34"/>
  <c r="J261" i="34"/>
  <c r="P150" i="36"/>
  <c r="R112" i="36"/>
  <c r="M250" i="34"/>
  <c r="M252" i="34"/>
  <c r="M254" i="34"/>
  <c r="M260" i="34"/>
  <c r="P148" i="36"/>
  <c r="R72" i="36"/>
  <c r="M261" i="34"/>
  <c r="P151" i="36"/>
  <c r="P152" i="36"/>
  <c r="AR587" i="10"/>
  <c r="AR588" i="10"/>
  <c r="O39" i="6"/>
  <c r="O95" i="6"/>
  <c r="O35" i="6"/>
  <c r="O156" i="6"/>
  <c r="O180" i="6"/>
  <c r="O27" i="6"/>
  <c r="O22" i="6"/>
  <c r="O171" i="6"/>
  <c r="O76" i="6"/>
  <c r="O56" i="6"/>
  <c r="O175" i="6"/>
  <c r="O38" i="6"/>
  <c r="O82" i="6"/>
  <c r="O154" i="6"/>
  <c r="O164" i="6"/>
  <c r="O190" i="6"/>
  <c r="O160" i="6"/>
  <c r="O16" i="6"/>
  <c r="O178" i="6"/>
  <c r="O40" i="6"/>
  <c r="O43" i="6"/>
  <c r="O191" i="6"/>
  <c r="O50" i="6"/>
  <c r="O145" i="6"/>
  <c r="O14" i="6"/>
  <c r="O51" i="6"/>
  <c r="O41" i="6"/>
  <c r="O29" i="6"/>
  <c r="O23" i="6"/>
  <c r="O129" i="6"/>
  <c r="O105" i="6"/>
  <c r="O162" i="6"/>
  <c r="O177" i="6"/>
  <c r="O210" i="6"/>
  <c r="O211" i="6"/>
  <c r="O72" i="6"/>
  <c r="O187" i="6"/>
  <c r="O127" i="6"/>
  <c r="O121" i="6"/>
  <c r="O20" i="6"/>
  <c r="O218" i="6"/>
  <c r="O152" i="6"/>
  <c r="O149" i="6"/>
  <c r="O78" i="6"/>
  <c r="O70" i="6"/>
  <c r="O172" i="6"/>
  <c r="O153" i="6"/>
  <c r="O24" i="6"/>
  <c r="O26" i="6"/>
  <c r="O176" i="6"/>
  <c r="O150" i="6"/>
  <c r="O75" i="6"/>
  <c r="O115" i="6"/>
  <c r="O151" i="6"/>
  <c r="O12" i="6"/>
  <c r="O119" i="6"/>
  <c r="O148" i="6"/>
  <c r="O45" i="6"/>
  <c r="O36" i="6"/>
  <c r="O166" i="6"/>
  <c r="O55" i="6"/>
  <c r="O83" i="6"/>
  <c r="O204" i="6"/>
  <c r="O130" i="6"/>
  <c r="O126" i="6"/>
  <c r="O21" i="6"/>
  <c r="O31" i="6"/>
  <c r="O47" i="6"/>
  <c r="O33" i="6"/>
  <c r="O159" i="6"/>
  <c r="O168" i="6"/>
  <c r="O131" i="6"/>
  <c r="O125" i="6"/>
  <c r="O114" i="6"/>
  <c r="O117" i="6"/>
  <c r="O212" i="6"/>
  <c r="O147" i="6"/>
  <c r="O46" i="6"/>
  <c r="O60" i="6"/>
  <c r="O81" i="6"/>
  <c r="O79" i="6"/>
  <c r="O77" i="6"/>
  <c r="O53" i="6"/>
  <c r="O124" i="6"/>
  <c r="O111" i="6"/>
  <c r="O181" i="6"/>
  <c r="O44" i="6"/>
  <c r="O67" i="6"/>
  <c r="O179" i="6"/>
  <c r="O120" i="6"/>
  <c r="O182" i="6"/>
  <c r="O155" i="6"/>
  <c r="O100" i="6"/>
  <c r="O216" i="6"/>
  <c r="O194" i="6"/>
  <c r="O217" i="6"/>
  <c r="O80" i="6"/>
  <c r="O118" i="6"/>
  <c r="O208" i="6"/>
  <c r="O184" i="6"/>
  <c r="O215" i="6"/>
  <c r="O42" i="6"/>
  <c r="O167" i="6"/>
  <c r="O103" i="6"/>
  <c r="O158" i="6"/>
  <c r="O201" i="6"/>
  <c r="O209" i="6"/>
  <c r="O214" i="6"/>
  <c r="O174" i="6"/>
  <c r="O138" i="6"/>
  <c r="O74" i="6"/>
  <c r="O170" i="6"/>
  <c r="O128" i="6"/>
  <c r="O186" i="6"/>
  <c r="O213" i="6"/>
  <c r="O185" i="6"/>
  <c r="O49" i="6"/>
  <c r="O34" i="6"/>
  <c r="O173" i="6"/>
  <c r="O157" i="6"/>
  <c r="O71" i="6"/>
  <c r="O169" i="6"/>
  <c r="O15" i="6"/>
  <c r="O146" i="6"/>
  <c r="O188" i="6"/>
  <c r="O37" i="6"/>
  <c r="D79" i="23"/>
  <c r="D187" i="23"/>
  <c r="O187" i="23"/>
  <c r="D175" i="23"/>
  <c r="O175" i="23"/>
  <c r="D160" i="23"/>
  <c r="O160" i="23"/>
  <c r="D152" i="23"/>
  <c r="O152" i="23"/>
  <c r="D80" i="23"/>
  <c r="O80" i="23"/>
  <c r="D210" i="23"/>
  <c r="O210" i="23"/>
  <c r="D57" i="23"/>
  <c r="O57" i="23"/>
  <c r="D72" i="23"/>
  <c r="O72" i="23"/>
  <c r="D215" i="23"/>
  <c r="O215" i="23"/>
  <c r="D25" i="23"/>
  <c r="O25" i="23"/>
  <c r="D39" i="23"/>
  <c r="O39" i="23"/>
  <c r="D174" i="23"/>
  <c r="O174" i="23"/>
  <c r="D46" i="23"/>
  <c r="D28" i="23"/>
  <c r="O28" i="23"/>
  <c r="D190" i="23"/>
  <c r="O190" i="23"/>
  <c r="D209" i="23"/>
  <c r="O209" i="23"/>
  <c r="D40" i="23"/>
  <c r="O40" i="23"/>
  <c r="D204" i="23"/>
  <c r="O204" i="23"/>
  <c r="D170" i="23"/>
  <c r="O170" i="23"/>
  <c r="D186" i="23"/>
  <c r="O186" i="23"/>
  <c r="D23" i="23"/>
  <c r="O23" i="23"/>
  <c r="D105" i="23"/>
  <c r="O105" i="23"/>
  <c r="D111" i="23"/>
  <c r="O111" i="23"/>
  <c r="D146" i="23"/>
  <c r="O146" i="23"/>
  <c r="D128" i="23"/>
  <c r="O128" i="23"/>
  <c r="D130" i="23"/>
  <c r="O130" i="23"/>
  <c r="D217" i="23"/>
  <c r="O217" i="23"/>
  <c r="D118" i="23"/>
  <c r="O118" i="23"/>
  <c r="D81" i="23"/>
  <c r="O81" i="23"/>
  <c r="D167" i="23"/>
  <c r="O167" i="23"/>
  <c r="D120" i="23"/>
  <c r="O120" i="23"/>
  <c r="D158" i="23"/>
  <c r="O158" i="23"/>
  <c r="D22" i="23"/>
  <c r="O22" i="23"/>
  <c r="D27" i="23"/>
  <c r="O27" i="23"/>
  <c r="D171" i="23"/>
  <c r="O171" i="23"/>
  <c r="D114" i="23"/>
  <c r="O114" i="23"/>
  <c r="D68" i="23"/>
  <c r="O68" i="23"/>
  <c r="D121" i="23"/>
  <c r="O121" i="23"/>
  <c r="D153" i="23"/>
  <c r="O153" i="23"/>
  <c r="D41" i="23"/>
  <c r="O41" i="23"/>
  <c r="D211" i="23"/>
  <c r="O211" i="23"/>
  <c r="D44" i="23"/>
  <c r="O44" i="23"/>
  <c r="D45" i="23"/>
  <c r="O45" i="23"/>
  <c r="D218" i="23"/>
  <c r="O218" i="23"/>
  <c r="D34" i="23"/>
  <c r="O34" i="23"/>
  <c r="D168" i="23"/>
  <c r="O168" i="23"/>
  <c r="D52" i="23"/>
  <c r="O52" i="23"/>
  <c r="D35" i="23"/>
  <c r="O35" i="23"/>
  <c r="D56" i="23"/>
  <c r="O56" i="23"/>
  <c r="D127" i="23"/>
  <c r="O127" i="23"/>
  <c r="D117" i="23"/>
  <c r="O117" i="23"/>
  <c r="D177" i="23"/>
  <c r="O177" i="23"/>
  <c r="D103" i="23"/>
  <c r="O103" i="23"/>
  <c r="D181" i="23"/>
  <c r="O181" i="23"/>
  <c r="D100" i="23"/>
  <c r="O100" i="23"/>
  <c r="D48" i="23"/>
  <c r="O48" i="23"/>
  <c r="D71" i="23"/>
  <c r="O71" i="23"/>
  <c r="D151" i="23"/>
  <c r="O151" i="23"/>
  <c r="D191" i="23"/>
  <c r="O191" i="23"/>
  <c r="D208" i="23"/>
  <c r="O208" i="23"/>
  <c r="D213" i="23"/>
  <c r="O213" i="23"/>
  <c r="D42" i="23"/>
  <c r="O42" i="23"/>
  <c r="D17" i="23"/>
  <c r="O17" i="23"/>
  <c r="D185" i="23"/>
  <c r="O185" i="23"/>
  <c r="D159" i="23"/>
  <c r="O159" i="23"/>
  <c r="D131" i="23"/>
  <c r="O131" i="23"/>
  <c r="D169" i="23"/>
  <c r="O169" i="23"/>
  <c r="D147" i="23"/>
  <c r="O147" i="23"/>
  <c r="D145" i="23"/>
  <c r="O145" i="23"/>
  <c r="D124" i="23"/>
  <c r="O124" i="23"/>
  <c r="D155" i="23"/>
  <c r="O155" i="23"/>
  <c r="D156" i="23"/>
  <c r="O156" i="23"/>
  <c r="D50" i="23"/>
  <c r="O50" i="23"/>
  <c r="D24" i="23"/>
  <c r="O24" i="23"/>
  <c r="D61" i="23"/>
  <c r="O61" i="23"/>
  <c r="D15" i="23"/>
  <c r="O15" i="23"/>
  <c r="D78" i="23"/>
  <c r="O78" i="23"/>
  <c r="D16" i="23"/>
  <c r="O16" i="23"/>
  <c r="D154" i="23"/>
  <c r="O154" i="23"/>
  <c r="D166" i="23"/>
  <c r="O166" i="23"/>
  <c r="D30" i="23"/>
  <c r="O30" i="23"/>
  <c r="D194" i="23"/>
  <c r="O194" i="23"/>
  <c r="D75" i="23"/>
  <c r="O75" i="23"/>
  <c r="D38" i="23"/>
  <c r="O38" i="23"/>
  <c r="D51" i="23"/>
  <c r="O51" i="23"/>
  <c r="D13" i="23"/>
  <c r="O13" i="23"/>
  <c r="D83" i="23"/>
  <c r="O83" i="23"/>
  <c r="D173" i="23"/>
  <c r="O173" i="23"/>
  <c r="D184" i="23"/>
  <c r="O184" i="23"/>
  <c r="D21" i="23"/>
  <c r="O21" i="23"/>
  <c r="D95" i="23"/>
  <c r="O95" i="23"/>
  <c r="D157" i="23"/>
  <c r="O157" i="23"/>
  <c r="D162" i="23"/>
  <c r="O162" i="23"/>
  <c r="D32" i="23"/>
  <c r="O32" i="23"/>
  <c r="D37" i="23"/>
  <c r="O37" i="23"/>
  <c r="D212" i="23"/>
  <c r="O212" i="23"/>
  <c r="D126" i="23"/>
  <c r="O126" i="23"/>
  <c r="D216" i="23"/>
  <c r="O216" i="23"/>
  <c r="D129" i="23"/>
  <c r="O129" i="23"/>
  <c r="D201" i="23"/>
  <c r="O201" i="23"/>
  <c r="D188" i="23"/>
  <c r="O188" i="23"/>
  <c r="D43" i="23"/>
  <c r="O43" i="23"/>
  <c r="D119" i="23"/>
  <c r="O119" i="23"/>
  <c r="D182" i="23"/>
  <c r="O182" i="23"/>
  <c r="D178" i="23"/>
  <c r="O178" i="23"/>
  <c r="D172" i="23"/>
  <c r="O172" i="23"/>
  <c r="D36" i="23"/>
  <c r="O36" i="23"/>
  <c r="D47" i="23"/>
  <c r="O47" i="23"/>
  <c r="D176" i="23"/>
  <c r="O176" i="23"/>
  <c r="D138" i="23"/>
  <c r="O138" i="23"/>
  <c r="D149" i="23"/>
  <c r="O149" i="23"/>
  <c r="D179" i="23"/>
  <c r="O179" i="23"/>
  <c r="D115" i="23"/>
  <c r="O115" i="23"/>
  <c r="D77" i="23"/>
  <c r="O77" i="23"/>
  <c r="D150" i="23"/>
  <c r="O150" i="23"/>
  <c r="D73" i="23"/>
  <c r="O73" i="23"/>
  <c r="D76" i="23"/>
  <c r="O76" i="23"/>
  <c r="D148" i="23"/>
  <c r="O148" i="23"/>
  <c r="D54" i="23"/>
  <c r="O54" i="23"/>
  <c r="D180" i="23"/>
  <c r="O180" i="23"/>
  <c r="D214" i="23"/>
  <c r="O214" i="23"/>
  <c r="D125" i="23"/>
  <c r="O125" i="23"/>
  <c r="D164" i="23"/>
  <c r="O164" i="23"/>
  <c r="D82" i="23"/>
  <c r="O82" i="23"/>
  <c r="O46" i="23"/>
  <c r="O17" i="5"/>
  <c r="O18" i="5"/>
  <c r="O16" i="5"/>
  <c r="O19" i="5"/>
  <c r="O79" i="23"/>
  <c r="O15" i="5"/>
  <c r="O14" i="5"/>
  <c r="O13" i="5"/>
  <c r="O11" i="5"/>
  <c r="O108" i="6"/>
  <c r="D108" i="23"/>
  <c r="O108" i="23"/>
  <c r="B22" i="59"/>
  <c r="B13" i="59"/>
  <c r="B46" i="59"/>
  <c r="B21" i="59"/>
  <c r="B106" i="59"/>
  <c r="B98" i="59"/>
  <c r="B62" i="59"/>
  <c r="B107" i="59"/>
  <c r="B51" i="59"/>
  <c r="B195" i="59"/>
  <c r="B52" i="59"/>
  <c r="B153" i="59"/>
  <c r="B147" i="59"/>
  <c r="B174" i="59"/>
  <c r="B176" i="59"/>
  <c r="B58" i="59"/>
  <c r="B9" i="59"/>
  <c r="B7" i="59"/>
  <c r="B24" i="59"/>
  <c r="B132" i="59"/>
  <c r="B131" i="59"/>
  <c r="B49" i="59"/>
  <c r="B102" i="59"/>
  <c r="B89" i="59"/>
  <c r="B152" i="59"/>
  <c r="B163" i="59"/>
  <c r="B194" i="59"/>
  <c r="B224" i="59"/>
  <c r="B164" i="59"/>
  <c r="B220" i="59"/>
  <c r="B114" i="59"/>
  <c r="B23" i="59"/>
  <c r="B8" i="59"/>
  <c r="B109" i="59"/>
  <c r="B87" i="59"/>
  <c r="B57" i="59"/>
  <c r="B104" i="59"/>
  <c r="B50" i="59"/>
  <c r="B61" i="59"/>
  <c r="B162" i="59"/>
  <c r="B175" i="59"/>
  <c r="B180" i="59"/>
  <c r="B209" i="59"/>
  <c r="B161" i="59"/>
  <c r="B225" i="59"/>
  <c r="B191" i="59"/>
  <c r="B229" i="59"/>
  <c r="B179" i="59"/>
  <c r="B134" i="59"/>
  <c r="B6" i="59"/>
  <c r="B11" i="59"/>
  <c r="B99" i="59"/>
  <c r="B55" i="59"/>
  <c r="B93" i="59"/>
  <c r="B110" i="59"/>
  <c r="B53" i="59"/>
  <c r="B158" i="59"/>
  <c r="B196" i="59"/>
  <c r="B172" i="59"/>
  <c r="B177" i="59"/>
  <c r="B149" i="59"/>
  <c r="B111" i="59"/>
  <c r="B14" i="59"/>
  <c r="B12" i="59"/>
  <c r="B67" i="59"/>
  <c r="B96" i="59"/>
  <c r="B135" i="59"/>
  <c r="B64" i="59"/>
  <c r="B66" i="59"/>
  <c r="B108" i="59"/>
  <c r="B59" i="59"/>
  <c r="B160" i="59"/>
  <c r="B193" i="59"/>
  <c r="B182" i="59"/>
  <c r="B148" i="59"/>
  <c r="B227" i="59"/>
  <c r="B166" i="59"/>
  <c r="B226" i="59"/>
  <c r="B201" i="59"/>
  <c r="B181" i="59"/>
  <c r="B44" i="59"/>
  <c r="B18" i="59"/>
  <c r="B15" i="59"/>
  <c r="B54" i="59"/>
  <c r="B130" i="59"/>
  <c r="B97" i="59"/>
  <c r="B88" i="59"/>
  <c r="B56" i="59"/>
  <c r="B94" i="59"/>
  <c r="B63" i="59"/>
  <c r="B170" i="59"/>
  <c r="B154" i="59"/>
  <c r="B155" i="59"/>
  <c r="B169" i="59"/>
  <c r="B150" i="59"/>
  <c r="B25" i="59"/>
  <c r="B133" i="59"/>
  <c r="B200" i="59"/>
  <c r="B199" i="59"/>
  <c r="B16" i="59"/>
  <c r="B105" i="59"/>
  <c r="B65" i="59"/>
  <c r="B100" i="59"/>
  <c r="B95" i="59"/>
  <c r="B159" i="59"/>
  <c r="B156" i="59"/>
  <c r="B204" i="59"/>
  <c r="B202" i="59"/>
  <c r="B19" i="59"/>
  <c r="B10" i="59"/>
  <c r="B45" i="59"/>
  <c r="B20" i="59"/>
  <c r="B101" i="59"/>
  <c r="B68" i="59"/>
  <c r="B92" i="59"/>
  <c r="B142" i="59"/>
  <c r="B171" i="59"/>
  <c r="B151" i="59"/>
  <c r="B168" i="59"/>
  <c r="B173" i="59"/>
  <c r="B157" i="59"/>
  <c r="B165" i="59"/>
  <c r="B198" i="59"/>
  <c r="B183" i="59"/>
  <c r="B178" i="59"/>
  <c r="B203" i="59"/>
  <c r="D157" i="59"/>
  <c r="E157" i="59"/>
  <c r="E19" i="59"/>
  <c r="D19" i="59"/>
  <c r="E65" i="59"/>
  <c r="D65" i="59"/>
  <c r="E25" i="59"/>
  <c r="D25" i="59"/>
  <c r="E154" i="59"/>
  <c r="D154" i="59"/>
  <c r="E56" i="59"/>
  <c r="D56" i="59"/>
  <c r="E201" i="59"/>
  <c r="D201" i="59"/>
  <c r="E148" i="59"/>
  <c r="D148" i="59"/>
  <c r="E59" i="59"/>
  <c r="D59" i="59"/>
  <c r="E172" i="59"/>
  <c r="D172" i="59"/>
  <c r="D11" i="59"/>
  <c r="E11" i="59"/>
  <c r="E191" i="59"/>
  <c r="D191" i="59"/>
  <c r="E224" i="59"/>
  <c r="D224" i="59"/>
  <c r="E176" i="59"/>
  <c r="D176" i="59"/>
  <c r="E52" i="59"/>
  <c r="D52" i="59"/>
  <c r="E62" i="59"/>
  <c r="D62" i="59"/>
  <c r="E46" i="59"/>
  <c r="D46" i="59"/>
  <c r="E178" i="59"/>
  <c r="D178" i="59"/>
  <c r="E171" i="59"/>
  <c r="D171" i="59"/>
  <c r="E101" i="59"/>
  <c r="D101" i="59"/>
  <c r="E156" i="59"/>
  <c r="D156" i="59"/>
  <c r="D150" i="59"/>
  <c r="E150" i="59"/>
  <c r="E170" i="59"/>
  <c r="D170" i="59"/>
  <c r="E88" i="59"/>
  <c r="D88" i="59"/>
  <c r="E15" i="59"/>
  <c r="D15" i="59"/>
  <c r="D226" i="59"/>
  <c r="E226" i="59"/>
  <c r="E108" i="59"/>
  <c r="D108" i="59"/>
  <c r="E96" i="59"/>
  <c r="D96" i="59"/>
  <c r="E110" i="59"/>
  <c r="D110" i="59"/>
  <c r="E180" i="59"/>
  <c r="D180" i="59"/>
  <c r="E50" i="59"/>
  <c r="D50" i="59"/>
  <c r="E109" i="59"/>
  <c r="D109" i="59"/>
  <c r="E89" i="59"/>
  <c r="D89" i="59"/>
  <c r="E132" i="59"/>
  <c r="D132" i="59"/>
  <c r="E195" i="59"/>
  <c r="D195" i="59"/>
  <c r="E13" i="59"/>
  <c r="D13" i="59"/>
  <c r="E183" i="59"/>
  <c r="D183" i="59"/>
  <c r="E20" i="59"/>
  <c r="D20" i="59"/>
  <c r="E105" i="59"/>
  <c r="D105" i="59"/>
  <c r="D199" i="59"/>
  <c r="E199" i="59"/>
  <c r="E182" i="59"/>
  <c r="D182" i="59"/>
  <c r="E93" i="59"/>
  <c r="D93" i="59"/>
  <c r="E225" i="59"/>
  <c r="D225" i="59"/>
  <c r="E175" i="59"/>
  <c r="D175" i="59"/>
  <c r="E114" i="59"/>
  <c r="D114" i="59"/>
  <c r="D102" i="59"/>
  <c r="E102" i="59"/>
  <c r="D174" i="59"/>
  <c r="E174" i="59"/>
  <c r="E98" i="59"/>
  <c r="D98" i="59"/>
  <c r="E173" i="59"/>
  <c r="D173" i="59"/>
  <c r="E142" i="59"/>
  <c r="D142" i="59"/>
  <c r="E159" i="59"/>
  <c r="D159" i="59"/>
  <c r="E200" i="59"/>
  <c r="D200" i="59"/>
  <c r="E63" i="59"/>
  <c r="D63" i="59"/>
  <c r="E18" i="59"/>
  <c r="D18" i="59"/>
  <c r="D193" i="59"/>
  <c r="E193" i="59"/>
  <c r="E66" i="59"/>
  <c r="D66" i="59"/>
  <c r="E67" i="59"/>
  <c r="D67" i="59"/>
  <c r="E111" i="59"/>
  <c r="D111" i="59"/>
  <c r="E196" i="59"/>
  <c r="B230" i="59"/>
  <c r="E6" i="59"/>
  <c r="D6" i="59"/>
  <c r="E134" i="59"/>
  <c r="D134" i="59"/>
  <c r="D104" i="59"/>
  <c r="E104" i="59"/>
  <c r="E8" i="59"/>
  <c r="D8" i="59"/>
  <c r="E194" i="59"/>
  <c r="D194" i="59"/>
  <c r="D24" i="59"/>
  <c r="E24" i="59"/>
  <c r="D147" i="59"/>
  <c r="E147" i="59"/>
  <c r="E51" i="59"/>
  <c r="D51" i="59"/>
  <c r="E106" i="59"/>
  <c r="D106" i="59"/>
  <c r="E198" i="59"/>
  <c r="D198" i="59"/>
  <c r="D92" i="59"/>
  <c r="E92" i="59"/>
  <c r="D95" i="59"/>
  <c r="E95" i="59"/>
  <c r="D169" i="59"/>
  <c r="E169" i="59"/>
  <c r="E97" i="59"/>
  <c r="D97" i="59"/>
  <c r="D166" i="59"/>
  <c r="E166" i="59"/>
  <c r="D161" i="59"/>
  <c r="E161" i="59"/>
  <c r="D162" i="59"/>
  <c r="E162" i="59"/>
  <c r="E23" i="59"/>
  <c r="D23" i="59"/>
  <c r="E220" i="59"/>
  <c r="D220" i="59"/>
  <c r="E163" i="59"/>
  <c r="D163" i="59"/>
  <c r="E7" i="59"/>
  <c r="D7" i="59"/>
  <c r="E22" i="59"/>
  <c r="D22" i="59"/>
  <c r="E168" i="59"/>
  <c r="D168" i="59"/>
  <c r="D45" i="59"/>
  <c r="E45" i="59"/>
  <c r="D202" i="59"/>
  <c r="E202" i="59"/>
  <c r="E16" i="59"/>
  <c r="D16" i="59"/>
  <c r="E133" i="59"/>
  <c r="D133" i="59"/>
  <c r="E155" i="59"/>
  <c r="D155" i="59"/>
  <c r="D94" i="59"/>
  <c r="E94" i="59"/>
  <c r="E130" i="59"/>
  <c r="D130" i="59"/>
  <c r="E12" i="59"/>
  <c r="D12" i="59"/>
  <c r="E149" i="59"/>
  <c r="D149" i="59"/>
  <c r="E158" i="59"/>
  <c r="D158" i="59"/>
  <c r="E55" i="59"/>
  <c r="D55" i="59"/>
  <c r="E179" i="59"/>
  <c r="D179" i="59"/>
  <c r="E57" i="59"/>
  <c r="D57" i="59"/>
  <c r="E49" i="59"/>
  <c r="D49" i="59"/>
  <c r="E107" i="59"/>
  <c r="D107" i="59"/>
  <c r="E21" i="59"/>
  <c r="D21" i="59"/>
  <c r="E165" i="59"/>
  <c r="D165" i="59"/>
  <c r="E68" i="59"/>
  <c r="D68" i="59"/>
  <c r="E204" i="59"/>
  <c r="D204" i="59"/>
  <c r="E100" i="59"/>
  <c r="D100" i="59"/>
  <c r="D44" i="59"/>
  <c r="E44" i="59"/>
  <c r="E181" i="59"/>
  <c r="D181" i="59"/>
  <c r="E227" i="59"/>
  <c r="D227" i="59"/>
  <c r="E160" i="59"/>
  <c r="D160" i="59"/>
  <c r="E64" i="59"/>
  <c r="D64" i="59"/>
  <c r="E177" i="59"/>
  <c r="D177" i="59"/>
  <c r="E61" i="59"/>
  <c r="D61" i="59"/>
  <c r="D87" i="59"/>
  <c r="E87" i="59"/>
  <c r="E152" i="59"/>
  <c r="D152" i="59"/>
  <c r="E131" i="59"/>
  <c r="D131" i="59"/>
  <c r="D9" i="59"/>
  <c r="E9" i="59"/>
  <c r="E58" i="59"/>
  <c r="D58" i="59"/>
  <c r="E153" i="59"/>
  <c r="D153" i="59"/>
  <c r="E203" i="59"/>
  <c r="D203" i="59"/>
  <c r="E10" i="59"/>
  <c r="D10" i="59"/>
  <c r="E151" i="59"/>
  <c r="D151" i="59"/>
  <c r="E54" i="59"/>
  <c r="D54" i="59"/>
  <c r="E135" i="59"/>
  <c r="D135" i="59"/>
  <c r="D14" i="59"/>
  <c r="E14" i="59"/>
  <c r="E53" i="59"/>
  <c r="D53" i="59"/>
  <c r="E99" i="59"/>
  <c r="D99" i="59"/>
  <c r="E229" i="59"/>
  <c r="D229" i="59"/>
  <c r="E209" i="59"/>
  <c r="D209" i="59"/>
  <c r="D164" i="59"/>
  <c r="E164" i="59"/>
  <c r="D230" i="59"/>
  <c r="O73" i="6"/>
  <c r="O87" i="6"/>
  <c r="O116" i="6"/>
  <c r="O107" i="6"/>
  <c r="O18" i="6"/>
  <c r="O97" i="6"/>
  <c r="O65" i="6"/>
  <c r="O94" i="6"/>
  <c r="O122" i="6"/>
  <c r="O64" i="6"/>
  <c r="O25" i="6"/>
  <c r="O142" i="6"/>
  <c r="O85" i="6"/>
  <c r="O193" i="6"/>
  <c r="O165" i="6"/>
  <c r="O17" i="6"/>
  <c r="O206" i="6"/>
  <c r="O143" i="6"/>
  <c r="O123" i="6"/>
  <c r="O144" i="6"/>
  <c r="O96" i="6"/>
  <c r="O102" i="6"/>
  <c r="O141" i="6"/>
  <c r="O137" i="6"/>
  <c r="O205" i="6"/>
  <c r="O195" i="6"/>
  <c r="O30" i="6"/>
  <c r="O93" i="6"/>
  <c r="O99" i="6"/>
  <c r="O58" i="6"/>
  <c r="O207" i="6"/>
  <c r="O57" i="6"/>
  <c r="O104" i="6"/>
  <c r="O68" i="6"/>
  <c r="O28" i="6"/>
  <c r="O197" i="6"/>
  <c r="O132" i="6"/>
  <c r="O48" i="6"/>
  <c r="O19" i="6"/>
  <c r="O98" i="6"/>
  <c r="D94" i="23"/>
  <c r="O94" i="23"/>
  <c r="D206" i="23"/>
  <c r="O206" i="23"/>
  <c r="O101" i="6"/>
  <c r="O66" i="6"/>
  <c r="D26" i="23"/>
  <c r="O26" i="23"/>
  <c r="D193" i="23"/>
  <c r="O193" i="23"/>
  <c r="D122" i="23"/>
  <c r="O122" i="23"/>
  <c r="D102" i="23"/>
  <c r="O102" i="23"/>
  <c r="O196" i="6"/>
  <c r="D93" i="23"/>
  <c r="O93" i="23"/>
  <c r="D58" i="23"/>
  <c r="O58" i="23"/>
  <c r="D137" i="23"/>
  <c r="O137" i="23"/>
  <c r="O109" i="6"/>
  <c r="D99" i="23"/>
  <c r="O99" i="23"/>
  <c r="D205" i="23"/>
  <c r="O205" i="23"/>
  <c r="D116" i="23"/>
  <c r="O116" i="23"/>
  <c r="D141" i="23"/>
  <c r="O141" i="23"/>
  <c r="D195" i="23"/>
  <c r="O195" i="23"/>
  <c r="D104" i="23"/>
  <c r="O104" i="23"/>
  <c r="D31" i="23"/>
  <c r="O31" i="23"/>
  <c r="D69" i="23"/>
  <c r="O69" i="23"/>
  <c r="D59" i="23"/>
  <c r="O59" i="23"/>
  <c r="D87" i="23"/>
  <c r="O87" i="23"/>
  <c r="O54" i="6"/>
  <c r="O59" i="6"/>
  <c r="O192" i="6"/>
  <c r="D123" i="23"/>
  <c r="O123" i="23"/>
  <c r="O189" i="6"/>
  <c r="O13" i="6"/>
  <c r="D66" i="23"/>
  <c r="O66" i="23"/>
  <c r="O88" i="6"/>
  <c r="D143" i="23"/>
  <c r="O143" i="23"/>
  <c r="D19" i="23"/>
  <c r="O19" i="23"/>
  <c r="O106" i="6"/>
  <c r="D65" i="23"/>
  <c r="O65" i="23"/>
  <c r="O203" i="6"/>
  <c r="D96" i="23"/>
  <c r="O96" i="23"/>
  <c r="D107" i="23"/>
  <c r="O107" i="23"/>
  <c r="O61" i="6"/>
  <c r="O113" i="6"/>
  <c r="O89" i="6"/>
  <c r="O136" i="6"/>
  <c r="O134" i="6"/>
  <c r="O110" i="6"/>
  <c r="O135" i="6"/>
  <c r="O140" i="6"/>
  <c r="O139" i="6"/>
  <c r="O32" i="6"/>
  <c r="O90" i="6"/>
  <c r="O52" i="6"/>
  <c r="O198" i="6"/>
  <c r="O202" i="6"/>
  <c r="O63" i="6"/>
  <c r="O91" i="6"/>
  <c r="O163" i="6"/>
  <c r="O84" i="6"/>
  <c r="O92" i="6"/>
  <c r="D18" i="23"/>
  <c r="O18" i="23"/>
  <c r="D29" i="23"/>
  <c r="O29" i="23"/>
  <c r="D101" i="23"/>
  <c r="O101" i="23"/>
  <c r="D67" i="23"/>
  <c r="O67" i="23"/>
  <c r="D74" i="23"/>
  <c r="O74" i="23"/>
  <c r="D60" i="23"/>
  <c r="O60" i="23"/>
  <c r="D196" i="23"/>
  <c r="O196" i="23"/>
  <c r="D55" i="23"/>
  <c r="O55" i="23"/>
  <c r="D106" i="23"/>
  <c r="O106" i="23"/>
  <c r="D132" i="23"/>
  <c r="O132" i="23"/>
  <c r="D134" i="23"/>
  <c r="O134" i="23"/>
  <c r="D84" i="23"/>
  <c r="O84" i="23"/>
  <c r="D49" i="23"/>
  <c r="O49" i="23"/>
  <c r="D92" i="23"/>
  <c r="O92" i="23"/>
  <c r="D163" i="23"/>
  <c r="O163" i="23"/>
  <c r="D64" i="23"/>
  <c r="O64" i="23"/>
  <c r="D207" i="23"/>
  <c r="O207" i="23"/>
  <c r="D90" i="23"/>
  <c r="O90" i="23"/>
  <c r="D91" i="23"/>
  <c r="O91" i="23"/>
  <c r="D142" i="23"/>
  <c r="O142" i="23"/>
  <c r="D144" i="23"/>
  <c r="O144" i="23"/>
  <c r="D33" i="23"/>
  <c r="O33" i="23"/>
  <c r="D202" i="23"/>
  <c r="O202" i="23"/>
  <c r="D139" i="23"/>
  <c r="O139" i="23"/>
  <c r="D110" i="23"/>
  <c r="O110" i="23"/>
  <c r="D89" i="23"/>
  <c r="O89" i="23"/>
  <c r="D85" i="23"/>
  <c r="O85" i="23"/>
  <c r="D14" i="23"/>
  <c r="O14" i="23"/>
  <c r="D88" i="23"/>
  <c r="O88" i="23"/>
  <c r="D53" i="23"/>
  <c r="O53" i="23"/>
  <c r="D189" i="23"/>
  <c r="O189" i="23"/>
  <c r="D98" i="23"/>
  <c r="O98" i="23"/>
  <c r="D109" i="23"/>
  <c r="O109" i="23"/>
  <c r="D165" i="23"/>
  <c r="O165" i="23"/>
  <c r="D140" i="23"/>
  <c r="O140" i="23"/>
  <c r="D20" i="23"/>
  <c r="O20" i="23"/>
  <c r="D198" i="23"/>
  <c r="O198" i="23"/>
  <c r="D136" i="23"/>
  <c r="O136" i="23"/>
  <c r="D135" i="23"/>
  <c r="O135" i="23"/>
  <c r="D197" i="23"/>
  <c r="O197" i="23"/>
  <c r="D203" i="23"/>
  <c r="O203" i="23"/>
  <c r="D97" i="23"/>
  <c r="O97" i="23"/>
  <c r="D113" i="23"/>
  <c r="O113" i="23"/>
  <c r="D192" i="23"/>
  <c r="O192" i="23"/>
  <c r="D62" i="23"/>
  <c r="O62" i="23"/>
  <c r="O12" i="5"/>
  <c r="O62" i="6"/>
  <c r="O112" i="6"/>
  <c r="O199" i="6"/>
  <c r="O11" i="6"/>
  <c r="O161" i="6"/>
  <c r="O200" i="6"/>
  <c r="O86" i="6"/>
  <c r="O69" i="6"/>
  <c r="O133" i="6"/>
  <c r="D21" i="5"/>
  <c r="D63" i="23"/>
  <c r="O63" i="23"/>
  <c r="D12" i="23"/>
  <c r="O12" i="23"/>
  <c r="D112" i="23"/>
  <c r="O112" i="23"/>
  <c r="D161" i="23"/>
  <c r="O161" i="23"/>
  <c r="D86" i="23"/>
  <c r="O86" i="23"/>
  <c r="D133" i="23"/>
  <c r="O133" i="23"/>
  <c r="D199" i="23"/>
  <c r="O199" i="23"/>
  <c r="D200" i="23"/>
  <c r="O200" i="23"/>
  <c r="D70" i="23"/>
  <c r="O70" i="23"/>
  <c r="D183" i="23"/>
  <c r="D219" i="23"/>
  <c r="O219" i="23"/>
  <c r="O221" i="23"/>
  <c r="O21" i="5"/>
  <c r="O23" i="5"/>
  <c r="D220" i="6"/>
  <c r="O220" i="6"/>
  <c r="O222" i="6"/>
  <c r="O183" i="6"/>
  <c r="O183" i="23"/>
  <c r="L180" i="34" l="1"/>
  <c r="I180" i="34"/>
  <c r="P180" i="34" s="1"/>
  <c r="P92" i="34"/>
  <c r="L92" i="34"/>
  <c r="L43" i="34"/>
  <c r="P43" i="34"/>
  <c r="P51" i="34"/>
  <c r="L51" i="34"/>
  <c r="P75" i="34"/>
  <c r="L75" i="34"/>
  <c r="P83" i="34"/>
  <c r="L83" i="34"/>
  <c r="L147" i="34"/>
  <c r="I147" i="34"/>
  <c r="P147" i="34" s="1"/>
  <c r="L179" i="34"/>
  <c r="I179" i="34"/>
  <c r="P179" i="34" s="1"/>
  <c r="P124" i="34"/>
  <c r="L124" i="34"/>
  <c r="I156" i="34"/>
  <c r="P156" i="34" s="1"/>
  <c r="L156" i="34"/>
  <c r="P5" i="34"/>
  <c r="L5" i="34"/>
  <c r="P125" i="34"/>
  <c r="L125" i="34"/>
  <c r="I212" i="34"/>
  <c r="P212" i="34" s="1"/>
  <c r="L212" i="34"/>
  <c r="P74" i="34"/>
  <c r="L74" i="34"/>
  <c r="P58" i="34"/>
  <c r="L58" i="34"/>
  <c r="L11" i="34"/>
  <c r="P11" i="34"/>
  <c r="L35" i="34"/>
  <c r="P35" i="34"/>
  <c r="L67" i="34"/>
  <c r="P67" i="34"/>
  <c r="L123" i="34"/>
  <c r="P123" i="34"/>
  <c r="I243" i="34"/>
  <c r="P243" i="34" s="1"/>
  <c r="L243" i="34"/>
  <c r="I135" i="34"/>
  <c r="P135" i="34" s="1"/>
  <c r="L135" i="34"/>
  <c r="L160" i="34"/>
  <c r="I160" i="34"/>
  <c r="P160" i="34" s="1"/>
  <c r="L72" i="34"/>
  <c r="P72" i="34"/>
  <c r="P109" i="34"/>
  <c r="L109" i="34"/>
  <c r="L30" i="34"/>
  <c r="P30" i="34"/>
  <c r="P128" i="34"/>
  <c r="L128" i="34"/>
  <c r="P113" i="34"/>
  <c r="L113" i="34"/>
  <c r="I249" i="34"/>
  <c r="P249" i="34" s="1"/>
  <c r="L249" i="34"/>
  <c r="P27" i="34"/>
  <c r="L27" i="34"/>
  <c r="I139" i="34"/>
  <c r="P139" i="34" s="1"/>
  <c r="L139" i="34"/>
  <c r="I171" i="34"/>
  <c r="P171" i="34" s="1"/>
  <c r="L171" i="34"/>
  <c r="I195" i="34"/>
  <c r="P195" i="34" s="1"/>
  <c r="L195" i="34"/>
  <c r="I211" i="34"/>
  <c r="P211" i="34" s="1"/>
  <c r="L211" i="34"/>
  <c r="G258" i="34"/>
  <c r="H219" i="34"/>
  <c r="L4" i="34"/>
  <c r="L59" i="34"/>
  <c r="L214" i="34"/>
  <c r="L258" i="34" s="1"/>
  <c r="I214" i="34"/>
  <c r="P214" i="34" s="1"/>
  <c r="L16" i="34"/>
  <c r="P16" i="34"/>
  <c r="P19" i="34"/>
  <c r="I163" i="34"/>
  <c r="P163" i="34" s="1"/>
  <c r="P101" i="34"/>
  <c r="L101" i="34"/>
  <c r="L192" i="34"/>
  <c r="I192" i="34"/>
  <c r="P192" i="34" s="1"/>
  <c r="L145" i="34"/>
  <c r="I145" i="34"/>
  <c r="P145" i="34" s="1"/>
  <c r="I142" i="34"/>
  <c r="P142" i="34" s="1"/>
  <c r="L142" i="34"/>
  <c r="P49" i="34"/>
  <c r="L49" i="34"/>
  <c r="I144" i="34"/>
  <c r="P144" i="34" s="1"/>
  <c r="L144" i="34"/>
  <c r="P20" i="34"/>
  <c r="L20" i="34"/>
  <c r="P44" i="34"/>
  <c r="L44" i="34"/>
  <c r="P60" i="34"/>
  <c r="L60" i="34"/>
  <c r="L100" i="34"/>
  <c r="P100" i="34"/>
  <c r="P108" i="34"/>
  <c r="L108" i="34"/>
  <c r="L116" i="34"/>
  <c r="P116" i="34"/>
  <c r="G257" i="34"/>
  <c r="H132" i="34"/>
  <c r="G259" i="34"/>
  <c r="I196" i="34"/>
  <c r="P196" i="34" s="1"/>
  <c r="L196" i="34"/>
  <c r="I204" i="34"/>
  <c r="P204" i="34" s="1"/>
  <c r="L204" i="34"/>
  <c r="G252" i="34"/>
  <c r="G254" i="34"/>
  <c r="H3" i="34"/>
  <c r="P99" i="34"/>
  <c r="L99" i="34"/>
  <c r="I187" i="34"/>
  <c r="P187" i="34" s="1"/>
  <c r="L187" i="34"/>
  <c r="L227" i="34"/>
  <c r="L41" i="34"/>
  <c r="H164" i="34"/>
  <c r="P53" i="34"/>
  <c r="L53" i="34"/>
  <c r="I239" i="34"/>
  <c r="P239" i="34" s="1"/>
  <c r="I166" i="34"/>
  <c r="P166" i="34" s="1"/>
  <c r="L61" i="34"/>
  <c r="P61" i="34"/>
  <c r="P47" i="34"/>
  <c r="P55" i="34"/>
  <c r="L55" i="34"/>
  <c r="P98" i="34"/>
  <c r="L98" i="34"/>
  <c r="I170" i="34"/>
  <c r="P170" i="34" s="1"/>
  <c r="L170" i="34"/>
  <c r="L110" i="34"/>
  <c r="P110" i="34"/>
  <c r="L120" i="34"/>
  <c r="P120" i="34"/>
  <c r="L69" i="34"/>
  <c r="P69" i="34"/>
  <c r="P106" i="34"/>
  <c r="P105" i="34"/>
  <c r="P15" i="34"/>
  <c r="L15" i="34"/>
  <c r="G250" i="34"/>
  <c r="L86" i="34"/>
  <c r="P102" i="34"/>
  <c r="L102" i="34"/>
  <c r="P22" i="34"/>
  <c r="L22" i="34"/>
  <c r="L177" i="34"/>
  <c r="I177" i="34"/>
  <c r="P177" i="34" s="1"/>
  <c r="P73" i="34"/>
  <c r="L73" i="34"/>
  <c r="L21" i="34"/>
  <c r="P21" i="34"/>
  <c r="P93" i="34"/>
  <c r="L93" i="34"/>
  <c r="P112" i="34"/>
  <c r="L112" i="34"/>
  <c r="L10" i="34"/>
  <c r="L117" i="34"/>
  <c r="L81" i="34"/>
  <c r="I172" i="34"/>
  <c r="P172" i="34" s="1"/>
  <c r="P119" i="34"/>
  <c r="P77" i="34"/>
  <c r="P122" i="34"/>
  <c r="I189" i="34"/>
  <c r="P189" i="34" s="1"/>
  <c r="L189" i="34"/>
  <c r="P62" i="34"/>
  <c r="L62" i="34"/>
  <c r="P115" i="34"/>
  <c r="I178" i="34"/>
  <c r="P178" i="34" s="1"/>
  <c r="L178" i="34"/>
  <c r="P103" i="34"/>
  <c r="P26" i="34"/>
  <c r="L26" i="34"/>
  <c r="L235" i="34"/>
  <c r="L206" i="34"/>
  <c r="L25" i="34"/>
  <c r="P25" i="34"/>
  <c r="I247" i="34"/>
  <c r="P247" i="34" s="1"/>
  <c r="L247" i="34"/>
  <c r="H91" i="34"/>
  <c r="I91" i="34" s="1"/>
  <c r="L33" i="34"/>
  <c r="P33" i="34"/>
  <c r="I205" i="34"/>
  <c r="P205" i="34" s="1"/>
  <c r="L205" i="34"/>
  <c r="L174" i="34"/>
  <c r="I174" i="34"/>
  <c r="P174" i="34" s="1"/>
  <c r="I241" i="34"/>
  <c r="P241" i="34" s="1"/>
  <c r="L241" i="34"/>
  <c r="G255" i="34"/>
  <c r="L131" i="34"/>
  <c r="P9" i="34"/>
  <c r="L9" i="34"/>
  <c r="I221" i="34"/>
  <c r="P221" i="34" s="1"/>
  <c r="I176" i="34"/>
  <c r="P176" i="34" s="1"/>
  <c r="L176" i="34"/>
  <c r="P50" i="34"/>
  <c r="L50" i="34"/>
  <c r="P127" i="34"/>
  <c r="L127" i="34"/>
  <c r="L8" i="34"/>
  <c r="P8" i="34"/>
  <c r="I238" i="34"/>
  <c r="P238" i="34" s="1"/>
  <c r="L238" i="34"/>
  <c r="L129" i="34"/>
  <c r="P129" i="34"/>
  <c r="L70" i="34"/>
  <c r="L107" i="34"/>
  <c r="L203" i="34"/>
  <c r="P46" i="34"/>
  <c r="P18" i="34"/>
  <c r="P39" i="34"/>
  <c r="L39" i="34"/>
  <c r="L38" i="34"/>
  <c r="P38" i="34"/>
  <c r="L97" i="34"/>
  <c r="P97" i="34"/>
  <c r="H250" i="34" l="1"/>
  <c r="L250" i="34" s="1"/>
  <c r="I3" i="34"/>
  <c r="H254" i="34"/>
  <c r="H260" i="34" s="1"/>
  <c r="H252" i="34"/>
  <c r="L219" i="34"/>
  <c r="I219" i="34"/>
  <c r="P219" i="34" s="1"/>
  <c r="I132" i="34"/>
  <c r="H257" i="34"/>
  <c r="H251" i="34"/>
  <c r="G251" i="34"/>
  <c r="H259" i="34"/>
  <c r="L164" i="34"/>
  <c r="L259" i="34" s="1"/>
  <c r="I164" i="34"/>
  <c r="P164" i="34" s="1"/>
  <c r="P91" i="34"/>
  <c r="L91" i="34"/>
  <c r="G260" i="34"/>
  <c r="P132" i="34" l="1"/>
  <c r="L132" i="34"/>
  <c r="L257" i="34" s="1"/>
  <c r="I252" i="34"/>
  <c r="P3" i="34"/>
  <c r="P250" i="34" s="1"/>
  <c r="I250" i="34"/>
  <c r="I251" i="34" s="1"/>
  <c r="L3" i="34"/>
  <c r="L252" i="34" l="1"/>
  <c r="L254" i="34"/>
  <c r="L260" i="34" s="1"/>
  <c r="L261"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Melva Yee</author>
  </authors>
  <commentList>
    <comment ref="AW7" authorId="0" shapeId="0" xr:uid="{C467CB81-EE70-4F29-9E0B-5DB1E016A340}">
      <text>
        <r>
          <rPr>
            <b/>
            <sz val="9"/>
            <color indexed="81"/>
            <rFont val="Tahoma"/>
            <family val="2"/>
          </rPr>
          <t>Melva Yee:</t>
        </r>
        <r>
          <rPr>
            <sz val="9"/>
            <color indexed="81"/>
            <rFont val="Tahoma"/>
            <family val="2"/>
          </rPr>
          <t xml:space="preserve">
Decision on revenue column will impact on this one.  
Historic - should read: Funded from DC revenue received and funding from other sources.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Greg Webb</author>
    <author>Melva Yee</author>
  </authors>
  <commentList>
    <comment ref="P221" authorId="0" shapeId="0" xr:uid="{00000000-0006-0000-0500-000001000000}">
      <text>
        <r>
          <rPr>
            <b/>
            <sz val="9"/>
            <color indexed="81"/>
            <rFont val="Tahoma"/>
            <family val="2"/>
          </rPr>
          <t>Greg Webb:</t>
        </r>
        <r>
          <rPr>
            <sz val="9"/>
            <color indexed="81"/>
            <rFont val="Tahoma"/>
            <family val="2"/>
          </rPr>
          <t xml:space="preserve">
Copy this formulae down when revenue allocation is completed</t>
        </r>
      </text>
    </comment>
    <comment ref="V221" authorId="0" shapeId="0" xr:uid="{FE38AEAB-C17C-4337-91F4-DDD897CEC36C}">
      <text>
        <r>
          <rPr>
            <b/>
            <sz val="9"/>
            <color indexed="81"/>
            <rFont val="Tahoma"/>
            <family val="2"/>
          </rPr>
          <t>Greg Webb:</t>
        </r>
        <r>
          <rPr>
            <sz val="9"/>
            <color indexed="81"/>
            <rFont val="Tahoma"/>
            <family val="2"/>
          </rPr>
          <t xml:space="preserve">
Copy this formulae down when revenue allocation is completed</t>
        </r>
      </text>
    </comment>
    <comment ref="BU221" authorId="0" shapeId="0" xr:uid="{F33E0503-50D3-48BB-B0AC-1EF3BD05D9E9}">
      <text>
        <r>
          <rPr>
            <b/>
            <sz val="9"/>
            <color indexed="81"/>
            <rFont val="Tahoma"/>
            <family val="2"/>
          </rPr>
          <t>Greg Webb:</t>
        </r>
        <r>
          <rPr>
            <sz val="9"/>
            <color indexed="81"/>
            <rFont val="Tahoma"/>
            <family val="2"/>
          </rPr>
          <t xml:space="preserve">
Copy this formulae down when revenue allocation is completed</t>
        </r>
      </text>
    </comment>
    <comment ref="G354" authorId="1" shapeId="0" xr:uid="{73653D1E-B427-4B8A-AED0-F16637D04123}">
      <text>
        <r>
          <rPr>
            <b/>
            <sz val="9"/>
            <color indexed="81"/>
            <rFont val="Tahoma"/>
            <family val="2"/>
          </rPr>
          <t>Melva Yee:</t>
        </r>
        <r>
          <rPr>
            <sz val="9"/>
            <color indexed="81"/>
            <rFont val="Tahoma"/>
            <family val="2"/>
          </rPr>
          <t xml:space="preserve">
Please can you add the type of work that was undertaken?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Greg Webb</author>
  </authors>
  <commentList>
    <comment ref="B261" authorId="0" shapeId="0" xr:uid="{B30C6819-54B1-4149-B50B-092B204DA10E}">
      <text>
        <r>
          <rPr>
            <b/>
            <sz val="9"/>
            <color indexed="81"/>
            <rFont val="Tahoma"/>
            <family val="2"/>
          </rPr>
          <t>Greg Webb:</t>
        </r>
        <r>
          <rPr>
            <sz val="9"/>
            <color indexed="81"/>
            <rFont val="Tahoma"/>
            <family val="2"/>
          </rPr>
          <t xml:space="preserve">
No CI 20 in Historic</t>
        </r>
      </text>
    </comment>
  </commentList>
</comments>
</file>

<file path=xl/sharedStrings.xml><?xml version="1.0" encoding="utf-8"?>
<sst xmlns="http://schemas.openxmlformats.org/spreadsheetml/2006/main" count="29064" uniqueCount="7058">
  <si>
    <t>PC2130128</t>
  </si>
  <si>
    <t>PC2130130</t>
  </si>
  <si>
    <t>PC2130131</t>
  </si>
  <si>
    <t>PC2130132</t>
  </si>
  <si>
    <t>PC2130133</t>
  </si>
  <si>
    <t>PC2130134</t>
  </si>
  <si>
    <t>PC2130135</t>
  </si>
  <si>
    <t>PC2130136</t>
  </si>
  <si>
    <t>PC2130140</t>
  </si>
  <si>
    <t>PC2130143</t>
  </si>
  <si>
    <t>PC2130144</t>
  </si>
  <si>
    <t>PC2130146</t>
  </si>
  <si>
    <t>PC2130147</t>
  </si>
  <si>
    <t>PC2130149</t>
  </si>
  <si>
    <t>PC2130155</t>
  </si>
  <si>
    <t>PC2130156</t>
  </si>
  <si>
    <t>PC2130157</t>
  </si>
  <si>
    <t>PC2130158</t>
  </si>
  <si>
    <t>PC2130160</t>
  </si>
  <si>
    <t>PC2130161</t>
  </si>
  <si>
    <t>PC2130162</t>
  </si>
  <si>
    <t>PC2130165</t>
  </si>
  <si>
    <t>PC2130166</t>
  </si>
  <si>
    <t>PC2130167</t>
  </si>
  <si>
    <t>PC2130170</t>
  </si>
  <si>
    <t>PC2130173</t>
  </si>
  <si>
    <t>PC2130174</t>
  </si>
  <si>
    <t>Pukekohe North East (Twomey-Anselmi)</t>
  </si>
  <si>
    <t>PC2130176</t>
  </si>
  <si>
    <t>PC2130180</t>
  </si>
  <si>
    <t>PC2130182</t>
  </si>
  <si>
    <t>PC2130183</t>
  </si>
  <si>
    <t>PC2130184</t>
  </si>
  <si>
    <t>PC2130185</t>
  </si>
  <si>
    <t>PC2130186</t>
  </si>
  <si>
    <t>SWEI Flat bush water quality ponds</t>
  </si>
  <si>
    <t>PC3200560</t>
  </si>
  <si>
    <t>Cost allocation – intergenerational equity</t>
  </si>
  <si>
    <t>PC3100805</t>
  </si>
  <si>
    <t>PC3100806</t>
  </si>
  <si>
    <t>PC3100810</t>
  </si>
  <si>
    <t>PC3100812</t>
  </si>
  <si>
    <t>PC3100813</t>
  </si>
  <si>
    <t>PC3100856</t>
  </si>
  <si>
    <t>PC3101002</t>
  </si>
  <si>
    <t>PC3101032</t>
  </si>
  <si>
    <t>PC3101072</t>
  </si>
  <si>
    <t>PC2130284</t>
  </si>
  <si>
    <t>PC2130287</t>
  </si>
  <si>
    <t>PC2130288</t>
  </si>
  <si>
    <t>PC2130289</t>
  </si>
  <si>
    <t>PC2130290</t>
  </si>
  <si>
    <t>PC2130291</t>
  </si>
  <si>
    <t>PC2130294</t>
  </si>
  <si>
    <t>PC2130295</t>
  </si>
  <si>
    <t>PC2130298</t>
  </si>
  <si>
    <t>PC2130299</t>
  </si>
  <si>
    <t>PC2130304</t>
  </si>
  <si>
    <t>PC2130307</t>
  </si>
  <si>
    <t>PC2130310</t>
  </si>
  <si>
    <t>PC2130311</t>
  </si>
  <si>
    <t>PC2130312</t>
  </si>
  <si>
    <t>PC2130313</t>
  </si>
  <si>
    <t>PC2130314</t>
  </si>
  <si>
    <t>PC2130315</t>
  </si>
  <si>
    <t>PC2130317</t>
  </si>
  <si>
    <t>PC2130318</t>
  </si>
  <si>
    <t>PC2130319</t>
  </si>
  <si>
    <t>PC2130322</t>
  </si>
  <si>
    <t>PC2130324</t>
  </si>
  <si>
    <t>PC2130325</t>
  </si>
  <si>
    <t>PC2030001</t>
  </si>
  <si>
    <t>PC2030005</t>
  </si>
  <si>
    <t>PC2030101</t>
  </si>
  <si>
    <t>PC2030102</t>
  </si>
  <si>
    <t>PC2030103</t>
  </si>
  <si>
    <t>PC2030104</t>
  </si>
  <si>
    <t>PC2030105</t>
  </si>
  <si>
    <t>PC2030106</t>
  </si>
  <si>
    <t>PC2030108</t>
  </si>
  <si>
    <t>PC2210200</t>
  </si>
  <si>
    <t>PC2210206</t>
  </si>
  <si>
    <t>PC2210207</t>
  </si>
  <si>
    <t>PC2210208</t>
  </si>
  <si>
    <t>PC2210209</t>
  </si>
  <si>
    <t>PC2210210</t>
  </si>
  <si>
    <t>PC2310103</t>
  </si>
  <si>
    <t>PC2310104</t>
  </si>
  <si>
    <t>PC2310107</t>
  </si>
  <si>
    <t>PC2310109</t>
  </si>
  <si>
    <t>Subtotal</t>
  </si>
  <si>
    <t>Auckland wide</t>
  </si>
  <si>
    <t xml:space="preserve">Revenue
Subsidy / FCs s200(1)(a) / third party s200(1)(b) / developer s200(1)(c) </t>
  </si>
  <si>
    <t>Net cost</t>
  </si>
  <si>
    <t>Activity suitable for funding by contributions in terms of community outcomes / R&amp;FP s101(3)(a)(i)</t>
  </si>
  <si>
    <t>Cost allocation – among sources of funding</t>
  </si>
  <si>
    <t>Cost and income</t>
  </si>
  <si>
    <t>Note: This area does not form part of the default print area</t>
  </si>
  <si>
    <t>Project details</t>
  </si>
  <si>
    <t>Growth capacity remaining</t>
  </si>
  <si>
    <t>Planned projects</t>
  </si>
  <si>
    <t>Historical projects</t>
  </si>
  <si>
    <t>FDC OS038 005</t>
  </si>
  <si>
    <t>RDC 41776-1</t>
  </si>
  <si>
    <t>FDC OS036 002</t>
  </si>
  <si>
    <t>FDC OS036 004</t>
  </si>
  <si>
    <t>PC2000000</t>
  </si>
  <si>
    <t>ACC 862/520018</t>
  </si>
  <si>
    <t>FDC OS041 001</t>
  </si>
  <si>
    <t>MCC 4150CMG00017</t>
  </si>
  <si>
    <t>MCC 4150CMG00018</t>
  </si>
  <si>
    <t>MCC 7024CFM00665</t>
  </si>
  <si>
    <t>RDC 40006-1</t>
  </si>
  <si>
    <t>PC2000010</t>
  </si>
  <si>
    <t>WCC 8CSCM-12-014</t>
  </si>
  <si>
    <t>WCC 8CSCM-19-021</t>
  </si>
  <si>
    <t>WCC 8CSCM-19-030</t>
  </si>
  <si>
    <t>WCC 8CSCM-13-006</t>
  </si>
  <si>
    <t>WCC 8CSCM-18-026</t>
  </si>
  <si>
    <t>WCC 8CSCM-11-028</t>
  </si>
  <si>
    <t>WCC 8CSCM-15-023</t>
  </si>
  <si>
    <t>WCC 8CSCM-17-038</t>
  </si>
  <si>
    <t>WCC 8CSCM-15-001</t>
  </si>
  <si>
    <t>WCC 8CSCM-15-012</t>
  </si>
  <si>
    <t>PC2000021</t>
  </si>
  <si>
    <t>WCC 8CSCM-10-050</t>
  </si>
  <si>
    <t>WCC 8CSCM-19-004</t>
  </si>
  <si>
    <t>WCC 8CSCM-16-010</t>
  </si>
  <si>
    <t>WCC 8CSCM-13-002</t>
  </si>
  <si>
    <t>NSCC 10510</t>
  </si>
  <si>
    <t>ACC 862/510011</t>
  </si>
  <si>
    <t>PC2000028</t>
  </si>
  <si>
    <t>WCC 8CSCM-09-028</t>
  </si>
  <si>
    <t>PC2000029</t>
  </si>
  <si>
    <t>WCC 8CSCM-10-002</t>
  </si>
  <si>
    <t>PC2000032</t>
  </si>
  <si>
    <t>WCC 8CSCM-10-008</t>
  </si>
  <si>
    <t>PC2000034</t>
  </si>
  <si>
    <t>WCC 8CSCM-10-004</t>
  </si>
  <si>
    <t>PC2000035</t>
  </si>
  <si>
    <t>WCC 8CSCM-10-005</t>
  </si>
  <si>
    <t>MCC 7020CFM00656</t>
  </si>
  <si>
    <t>MCC 7020CFM00655</t>
  </si>
  <si>
    <t>ACC 862/220013</t>
  </si>
  <si>
    <t>ACC 842/500003</t>
  </si>
  <si>
    <t>PC2010109</t>
  </si>
  <si>
    <t>FDC PR009 001</t>
  </si>
  <si>
    <t>FDC PR042 003</t>
  </si>
  <si>
    <t>FDC PR037 001</t>
  </si>
  <si>
    <t>FDC PR047 002</t>
  </si>
  <si>
    <t>FDC PR047 001</t>
  </si>
  <si>
    <t>FDC PR049 001</t>
  </si>
  <si>
    <t>MCC 7020CFM00661</t>
  </si>
  <si>
    <t>MCC 7022CFM00654</t>
  </si>
  <si>
    <t>MCC 7022CFM00653</t>
  </si>
  <si>
    <t>MCC 7020CFM00659</t>
  </si>
  <si>
    <t>MCC 2100CCS00012</t>
  </si>
  <si>
    <t>MCC 2153CCY00060</t>
  </si>
  <si>
    <t>PDC 41848733</t>
  </si>
  <si>
    <t>RDC 42113-1</t>
  </si>
  <si>
    <t>RDC 42114-2</t>
  </si>
  <si>
    <t>RDC 42114-1</t>
  </si>
  <si>
    <t>RDC 41882-2</t>
  </si>
  <si>
    <t>RDC 40187-1</t>
  </si>
  <si>
    <t>RDC 40178-1</t>
  </si>
  <si>
    <t>RDC 41877-2</t>
  </si>
  <si>
    <t>PC2010137</t>
  </si>
  <si>
    <t>RDC 41877-1</t>
  </si>
  <si>
    <t>RDC 41874-2</t>
  </si>
  <si>
    <t>RDC 41875-1</t>
  </si>
  <si>
    <t>RDC 42115-1</t>
  </si>
  <si>
    <t>PC2010141</t>
  </si>
  <si>
    <t>RDC 42115-2</t>
  </si>
  <si>
    <t>RDC 41081-1</t>
  </si>
  <si>
    <t>RDC 41872-1</t>
  </si>
  <si>
    <t>RDC 41872-2</t>
  </si>
  <si>
    <t>PC2010146</t>
  </si>
  <si>
    <t>RDC 42116-2</t>
  </si>
  <si>
    <t>RDC 42116-1</t>
  </si>
  <si>
    <t>PC2010149</t>
  </si>
  <si>
    <t>RDC 41879-1</t>
  </si>
  <si>
    <t>RDC 41090-1</t>
  </si>
  <si>
    <t>RDC 40182-3</t>
  </si>
  <si>
    <t>RDC 40182-2</t>
  </si>
  <si>
    <t>PC2010154</t>
  </si>
  <si>
    <t>RDC 42117-1</t>
  </si>
  <si>
    <t>RDC 42118-1</t>
  </si>
  <si>
    <t>RDC 42119-1</t>
  </si>
  <si>
    <t>RDC 41880-1</t>
  </si>
  <si>
    <t>RDC 41881-1</t>
  </si>
  <si>
    <t>RDC 42120-1</t>
  </si>
  <si>
    <t>RDC 42121-1</t>
  </si>
  <si>
    <t>RDC 40184-1</t>
  </si>
  <si>
    <t>RDC 41375-1</t>
  </si>
  <si>
    <t>WCC 8PLLE-09-007</t>
  </si>
  <si>
    <t>MCC 7027CFM00645</t>
  </si>
  <si>
    <t>NSCC 12086</t>
  </si>
  <si>
    <t>WCC 8PLLE-09-004</t>
  </si>
  <si>
    <t>WCC 8PLLE-09-010</t>
  </si>
  <si>
    <t>PC2010176</t>
  </si>
  <si>
    <t>WCC 8PLLE-09-011</t>
  </si>
  <si>
    <t>WCC 4AC-10-047</t>
  </si>
  <si>
    <t>MCC 2251CCS00143</t>
  </si>
  <si>
    <t>PDC 49848753</t>
  </si>
  <si>
    <t>PC2010302</t>
  </si>
  <si>
    <t>PDC 49694702</t>
  </si>
  <si>
    <t>PC2010303</t>
  </si>
  <si>
    <t>PDC 49005390</t>
  </si>
  <si>
    <t>FDC PR041 001</t>
  </si>
  <si>
    <t>FDC PR035 001</t>
  </si>
  <si>
    <t>FDC PR035 002</t>
  </si>
  <si>
    <t>FDC PR035 003</t>
  </si>
  <si>
    <t>FDC PR035 005</t>
  </si>
  <si>
    <t>FDC PR035 006</t>
  </si>
  <si>
    <t>FDC PR035 009</t>
  </si>
  <si>
    <t>FDC PR035 007</t>
  </si>
  <si>
    <t>FDC PR041 002</t>
  </si>
  <si>
    <t>FDC PR035 008</t>
  </si>
  <si>
    <t>PDC 47848751</t>
  </si>
  <si>
    <t>WCC 8AMPP-19-004</t>
  </si>
  <si>
    <t>WCC 8AMPP-13-004</t>
  </si>
  <si>
    <t>PC2010414</t>
  </si>
  <si>
    <t>MCC 7015CFM00663</t>
  </si>
  <si>
    <t>MCC 7015CFM00664</t>
  </si>
  <si>
    <t>NSCC 72001</t>
  </si>
  <si>
    <t>WCC 8AMPP-09-002</t>
  </si>
  <si>
    <t>WCC 3SPSC-09-003</t>
  </si>
  <si>
    <t>WCC 3ESEC-09-013</t>
  </si>
  <si>
    <t>PC2020004</t>
  </si>
  <si>
    <t>WCC 3ESEC-09-016</t>
  </si>
  <si>
    <t>WCC 3ESEC-09-007</t>
  </si>
  <si>
    <t>PC2020027</t>
  </si>
  <si>
    <t>RDC 41607-1</t>
  </si>
  <si>
    <t>RDC 41608-1</t>
  </si>
  <si>
    <t>RDC 41609-1</t>
  </si>
  <si>
    <t>RDC 41610-1</t>
  </si>
  <si>
    <t>RDC 41612-1</t>
  </si>
  <si>
    <t>RDC 41613-1</t>
  </si>
  <si>
    <t>RDC 41614-1</t>
  </si>
  <si>
    <t>RDC 41618-1</t>
  </si>
  <si>
    <t>NSCC 11089</t>
  </si>
  <si>
    <t>PC2020040</t>
  </si>
  <si>
    <t>NSCC 10703</t>
  </si>
  <si>
    <t>PC2020103</t>
  </si>
  <si>
    <t>WCC 3ESEC-09-011</t>
  </si>
  <si>
    <t>WCC 3LBSD-11-107</t>
  </si>
  <si>
    <t>WCC 3LBSD-08-009</t>
  </si>
  <si>
    <t>PC2030100</t>
  </si>
  <si>
    <t>ACC 422/110021</t>
  </si>
  <si>
    <t>ACC 422/100006</t>
  </si>
  <si>
    <t>ACC 422/210045</t>
  </si>
  <si>
    <t>ACC 422/110034</t>
  </si>
  <si>
    <t>ACC 422/210056</t>
  </si>
  <si>
    <t>PC2030107</t>
  </si>
  <si>
    <t>ACC 422/110029</t>
  </si>
  <si>
    <t>ACC 422/110033</t>
  </si>
  <si>
    <t>ACC 422/210048</t>
  </si>
  <si>
    <t>ACC 422/110039</t>
  </si>
  <si>
    <t>ACC 422/210050</t>
  </si>
  <si>
    <t>MCC 2022CCS00149</t>
  </si>
  <si>
    <t>MCC 2020CCS00160</t>
  </si>
  <si>
    <t>MCC 2020CCS00039</t>
  </si>
  <si>
    <t>RDC 41851-4</t>
  </si>
  <si>
    <t>RDC 42111-3</t>
  </si>
  <si>
    <t>RDC 42111-1</t>
  </si>
  <si>
    <t>RDC 42112-5</t>
  </si>
  <si>
    <t>RDC 42112-1</t>
  </si>
  <si>
    <t>PC2030140</t>
  </si>
  <si>
    <t>RDC 40028-5</t>
  </si>
  <si>
    <t>RDC 40028-1</t>
  </si>
  <si>
    <t>RDC 40027-4</t>
  </si>
  <si>
    <t>RDC 40027-1</t>
  </si>
  <si>
    <t>PC2030144</t>
  </si>
  <si>
    <t>RDC 40027-3</t>
  </si>
  <si>
    <t>RDC 40028-4</t>
  </si>
  <si>
    <t>RDC 41862-2</t>
  </si>
  <si>
    <t>RDC 42165-1</t>
  </si>
  <si>
    <t>RDC 40856-1</t>
  </si>
  <si>
    <t>PDC 54848763</t>
  </si>
  <si>
    <t>ACC 422/200005</t>
  </si>
  <si>
    <t>ACC 422/210051</t>
  </si>
  <si>
    <t>ACC 422/210059</t>
  </si>
  <si>
    <t>ACC 422/210012</t>
  </si>
  <si>
    <t>ACC 422/210025</t>
  </si>
  <si>
    <t>NSCC 10414</t>
  </si>
  <si>
    <t>NSCC 70527</t>
  </si>
  <si>
    <t>MCC 7028CFM00629</t>
  </si>
  <si>
    <t>ACC 422/500000</t>
  </si>
  <si>
    <t>MCC 2043CCS00031</t>
  </si>
  <si>
    <t>ACC 422/300021</t>
  </si>
  <si>
    <t>ACC 422/300017</t>
  </si>
  <si>
    <t>ACC 422/300028</t>
  </si>
  <si>
    <t>MCC 2034CCS00155</t>
  </si>
  <si>
    <t>ACC 422/110046</t>
  </si>
  <si>
    <t>MCC 7028CFM00636</t>
  </si>
  <si>
    <t>ACC 862/455004</t>
  </si>
  <si>
    <t>ACC 862/601017</t>
  </si>
  <si>
    <t>PC2100002</t>
  </si>
  <si>
    <t>ACC 842/600002</t>
  </si>
  <si>
    <t>WCC 4PC-07-083</t>
  </si>
  <si>
    <t>WCC 4PC-08-011</t>
  </si>
  <si>
    <t>WCC 4PC-10-002</t>
  </si>
  <si>
    <t>WCC 4PC-07-081</t>
  </si>
  <si>
    <t>WCC 4PC-10-001</t>
  </si>
  <si>
    <t>WCC 4PC-09-007</t>
  </si>
  <si>
    <t>WCC 4PC-09-001</t>
  </si>
  <si>
    <t>PC2100011</t>
  </si>
  <si>
    <t>WCC 4PC-08-009</t>
  </si>
  <si>
    <t>WCC 4PC-07-087</t>
  </si>
  <si>
    <t>MCC 4160CLS00081</t>
  </si>
  <si>
    <t>MCC 4160CLS00020</t>
  </si>
  <si>
    <t>WCC 4PC-08-008</t>
  </si>
  <si>
    <t>WCC 4PC-09-004</t>
  </si>
  <si>
    <t>ACC 862/426207</t>
  </si>
  <si>
    <t>MCC 7018CFM00652</t>
  </si>
  <si>
    <t>MCC 7018CFM00651</t>
  </si>
  <si>
    <t>PC2100105</t>
  </si>
  <si>
    <t>MCC 4180CCY00012</t>
  </si>
  <si>
    <t>MCC 0221CCY00068</t>
  </si>
  <si>
    <t>PDC 4A848757</t>
  </si>
  <si>
    <t>PC2100109</t>
  </si>
  <si>
    <t>PDC 4A800701</t>
  </si>
  <si>
    <t>PC2100110</t>
  </si>
  <si>
    <t>PDC 4A800702</t>
  </si>
  <si>
    <t>RDC 41354-1</t>
  </si>
  <si>
    <t>RDC 40945-1</t>
  </si>
  <si>
    <t>WCC 4PC-07-082</t>
  </si>
  <si>
    <t>WCC 4PC-09-005</t>
  </si>
  <si>
    <t>PC2100117</t>
  </si>
  <si>
    <t>WCC 4PC-11-001</t>
  </si>
  <si>
    <t>PC2110000</t>
  </si>
  <si>
    <t>ARC X/006700/5</t>
  </si>
  <si>
    <t>WCC 4PC-07-085</t>
  </si>
  <si>
    <t>PC2110010</t>
  </si>
  <si>
    <t>ACC 802/000003</t>
  </si>
  <si>
    <t>PC2110011</t>
  </si>
  <si>
    <t>ACC 802/000004</t>
  </si>
  <si>
    <t>PC2110012</t>
  </si>
  <si>
    <t>ACC 802/000005</t>
  </si>
  <si>
    <t>PC2110013</t>
  </si>
  <si>
    <t>ACC 802/000006</t>
  </si>
  <si>
    <t>PC2110014</t>
  </si>
  <si>
    <t>ACC 802/000007</t>
  </si>
  <si>
    <t>PC2110015</t>
  </si>
  <si>
    <t>ACC 802/000008</t>
  </si>
  <si>
    <t>PC2110016</t>
  </si>
  <si>
    <t>ACC 802/000009</t>
  </si>
  <si>
    <t>ACC 802/000010</t>
  </si>
  <si>
    <t>MCC 0223CSD00040</t>
  </si>
  <si>
    <t>PC2110207</t>
  </si>
  <si>
    <t>ACC 832/000001</t>
  </si>
  <si>
    <t>PC2110209</t>
  </si>
  <si>
    <t>PC2110210</t>
  </si>
  <si>
    <t>PC2110211</t>
  </si>
  <si>
    <t>PC2110212</t>
  </si>
  <si>
    <t>PC2110214</t>
  </si>
  <si>
    <t>PC2110216</t>
  </si>
  <si>
    <t>ACC 572/500003</t>
  </si>
  <si>
    <t>ACC 572/500005</t>
  </si>
  <si>
    <t>ACC 572/500007</t>
  </si>
  <si>
    <t>ACC 572/500008</t>
  </si>
  <si>
    <t>ACC 862/550007</t>
  </si>
  <si>
    <t>ACC 842/300016</t>
  </si>
  <si>
    <t>PC2130005</t>
  </si>
  <si>
    <t>ARC X/000247</t>
  </si>
  <si>
    <t>ARC X/006100/1</t>
  </si>
  <si>
    <t>PC2130008</t>
  </si>
  <si>
    <t>ARC X/006100/8</t>
  </si>
  <si>
    <t>ARC X/006110/2</t>
  </si>
  <si>
    <t>ARC X/006110/1</t>
  </si>
  <si>
    <t>ARC X/006110/7</t>
  </si>
  <si>
    <t>ARC X/006110/3</t>
  </si>
  <si>
    <t>ARC X/006110/4</t>
  </si>
  <si>
    <t>ARC X/006110/5</t>
  </si>
  <si>
    <t>ARC X/006110/6</t>
  </si>
  <si>
    <t>PC2130025</t>
  </si>
  <si>
    <t>ARC X/000001/1/4</t>
  </si>
  <si>
    <t>PC2130026</t>
  </si>
  <si>
    <t>ACC 862/510003</t>
  </si>
  <si>
    <t>PC2130102</t>
  </si>
  <si>
    <t>ACC 862/722001</t>
  </si>
  <si>
    <t>ACC 732/000001</t>
  </si>
  <si>
    <t>ACC 732/000005</t>
  </si>
  <si>
    <t>PC2130105</t>
  </si>
  <si>
    <t>ACC 862/520016</t>
  </si>
  <si>
    <t>PC2130110</t>
  </si>
  <si>
    <t>ACC 862/050000</t>
  </si>
  <si>
    <t>ACC 862/600769</t>
  </si>
  <si>
    <t>PC2130113</t>
  </si>
  <si>
    <t>ACC 842/900002</t>
  </si>
  <si>
    <t>ACC 862/510010</t>
  </si>
  <si>
    <t>PC2130118</t>
  </si>
  <si>
    <t>ACC 862/520007</t>
  </si>
  <si>
    <t>PC2130121</t>
  </si>
  <si>
    <t>ACC 862/050002</t>
  </si>
  <si>
    <t>ACC 862/600770</t>
  </si>
  <si>
    <t>ACC 862/600772</t>
  </si>
  <si>
    <t>ACC 862/600779</t>
  </si>
  <si>
    <t>ACC 862/600773</t>
  </si>
  <si>
    <t>ACC 862/600771</t>
  </si>
  <si>
    <t>PC2130129</t>
  </si>
  <si>
    <t>ACC 842/900001</t>
  </si>
  <si>
    <t>PC2130429</t>
  </si>
  <si>
    <t>PC2130430</t>
  </si>
  <si>
    <t>PC2130431</t>
  </si>
  <si>
    <t>PC2130433</t>
  </si>
  <si>
    <t>PC2130434</t>
  </si>
  <si>
    <t>PC2130435</t>
  </si>
  <si>
    <t>PC2130437</t>
  </si>
  <si>
    <t>PC2130439</t>
  </si>
  <si>
    <t>PC2130440</t>
  </si>
  <si>
    <t>PC2130442</t>
  </si>
  <si>
    <t>PC2130443</t>
  </si>
  <si>
    <t>PC2130444</t>
  </si>
  <si>
    <t>PC2130445</t>
  </si>
  <si>
    <t>PC2130446</t>
  </si>
  <si>
    <t>PC2130447</t>
  </si>
  <si>
    <t>PC2130449</t>
  </si>
  <si>
    <t>PC2130450</t>
  </si>
  <si>
    <t>PC2130451</t>
  </si>
  <si>
    <t>PC2130452</t>
  </si>
  <si>
    <t>PC2130453</t>
  </si>
  <si>
    <t>PC2130454</t>
  </si>
  <si>
    <t>PC2130455</t>
  </si>
  <si>
    <t>PC2130456</t>
  </si>
  <si>
    <t>PC2130457</t>
  </si>
  <si>
    <t>PC2130458</t>
  </si>
  <si>
    <t>PC2130459</t>
  </si>
  <si>
    <t>PC2130460</t>
  </si>
  <si>
    <t>PC2130461</t>
  </si>
  <si>
    <t>PC2130462</t>
  </si>
  <si>
    <t>PC2130465</t>
  </si>
  <si>
    <t>PC2130466</t>
  </si>
  <si>
    <t>PC2010172</t>
  </si>
  <si>
    <t>PC2010173</t>
  </si>
  <si>
    <t>PC2010174</t>
  </si>
  <si>
    <t>PC2010175</t>
  </si>
  <si>
    <t>PC2010177</t>
  </si>
  <si>
    <t>PC2010200</t>
  </si>
  <si>
    <t>PC2010301</t>
  </si>
  <si>
    <t>PC2010400</t>
  </si>
  <si>
    <t>PC2010401</t>
  </si>
  <si>
    <t>PC2010402</t>
  </si>
  <si>
    <t>PC2010403</t>
  </si>
  <si>
    <t>PC2010404</t>
  </si>
  <si>
    <t>PC2010405</t>
  </si>
  <si>
    <t>PC2010406</t>
  </si>
  <si>
    <t>PC2010407</t>
  </si>
  <si>
    <t>PC2010408</t>
  </si>
  <si>
    <t>PC2010409</t>
  </si>
  <si>
    <t>PC2010411</t>
  </si>
  <si>
    <t>PC2010412</t>
  </si>
  <si>
    <t>PC2010413</t>
  </si>
  <si>
    <t>PC2010415</t>
  </si>
  <si>
    <t>PC2010416</t>
  </si>
  <si>
    <t>PC2010417</t>
  </si>
  <si>
    <t>PC2010419</t>
  </si>
  <si>
    <t>PC2100000</t>
  </si>
  <si>
    <t>PC2100001</t>
  </si>
  <si>
    <t>PC2100003</t>
  </si>
  <si>
    <t>PTR</t>
  </si>
  <si>
    <t>TRA</t>
  </si>
  <si>
    <t>CSF</t>
  </si>
  <si>
    <t>LRF</t>
  </si>
  <si>
    <t>RRF</t>
  </si>
  <si>
    <t>OSL</t>
  </si>
  <si>
    <t>STW</t>
  </si>
  <si>
    <t>PC2030109</t>
  </si>
  <si>
    <t>PC2030110</t>
  </si>
  <si>
    <t>PC2030111</t>
  </si>
  <si>
    <t>PC2030112</t>
  </si>
  <si>
    <t>PC2030113</t>
  </si>
  <si>
    <t>PC2030114</t>
  </si>
  <si>
    <t>PC2030115</t>
  </si>
  <si>
    <t>PC2030116</t>
  </si>
  <si>
    <t>PC2030117</t>
  </si>
  <si>
    <t>PC2030118</t>
  </si>
  <si>
    <t>PC2030119</t>
  </si>
  <si>
    <t>PC2030121</t>
  </si>
  <si>
    <t>PC2030122</t>
  </si>
  <si>
    <t>PC2030124</t>
  </si>
  <si>
    <t>PC2030133</t>
  </si>
  <si>
    <t>PC2030135</t>
  </si>
  <si>
    <t>PC2030136</t>
  </si>
  <si>
    <t>PC2030137</t>
  </si>
  <si>
    <t>PC2030139</t>
  </si>
  <si>
    <t>PC2030141</t>
  </si>
  <si>
    <t>PC2030142</t>
  </si>
  <si>
    <t>PC2030143</t>
  </si>
  <si>
    <t>PC2030145</t>
  </si>
  <si>
    <t>PC2030146</t>
  </si>
  <si>
    <t>PC2030147</t>
  </si>
  <si>
    <t>PC2030148</t>
  </si>
  <si>
    <t>PC2030150</t>
  </si>
  <si>
    <t>PC2030151</t>
  </si>
  <si>
    <t>PC2030156</t>
  </si>
  <si>
    <t>PC2030157</t>
  </si>
  <si>
    <t>PC2030158</t>
  </si>
  <si>
    <t>PC2030159</t>
  </si>
  <si>
    <t>PC2030161</t>
  </si>
  <si>
    <t>PC2030162</t>
  </si>
  <si>
    <t>PC2030163</t>
  </si>
  <si>
    <t>PC2030164</t>
  </si>
  <si>
    <t>PC2030169</t>
  </si>
  <si>
    <t>PC2030170</t>
  </si>
  <si>
    <t>PC2030172</t>
  </si>
  <si>
    <t>PC2030173</t>
  </si>
  <si>
    <t>PC2030174</t>
  </si>
  <si>
    <t>PC2030202</t>
  </si>
  <si>
    <t>PC2030203</t>
  </si>
  <si>
    <t>PC2030204</t>
  </si>
  <si>
    <t>PC2030205</t>
  </si>
  <si>
    <t>PC2030206</t>
  </si>
  <si>
    <t>PC2030208</t>
  </si>
  <si>
    <t>PC2030301</t>
  </si>
  <si>
    <t>PC2030303</t>
  </si>
  <si>
    <t>PC2030307</t>
  </si>
  <si>
    <t>PC2210204</t>
  </si>
  <si>
    <t>PC3100211</t>
  </si>
  <si>
    <t>PC3100657</t>
  </si>
  <si>
    <t>PC3100205</t>
  </si>
  <si>
    <t>PC2210202</t>
  </si>
  <si>
    <t>PC3200531</t>
  </si>
  <si>
    <t>WCC 8PLPK-13-011</t>
  </si>
  <si>
    <t>PC2440013</t>
  </si>
  <si>
    <t>WCC 8PSAF-07-001</t>
  </si>
  <si>
    <t>WCC 8PLPK-16-007</t>
  </si>
  <si>
    <t>ACC 742/999810</t>
  </si>
  <si>
    <t>ACC 742/999820</t>
  </si>
  <si>
    <t>ACC 742/073001</t>
  </si>
  <si>
    <t>PDC 36756710</t>
  </si>
  <si>
    <t>PC2500005</t>
  </si>
  <si>
    <t>RDC 41414-1</t>
  </si>
  <si>
    <t>RDC 41112-1</t>
  </si>
  <si>
    <t>RDC 41115-1</t>
  </si>
  <si>
    <t>WCC 8RGSW-11-001</t>
  </si>
  <si>
    <t>PC2500009</t>
  </si>
  <si>
    <t>WCC 8RGSW-11-002</t>
  </si>
  <si>
    <t>PC2500010</t>
  </si>
  <si>
    <t>WCC 8RGSW-10-001</t>
  </si>
  <si>
    <t>PC2500011</t>
  </si>
  <si>
    <t>WCC 8RGSW-10-002</t>
  </si>
  <si>
    <t>WCC 8RGSW-15-001</t>
  </si>
  <si>
    <t>WCC 8RGSW-11-004</t>
  </si>
  <si>
    <t>WCC 8RGSW-18-001</t>
  </si>
  <si>
    <t>PC2500015</t>
  </si>
  <si>
    <t>WCC 8RGSW-10-005</t>
  </si>
  <si>
    <t>WCC 8RGSW-17-001</t>
  </si>
  <si>
    <t>PC2500017</t>
  </si>
  <si>
    <t>WCC 8RGSW-10-007</t>
  </si>
  <si>
    <t>WCC 8RGSW-13-003</t>
  </si>
  <si>
    <t>WCC 8RGSW-15-002</t>
  </si>
  <si>
    <t>WCC 8RGSW-12-002</t>
  </si>
  <si>
    <t>WCC 8RGSW-16-002</t>
  </si>
  <si>
    <t>WCC 8RGSW-14-004</t>
  </si>
  <si>
    <t>WCC 8RGSW-15-003</t>
  </si>
  <si>
    <t>PC2500024</t>
  </si>
  <si>
    <t>WCC 8RGSW-10-009</t>
  </si>
  <si>
    <t>WCC 8RGSW-14-001</t>
  </si>
  <si>
    <t>WCC 8RGSW-14-002</t>
  </si>
  <si>
    <t>WCC 8RGSW-13-004</t>
  </si>
  <si>
    <t>WCC 8RGSW-13-005</t>
  </si>
  <si>
    <t>PC2500030</t>
  </si>
  <si>
    <t>WCC 8RGSW-10-006</t>
  </si>
  <si>
    <t>WCC 8RGSW-11-006</t>
  </si>
  <si>
    <t>PC2500032</t>
  </si>
  <si>
    <t>FDC SWA011 001</t>
  </si>
  <si>
    <t>PC2510000</t>
  </si>
  <si>
    <t>ACC 742/073004</t>
  </si>
  <si>
    <t>RDC 41105-1</t>
  </si>
  <si>
    <t>RDC 41104-1</t>
  </si>
  <si>
    <t>PC2510003</t>
  </si>
  <si>
    <t>WCC 8RGSW-10-004</t>
  </si>
  <si>
    <t>WCC 8AMEW-07-191</t>
  </si>
  <si>
    <t>NSCC 12304</t>
  </si>
  <si>
    <t>NSCC 12307</t>
  </si>
  <si>
    <t>NSCC 12309</t>
  </si>
  <si>
    <t>NSCC 12310</t>
  </si>
  <si>
    <t>NSCC 12311</t>
  </si>
  <si>
    <t>ACC 662/159999</t>
  </si>
  <si>
    <t>ACC 662/169999</t>
  </si>
  <si>
    <t>MCC 7019CFM00633</t>
  </si>
  <si>
    <t>PC2900008</t>
  </si>
  <si>
    <t>ACC 662/279999</t>
  </si>
  <si>
    <t>PC2900009</t>
  </si>
  <si>
    <t>PC2900010</t>
  </si>
  <si>
    <t>ACC 142/000005</t>
  </si>
  <si>
    <t>ACC 142/000001</t>
  </si>
  <si>
    <t>RDC 42087-1</t>
  </si>
  <si>
    <t>RDC 40017-1</t>
  </si>
  <si>
    <t>RDC 42179-1</t>
  </si>
  <si>
    <t>PC2910401</t>
  </si>
  <si>
    <t>ACC 642/300000</t>
  </si>
  <si>
    <t>PC2910403</t>
  </si>
  <si>
    <t>WCC 8RGVT-12-001</t>
  </si>
  <si>
    <t>RDC 40007-1</t>
  </si>
  <si>
    <t>PDC 11706700</t>
  </si>
  <si>
    <t>PC3000005</t>
  </si>
  <si>
    <t>NSCC 10260</t>
  </si>
  <si>
    <t>PC3000006</t>
  </si>
  <si>
    <t>NSCC 10261</t>
  </si>
  <si>
    <t>PC3000007</t>
  </si>
  <si>
    <t>NSCC 10262</t>
  </si>
  <si>
    <t>PC3000008</t>
  </si>
  <si>
    <t>NSCC 10264</t>
  </si>
  <si>
    <t>No Mapping PC3000501</t>
  </si>
  <si>
    <t>No Mapping PC3000502</t>
  </si>
  <si>
    <t>WCC 3DSDC-07-023</t>
  </si>
  <si>
    <t>PC3100206</t>
  </si>
  <si>
    <t>WCC 3DSDC-12-001</t>
  </si>
  <si>
    <t>PC3100207</t>
  </si>
  <si>
    <t>WCC 3DSDC-13-001</t>
  </si>
  <si>
    <t>PC3100208</t>
  </si>
  <si>
    <t>WCC 3DSDC-14-001</t>
  </si>
  <si>
    <t>PC3100209</t>
  </si>
  <si>
    <t>WCC 3DSDC-15-001</t>
  </si>
  <si>
    <t>PC3100467</t>
  </si>
  <si>
    <t>RDC 41527-1</t>
  </si>
  <si>
    <t>PC3100484</t>
  </si>
  <si>
    <t>No Mapping PC3100484</t>
  </si>
  <si>
    <t>PC3100500</t>
  </si>
  <si>
    <t>WCC 3DSDC-16-001</t>
  </si>
  <si>
    <t>PC3100502</t>
  </si>
  <si>
    <t>WCC 3DSDC-17-001</t>
  </si>
  <si>
    <t>PC3100504</t>
  </si>
  <si>
    <t>WCC 3DSDC-18-001</t>
  </si>
  <si>
    <t>PC3100506</t>
  </si>
  <si>
    <t>WCC 3DSDC-19-001</t>
  </si>
  <si>
    <t>ARC X/001500/3</t>
  </si>
  <si>
    <t>FDC PR038 004</t>
  </si>
  <si>
    <t>PC3100609</t>
  </si>
  <si>
    <t>FDC PR038 009</t>
  </si>
  <si>
    <t>MCC 0045CFM00672</t>
  </si>
  <si>
    <t>MCC 0045CFM00624</t>
  </si>
  <si>
    <t>RDC 41539-1</t>
  </si>
  <si>
    <t>WCC 8AMPP-11-005</t>
  </si>
  <si>
    <t>WCC 8AMPP-11-001</t>
  </si>
  <si>
    <t>ACC 662/269999</t>
  </si>
  <si>
    <t>PC3100627</t>
  </si>
  <si>
    <t>PC3100629</t>
  </si>
  <si>
    <t>PC3100634</t>
  </si>
  <si>
    <t>ACC 662/170029</t>
  </si>
  <si>
    <t>PC3100635</t>
  </si>
  <si>
    <t>ACC 662/172011</t>
  </si>
  <si>
    <t>ACC 662/172024</t>
  </si>
  <si>
    <t>PC3100637</t>
  </si>
  <si>
    <t>ACC 662/173033</t>
  </si>
  <si>
    <t>PC3100638</t>
  </si>
  <si>
    <t>ACC 662/175012</t>
  </si>
  <si>
    <t>ACC 662/179999</t>
  </si>
  <si>
    <t>PC3100640</t>
  </si>
  <si>
    <t>PC3100641</t>
  </si>
  <si>
    <t>PC3100643</t>
  </si>
  <si>
    <t>PC3100644</t>
  </si>
  <si>
    <t>PC3100645</t>
  </si>
  <si>
    <t>PC3100646</t>
  </si>
  <si>
    <t>PC3100648</t>
  </si>
  <si>
    <t>ACC 662/174003</t>
  </si>
  <si>
    <t>PC3100652</t>
  </si>
  <si>
    <t>ACC 662/150053</t>
  </si>
  <si>
    <t>PC3100653</t>
  </si>
  <si>
    <t>ACC 662/171031</t>
  </si>
  <si>
    <t>NSCC 11088</t>
  </si>
  <si>
    <t>NSCC 71001</t>
  </si>
  <si>
    <t>PDC 51848761</t>
  </si>
  <si>
    <t>PC3100658</t>
  </si>
  <si>
    <t>WCC 8AMPP-09-001</t>
  </si>
  <si>
    <t>PC3100659</t>
  </si>
  <si>
    <t>WCC 8AMPP-10-005</t>
  </si>
  <si>
    <t>ACC 582/000300</t>
  </si>
  <si>
    <t>PC3100701</t>
  </si>
  <si>
    <t>ACC 582/000101</t>
  </si>
  <si>
    <t>PC3100807</t>
  </si>
  <si>
    <t>PC3100808</t>
  </si>
  <si>
    <t>PC3100809</t>
  </si>
  <si>
    <t>PC3100811</t>
  </si>
  <si>
    <t>PC3100815</t>
  </si>
  <si>
    <t>PC3100817</t>
  </si>
  <si>
    <t>PC3100819</t>
  </si>
  <si>
    <t>PC3100821</t>
  </si>
  <si>
    <t>PC3100826</t>
  </si>
  <si>
    <t>PC3100827</t>
  </si>
  <si>
    <t>PC3100829</t>
  </si>
  <si>
    <t>PC3100830</t>
  </si>
  <si>
    <t>PC3100832</t>
  </si>
  <si>
    <t>PC3100837</t>
  </si>
  <si>
    <t>PC3100839</t>
  </si>
  <si>
    <t>PC3100841</t>
  </si>
  <si>
    <t>PC3100842</t>
  </si>
  <si>
    <t>PC3100846</t>
  </si>
  <si>
    <t>PC3100847</t>
  </si>
  <si>
    <t>PC3100850</t>
  </si>
  <si>
    <t>PC3100851</t>
  </si>
  <si>
    <t>PC3100852</t>
  </si>
  <si>
    <t>PC3100853</t>
  </si>
  <si>
    <t>PC3100854</t>
  </si>
  <si>
    <t>PC3100860</t>
  </si>
  <si>
    <t>PC3100866</t>
  </si>
  <si>
    <t>PC3100868</t>
  </si>
  <si>
    <t>PC3100872</t>
  </si>
  <si>
    <t>PC3100875</t>
  </si>
  <si>
    <t>PC3100882</t>
  </si>
  <si>
    <t>PC3100894</t>
  </si>
  <si>
    <t>PC3100901</t>
  </si>
  <si>
    <t>PC3100902</t>
  </si>
  <si>
    <t>PC3100903</t>
  </si>
  <si>
    <t>PC3100913</t>
  </si>
  <si>
    <t>PC3100921</t>
  </si>
  <si>
    <t>PC3100923</t>
  </si>
  <si>
    <t>PC3100925</t>
  </si>
  <si>
    <t>PC3100927</t>
  </si>
  <si>
    <t>PC3100931</t>
  </si>
  <si>
    <t>PC3100935</t>
  </si>
  <si>
    <t>PC3100936</t>
  </si>
  <si>
    <t>PC3100937</t>
  </si>
  <si>
    <t>PC3100938</t>
  </si>
  <si>
    <t>PC3100945</t>
  </si>
  <si>
    <t>PC3100958</t>
  </si>
  <si>
    <t>PC3100960</t>
  </si>
  <si>
    <t>PC3100961</t>
  </si>
  <si>
    <t>PC3100965</t>
  </si>
  <si>
    <t>PC3100969</t>
  </si>
  <si>
    <t>PC3100975</t>
  </si>
  <si>
    <t>PC3100987</t>
  </si>
  <si>
    <t>PC3100989</t>
  </si>
  <si>
    <t>PC3100992</t>
  </si>
  <si>
    <t>PC3100994</t>
  </si>
  <si>
    <t>PC3101014</t>
  </si>
  <si>
    <t>PC3101015</t>
  </si>
  <si>
    <t>PC3101018</t>
  </si>
  <si>
    <t>PC3101022</t>
  </si>
  <si>
    <t>PC3101023</t>
  </si>
  <si>
    <t>PC3101028</t>
  </si>
  <si>
    <t>PC3101029</t>
  </si>
  <si>
    <t>PC3101034</t>
  </si>
  <si>
    <t>PC3101036</t>
  </si>
  <si>
    <t>PC3101040</t>
  </si>
  <si>
    <t>PC3101041</t>
  </si>
  <si>
    <t>PC3101043</t>
  </si>
  <si>
    <t>PC3101047</t>
  </si>
  <si>
    <t>PC3101048</t>
  </si>
  <si>
    <t>PC3101050</t>
  </si>
  <si>
    <t>PC3101052</t>
  </si>
  <si>
    <t>PC3101067</t>
  </si>
  <si>
    <t>PC3101076</t>
  </si>
  <si>
    <t>PC3101080</t>
  </si>
  <si>
    <t>PC3101088</t>
  </si>
  <si>
    <t>PC3101089</t>
  </si>
  <si>
    <t>PC3101090</t>
  </si>
  <si>
    <t>PC3101091</t>
  </si>
  <si>
    <t>PC3101092</t>
  </si>
  <si>
    <t>PC3101106</t>
  </si>
  <si>
    <t>PC3101109</t>
  </si>
  <si>
    <t>PC3101112</t>
  </si>
  <si>
    <t>PC3200102</t>
  </si>
  <si>
    <t>ACC 262/000008</t>
  </si>
  <si>
    <t>PC3200104</t>
  </si>
  <si>
    <t>ACC 272/620100</t>
  </si>
  <si>
    <t>PC3200106</t>
  </si>
  <si>
    <t>ACC 272/620431</t>
  </si>
  <si>
    <t>PC3200108</t>
  </si>
  <si>
    <t>ACC 272/620450</t>
  </si>
  <si>
    <t>PC3200114</t>
  </si>
  <si>
    <t>ACC 662/180033</t>
  </si>
  <si>
    <t>PC3200126</t>
  </si>
  <si>
    <t>ACC 742/063304</t>
  </si>
  <si>
    <t>PC3200128</t>
  </si>
  <si>
    <t>ACC 742/073002</t>
  </si>
  <si>
    <t>ACC 742/082735</t>
  </si>
  <si>
    <t>PC3200146</t>
  </si>
  <si>
    <t>ACC 742/082830</t>
  </si>
  <si>
    <t>PC3200150</t>
  </si>
  <si>
    <t>ACC 742/084399</t>
  </si>
  <si>
    <t>ACC 742/091510</t>
  </si>
  <si>
    <t>ACC 742/091550</t>
  </si>
  <si>
    <t>PC3200162</t>
  </si>
  <si>
    <t>ACC 842/100004</t>
  </si>
  <si>
    <t>PC3200166</t>
  </si>
  <si>
    <t>ACC 862/050001</t>
  </si>
  <si>
    <t>ARC X/000134</t>
  </si>
  <si>
    <t>PC3200170</t>
  </si>
  <si>
    <t>ARC X/000174</t>
  </si>
  <si>
    <t>PC3200172</t>
  </si>
  <si>
    <t>ARC X/000227</t>
  </si>
  <si>
    <t>PC3200174</t>
  </si>
  <si>
    <t>ARC X/000235</t>
  </si>
  <si>
    <t>PC3200176</t>
  </si>
  <si>
    <t>ARC X/000237</t>
  </si>
  <si>
    <t>PC3200178</t>
  </si>
  <si>
    <t>ARC X/000239</t>
  </si>
  <si>
    <t>PC3200180</t>
  </si>
  <si>
    <t>ARC X/000240</t>
  </si>
  <si>
    <t>PC3200182</t>
  </si>
  <si>
    <t>ARC X/000248</t>
  </si>
  <si>
    <t>PC3200184</t>
  </si>
  <si>
    <t>ARC X/000249</t>
  </si>
  <si>
    <t>PC3200186</t>
  </si>
  <si>
    <t>ARC X/000250</t>
  </si>
  <si>
    <t>PC3200188</t>
  </si>
  <si>
    <t>ARC X/000251</t>
  </si>
  <si>
    <t>PC3200234</t>
  </si>
  <si>
    <t>FDC OS018 001</t>
  </si>
  <si>
    <t>PC3200238</t>
  </si>
  <si>
    <t>FDC OS022 002</t>
  </si>
  <si>
    <t>PC3200240</t>
  </si>
  <si>
    <t>FDC OS038 001</t>
  </si>
  <si>
    <t>PC3200244</t>
  </si>
  <si>
    <t>FDC PR0042 001</t>
  </si>
  <si>
    <t>PC3200246</t>
  </si>
  <si>
    <t>FDC PR0047 001</t>
  </si>
  <si>
    <t>FDC PR053 001</t>
  </si>
  <si>
    <t>PC3200256</t>
  </si>
  <si>
    <t>MCC CFM00623</t>
  </si>
  <si>
    <t>PC3200258</t>
  </si>
  <si>
    <t>MCC CFM00628</t>
  </si>
  <si>
    <t>PC3200262</t>
  </si>
  <si>
    <t>MCC CFM00774</t>
  </si>
  <si>
    <t>NSCC 12396</t>
  </si>
  <si>
    <t>PC3200348</t>
  </si>
  <si>
    <t>PDC 43691702</t>
  </si>
  <si>
    <t>PC3200350</t>
  </si>
  <si>
    <t>PDC 43810704</t>
  </si>
  <si>
    <t>PC3200354</t>
  </si>
  <si>
    <t>PDC 47848770</t>
  </si>
  <si>
    <t>PDC 49800738</t>
  </si>
  <si>
    <t>PC3200360</t>
  </si>
  <si>
    <t>RDC 400287</t>
  </si>
  <si>
    <t>PC3200364</t>
  </si>
  <si>
    <t>RDC 402161</t>
  </si>
  <si>
    <t>PC3200394</t>
  </si>
  <si>
    <t>RDC 413951</t>
  </si>
  <si>
    <t>PC3200396</t>
  </si>
  <si>
    <t>RDC 414031</t>
  </si>
  <si>
    <t>PC3200398</t>
  </si>
  <si>
    <t>RDC 414291</t>
  </si>
  <si>
    <t>PC3200402</t>
  </si>
  <si>
    <t>RDC 414511</t>
  </si>
  <si>
    <t>PC3200406</t>
  </si>
  <si>
    <t>RDC 415381</t>
  </si>
  <si>
    <t>RDC 415531</t>
  </si>
  <si>
    <t>PC3200416</t>
  </si>
  <si>
    <t>RDC 418241</t>
  </si>
  <si>
    <t>PC3200428</t>
  </si>
  <si>
    <t>RDC 420151</t>
  </si>
  <si>
    <t>PC3200436</t>
  </si>
  <si>
    <t>RDC 421991</t>
  </si>
  <si>
    <t>PC3200517</t>
  </si>
  <si>
    <t>PC3200518</t>
  </si>
  <si>
    <t>PC3200521</t>
  </si>
  <si>
    <t>PC3200529</t>
  </si>
  <si>
    <t>PC3200532</t>
  </si>
  <si>
    <t>PC3200535</t>
  </si>
  <si>
    <t>PC2910402</t>
  </si>
  <si>
    <t>OSL AW</t>
  </si>
  <si>
    <t>PC2100004</t>
  </si>
  <si>
    <t>PC3200544</t>
  </si>
  <si>
    <t>PC3100700</t>
  </si>
  <si>
    <t>PC2110017</t>
  </si>
  <si>
    <t>PC2200112</t>
  </si>
  <si>
    <t>PC2000015</t>
  </si>
  <si>
    <t>PC2000017</t>
  </si>
  <si>
    <t>PC2000018</t>
  </si>
  <si>
    <t>PC2000019</t>
  </si>
  <si>
    <t>PC2000020</t>
  </si>
  <si>
    <t>PC2000022</t>
  </si>
  <si>
    <t>PC2000023</t>
  </si>
  <si>
    <t>PC2000024</t>
  </si>
  <si>
    <t>PC2000025</t>
  </si>
  <si>
    <t>PC2000026</t>
  </si>
  <si>
    <t>PC2000027</t>
  </si>
  <si>
    <t>PC2010100</t>
  </si>
  <si>
    <t>PC2130000</t>
  </si>
  <si>
    <t>PC2130002</t>
  </si>
  <si>
    <t>PC2130006</t>
  </si>
  <si>
    <t>PC2130007</t>
  </si>
  <si>
    <t>PC2130009</t>
  </si>
  <si>
    <t>PC2130010</t>
  </si>
  <si>
    <t>PC2130011</t>
  </si>
  <si>
    <t>PC2130012</t>
  </si>
  <si>
    <t>PC2130013</t>
  </si>
  <si>
    <t>PC2130016</t>
  </si>
  <si>
    <t>PC2130017</t>
  </si>
  <si>
    <t>PC2130018</t>
  </si>
  <si>
    <t>PC2130019</t>
  </si>
  <si>
    <t>PC2130020</t>
  </si>
  <si>
    <t>PC2130021</t>
  </si>
  <si>
    <t>PC2130022</t>
  </si>
  <si>
    <t>PC2130027</t>
  </si>
  <si>
    <t>PC2130100</t>
  </si>
  <si>
    <t>Group of activities</t>
  </si>
  <si>
    <t>ACC</t>
  </si>
  <si>
    <t>Total</t>
  </si>
  <si>
    <t>New Activity Structure (Capex Activity)</t>
  </si>
  <si>
    <t>LTP (Inflated)</t>
  </si>
  <si>
    <t>Activity</t>
  </si>
  <si>
    <t>Growth %</t>
  </si>
  <si>
    <t>Transport</t>
  </si>
  <si>
    <t>PC2130469</t>
  </si>
  <si>
    <t>PC2130471</t>
  </si>
  <si>
    <t>DC Activity</t>
  </si>
  <si>
    <t>PC2500012</t>
  </si>
  <si>
    <t>PC2500013</t>
  </si>
  <si>
    <t>PC2500014</t>
  </si>
  <si>
    <t>PC2500016</t>
  </si>
  <si>
    <t>PC2500018</t>
  </si>
  <si>
    <t>PC2500019</t>
  </si>
  <si>
    <t>PC2500020</t>
  </si>
  <si>
    <t>PC2500021</t>
  </si>
  <si>
    <t>PC2500022</t>
  </si>
  <si>
    <t>PC2500023</t>
  </si>
  <si>
    <t>PC2500025</t>
  </si>
  <si>
    <t>PC2500026</t>
  </si>
  <si>
    <t>PC2500027</t>
  </si>
  <si>
    <t>PC2500029</t>
  </si>
  <si>
    <t>PC2500031</t>
  </si>
  <si>
    <t>PC2510001</t>
  </si>
  <si>
    <t>PC2510002</t>
  </si>
  <si>
    <t>PC2700185</t>
  </si>
  <si>
    <t>PC3100803</t>
  </si>
  <si>
    <t>PC3100804</t>
  </si>
  <si>
    <t>PC2910300</t>
  </si>
  <si>
    <t>PC2910301</t>
  </si>
  <si>
    <t>PC2910302</t>
  </si>
  <si>
    <t>PC3200168</t>
  </si>
  <si>
    <t>PC3200236</t>
  </si>
  <si>
    <t>PC3200340</t>
  </si>
  <si>
    <t>PC3200344</t>
  </si>
  <si>
    <t>PC3200520</t>
  </si>
  <si>
    <t>PC3200597</t>
  </si>
  <si>
    <t>PC2130276</t>
  </si>
  <si>
    <t>PC2130277</t>
  </si>
  <si>
    <t>PC2130282</t>
  </si>
  <si>
    <t>PC2130283</t>
  </si>
  <si>
    <t>END</t>
  </si>
  <si>
    <t>PC2130398</t>
  </si>
  <si>
    <t>PC2130399</t>
  </si>
  <si>
    <t>PC2130400</t>
  </si>
  <si>
    <t>PC2130401</t>
  </si>
  <si>
    <t>PC2130402</t>
  </si>
  <si>
    <t>PC2130403</t>
  </si>
  <si>
    <t>PC2130404</t>
  </si>
  <si>
    <t>PC2130406</t>
  </si>
  <si>
    <t>PTR AW</t>
  </si>
  <si>
    <t>TRA AW</t>
  </si>
  <si>
    <t>TRA HG</t>
  </si>
  <si>
    <t>PC2310001</t>
  </si>
  <si>
    <t>PC3000001</t>
  </si>
  <si>
    <t>PC3100608</t>
  </si>
  <si>
    <t>PC3200516</t>
  </si>
  <si>
    <t>PC3000501</t>
  </si>
  <si>
    <t>PC3000502</t>
  </si>
  <si>
    <t>WCC</t>
  </si>
  <si>
    <t>RDC</t>
  </si>
  <si>
    <t>MCC</t>
  </si>
  <si>
    <t>Churchill Park development Stage 2</t>
  </si>
  <si>
    <t>Crossfield Reserve Training Lights</t>
  </si>
  <si>
    <t>FDC</t>
  </si>
  <si>
    <t>PDC</t>
  </si>
  <si>
    <t>McLennan Park Extension</t>
  </si>
  <si>
    <t>Parrs Park North East Development</t>
  </si>
  <si>
    <t>Te Pai Park Development</t>
  </si>
  <si>
    <t>Lower Corridor Area 3 Massey Nth PC15</t>
  </si>
  <si>
    <t>NSCC</t>
  </si>
  <si>
    <t>Stormwater</t>
  </si>
  <si>
    <t>PC2130269</t>
  </si>
  <si>
    <t>PC2130271</t>
  </si>
  <si>
    <t>PC2130273</t>
  </si>
  <si>
    <t>PC2130274</t>
  </si>
  <si>
    <t>PC2130375</t>
  </si>
  <si>
    <t>PC2130376</t>
  </si>
  <si>
    <t>PC2130377</t>
  </si>
  <si>
    <t>PC2130378</t>
  </si>
  <si>
    <t>PC2130390</t>
  </si>
  <si>
    <t>PC2130407</t>
  </si>
  <si>
    <t>PC2130408</t>
  </si>
  <si>
    <t>PC2130409</t>
  </si>
  <si>
    <t>PC2130410</t>
  </si>
  <si>
    <t>PC2130411</t>
  </si>
  <si>
    <t>PC2130413</t>
  </si>
  <si>
    <t>PC2130414</t>
  </si>
  <si>
    <t>PC2130415</t>
  </si>
  <si>
    <t>PC2130417</t>
  </si>
  <si>
    <t>PC2130420</t>
  </si>
  <si>
    <t>PC2130421</t>
  </si>
  <si>
    <t>PC2130422</t>
  </si>
  <si>
    <t>PC2130423</t>
  </si>
  <si>
    <t>PC2130424</t>
  </si>
  <si>
    <t>PC2130425</t>
  </si>
  <si>
    <t>PC2130427</t>
  </si>
  <si>
    <t>PC2130428</t>
  </si>
  <si>
    <t>PC2030310</t>
  </si>
  <si>
    <t>PC2030400</t>
  </si>
  <si>
    <t>PC2030500</t>
  </si>
  <si>
    <t>PC3101101</t>
  </si>
  <si>
    <t>PC3200537</t>
  </si>
  <si>
    <t>PC2130233</t>
  </si>
  <si>
    <t>PC2130234</t>
  </si>
  <si>
    <t>PC2130236</t>
  </si>
  <si>
    <t>PC2130240</t>
  </si>
  <si>
    <t>PC2130241</t>
  </si>
  <si>
    <t>PC2130243</t>
  </si>
  <si>
    <t>PC2130244</t>
  </si>
  <si>
    <t>PC2130245</t>
  </si>
  <si>
    <t>PC2130246</t>
  </si>
  <si>
    <t>PC2130248</t>
  </si>
  <si>
    <t>PC2130249</t>
  </si>
  <si>
    <t>PC2130250</t>
  </si>
  <si>
    <t>PC2130251</t>
  </si>
  <si>
    <t>PC2130252</t>
  </si>
  <si>
    <t>PC2130255</t>
  </si>
  <si>
    <t>PC2130256</t>
  </si>
  <si>
    <t>PC2130258</t>
  </si>
  <si>
    <t>PC2130259</t>
  </si>
  <si>
    <t>PC2130260</t>
  </si>
  <si>
    <t>PC2130262</t>
  </si>
  <si>
    <t>PC2130264</t>
  </si>
  <si>
    <t>PC2130265</t>
  </si>
  <si>
    <t>PC2130267</t>
  </si>
  <si>
    <t>PC2910201</t>
  </si>
  <si>
    <t>PC2910202</t>
  </si>
  <si>
    <t>PC3101103</t>
  </si>
  <si>
    <t>PC2120010</t>
  </si>
  <si>
    <t>PC2120011</t>
  </si>
  <si>
    <t>PC2120012</t>
  </si>
  <si>
    <t>PC2120013</t>
  </si>
  <si>
    <t>PC2120014</t>
  </si>
  <si>
    <t>PC2150001</t>
  </si>
  <si>
    <t>PC2150002</t>
  </si>
  <si>
    <t>PC2150003</t>
  </si>
  <si>
    <t>PC2150004</t>
  </si>
  <si>
    <t>PC2600001</t>
  </si>
  <si>
    <t>PC2600002</t>
  </si>
  <si>
    <t>Totals Calculated</t>
  </si>
  <si>
    <t>PC2130108</t>
  </si>
  <si>
    <t>PC2130111</t>
  </si>
  <si>
    <t>PC2130112</t>
  </si>
  <si>
    <t>PC2130116</t>
  </si>
  <si>
    <t>PC2130117</t>
  </si>
  <si>
    <t>PC2130119</t>
  </si>
  <si>
    <t>PC2130124</t>
  </si>
  <si>
    <t>PC2130125</t>
  </si>
  <si>
    <t>PC2130126</t>
  </si>
  <si>
    <t>PC2130127</t>
  </si>
  <si>
    <t>PC3200522</t>
  </si>
  <si>
    <t>PC2000001</t>
  </si>
  <si>
    <t>PC2000003</t>
  </si>
  <si>
    <t>PC2000004</t>
  </si>
  <si>
    <t>PC2000005</t>
  </si>
  <si>
    <t>PC2000006</t>
  </si>
  <si>
    <t>PC2000009</t>
  </si>
  <si>
    <t>PC2000011</t>
  </si>
  <si>
    <t>PC2000012</t>
  </si>
  <si>
    <t>PC2000013</t>
  </si>
  <si>
    <t>PC2000014</t>
  </si>
  <si>
    <t>PC2110200</t>
  </si>
  <si>
    <t>Public Transport</t>
  </si>
  <si>
    <t>PC2610000</t>
  </si>
  <si>
    <t>PC2610001</t>
  </si>
  <si>
    <t>PC2610002</t>
  </si>
  <si>
    <t>PC2600000</t>
  </si>
  <si>
    <t>PC2020030</t>
  </si>
  <si>
    <t>PC2020031</t>
  </si>
  <si>
    <t>PC2020032</t>
  </si>
  <si>
    <t>PC2020033</t>
  </si>
  <si>
    <t>PC2020037</t>
  </si>
  <si>
    <t>PC2020039</t>
  </si>
  <si>
    <t>PC3200541</t>
  </si>
  <si>
    <t>PC2900001</t>
  </si>
  <si>
    <t>PC2900003</t>
  </si>
  <si>
    <t>PC3200514</t>
  </si>
  <si>
    <t>PC3200515</t>
  </si>
  <si>
    <t>PC3200519</t>
  </si>
  <si>
    <t>PC2010000</t>
  </si>
  <si>
    <t>PC2010001</t>
  </si>
  <si>
    <t>PC2010101</t>
  </si>
  <si>
    <t>PC2010104</t>
  </si>
  <si>
    <t>PC2010114</t>
  </si>
  <si>
    <t>PC2010115</t>
  </si>
  <si>
    <t>PC2010116</t>
  </si>
  <si>
    <t>PC2010117</t>
  </si>
  <si>
    <t>PC2010118</t>
  </si>
  <si>
    <t>PC2010119</t>
  </si>
  <si>
    <t>PC2010120</t>
  </si>
  <si>
    <t>PC2010121</t>
  </si>
  <si>
    <t>PC2010122</t>
  </si>
  <si>
    <t>PC2010124</t>
  </si>
  <si>
    <t>PC2010125</t>
  </si>
  <si>
    <t>PC2010126</t>
  </si>
  <si>
    <t>PC2010127</t>
  </si>
  <si>
    <t>PC2010129</t>
  </si>
  <si>
    <t>PC2010130</t>
  </si>
  <si>
    <t>PC2010131</t>
  </si>
  <si>
    <t>PC2010132</t>
  </si>
  <si>
    <t>PC2010133</t>
  </si>
  <si>
    <t>PC2010134</t>
  </si>
  <si>
    <t>PC2010135</t>
  </si>
  <si>
    <t>PC2010136</t>
  </si>
  <si>
    <t>PC2010138</t>
  </si>
  <si>
    <t>PC2010139</t>
  </si>
  <si>
    <t>PC2010140</t>
  </si>
  <si>
    <t>PC2010142</t>
  </si>
  <si>
    <t>PC2010144</t>
  </si>
  <si>
    <t>PC2010145</t>
  </si>
  <si>
    <t>PC2010147</t>
  </si>
  <si>
    <t>PC2010150</t>
  </si>
  <si>
    <t>PC2010151</t>
  </si>
  <si>
    <t>PC2010152</t>
  </si>
  <si>
    <t>PC2010153</t>
  </si>
  <si>
    <t>PC2010155</t>
  </si>
  <si>
    <t>PC2010156</t>
  </si>
  <si>
    <t>PC2010157</t>
  </si>
  <si>
    <t>PC2010158</t>
  </si>
  <si>
    <t>PC2010159</t>
  </si>
  <si>
    <t>PC2010160</t>
  </si>
  <si>
    <t>PC2010161</t>
  </si>
  <si>
    <t>PC2010162</t>
  </si>
  <si>
    <t>PC2010163</t>
  </si>
  <si>
    <t>PC2010165</t>
  </si>
  <si>
    <t>PC2010166</t>
  </si>
  <si>
    <t>PC2010167</t>
  </si>
  <si>
    <t>PC2010169</t>
  </si>
  <si>
    <t>PC2010170</t>
  </si>
  <si>
    <t>PC2130187</t>
  </si>
  <si>
    <t>PC2130188</t>
  </si>
  <si>
    <t>PC2130189</t>
  </si>
  <si>
    <t>PC2130190</t>
  </si>
  <si>
    <t>PC2130191</t>
  </si>
  <si>
    <t>PC2130192</t>
  </si>
  <si>
    <t>PC2130193</t>
  </si>
  <si>
    <t>PC2130195</t>
  </si>
  <si>
    <t>PC2130196</t>
  </si>
  <si>
    <t>PC2130197</t>
  </si>
  <si>
    <t>PC2130198</t>
  </si>
  <si>
    <t>PC2130199</t>
  </si>
  <si>
    <t>PC2130200</t>
  </si>
  <si>
    <t>PC2130201</t>
  </si>
  <si>
    <t>PC2130205</t>
  </si>
  <si>
    <t>PC2130206</t>
  </si>
  <si>
    <t>PC2130207</t>
  </si>
  <si>
    <t>PC2130212</t>
  </si>
  <si>
    <t>PC2130213</t>
  </si>
  <si>
    <t>PC2130214</t>
  </si>
  <si>
    <t>PC2130216</t>
  </si>
  <si>
    <t>PC2130217</t>
  </si>
  <si>
    <t>PC2130219</t>
  </si>
  <si>
    <t>PC2130221</t>
  </si>
  <si>
    <t>PC2130225</t>
  </si>
  <si>
    <t>PC2130226</t>
  </si>
  <si>
    <t>PC2130227</t>
  </si>
  <si>
    <t>PC2130230</t>
  </si>
  <si>
    <t>PC2130232</t>
  </si>
  <si>
    <t>PC2310113</t>
  </si>
  <si>
    <t>PC2310114</t>
  </si>
  <si>
    <t>PC2310129</t>
  </si>
  <si>
    <t>PC2310130</t>
  </si>
  <si>
    <t>PC2800148</t>
  </si>
  <si>
    <t>PC2820499</t>
  </si>
  <si>
    <t>PC2820500</t>
  </si>
  <si>
    <t>PC2820501</t>
  </si>
  <si>
    <t>PC2820502</t>
  </si>
  <si>
    <t>PC2820503</t>
  </si>
  <si>
    <t>PC3101031</t>
  </si>
  <si>
    <t>PC3101114</t>
  </si>
  <si>
    <t>PC3101115</t>
  </si>
  <si>
    <t>PC3101097</t>
  </si>
  <si>
    <t>Legacy council</t>
  </si>
  <si>
    <t>Y</t>
  </si>
  <si>
    <t>Operating or maintenance cost
s199(1), (2) and (3)</t>
  </si>
  <si>
    <t>N</t>
  </si>
  <si>
    <t>PC2130326</t>
  </si>
  <si>
    <t>PC2130327</t>
  </si>
  <si>
    <t>PC2130332</t>
  </si>
  <si>
    <t>PC2130334</t>
  </si>
  <si>
    <t>PC2130337</t>
  </si>
  <si>
    <t>PC2130340</t>
  </si>
  <si>
    <t>PC2130341</t>
  </si>
  <si>
    <t>PC2130342</t>
  </si>
  <si>
    <t>PC2130353</t>
  </si>
  <si>
    <t>PC2130357</t>
  </si>
  <si>
    <t>PC2130360</t>
  </si>
  <si>
    <t>PC2130362</t>
  </si>
  <si>
    <t>PC2130363</t>
  </si>
  <si>
    <t>PC2130364</t>
  </si>
  <si>
    <t>PC2130365</t>
  </si>
  <si>
    <t>PC2130366</t>
  </si>
  <si>
    <t>PC2130367</t>
  </si>
  <si>
    <t>PC2130368</t>
  </si>
  <si>
    <t>PC2130369</t>
  </si>
  <si>
    <t>PC2130370</t>
  </si>
  <si>
    <t>PC2130372</t>
  </si>
  <si>
    <t>Built with growth in mind</t>
  </si>
  <si>
    <t>Legacy or New</t>
  </si>
  <si>
    <t>PC2130343</t>
  </si>
  <si>
    <t>PC2130344</t>
  </si>
  <si>
    <t>PC2130345</t>
  </si>
  <si>
    <t>PC2130347</t>
  </si>
  <si>
    <t>PC2130348</t>
  </si>
  <si>
    <t>PC2130349</t>
  </si>
  <si>
    <t>PC2130355</t>
  </si>
  <si>
    <t>LTP capital expenditure projects - cost allocation model output: 10 year capacity consumption</t>
  </si>
  <si>
    <t>Prev</t>
  </si>
  <si>
    <t>Planned</t>
  </si>
  <si>
    <t>FundArea</t>
  </si>
  <si>
    <t>To date</t>
  </si>
  <si>
    <t>2021/22</t>
  </si>
  <si>
    <t>Community Service Facilities</t>
  </si>
  <si>
    <t>North</t>
  </si>
  <si>
    <t>West</t>
  </si>
  <si>
    <t>Central</t>
  </si>
  <si>
    <t>South</t>
  </si>
  <si>
    <t>HGI</t>
  </si>
  <si>
    <t>Rural</t>
  </si>
  <si>
    <t>PC2130356</t>
  </si>
  <si>
    <t>PC2130373</t>
  </si>
  <si>
    <t>PC2130386</t>
  </si>
  <si>
    <t>PC2130388</t>
  </si>
  <si>
    <t>PC2132008</t>
  </si>
  <si>
    <t>PC2132009</t>
  </si>
  <si>
    <t>PC2133002</t>
  </si>
  <si>
    <t>PC2133007</t>
  </si>
  <si>
    <t>Open Space Land Acquisition</t>
  </si>
  <si>
    <t>LTP capital expenditure projects - cost allocation model output: beyond 10 year capacity consumption</t>
  </si>
  <si>
    <t>Benefit considerations 
% benefit to growth
s101(3)(a)(ii)</t>
  </si>
  <si>
    <t>Cause considerations
% caused by growth
 s101(3)(a)(iv)</t>
  </si>
  <si>
    <t>PC2200107</t>
  </si>
  <si>
    <t>PC2200108</t>
  </si>
  <si>
    <t>PC2200109</t>
  </si>
  <si>
    <t>PC2200110</t>
  </si>
  <si>
    <t>PC2200114</t>
  </si>
  <si>
    <t>PC2100006</t>
  </si>
  <si>
    <t>PC2100007</t>
  </si>
  <si>
    <t>PC2100008</t>
  </si>
  <si>
    <t>PC2100009</t>
  </si>
  <si>
    <t>PC2100010</t>
  </si>
  <si>
    <t>PC2100012</t>
  </si>
  <si>
    <t>PC2100013</t>
  </si>
  <si>
    <t>PC2100014</t>
  </si>
  <si>
    <t>PC2100016</t>
  </si>
  <si>
    <t>PC2100017</t>
  </si>
  <si>
    <t>PC2100101</t>
  </si>
  <si>
    <t>PC2100102</t>
  </si>
  <si>
    <t>PC2100103</t>
  </si>
  <si>
    <t>PC2100106</t>
  </si>
  <si>
    <t>PC2100108</t>
  </si>
  <si>
    <t>PC2100112</t>
  </si>
  <si>
    <t>PC2100113</t>
  </si>
  <si>
    <t>PC2100115</t>
  </si>
  <si>
    <t>Waitakere Ranges</t>
  </si>
  <si>
    <t>PC2100116</t>
  </si>
  <si>
    <t>PC2110005</t>
  </si>
  <si>
    <t>PC2110100</t>
  </si>
  <si>
    <t>PC2130153</t>
  </si>
  <si>
    <t>PC2140138</t>
  </si>
  <si>
    <t>PC3100624</t>
  </si>
  <si>
    <t>PC3100625</t>
  </si>
  <si>
    <t>PC3100656</t>
  </si>
  <si>
    <t>PC3200248</t>
  </si>
  <si>
    <t>PC3200304</t>
  </si>
  <si>
    <t>PC3200356</t>
  </si>
  <si>
    <t>PC2130268</t>
  </si>
  <si>
    <t>PC2130211</t>
  </si>
  <si>
    <t>PC2130282a</t>
  </si>
  <si>
    <t>PC2130282b</t>
  </si>
  <si>
    <t>PC2130313a</t>
  </si>
  <si>
    <t>PC2130313b</t>
  </si>
  <si>
    <t>PC2130208</t>
  </si>
  <si>
    <t>PC2130250a</t>
  </si>
  <si>
    <t>PC2130250b</t>
  </si>
  <si>
    <t>PC3200132</t>
  </si>
  <si>
    <t>PC3200156</t>
  </si>
  <si>
    <t>PC3200158</t>
  </si>
  <si>
    <t>PC2130139</t>
  </si>
  <si>
    <t>PC2130150</t>
  </si>
  <si>
    <t>PC2130151</t>
  </si>
  <si>
    <t>PC2130210</t>
  </si>
  <si>
    <t xml:space="preserve">Project </t>
  </si>
  <si>
    <t>LegacyCode</t>
  </si>
  <si>
    <t>Not found</t>
  </si>
  <si>
    <t>none</t>
  </si>
  <si>
    <t>PC3100457</t>
  </si>
  <si>
    <t>MCC 0055COP00094</t>
  </si>
  <si>
    <t>ACC 662/290001</t>
  </si>
  <si>
    <t>PC3101105</t>
  </si>
  <si>
    <t>PC3200501</t>
  </si>
  <si>
    <t>ARC X/006100/3</t>
  </si>
  <si>
    <t>PC3100400</t>
  </si>
  <si>
    <t>ACC 682/000060</t>
  </si>
  <si>
    <t>PC3200536</t>
  </si>
  <si>
    <t>MCC 8014CPM00037</t>
  </si>
  <si>
    <t>MCC 8014CPM00029</t>
  </si>
  <si>
    <t>WCC 8AMPK-15-054</t>
  </si>
  <si>
    <t>ACC 842/800005</t>
  </si>
  <si>
    <t>MCC 0120CEM00021</t>
  </si>
  <si>
    <t>MCC 7025CCY00058</t>
  </si>
  <si>
    <t>PC3100401</t>
  </si>
  <si>
    <t>PC3101104</t>
  </si>
  <si>
    <t>NSCC 10989</t>
  </si>
  <si>
    <t>WCC 8AMPK-12-057</t>
  </si>
  <si>
    <t>RDC 42176-1</t>
  </si>
  <si>
    <t>PC3101107</t>
  </si>
  <si>
    <t>MCC 8014CPM00001</t>
  </si>
  <si>
    <t>PC2130387</t>
  </si>
  <si>
    <t>WCC 8AMPK-15-058</t>
  </si>
  <si>
    <t>WCC 3SPSC-10-001</t>
  </si>
  <si>
    <t>ACC 272/480412</t>
  </si>
  <si>
    <t>ACC 862/425001</t>
  </si>
  <si>
    <t>ACC 842/500019</t>
  </si>
  <si>
    <t>RDC 40025-1</t>
  </si>
  <si>
    <t>WCC 8PLLE-09-018</t>
  </si>
  <si>
    <t>WCC 8PLLE-09-014</t>
  </si>
  <si>
    <t>WCC 3LBSD-12-001</t>
  </si>
  <si>
    <t>MCC 8014CPM00044</t>
  </si>
  <si>
    <t>PC3100453</t>
  </si>
  <si>
    <t>FDC IMS009 001</t>
  </si>
  <si>
    <t>ACC 862/811002</t>
  </si>
  <si>
    <t>PC2130328</t>
  </si>
  <si>
    <t>WCC 8AMPK-11-060</t>
  </si>
  <si>
    <t>FDC OS024 001</t>
  </si>
  <si>
    <t>WCC 3LBSD-09-001</t>
  </si>
  <si>
    <t>MCC 8014CPM00003</t>
  </si>
  <si>
    <t>NSCC 10890</t>
  </si>
  <si>
    <t>FDC PR0036 001</t>
  </si>
  <si>
    <t>PC2200116</t>
  </si>
  <si>
    <t>WCC 3SPSC-07-020</t>
  </si>
  <si>
    <t>NSCC 12089</t>
  </si>
  <si>
    <t>MCC 2037CCS00162</t>
  </si>
  <si>
    <t>MCC 4150CMG00016</t>
  </si>
  <si>
    <t>PDC 42800718</t>
  </si>
  <si>
    <t>ACC 752/010000</t>
  </si>
  <si>
    <t>ACC 272/480425</t>
  </si>
  <si>
    <t>MCC 8014CPM00020</t>
  </si>
  <si>
    <t>FDC OS039 001</t>
  </si>
  <si>
    <t>WCC 3LBSD-07-105</t>
  </si>
  <si>
    <t>PC2130329</t>
  </si>
  <si>
    <t>WCC 8AMPK-16-063</t>
  </si>
  <si>
    <t>ACC 842/400012</t>
  </si>
  <si>
    <t>NSCC 10902</t>
  </si>
  <si>
    <t>PC2130229</t>
  </si>
  <si>
    <t>PDC 42800704</t>
  </si>
  <si>
    <t>RDC 41521-1</t>
  </si>
  <si>
    <t>WCC 8AMPK-11-040</t>
  </si>
  <si>
    <t>ACC 572/500001</t>
  </si>
  <si>
    <t>PC3100425</t>
  </si>
  <si>
    <t>ACC 862/450011</t>
  </si>
  <si>
    <t>MCC 8014CPM00030</t>
  </si>
  <si>
    <t>WCC 8AMPK-13-006</t>
  </si>
  <si>
    <t>FDC OS026 001</t>
  </si>
  <si>
    <t>PC2130330</t>
  </si>
  <si>
    <t>WCC 8AMPK-17-059</t>
  </si>
  <si>
    <t>WCC 8AMPK-15-071</t>
  </si>
  <si>
    <t>WCC 8AMPK-12-070</t>
  </si>
  <si>
    <t>RDC 42014-1</t>
  </si>
  <si>
    <t>WCC 8AMPK-12-066</t>
  </si>
  <si>
    <t>MCC 0222CEC00073</t>
  </si>
  <si>
    <t>PDC 42800706</t>
  </si>
  <si>
    <t>PC2130333</t>
  </si>
  <si>
    <t>WCC 8AMPK-11-048</t>
  </si>
  <si>
    <t>MCC 0222CEC00074</t>
  </si>
  <si>
    <t>MCC 2037CCS00148</t>
  </si>
  <si>
    <t>WCC 8AMPK-12-042</t>
  </si>
  <si>
    <t>WCC 8AMPK-11-002</t>
  </si>
  <si>
    <t>PC2133003</t>
  </si>
  <si>
    <t>WCC 8AMPK-12-061</t>
  </si>
  <si>
    <t>NSCC 12141</t>
  </si>
  <si>
    <t>WCC 8AMPK-12-026</t>
  </si>
  <si>
    <t>ARC X/006100/6</t>
  </si>
  <si>
    <t>ARC X/006100/4</t>
  </si>
  <si>
    <t>WCC 8PLLE-09-028</t>
  </si>
  <si>
    <t>FDC OS026 002</t>
  </si>
  <si>
    <t>WCC 8AMPK-12-067</t>
  </si>
  <si>
    <t>ACC 272/620710</t>
  </si>
  <si>
    <t>WCC 8PLLE-09-016</t>
  </si>
  <si>
    <t>ACC 272/480413</t>
  </si>
  <si>
    <t>WCC 8AMPK-15-043</t>
  </si>
  <si>
    <t>WCC 8PLLE-09-022</t>
  </si>
  <si>
    <t>WCC 8AMPK-12-041</t>
  </si>
  <si>
    <t>PC2400003</t>
  </si>
  <si>
    <t>WCC 7LTES-08-012</t>
  </si>
  <si>
    <t>NSCC 12114</t>
  </si>
  <si>
    <t>WCC 8AMPK-11-011</t>
  </si>
  <si>
    <t>RDC 41740-1</t>
  </si>
  <si>
    <t>PC2130335</t>
  </si>
  <si>
    <t>WCC 8AMPK-14-045</t>
  </si>
  <si>
    <t>PDC 42800719</t>
  </si>
  <si>
    <t>WCC 8AMPK-16-055</t>
  </si>
  <si>
    <t>ACC 862/520001</t>
  </si>
  <si>
    <t>PC2130359</t>
  </si>
  <si>
    <t>WCC 8AMPK-10-073</t>
  </si>
  <si>
    <t>NSCC 12139</t>
  </si>
  <si>
    <t>WCC 8AMPK-12-014</t>
  </si>
  <si>
    <t>RDC 41522-1</t>
  </si>
  <si>
    <t>RDC 41739-1</t>
  </si>
  <si>
    <t>PC2130400a</t>
  </si>
  <si>
    <t>NSCC 10904</t>
  </si>
  <si>
    <t>NSCC 10997</t>
  </si>
  <si>
    <t>RDC 41621-1</t>
  </si>
  <si>
    <t>NSCC 12018</t>
  </si>
  <si>
    <t>PC2030167</t>
  </si>
  <si>
    <t>MCC 7028CFM00638</t>
  </si>
  <si>
    <t>FDC OS047 001</t>
  </si>
  <si>
    <t>WCC 8AMPK-11-018</t>
  </si>
  <si>
    <t>NSCC 12117</t>
  </si>
  <si>
    <t>PC2130400b</t>
  </si>
  <si>
    <t>RDC 41843-1</t>
  </si>
  <si>
    <t>WCC 8AMPK-08-006</t>
  </si>
  <si>
    <t>WCC 8AMPK-11-056</t>
  </si>
  <si>
    <t>FDC OS026 006</t>
  </si>
  <si>
    <t>MCC 2127CCY00062</t>
  </si>
  <si>
    <t>NSCC 12132</t>
  </si>
  <si>
    <t>RDC 41678-1</t>
  </si>
  <si>
    <t>WCC 8AMPK-12-068</t>
  </si>
  <si>
    <t>NSCC 12115</t>
  </si>
  <si>
    <t>NSCC 12145</t>
  </si>
  <si>
    <t>NSCC 12019</t>
  </si>
  <si>
    <t>NSCC 12324</t>
  </si>
  <si>
    <t>ARC X/006100/7</t>
  </si>
  <si>
    <t>PC2130215</t>
  </si>
  <si>
    <t>PDC 42800716</t>
  </si>
  <si>
    <t>PC2130418</t>
  </si>
  <si>
    <t>NSCC 12112</t>
  </si>
  <si>
    <t>RDC 41838-1</t>
  </si>
  <si>
    <t>ARC X/006100/2</t>
  </si>
  <si>
    <t>NSCC 12128</t>
  </si>
  <si>
    <t>NSCC 12326</t>
  </si>
  <si>
    <t>FDC PR0038 001</t>
  </si>
  <si>
    <t>PC2130352</t>
  </si>
  <si>
    <t>WCC 8AMPK-14-052</t>
  </si>
  <si>
    <t>WCC 8AMPK-14-027</t>
  </si>
  <si>
    <t>NSCC 12135</t>
  </si>
  <si>
    <t>WCC 8AMPK-11-026</t>
  </si>
  <si>
    <t>NSCC 10551</t>
  </si>
  <si>
    <t>NSCC 12096</t>
  </si>
  <si>
    <t>PC2130145</t>
  </si>
  <si>
    <t>FDC OS042 007</t>
  </si>
  <si>
    <t>PC2133004</t>
  </si>
  <si>
    <t>WCC 8AMPK-12-062</t>
  </si>
  <si>
    <t>NSCC 10895</t>
  </si>
  <si>
    <t>FDC OS019 001</t>
  </si>
  <si>
    <t>PC2130339</t>
  </si>
  <si>
    <t>WCC 8AMPK-12-044</t>
  </si>
  <si>
    <t>NSCC 11126</t>
  </si>
  <si>
    <t>PC2133006</t>
  </si>
  <si>
    <t>WCC 8AMPK-15-051</t>
  </si>
  <si>
    <t>PC2130336</t>
  </si>
  <si>
    <t>WCC 8AMPK-13-046</t>
  </si>
  <si>
    <t>NSCC 10896</t>
  </si>
  <si>
    <t>PC2130354</t>
  </si>
  <si>
    <t>WCC 8AMPK-12-065</t>
  </si>
  <si>
    <t>MCC 8014CPM00045</t>
  </si>
  <si>
    <t>NSCC 12144</t>
  </si>
  <si>
    <t>PC2130338</t>
  </si>
  <si>
    <t>WCC 8AMPK-13-053</t>
  </si>
  <si>
    <t>ARC X/006100/5</t>
  </si>
  <si>
    <t>NSCC 12118</t>
  </si>
  <si>
    <t>PDC 42849702</t>
  </si>
  <si>
    <t>ACC 422/210060</t>
  </si>
  <si>
    <t>NSCC 12133</t>
  </si>
  <si>
    <t>ACC 422/210061</t>
  </si>
  <si>
    <t>RDC 41782-1</t>
  </si>
  <si>
    <t>WCC 8AMPK-13-003</t>
  </si>
  <si>
    <t>NSCC 12129</t>
  </si>
  <si>
    <t>RDC 40034-1</t>
  </si>
  <si>
    <t>FDC OS033 008</t>
  </si>
  <si>
    <t>RDC 41847-1</t>
  </si>
  <si>
    <t>NSCC 12127</t>
  </si>
  <si>
    <t>NSCC 12095</t>
  </si>
  <si>
    <t>PC2130303</t>
  </si>
  <si>
    <t>RDC 42024-1</t>
  </si>
  <si>
    <t>NSCC 12101</t>
  </si>
  <si>
    <t>RDC 40212-1</t>
  </si>
  <si>
    <t>NSCC 12108</t>
  </si>
  <si>
    <t>NSCC 12120</t>
  </si>
  <si>
    <t>NSCC 12107</t>
  </si>
  <si>
    <t>PC2130243a</t>
  </si>
  <si>
    <t>RDC 40979-1</t>
  </si>
  <si>
    <t>PC2130243b</t>
  </si>
  <si>
    <t>PC2130412</t>
  </si>
  <si>
    <t>NSCC 12105</t>
  </si>
  <si>
    <t>NSCC 12100</t>
  </si>
  <si>
    <t>NSCC 12119</t>
  </si>
  <si>
    <t>NSCC 12146</t>
  </si>
  <si>
    <t>PC2130416</t>
  </si>
  <si>
    <t>NSCC 12109</t>
  </si>
  <si>
    <t>WCC 8AMPK-12-064</t>
  </si>
  <si>
    <t>NSCC 10998</t>
  </si>
  <si>
    <t>NSCC 12110</t>
  </si>
  <si>
    <t>NSCC 12125</t>
  </si>
  <si>
    <t>RDC 41800-1</t>
  </si>
  <si>
    <t>RDC 41799-1</t>
  </si>
  <si>
    <t>NSCC 12094</t>
  </si>
  <si>
    <t>WCC 8PLLE-09-015</t>
  </si>
  <si>
    <t>WCC 8PLLE-09-019</t>
  </si>
  <si>
    <t>NSCC 12149</t>
  </si>
  <si>
    <t>ACC 422/210047</t>
  </si>
  <si>
    <t>NSCC 12150</t>
  </si>
  <si>
    <t>WCC 8AMPK-16-011</t>
  </si>
  <si>
    <t>NSCC 12106</t>
  </si>
  <si>
    <t>RDC 41701-1</t>
  </si>
  <si>
    <t>RDC 40978-1</t>
  </si>
  <si>
    <t>FDC OS026 004</t>
  </si>
  <si>
    <t>NSCC 12148</t>
  </si>
  <si>
    <t>NSCC 12142</t>
  </si>
  <si>
    <t>RDC 41331-2</t>
  </si>
  <si>
    <t>RDC 41672-1</t>
  </si>
  <si>
    <t>PC2133005</t>
  </si>
  <si>
    <t>WCC 8AMPK-15-049</t>
  </si>
  <si>
    <t>ACC 422/210043</t>
  </si>
  <si>
    <t>NSCC 12097</t>
  </si>
  <si>
    <t>WCC 8AMPK-17-012</t>
  </si>
  <si>
    <t>WCC 8AMPK-18-022</t>
  </si>
  <si>
    <t>RDC 41400-1</t>
  </si>
  <si>
    <t>RDC 41844-1</t>
  </si>
  <si>
    <t>RDC 41746-1</t>
  </si>
  <si>
    <t>WCC 8AMPK-14-008</t>
  </si>
  <si>
    <t>WCC 8PLLE-07-020</t>
  </si>
  <si>
    <t>RDC 41677-1</t>
  </si>
  <si>
    <t>ACC 422/210042</t>
  </si>
  <si>
    <t>PDC 42800717</t>
  </si>
  <si>
    <t>RDC 41747-1</t>
  </si>
  <si>
    <t>RDC 41781-1</t>
  </si>
  <si>
    <t>PDC 46800701</t>
  </si>
  <si>
    <t>RDC 41765-1</t>
  </si>
  <si>
    <t>RDC 41662-1</t>
  </si>
  <si>
    <t>WCC 8AMPK-17-069</t>
  </si>
  <si>
    <t>PC2130483</t>
  </si>
  <si>
    <t>WCC 8AMPK-11-017</t>
  </si>
  <si>
    <t>FDC OS035 009</t>
  </si>
  <si>
    <t>NSCC 12155</t>
  </si>
  <si>
    <t>FDC OS038 006</t>
  </si>
  <si>
    <t>FDC OS042 006</t>
  </si>
  <si>
    <t>FDC OS042 003</t>
  </si>
  <si>
    <t>NSCC 12154</t>
  </si>
  <si>
    <t>RDC 41664-1</t>
  </si>
  <si>
    <t>NSCC 12124</t>
  </si>
  <si>
    <t>ACC 862/550000</t>
  </si>
  <si>
    <t>NSCC 12156</t>
  </si>
  <si>
    <t>RDC 41011-1</t>
  </si>
  <si>
    <t>RDC 41805-1</t>
  </si>
  <si>
    <t>PDC 42751702</t>
  </si>
  <si>
    <t>FDC OS036 009</t>
  </si>
  <si>
    <t>PDC 42795702</t>
  </si>
  <si>
    <t>PC3000000</t>
  </si>
  <si>
    <t>ARC X/003200/1</t>
  </si>
  <si>
    <t>WCC 8AMPK-10-012</t>
  </si>
  <si>
    <t>FDC OS022 005</t>
  </si>
  <si>
    <t>RDC 41766-1</t>
  </si>
  <si>
    <t>FDC OS033 004</t>
  </si>
  <si>
    <t>RDC 40998-1</t>
  </si>
  <si>
    <t>FDC OS036 011</t>
  </si>
  <si>
    <t>FDC OS035 004</t>
  </si>
  <si>
    <t>FDC OS033 005</t>
  </si>
  <si>
    <t>FDC OS038 004</t>
  </si>
  <si>
    <t>PC2130281</t>
  </si>
  <si>
    <t>RDC 41761-2</t>
  </si>
  <si>
    <t>FDC OS036 005</t>
  </si>
  <si>
    <t>PC3200699</t>
  </si>
  <si>
    <t>PC3200731</t>
  </si>
  <si>
    <t>PC3200732</t>
  </si>
  <si>
    <t>PC2130350</t>
  </si>
  <si>
    <t>PC2130351</t>
  </si>
  <si>
    <t>PC2300000</t>
  </si>
  <si>
    <t>PC2300001</t>
  </si>
  <si>
    <t>PC2300002</t>
  </si>
  <si>
    <t>PC2300003</t>
  </si>
  <si>
    <t>PC2440008</t>
  </si>
  <si>
    <t>PC2440010</t>
  </si>
  <si>
    <t>PC2440011</t>
  </si>
  <si>
    <t>PC2440012</t>
  </si>
  <si>
    <t>PC2440014</t>
  </si>
  <si>
    <t>PC2500000</t>
  </si>
  <si>
    <t>PC2500001</t>
  </si>
  <si>
    <t>PC2500002</t>
  </si>
  <si>
    <t>PC2500004</t>
  </si>
  <si>
    <t>PC2500006</t>
  </si>
  <si>
    <t>PC2500007</t>
  </si>
  <si>
    <t>PC2500008</t>
  </si>
  <si>
    <t>PC2130103</t>
  </si>
  <si>
    <t>PC2130104</t>
  </si>
  <si>
    <t>PC2020000</t>
  </si>
  <si>
    <t>PC2020007</t>
  </si>
  <si>
    <t>PC2020028</t>
  </si>
  <si>
    <t>PC2020029</t>
  </si>
  <si>
    <t>PC2310004</t>
  </si>
  <si>
    <t>PC2310115</t>
  </si>
  <si>
    <t>PC2900000</t>
  </si>
  <si>
    <t>PC3000002</t>
  </si>
  <si>
    <t>PC3100600</t>
  </si>
  <si>
    <t>PC3100604</t>
  </si>
  <si>
    <t>PC3100616</t>
  </si>
  <si>
    <t>PC3100617</t>
  </si>
  <si>
    <t>PC3100621</t>
  </si>
  <si>
    <t>PC3100626</t>
  </si>
  <si>
    <t>PC3100636</t>
  </si>
  <si>
    <t>PC3100639</t>
  </si>
  <si>
    <t>PC3100647</t>
  </si>
  <si>
    <t>PC3100651</t>
  </si>
  <si>
    <t>PC3100655</t>
  </si>
  <si>
    <t>PC3200412</t>
  </si>
  <si>
    <t>PC2130484</t>
  </si>
  <si>
    <t>PC2130488</t>
  </si>
  <si>
    <t>PC2132000</t>
  </si>
  <si>
    <t>PC2132001</t>
  </si>
  <si>
    <t>PC2132004</t>
  </si>
  <si>
    <t>PC2132005</t>
  </si>
  <si>
    <t>PC2132007</t>
  </si>
  <si>
    <t>PC2133000</t>
  </si>
  <si>
    <t>PC2140000</t>
  </si>
  <si>
    <t>PC2140001</t>
  </si>
  <si>
    <t>PC2140100</t>
  </si>
  <si>
    <t>PC2140101</t>
  </si>
  <si>
    <t>PC2140102</t>
  </si>
  <si>
    <t>PC2140103</t>
  </si>
  <si>
    <t>PC2140104</t>
  </si>
  <si>
    <t>PC2140105</t>
  </si>
  <si>
    <t>PC2140107</t>
  </si>
  <si>
    <t>PC2140108</t>
  </si>
  <si>
    <t>PC2140109</t>
  </si>
  <si>
    <t>PC2140110</t>
  </si>
  <si>
    <t>PC2140111</t>
  </si>
  <si>
    <t>PC2140112</t>
  </si>
  <si>
    <t>PC2140114</t>
  </si>
  <si>
    <t>PC2140115</t>
  </si>
  <si>
    <t>PC2140117</t>
  </si>
  <si>
    <t>PC2140118</t>
  </si>
  <si>
    <t>PC2140119</t>
  </si>
  <si>
    <t>PC2140120</t>
  </si>
  <si>
    <t>PC2140124</t>
  </si>
  <si>
    <t>PC2140126</t>
  </si>
  <si>
    <t>PC2140127</t>
  </si>
  <si>
    <t>PC2140128</t>
  </si>
  <si>
    <t>PC2140129</t>
  </si>
  <si>
    <t>PC2140130</t>
  </si>
  <si>
    <t>PC2140131</t>
  </si>
  <si>
    <t>PC2140132</t>
  </si>
  <si>
    <t>PC2140133</t>
  </si>
  <si>
    <t>PC2140134</t>
  </si>
  <si>
    <t>PC2140137</t>
  </si>
  <si>
    <t>PC2140139</t>
  </si>
  <si>
    <t>PC2140140</t>
  </si>
  <si>
    <t>PC2140141</t>
  </si>
  <si>
    <t>PC2140142</t>
  </si>
  <si>
    <t>PC2140144</t>
  </si>
  <si>
    <t>PC2140145</t>
  </si>
  <si>
    <t>PC2140146</t>
  </si>
  <si>
    <t>PC2140147</t>
  </si>
  <si>
    <t>PC2140148</t>
  </si>
  <si>
    <t>PC2140149</t>
  </si>
  <si>
    <t>PC2210203</t>
  </si>
  <si>
    <t>PC2210205</t>
  </si>
  <si>
    <t>PC2210212</t>
  </si>
  <si>
    <t>ACC 862/410001</t>
  </si>
  <si>
    <t>ACC 862/600778</t>
  </si>
  <si>
    <t>ACC 862/510002</t>
  </si>
  <si>
    <t>PC2130137</t>
  </si>
  <si>
    <t>FDC OS026 003</t>
  </si>
  <si>
    <t>PC2130138</t>
  </si>
  <si>
    <t>FDC OS022 001</t>
  </si>
  <si>
    <t>FDC OS033 007</t>
  </si>
  <si>
    <t>PC2130141</t>
  </si>
  <si>
    <t>FDC OS026 007</t>
  </si>
  <si>
    <t>PC2130142</t>
  </si>
  <si>
    <t>FDC OS043 001</t>
  </si>
  <si>
    <t>FDC OS027 004</t>
  </si>
  <si>
    <t>PC2130148</t>
  </si>
  <si>
    <t>FDC OS022 010</t>
  </si>
  <si>
    <t>FDC OS033 003</t>
  </si>
  <si>
    <t>FDC OS033 006</t>
  </si>
  <si>
    <t>PC2130152</t>
  </si>
  <si>
    <t>FDC OS035 003</t>
  </si>
  <si>
    <t>PC2130154</t>
  </si>
  <si>
    <t>FDC OS038 002</t>
  </si>
  <si>
    <t>FDC OS030 001</t>
  </si>
  <si>
    <t>PC2130159</t>
  </si>
  <si>
    <t>FDC OS035 002</t>
  </si>
  <si>
    <t>FDC OS032 002</t>
  </si>
  <si>
    <t>FDC OS022 009</t>
  </si>
  <si>
    <t>FDC PR023 001</t>
  </si>
  <si>
    <t>PC2130164</t>
  </si>
  <si>
    <t>FDC OS042 004</t>
  </si>
  <si>
    <t>FDC OS034 001</t>
  </si>
  <si>
    <t>FDC OS029 001</t>
  </si>
  <si>
    <t>PC2130169</t>
  </si>
  <si>
    <t>FDC OS022 004</t>
  </si>
  <si>
    <t>FDC OS032 001</t>
  </si>
  <si>
    <t>PC2130171</t>
  </si>
  <si>
    <t>FDC OS022 006</t>
  </si>
  <si>
    <t>FDC OS037 001</t>
  </si>
  <si>
    <t>PC2130177</t>
  </si>
  <si>
    <t>FDC OS036 007</t>
  </si>
  <si>
    <t>PC2130178</t>
  </si>
  <si>
    <t>FDC OS027 003</t>
  </si>
  <si>
    <t>PC2130179</t>
  </si>
  <si>
    <t>FDC OS022 007</t>
  </si>
  <si>
    <t>PC2130181</t>
  </si>
  <si>
    <t>FDC OS022 003</t>
  </si>
  <si>
    <t>FDC OS044 001</t>
  </si>
  <si>
    <t>MCC 8014CPM00054</t>
  </si>
  <si>
    <t>MCC 8014CPM00096</t>
  </si>
  <si>
    <t>MCC 8014CPM00051</t>
  </si>
  <si>
    <t>MCC 8014CPM00050</t>
  </si>
  <si>
    <t>MCC 8014CPM00049</t>
  </si>
  <si>
    <t>MCC 8014CPM00053</t>
  </si>
  <si>
    <t>PC2130203</t>
  </si>
  <si>
    <t>PDC 42800731</t>
  </si>
  <si>
    <t>PDC 42800707</t>
  </si>
  <si>
    <t>PDC 42800774</t>
  </si>
  <si>
    <t>PC2130209</t>
  </si>
  <si>
    <t>PDC 42687702</t>
  </si>
  <si>
    <t>PDC 42798703</t>
  </si>
  <si>
    <t>PDC 42749702</t>
  </si>
  <si>
    <t>PDC 42800703</t>
  </si>
  <si>
    <t>PDC 42747702</t>
  </si>
  <si>
    <t>PDC 42748702</t>
  </si>
  <si>
    <t>PC2130218</t>
  </si>
  <si>
    <t>PDC 42848743</t>
  </si>
  <si>
    <t>PDC 42800771</t>
  </si>
  <si>
    <t>PC2130220</t>
  </si>
  <si>
    <t>PDC 42790702</t>
  </si>
  <si>
    <t>PDC 44693701</t>
  </si>
  <si>
    <t>PC2130222</t>
  </si>
  <si>
    <t>PDC 44600610</t>
  </si>
  <si>
    <t>PDC 42746702</t>
  </si>
  <si>
    <t>PDC 42800772</t>
  </si>
  <si>
    <t>PDC 42800773</t>
  </si>
  <si>
    <t>PC2130228</t>
  </si>
  <si>
    <t>PDC 42722702</t>
  </si>
  <si>
    <t>PC2130231</t>
  </si>
  <si>
    <t>PDC 42848744</t>
  </si>
  <si>
    <t>PDC 42683702</t>
  </si>
  <si>
    <t>PDC 42800776</t>
  </si>
  <si>
    <t>PDC 42800775</t>
  </si>
  <si>
    <t>PC2130235</t>
  </si>
  <si>
    <t>RDC 41806-1</t>
  </si>
  <si>
    <t>RDC 41837-1</t>
  </si>
  <si>
    <t>PC2130237</t>
  </si>
  <si>
    <t>RDC 41648-1</t>
  </si>
  <si>
    <t>PC2130238</t>
  </si>
  <si>
    <t>RDC 41648-2</t>
  </si>
  <si>
    <t>PC2130239</t>
  </si>
  <si>
    <t>RDC 41818-1</t>
  </si>
  <si>
    <t>RDC 41720-1</t>
  </si>
  <si>
    <t>RDC 41638-1</t>
  </si>
  <si>
    <t>PC2130242</t>
  </si>
  <si>
    <t>RDC 41403-2</t>
  </si>
  <si>
    <t>RDC 41409-1</t>
  </si>
  <si>
    <t>RDC 41652-1</t>
  </si>
  <si>
    <t>RDC 41640-1</t>
  </si>
  <si>
    <t>RDC 41070-1</t>
  </si>
  <si>
    <t>RDC 41064-2</t>
  </si>
  <si>
    <t>PC2130253</t>
  </si>
  <si>
    <t>RDC 40996-1</t>
  </si>
  <si>
    <t>PC2130257</t>
  </si>
  <si>
    <t>RDC 41827-1</t>
  </si>
  <si>
    <t>RDC 41517-1</t>
  </si>
  <si>
    <t>RDC 41649-1</t>
  </si>
  <si>
    <t>RDC 41622-1</t>
  </si>
  <si>
    <t>PC2130266</t>
  </si>
  <si>
    <t>RDC 40859-2</t>
  </si>
  <si>
    <t>RDC 41833-1</t>
  </si>
  <si>
    <t>RDC 41078-4</t>
  </si>
  <si>
    <t>PC2130275</t>
  </si>
  <si>
    <t>RDC 41078-2</t>
  </si>
  <si>
    <t>RDC 41078-3</t>
  </si>
  <si>
    <t>PC2130280</t>
  </si>
  <si>
    <t>RDC 41761-1</t>
  </si>
  <si>
    <t>PC2130285</t>
  </si>
  <si>
    <t>RDC 41835-1</t>
  </si>
  <si>
    <t>PC2130286</t>
  </si>
  <si>
    <t>RDC 40053-2</t>
  </si>
  <si>
    <t>RDC 41642-1</t>
  </si>
  <si>
    <t>RDC 41646-2</t>
  </si>
  <si>
    <t>RDC 41520-1</t>
  </si>
  <si>
    <t>PC2130292</t>
  </si>
  <si>
    <t>RDC 41809-1</t>
  </si>
  <si>
    <t>PC2130296</t>
  </si>
  <si>
    <t>RDC 41735-1</t>
  </si>
  <si>
    <t>PC2130297</t>
  </si>
  <si>
    <t>RDC 41635-1</t>
  </si>
  <si>
    <t>RDC 41633-1</t>
  </si>
  <si>
    <t>PC2130300</t>
  </si>
  <si>
    <t>RDC 41636-1</t>
  </si>
  <si>
    <t>PC2130301</t>
  </si>
  <si>
    <t>RDC 41365-1</t>
  </si>
  <si>
    <t>PC2130302</t>
  </si>
  <si>
    <t>RDC 41639-1</t>
  </si>
  <si>
    <t>RDC 42172-1</t>
  </si>
  <si>
    <t>PC2130305</t>
  </si>
  <si>
    <t>RDC 41650-1</t>
  </si>
  <si>
    <t>PC2130306</t>
  </si>
  <si>
    <t>RDC 41650-2</t>
  </si>
  <si>
    <t>PC2130309</t>
  </si>
  <si>
    <t>RDC 41651-1</t>
  </si>
  <si>
    <t>RDC 41643-2</t>
  </si>
  <si>
    <t>RDC 41649-2</t>
  </si>
  <si>
    <t>RDC 41644-1</t>
  </si>
  <si>
    <t>PC2130316</t>
  </si>
  <si>
    <t>RDC 41645-1</t>
  </si>
  <si>
    <t>RDC 41645-2</t>
  </si>
  <si>
    <t>RDC 41705-1</t>
  </si>
  <si>
    <t>PC2130320</t>
  </si>
  <si>
    <t>RDC 42200-1</t>
  </si>
  <si>
    <t>PC2130321</t>
  </si>
  <si>
    <t>RDC 41822-1</t>
  </si>
  <si>
    <t>PC2130323</t>
  </si>
  <si>
    <t>RDC 41632-1</t>
  </si>
  <si>
    <t>RDC 41402-1</t>
  </si>
  <si>
    <t>RDC 41832-1</t>
  </si>
  <si>
    <t>WCC 8AMPK-14-001</t>
  </si>
  <si>
    <t>PC2130331</t>
  </si>
  <si>
    <t>WCC 8AMPK-11-020</t>
  </si>
  <si>
    <t>WCC 8AMPK-13-013</t>
  </si>
  <si>
    <t>WCC 8AMPK-10-023</t>
  </si>
  <si>
    <t>WCC 8AMPK-11-004</t>
  </si>
  <si>
    <t>WCC 8AMPK-19-015</t>
  </si>
  <si>
    <t>WCC 8PLPK-14-016</t>
  </si>
  <si>
    <t>WCC 8PLPK-13-012</t>
  </si>
  <si>
    <t>WCC 8AMPK-18-019</t>
  </si>
  <si>
    <t>PC2130361</t>
  </si>
  <si>
    <t>WCC 8AMPK-10-021</t>
  </si>
  <si>
    <t>WCC 8AMPK-14-005</t>
  </si>
  <si>
    <t>WCC 8AMPK-11-007</t>
  </si>
  <si>
    <t>WCC 8AMPK-19-009</t>
  </si>
  <si>
    <t>WCC 8AMPK-14-010</t>
  </si>
  <si>
    <t>PC2130371</t>
  </si>
  <si>
    <t>WCC 8AMPK-09-029</t>
  </si>
  <si>
    <t>MCC 7031CFM00642</t>
  </si>
  <si>
    <t>MCC 7031CFM00643</t>
  </si>
  <si>
    <t>PC2130391</t>
  </si>
  <si>
    <t>NSCC 10567</t>
  </si>
  <si>
    <t>PC2130419</t>
  </si>
  <si>
    <t>NSCC 12113</t>
  </si>
  <si>
    <t>PC2130426</t>
  </si>
  <si>
    <t>NSCC 12123</t>
  </si>
  <si>
    <t>PC2130432</t>
  </si>
  <si>
    <t>NSCC 12131</t>
  </si>
  <si>
    <t>PC2130436</t>
  </si>
  <si>
    <t>NSCC 12137</t>
  </si>
  <si>
    <t>PC2130441</t>
  </si>
  <si>
    <t>NSCC 12143</t>
  </si>
  <si>
    <t>PC2130448</t>
  </si>
  <si>
    <t>NSCC 12153</t>
  </si>
  <si>
    <t>NSCC 70365</t>
  </si>
  <si>
    <t>NSCC 70433</t>
  </si>
  <si>
    <t>NSCC 70435</t>
  </si>
  <si>
    <t>NSCC 70436</t>
  </si>
  <si>
    <t>NSCC 70439</t>
  </si>
  <si>
    <t>NSCC 70446</t>
  </si>
  <si>
    <t>NSCC 70447</t>
  </si>
  <si>
    <t>NSCC 70448</t>
  </si>
  <si>
    <t>PDC 42848742</t>
  </si>
  <si>
    <t>PC2130467</t>
  </si>
  <si>
    <t>NSCC 12103</t>
  </si>
  <si>
    <t>PC2130468</t>
  </si>
  <si>
    <t>NSCC 12111</t>
  </si>
  <si>
    <t>PC2130470</t>
  </si>
  <si>
    <t>WCC 8AMPK-08-004</t>
  </si>
  <si>
    <t>PC2130477</t>
  </si>
  <si>
    <t>WCC 8AMPK-10-008</t>
  </si>
  <si>
    <t>PC2130480</t>
  </si>
  <si>
    <t>WCC 8AMPK-10-018</t>
  </si>
  <si>
    <t>PC2130481</t>
  </si>
  <si>
    <t>WCC 8AMPK-11-016</t>
  </si>
  <si>
    <t>PC2130482</t>
  </si>
  <si>
    <t>WCC 8PLPK-07-052</t>
  </si>
  <si>
    <t>WCC 8AMPK-12-017</t>
  </si>
  <si>
    <t>PC2130485</t>
  </si>
  <si>
    <t>WCC 8AMPK-13-017</t>
  </si>
  <si>
    <t>PC2130486</t>
  </si>
  <si>
    <t>WCC 8AMPK-14-017</t>
  </si>
  <si>
    <t>PC2130487</t>
  </si>
  <si>
    <t>WCC 8AMPK-15-017</t>
  </si>
  <si>
    <t>PC2130489</t>
  </si>
  <si>
    <t>WCC 8AMPK-16-017</t>
  </si>
  <si>
    <t>PC2130490</t>
  </si>
  <si>
    <t>WCC 8AMPK-17-017</t>
  </si>
  <si>
    <t>PC2130491</t>
  </si>
  <si>
    <t>WCC 8AMPK-18-017</t>
  </si>
  <si>
    <t>PC2130492</t>
  </si>
  <si>
    <t>WCC 8AMPK-19-017</t>
  </si>
  <si>
    <t>PC2132003</t>
  </si>
  <si>
    <t>RDC 42016-1</t>
  </si>
  <si>
    <t>WCC 8AMPK-08-010</t>
  </si>
  <si>
    <t>ACC 842/600005</t>
  </si>
  <si>
    <t>WCC 8PLLE-09-009</t>
  </si>
  <si>
    <t>PC2140002</t>
  </si>
  <si>
    <t>ACC 862/425110</t>
  </si>
  <si>
    <t>ACC 842/425802</t>
  </si>
  <si>
    <t>ACC 842/420007</t>
  </si>
  <si>
    <t>ACC 842/425801</t>
  </si>
  <si>
    <t>ACC 842/425512</t>
  </si>
  <si>
    <t>ACC 862/420012</t>
  </si>
  <si>
    <t>ACC 862/421111</t>
  </si>
  <si>
    <t>ACC 842/100001</t>
  </si>
  <si>
    <t>FDC PR0041 001</t>
  </si>
  <si>
    <t>FDC PR045 001</t>
  </si>
  <si>
    <t>PC2140113</t>
  </si>
  <si>
    <t>FDC PR051 001</t>
  </si>
  <si>
    <t>FDC PR045 003</t>
  </si>
  <si>
    <t>FDC PR045 005</t>
  </si>
  <si>
    <t>PC2140116</t>
  </si>
  <si>
    <t>FDC PR012 001</t>
  </si>
  <si>
    <t>FDC PR0037 002</t>
  </si>
  <si>
    <t>FDC PR045 004</t>
  </si>
  <si>
    <t>PDC 43820703</t>
  </si>
  <si>
    <t>RDC 41038-1</t>
  </si>
  <si>
    <t>RDC 42094-1</t>
  </si>
  <si>
    <t>RDC 42096-1</t>
  </si>
  <si>
    <t>RDC 41039-1</t>
  </si>
  <si>
    <t>RDC 42091-1</t>
  </si>
  <si>
    <t>RDC 42092-1</t>
  </si>
  <si>
    <t>RDC 42090-1</t>
  </si>
  <si>
    <t>WCC 8PLAQ-13-001</t>
  </si>
  <si>
    <t>WCC 8PLLE-08-004</t>
  </si>
  <si>
    <t>MCC 7025CFM00647</t>
  </si>
  <si>
    <t>MCC 7025CFM00649</t>
  </si>
  <si>
    <t>NSCC 10501</t>
  </si>
  <si>
    <t>NSCC 10502</t>
  </si>
  <si>
    <t>NSCC 70515</t>
  </si>
  <si>
    <t>NSCC 10503</t>
  </si>
  <si>
    <t>PDC 43848746</t>
  </si>
  <si>
    <t>PC2140153</t>
  </si>
  <si>
    <t>WCC 8PLLE-08-003</t>
  </si>
  <si>
    <t>PC2150000</t>
  </si>
  <si>
    <t>ACC 562/000043</t>
  </si>
  <si>
    <t>ACC 562/000081</t>
  </si>
  <si>
    <t>ACC 562/000082</t>
  </si>
  <si>
    <t>ACC 562/000083</t>
  </si>
  <si>
    <t>ACC 562/000084</t>
  </si>
  <si>
    <t>FDC TCP01 001</t>
  </si>
  <si>
    <t>FDC TCP02 001</t>
  </si>
  <si>
    <t>NSCC 10955</t>
  </si>
  <si>
    <t>PC2200115</t>
  </si>
  <si>
    <t>WCC 2CDCC-08-006</t>
  </si>
  <si>
    <t>PC2200200</t>
  </si>
  <si>
    <t>NSCC 10882</t>
  </si>
  <si>
    <t>ACC 842/400001</t>
  </si>
  <si>
    <t>MCC 0229CEC00011</t>
  </si>
  <si>
    <t>MCC 0229CEC00018</t>
  </si>
  <si>
    <t>MCC 7029CFM00667</t>
  </si>
  <si>
    <t>NSCC 10745</t>
  </si>
  <si>
    <t>NSCC 12035</t>
  </si>
  <si>
    <t>NSCC 12037</t>
  </si>
  <si>
    <t>MCC 8014CPM00052</t>
  </si>
  <si>
    <t>ARC X/007200/2</t>
  </si>
  <si>
    <t>ARC X/007200/3</t>
  </si>
  <si>
    <t>ARC X/007200/4</t>
  </si>
  <si>
    <t>ARC X/007200/1</t>
  </si>
  <si>
    <t>PC2300014</t>
  </si>
  <si>
    <t>WCC 7LTPL-07-013</t>
  </si>
  <si>
    <t>PC2310000</t>
  </si>
  <si>
    <t>FDC PR050 001</t>
  </si>
  <si>
    <t>RDC 41356-1</t>
  </si>
  <si>
    <t>PC2310002</t>
  </si>
  <si>
    <t>WCC 7UEDD-11-005</t>
  </si>
  <si>
    <t>PC2310003</t>
  </si>
  <si>
    <t>WCC 7UEDD-12-005</t>
  </si>
  <si>
    <t>WCC 7UEDD-13-005</t>
  </si>
  <si>
    <t>PC2310005</t>
  </si>
  <si>
    <t>WCC 7UEDD-14-005</t>
  </si>
  <si>
    <t>PC2310006</t>
  </si>
  <si>
    <t>WCC 7UEDD-15-005</t>
  </si>
  <si>
    <t>PC2310007</t>
  </si>
  <si>
    <t>WCC 7UEDD-16-005</t>
  </si>
  <si>
    <t>PC2310008</t>
  </si>
  <si>
    <t>WCC 7UEDD-17-005</t>
  </si>
  <si>
    <t>PC2310009</t>
  </si>
  <si>
    <t>WCC 7UEDD-18-005</t>
  </si>
  <si>
    <t>PC2310010</t>
  </si>
  <si>
    <t>WCC 7UEDD-19-005</t>
  </si>
  <si>
    <t>PC2310102</t>
  </si>
  <si>
    <t>ACC 272/000800</t>
  </si>
  <si>
    <t>PC2310105</t>
  </si>
  <si>
    <t>ACC 272/480414</t>
  </si>
  <si>
    <t>PC2310106</t>
  </si>
  <si>
    <t>ACC 272/480424</t>
  </si>
  <si>
    <t>PC2310111</t>
  </si>
  <si>
    <t>ACC 272/000840</t>
  </si>
  <si>
    <t>PC2310120</t>
  </si>
  <si>
    <t>ACC 100010</t>
  </si>
  <si>
    <t>WCC 3SPSC-11-001</t>
  </si>
  <si>
    <t>PC2310131</t>
  </si>
  <si>
    <t>WCC 7LTES-09-022</t>
  </si>
  <si>
    <t>PC2330008</t>
  </si>
  <si>
    <t>WCC 8RGAW-11-003</t>
  </si>
  <si>
    <t>PC2330010</t>
  </si>
  <si>
    <t>PDC 25751701</t>
  </si>
  <si>
    <t>PC2330012</t>
  </si>
  <si>
    <t>WCC 8RGAW-09-002</t>
  </si>
  <si>
    <t>PC2330013</t>
  </si>
  <si>
    <t>WCC 8RGAW-09-003</t>
  </si>
  <si>
    <t>PC2330014</t>
  </si>
  <si>
    <t>WCC 8RGAW-09-005</t>
  </si>
  <si>
    <t>FDC SWA009 001</t>
  </si>
  <si>
    <t>PC2440009</t>
  </si>
  <si>
    <t>FDC SWA008 001</t>
  </si>
  <si>
    <t>FDC SWA005 001</t>
  </si>
  <si>
    <t>FDC SWA012 001</t>
  </si>
  <si>
    <t>Project Name</t>
  </si>
  <si>
    <t>Total planned spend in LTP</t>
  </si>
  <si>
    <t xml:space="preserve">DC growth </t>
  </si>
  <si>
    <t>Development Contribution Activity</t>
  </si>
  <si>
    <t>Local Board Area</t>
  </si>
  <si>
    <t>Funding Area</t>
  </si>
  <si>
    <t>Project Code</t>
  </si>
  <si>
    <t>Inflated cost FY19</t>
  </si>
  <si>
    <t>Inflated cost FY20</t>
  </si>
  <si>
    <t>Inflated cost FY21</t>
  </si>
  <si>
    <t>Inflated cost FY22</t>
  </si>
  <si>
    <t>State LGA classification:
Renewal / Level of Service / Growth</t>
  </si>
  <si>
    <t>Cost attributable to existing (E)</t>
  </si>
  <si>
    <t>DC Growth cost years 1-10
(ACn)</t>
  </si>
  <si>
    <t>Input</t>
  </si>
  <si>
    <t>Project name</t>
  </si>
  <si>
    <t>DC growth cost (1 - 10) FY19</t>
  </si>
  <si>
    <t>DC growth cost (1 - 10) FY20</t>
  </si>
  <si>
    <t>DC growth cost (1 - 10) FY21</t>
  </si>
  <si>
    <t>DC growth cost (1 - 10) FY22</t>
  </si>
  <si>
    <t>DC growth cost (11-20) FY19</t>
  </si>
  <si>
    <t>DC growth cost (11-20) FY20</t>
  </si>
  <si>
    <t>DC growth cost (11-20) FY21</t>
  </si>
  <si>
    <t>DC growth cost (11-20) FY22</t>
  </si>
  <si>
    <t>ACn or ACf</t>
  </si>
  <si>
    <t>100246-0</t>
  </si>
  <si>
    <t>5753-0</t>
  </si>
  <si>
    <t>200-0</t>
  </si>
  <si>
    <t>48506-0</t>
  </si>
  <si>
    <t>126206-0</t>
  </si>
  <si>
    <t>4310-6</t>
  </si>
  <si>
    <t>126157-0</t>
  </si>
  <si>
    <t>126371-0</t>
  </si>
  <si>
    <t>48497-1</t>
  </si>
  <si>
    <t>48495-14</t>
  </si>
  <si>
    <t>48495-4</t>
  </si>
  <si>
    <t>22441-1</t>
  </si>
  <si>
    <t>15792-12</t>
  </si>
  <si>
    <t>48495-2</t>
  </si>
  <si>
    <t>126195-0</t>
  </si>
  <si>
    <t>4310-13</t>
  </si>
  <si>
    <t>15792-3</t>
  </si>
  <si>
    <t>126228-0</t>
  </si>
  <si>
    <t>15789-9</t>
  </si>
  <si>
    <t>15781-3</t>
  </si>
  <si>
    <t>126163-0</t>
  </si>
  <si>
    <t>126207-0</t>
  </si>
  <si>
    <t>295331-0</t>
  </si>
  <si>
    <t>4310-9</t>
  </si>
  <si>
    <t>4310-4</t>
  </si>
  <si>
    <t>15789-5</t>
  </si>
  <si>
    <t>15805-1</t>
  </si>
  <si>
    <t>15775-6</t>
  </si>
  <si>
    <t>15792-6</t>
  </si>
  <si>
    <t>4310-10</t>
  </si>
  <si>
    <t>15803-3</t>
  </si>
  <si>
    <t>15792-7</t>
  </si>
  <si>
    <t>126236-0</t>
  </si>
  <si>
    <t>126235-0</t>
  </si>
  <si>
    <t>295090-0</t>
  </si>
  <si>
    <t>295202-0</t>
  </si>
  <si>
    <t>126164-0</t>
  </si>
  <si>
    <t>126199-0</t>
  </si>
  <si>
    <t>93853-0</t>
  </si>
  <si>
    <t>22699-0</t>
  </si>
  <si>
    <t>28822-0</t>
  </si>
  <si>
    <t>295247-0</t>
  </si>
  <si>
    <t>3131-0</t>
  </si>
  <si>
    <t>2477-0</t>
  </si>
  <si>
    <t>2981-0</t>
  </si>
  <si>
    <t>3110-0</t>
  </si>
  <si>
    <t>2986-0</t>
  </si>
  <si>
    <t>3085-0</t>
  </si>
  <si>
    <t>3251-0</t>
  </si>
  <si>
    <t>3240-0</t>
  </si>
  <si>
    <t>2957-0</t>
  </si>
  <si>
    <t>2779-0</t>
  </si>
  <si>
    <t>2787-0</t>
  </si>
  <si>
    <t>3235-0</t>
  </si>
  <si>
    <t>3045-0</t>
  </si>
  <si>
    <t>2415-0</t>
  </si>
  <si>
    <t>2945-0</t>
  </si>
  <si>
    <t>2989-0</t>
  </si>
  <si>
    <t>3244-0</t>
  </si>
  <si>
    <t>3031-0</t>
  </si>
  <si>
    <t>3066-0</t>
  </si>
  <si>
    <t>2811-0</t>
  </si>
  <si>
    <t>3025-0</t>
  </si>
  <si>
    <t>2512-0</t>
  </si>
  <si>
    <t>15836-0</t>
  </si>
  <si>
    <t>2968-0</t>
  </si>
  <si>
    <t>3080-1</t>
  </si>
  <si>
    <t>2984-0</t>
  </si>
  <si>
    <t>3298-0</t>
  </si>
  <si>
    <t>3335-0</t>
  </si>
  <si>
    <t>3061-0</t>
  </si>
  <si>
    <t>15827-0</t>
  </si>
  <si>
    <t>2471-0</t>
  </si>
  <si>
    <t>106621-0</t>
  </si>
  <si>
    <t>3048-0</t>
  </si>
  <si>
    <t>2593-0</t>
  </si>
  <si>
    <t>126083-1</t>
  </si>
  <si>
    <t>3006-0</t>
  </si>
  <si>
    <t>3292-0</t>
  </si>
  <si>
    <t>3133-0</t>
  </si>
  <si>
    <t>3291-0</t>
  </si>
  <si>
    <t>2725-0</t>
  </si>
  <si>
    <t>3032-0</t>
  </si>
  <si>
    <t>3080-0</t>
  </si>
  <si>
    <t>28594-0</t>
  </si>
  <si>
    <t>3143-0</t>
  </si>
  <si>
    <t>123565-0</t>
  </si>
  <si>
    <t>15716-0</t>
  </si>
  <si>
    <t>123582-0</t>
  </si>
  <si>
    <t>3132-0</t>
  </si>
  <si>
    <t>3063-0</t>
  </si>
  <si>
    <t>125937-1</t>
  </si>
  <si>
    <t>2827-0</t>
  </si>
  <si>
    <t>2961-0</t>
  </si>
  <si>
    <t>3122-0</t>
  </si>
  <si>
    <t>3050-0</t>
  </si>
  <si>
    <t>269298-0</t>
  </si>
  <si>
    <t>2999-0</t>
  </si>
  <si>
    <t>2983-0</t>
  </si>
  <si>
    <t>126096-0</t>
  </si>
  <si>
    <t>3228-0</t>
  </si>
  <si>
    <t>28821-0</t>
  </si>
  <si>
    <t>126090-0</t>
  </si>
  <si>
    <t>2887-2</t>
  </si>
  <si>
    <t>2794-0</t>
  </si>
  <si>
    <t>293587-0</t>
  </si>
  <si>
    <t>3267-0</t>
  </si>
  <si>
    <t>3347-0</t>
  </si>
  <si>
    <t>126092-0</t>
  </si>
  <si>
    <t>2727-0</t>
  </si>
  <si>
    <t>2958-0</t>
  </si>
  <si>
    <t>293584-0</t>
  </si>
  <si>
    <t>2774-0</t>
  </si>
  <si>
    <t>22399-0</t>
  </si>
  <si>
    <t>3329-0</t>
  </si>
  <si>
    <t>278806-0</t>
  </si>
  <si>
    <t>126079-1</t>
  </si>
  <si>
    <t>3239-1</t>
  </si>
  <si>
    <t>2887-1</t>
  </si>
  <si>
    <t>293497-0</t>
  </si>
  <si>
    <t>126099-0</t>
  </si>
  <si>
    <t>3260-0</t>
  </si>
  <si>
    <t>126103-0</t>
  </si>
  <si>
    <t>28803-0</t>
  </si>
  <si>
    <t>62-0</t>
  </si>
  <si>
    <t>39-0</t>
  </si>
  <si>
    <t>42-0</t>
  </si>
  <si>
    <t>3705-0</t>
  </si>
  <si>
    <t>44-0</t>
  </si>
  <si>
    <t>28809-0</t>
  </si>
  <si>
    <t>21-0</t>
  </si>
  <si>
    <t>40-1</t>
  </si>
  <si>
    <t>125981-0</t>
  </si>
  <si>
    <t>126012-0</t>
  </si>
  <si>
    <t>28807-0</t>
  </si>
  <si>
    <t>48-0</t>
  </si>
  <si>
    <t>125975-0</t>
  </si>
  <si>
    <t>125982-0</t>
  </si>
  <si>
    <t>269499-0</t>
  </si>
  <si>
    <t>3721-6</t>
  </si>
  <si>
    <t>3721-3</t>
  </si>
  <si>
    <t>3721-4</t>
  </si>
  <si>
    <t>3721-2a</t>
  </si>
  <si>
    <t>3721-5a</t>
  </si>
  <si>
    <t>28805-0</t>
  </si>
  <si>
    <t>28804-0</t>
  </si>
  <si>
    <t>60-0</t>
  </si>
  <si>
    <t>5794-0</t>
  </si>
  <si>
    <t>3709-0</t>
  </si>
  <si>
    <t>28808-0</t>
  </si>
  <si>
    <t>58-0</t>
  </si>
  <si>
    <t>61-0</t>
  </si>
  <si>
    <t>4280-0</t>
  </si>
  <si>
    <t>4272-0</t>
  </si>
  <si>
    <t>4273-0</t>
  </si>
  <si>
    <t>4250-0</t>
  </si>
  <si>
    <t>125947-0</t>
  </si>
  <si>
    <t>126069-0</t>
  </si>
  <si>
    <t>126041-0</t>
  </si>
  <si>
    <t>125984-0</t>
  </si>
  <si>
    <t>8PLLE-08-002</t>
  </si>
  <si>
    <t>WWBI_Ba</t>
  </si>
  <si>
    <t>EW04 133C</t>
  </si>
  <si>
    <t>EW04 123C</t>
  </si>
  <si>
    <t>EW04 022C</t>
  </si>
  <si>
    <t>EW05 536B</t>
  </si>
  <si>
    <t>EW06 007L</t>
  </si>
  <si>
    <t>EW06 007N</t>
  </si>
  <si>
    <t>EW06 007M</t>
  </si>
  <si>
    <t>EW06 SWQ1</t>
  </si>
  <si>
    <t xml:space="preserve">EW06 007K </t>
  </si>
  <si>
    <t>EW07 001U</t>
  </si>
  <si>
    <t>EW07 001S</t>
  </si>
  <si>
    <t>EW07 001P</t>
  </si>
  <si>
    <t>EW08 SWU E</t>
  </si>
  <si>
    <t>EW08 SWU A</t>
  </si>
  <si>
    <t>EW08 SWU F</t>
  </si>
  <si>
    <t>8AMTA</t>
  </si>
  <si>
    <t>8AMTA-07-164</t>
  </si>
  <si>
    <t>8AMTA-</t>
  </si>
  <si>
    <t>8AMTA-07-034</t>
  </si>
  <si>
    <t>8AMTA-07-052</t>
  </si>
  <si>
    <t>8AMTA-11-008</t>
  </si>
  <si>
    <t>8AMTA-10-***</t>
  </si>
  <si>
    <t>8AMTA-07-192</t>
  </si>
  <si>
    <t>Lookup used:</t>
  </si>
  <si>
    <t>TRA ML</t>
  </si>
  <si>
    <t>LTP capital expenditure projects - cost allocation model output: Total project cost</t>
  </si>
  <si>
    <t>742/999910</t>
  </si>
  <si>
    <t>422/500000</t>
  </si>
  <si>
    <t>272/620200</t>
  </si>
  <si>
    <t>492/700628</t>
  </si>
  <si>
    <t>Dominion Road</t>
  </si>
  <si>
    <t>332/500501/2</t>
  </si>
  <si>
    <t>572/500007</t>
  </si>
  <si>
    <t>Town square PC15 (Massey North)</t>
  </si>
  <si>
    <t>Must be zero</t>
  </si>
  <si>
    <t>Income line check:</t>
  </si>
  <si>
    <t>Column AS:</t>
  </si>
  <si>
    <t>DC N / F split:</t>
  </si>
  <si>
    <t>Total ACn and ACf</t>
  </si>
  <si>
    <t>O_CWP_TOT</t>
  </si>
  <si>
    <t>O_CWP_NOW</t>
  </si>
  <si>
    <t>O_CWP_FUT</t>
  </si>
  <si>
    <t>Net programme / project cost</t>
  </si>
  <si>
    <t>N growth cost allocated to years 1 to 10</t>
  </si>
  <si>
    <t>F growth cost allocated to years 11 onwards</t>
  </si>
  <si>
    <t>DC Growth costs years 11 onwards
(ACf)</t>
  </si>
  <si>
    <t>662/174003</t>
  </si>
  <si>
    <t>742/999920</t>
  </si>
  <si>
    <t>842/800005</t>
  </si>
  <si>
    <t>842/813000</t>
  </si>
  <si>
    <t>862/450079</t>
  </si>
  <si>
    <t>Keith Hay Park Rec Prec Implementation</t>
  </si>
  <si>
    <t>862/621054</t>
  </si>
  <si>
    <t>Western Springs playing field drainage</t>
  </si>
  <si>
    <t>862/731003</t>
  </si>
  <si>
    <t>Owairaka Ave Park development</t>
  </si>
  <si>
    <t>862/821009</t>
  </si>
  <si>
    <t>862/821010</t>
  </si>
  <si>
    <t>862/821015</t>
  </si>
  <si>
    <t>862/821048</t>
  </si>
  <si>
    <t>862/831000</t>
  </si>
  <si>
    <t>Anderson Park #1 Field Training Lights</t>
  </si>
  <si>
    <t>862/831006</t>
  </si>
  <si>
    <t>DC Growth costs years 11 plus
(ACf)</t>
  </si>
  <si>
    <t>Auckland Wide</t>
  </si>
  <si>
    <t>PT Bus Station Minor Capex</t>
  </si>
  <si>
    <t>Manukau Bus Interchange (Lot 59)</t>
  </si>
  <si>
    <t>Otahuhu Bus Interchange</t>
  </si>
  <si>
    <t>PT Wharves Capex - Minor</t>
  </si>
  <si>
    <t>PT Rail Station Minor Capex</t>
  </si>
  <si>
    <t>Albany Highway Upgrade</t>
  </si>
  <si>
    <t>NORSGA PC 13 Hobsonvillle Point</t>
  </si>
  <si>
    <t>NORSGA PC 15 Massey North T/C</t>
  </si>
  <si>
    <t>Taharoto/Wairau - Stage 3</t>
  </si>
  <si>
    <t>East West Link</t>
  </si>
  <si>
    <t xml:space="preserve"> </t>
  </si>
  <si>
    <t>DC growth cost (1 - 10) FY23</t>
  </si>
  <si>
    <t>DC growth cost (1 - 10) FY24</t>
  </si>
  <si>
    <t>DC growth cost (1 - 10) FY25</t>
  </si>
  <si>
    <t>DC growth cost (11-20) FY23</t>
  </si>
  <si>
    <t>DC growth cost (11-20) FY24</t>
  </si>
  <si>
    <t>DC growth cost (11-20) FY25</t>
  </si>
  <si>
    <t>OSD</t>
  </si>
  <si>
    <t>OSD AW</t>
  </si>
  <si>
    <t>CI AW</t>
  </si>
  <si>
    <t>Transition</t>
  </si>
  <si>
    <t>Hibiscus Coast</t>
  </si>
  <si>
    <t>Updated DC Activity</t>
  </si>
  <si>
    <t>CI CT</t>
  </si>
  <si>
    <t>CI NT</t>
  </si>
  <si>
    <t>CI ST</t>
  </si>
  <si>
    <t>CI WT</t>
  </si>
  <si>
    <t>2022/23</t>
  </si>
  <si>
    <t>2023/24</t>
  </si>
  <si>
    <t>2024/25</t>
  </si>
  <si>
    <t>SW Catchment plan Hingaia Stream</t>
  </si>
  <si>
    <t>SW Catchment plan Hobson Bay</t>
  </si>
  <si>
    <t>SW Catchment plan Otara Creek - Flat Bush</t>
  </si>
  <si>
    <t>SW Catchment plan Whangapouri Creek</t>
  </si>
  <si>
    <t>SWEI 9-11 Kawakawa Bay outfall improvement</t>
  </si>
  <si>
    <t>SWEI La Rosa</t>
  </si>
  <si>
    <t>SWEI Mt Albert Grammar School</t>
  </si>
  <si>
    <t>SWFA 155 Howard Rd Maraetai stage 2</t>
  </si>
  <si>
    <t>SWFA Arimu Rd Pipe</t>
  </si>
  <si>
    <t>SWFA Ascot Ave to Ellerslie Racecourse Stage 1</t>
  </si>
  <si>
    <t>SWFA Hawera Rd 51A</t>
  </si>
  <si>
    <t>SWFA Land Purchase (Nelson Street SW channel)</t>
  </si>
  <si>
    <t>SWFA Lucas Creek rehabilitation</t>
  </si>
  <si>
    <t>SWFA Mead St East</t>
  </si>
  <si>
    <t>SWFA Melsop Avenue Railway embankment</t>
  </si>
  <si>
    <t>SWFA Parakai stopbanks</t>
  </si>
  <si>
    <t>SWFA Tramvalley Rd collapsed culvert</t>
  </si>
  <si>
    <t>SWFA Wood St to Ray Small Drive Pipeline</t>
  </si>
  <si>
    <t>SWFA Woodside overland and renewal</t>
  </si>
  <si>
    <t>SWG 148 Columbo Rd to Waiuku River</t>
  </si>
  <si>
    <t>SWG Parallel development (Takanini)</t>
  </si>
  <si>
    <t>OSD CT</t>
  </si>
  <si>
    <t>OSD HGI</t>
  </si>
  <si>
    <t>OSD NT</t>
  </si>
  <si>
    <t>OSD ST</t>
  </si>
  <si>
    <t>OSD WT</t>
  </si>
  <si>
    <t>CI Transition</t>
  </si>
  <si>
    <t>Transport - Land Acquisitions (SWAMMCP)</t>
  </si>
  <si>
    <t>Toilet block replacement (Browns Bay / Hadfields Beach)</t>
  </si>
  <si>
    <t>STW AW</t>
  </si>
  <si>
    <t>STW 9</t>
  </si>
  <si>
    <t>STW 5</t>
  </si>
  <si>
    <t>STW 1</t>
  </si>
  <si>
    <t>STW 4</t>
  </si>
  <si>
    <t>STW 8</t>
  </si>
  <si>
    <t>STW 3</t>
  </si>
  <si>
    <t>Cycleways And Walkways</t>
  </si>
  <si>
    <t>Lake Town Green Reserve</t>
  </si>
  <si>
    <t>Rame Reserve Canoe Ramp</t>
  </si>
  <si>
    <t>Stadium Pool (Albany)</t>
  </si>
  <si>
    <t>Wainoni Park Cricket Nets</t>
  </si>
  <si>
    <t>Wainoni Park Natural Outdoor SporSurface</t>
  </si>
  <si>
    <t>Wynyard Quarter Central Precinct Public Works</t>
  </si>
  <si>
    <t>STW 10</t>
  </si>
  <si>
    <t>STW 7</t>
  </si>
  <si>
    <t>STW 2</t>
  </si>
  <si>
    <t>STW 6</t>
  </si>
  <si>
    <t>Wairoa</t>
  </si>
  <si>
    <t>CI HG</t>
  </si>
  <si>
    <t>Open Space Land Development</t>
  </si>
  <si>
    <t>STW 16</t>
  </si>
  <si>
    <t>STW 14</t>
  </si>
  <si>
    <t>STW 13</t>
  </si>
  <si>
    <t>STW 11</t>
  </si>
  <si>
    <t>STW 12</t>
  </si>
  <si>
    <t>STW 15</t>
  </si>
  <si>
    <t>TRA NT</t>
  </si>
  <si>
    <t>TRA CT</t>
  </si>
  <si>
    <t>TRA WT</t>
  </si>
  <si>
    <t>TRA ST</t>
  </si>
  <si>
    <t>Total UoD 1-10</t>
  </si>
  <si>
    <t>DC income (2013,2014 and budget 2015)</t>
  </si>
  <si>
    <t>DC int  (2013,2014 and budget 2015)</t>
  </si>
  <si>
    <t>Net DC income  (2013,2014 and budget 2015)</t>
  </si>
  <si>
    <t>Years in 2nd 10yrs</t>
  </si>
  <si>
    <t>New 2nd 10 year %</t>
  </si>
  <si>
    <t>New 1st 10yr %</t>
  </si>
  <si>
    <t>Total DC Capex (His and planned from new charge LTP 2012-22)</t>
  </si>
  <si>
    <t>Exist 2nd 10yr% (hard coded from col O)</t>
  </si>
  <si>
    <t>New DC 1st 10yyrs</t>
  </si>
  <si>
    <t>DC cost capex remaining</t>
  </si>
  <si>
    <t>New years in 2nd 10yrs</t>
  </si>
  <si>
    <t>Asset managers to confirm</t>
  </si>
  <si>
    <t>PTR NT</t>
  </si>
  <si>
    <t>PTR CT</t>
  </si>
  <si>
    <t>PTR WT</t>
  </si>
  <si>
    <t>PTR ST</t>
  </si>
  <si>
    <t>Stormwater pond (Crown Lynn precinct)</t>
  </si>
  <si>
    <t>SWEI Flat Bush water quality ponds</t>
  </si>
  <si>
    <t>Stormwater PC15 (Totara ponds)</t>
  </si>
  <si>
    <t>Stormwater PC14 (Waiarohia ponds)</t>
  </si>
  <si>
    <t>Development (Riverton Park Reserve)</t>
  </si>
  <si>
    <t>SW_EP_Contaminant - Croftfield Lane wetland</t>
  </si>
  <si>
    <t>SW_AR_Critical asset renewals</t>
  </si>
  <si>
    <t>SW_AR_Pond renewal and rehabilitation - Onepoto dams</t>
  </si>
  <si>
    <t>SW_FPC_Flood alleviation collaboration - Sunnynook Park</t>
  </si>
  <si>
    <t>SW_FPC_Flood control projects - Mead Street</t>
  </si>
  <si>
    <t>SW_FPC_Flood control projects - Madills Farm</t>
  </si>
  <si>
    <t>SW_FPC_Flood control projects - Olsen Ave</t>
  </si>
  <si>
    <t>SW_FPC_Flood control projects - Springcombe Rd</t>
  </si>
  <si>
    <t>SW_G_GPA - CBD</t>
  </si>
  <si>
    <t>SW_G_GPA - Inner west triangle</t>
  </si>
  <si>
    <t>SW_G_GPA - Takapuna</t>
  </si>
  <si>
    <t>SW_G_GPA - Manukau</t>
  </si>
  <si>
    <t>SW_G_GPA - Inner west triangle - Oakley Walmsley and Underwood Park</t>
  </si>
  <si>
    <t>SW_G_GPA - Manurewa Papakura -  Artillery Dr</t>
  </si>
  <si>
    <t>SW_G_GPA - Manurewa Papakura -  Waterview Rd pipe</t>
  </si>
  <si>
    <t>SW_G_GPA - Manurewa Papakura - Takanini School Rd</t>
  </si>
  <si>
    <t>SW_G_GPA - Pukekohe Wesley</t>
  </si>
  <si>
    <t>SW_G_Growth collaboration projects - 4 Parau St</t>
  </si>
  <si>
    <t>SW_G_Other growth projects - Hillcrest catchment</t>
  </si>
  <si>
    <t>SW_G_Special Housing Area - Okahu Bay</t>
  </si>
  <si>
    <t>SW_G_GPA - Manurewa Papakura - Grove Rd</t>
  </si>
  <si>
    <t>PTR ML</t>
  </si>
  <si>
    <t>PTR HG</t>
  </si>
  <si>
    <t>Capacity ratios need to be updated</t>
  </si>
  <si>
    <t>Cost to existing needs to be updated</t>
  </si>
  <si>
    <t>STW UA</t>
  </si>
  <si>
    <t>STW 22</t>
  </si>
  <si>
    <t>STW 17</t>
  </si>
  <si>
    <t>STW 18</t>
  </si>
  <si>
    <t>STW 19</t>
  </si>
  <si>
    <t>STW 20</t>
  </si>
  <si>
    <t>STW 21</t>
  </si>
  <si>
    <t>Helensville</t>
  </si>
  <si>
    <t>Kumeu / Huapai</t>
  </si>
  <si>
    <t>Warkworth</t>
  </si>
  <si>
    <t>East Coast Bays</t>
  </si>
  <si>
    <t>Mahurangi</t>
  </si>
  <si>
    <t>Waitemata North</t>
  </si>
  <si>
    <t>Waitemata West</t>
  </si>
  <si>
    <t>Manukau North</t>
  </si>
  <si>
    <t>Manukau Central</t>
  </si>
  <si>
    <t>Manukau South</t>
  </si>
  <si>
    <t>Manukau West</t>
  </si>
  <si>
    <t>Tamaki East</t>
  </si>
  <si>
    <t>Ararimu</t>
  </si>
  <si>
    <t>Urban Auckland</t>
  </si>
  <si>
    <t>CI G4</t>
  </si>
  <si>
    <t>OSD U4</t>
  </si>
  <si>
    <t>OSD G4</t>
  </si>
  <si>
    <t>OSD U5</t>
  </si>
  <si>
    <t>OSL G1</t>
  </si>
  <si>
    <t>OSL G2</t>
  </si>
  <si>
    <t>OSL G3</t>
  </si>
  <si>
    <t>OSL G4</t>
  </si>
  <si>
    <t>OSL G5</t>
  </si>
  <si>
    <t>OSL U1</t>
  </si>
  <si>
    <t>OSL U2</t>
  </si>
  <si>
    <t>OSL U3</t>
  </si>
  <si>
    <t>OSL U4</t>
  </si>
  <si>
    <t>OSL U5</t>
  </si>
  <si>
    <t>OSL U6</t>
  </si>
  <si>
    <t>OSL R1</t>
  </si>
  <si>
    <t>OSL R2</t>
  </si>
  <si>
    <t>OSL R3</t>
  </si>
  <si>
    <t>Hibiscus</t>
  </si>
  <si>
    <t>North Shore</t>
  </si>
  <si>
    <t>Rural Islands</t>
  </si>
  <si>
    <t>OSL G15</t>
  </si>
  <si>
    <t>OSL U16</t>
  </si>
  <si>
    <t>OSL R13</t>
  </si>
  <si>
    <t>Greenfield</t>
  </si>
  <si>
    <t>Urban</t>
  </si>
  <si>
    <t>OSD G15</t>
  </si>
  <si>
    <t>OSD U16</t>
  </si>
  <si>
    <t>OSD R13</t>
  </si>
  <si>
    <t>OSD G1</t>
  </si>
  <si>
    <t>OSD G2</t>
  </si>
  <si>
    <t>OSD G3</t>
  </si>
  <si>
    <t>OSD G5</t>
  </si>
  <si>
    <t>OSD U1</t>
  </si>
  <si>
    <t>OSD U2</t>
  </si>
  <si>
    <t>OSD U3</t>
  </si>
  <si>
    <t>OSD U6</t>
  </si>
  <si>
    <t>OSD R1</t>
  </si>
  <si>
    <t>OSD R2</t>
  </si>
  <si>
    <t>OSD R3</t>
  </si>
  <si>
    <t>CI G15</t>
  </si>
  <si>
    <t>CI U16</t>
  </si>
  <si>
    <t>CI R13</t>
  </si>
  <si>
    <t>CI G1</t>
  </si>
  <si>
    <t>CI G2</t>
  </si>
  <si>
    <t>CI G3</t>
  </si>
  <si>
    <t>CI G5</t>
  </si>
  <si>
    <t>CI U1</t>
  </si>
  <si>
    <t>CI U2</t>
  </si>
  <si>
    <t>CI U3</t>
  </si>
  <si>
    <t>CI U4</t>
  </si>
  <si>
    <t>CI U5</t>
  </si>
  <si>
    <t>CI U6</t>
  </si>
  <si>
    <t>CI R1</t>
  </si>
  <si>
    <t>CI R2</t>
  </si>
  <si>
    <t>CI R3</t>
  </si>
  <si>
    <t>Westhaven Promenade</t>
  </si>
  <si>
    <t>Growth Calculations - Where Information Comes From / Reports Held</t>
  </si>
  <si>
    <t>SPM  Report Extract - Chris Thomas (AT)</t>
  </si>
  <si>
    <t xml:space="preserve">Negotiation of Judicial Review </t>
  </si>
  <si>
    <t>AT LTP S/S already established comments Pg 157 of the SAR future traffic august 2006 report</t>
  </si>
  <si>
    <t>AT LTP S/S already established comments  Poject associated with capacity imporovment to maintain LOS - Pg 4 of the Glenfield Rd Corridor upgrade Stage 4 Report</t>
  </si>
  <si>
    <t>AT LTP S/S already established comments - Long Bay Study</t>
  </si>
  <si>
    <t>AT SWAMMCP</t>
  </si>
  <si>
    <t>AT NSCC Gills Road to Oteha Valley Road</t>
  </si>
  <si>
    <t>Penlink Financial Analysis</t>
  </si>
  <si>
    <t xml:space="preserve">Dominion Road Growth Costs </t>
  </si>
  <si>
    <t>AT Kyle Road Reconstruction</t>
  </si>
  <si>
    <t>Bus Priority &amp; Transit lane Improvements</t>
  </si>
  <si>
    <t>City Centre Bus Improvements</t>
  </si>
  <si>
    <t>Double decker network mitigation works</t>
  </si>
  <si>
    <t>Dominion Road Public Transport Corridor upgrade</t>
  </si>
  <si>
    <t>Mill Road Improvements (Northern)</t>
  </si>
  <si>
    <t>Warkworth Western Collector</t>
  </si>
  <si>
    <t>Local Board Transport Capital Fund</t>
  </si>
  <si>
    <t>Hard code of existing 1-10yr capex</t>
  </si>
  <si>
    <t>Hard code of capacity</t>
  </si>
  <si>
    <t>Hard code of intergen 1-10yrs</t>
  </si>
  <si>
    <t>Hard code of new remaining DC capex</t>
  </si>
  <si>
    <t>Hard code of new DC intergen 1-10yrs</t>
  </si>
  <si>
    <t>Hard code new estimated year fully recovered</t>
  </si>
  <si>
    <t>New growth capacity to get new DC amount using new DC intergen</t>
  </si>
  <si>
    <t>New 1-10yr DC amount</t>
  </si>
  <si>
    <t>New 11-20 yr DC amount</t>
  </si>
  <si>
    <t>Check to New remaining DC amount</t>
  </si>
  <si>
    <t>New DC remaining amount</t>
  </si>
  <si>
    <t>Check</t>
  </si>
  <si>
    <t>New growth capacity trf 12/05/2015</t>
  </si>
  <si>
    <t>New 1-10yr intergens trf 12/05/2015</t>
  </si>
  <si>
    <t>Expected DC total sum of DCs B4 updating capacity and intergens less repaid B4 transfer)</t>
  </si>
  <si>
    <t>Total of repaids going to zero</t>
  </si>
  <si>
    <t>Hard code of repaids going to zero B4 transfer</t>
  </si>
  <si>
    <t/>
  </si>
  <si>
    <t>Hard code of 1-10 less than $30k and 11-20 =0 B4 transfer</t>
  </si>
  <si>
    <t>LTP GOA Allocation</t>
  </si>
  <si>
    <t>9.8 Local parks, sport and recreation</t>
  </si>
  <si>
    <t>9.91 Local community services</t>
  </si>
  <si>
    <t>4. Local planning and development</t>
  </si>
  <si>
    <t>3. Regional Planning</t>
  </si>
  <si>
    <t>9.9 Regional community services</t>
  </si>
  <si>
    <t>9.7 Regional parks, sport and recreation</t>
  </si>
  <si>
    <t>1. Waterfront development</t>
  </si>
  <si>
    <t>Now</t>
  </si>
  <si>
    <t>Future</t>
  </si>
  <si>
    <t>Warkworth Showgrounds</t>
  </si>
  <si>
    <t>Massey North Community Centre [Growth Portion Only]</t>
  </si>
  <si>
    <t>West Harbour Community House [Growth Portion Only]</t>
  </si>
  <si>
    <t>McLaren Park Community House [Growth Portion Only]</t>
  </si>
  <si>
    <t>Clark Street Reconstruction [Growth Portion Only]</t>
  </si>
  <si>
    <t>Great North Road - Henderson [Growth Portion Only]</t>
  </si>
  <si>
    <t>Henderson Transport Interchange [Growth Portion Only]</t>
  </si>
  <si>
    <t>Hobsonville Interchange [Growth Portion Only]</t>
  </si>
  <si>
    <t>Improved Illumination of Local Roads 2004 to 2008 [Growth Portion Only]</t>
  </si>
  <si>
    <t>Minor Safety 2004/5 to 2008/09 [Growth Portion Only]</t>
  </si>
  <si>
    <t>New Lynn Town Centre (non sub) [Growth Portion Only]</t>
  </si>
  <si>
    <t>New Lynn Town Centre [Growth Portion Only]</t>
  </si>
  <si>
    <t>Paremuka (Munroe) Bridge [Growth Portion Only]</t>
  </si>
  <si>
    <t>Pedestrian Signals 2005 to 2008 [Growth Portion Only]</t>
  </si>
  <si>
    <t>Plan Change 15 - NZRPG IFA [Growth Portion Only]</t>
  </si>
  <si>
    <t>Universal Drive Extension  [Growth Portion Only]</t>
  </si>
  <si>
    <t>Toilet (Lynn Reserve)</t>
  </si>
  <si>
    <t>Toilet replacement (Western Reserve)</t>
  </si>
  <si>
    <t>Toilet future developments</t>
  </si>
  <si>
    <t>Toilet (Ashley Reserve)</t>
  </si>
  <si>
    <t xml:space="preserve">Playground (Loughbourne Pukekohe) </t>
  </si>
  <si>
    <t>Playground (Matakana)</t>
  </si>
  <si>
    <t>Carpark (Port Albert Reserve Domain)</t>
  </si>
  <si>
    <t>Carpark (Pt England Reserve)</t>
  </si>
  <si>
    <t>Carpark (Rame Road)</t>
  </si>
  <si>
    <t>Carpark upgrade (Wellsford Centennial Park)</t>
  </si>
  <si>
    <t>Toilet (Rosedale Park)</t>
  </si>
  <si>
    <t>Sandcarpet (Auckland Domain)</t>
  </si>
  <si>
    <t>Sandcarpet (Blockhse Bay Rec Res #1 field)</t>
  </si>
  <si>
    <t>Sandcarpet (Eastdale Reserve #6 field)</t>
  </si>
  <si>
    <t>Sandcarpet (Grey Lynn Park #3 field)</t>
  </si>
  <si>
    <t>Sandcarpet Installation</t>
  </si>
  <si>
    <t>Transport (Franklin)</t>
  </si>
  <si>
    <t>Community Infrastructure (Franklin)</t>
  </si>
  <si>
    <t>Youth Facility In Parks (Albany)</t>
  </si>
  <si>
    <t>Youth Park (Nelson St Pukekohe)</t>
  </si>
  <si>
    <t>OSD G10</t>
  </si>
  <si>
    <t>Change to FAs
Jul 16</t>
  </si>
  <si>
    <t>CI G10</t>
  </si>
  <si>
    <t>CI G8</t>
  </si>
  <si>
    <t>CI R4</t>
  </si>
  <si>
    <t>CI R6</t>
  </si>
  <si>
    <t>CI G7</t>
  </si>
  <si>
    <t>OSD R6</t>
  </si>
  <si>
    <t>OSL G10</t>
  </si>
  <si>
    <t>STW 32</t>
  </si>
  <si>
    <t>STW 33</t>
  </si>
  <si>
    <t>STW 28</t>
  </si>
  <si>
    <t>ART Zone</t>
  </si>
  <si>
    <t>STW 24</t>
  </si>
  <si>
    <t>STW 25</t>
  </si>
  <si>
    <t>STW 26</t>
  </si>
  <si>
    <t>STW 27</t>
  </si>
  <si>
    <t>STW 29</t>
  </si>
  <si>
    <t>STW 23</t>
  </si>
  <si>
    <t>Dairy Flat</t>
  </si>
  <si>
    <t>Whenuapai / Kumeu</t>
  </si>
  <si>
    <t>Westgate / Redhills</t>
  </si>
  <si>
    <t>Scott Point</t>
  </si>
  <si>
    <t>Flatbush</t>
  </si>
  <si>
    <t>Takanini</t>
  </si>
  <si>
    <t>Opaheke / Drury</t>
  </si>
  <si>
    <t>Hingaia</t>
  </si>
  <si>
    <t>Paerata / Pukekohe</t>
  </si>
  <si>
    <t>OSL G6</t>
  </si>
  <si>
    <t>OSL G7</t>
  </si>
  <si>
    <t>OSL G8</t>
  </si>
  <si>
    <t>OSL G9</t>
  </si>
  <si>
    <t>OSL R4</t>
  </si>
  <si>
    <t>OSL R5</t>
  </si>
  <si>
    <t>OSL R6</t>
  </si>
  <si>
    <t>South (West)</t>
  </si>
  <si>
    <t>South (East)</t>
  </si>
  <si>
    <t>Rural North Upper</t>
  </si>
  <si>
    <t>Rural North Lower</t>
  </si>
  <si>
    <t>Rural West</t>
  </si>
  <si>
    <t>Rural South West</t>
  </si>
  <si>
    <t>Rural South East</t>
  </si>
  <si>
    <t>OSD G6</t>
  </si>
  <si>
    <t>OSD G7</t>
  </si>
  <si>
    <t>OSD G8</t>
  </si>
  <si>
    <t>OSD G9</t>
  </si>
  <si>
    <t>OSD R4</t>
  </si>
  <si>
    <t>OSD R5</t>
  </si>
  <si>
    <t>CI G6</t>
  </si>
  <si>
    <t>CI G9</t>
  </si>
  <si>
    <t>CI R5</t>
  </si>
  <si>
    <t>STW 35</t>
  </si>
  <si>
    <t>STW 36</t>
  </si>
  <si>
    <t>STW 34</t>
  </si>
  <si>
    <t>STW 30</t>
  </si>
  <si>
    <t>STW 31</t>
  </si>
  <si>
    <t>City Centre GPA</t>
  </si>
  <si>
    <t>Flatbush GPA</t>
  </si>
  <si>
    <t>Metro Manukau GPA</t>
  </si>
  <si>
    <t>Manurewa Papakura GPA</t>
  </si>
  <si>
    <t>Greater Takapuna GPA</t>
  </si>
  <si>
    <t>Greater Tamaki GPA</t>
  </si>
  <si>
    <t>Inner West Triangle GPA</t>
  </si>
  <si>
    <t>NORSGA GPA</t>
  </si>
  <si>
    <t>Otahuhu GPA</t>
  </si>
  <si>
    <t>Other Auckland</t>
  </si>
  <si>
    <t>Pukekohe GPA</t>
  </si>
  <si>
    <t>Tamaki West 1</t>
  </si>
  <si>
    <t>Tamaki West 2</t>
  </si>
  <si>
    <t>Tamaki West 3</t>
  </si>
  <si>
    <t>Waitemata Central 1</t>
  </si>
  <si>
    <t>Waitemata Central 2</t>
  </si>
  <si>
    <t>Waiuku</t>
  </si>
  <si>
    <t>Urban Auckland Non GPA</t>
  </si>
  <si>
    <t>552/537</t>
  </si>
  <si>
    <t>Total to Check</t>
  </si>
  <si>
    <t>Flat Bush Upgrades</t>
  </si>
  <si>
    <t>Inflated cost FY23</t>
  </si>
  <si>
    <t>Inflated cost FY24</t>
  </si>
  <si>
    <t>Inflated cost FY25</t>
  </si>
  <si>
    <t>AC</t>
  </si>
  <si>
    <t xml:space="preserve">CI </t>
  </si>
  <si>
    <t>OSL A1</t>
  </si>
  <si>
    <t>Area 1</t>
  </si>
  <si>
    <t>OSL A2</t>
  </si>
  <si>
    <t>Area 2</t>
  </si>
  <si>
    <t>OSL A3</t>
  </si>
  <si>
    <t>OSL A4</t>
  </si>
  <si>
    <t>Area 4</t>
  </si>
  <si>
    <t>OSL A5</t>
  </si>
  <si>
    <t>Area 5</t>
  </si>
  <si>
    <t>OSL A6</t>
  </si>
  <si>
    <t>Area 6</t>
  </si>
  <si>
    <t>OSL A7</t>
  </si>
  <si>
    <t>Area 7</t>
  </si>
  <si>
    <t>OSL A8</t>
  </si>
  <si>
    <t>Area 8</t>
  </si>
  <si>
    <t>OSL A9</t>
  </si>
  <si>
    <t>Area 9</t>
  </si>
  <si>
    <t>OSL A10</t>
  </si>
  <si>
    <t>Area 10</t>
  </si>
  <si>
    <t>OSL A11</t>
  </si>
  <si>
    <t>Area 11</t>
  </si>
  <si>
    <t>OSL A12</t>
  </si>
  <si>
    <t>Area 12</t>
  </si>
  <si>
    <t>OSL A13</t>
  </si>
  <si>
    <t>Area 13</t>
  </si>
  <si>
    <t>OSL A14</t>
  </si>
  <si>
    <t>Area 14</t>
  </si>
  <si>
    <t>OSL A15</t>
  </si>
  <si>
    <t>Area 15</t>
  </si>
  <si>
    <t>OSL A16</t>
  </si>
  <si>
    <t>Area 16</t>
  </si>
  <si>
    <t>OSL A17</t>
  </si>
  <si>
    <t>Area 17</t>
  </si>
  <si>
    <t>OSL A18</t>
  </si>
  <si>
    <t>Area 18</t>
  </si>
  <si>
    <t>OSL A19</t>
  </si>
  <si>
    <t>Area 19</t>
  </si>
  <si>
    <t>OSL A20</t>
  </si>
  <si>
    <t>Area 20</t>
  </si>
  <si>
    <t>OSL A21</t>
  </si>
  <si>
    <t>Area 21</t>
  </si>
  <si>
    <t>OSL A22</t>
  </si>
  <si>
    <t>Area 22</t>
  </si>
  <si>
    <t>OSL A23</t>
  </si>
  <si>
    <t>Area 23</t>
  </si>
  <si>
    <t>OSL A24</t>
  </si>
  <si>
    <t>Area 24</t>
  </si>
  <si>
    <t>OSL A25</t>
  </si>
  <si>
    <t>Area 25</t>
  </si>
  <si>
    <t>OSL A26</t>
  </si>
  <si>
    <t>Area 26</t>
  </si>
  <si>
    <t>OSL A27</t>
  </si>
  <si>
    <t>Area 27</t>
  </si>
  <si>
    <t>OSL A28</t>
  </si>
  <si>
    <t>Area 28</t>
  </si>
  <si>
    <t>OSL A29</t>
  </si>
  <si>
    <t>Area 29</t>
  </si>
  <si>
    <t>OSL A30</t>
  </si>
  <si>
    <t>Area 30</t>
  </si>
  <si>
    <t>OSL A31</t>
  </si>
  <si>
    <t>Area 31</t>
  </si>
  <si>
    <t>OSL A32</t>
  </si>
  <si>
    <t>Area 32</t>
  </si>
  <si>
    <t>OSL A33</t>
  </si>
  <si>
    <t>Area 33</t>
  </si>
  <si>
    <t>OSL A34</t>
  </si>
  <si>
    <t>Area 34</t>
  </si>
  <si>
    <t>OSL A35</t>
  </si>
  <si>
    <t>Area 35</t>
  </si>
  <si>
    <t>OSL A36</t>
  </si>
  <si>
    <t>Area 36</t>
  </si>
  <si>
    <t>OSL A37</t>
  </si>
  <si>
    <t>Area 37</t>
  </si>
  <si>
    <t>OSL A38</t>
  </si>
  <si>
    <t>Area 38</t>
  </si>
  <si>
    <t>OSL A39</t>
  </si>
  <si>
    <t>Area 39</t>
  </si>
  <si>
    <t>OSL A40</t>
  </si>
  <si>
    <t>Area 40</t>
  </si>
  <si>
    <t>OSL A41</t>
  </si>
  <si>
    <t>Area 41</t>
  </si>
  <si>
    <t>OSL A42</t>
  </si>
  <si>
    <t>Area 42</t>
  </si>
  <si>
    <t>OSL A43</t>
  </si>
  <si>
    <t>Area 43</t>
  </si>
  <si>
    <t>OSD A1</t>
  </si>
  <si>
    <t>OSD A2</t>
  </si>
  <si>
    <t>OSD A3</t>
  </si>
  <si>
    <t>OSD A4</t>
  </si>
  <si>
    <t>OSD A5</t>
  </si>
  <si>
    <t>OSD A6</t>
  </si>
  <si>
    <t>OSD A7</t>
  </si>
  <si>
    <t>OSD A8</t>
  </si>
  <si>
    <t>OSD A9</t>
  </si>
  <si>
    <t>OSD A10</t>
  </si>
  <si>
    <t>OSD A11</t>
  </si>
  <si>
    <t>OSD A12</t>
  </si>
  <si>
    <t>OSD A13</t>
  </si>
  <si>
    <t>OSD A14</t>
  </si>
  <si>
    <t>OSD A15</t>
  </si>
  <si>
    <t>OSD A16</t>
  </si>
  <si>
    <t>OSD A17</t>
  </si>
  <si>
    <t>OSD A18</t>
  </si>
  <si>
    <t>OSD A19</t>
  </si>
  <si>
    <t>OSD A20</t>
  </si>
  <si>
    <t>OSD A21</t>
  </si>
  <si>
    <t>OSD A22</t>
  </si>
  <si>
    <t>OSD A23</t>
  </si>
  <si>
    <t>OSD A24</t>
  </si>
  <si>
    <t>OSD A25</t>
  </si>
  <si>
    <t>OSD A26</t>
  </si>
  <si>
    <t>OSD A27</t>
  </si>
  <si>
    <t>OSD A28</t>
  </si>
  <si>
    <t>OSD A29</t>
  </si>
  <si>
    <t>OSD A30</t>
  </si>
  <si>
    <t>OSD A31</t>
  </si>
  <si>
    <t>OSD A32</t>
  </si>
  <si>
    <t>OSD A33</t>
  </si>
  <si>
    <t>OSD A34</t>
  </si>
  <si>
    <t>OSD A35</t>
  </si>
  <si>
    <t>OSD A36</t>
  </si>
  <si>
    <t>OSD A37</t>
  </si>
  <si>
    <t>OSD A38</t>
  </si>
  <si>
    <t>OSD A39</t>
  </si>
  <si>
    <t>OSD A40</t>
  </si>
  <si>
    <t>OSD A41</t>
  </si>
  <si>
    <t>OSD A42</t>
  </si>
  <si>
    <t>OSD A43</t>
  </si>
  <si>
    <t>STW 37</t>
  </si>
  <si>
    <t>STW 38</t>
  </si>
  <si>
    <t>STW 39</t>
  </si>
  <si>
    <t>STW 40</t>
  </si>
  <si>
    <t>STW 41</t>
  </si>
  <si>
    <t>STW 42</t>
  </si>
  <si>
    <t>STW 43</t>
  </si>
  <si>
    <t>STW 44</t>
  </si>
  <si>
    <t>Area 44</t>
  </si>
  <si>
    <t>STW 45</t>
  </si>
  <si>
    <t>Area 45</t>
  </si>
  <si>
    <t>STW 46</t>
  </si>
  <si>
    <t>Area 46</t>
  </si>
  <si>
    <t>STW 47</t>
  </si>
  <si>
    <t>Area 47</t>
  </si>
  <si>
    <t>STW 48</t>
  </si>
  <si>
    <t>Area 48</t>
  </si>
  <si>
    <t>STW 49</t>
  </si>
  <si>
    <t>Area 49</t>
  </si>
  <si>
    <t>STW 50</t>
  </si>
  <si>
    <t>Area 50</t>
  </si>
  <si>
    <t>TRA A1</t>
  </si>
  <si>
    <t>TRA A2</t>
  </si>
  <si>
    <t>TRA A3</t>
  </si>
  <si>
    <t>TRA A4</t>
  </si>
  <si>
    <t>TRA A5</t>
  </si>
  <si>
    <t>TRA A6</t>
  </si>
  <si>
    <t>TRA A7</t>
  </si>
  <si>
    <t>TRA A8</t>
  </si>
  <si>
    <t>TRA A9</t>
  </si>
  <si>
    <t>TRA A10</t>
  </si>
  <si>
    <t>TRA A11</t>
  </si>
  <si>
    <t>TRA A12</t>
  </si>
  <si>
    <t>TRA A13</t>
  </si>
  <si>
    <t>TRA A14</t>
  </si>
  <si>
    <t>TRA A15</t>
  </si>
  <si>
    <t>TRA A16</t>
  </si>
  <si>
    <t>TRA A17</t>
  </si>
  <si>
    <t>TRA A18</t>
  </si>
  <si>
    <t>TRA A19</t>
  </si>
  <si>
    <t>TRA A20</t>
  </si>
  <si>
    <t>TRA A21</t>
  </si>
  <si>
    <t>TRA A22</t>
  </si>
  <si>
    <t>TRA A23</t>
  </si>
  <si>
    <t>TRA A24</t>
  </si>
  <si>
    <t>TRA A25</t>
  </si>
  <si>
    <t>TRA A26</t>
  </si>
  <si>
    <t>TRA A27</t>
  </si>
  <si>
    <t>TRA A28</t>
  </si>
  <si>
    <t>TRA A29</t>
  </si>
  <si>
    <t>TRA A30</t>
  </si>
  <si>
    <t>TRA A31</t>
  </si>
  <si>
    <t>TRA A32</t>
  </si>
  <si>
    <t>PTR A1</t>
  </si>
  <si>
    <t>PTR A2</t>
  </si>
  <si>
    <t>PTR A3</t>
  </si>
  <si>
    <t>PTR A4</t>
  </si>
  <si>
    <t>PTR A5</t>
  </si>
  <si>
    <t>PTR A6</t>
  </si>
  <si>
    <t>PTR A7</t>
  </si>
  <si>
    <t>PTR A8</t>
  </si>
  <si>
    <t>PTR A9</t>
  </si>
  <si>
    <t>PTR A10</t>
  </si>
  <si>
    <t>PTR A11</t>
  </si>
  <si>
    <t>PTR A12</t>
  </si>
  <si>
    <t>PTR A13</t>
  </si>
  <si>
    <t>PTR A14</t>
  </si>
  <si>
    <t>PTR A15</t>
  </si>
  <si>
    <t>PTR A16</t>
  </si>
  <si>
    <t>PTR A17</t>
  </si>
  <si>
    <t>PTR A18</t>
  </si>
  <si>
    <t>PTR A19</t>
  </si>
  <si>
    <t>PTR A20</t>
  </si>
  <si>
    <t>PTR A21</t>
  </si>
  <si>
    <t>PTR A22</t>
  </si>
  <si>
    <t>PTR A23</t>
  </si>
  <si>
    <t>PTR A24</t>
  </si>
  <si>
    <t>PTR A25</t>
  </si>
  <si>
    <t>PTR A26</t>
  </si>
  <si>
    <t>PTR A27</t>
  </si>
  <si>
    <t>PTR A28</t>
  </si>
  <si>
    <t>PTR A29</t>
  </si>
  <si>
    <t>PTR A30</t>
  </si>
  <si>
    <t>PTR A31</t>
  </si>
  <si>
    <t>PTR A32</t>
  </si>
  <si>
    <t>CI A1</t>
  </si>
  <si>
    <t>CI A2</t>
  </si>
  <si>
    <t>CI A3</t>
  </si>
  <si>
    <t>CI A4</t>
  </si>
  <si>
    <t>CI A5</t>
  </si>
  <si>
    <t>CI A6</t>
  </si>
  <si>
    <t>CI A7</t>
  </si>
  <si>
    <t>CI A8</t>
  </si>
  <si>
    <t>CI A9</t>
  </si>
  <si>
    <t>CI A10</t>
  </si>
  <si>
    <t>CI A11</t>
  </si>
  <si>
    <t>CI A12</t>
  </si>
  <si>
    <t>CI A13</t>
  </si>
  <si>
    <t>CI A14</t>
  </si>
  <si>
    <t>CI A15</t>
  </si>
  <si>
    <t>CI A16</t>
  </si>
  <si>
    <t>CI A17</t>
  </si>
  <si>
    <t>CI A18</t>
  </si>
  <si>
    <t>CI A19</t>
  </si>
  <si>
    <t>CI A20</t>
  </si>
  <si>
    <t>CI A21</t>
  </si>
  <si>
    <t>CI A22</t>
  </si>
  <si>
    <t>CI A23</t>
  </si>
  <si>
    <t>CI A24</t>
  </si>
  <si>
    <t>CI A25</t>
  </si>
  <si>
    <t>CI A26</t>
  </si>
  <si>
    <t>CI A27</t>
  </si>
  <si>
    <t>CI A28</t>
  </si>
  <si>
    <t>CI A29</t>
  </si>
  <si>
    <t>CI A30</t>
  </si>
  <si>
    <t>CI A31</t>
  </si>
  <si>
    <t>CI A32</t>
  </si>
  <si>
    <t>CI A33</t>
  </si>
  <si>
    <t>CI A34</t>
  </si>
  <si>
    <t>CI A35</t>
  </si>
  <si>
    <t>CI A36</t>
  </si>
  <si>
    <t>CI A37</t>
  </si>
  <si>
    <t>CI A38</t>
  </si>
  <si>
    <t>CI A39</t>
  </si>
  <si>
    <t>CI A40</t>
  </si>
  <si>
    <t>CI A41</t>
  </si>
  <si>
    <t>CI A42</t>
  </si>
  <si>
    <t>CI A43</t>
  </si>
  <si>
    <t>Code</t>
  </si>
  <si>
    <t>Old Code</t>
  </si>
  <si>
    <t>Silverdale / Dairy Flat</t>
  </si>
  <si>
    <t>Area 3</t>
  </si>
  <si>
    <t>Waitamata Northwest</t>
  </si>
  <si>
    <t>Foreshore upgrade (Onehunga Bay)</t>
  </si>
  <si>
    <t>Reserves one two and three PC14 (Hobsonville Corridor)</t>
  </si>
  <si>
    <t>Regeneration project (New Lynn)</t>
  </si>
  <si>
    <t>Multi-purpose community facility (Westgate)</t>
  </si>
  <si>
    <t>NORSGA PC 14 Hobsonville Village</t>
  </si>
  <si>
    <t>Te Atatu Rd Corridor Improvements</t>
  </si>
  <si>
    <t>Park Land Acquisition (Manukau)</t>
  </si>
  <si>
    <t>Park Land Acquisition (North Shore)</t>
  </si>
  <si>
    <t>Walkway (Hobson Bay to Pt Resolution)</t>
  </si>
  <si>
    <t>Walkway (Gulf Harbour)</t>
  </si>
  <si>
    <t>Walkway (Onepoto Domain)</t>
  </si>
  <si>
    <t>Cycleways and Walkways (Orewa West)</t>
  </si>
  <si>
    <t>Multi-purpose community facility (Flat Bush)</t>
  </si>
  <si>
    <t>Inflated cost FY26</t>
  </si>
  <si>
    <t>Inflated cost FY27</t>
  </si>
  <si>
    <t>Inflated cost FY28</t>
  </si>
  <si>
    <t>DC growth cost (1 - 10) FY26</t>
  </si>
  <si>
    <t>DC growth cost (1 - 10) FY27</t>
  </si>
  <si>
    <t>DC growth cost (1 - 10) FY28</t>
  </si>
  <si>
    <t>DC growth cost (11-20) FY26</t>
  </si>
  <si>
    <t>DC growth cost (11-20) FY27</t>
  </si>
  <si>
    <t>DC growth cost (11-20) FY28</t>
  </si>
  <si>
    <t>N Growth total
18-28</t>
  </si>
  <si>
    <t>F Growth total
18-28</t>
  </si>
  <si>
    <t>2025/26</t>
  </si>
  <si>
    <t>2026/27</t>
  </si>
  <si>
    <t>2027/28</t>
  </si>
  <si>
    <t>Auckland Museum Surrounds and Cenotaph</t>
  </si>
  <si>
    <t>Community House Renewals (Ranui)</t>
  </si>
  <si>
    <t>Community Hub (Albany)</t>
  </si>
  <si>
    <t>Double Decker Network Mitigation Works</t>
  </si>
  <si>
    <t>Hall Upgrade (Stillwater)</t>
  </si>
  <si>
    <t>Library Build</t>
  </si>
  <si>
    <t>Library Build (Ranui)</t>
  </si>
  <si>
    <t>Library Build (Te Atatu Peninsula)</t>
  </si>
  <si>
    <t>Library Build (Waiheke)</t>
  </si>
  <si>
    <t>Library Build (Wellsford)</t>
  </si>
  <si>
    <t>Open Space redevelopment (Stonefields)</t>
  </si>
  <si>
    <t>Open Spaces (Massey North)</t>
  </si>
  <si>
    <t>Public Transport and Travel Demand Management</t>
  </si>
  <si>
    <t>Recreational Reserve (Waiuku)</t>
  </si>
  <si>
    <t>Sand Fields (Crossfield Reserve) and Lights (Glover Park)</t>
  </si>
  <si>
    <t>Sportsfield Development (Existing upgrades)</t>
  </si>
  <si>
    <t>Walkway Coastal (Takapuna-Devonport)</t>
  </si>
  <si>
    <t>Sportsfield Development (Drury)</t>
  </si>
  <si>
    <t>Sportsfield Development (Michaels Ave Reserve)</t>
  </si>
  <si>
    <t>Toilet (Fowlds Park)</t>
  </si>
  <si>
    <t>General Park Development (Papakura)</t>
  </si>
  <si>
    <t>General Park Development (Upper Harbour)</t>
  </si>
  <si>
    <t>Park Development (Weymouth)</t>
  </si>
  <si>
    <t>Walkway Development (Pine Harbour Park)</t>
  </si>
  <si>
    <t>3200757</t>
  </si>
  <si>
    <t>3201551</t>
  </si>
  <si>
    <t>Drury South</t>
  </si>
  <si>
    <t>Dairy Flat Highway Upgrade</t>
  </si>
  <si>
    <t>Gills Road Link</t>
  </si>
  <si>
    <t>Hingaia Oakland Rd/Hingaia Rd Inter</t>
  </si>
  <si>
    <t>Hingaia Park Estate Rd/Great S Rd Inter</t>
  </si>
  <si>
    <t>Hingaia Park Estate Rd/SH1 Ped&amp;Cyc Brdge</t>
  </si>
  <si>
    <t>Hingaia Road Widening</t>
  </si>
  <si>
    <t>Medallion Drive Link</t>
  </si>
  <si>
    <t>Regional Improvement Projects</t>
  </si>
  <si>
    <t>Smales Allens Rd Widening and I/SCTN</t>
  </si>
  <si>
    <t>Activity funding area</t>
  </si>
  <si>
    <t>2016 and 2017 actuals</t>
  </si>
  <si>
    <t>2018 budget</t>
  </si>
  <si>
    <t>Total revenue</t>
  </si>
  <si>
    <t>2012-22 LTP bfwd int paid off</t>
  </si>
  <si>
    <t>2016-2018 int</t>
  </si>
  <si>
    <t>Revenue for principal repayment</t>
  </si>
  <si>
    <t>CI A15 and CI A16</t>
  </si>
  <si>
    <t>CI A19 and CI A20</t>
  </si>
  <si>
    <t>OSD A15 and OSD A16</t>
  </si>
  <si>
    <t>OSD A19 and OSD A20</t>
  </si>
  <si>
    <t>Grand Total</t>
  </si>
  <si>
    <t>Historic capex 1 -10 yrs</t>
  </si>
  <si>
    <t>Historic capex 11 -20 yrs</t>
  </si>
  <si>
    <t>Remaining historic capex 1 -10 yrs before rephasing</t>
  </si>
  <si>
    <t>Remaining historic capex 11 -20 yrs before rephasing</t>
  </si>
  <si>
    <t>New growh capacity hard coded</t>
  </si>
  <si>
    <t>ALLOCATION</t>
  </si>
  <si>
    <t>MCC DC</t>
  </si>
  <si>
    <t>SPLIT CI A10-A14 and CI A24-A25</t>
  </si>
  <si>
    <t>SPLIT CI A19 and A20</t>
  </si>
  <si>
    <t>SPLIT CI A24 and A12 and A14</t>
  </si>
  <si>
    <t>SPLIT CI A24 and A25 and A12 and A14</t>
  </si>
  <si>
    <t>SPLIT CI A5 and CI A21</t>
  </si>
  <si>
    <t>SPLIT CI A5-A6 and A15-A16 and A21-A22</t>
  </si>
  <si>
    <t>SPLIT OSD A14 and A24 and A25</t>
  </si>
  <si>
    <t>Split OSD A15 and A16</t>
  </si>
  <si>
    <t>SPLIT OSD A19 and A20</t>
  </si>
  <si>
    <t>SPLIT OSL A19 and A20</t>
  </si>
  <si>
    <t>SPLIT STW 13 and STW 28 and STW 9</t>
  </si>
  <si>
    <t>SPLIT STW 2 and STW 26</t>
  </si>
  <si>
    <t>SPLIT STW 22 and STW 23</t>
  </si>
  <si>
    <t>UNKNOWN</t>
  </si>
  <si>
    <t>WATERCARE</t>
  </si>
  <si>
    <t>(blank)</t>
  </si>
  <si>
    <t>SPLIT OSL A24 and A12 and A14</t>
  </si>
  <si>
    <t>REALLOCATION</t>
  </si>
  <si>
    <t>NOT DC</t>
  </si>
  <si>
    <t>SPLIT CI A17 and A23</t>
  </si>
  <si>
    <t>Gross total</t>
  </si>
  <si>
    <t>DC activity and funding area</t>
  </si>
  <si>
    <t>2018 Revenue</t>
  </si>
  <si>
    <t>2018 Rev adjusted for subsidy</t>
  </si>
  <si>
    <t>2018 Int now</t>
  </si>
  <si>
    <t>2018 Int Fut</t>
  </si>
  <si>
    <t>2016-17 Int now</t>
  </si>
  <si>
    <t>2016-17 Int Fut</t>
  </si>
  <si>
    <t>2016-2018 int now</t>
  </si>
  <si>
    <t>2016-2018 int fut</t>
  </si>
  <si>
    <t>2016-17 int now apportioned</t>
  </si>
  <si>
    <t>2018 apportioned rev</t>
  </si>
  <si>
    <t>2018 apportioned int now</t>
  </si>
  <si>
    <t>2016-2018 apportioned int now</t>
  </si>
  <si>
    <t>INC</t>
  </si>
  <si>
    <t>INCA</t>
  </si>
  <si>
    <t>INTN</t>
  </si>
  <si>
    <t>INTF</t>
  </si>
  <si>
    <t>CI 27</t>
  </si>
  <si>
    <t>OSD 27</t>
  </si>
  <si>
    <t>OSL 27</t>
  </si>
  <si>
    <t>PTR 1</t>
  </si>
  <si>
    <t>PTR 2</t>
  </si>
  <si>
    <t>PTR 3</t>
  </si>
  <si>
    <t>PTR DS</t>
  </si>
  <si>
    <t>PTR RU</t>
  </si>
  <si>
    <t>PTR SW</t>
  </si>
  <si>
    <t>TRA 1</t>
  </si>
  <si>
    <t>TRA 2</t>
  </si>
  <si>
    <t>TRA 3</t>
  </si>
  <si>
    <t>TRA DS</t>
  </si>
  <si>
    <t>TRA RU</t>
  </si>
  <si>
    <t>TRA SW</t>
  </si>
  <si>
    <t>New DC activity and funding area</t>
  </si>
  <si>
    <t>Historic DC capex</t>
  </si>
  <si>
    <t>DC total (excludes non-DC amounts)</t>
  </si>
  <si>
    <t>2016 and 2017 actuals (including allocation od areas that required splitting)</t>
  </si>
  <si>
    <t>2012-22 LTP bfwd int paid off (3/10ths)</t>
  </si>
  <si>
    <t>2012-22 LTP bwfd FUT int</t>
  </si>
  <si>
    <t>2015-25 LTP bwfd FUT int (2016)</t>
  </si>
  <si>
    <t>2015-25 LTP bwfd FUT int (2017)</t>
  </si>
  <si>
    <t>2015-25 LTP bwfd FUT int (2018)</t>
  </si>
  <si>
    <t>3yr total of 2015-25 bfwd FUT int</t>
  </si>
  <si>
    <t>Transfer of FUT interest from previous LTP DC model (1st three years only)</t>
  </si>
  <si>
    <t>Plus: Interest cost</t>
  </si>
  <si>
    <t>Revenue for principal repayment (negative means there is funds to pay principal)</t>
  </si>
  <si>
    <t>Apportion rev for principal repayment</t>
  </si>
  <si>
    <t>Remaining 1-10 historic than the amount above</t>
  </si>
  <si>
    <t>Total of historic is leass than the amount above</t>
  </si>
  <si>
    <t>Repayment</t>
  </si>
  <si>
    <t>Area in Rev allo (hard)</t>
  </si>
  <si>
    <t>Estimated year fully recovered (input the last year of the LTP in the cell above)</t>
  </si>
  <si>
    <t>1-10 less than amount in the cell above</t>
  </si>
  <si>
    <t>11-20 less than the amount in the cell above</t>
  </si>
  <si>
    <t>1-10 less than the amount in the cell above  and 11-20 =0</t>
  </si>
  <si>
    <t>Retain to reapportion to another project</t>
  </si>
  <si>
    <t>Auckland Wide Less Specials</t>
  </si>
  <si>
    <t>Albany</t>
  </si>
  <si>
    <t>Huapai</t>
  </si>
  <si>
    <t>Whenuapai / Redhills</t>
  </si>
  <si>
    <t>Drury West</t>
  </si>
  <si>
    <t>Kumeu / Whenuapai / Redhills</t>
  </si>
  <si>
    <t>Tamaki</t>
  </si>
  <si>
    <t>Dairy Flat / Wainui / Silverdale</t>
  </si>
  <si>
    <t>Greater Tamaki</t>
  </si>
  <si>
    <t>Adjust to full cost due to 1-10yr surplus</t>
  </si>
  <si>
    <t>Deduct 3yrs from 2nd 10yrs</t>
  </si>
  <si>
    <t>Ratio 2nd 10yrs on repayment</t>
  </si>
  <si>
    <t>New DC capacity updated for 2018-2028 LTP 09 April 2018</t>
  </si>
  <si>
    <t>New 1-10yr intergen updated for 2018-2028 LTP 09 April 2018</t>
  </si>
  <si>
    <t>Hard code of DC 2nd 10yrs</t>
  </si>
  <si>
    <t>Whenuapai /Redhills / Westgate</t>
  </si>
  <si>
    <t>Updated xx/xx//2018 by GW</t>
  </si>
  <si>
    <t>AT-Grade Carpark Surface Renewals</t>
  </si>
  <si>
    <t>BT Capex - AT METRO Programme</t>
  </si>
  <si>
    <t>BT Capex - ATHOP Programme</t>
  </si>
  <si>
    <t>Bus Shelter Facilities Renewals</t>
  </si>
  <si>
    <t>Bus Station Minor Capex</t>
  </si>
  <si>
    <t>Capark Building Renewals (Existing)</t>
  </si>
  <si>
    <t>Central - Bridge structures renewals</t>
  </si>
  <si>
    <t>Central - Catchpit &amp; lead renewals</t>
  </si>
  <si>
    <t>Central - Culvert renewals non-reticltd</t>
  </si>
  <si>
    <t>Central - Cycleways Renewals</t>
  </si>
  <si>
    <t>Central - Guardrails renewals</t>
  </si>
  <si>
    <t>Central - Kerb &amp; channel renewals</t>
  </si>
  <si>
    <t>Central - Pavement Rehabilitation</t>
  </si>
  <si>
    <t>Central - Pavement Resurfacing</t>
  </si>
  <si>
    <t>Central - Preseal repair</t>
  </si>
  <si>
    <t>Central - Retaining Walls renewals</t>
  </si>
  <si>
    <t>Central - Road furniture renewals</t>
  </si>
  <si>
    <t>Central - Road signs renewals</t>
  </si>
  <si>
    <t>Central - Roadmarking renewals</t>
  </si>
  <si>
    <t>Central - Seawalls renewals</t>
  </si>
  <si>
    <t>Central - Stormwater - AC</t>
  </si>
  <si>
    <t>Central - Urban fixture renewals</t>
  </si>
  <si>
    <t>Central External TSS contracts</t>
  </si>
  <si>
    <t>Central Footpath Renewals</t>
  </si>
  <si>
    <t>Digital Technology</t>
  </si>
  <si>
    <t>Electric buses</t>
  </si>
  <si>
    <t>Electronic signs renewals</t>
  </si>
  <si>
    <t>Encroachments &amp; Legalisations</t>
  </si>
  <si>
    <t>Ferry Facilities Renewals</t>
  </si>
  <si>
    <t>Franklin Road Enhancements</t>
  </si>
  <si>
    <t>Harbourmaster - Motor Replacement</t>
  </si>
  <si>
    <t>JTOC - IS Hardware Renewals</t>
  </si>
  <si>
    <t>JTOC - Traffic Signals renewals</t>
  </si>
  <si>
    <t>JTOC CCTV Renewals</t>
  </si>
  <si>
    <t>Lincoln Road - Corridor Improvements</t>
  </si>
  <si>
    <t>LTP - AT Ops Centre Amalgamation</t>
  </si>
  <si>
    <t>LTP - Customer Central</t>
  </si>
  <si>
    <t>LTP - Customer Contact</t>
  </si>
  <si>
    <t>LTP Planning - AT Corporate Renewals</t>
  </si>
  <si>
    <t>Marae Turnouts</t>
  </si>
  <si>
    <t>Matiatia Park &amp; Ride</t>
  </si>
  <si>
    <t>Minor On-street Works</t>
  </si>
  <si>
    <t>North - Catchpit &amp; lead Renewals</t>
  </si>
  <si>
    <t>North - Culvert Renewals non-reticulated</t>
  </si>
  <si>
    <t>North - Footpath renewals</t>
  </si>
  <si>
    <t>North - Kerb &amp; channel Renewals</t>
  </si>
  <si>
    <t>North - Pavement Resurfacing</t>
  </si>
  <si>
    <t>North - Preseal Repairs</t>
  </si>
  <si>
    <t>North - Preventive maintenance (slips)</t>
  </si>
  <si>
    <t>North - Road Signs Renewals</t>
  </si>
  <si>
    <t>North -Bridge structures cpt replacement</t>
  </si>
  <si>
    <t>North Pavement rehabilitation sealed</t>
  </si>
  <si>
    <t>North Unsealed Road Pavement Strengtheng</t>
  </si>
  <si>
    <t>Off Street Paid Parking Tech-LTP</t>
  </si>
  <si>
    <t>Orakei shared path</t>
  </si>
  <si>
    <t>P&amp;D On-street New Areas</t>
  </si>
  <si>
    <t>Parking Programme</t>
  </si>
  <si>
    <t>PT Capex Renewals (Rolling Stock)</t>
  </si>
  <si>
    <t>Puhinui Interchange (bus-rail)</t>
  </si>
  <si>
    <t>Red Light Cameras</t>
  </si>
  <si>
    <t>Regional Signage</t>
  </si>
  <si>
    <t>Regulatory Controls Infrastructure - TO</t>
  </si>
  <si>
    <t>Renewal optimisation services</t>
  </si>
  <si>
    <t>Residential Parking Permits</t>
  </si>
  <si>
    <t>Rodney Targeted Rate</t>
  </si>
  <si>
    <t>Seismic Strengthening</t>
  </si>
  <si>
    <t>South - Pavement Rehabilitation</t>
  </si>
  <si>
    <t>South - Pavement Resurfacing</t>
  </si>
  <si>
    <t>South - Preseal Repairs</t>
  </si>
  <si>
    <t>South - Preventive maintenance (slips)</t>
  </si>
  <si>
    <t>South Bridge structures Cap Replacement</t>
  </si>
  <si>
    <t>South Catchpit &amp; lead renewals</t>
  </si>
  <si>
    <t>South Culvert renewals non-reticulated</t>
  </si>
  <si>
    <t>South Footpath Renewals</t>
  </si>
  <si>
    <t>South Kerb &amp; Channel Renewals</t>
  </si>
  <si>
    <t>South Road Signs Renewals</t>
  </si>
  <si>
    <t>Station renewals</t>
  </si>
  <si>
    <t>Tamaki Road Resilliance</t>
  </si>
  <si>
    <t>Tetratrap Installation - Central</t>
  </si>
  <si>
    <t>Wainui Improvements</t>
  </si>
  <si>
    <t>West - Bridge structure Cap replacement</t>
  </si>
  <si>
    <t>West - Catchpit &amp; lead renewals</t>
  </si>
  <si>
    <t>West - Footpath Renewals</t>
  </si>
  <si>
    <t>West - Kerb &amp; channel renewals</t>
  </si>
  <si>
    <t>West - Pavement rehabilitation sealed</t>
  </si>
  <si>
    <t>West - Preseal repairs</t>
  </si>
  <si>
    <t>West - Preventive maint (slips)</t>
  </si>
  <si>
    <t>West - Road Resurfacing</t>
  </si>
  <si>
    <t>West - Road Signs renewals</t>
  </si>
  <si>
    <t>West -Culvert renewals non-reticulated</t>
  </si>
  <si>
    <t>Wiri Depot</t>
  </si>
  <si>
    <t>Wiri EMU Depot Extension (Wiri II)</t>
  </si>
  <si>
    <t>Public Transport - Rail</t>
  </si>
  <si>
    <t>Public Transport - Bus</t>
  </si>
  <si>
    <t>Public Transport - Other</t>
  </si>
  <si>
    <t>Parking - Offstreet</t>
  </si>
  <si>
    <t>Roads &amp; Footpaths</t>
  </si>
  <si>
    <t>AT Corporate Support</t>
  </si>
  <si>
    <t>Public Transport - Ferry</t>
  </si>
  <si>
    <t>LOS %</t>
  </si>
  <si>
    <t>Renewal %</t>
  </si>
  <si>
    <t>PC3201413</t>
  </si>
  <si>
    <t>America's Cup</t>
  </si>
  <si>
    <t>Wynyard Crossing</t>
  </si>
  <si>
    <t>Albert St Upgrade (Pub. Realm Improve)</t>
  </si>
  <si>
    <t>Quay Street AC36</t>
  </si>
  <si>
    <t>City Centre Integration Proj Adjustments</t>
  </si>
  <si>
    <t>Quay Park Framework</t>
  </si>
  <si>
    <t>Lower Queen Street Upgrade</t>
  </si>
  <si>
    <t>City centre integration projects</t>
  </si>
  <si>
    <t>Remove America's Cup Provision</t>
  </si>
  <si>
    <t>Parks - Asset renewals_L175</t>
  </si>
  <si>
    <t>Parks - Asset renewals_L135</t>
  </si>
  <si>
    <t>Parks - Asset renewals_L125</t>
  </si>
  <si>
    <t>Parks - Asset renewals_L105</t>
  </si>
  <si>
    <t>Parks - Asset renewals_L180</t>
  </si>
  <si>
    <t>Parks - Asset renewals_L195</t>
  </si>
  <si>
    <t>Parks - Asset renewals_L150</t>
  </si>
  <si>
    <t>Parks - Asset renewals_L120</t>
  </si>
  <si>
    <t>Parks - Asset renewals_L185</t>
  </si>
  <si>
    <t>Parks - Asset renewals_L155</t>
  </si>
  <si>
    <t>Parks - Asset renewals_L100</t>
  </si>
  <si>
    <t>Parks - Asset renewals_L190</t>
  </si>
  <si>
    <t>Parks - Asset renewals_L200</t>
  </si>
  <si>
    <t>Parks - Asset renewals_L170</t>
  </si>
  <si>
    <t>Parks - Asset renewals_L210_Rua</t>
  </si>
  <si>
    <t>Parks - Asset renewals_L115</t>
  </si>
  <si>
    <t>Parks - Asset renewals_L160</t>
  </si>
  <si>
    <t>Parks - Asset renewals_L145</t>
  </si>
  <si>
    <t>Parks - Asset renewals_L140</t>
  </si>
  <si>
    <t>Parks - Asset renewals_L110</t>
  </si>
  <si>
    <t>Parks - Asset renewals_L130</t>
  </si>
  <si>
    <t>Parks - Asset renewals_L165</t>
  </si>
  <si>
    <t>Non-coastal Slips Capex</t>
  </si>
  <si>
    <t>Strategic - development fund dev</t>
  </si>
  <si>
    <t>Unlock Takapuna</t>
  </si>
  <si>
    <t>Transform Onehunga</t>
  </si>
  <si>
    <t>Commercial Transformation projects</t>
  </si>
  <si>
    <t>Unlock Henderson</t>
  </si>
  <si>
    <t>Unlock Panmure</t>
  </si>
  <si>
    <t>Unlock Avondale</t>
  </si>
  <si>
    <t>Unallocated Capex</t>
  </si>
  <si>
    <t>Local Board discretionary capex_LB130</t>
  </si>
  <si>
    <t>LB discretionary capex Whau</t>
  </si>
  <si>
    <t>Local Board discretionary capex_LB110</t>
  </si>
  <si>
    <t>LB discretionary capex  Waitakere Ranges</t>
  </si>
  <si>
    <t>Local Board discretionary capex_LB145</t>
  </si>
  <si>
    <t>Local Board discretionary capex_LB140</t>
  </si>
  <si>
    <t>Local Board discretionary capex_LB165</t>
  </si>
  <si>
    <t>LB discretionary capex Henderson Massey</t>
  </si>
  <si>
    <t>Local Board discretionary capex budget</t>
  </si>
  <si>
    <t>Local Board discretionary capex_LB180</t>
  </si>
  <si>
    <t>Local Board discretionary capex_LB160</t>
  </si>
  <si>
    <t>Local Board discretionary capex_LB150</t>
  </si>
  <si>
    <t>Local Board discretionary capex_LB195</t>
  </si>
  <si>
    <t>Local Board discretionary capex_LB105</t>
  </si>
  <si>
    <t>Local Board discretionary capex_LB175</t>
  </si>
  <si>
    <t>Local Board discretionary capex_LB100</t>
  </si>
  <si>
    <t>Local Board discretionary capex_LB125</t>
  </si>
  <si>
    <t>Local Board discretionary capex_LB135</t>
  </si>
  <si>
    <t>Local Board discretionary capex_LB155</t>
  </si>
  <si>
    <t>Local Board discretionary capex_LB185</t>
  </si>
  <si>
    <t>Local Board discretionary capex_LB170</t>
  </si>
  <si>
    <t>Local Board discretionary capex_LB115</t>
  </si>
  <si>
    <t>Not loaded central capex (Likely OLIs)</t>
  </si>
  <si>
    <t>Organics processing facility</t>
  </si>
  <si>
    <t>Organisational dev (OD) portfolio</t>
  </si>
  <si>
    <t>WIWQIP - Capex</t>
  </si>
  <si>
    <t>Development of regional cemeteries</t>
  </si>
  <si>
    <t>Dev of reg cemeteries &amp; crematoria</t>
  </si>
  <si>
    <t>CRF-CDEM Management_L050</t>
  </si>
  <si>
    <t>CRF-Communications management_L050</t>
  </si>
  <si>
    <t>CRF-Community facilities proj deliv_L210</t>
  </si>
  <si>
    <t>CRF-Community facilities project_L050</t>
  </si>
  <si>
    <t>CRF-Libraries and information man_L210</t>
  </si>
  <si>
    <t>CRF-Libraries and information man_L050</t>
  </si>
  <si>
    <t>CRF-Corporate asset management_L050</t>
  </si>
  <si>
    <t>CRF-Information services management_L050</t>
  </si>
  <si>
    <t>CRF-Stormwater management and admin_L050</t>
  </si>
  <si>
    <t>CRF-Development Programmes B_L210</t>
  </si>
  <si>
    <t>CRF-Development Programmes B_L050</t>
  </si>
  <si>
    <t>CRF-Engineering and Technical Serv_L050</t>
  </si>
  <si>
    <t>CRF-Waste management_L050</t>
  </si>
  <si>
    <t>CRF-Environmental services unit man_L050</t>
  </si>
  <si>
    <t>CRF-Organisation transf/integration_L050</t>
  </si>
  <si>
    <t>CRF-Licensing and compliance servic_L050</t>
  </si>
  <si>
    <t>WMMP Organic bins Regional</t>
  </si>
  <si>
    <t>Sport development - growth_L200</t>
  </si>
  <si>
    <t>PASR Sport dev-Maungakiekie-Tamaki</t>
  </si>
  <si>
    <t>Parks - Sports development _190</t>
  </si>
  <si>
    <t>Parks - Sport development _140</t>
  </si>
  <si>
    <t>Parks - Sport development _160</t>
  </si>
  <si>
    <t>Parks - Sport development _110</t>
  </si>
  <si>
    <t>Parks - Sport development _145</t>
  </si>
  <si>
    <t>Haumaru Housing Portfolio (HfOP)</t>
  </si>
  <si>
    <t>Regional Parks - Asset renewals_L050_C/W</t>
  </si>
  <si>
    <t>Library Current Use Collections</t>
  </si>
  <si>
    <t>Parks - Coastal asset renewals_175</t>
  </si>
  <si>
    <t>Parks - Coastal asset renewals_105</t>
  </si>
  <si>
    <t>Parks - Coastal asset renewals_125</t>
  </si>
  <si>
    <t>Parks - Coastal asset renewals_135</t>
  </si>
  <si>
    <t>Parks - Coastal asset renewals_180</t>
  </si>
  <si>
    <t>Parks - Coastal asset renewals_L110</t>
  </si>
  <si>
    <t>Parks - Coastal asset renewals_L130</t>
  </si>
  <si>
    <t>Parks - Coastal asset renewals_L145</t>
  </si>
  <si>
    <t>Parks - Coastal asset renewals-South</t>
  </si>
  <si>
    <t>Parks - Coastal asset renewals-Maungakie</t>
  </si>
  <si>
    <t>Parks - Coastal asset renewals-Orakei</t>
  </si>
  <si>
    <t>Parks - Coastal asset renewals_L120</t>
  </si>
  <si>
    <t>Parks - Coastal asset renewals-Albert Ed</t>
  </si>
  <si>
    <t>Parks - Coastal asset renewals-Great Bar</t>
  </si>
  <si>
    <t>Parks - Coastal asset renewals- Waitemat</t>
  </si>
  <si>
    <t>Parks - Coastal asset renewals-Cen/West</t>
  </si>
  <si>
    <t>Coastal Management</t>
  </si>
  <si>
    <t>ACPL Hobsonville Marine Precinct Develop</t>
  </si>
  <si>
    <t>Kaudi Dieback</t>
  </si>
  <si>
    <t>Pest Free Auckland</t>
  </si>
  <si>
    <t>Regional Pest Managment Plan (RPMP)</t>
  </si>
  <si>
    <t>Marine Biosecurity</t>
  </si>
  <si>
    <t>Marine Ecological Health</t>
  </si>
  <si>
    <t>Town Centre Revitalisation (Regional)</t>
  </si>
  <si>
    <t>Town Centre Revitalisation (Otahuhu)</t>
  </si>
  <si>
    <t>Town Centre Revitalisation (Unallocated)</t>
  </si>
  <si>
    <t>ICT management delivery</t>
  </si>
  <si>
    <t>135 Albert Street-StoneFacadeReplacement</t>
  </si>
  <si>
    <t>Lift renewal</t>
  </si>
  <si>
    <t>LTP Fix &amp; Fasten Project</t>
  </si>
  <si>
    <t>CF&amp;P-Albert St Escalator Renewal</t>
  </si>
  <si>
    <t>K Rd Cycle Improvements</t>
  </si>
  <si>
    <t>Takapna Ctr-Hurstmr Rd revital-125974-0</t>
  </si>
  <si>
    <t>Upgrade Federal St - Mayoral to Wellesly</t>
  </si>
  <si>
    <t>Master Plan (Barry Curtis Park)</t>
  </si>
  <si>
    <t>Myers Park Underpass</t>
  </si>
  <si>
    <t>Vehicle - LTP</t>
  </si>
  <si>
    <t>Upgrade (Hobson &amp; Nelson Street)</t>
  </si>
  <si>
    <t>Waikowhai Coastal Boardwalk - Stage 2</t>
  </si>
  <si>
    <t>Greenway and walkway development_175</t>
  </si>
  <si>
    <t>LTP New Local Board Office</t>
  </si>
  <si>
    <t>Joint Budget Capex (SH16/20)</t>
  </si>
  <si>
    <t>Rsv Restoration Waterview Connect - L200</t>
  </si>
  <si>
    <t>PASR Waterview Connection Albert Eden</t>
  </si>
  <si>
    <t>Social housing renewals (HFOP)</t>
  </si>
  <si>
    <t>Tupuna Maunga o Tamaki Makaurau Authorit</t>
  </si>
  <si>
    <t>Authority</t>
  </si>
  <si>
    <t>ACPL Papatoetoe Redevelopment</t>
  </si>
  <si>
    <t>AC Commercial Renewals</t>
  </si>
  <si>
    <t>Tamaki Transformation project (capex)</t>
  </si>
  <si>
    <t>Investigatory fund dev capex</t>
  </si>
  <si>
    <t>Budget Transfer - DPO/CF (LDI transfer &amp; City Centre Transfer)</t>
  </si>
  <si>
    <t>33 Henderson Valley Rd (40 Unit Devlpmt)</t>
  </si>
  <si>
    <t>Vehicle replacement (City Parks)</t>
  </si>
  <si>
    <t>Central area upgrade (Northcote)</t>
  </si>
  <si>
    <t>Northcote  Central Area Upgrade</t>
  </si>
  <si>
    <t>PASR Capex Regional Prks</t>
  </si>
  <si>
    <t>Te Arai Regional Pk - develop campground</t>
  </si>
  <si>
    <t>Heritage Acquisition fund</t>
  </si>
  <si>
    <t>ACE_Arts_FY18</t>
  </si>
  <si>
    <t>CORP SUPP-Minor Capital &amp; Office Equpmnt</t>
  </si>
  <si>
    <t>Minor Fixed Asset</t>
  </si>
  <si>
    <t>Minor Capital Projects - Regional</t>
  </si>
  <si>
    <t>Closed landfill leachate upgrades LB50</t>
  </si>
  <si>
    <t>Seismic retrofit (all properties)</t>
  </si>
  <si>
    <t>Britomart Precinct Stscapes Stg 1</t>
  </si>
  <si>
    <t>Rawene Landslide_Design</t>
  </si>
  <si>
    <t>Claris Closed Landfill Capex</t>
  </si>
  <si>
    <t>Closed landfill remediation LB50</t>
  </si>
  <si>
    <t>Downtown public spaces - Build</t>
  </si>
  <si>
    <t>Multi-Purpose facility (Takanini)</t>
  </si>
  <si>
    <t>Federal St St 3 (Vict. St to Wyndham St)</t>
  </si>
  <si>
    <t>WMMP RRN Regional</t>
  </si>
  <si>
    <t>Disposer pay refuse billing system</t>
  </si>
  <si>
    <t>Massey North Open Spaces</t>
  </si>
  <si>
    <t>Regional Parks - Cem renewals_L050_Nth</t>
  </si>
  <si>
    <t>Regional Sustainability Projects - Prop</t>
  </si>
  <si>
    <t>CF&amp;P Bledisloe Lift Renewal</t>
  </si>
  <si>
    <t>Leisure Consolidated Op. System - Capex</t>
  </si>
  <si>
    <t>Whenua Rangitira developments</t>
  </si>
  <si>
    <t>Ngati Whatua Orakei Reserves Board (LoS)</t>
  </si>
  <si>
    <t>Ngati Whatua Orakei Reserves Board (Renewal)</t>
  </si>
  <si>
    <t>SW Capex (holding account)</t>
  </si>
  <si>
    <t>Aquatic Equipment Renewal L210</t>
  </si>
  <si>
    <t>SW PC14 Waiarohia ponds 3 &amp; 5</t>
  </si>
  <si>
    <t>Environmental Equipment upgrade</t>
  </si>
  <si>
    <t>CDAC Pah Homestead air conditioning</t>
  </si>
  <si>
    <t>Closed landfill renewals LB50</t>
  </si>
  <si>
    <t>PASR Tupuna Maunga capex projects</t>
  </si>
  <si>
    <t>Building upgrade - Onyx MRF</t>
  </si>
  <si>
    <t>WMMP Recycling Bins North West</t>
  </si>
  <si>
    <t>Renewal of Village Centres_Capital works</t>
  </si>
  <si>
    <t>Millennium LMS</t>
  </si>
  <si>
    <t>Pacific Strip Pathway Improvements</t>
  </si>
  <si>
    <t>Auckland Botanical Gardens rnwls_CF</t>
  </si>
  <si>
    <t>ECC fitout - Central/Elcoat/Manukau etc.</t>
  </si>
  <si>
    <t>CL-Civil Defence Minor capital</t>
  </si>
  <si>
    <t>AEM Small Equipment (IS &amp; Communication)</t>
  </si>
  <si>
    <t>Alert Teams Equipment and renewals</t>
  </si>
  <si>
    <t>AEM Vehicle refurbish equipment</t>
  </si>
  <si>
    <t>Alert Teams New Vehicles</t>
  </si>
  <si>
    <t>Resilience Education Mobile App Developm</t>
  </si>
  <si>
    <t>Community Readniess Motherships</t>
  </si>
  <si>
    <t>Welfare Needs Assessment App Development</t>
  </si>
  <si>
    <t>Museum Exhibition MOU</t>
  </si>
  <si>
    <t>Field Tablets supporting WNA App</t>
  </si>
  <si>
    <t>Learning Management System Upgrade</t>
  </si>
  <si>
    <t>Heritage Material Digitisation</t>
  </si>
  <si>
    <t>Technology replacement</t>
  </si>
  <si>
    <t>ACPL Ormiston Town Centre Development</t>
  </si>
  <si>
    <t>WMMP Refuse Bins Central</t>
  </si>
  <si>
    <t>Orakei Basin Open Space Development</t>
  </si>
  <si>
    <t>PASR CAPEX Auckland Domain renewals</t>
  </si>
  <si>
    <t>ACE_Public Art Renewals  FY18</t>
  </si>
  <si>
    <t>Learning Quarter</t>
  </si>
  <si>
    <t>CL-Tsunami Early Warning System</t>
  </si>
  <si>
    <t>Local SLIPs L115:Great Barrier capex</t>
  </si>
  <si>
    <t>Sportfield development (Ostrich Farm)</t>
  </si>
  <si>
    <t>Parakai Recreation Reserves Board</t>
  </si>
  <si>
    <t>Te Poari o Kaipatiki ki Kaipara (Parakai Recreation Reserve Board)</t>
  </si>
  <si>
    <t>Remedial work - drain and concrete RRC</t>
  </si>
  <si>
    <t>ACE Arts Assets general FY18</t>
  </si>
  <si>
    <t>Depots &amp; animal shelts renewal</t>
  </si>
  <si>
    <t>Whenua Rangitira renewals</t>
  </si>
  <si>
    <t>RTS Site refurbishments</t>
  </si>
  <si>
    <t>Contaminated site remed green stream</t>
  </si>
  <si>
    <t>Mutukaroa Trust Board (Hamlin Hills)</t>
  </si>
  <si>
    <t>Libraries website redevelopment</t>
  </si>
  <si>
    <t>Community centre replacement (Avondale)</t>
  </si>
  <si>
    <t>Te Motu A Hiaroa (Puketutu Island) GovTr</t>
  </si>
  <si>
    <t>Public litter bins - replacement</t>
  </si>
  <si>
    <t>Public litter bins - New</t>
  </si>
  <si>
    <t>Wai Care Harania Stream Resoration</t>
  </si>
  <si>
    <t>Regulatory equipment replacement</t>
  </si>
  <si>
    <t>Events Equipment</t>
  </si>
  <si>
    <t>Waikumete cemetery-dev of burial areas</t>
  </si>
  <si>
    <t>Studio and branded hardware</t>
  </si>
  <si>
    <t>Replace 15t wheel loader</t>
  </si>
  <si>
    <t>Sweeper truck replacement</t>
  </si>
  <si>
    <t>Town centre plan (Glen Eden)</t>
  </si>
  <si>
    <t>Bruce Pulman Park carparks remedial work</t>
  </si>
  <si>
    <t>Regional Karekare Surf Access</t>
  </si>
  <si>
    <t>Encumbrance release (Bellfield Rd SHA)</t>
  </si>
  <si>
    <t>CDAC Pah Homestead marquee</t>
  </si>
  <si>
    <t>CCTV - Mangere-Otahuhu</t>
  </si>
  <si>
    <t>CCTV - Otara-Papatoetoe</t>
  </si>
  <si>
    <t>CCTV - Manurewa</t>
  </si>
  <si>
    <t>Litterbin replacement</t>
  </si>
  <si>
    <t>Recreation centre (Whau)</t>
  </si>
  <si>
    <t>Youth facility (Massey North)</t>
  </si>
  <si>
    <t>Playspace (Flat Bush)</t>
  </si>
  <si>
    <t>All-weather canopy pjct exectn Capex</t>
  </si>
  <si>
    <t>Rewi Alley Reserve - New Toilet Block</t>
  </si>
  <si>
    <t>Community centre dev (Meadowbank)</t>
  </si>
  <si>
    <t xml:space="preserve">Sport and Recreation Facilities Investment Fund </t>
  </si>
  <si>
    <t>Development (Victoria linear park)</t>
  </si>
  <si>
    <t>Flyover (lower Hobson Street)</t>
  </si>
  <si>
    <t>Redevelopment (Queen's Wharf)</t>
  </si>
  <si>
    <t>Exchange Lane</t>
  </si>
  <si>
    <t>Public space upgrade (Emily Place)</t>
  </si>
  <si>
    <t>LTP Fitout Renewals</t>
  </si>
  <si>
    <t>LTP Building Renewals - Temp only!!!!</t>
  </si>
  <si>
    <t>BMX track (Colin Maiden Park)</t>
  </si>
  <si>
    <t>Mobile library renewal</t>
  </si>
  <si>
    <t>Hobsonville Corridor Reserves 1/2/3 PC14</t>
  </si>
  <si>
    <t>Streetscapes (High Street)</t>
  </si>
  <si>
    <t>Aquatic facility (Flat Bush/Ormiston)</t>
  </si>
  <si>
    <t>Wyndham St - Queen to Hobson St</t>
  </si>
  <si>
    <t>Mills Lane</t>
  </si>
  <si>
    <t>Cross Street</t>
  </si>
  <si>
    <t>Visy Reccyling Plant upgrade Onehunga</t>
  </si>
  <si>
    <t>CF&amp;P Manukau Lift Renewal</t>
  </si>
  <si>
    <t>CF&amp;P Regional Security - Hardware</t>
  </si>
  <si>
    <t>CF&amp;P Regional Security - Software</t>
  </si>
  <si>
    <t>Development (Purchase Hill)</t>
  </si>
  <si>
    <t>Development  (Beresford Square)</t>
  </si>
  <si>
    <t>Downtown public spaces</t>
  </si>
  <si>
    <t>Climate change response fund</t>
  </si>
  <si>
    <t>Maori Outcomes - Site infrastrucutre development</t>
  </si>
  <si>
    <t>N.007023.01.04</t>
  </si>
  <si>
    <t>N.007023.01.05</t>
  </si>
  <si>
    <t>N.007023.01.01</t>
  </si>
  <si>
    <t>N.007023.01.03</t>
  </si>
  <si>
    <t>N.007023.01.06</t>
  </si>
  <si>
    <t>N.007023.01.07</t>
  </si>
  <si>
    <t>N.007023.01.02</t>
  </si>
  <si>
    <t>Remove America</t>
  </si>
  <si>
    <t xml:space="preserve">N.004360.01 - </t>
  </si>
  <si>
    <t>N.007076.01.06</t>
  </si>
  <si>
    <t>N.007076.01.01</t>
  </si>
  <si>
    <t>N.007076.01.04</t>
  </si>
  <si>
    <t>N.007076.01.03</t>
  </si>
  <si>
    <t>N.007076.01.05</t>
  </si>
  <si>
    <t>N.007076.01.02</t>
  </si>
  <si>
    <t>N.007076.01.07</t>
  </si>
  <si>
    <t>Not loaded cen</t>
  </si>
  <si>
    <t>Coastal Manage</t>
  </si>
  <si>
    <t>N.008280.04.02</t>
  </si>
  <si>
    <t>N.008280.04.03</t>
  </si>
  <si>
    <t>N.008280.04.01</t>
  </si>
  <si>
    <t>N.008280.04.04</t>
  </si>
  <si>
    <t>N.008280.04.05</t>
  </si>
  <si>
    <t>N.001606.30.01</t>
  </si>
  <si>
    <t>N.007668.03.01</t>
  </si>
  <si>
    <t>N.007134.42.01</t>
  </si>
  <si>
    <t>N.004531.01.02</t>
  </si>
  <si>
    <t>N.005349.05.02</t>
  </si>
  <si>
    <t>N.007940.12.01</t>
  </si>
  <si>
    <t xml:space="preserve">Tupuna Maunga </t>
  </si>
  <si>
    <t>Budget Transfe</t>
  </si>
  <si>
    <t>N.007718.45.12</t>
  </si>
  <si>
    <t>N.007940.02.01</t>
  </si>
  <si>
    <t>N.006398.01.01</t>
  </si>
  <si>
    <t>Ngati Whatua O</t>
  </si>
  <si>
    <t>N.006986.42.21</t>
  </si>
  <si>
    <t>Te Poari o Kai</t>
  </si>
  <si>
    <t>N.007073.12.01</t>
  </si>
  <si>
    <t>N.005681.01.01</t>
  </si>
  <si>
    <t>N.007067.01.01</t>
  </si>
  <si>
    <t>N.004350.01.06</t>
  </si>
  <si>
    <t>Sport and Recr</t>
  </si>
  <si>
    <t>N.007940.03.02</t>
  </si>
  <si>
    <t>N.007940.03.01</t>
  </si>
  <si>
    <t>N.007940.04.01</t>
  </si>
  <si>
    <t>N.007878.01.05</t>
  </si>
  <si>
    <t>N.007878.01.04</t>
  </si>
  <si>
    <t xml:space="preserve">America's Cup </t>
  </si>
  <si>
    <t>Climate change</t>
  </si>
  <si>
    <t>Maori Outcomes</t>
  </si>
  <si>
    <t>Infrastructure &amp; environmental services</t>
  </si>
  <si>
    <t>Community facilities department</t>
  </si>
  <si>
    <t>Commercial property portfolio</t>
  </si>
  <si>
    <t>People and performance</t>
  </si>
  <si>
    <t>Auckland Emergency Management</t>
  </si>
  <si>
    <t>Communications and engagement</t>
  </si>
  <si>
    <t>Community Services</t>
  </si>
  <si>
    <t>Finance division</t>
  </si>
  <si>
    <t>Regulatory Services</t>
  </si>
  <si>
    <t>City parks services</t>
  </si>
  <si>
    <t>Planning division</t>
  </si>
  <si>
    <t>America's Cup 2021</t>
  </si>
  <si>
    <t>Governance</t>
  </si>
  <si>
    <t>050 - Regional</t>
  </si>
  <si>
    <t>175 - Rodney</t>
  </si>
  <si>
    <t>135 - Kaipatiki</t>
  </si>
  <si>
    <t>125 - Hibiscus and Bays</t>
  </si>
  <si>
    <t>105 - Devonport-Takapuna</t>
  </si>
  <si>
    <t>180 - Upper Harbour</t>
  </si>
  <si>
    <t>195 - Waitemata</t>
  </si>
  <si>
    <t>150 - Maungakiekie-Tamaki</t>
  </si>
  <si>
    <t>120 - Henderson-Massey</t>
  </si>
  <si>
    <t>185 - Waiheke</t>
  </si>
  <si>
    <t>155 - Orakei</t>
  </si>
  <si>
    <t>100 - Albert-Eden</t>
  </si>
  <si>
    <t>190 - Waitakere Ranges</t>
  </si>
  <si>
    <t>200 - Whau</t>
  </si>
  <si>
    <t>170 - Puketapapa</t>
  </si>
  <si>
    <t>210 - Other (Unallocated)</t>
  </si>
  <si>
    <t>115 - Great Barrier</t>
  </si>
  <si>
    <t>160 - Otara-Papatoetoe</t>
  </si>
  <si>
    <t>145 - Manurewa</t>
  </si>
  <si>
    <t>140 - Mangere-Otahuhu</t>
  </si>
  <si>
    <t>110 - Franklin</t>
  </si>
  <si>
    <t>130 - Howick</t>
  </si>
  <si>
    <t>165 - Papakura</t>
  </si>
  <si>
    <t>211 - Other (Unallocated)</t>
  </si>
  <si>
    <t>PC3200649</t>
  </si>
  <si>
    <t>Watercare</t>
  </si>
  <si>
    <t>RFA</t>
  </si>
  <si>
    <t>Panuku</t>
  </si>
  <si>
    <t>ATEED</t>
  </si>
  <si>
    <t>ACIL</t>
  </si>
  <si>
    <t>Central Interceptor</t>
  </si>
  <si>
    <t>Collection System</t>
  </si>
  <si>
    <t>North East Sub-regional  Wastewater Servicing</t>
  </si>
  <si>
    <t>Northern Interceptor</t>
  </si>
  <si>
    <t>Other projects &lt; $250k</t>
  </si>
  <si>
    <t>Shared Services Plant &amp; Equip</t>
  </si>
  <si>
    <t>Shared Services Process Improvement</t>
  </si>
  <si>
    <t>Southern Interceptor Augmentation</t>
  </si>
  <si>
    <t>South-West Wastewater Servicing</t>
  </si>
  <si>
    <t>Wastewater ECS</t>
  </si>
  <si>
    <t>Wastewater Treatment</t>
  </si>
  <si>
    <t>Western Isthmus Programme</t>
  </si>
  <si>
    <t>WWTP Regulatory Compliance</t>
  </si>
  <si>
    <t>Capex efficiency</t>
  </si>
  <si>
    <t>Dam Rehabilitation</t>
  </si>
  <si>
    <t>Huia Water Treatment Plant Upgrades</t>
  </si>
  <si>
    <t>Hunua No. 4 Water Supply Scheme</t>
  </si>
  <si>
    <t>North Harbour 2 Watermain</t>
  </si>
  <si>
    <t>Water Source and Headworks</t>
  </si>
  <si>
    <t>Treated Water Network</t>
  </si>
  <si>
    <t>Waikato WTP Augmentation</t>
  </si>
  <si>
    <t>Water ECS</t>
  </si>
  <si>
    <t>Water Sources Regulatory Compliance</t>
  </si>
  <si>
    <t>Water Treatment Plant</t>
  </si>
  <si>
    <t>Equipment and public furniture</t>
  </si>
  <si>
    <t>Art Gallery development</t>
  </si>
  <si>
    <t>Renewals (Event Services)</t>
  </si>
  <si>
    <t>Renewals (Technical Services)</t>
  </si>
  <si>
    <t>Renewals (Mt Smart)</t>
  </si>
  <si>
    <t>Renewals (Western Springs)</t>
  </si>
  <si>
    <t>Renewals (QBE Stadium)</t>
  </si>
  <si>
    <t>Renewals (Auckland Zoo)</t>
  </si>
  <si>
    <t>Renewals (Bruce Mason Centre)</t>
  </si>
  <si>
    <t>Renewals (Aotea Centre)</t>
  </si>
  <si>
    <t>Renewals (The Civic)</t>
  </si>
  <si>
    <t>Renewals (Art Gallery)</t>
  </si>
  <si>
    <t>Renewals (Viaduct Events Centre)</t>
  </si>
  <si>
    <t>RFA Plus</t>
  </si>
  <si>
    <t>Other Capex</t>
  </si>
  <si>
    <t>Renewal (Aotea Precinct)</t>
  </si>
  <si>
    <t>NZMM - Management</t>
  </si>
  <si>
    <t>Marina development</t>
  </si>
  <si>
    <t>Operations asset renewals (Westhaven Marina)</t>
  </si>
  <si>
    <t>Viaduct Marina - Wave attenuation</t>
  </si>
  <si>
    <t>Viaduct Marina reconfiguration - Wynyard east/west and attenuation</t>
  </si>
  <si>
    <t>Westhaven western edge - Berth reconfiguration</t>
  </si>
  <si>
    <t>SkyPath – Auckland Harbour Bridge</t>
  </si>
  <si>
    <t>Wynyard quarter private works</t>
  </si>
  <si>
    <t>Wynyard Quarter Development Sites Public Works</t>
  </si>
  <si>
    <t>Wynyard Quarter central area - Private works</t>
  </si>
  <si>
    <t>Wynyard Quarter central precinct - Public works</t>
  </si>
  <si>
    <t>Wynyard quarter public works</t>
  </si>
  <si>
    <t>Wynyard Quarter Headland precinct - Public works</t>
  </si>
  <si>
    <t>Harbour Bridge Park</t>
  </si>
  <si>
    <t>Entrance way and asset maintenance (Queens Wharf)</t>
  </si>
  <si>
    <t>Central Park Wynyard Commons</t>
  </si>
  <si>
    <t>East-West connection - Pedestrian</t>
  </si>
  <si>
    <t>East-West connection - Public transport</t>
  </si>
  <si>
    <t>Wynyard Quarter sea wall and road improvement - Public works</t>
  </si>
  <si>
    <t>Wynyard Central Public Art</t>
  </si>
  <si>
    <t>Vos Yard Development</t>
  </si>
  <si>
    <t>Cruise ship infrastructure - Phase 1</t>
  </si>
  <si>
    <t>Commercial Property Asset Renewal</t>
  </si>
  <si>
    <t>Westhaven Marina Village</t>
  </si>
  <si>
    <t>Contamination developments</t>
  </si>
  <si>
    <t>Minor capital purchases</t>
  </si>
  <si>
    <t>ACIL Capex</t>
  </si>
  <si>
    <t>Lo cal / Wider</t>
  </si>
  <si>
    <t>Organised Sport Park Acquisition - North-West</t>
  </si>
  <si>
    <t>Organised Sport Park Acquisition - South</t>
  </si>
  <si>
    <t>Suburb Park Land Acquisition - North</t>
  </si>
  <si>
    <t>Suburb Park Land Acquisition - North-West</t>
  </si>
  <si>
    <t>Suburb Park Land Acquisition - South</t>
  </si>
  <si>
    <t>Local</t>
  </si>
  <si>
    <t>Wider</t>
  </si>
  <si>
    <t>2018 Fund Area</t>
  </si>
  <si>
    <t>Albert / Vincent St Bus priority improvements</t>
  </si>
  <si>
    <t xml:space="preserve">Kumeu/Huapai SHA Station Road Intersection </t>
  </si>
  <si>
    <t>Whole of Route Bus Priority Programme - Central</t>
  </si>
  <si>
    <t>Whole of Route Bus Priority Programme - South</t>
  </si>
  <si>
    <t>Whole of Route Bus Priority Programme - West</t>
  </si>
  <si>
    <t xml:space="preserve">Local </t>
  </si>
  <si>
    <t>Glenvar Road/East Coast Road Intersection and Corridor Improvements</t>
  </si>
  <si>
    <t>Warkworth Matakana Link (SH1 to Matakana)</t>
  </si>
  <si>
    <t>Mill Road Corridor Phase 1</t>
  </si>
  <si>
    <t xml:space="preserve">Penlink </t>
  </si>
  <si>
    <t>PT Safety, Security and Amenity and other capital Improvements</t>
  </si>
  <si>
    <t>Walking &amp; Cycling Programme</t>
  </si>
  <si>
    <t>Urban Cycleways Programme</t>
  </si>
  <si>
    <t>Infrastructure works for Drury South (Ararimu)</t>
  </si>
  <si>
    <t>L</t>
  </si>
  <si>
    <t>Advanced Destination Signage</t>
  </si>
  <si>
    <t>x</t>
  </si>
  <si>
    <t>Suburban Bus Stations - Rosedale and Constellation</t>
  </si>
  <si>
    <t xml:space="preserve">Supporting Growth - Investigation for Growth Projects </t>
  </si>
  <si>
    <t>Wynyard Quarter Integrated Programme - Daldy Street Upgrade</t>
  </si>
  <si>
    <t>Redhills Arterial Upgrade</t>
  </si>
  <si>
    <t>Whenuapai Arterial Upgrade and Realignment</t>
  </si>
  <si>
    <t>Transport Demand Forecasting Models Update</t>
  </si>
  <si>
    <t>On-going Seismic Strengthening Works</t>
  </si>
  <si>
    <t>Street Lighting Improvements</t>
  </si>
  <si>
    <t>Environmental sustainability infrastructure</t>
  </si>
  <si>
    <t>Minor Safety Improvements</t>
  </si>
  <si>
    <t>AMETI Eastern Busway Panmure to Pakuranga</t>
  </si>
  <si>
    <t>AMETI Eastern Busway Ti Raukau Busway</t>
  </si>
  <si>
    <t>AMETI Eastern Busway Botany Bus Station</t>
  </si>
  <si>
    <t>One Network ITS System Integration</t>
  </si>
  <si>
    <t>Validated</t>
  </si>
  <si>
    <t xml:space="preserve">N.008878.01  </t>
  </si>
  <si>
    <t xml:space="preserve">N.009155.01  </t>
  </si>
  <si>
    <t xml:space="preserve">N.006962.01  </t>
  </si>
  <si>
    <t xml:space="preserve">N.006963.01  </t>
  </si>
  <si>
    <t xml:space="preserve">N.003922.01  </t>
  </si>
  <si>
    <t xml:space="preserve">N.003923.01  </t>
  </si>
  <si>
    <t xml:space="preserve">N.004346.01  </t>
  </si>
  <si>
    <t xml:space="preserve">N.006964.01  </t>
  </si>
  <si>
    <t xml:space="preserve">N.007935.01  </t>
  </si>
  <si>
    <t xml:space="preserve">N.003017.02  </t>
  </si>
  <si>
    <t xml:space="preserve">N.004624.01  </t>
  </si>
  <si>
    <t xml:space="preserve">N.003345.01  </t>
  </si>
  <si>
    <t xml:space="preserve">N.004117.05  </t>
  </si>
  <si>
    <t xml:space="preserve">N.003811.01  </t>
  </si>
  <si>
    <t xml:space="preserve">N.004070.01  </t>
  </si>
  <si>
    <t xml:space="preserve">N.003808.01  </t>
  </si>
  <si>
    <t xml:space="preserve">N.003269.01  </t>
  </si>
  <si>
    <t xml:space="preserve">N.004858.01  </t>
  </si>
  <si>
    <t xml:space="preserve">N.003876.18  </t>
  </si>
  <si>
    <t xml:space="preserve">N.003886.18  </t>
  </si>
  <si>
    <t xml:space="preserve">N.003375.02  </t>
  </si>
  <si>
    <t xml:space="preserve">N.007115.18  </t>
  </si>
  <si>
    <t xml:space="preserve">N.003372.01  </t>
  </si>
  <si>
    <t xml:space="preserve">N.009241.02  </t>
  </si>
  <si>
    <t xml:space="preserve">N.003857.01  </t>
  </si>
  <si>
    <t xml:space="preserve">N.008985.01  </t>
  </si>
  <si>
    <t xml:space="preserve">N.008494.02  </t>
  </si>
  <si>
    <t xml:space="preserve">N.002915.01  </t>
  </si>
  <si>
    <t xml:space="preserve">N.005793.01  </t>
  </si>
  <si>
    <t xml:space="preserve">N.006965.01  </t>
  </si>
  <si>
    <t xml:space="preserve">N.006965.02  </t>
  </si>
  <si>
    <t xml:space="preserve">N.004811.01  </t>
  </si>
  <si>
    <t xml:space="preserve">N.006966.03  </t>
  </si>
  <si>
    <t xml:space="preserve">N.004306.01  </t>
  </si>
  <si>
    <t xml:space="preserve">N.006967.01  </t>
  </si>
  <si>
    <t xml:space="preserve">N.009525.02  </t>
  </si>
  <si>
    <t xml:space="preserve">N.006968.01  </t>
  </si>
  <si>
    <t xml:space="preserve">N.004069.01  </t>
  </si>
  <si>
    <t xml:space="preserve">N.006969.01  </t>
  </si>
  <si>
    <t xml:space="preserve">N.008489.02  </t>
  </si>
  <si>
    <t xml:space="preserve">N.004304.02  </t>
  </si>
  <si>
    <t xml:space="preserve">N.006972.01  </t>
  </si>
  <si>
    <t xml:space="preserve">N.005341.01  </t>
  </si>
  <si>
    <t xml:space="preserve">N.005631.01  </t>
  </si>
  <si>
    <t xml:space="preserve">N.003784.03  </t>
  </si>
  <si>
    <t xml:space="preserve">N.005580.02  </t>
  </si>
  <si>
    <t xml:space="preserve">N.009515.01  </t>
  </si>
  <si>
    <t xml:space="preserve">N.001177.01  </t>
  </si>
  <si>
    <t xml:space="preserve">N.004103.02  </t>
  </si>
  <si>
    <t xml:space="preserve">N.004595.01  </t>
  </si>
  <si>
    <t xml:space="preserve">N.006004.01  </t>
  </si>
  <si>
    <t xml:space="preserve">N.007876.01  </t>
  </si>
  <si>
    <t xml:space="preserve">N.006978.01  </t>
  </si>
  <si>
    <t xml:space="preserve">N.006979.01  </t>
  </si>
  <si>
    <t xml:space="preserve">N.007037.10  </t>
  </si>
  <si>
    <t xml:space="preserve">N.006981.01  </t>
  </si>
  <si>
    <t xml:space="preserve">N.006982.01  </t>
  </si>
  <si>
    <t xml:space="preserve">N.008280.01  </t>
  </si>
  <si>
    <t xml:space="preserve">N.008280.08  </t>
  </si>
  <si>
    <t xml:space="preserve">N.009533.01  </t>
  </si>
  <si>
    <t xml:space="preserve">N.006397.01  </t>
  </si>
  <si>
    <t xml:space="preserve">N.006983.01  </t>
  </si>
  <si>
    <t xml:space="preserve">N.008481.01  </t>
  </si>
  <si>
    <t xml:space="preserve">N.007231.01  </t>
  </si>
  <si>
    <t xml:space="preserve">N.005942.01  </t>
  </si>
  <si>
    <t xml:space="preserve">N.008542.01  </t>
  </si>
  <si>
    <t xml:space="preserve">N.008543.01  </t>
  </si>
  <si>
    <t xml:space="preserve">N.008544.01  </t>
  </si>
  <si>
    <t xml:space="preserve">N.007740.01  </t>
  </si>
  <si>
    <t xml:space="preserve">N.001737.01  </t>
  </si>
  <si>
    <t xml:space="preserve">N.004605.01  </t>
  </si>
  <si>
    <t xml:space="preserve">N.007690.01  </t>
  </si>
  <si>
    <t xml:space="preserve">N.007690.02  </t>
  </si>
  <si>
    <t xml:space="preserve">N.007691.01  </t>
  </si>
  <si>
    <t xml:space="preserve">N.007691.02  </t>
  </si>
  <si>
    <t xml:space="preserve">N.007692.01  </t>
  </si>
  <si>
    <t xml:space="preserve">N.007692.02  </t>
  </si>
  <si>
    <t xml:space="preserve">N.007693.01  </t>
  </si>
  <si>
    <t xml:space="preserve">N.007694.02  </t>
  </si>
  <si>
    <t xml:space="preserve">N.007695.01  </t>
  </si>
  <si>
    <t xml:space="preserve">N.007696.01  </t>
  </si>
  <si>
    <t xml:space="preserve">N.012858.01  </t>
  </si>
  <si>
    <t xml:space="preserve">N.006986.42  </t>
  </si>
  <si>
    <t xml:space="preserve">N.005387.01  </t>
  </si>
  <si>
    <t xml:space="preserve">N.005389.01  </t>
  </si>
  <si>
    <t xml:space="preserve">N.007327.01  </t>
  </si>
  <si>
    <t xml:space="preserve">N.003185.01  </t>
  </si>
  <si>
    <t xml:space="preserve">N.001766.20  </t>
  </si>
  <si>
    <t xml:space="preserve">N.007076.01  </t>
  </si>
  <si>
    <t xml:space="preserve">N.006988.01  </t>
  </si>
  <si>
    <t xml:space="preserve">N.006381.01  </t>
  </si>
  <si>
    <t xml:space="preserve">N.006989.01  </t>
  </si>
  <si>
    <t xml:space="preserve">N.006990.01  </t>
  </si>
  <si>
    <t xml:space="preserve">N.005753.01  </t>
  </si>
  <si>
    <t xml:space="preserve">N.005640.01  </t>
  </si>
  <si>
    <t xml:space="preserve">N.006992.01  </t>
  </si>
  <si>
    <t xml:space="preserve">N.006996.01  </t>
  </si>
  <si>
    <t xml:space="preserve">N.003088.01  </t>
  </si>
  <si>
    <t xml:space="preserve">N.003283.02  </t>
  </si>
  <si>
    <t xml:space="preserve">N.007687.01  </t>
  </si>
  <si>
    <t xml:space="preserve">N.002005.01  </t>
  </si>
  <si>
    <t xml:space="preserve">N.007404.01  </t>
  </si>
  <si>
    <t xml:space="preserve">N.003264.01  </t>
  </si>
  <si>
    <t xml:space="preserve">N.001606.30  </t>
  </si>
  <si>
    <t xml:space="preserve">N.007668.03  </t>
  </si>
  <si>
    <t xml:space="preserve">N.007663.01  </t>
  </si>
  <si>
    <t xml:space="preserve">N.002934.03  </t>
  </si>
  <si>
    <t xml:space="preserve">N.007000.01  </t>
  </si>
  <si>
    <t xml:space="preserve">N.007019.01  </t>
  </si>
  <si>
    <t xml:space="preserve">N.007020.01  </t>
  </si>
  <si>
    <t xml:space="preserve">N.007021.01  </t>
  </si>
  <si>
    <t xml:space="preserve">N.007022.01  </t>
  </si>
  <si>
    <t xml:space="preserve">N.007023.01  </t>
  </si>
  <si>
    <t xml:space="preserve">N.007230.01  </t>
  </si>
  <si>
    <t xml:space="preserve">N.002968.02  </t>
  </si>
  <si>
    <t xml:space="preserve">N.002968.03  </t>
  </si>
  <si>
    <t xml:space="preserve">N.004759.01  </t>
  </si>
  <si>
    <t xml:space="preserve">N.003850.01  </t>
  </si>
  <si>
    <t xml:space="preserve">N.007034.01  </t>
  </si>
  <si>
    <t xml:space="preserve">N.004433.01  </t>
  </si>
  <si>
    <t xml:space="preserve">N.007035.01  </t>
  </si>
  <si>
    <t xml:space="preserve">N.007036.01  </t>
  </si>
  <si>
    <t xml:space="preserve">N.004286.01  </t>
  </si>
  <si>
    <t xml:space="preserve">N.007045.01  </t>
  </si>
  <si>
    <t xml:space="preserve">N.005370.01  </t>
  </si>
  <si>
    <t xml:space="preserve">N.005369.01  </t>
  </si>
  <si>
    <t xml:space="preserve">N.005368.01  </t>
  </si>
  <si>
    <t xml:space="preserve">N.005392.01  </t>
  </si>
  <si>
    <t xml:space="preserve">N.007232.01  </t>
  </si>
  <si>
    <t xml:space="preserve">N.005010.01  </t>
  </si>
  <si>
    <t xml:space="preserve">N.005010.02  </t>
  </si>
  <si>
    <t xml:space="preserve">N.005010.04  </t>
  </si>
  <si>
    <t xml:space="preserve">N.005027.01  </t>
  </si>
  <si>
    <t xml:space="preserve">N.005189.01  </t>
  </si>
  <si>
    <t xml:space="preserve">N.005189.02  </t>
  </si>
  <si>
    <t xml:space="preserve">N.005189.03  </t>
  </si>
  <si>
    <t xml:space="preserve">N.005189.04  </t>
  </si>
  <si>
    <t xml:space="preserve">N.005189.05  </t>
  </si>
  <si>
    <t xml:space="preserve">N.005351.01  </t>
  </si>
  <si>
    <t xml:space="preserve">N.005351.02  </t>
  </si>
  <si>
    <t xml:space="preserve">N.005351.03  </t>
  </si>
  <si>
    <t xml:space="preserve">N.005351.04  </t>
  </si>
  <si>
    <t xml:space="preserve">N.005351.06  </t>
  </si>
  <si>
    <t xml:space="preserve">N.007051.02  </t>
  </si>
  <si>
    <t xml:space="preserve">N.007051.03  </t>
  </si>
  <si>
    <t xml:space="preserve">N.006356.01  </t>
  </si>
  <si>
    <t xml:space="preserve">N.005423.01  </t>
  </si>
  <si>
    <t xml:space="preserve">N.005813.01  </t>
  </si>
  <si>
    <t xml:space="preserve">N.007053.01  </t>
  </si>
  <si>
    <t xml:space="preserve">N.007054.01  </t>
  </si>
  <si>
    <t xml:space="preserve">N.005769.01  </t>
  </si>
  <si>
    <t xml:space="preserve">N.007055.01  </t>
  </si>
  <si>
    <t xml:space="preserve">N.007056.01  </t>
  </si>
  <si>
    <t xml:space="preserve">N.007056.02  </t>
  </si>
  <si>
    <t xml:space="preserve">N.007056.03  </t>
  </si>
  <si>
    <t xml:space="preserve">N.007056.04  </t>
  </si>
  <si>
    <t xml:space="preserve">N.007056.05  </t>
  </si>
  <si>
    <t xml:space="preserve">N.007056.06  </t>
  </si>
  <si>
    <t xml:space="preserve">N.007056.08  </t>
  </si>
  <si>
    <t xml:space="preserve">N.007056.09  </t>
  </si>
  <si>
    <t xml:space="preserve">N.007056.10  </t>
  </si>
  <si>
    <t xml:space="preserve">N.007056.11  </t>
  </si>
  <si>
    <t xml:space="preserve">N.007056.12  </t>
  </si>
  <si>
    <t xml:space="preserve">N.007056.13  </t>
  </si>
  <si>
    <t xml:space="preserve">N.007056.14  </t>
  </si>
  <si>
    <t xml:space="preserve">N.007056.16  </t>
  </si>
  <si>
    <t xml:space="preserve">N.007056.17  </t>
  </si>
  <si>
    <t xml:space="preserve">N.007056.18  </t>
  </si>
  <si>
    <t xml:space="preserve">N.007235.01  </t>
  </si>
  <si>
    <t xml:space="preserve">N.004966.24  </t>
  </si>
  <si>
    <t xml:space="preserve">N.007235.02  </t>
  </si>
  <si>
    <t xml:space="preserve">N.008263.02  </t>
  </si>
  <si>
    <t xml:space="preserve">N.007235.03  </t>
  </si>
  <si>
    <t xml:space="preserve">N.004967.01  </t>
  </si>
  <si>
    <t xml:space="preserve">N.005219.06  </t>
  </si>
  <si>
    <t xml:space="preserve">N.007736.17  </t>
  </si>
  <si>
    <t xml:space="preserve">N.005201.04  </t>
  </si>
  <si>
    <t xml:space="preserve">N.005212.02  </t>
  </si>
  <si>
    <t xml:space="preserve">N.005222.01  </t>
  </si>
  <si>
    <t xml:space="preserve">N.005222.03  </t>
  </si>
  <si>
    <t xml:space="preserve">N.005222.04  </t>
  </si>
  <si>
    <t xml:space="preserve">N.005222.05  </t>
  </si>
  <si>
    <t xml:space="preserve">N.005364.03  </t>
  </si>
  <si>
    <t xml:space="preserve">N.007137.21  </t>
  </si>
  <si>
    <t xml:space="preserve">N.005343.02  </t>
  </si>
  <si>
    <t xml:space="preserve">N.005344.04  </t>
  </si>
  <si>
    <t xml:space="preserve">N.005345.01  </t>
  </si>
  <si>
    <t xml:space="preserve">N.005346.01  </t>
  </si>
  <si>
    <t xml:space="preserve">N.005800.01  </t>
  </si>
  <si>
    <t xml:space="preserve">N.005527.01  </t>
  </si>
  <si>
    <t xml:space="preserve">N.007236.01  </t>
  </si>
  <si>
    <t xml:space="preserve">N.006348.01  </t>
  </si>
  <si>
    <t xml:space="preserve">N.005639.01  </t>
  </si>
  <si>
    <t xml:space="preserve">N.007060.02  </t>
  </si>
  <si>
    <t xml:space="preserve">N.005683.01  </t>
  </si>
  <si>
    <t xml:space="preserve">N.005683.02  </t>
  </si>
  <si>
    <t xml:space="preserve">N.005683.03  </t>
  </si>
  <si>
    <t xml:space="preserve">N.005683.04  </t>
  </si>
  <si>
    <t xml:space="preserve">N.005683.05  </t>
  </si>
  <si>
    <t xml:space="preserve">N.005683.06  </t>
  </si>
  <si>
    <t xml:space="preserve">N.005683.07  </t>
  </si>
  <si>
    <t xml:space="preserve">N.005683.08  </t>
  </si>
  <si>
    <t xml:space="preserve">N.005683.09  </t>
  </si>
  <si>
    <t xml:space="preserve">N.005683.10  </t>
  </si>
  <si>
    <t xml:space="preserve">N.005683.11  </t>
  </si>
  <si>
    <t xml:space="preserve">N.005683.12  </t>
  </si>
  <si>
    <t xml:space="preserve">N.005683.13  </t>
  </si>
  <si>
    <t xml:space="preserve">N.005683.14  </t>
  </si>
  <si>
    <t xml:space="preserve">N.005683.15  </t>
  </si>
  <si>
    <t xml:space="preserve">N.005683.16  </t>
  </si>
  <si>
    <t xml:space="preserve">N.005683.17  </t>
  </si>
  <si>
    <t xml:space="preserve">N.005683.18  </t>
  </si>
  <si>
    <t xml:space="preserve">N.005683.19  </t>
  </si>
  <si>
    <t xml:space="preserve">N.005683.20  </t>
  </si>
  <si>
    <t xml:space="preserve">N.005683.21  </t>
  </si>
  <si>
    <t xml:space="preserve">N.005683.22  </t>
  </si>
  <si>
    <t xml:space="preserve">N.007062.01  </t>
  </si>
  <si>
    <t xml:space="preserve">N.007064.01  </t>
  </si>
  <si>
    <t xml:space="preserve">N.007065.01  </t>
  </si>
  <si>
    <t xml:space="preserve">N.006383.01  </t>
  </si>
  <si>
    <t xml:space="preserve">N.006380.01  </t>
  </si>
  <si>
    <t xml:space="preserve">N.007075.01  </t>
  </si>
  <si>
    <t xml:space="preserve">N.007145.01  </t>
  </si>
  <si>
    <t xml:space="preserve">N.007145.02  </t>
  </si>
  <si>
    <t xml:space="preserve">N.007145.03  </t>
  </si>
  <si>
    <t xml:space="preserve">N.007145.04  </t>
  </si>
  <si>
    <t xml:space="preserve">N.007145.05  </t>
  </si>
  <si>
    <t xml:space="preserve">N.007145.06  </t>
  </si>
  <si>
    <t xml:space="preserve">N.007145.07  </t>
  </si>
  <si>
    <t xml:space="preserve">N.007145.08  </t>
  </si>
  <si>
    <t xml:space="preserve">N.007145.09  </t>
  </si>
  <si>
    <t xml:space="preserve">N.007145.10  </t>
  </si>
  <si>
    <t xml:space="preserve">N.007145.11  </t>
  </si>
  <si>
    <t xml:space="preserve">N.007145.12  </t>
  </si>
  <si>
    <t xml:space="preserve">N.007145.13  </t>
  </si>
  <si>
    <t xml:space="preserve">N.007145.14  </t>
  </si>
  <si>
    <t xml:space="preserve">N.007145.15  </t>
  </si>
  <si>
    <t xml:space="preserve">N.007145.16  </t>
  </si>
  <si>
    <t xml:space="preserve">N.007145.17  </t>
  </si>
  <si>
    <t xml:space="preserve">N.007145.18  </t>
  </si>
  <si>
    <t xml:space="preserve">N.007145.19  </t>
  </si>
  <si>
    <t xml:space="preserve">N.007145.20  </t>
  </si>
  <si>
    <t xml:space="preserve">N.007145.21  </t>
  </si>
  <si>
    <t xml:space="preserve">N.007145.33  </t>
  </si>
  <si>
    <t>Noncoastal Sl</t>
  </si>
  <si>
    <t xml:space="preserve">N.007146.43  </t>
  </si>
  <si>
    <t xml:space="preserve">N.007147.41  </t>
  </si>
  <si>
    <t xml:space="preserve">N.007234.01  </t>
  </si>
  <si>
    <t xml:space="preserve">N.007368.10  </t>
  </si>
  <si>
    <t xml:space="preserve">N.007369.10  </t>
  </si>
  <si>
    <t xml:space="preserve">N.007371.10  </t>
  </si>
  <si>
    <t xml:space="preserve">N.007366.10  </t>
  </si>
  <si>
    <t xml:space="preserve">N.006383.03  </t>
  </si>
  <si>
    <t xml:space="preserve">N.007689.01  </t>
  </si>
  <si>
    <t>WATERCA</t>
  </si>
  <si>
    <t>XXXXXXX</t>
  </si>
  <si>
    <t>YYYYYYY</t>
  </si>
  <si>
    <t>ZZZZZZZ</t>
  </si>
  <si>
    <t>N/A</t>
  </si>
  <si>
    <t>Total Inflated cost</t>
  </si>
  <si>
    <t>Must be zero (ALL)</t>
  </si>
  <si>
    <t>LTP DC Applicable</t>
  </si>
  <si>
    <t>NZTA Funding</t>
  </si>
  <si>
    <t>WBS</t>
  </si>
  <si>
    <t>?</t>
  </si>
  <si>
    <t>Ports of Auckland Outfall Upgrade [01]</t>
  </si>
  <si>
    <t>N.009412</t>
  </si>
  <si>
    <t>PC3201340</t>
  </si>
  <si>
    <t>Ōkahu Bay Stormwater Separation [2538]</t>
  </si>
  <si>
    <t>N.004316</t>
  </si>
  <si>
    <t>PC3201408</t>
  </si>
  <si>
    <t>N.003645</t>
  </si>
  <si>
    <t>PC3201370</t>
  </si>
  <si>
    <t>Rosedale East Pond Upgrade [398]</t>
  </si>
  <si>
    <t>N.003660</t>
  </si>
  <si>
    <t>PC3201378</t>
  </si>
  <si>
    <t>N.012534</t>
  </si>
  <si>
    <t>PC3201349</t>
  </si>
  <si>
    <t>N.002790</t>
  </si>
  <si>
    <t>PC3201361</t>
  </si>
  <si>
    <t>SWAP_ Plan Changes for Housing Accord</t>
  </si>
  <si>
    <t>N.002793</t>
  </si>
  <si>
    <t>170-174 Queen Street Northcote Point [424]</t>
  </si>
  <si>
    <t>N.003651</t>
  </si>
  <si>
    <t>Grove Rd McLennan Box Culvert [1408]</t>
  </si>
  <si>
    <t>N.004317</t>
  </si>
  <si>
    <t>PC3201392</t>
  </si>
  <si>
    <t>SWG Parallel Funding&amp; IFA- Regional Fund [1397, 1410, 2418]</t>
  </si>
  <si>
    <t>N.004318</t>
  </si>
  <si>
    <t>PC3201403</t>
  </si>
  <si>
    <t>N.003813</t>
  </si>
  <si>
    <t>PC3201341</t>
  </si>
  <si>
    <t>Morgan St, Alba St , Clayton St - SW Upgrade/Separation, Newmarket [1295]</t>
  </si>
  <si>
    <t>N.003859</t>
  </si>
  <si>
    <t>PC3201388</t>
  </si>
  <si>
    <t>Kiri Place, Mairangi Bay [1257 &amp; 2442]</t>
  </si>
  <si>
    <t>N.003725</t>
  </si>
  <si>
    <t>Croftfield Lane Wetland Re-installation [412]</t>
  </si>
  <si>
    <t>N.009382</t>
  </si>
  <si>
    <t>PC3201368</t>
  </si>
  <si>
    <t>N.004568</t>
  </si>
  <si>
    <t>Sunnynook Park Dry Pond Upgrade [426]</t>
  </si>
  <si>
    <t>N.002857</t>
  </si>
  <si>
    <t>PC3201377</t>
  </si>
  <si>
    <t>Clinker Place New Lynn [1272]</t>
  </si>
  <si>
    <t>N.004314</t>
  </si>
  <si>
    <t>Waterview Separation [2141]</t>
  </si>
  <si>
    <t>N.004609</t>
  </si>
  <si>
    <t>N.004559</t>
  </si>
  <si>
    <t>N.004569</t>
  </si>
  <si>
    <t>N.004315</t>
  </si>
  <si>
    <t>PC3201407</t>
  </si>
  <si>
    <t>N.004566</t>
  </si>
  <si>
    <t>N.004562</t>
  </si>
  <si>
    <t>Awakeri Wetlands stage 1 [297]</t>
  </si>
  <si>
    <t>N.004319</t>
  </si>
  <si>
    <t>PC3201395</t>
  </si>
  <si>
    <t>Faulder Avenue and Fife Street Stormwater upgrade [1344]</t>
  </si>
  <si>
    <t>N.004695</t>
  </si>
  <si>
    <t>PC3201405</t>
  </si>
  <si>
    <t>N.005678</t>
  </si>
  <si>
    <t>Asbury Cres, Avenue of Remembrance &amp; Pupuke GC (Outfalls Pkg1) [2450] [2511] [2576]</t>
  </si>
  <si>
    <t>N.005676</t>
  </si>
  <si>
    <t>Tāmaki College flood mitigation [2118]</t>
  </si>
  <si>
    <t>N.004327</t>
  </si>
  <si>
    <t>PC3201402</t>
  </si>
  <si>
    <t>University of Auckland Khyber Pass Road [2429]</t>
  </si>
  <si>
    <t>N.004928</t>
  </si>
  <si>
    <t>Akoranga SW Pond Renewal [901]</t>
  </si>
  <si>
    <t>N.004923</t>
  </si>
  <si>
    <t>PC3201348</t>
  </si>
  <si>
    <t>Offset Mitigation Stanmore Bay Catchment [2504]</t>
  </si>
  <si>
    <t>N.006484</t>
  </si>
  <si>
    <t>PC3201369</t>
  </si>
  <si>
    <t>N.005801</t>
  </si>
  <si>
    <t>N.005762</t>
  </si>
  <si>
    <t>PC3201519</t>
  </si>
  <si>
    <t>N.005792</t>
  </si>
  <si>
    <t>N.005672</t>
  </si>
  <si>
    <t>SW Development/Growth Collaboration Work</t>
  </si>
  <si>
    <t>N.005782</t>
  </si>
  <si>
    <t>Awaruku Stream Remediation [2489]</t>
  </si>
  <si>
    <t>N.007281</t>
  </si>
  <si>
    <t>PC3201366</t>
  </si>
  <si>
    <t>Hurstmere Road Upgrade</t>
  </si>
  <si>
    <t>N.007078</t>
  </si>
  <si>
    <t>N.007360</t>
  </si>
  <si>
    <t>Luplau Crescent Urgent Stream Stabilisation</t>
  </si>
  <si>
    <t>N.007594</t>
  </si>
  <si>
    <t>Moa Avenue Urgent Stormwater Works</t>
  </si>
  <si>
    <t>N.007799</t>
  </si>
  <si>
    <t>Great North Road-Rewarewa Creek, New Lynn Culvert Upgrade</t>
  </si>
  <si>
    <t>N.007828</t>
  </si>
  <si>
    <t>Bollard Avenue Culvert Upgrade [1267]</t>
  </si>
  <si>
    <t>N.007608</t>
  </si>
  <si>
    <t>N.007820</t>
  </si>
  <si>
    <t>N.007819</t>
  </si>
  <si>
    <t>Rosebank Road to Whau River, Avondale</t>
  </si>
  <si>
    <t>N.007823</t>
  </si>
  <si>
    <t>St Marys Bay / Masefield Beach SW Upgrade [2547]</t>
  </si>
  <si>
    <t>N.007576</t>
  </si>
  <si>
    <t>Ōkahu Bay Outfall Diversion [2531]</t>
  </si>
  <si>
    <t>N.007578</t>
  </si>
  <si>
    <t>N.007590</t>
  </si>
  <si>
    <t>N.007589</t>
  </si>
  <si>
    <t>East Tāmaki Dam Upgrade [2500]</t>
  </si>
  <si>
    <t>N.007536</t>
  </si>
  <si>
    <t>N.007362</t>
  </si>
  <si>
    <t>PC3201338</t>
  </si>
  <si>
    <t>Line Road Flood Mitigation [2533]</t>
  </si>
  <si>
    <t>N.008251</t>
  </si>
  <si>
    <t>Chamberlain Park Offset Mitigation [2611]</t>
  </si>
  <si>
    <t>N.008254</t>
  </si>
  <si>
    <t>Freeland Reserve [1378]</t>
  </si>
  <si>
    <t>N.008252</t>
  </si>
  <si>
    <t>Oakley Creek Remediation at 15&amp;17 Mt Roskill Road &amp; 1304 Dominion Road [583]</t>
  </si>
  <si>
    <t>N.007902</t>
  </si>
  <si>
    <t>N.007947</t>
  </si>
  <si>
    <t>Tahi Road flood mitigation</t>
  </si>
  <si>
    <t>N.008261</t>
  </si>
  <si>
    <t>N.007863</t>
  </si>
  <si>
    <t>N.007822</t>
  </si>
  <si>
    <t>72-78 Malvern Road [556]</t>
  </si>
  <si>
    <t>N.007895</t>
  </si>
  <si>
    <t>Coles Crescent Flood Mitigation</t>
  </si>
  <si>
    <t>N.007836</t>
  </si>
  <si>
    <t>Outfalls Package 3 - Lincoln, Swanson and  Waiurutoa Catchments [2576]</t>
  </si>
  <si>
    <t>N.008309</t>
  </si>
  <si>
    <t>N.008268</t>
  </si>
  <si>
    <t>Matiatia Wharf Water Treatment Plant Upgrade</t>
  </si>
  <si>
    <t>N.008505</t>
  </si>
  <si>
    <t>N.008517</t>
  </si>
  <si>
    <t>PC3201376</t>
  </si>
  <si>
    <t>Central Akld SW &amp; WW CMP Model Build</t>
  </si>
  <si>
    <t>N.007498</t>
  </si>
  <si>
    <t>N.007011</t>
  </si>
  <si>
    <t>PC3201360</t>
  </si>
  <si>
    <t>N.007009</t>
  </si>
  <si>
    <t>Omaha Drive and Boat Ramp</t>
  </si>
  <si>
    <t>N.008327</t>
  </si>
  <si>
    <t>Darroch Slope, Omaha North - Ponding</t>
  </si>
  <si>
    <t>N.008328</t>
  </si>
  <si>
    <t>Day Dawn Cres/Thistle Terrace/Parry Court/ Darroch Slope -Flooding</t>
  </si>
  <si>
    <t>N.008329</t>
  </si>
  <si>
    <t>N.008330</t>
  </si>
  <si>
    <t>N.008378</t>
  </si>
  <si>
    <t>Westmere / Grey Lynn Stormwater Network Extension [2456],[2457],[2458],[2478]</t>
  </si>
  <si>
    <t>N.005791</t>
  </si>
  <si>
    <t>Wynyard Quarter Local Stormwater Reticulation Upgrades [2148]</t>
  </si>
  <si>
    <t>N.004845</t>
  </si>
  <si>
    <t>Chelsea Estate Stormwater Pipe Renewal [1102]</t>
  </si>
  <si>
    <t>N.002854</t>
  </si>
  <si>
    <t>PC3201339</t>
  </si>
  <si>
    <t>59 Blake Road Stormwatr Design Project[1306]</t>
  </si>
  <si>
    <t>N.004694</t>
  </si>
  <si>
    <t>Stanmore Road to Fife Street Stormwater Upgrade  [41] - Stanmore section</t>
  </si>
  <si>
    <t>N.009414</t>
  </si>
  <si>
    <t>PC3201346</t>
  </si>
  <si>
    <t>N.007008</t>
  </si>
  <si>
    <t>PC3201362</t>
  </si>
  <si>
    <t>N.007012</t>
  </si>
  <si>
    <t>PC3201347</t>
  </si>
  <si>
    <t>N.007014</t>
  </si>
  <si>
    <t>SWAR_Other Renewals  and Upgrades</t>
  </si>
  <si>
    <t>N.007015</t>
  </si>
  <si>
    <t>SWAR_Pond Renewal and Rehabilitation</t>
  </si>
  <si>
    <t>PC3201351</t>
  </si>
  <si>
    <t>N.002809</t>
  </si>
  <si>
    <t>PC3201352</t>
  </si>
  <si>
    <t>N.002810</t>
  </si>
  <si>
    <t>PC3201393</t>
  </si>
  <si>
    <t>N.004326</t>
  </si>
  <si>
    <t>SWG Takanini Conveyance Land Purchase [297]</t>
  </si>
  <si>
    <t>FY19 _HW_Manurewa</t>
  </si>
  <si>
    <t>N.002829</t>
  </si>
  <si>
    <t>N.003649</t>
  </si>
  <si>
    <t>N.003818</t>
  </si>
  <si>
    <t>N.002826</t>
  </si>
  <si>
    <t>N.012557</t>
  </si>
  <si>
    <t>N.006308</t>
  </si>
  <si>
    <t>Brylee Reserve SW Quality [320]</t>
  </si>
  <si>
    <t>PC3201400</t>
  </si>
  <si>
    <t>N.006292</t>
  </si>
  <si>
    <t>Hillcrest Creek Widening and Culvert [372]</t>
  </si>
  <si>
    <t>PC3201382</t>
  </si>
  <si>
    <t>N.009395</t>
  </si>
  <si>
    <t>Madills Farm Flood Attenuation  [4]</t>
  </si>
  <si>
    <t>PC3201390</t>
  </si>
  <si>
    <t>N.002849</t>
  </si>
  <si>
    <t>Te Auaunga Awa Oakley Walmsley &amp; Underwood Park Stream  [58]</t>
  </si>
  <si>
    <t>N.002842</t>
  </si>
  <si>
    <t>Sulphur Beach Flood Mitigation [482]</t>
  </si>
  <si>
    <t>N.012555</t>
  </si>
  <si>
    <t>Swaffield Rd  to Ashlynne &amp; Balance  Av Papatoetoe [1000] Stages 2 &amp; 3</t>
  </si>
  <si>
    <t>PC3201397</t>
  </si>
  <si>
    <t>N.009415</t>
  </si>
  <si>
    <t>Takanini School Rd Area 6A_6B, Popes Road  [347]</t>
  </si>
  <si>
    <t>PC3201394</t>
  </si>
  <si>
    <t>N.012517</t>
  </si>
  <si>
    <t>PC3201379</t>
  </si>
  <si>
    <t>N.001988</t>
  </si>
  <si>
    <t>Portland Road Remuera  [2532]</t>
  </si>
  <si>
    <t>PC3201374</t>
  </si>
  <si>
    <t>N.012477</t>
  </si>
  <si>
    <t>10708 - SW-Coastal outfalls - Regional [938]</t>
  </si>
  <si>
    <t>N.012516</t>
  </si>
  <si>
    <t>N.009418</t>
  </si>
  <si>
    <t>N.004793</t>
  </si>
  <si>
    <t>Lighter Quay Basin outfall [2147]</t>
  </si>
  <si>
    <t>N.005673</t>
  </si>
  <si>
    <t>N.005674</t>
  </si>
  <si>
    <t>N.005783</t>
  </si>
  <si>
    <t>N.005802</t>
  </si>
  <si>
    <t>Waitaro Stream, Corbans Reserve Culvert Upgrade [2403]</t>
  </si>
  <si>
    <t>PC3201391</t>
  </si>
  <si>
    <t>N.006434</t>
  </si>
  <si>
    <t>Ranfurly Road, Stages 6 [249 &amp; 250]</t>
  </si>
  <si>
    <t>PC3201492</t>
  </si>
  <si>
    <t>N.007056.03</t>
  </si>
  <si>
    <t>Stormwater Central Risk Fund</t>
  </si>
  <si>
    <t>N.007100</t>
  </si>
  <si>
    <t>N.007102</t>
  </si>
  <si>
    <t>N.005738</t>
  </si>
  <si>
    <t>Stormwater pipe relining</t>
  </si>
  <si>
    <t>N.007493</t>
  </si>
  <si>
    <t>32 Sharon Road, Cliff SW Outfall Renewal/Diversion &amp; Network Extension [1293]</t>
  </si>
  <si>
    <t>N.004073</t>
  </si>
  <si>
    <t>N.007497</t>
  </si>
  <si>
    <t>CANOPy Assessment for NDC</t>
  </si>
  <si>
    <t>N.008318</t>
  </si>
  <si>
    <t>N.008317</t>
  </si>
  <si>
    <t>21 St Georges Road, Avondale [2522]</t>
  </si>
  <si>
    <t>N.008333</t>
  </si>
  <si>
    <t>N.007833</t>
  </si>
  <si>
    <t>N.007904</t>
  </si>
  <si>
    <t>75 White Swan Road &amp; Somerset Rd Erosion</t>
  </si>
  <si>
    <t>N.007894</t>
  </si>
  <si>
    <t>Te Kanawa Crescent - Abel Tasman Avenue  New Stormwater Reticulation, Henderson</t>
  </si>
  <si>
    <t>N.007893</t>
  </si>
  <si>
    <t>Portage Road Flood Mitigation Project [2053]</t>
  </si>
  <si>
    <t>N.008248</t>
  </si>
  <si>
    <t>Water Street Stormwater Upgrade Project, Otahuhu [2433]</t>
  </si>
  <si>
    <t>N.008321</t>
  </si>
  <si>
    <t>N.008306</t>
  </si>
  <si>
    <t>Oruarangi (Airport Oaks) Stormwater Treatment Wetpond [491]</t>
  </si>
  <si>
    <t>N.008319</t>
  </si>
  <si>
    <t>Osman Street Flood Mitigation [969]</t>
  </si>
  <si>
    <t>N.008312</t>
  </si>
  <si>
    <t>Outfalls Package 2 - Whau and Massey Catchments [2576]</t>
  </si>
  <si>
    <t>N.008308</t>
  </si>
  <si>
    <t>Outfalls Package 4 - Cockle Bay, Mangere Inlet, Slippery Creek and Whangapouri Creek [2576]</t>
  </si>
  <si>
    <t>N.008320</t>
  </si>
  <si>
    <t>N.008332</t>
  </si>
  <si>
    <t>N.008381</t>
  </si>
  <si>
    <t>Totaravale Drive SW Network Upgrade [2592]</t>
  </si>
  <si>
    <t>N.008385</t>
  </si>
  <si>
    <t>N.008383</t>
  </si>
  <si>
    <t>Rosalind Road and Diana Drive SW Improvements [2588]</t>
  </si>
  <si>
    <t>N.008387</t>
  </si>
  <si>
    <t>N.008386</t>
  </si>
  <si>
    <t>Longwood Place and Springfield Street SW Improvements [2524]</t>
  </si>
  <si>
    <t>N.008384</t>
  </si>
  <si>
    <t>N.008388</t>
  </si>
  <si>
    <t>N.008382</t>
  </si>
  <si>
    <t>N.008380</t>
  </si>
  <si>
    <t>N.008389</t>
  </si>
  <si>
    <t>N.008325</t>
  </si>
  <si>
    <t>Awakeri  stage 2 Cosgrave Culvert</t>
  </si>
  <si>
    <t>N.008326</t>
  </si>
  <si>
    <t>Awakeri Stage 3</t>
  </si>
  <si>
    <t>PC3201373</t>
  </si>
  <si>
    <t>N.008322</t>
  </si>
  <si>
    <t>McArthur Avenue Stream Stabilisation [2569]</t>
  </si>
  <si>
    <t>N.008379</t>
  </si>
  <si>
    <t>Hayman Park Pond [229]</t>
  </si>
  <si>
    <t>N.008511</t>
  </si>
  <si>
    <t>6-10 Altona Road Forrest Hill Flood Mitigation [2529]</t>
  </si>
  <si>
    <t>N.008512</t>
  </si>
  <si>
    <t>Eastbourne Road Remuera Pipe Diversion [2621]</t>
  </si>
  <si>
    <t>N.008513</t>
  </si>
  <si>
    <t>Baltimore Place Conveyance and Inlet Upgrade [2506]</t>
  </si>
  <si>
    <t>PC3201371</t>
  </si>
  <si>
    <t>N.008514</t>
  </si>
  <si>
    <t>Fish Passage Improvement Programme 2019-2023</t>
  </si>
  <si>
    <t>N.008525</t>
  </si>
  <si>
    <t>Stanmore Road to Fife Street Stormwater Upgrade  [41] - Larchwood section</t>
  </si>
  <si>
    <t>N.008495</t>
  </si>
  <si>
    <t>Airport Oaks, Mangere stage 2 Wetland [491]</t>
  </si>
  <si>
    <t>FY19_HW_Waitemata North</t>
  </si>
  <si>
    <t>FY19_HW_Manukau Central (90%)</t>
  </si>
  <si>
    <t>FY19_HW_Otahuhu GPA 10%</t>
  </si>
  <si>
    <t>FY19_HW_Greater Tamaki GPA</t>
  </si>
  <si>
    <t>FY19_HW_Manurewa Papakura GPA</t>
  </si>
  <si>
    <t>FY19_HW_Manukau Central</t>
  </si>
  <si>
    <t>FY19_HW_Tamaki West 1</t>
  </si>
  <si>
    <t>FY19_HW_Tamaki East</t>
  </si>
  <si>
    <t>FY19_HW_East Coast Bays</t>
  </si>
  <si>
    <t>FY19_HW_Waitemata Central 1</t>
  </si>
  <si>
    <t>FY19_HW_City Centre GPA</t>
  </si>
  <si>
    <t>FY19_HW_Inner West Triangle GPA</t>
  </si>
  <si>
    <t>FY19_HW_Otahuhu GPA</t>
  </si>
  <si>
    <t>FY19_HW_Greater Takapuna GPA</t>
  </si>
  <si>
    <t>FY19_HW_Manukau North</t>
  </si>
  <si>
    <t>FY19_HW_Waitemata West</t>
  </si>
  <si>
    <t>FY19_HW_Metro Manukau GPA</t>
  </si>
  <si>
    <t>FY19_HW_Hibiscus Coast</t>
  </si>
  <si>
    <t>FY19_HW_Waitemata Central 2</t>
  </si>
  <si>
    <t>FY19_HW_Inner West Triangle GPA, FY19_HW_NORSGA GPA, FY19_HW_Waitemata Central 2, FY19_HW_Waitemata West</t>
  </si>
  <si>
    <t>FY19_HW_Waitakere Ranges, FY19_HW_Waitemata North, FY19_HW_Waitemata West</t>
  </si>
  <si>
    <t>FY19_HW_Manurewa Papakura GPA, FY19_HW_Manukau Central, FY19_HW_Manukau South, FY19_HW_Otahuhu GPA, FY19_HW_Other Auckland, FY19_HW_Pukekohe GPA, FY19_HW_Tamaki West 1, FY19_HW_Waiuku</t>
  </si>
  <si>
    <t>FY19_HW_Inner West Triangle GPA, FY19_HW_Waitemata West</t>
  </si>
  <si>
    <t>SWCatchment &amp; Asset Planning_Hibiscus Coast</t>
  </si>
  <si>
    <t>SWCatchment &amp; Asset Planning_Hauraki Gulf Islands</t>
  </si>
  <si>
    <t>SWCatchment &amp; Asset Planning_Wairoa</t>
  </si>
  <si>
    <t>SWCatchment &amp; Asset Planning_Regional</t>
  </si>
  <si>
    <t>SWCatchment &amp; Asset Planning_Contaminant load model</t>
  </si>
  <si>
    <t>SWCatchment &amp; Asset Planning_ Asset systems and data</t>
  </si>
  <si>
    <t>SWCatchment &amp; Asset Planning_ Critical assets and asset risk</t>
  </si>
  <si>
    <t>SWCatchment &amp; Asset Planning_ Asset Consents</t>
  </si>
  <si>
    <t>FY19 _HW_Urban Auckland</t>
  </si>
  <si>
    <t>Mangere 1 Growth Collaboration</t>
  </si>
  <si>
    <t>Mangere 2 Growth Collaboration</t>
  </si>
  <si>
    <t>Oranga Growth Collaboration</t>
  </si>
  <si>
    <t>Tamaki Growth Collaboration</t>
  </si>
  <si>
    <t>Northcote Growth Collaboration</t>
  </si>
  <si>
    <t>Mt Roskill Growth Collaboration 1</t>
  </si>
  <si>
    <t>Mt Roskill Growth Collaboration 2</t>
  </si>
  <si>
    <t>Mt Roskill Growth Collaboration 3</t>
  </si>
  <si>
    <t>FY19_HW_Inner West Triangle GPA (60%)</t>
  </si>
  <si>
    <t>FY19_HW_Waitemata Central (30%) Manukau North (10%)</t>
  </si>
  <si>
    <t>FY19_HW_ Manukau North (10%)</t>
  </si>
  <si>
    <r>
      <t>P+D519:AK519</t>
    </r>
    <r>
      <rPr>
        <sz val="7.2"/>
        <rFont val="Calibri"/>
        <family val="2"/>
      </rPr>
      <t>+D519:W519</t>
    </r>
    <r>
      <rPr>
        <sz val="9"/>
        <rFont val="Calibri"/>
        <family val="2"/>
        <scheme val="minor"/>
      </rPr>
      <t>C3201389</t>
    </r>
  </si>
  <si>
    <t>WIder</t>
  </si>
  <si>
    <t>Trans</t>
  </si>
  <si>
    <t>General Park Development (Redhills)</t>
  </si>
  <si>
    <t>General Park Development (Takanini-AR)</t>
  </si>
  <si>
    <t>Improvements Alexander Underpass</t>
  </si>
  <si>
    <t>General Park Development (Auckland Domain St1)</t>
  </si>
  <si>
    <t>General Park Development (East View Reserve)</t>
  </si>
  <si>
    <t>General Park Development (Long Bay 6,7,10,11,13)</t>
  </si>
  <si>
    <t>General Park Development (Hayman Park Stage 1 )</t>
  </si>
  <si>
    <t>General Park Development (Hingaia Park)</t>
  </si>
  <si>
    <t>General Park Development (Maybury Reserve)</t>
  </si>
  <si>
    <t>General Park Development (Metro Park West )</t>
  </si>
  <si>
    <t>Masterplan Priorities (Panmure Basin)</t>
  </si>
  <si>
    <t>General Park Development (Taniwha Reserve)</t>
  </si>
  <si>
    <t>Natural Play (Auckland Domain)</t>
  </si>
  <si>
    <t>Playspace (Hadfields Beach)</t>
  </si>
  <si>
    <t>Playground (Eugenia Rise Reserve)</t>
  </si>
  <si>
    <t>Playspace (Moire Park)</t>
  </si>
  <si>
    <t>Playground (Waimahia Reserve)</t>
  </si>
  <si>
    <t>Playground (Kahawairahi Drive Reserve)</t>
  </si>
  <si>
    <t>Te Whau Pathway Project Suite</t>
  </si>
  <si>
    <t>Walkways (Lake Pupuke South and Foreshore Structure)</t>
  </si>
  <si>
    <t>Walkways (Lake Pupuke Northern)</t>
  </si>
  <si>
    <t>Walkways (Norana Park)</t>
  </si>
  <si>
    <t>Walkways (Ōrākei Spine shared Path and Links)</t>
  </si>
  <si>
    <t>Greenways Link (Otahuhu Portage)</t>
  </si>
  <si>
    <t>Cycleways and Walkways (Kowhai Park Reserve)</t>
  </si>
  <si>
    <t>Walkways (Rautawhiri Park)</t>
  </si>
  <si>
    <t>Improvements (Tahapa Reserve East)</t>
  </si>
  <si>
    <t>Walkways (Tamaki Estuary stage 2)</t>
  </si>
  <si>
    <t>Walkways (Tamaki Greenways Shared Path)</t>
  </si>
  <si>
    <t>Sportsfield Turf Farming</t>
  </si>
  <si>
    <t>Lighting (Allen Hill Reserve)</t>
  </si>
  <si>
    <t>Sportsfield Upgrade (Becroft Park fields 2 &amp; 3)</t>
  </si>
  <si>
    <t>Development (Brains Park)</t>
  </si>
  <si>
    <t>Sportsfield Upgrade and Lighting (Chamberlain Park stage 5)</t>
  </si>
  <si>
    <t>Sportsfield Upgrade (Colin Maiden Park Stage 3)</t>
  </si>
  <si>
    <t>Development (Deep Creek Reserve)</t>
  </si>
  <si>
    <t>Sportsfield Development and Lighting (Fowlds Park fields 2 and 3)</t>
  </si>
  <si>
    <t>Sportsfield Upgrade and Lighting Investigation (Franklin)</t>
  </si>
  <si>
    <t>Lighting (Freyberg Park field 3)</t>
  </si>
  <si>
    <t>Lighting (Waikaraka Park stage 4)</t>
  </si>
  <si>
    <t>New Changing Rooms (Grey Lynn Park)</t>
  </si>
  <si>
    <t>Toilet (Gulf Harbour Reserve)</t>
  </si>
  <si>
    <t>Development (Huapai Recreation Reserve)</t>
  </si>
  <si>
    <t>Changing Rooms and Toilet (Keith Hay Park)</t>
  </si>
  <si>
    <t>Lighting (Keith Hay Park)</t>
  </si>
  <si>
    <t>Lighting (Madills Farm fields 2 and 3)</t>
  </si>
  <si>
    <t>Sportsfield Upgrade (Ken Maunder Park Fields 3 and 4)</t>
  </si>
  <si>
    <t>Sportsfield Upgrade and Lighting Investigation (Manurewa)</t>
  </si>
  <si>
    <t>Sportsfield Development (Massey Domain)</t>
  </si>
  <si>
    <t>Sportsfield Development (Metro Park hockey field)</t>
  </si>
  <si>
    <t>Lighting and Acoustics (Michaels Avenue Reserve)</t>
  </si>
  <si>
    <t>Sportsfield</t>
  </si>
  <si>
    <t>Development (Moire Park)</t>
  </si>
  <si>
    <t>Sandcarpet and Lighting (Moyle Park)</t>
  </si>
  <si>
    <t>Sandcarpet and lighting (Onetangi Domain field 3)</t>
  </si>
  <si>
    <t>Changing Room and Toilet (Opaheke Reserve)</t>
  </si>
  <si>
    <t>Development (Opaheke Reserve)</t>
  </si>
  <si>
    <t>Sportsfield Upgrade and Lighting Investigation (Otara-Papatoetoe)</t>
  </si>
  <si>
    <t>Changing Room and Toilets (Phyllis Reserve Stage 2)</t>
  </si>
  <si>
    <t>Sandcarpet and Lighting (Red Beach Park)</t>
  </si>
  <si>
    <t>Toilet (Red Beach Park)</t>
  </si>
  <si>
    <t>Sportsfield Development (Scott Point)</t>
  </si>
  <si>
    <t>Sportsfield Upgrade (Sister Rene Shadbolt Park field 2)</t>
  </si>
  <si>
    <t>Sportsfield Upgrade and Lighting (Sunnynook Park)</t>
  </si>
  <si>
    <t>Increase Light Capacity (Te Pai Park Netball courts)</t>
  </si>
  <si>
    <t>Changing Rooms (Te Puke o Tara Sports Park)</t>
  </si>
  <si>
    <t>Sandcarpet (Three Kings Reserve field 1)</t>
  </si>
  <si>
    <t>Sportsfield Improvement (Waikaraka Park fields 8, 9 and 10)</t>
  </si>
  <si>
    <t>Sportsfield Upgrade and Lighting Investigation (Waitakere Ranges)</t>
  </si>
  <si>
    <t>Sandcarpet and Lighting (Williams Park)</t>
  </si>
  <si>
    <t>Sportsfield Upgrade and Lighting Investigation (Hibiscus and Bays)</t>
  </si>
  <si>
    <t>Sportsfield Upgrade and Lighting Investigation (Henderson-Massey)</t>
  </si>
  <si>
    <t>Library portion Removed</t>
  </si>
  <si>
    <t>Community house development (Hobsonville Point)</t>
  </si>
  <si>
    <t>Multi-sport Facility(Ngati Otara Park)</t>
  </si>
  <si>
    <t>Playscape (Crown Lynn Park)</t>
  </si>
  <si>
    <t>Community centre (Manurewa)</t>
  </si>
  <si>
    <t>Fearon Pk-Harold Long Res Linkage</t>
  </si>
  <si>
    <t>Sportspark Development (Waikaraka Park)</t>
  </si>
  <si>
    <t>Walkways and Cycleway (Flat Bush)</t>
  </si>
  <si>
    <t>Unlock Northcote - Lake Road Upgrade</t>
  </si>
  <si>
    <t>Unlock Northcote - Greenway and Reserves</t>
  </si>
  <si>
    <t>Unlock Northcote  - Town Centre Upgrade</t>
  </si>
  <si>
    <t>Unlock Northcote - Community Hub</t>
  </si>
  <si>
    <t>NZTA Funding (In Principle)</t>
  </si>
  <si>
    <t>SW_G_Growth area parallel funding - Nesdale Ave Pond</t>
  </si>
  <si>
    <t>AMETI Eastern Busway Pakuranga Bus Station and Reeves Road Flyover</t>
  </si>
  <si>
    <t>AMETI Morin to Merton; Package 1</t>
  </si>
  <si>
    <t>Daldy Street Upgrade</t>
  </si>
  <si>
    <t>Hingaia Kuhanui Stage 1</t>
  </si>
  <si>
    <t>Neighbourhood Park Land Acquisition - North</t>
  </si>
  <si>
    <t>Neighbourhood Park Land Acquisition - South</t>
  </si>
  <si>
    <t>Neighbourhood Park Land Acquisition - Brownfield</t>
  </si>
  <si>
    <t>Neighbourhood Park Land Acquisition - Rural North</t>
  </si>
  <si>
    <t>Neighbourhood Park Land Acquisition - Northwest</t>
  </si>
  <si>
    <t>Neighbourhood Park Land Acquisition - Urban</t>
  </si>
  <si>
    <t>Suburb Park Land Acquisition - Urban</t>
  </si>
  <si>
    <t>Northwest</t>
  </si>
  <si>
    <t>Opaheke Drury</t>
  </si>
  <si>
    <t>Auckland Wide Less Parallel</t>
  </si>
  <si>
    <t>Dairyflat / Wainui / Silverdale</t>
  </si>
  <si>
    <t>Greater Takami</t>
  </si>
  <si>
    <t>NorthWest</t>
  </si>
  <si>
    <t>Hauraki Gulf Islands</t>
  </si>
  <si>
    <t>Redhills</t>
  </si>
  <si>
    <t>Auckland Wide Less DS</t>
  </si>
  <si>
    <t>Blenheim Street, Glenfield, SW Renewals and Improvements [2618](70%)</t>
  </si>
  <si>
    <t>Blenheim Street, Glenfield, SW Renewals and Improvements [2618](30%)</t>
  </si>
  <si>
    <t>Mainland</t>
  </si>
  <si>
    <t>FY19 _HW_Hauraki Gulf Islands</t>
  </si>
  <si>
    <t>Art Zone 2</t>
  </si>
  <si>
    <t>Waiheke</t>
  </si>
  <si>
    <t>Artillery Drive Tunnel to inlet [280] (81%)</t>
  </si>
  <si>
    <t>Artillery Drive Tunnel to inlet [280] (19%)</t>
  </si>
  <si>
    <t xml:space="preserve"> FY19_HW_Manukau Central</t>
  </si>
  <si>
    <t xml:space="preserve"> FY19_HW_Tamaki West 1</t>
  </si>
  <si>
    <t>CI SPLIT A12, A11, A13, A19</t>
  </si>
  <si>
    <t>CI SPLIT A21 - A26</t>
  </si>
  <si>
    <t>OTHER</t>
  </si>
  <si>
    <t>Filter total</t>
  </si>
  <si>
    <t>Grand total</t>
  </si>
  <si>
    <t>Bring forward of FUTURE interest calculation and NOW interest</t>
  </si>
  <si>
    <t>Data copied from AC DC FM_2018_180917</t>
  </si>
  <si>
    <t>Because of the new catchment the bringing forward of first three years of the future interest must be apportion.</t>
  </si>
  <si>
    <t>The apportioning is based on the first three years of the future interest from the previous DC LTP model using the historic and planned capex for each catchment by the total historic and planned capex for that activity.</t>
  </si>
  <si>
    <t>The historic and planned capex is from the new DC model (CAM)</t>
  </si>
  <si>
    <t>The interest figures in this sheet were taken from the LGA DC change funding model.</t>
  </si>
  <si>
    <t>Interest now from 2016 amended policy (Alex feedback)</t>
  </si>
  <si>
    <t>Current activity and catchment code</t>
  </si>
  <si>
    <t>New activity and catchment code</t>
  </si>
  <si>
    <t>2012-2022 LTP bfwd</t>
  </si>
  <si>
    <t>Amount paid off</t>
  </si>
  <si>
    <t>Amount to be spread over 2019 to 2025</t>
  </si>
  <si>
    <t>2015-2025 LTP 2016 bfwd</t>
  </si>
  <si>
    <t>2015-2025 LTP 2017 bfwd</t>
  </si>
  <si>
    <t>2015-2025 LTP 2018 bfwd</t>
  </si>
  <si>
    <t>2015-2025 LTP bfwd</t>
  </si>
  <si>
    <t>2015-2025 LTP bfwd spread over 10 years</t>
  </si>
  <si>
    <t>FDC Catchment Management Plan Projects - Stormwater A Zone</t>
  </si>
  <si>
    <t>FDC Catchment Management Plan Projects - Stormwater B Zone</t>
  </si>
  <si>
    <t>DC revenue for allocation  based on data from Rev FY161718_new tab</t>
  </si>
  <si>
    <t>OSD A15 and OSD A16 or CI</t>
  </si>
  <si>
    <t>Is there surplus to allocate</t>
  </si>
  <si>
    <t>Surplus to be allocated</t>
  </si>
  <si>
    <t>Apportion surplus</t>
  </si>
  <si>
    <t>New remaining DC capex cost</t>
  </si>
  <si>
    <t>Prior to deleting 0's and negatives</t>
  </si>
  <si>
    <t>Supluses for allocation</t>
  </si>
  <si>
    <t>Hard code of Surpluses for allocation</t>
  </si>
  <si>
    <t>Prepaid DC revenue for this activity and funding area</t>
  </si>
  <si>
    <t>Retained DC revenue for this activity and funding area</t>
  </si>
  <si>
    <t>Check of 2ND decade remaining capex</t>
  </si>
  <si>
    <t>Omaha / Matakana</t>
  </si>
  <si>
    <t>Hard code of repayment</t>
  </si>
  <si>
    <t>% from revenue tab</t>
  </si>
  <si>
    <t>Northwest Greenfield</t>
  </si>
  <si>
    <t>North Greenfield</t>
  </si>
  <si>
    <t>South Greenfield</t>
  </si>
  <si>
    <t>Repayment funded from asset sales</t>
  </si>
  <si>
    <t>Hard code of Repayment funded from asset sales</t>
  </si>
  <si>
    <t>Rural North</t>
  </si>
  <si>
    <t>Rural South</t>
  </si>
  <si>
    <t>Seal Extensions - North</t>
  </si>
  <si>
    <t>Seal Extensions - West</t>
  </si>
  <si>
    <t>Seal Extensions - South</t>
  </si>
  <si>
    <t>Seal Extensions - Hauraki Gulf Islands</t>
  </si>
  <si>
    <t>Seal Extensions - Northwest</t>
  </si>
  <si>
    <t>AMETI Busway Panmure to Botany</t>
  </si>
  <si>
    <t>Library Collections (New Builds)</t>
  </si>
  <si>
    <t>Neighbourhood Park Land Acquisition - Rural North Upper</t>
  </si>
  <si>
    <t>Stormwater Infrastructure (Redhills)</t>
  </si>
  <si>
    <t>SW Catchment Management Plans (Oratia)</t>
  </si>
  <si>
    <t>Playground (Ray Faussett Reserve)</t>
  </si>
  <si>
    <t>Park Development and Community Hall [Growth]</t>
  </si>
  <si>
    <t>Sports and Local Park Development</t>
  </si>
  <si>
    <t>Carpark (Redhills)</t>
  </si>
  <si>
    <t>Development (Styak-Lushington Park)</t>
  </si>
  <si>
    <t>Waiatarua Reserve Car Park Development</t>
  </si>
  <si>
    <t>Cost attributable to existing (E) 
includes payments received</t>
  </si>
  <si>
    <t>Project/Programme Clarification</t>
  </si>
  <si>
    <t>Delivery of localised bus priority improvements across Auckland to support the roll out of the new bus networks</t>
  </si>
  <si>
    <t>Programme to enhance safety, security and amenities at Metro train stations and terminals region wide, as well as bus stops, minor improvements at stations, wharves and provision of PT information</t>
  </si>
  <si>
    <t>Bus priority measures on Albert and Vincent Streets to improve journey time and reliability between Karangahape Road and Britomart</t>
  </si>
  <si>
    <t>Delivery of bus infrastructure in the CBD, including bus priority along Wellesley Street, a new Learning Quarter bus interchange</t>
  </si>
  <si>
    <t>Delivery of new bus interchanges on Quay St East and Lower Albert St, in conjunction with CRL and Council Downtown projects</t>
  </si>
  <si>
    <t>Construction of a new Downtown Ferry Terminal to accommodate future growth and expansion of services</t>
  </si>
  <si>
    <t>The replacement of Piers 3 and 4 to Queens Wharf West and additional services</t>
  </si>
  <si>
    <t>Programme to allow AT to proactively work with developers to improve transport outcomes associated with new developments</t>
  </si>
  <si>
    <t>Progress the delivery of Red Light Cameras at high risk urban intersections within the Auckland Region</t>
  </si>
  <si>
    <t>Road Safety Programme</t>
  </si>
  <si>
    <t>A package of small scale initiatives such as synchronisation of traffic signals, best-use road layout, first-and-final leg trials and implementation, dynamic lanes at highest congestion locations, targeted freight movement improvements, upgrades to traffic light management system to enable smarter intersections, BIG DATA real-time multi modal network performance and congestion monitoring system, ferry interpeak/weekend trials and implementation, and targeted local bus capacity and resilience enhancements</t>
  </si>
  <si>
    <t>A programme to take advantage of emerging technologies to manage congestion, improve safety and influence travel demand</t>
  </si>
  <si>
    <t>Phases 1 of the Albany Park and Ride extension to increase capacity and patronage on the Northern Busway</t>
  </si>
  <si>
    <t>Replace and expand existing Matiatia Park and Ride to cater for projected increase in demand to and from Waiheke</t>
  </si>
  <si>
    <t>Delivery of a new multi-storey facility on the site of the existing Papakura Park and Ride, to increase patronage on the rail network</t>
  </si>
  <si>
    <t>Park and Ride (Papakura)</t>
  </si>
  <si>
    <t>Park and Ride (Albany Extension Stage 1)</t>
  </si>
  <si>
    <t xml:space="preserve">Delivery of new and extended Park and Ride facilities </t>
  </si>
  <si>
    <t xml:space="preserve">Programme of delivering seal extensions to the region's highest priority unsealed roads.  </t>
  </si>
  <si>
    <t>Completion of the current Urban Cycleways Programme</t>
  </si>
  <si>
    <t>Walking and cycling programme focuses on achieving maximum impact for short trips to the city centre, public transit interchanges, schools and local and metropolitan centres</t>
  </si>
  <si>
    <t>Programme to improve airport access, including Puhinui bus-rail interchange upgrade and a range of other measures including localised bus priority and walking/cycling improvements.  Investigation, Route Protection and Capex</t>
  </si>
  <si>
    <t>Programme to improve airport access, including Puhinui bus-rail interchange upgrade and a range of other measures including localised bus priority and walking/cycling improvements. Investigation, Route Protection and Capex.</t>
  </si>
  <si>
    <t>Investigation, design and construction of a new bus station at Pakuranga town centre and the new Reeves Road Flyover</t>
  </si>
  <si>
    <t>Construction of a signalised Panmure Roundabout accommodating bus priority, a new two-lane busway, pedestrian and cyclist facilities from the roundabout to Pakuranga Road/Ti Rakau Road intersection, a new one-lane each way Panmure Bridge and upgrades to the existing bridge</t>
  </si>
  <si>
    <t>Investigation, design and construction of a new busway between Pakuranga town centre and Botany, new and improved walking and cycling facilities along Ti Rakau Drive, and upgrades to Pakuranga Creek Bridge to accommodate busway, pedestrian and cyclist facilities</t>
  </si>
  <si>
    <t>Investigation, design and construction of a new bus station facility at Botany Town Centre</t>
  </si>
  <si>
    <t>A new Rosedale bus station, and improvements to the existing Constellation bus station, associated with the extension of the Northern Busway to Albany</t>
  </si>
  <si>
    <t>Purchase of new 3 car EMUs to provide increased train frequencies and provide additional capacity to respond to patronage growth</t>
  </si>
  <si>
    <t>Purchase of new EMUs to allow electric rail services to be extended to Pukekohe and to provide additional capacity on the rail network</t>
  </si>
  <si>
    <t>Extension to stabling facilities associated with the purchase of additional EMUs</t>
  </si>
  <si>
    <t>Widening of Dairy Flat Highway, replacement of Lucas Creek bridge and signalisation of The Avenue/Dairy Flat Highway Intersection</t>
  </si>
  <si>
    <t>Corridor improvements, including road widening and upgrading intersections to support the Long Bay development area</t>
  </si>
  <si>
    <t>A connection between State Highway 1 and Matakana Road</t>
  </si>
  <si>
    <t>Improvements to both Lake and Esmonde Road to improve people moving capacity and reduce journey time unreliability</t>
  </si>
  <si>
    <t xml:space="preserve">A new connection between the Northern Motorway and the Whangaparāoa Peninsula, bypassing the constrained Silverdale interchange. </t>
  </si>
  <si>
    <t>Provision of intersection improvements, bus lanes and new bus facilities to support the UNITEC precinct redevelopment, which is expected to provide 3000 - 4000 new homes in addition to servicing the current 19,000 students on campus</t>
  </si>
  <si>
    <t>Mitigation works to safely allow the passage of double decker buses, addressing risks such as street signage, street furniture, low hanging power or phone lines, overhanging trees and low bridge structures</t>
  </si>
  <si>
    <t>New bus link and bus station to Sylvia Park with walking and cycling improvements</t>
  </si>
  <si>
    <t>To improve the pedestrian and cycle connection on Ngapipi Bridge adjacent to the Tamaki Drive/ Ngapipi Road intersection</t>
  </si>
  <si>
    <t>Providing road upgrades within the Wynyard Quarter precinct as per Plan Change 4</t>
  </si>
  <si>
    <t>Lincoln Road widening between Te Pai Place and the Northwestern Motorway to accommodate additional transit/bus lanes on both sides, as well as intersection improvements, footpath widening for both pedestrians and cyclists, and installing a solid median</t>
  </si>
  <si>
    <t>Hingaia Oakland Rd/Hingaia Rd Intersection</t>
  </si>
  <si>
    <t>Hingaia Park Estate Rd/Great S Rd Intersection</t>
  </si>
  <si>
    <t>Hingaia Park Estate Rd/SH1 Pedestrian &amp; Cycle Bridge</t>
  </si>
  <si>
    <t>Projects supporting the Hingaia SHA</t>
  </si>
  <si>
    <t>Part of the Flat Bush Road network upgrade package, focussing on Murphy's Road from south of Ormiston Road to north of Flat Bush School Rd to construct a four lane urban arterial road</t>
  </si>
  <si>
    <t>Widening Smales and Allens Roads near their intersection and upgrading the intersection with Springs and Harris Roads by providing more lanes to increase capacity</t>
  </si>
  <si>
    <t>Delivery of the proposed Mill Road Corridor (phase 1) providing additional strategic North-South corridor for South Auckland, connecting Manukau and Drury to the east of the Southern Motorway</t>
  </si>
  <si>
    <t>Delivery of whole of route bus priority improvements across Auckland to support the roll out of the new bus networks</t>
  </si>
  <si>
    <t>To facilitate investigation and route protection for high priority projects in growth areas</t>
  </si>
  <si>
    <t>New Redhills connection to urban arterial standard with appropriate public transport and active mode provision</t>
  </si>
  <si>
    <t>Upgrade of existing corridor on Trig Road to urban arterial standard with appropriate public transport and active mode provision</t>
  </si>
  <si>
    <t>Station Road re-alignment and signalisation of SH16</t>
  </si>
  <si>
    <t>New link road connecting Gills Road to Oteha Valley Road / Appian Way Roundabout</t>
  </si>
  <si>
    <t>A two-way link road between Fairview Avenue and the existing Medallion Drive with pedestrian and cycle facilities</t>
  </si>
  <si>
    <t>Construction of spine road stage 1 and ancillary works to unlock the Ararimu Precinct</t>
  </si>
  <si>
    <t>Local road upgrades, improvements to Glen Innes town centre and enhanced linkages to public transport delivered in conjunction with the Tamaki Regeneration Project</t>
  </si>
  <si>
    <t>Infrastructure programme to support Wainui growth area</t>
  </si>
  <si>
    <t>Library Collections (ACC)</t>
  </si>
  <si>
    <t>General Park Development (ACC)</t>
  </si>
  <si>
    <t>Road base (ACC)</t>
  </si>
  <si>
    <t>Stormwater flood alleviation (ACC)</t>
  </si>
  <si>
    <t>SW Programme - design &amp; management Plan (ACC)</t>
  </si>
  <si>
    <t>Waiheke Service Centre</t>
  </si>
  <si>
    <t>Sports Parks development (MCC)</t>
  </si>
  <si>
    <t>Premier Park Development (MCC)</t>
  </si>
  <si>
    <t>Maritime Recreational Fund Development (MCC)</t>
  </si>
  <si>
    <t>Building Upgrades (WCC)</t>
  </si>
  <si>
    <t>Playground Upgrades (WCC)</t>
  </si>
  <si>
    <t>New 1000m2 public square, and associated road layout as part of major redevelopment</t>
  </si>
  <si>
    <t>Off-street walking and cycling facilities, and enhanced public amenity within the streetscape for 2000 additional dwellings</t>
  </si>
  <si>
    <t>To provide a multi-functional public greenspace linking the communities adjacent to the town centre for 2000 additional dwellings</t>
  </si>
  <si>
    <t>New community facility as part of major redevelopment to serve 2000 additional dwellings</t>
  </si>
  <si>
    <t>Playground (Matua Road Huapai)</t>
  </si>
  <si>
    <t>Carpark (Botanic Gardens Overflow)</t>
  </si>
  <si>
    <t>Upgrade (Jubilee bridge)</t>
  </si>
  <si>
    <t>Footpath Construction 2004-2008 [Growth Portion Only] (WCC)</t>
  </si>
  <si>
    <t>Auckland Art Gallery</t>
  </si>
  <si>
    <t>Sports Park (Pukekohe West )</t>
  </si>
  <si>
    <t>Intelligent Transport Systems</t>
  </si>
  <si>
    <t>City Rail Link</t>
  </si>
  <si>
    <t>Increasing stormwater infrastructure to support growth in the area and improve water quality.</t>
  </si>
  <si>
    <t>Stormwater infrastructure to enable development of the Redhills area</t>
  </si>
  <si>
    <t>Stormwater infrastructure to enable development</t>
  </si>
  <si>
    <t>Enabling work to support regionwide growth</t>
  </si>
  <si>
    <t>The development of Regional IP assets such as the regional overland flow path mapping, procuring LIDAR datasets and depression mapping to support growth</t>
  </si>
  <si>
    <t>To mitigate flooding issues caused by the limited capacity of the existing network and to facilitate growth</t>
  </si>
  <si>
    <t>To mitigate environmental issues and to increase capacity of the existing network</t>
  </si>
  <si>
    <t>A new stormwater wetland in the Brylee Reserve to provide treatment quality for the upstream urban catchment and to increase capacity</t>
  </si>
  <si>
    <t>Ocean View / Saltburn Cecil Renewal and Upgrade[2137]</t>
  </si>
  <si>
    <t>A number of stormwater pipes are in poor condition and need to be rehabilitated and increase capacity.</t>
  </si>
  <si>
    <t>Flood mitigation and improvement by replacing and up-sizing the stormwater network</t>
  </si>
  <si>
    <t>Increase capacity of inlets/outlets  that are restricting flows and/or causing blockages</t>
  </si>
  <si>
    <t>Investigation, design and construction of new stormwater systems to improve condition and capacity of existing lines</t>
  </si>
  <si>
    <t>25 Derrimore Heights, Otara; New stormwater system [170]</t>
  </si>
  <si>
    <t>Mitigate frequent flooding of commercial properties by upgrading and increasing capacity of the stormwater network in the area</t>
  </si>
  <si>
    <t>Picton Street 1-27 Stormwater Upgrade[46]</t>
  </si>
  <si>
    <t>New stormwater pipe to complete the network in the catchment area and increase capacity</t>
  </si>
  <si>
    <t>To design and construct wetland pond to improve water quality and increase capacity  in the Oruarangi Creek and Manukau Harbour.</t>
  </si>
  <si>
    <t>New stormwater pipe to increase capacity of the network</t>
  </si>
  <si>
    <t>Pipe renewal to increase capacity of stormwater network</t>
  </si>
  <si>
    <t>Great North Rd and Cartwright Road Pipe Renewal and Upgrade Stage 1 [2619]</t>
  </si>
  <si>
    <t>Smythe Rd Henderson SW Retic Renewal and Upgrade [2590]</t>
  </si>
  <si>
    <t>To increase capacity of the stormwater network</t>
  </si>
  <si>
    <t>Offset Mitigation Taiaotea Catchmt/NaturalizationTaiaotea/Sherwood Pond Renewal and Upgrade [2449] [2548] [1037]</t>
  </si>
  <si>
    <t>29 &amp; 41 Argo Drive Upgrade [195]</t>
  </si>
  <si>
    <t>To address flooding by increasing capacity of the stormwater network within the Sunnynook</t>
  </si>
  <si>
    <t>Korotaha Terrace Rothesay Pipe Renewal and Upgrade [2552]</t>
  </si>
  <si>
    <t>9 - 23 Holly Street, Avondale, Stormwater Renewal and Upgrade [2523]</t>
  </si>
  <si>
    <t>Highwic Ave to 295 Great South Rd, Greenlane Stormwater Upgrade [2519]</t>
  </si>
  <si>
    <t>Wolverton 244 Blockhouse Bay Road Stormwater Upgrade</t>
  </si>
  <si>
    <t>To address flooding by increasing capacity of the stormwater network</t>
  </si>
  <si>
    <t>Tonar St, Hillcrest Pipe Renewal and Upgrade [2555]</t>
  </si>
  <si>
    <t>95D Hinemoa Street Stormwater Outfall Renewal and Upgrade</t>
  </si>
  <si>
    <t>Captain Springs Road, Onehunga - Renewal and Upgrade [2443]</t>
  </si>
  <si>
    <t>12 Scenic Drive, Manurewa SW Renewal and Upgrade[2580]</t>
  </si>
  <si>
    <t>To strengthening capacity of the stormwater network by stablising the stream bank</t>
  </si>
  <si>
    <t>Holland Reserve Stormwater Renewal and Upgrade [2447]</t>
  </si>
  <si>
    <t>Stanley Bay Reserve Stormwater Outlet Renewal and Upgrade [2448]</t>
  </si>
  <si>
    <t>To design and construct wetland pond to improve water quality and increase capacity  of the stormwater network</t>
  </si>
  <si>
    <t>36 Buckland Road Māngere Stormwater Upgrade [187]</t>
  </si>
  <si>
    <t>Victor Street to Oakley Creek, Waterview Stormwater Renewal and Upgrade [2159]</t>
  </si>
  <si>
    <t>Development of stormwater infrastructure to facilitate growth in Flat Bush</t>
  </si>
  <si>
    <t>SWEI Flat Bush Water Quality Ponds</t>
  </si>
  <si>
    <t>Development of stormwater infrastructure to facilitate growth around the Crown Lynn site</t>
  </si>
  <si>
    <t>Stormwater ponds to enable development of the Hobsonville Corridor</t>
  </si>
  <si>
    <t>To manage run-off from new developments and minimise flood risk to downstream properties.  Residential development is proposed for this area.</t>
  </si>
  <si>
    <t>A culvert under Cosgrave Rd to allow for development of residential propertieson Cosgrave Rd. This area is currently designated as future urban growth and is currently being planned to be available for residential development in 2023.</t>
  </si>
  <si>
    <t>New pipelines to enable new development in the area and to reduce the frequency of overland flow</t>
  </si>
  <si>
    <t>The SW line extension.  Reynold Pl and its adjacent areas in Torbay is has significant growth potential which is restricted by the stormwater network.</t>
  </si>
  <si>
    <t>Reynolds Place, Torbay, SW Reticulation and Flood Mitigation [2589]</t>
  </si>
  <si>
    <t>Upgrade and increased capacity of existing pipes in an area where significant development could take place in the near future,</t>
  </si>
  <si>
    <t>30-32 Levesque Street Stormwater Renewal and Upgrade [2528]</t>
  </si>
  <si>
    <t>Enabling work for redevelopment area in partnership with key developer</t>
  </si>
  <si>
    <t>To convey stormwater from the upstream Takanini Conveyance Channel which services a major Special Housing Area.</t>
  </si>
  <si>
    <t>To facilitate growth in the region that comprises various projects delivered through partnerships.</t>
  </si>
  <si>
    <t>To acquire parts of land for NoR in growth area</t>
  </si>
  <si>
    <t xml:space="preserve">New pipeline with increased capacity and will serve as a new reticulation providing capacity for the catchment it serves. </t>
  </si>
  <si>
    <t>To renew aging stormwater network infrastructure and increase capacity to reduce localised flooding.</t>
  </si>
  <si>
    <t xml:space="preserve">To reduce flood risk as a result of a nearby development </t>
  </si>
  <si>
    <t>17-40 Tomo St New Lynn Stormwater Renewal and Upgrade [2608]</t>
  </si>
  <si>
    <t>To separate the combined sewer / network to enable intensification of development in the Carlton Gore area of Newmarket.</t>
  </si>
  <si>
    <t>The project will enable provision of new housing through flood plain reduction in the Mt Roskill area</t>
  </si>
  <si>
    <t>The project involves extending public soakage system from affected properties to new soakage system in western corner of Fowlds Park.  There are potential developable sites that can be connected with a minor extension.</t>
  </si>
  <si>
    <t>Stormwater pond will be upgraded to provide treatment capacity to cater for a redeveloping catchment in the period before full source control of contaminants can be achieved in the catchment.</t>
  </si>
  <si>
    <t xml:space="preserve">To restore increase capacity and improve structural integrity of stormwater pipes and manholes </t>
  </si>
  <si>
    <t>23 Routley Dr - 18 Savoy Rd Stormwater Renewal and Upgrade [1224]</t>
  </si>
  <si>
    <t xml:space="preserve">New trunk pipeline along Takanini School Road and a stormwater wetland at 2 Popes Road to cater for growth in the area </t>
  </si>
  <si>
    <t>Restore structural integrity and increase capacity of SW critical pipes.</t>
  </si>
  <si>
    <t>88 Harris Road, East Tamaki Stormwater Upgrade [2514]</t>
  </si>
  <si>
    <t>Stormwater services for special housing area</t>
  </si>
  <si>
    <t>SWG Northcote SW Mgmt Greenslade Reserve [377]</t>
  </si>
  <si>
    <t>To reduce the flooding in the Northcote area which will unlock redevelopment and intensification of the urban area around Northcote town centre</t>
  </si>
  <si>
    <t>To undertake stormwater separation to provide growth capacity in the catchment area.</t>
  </si>
  <si>
    <t>Conveyance channel that will provide for the development of the Takanini Structure Plan</t>
  </si>
  <si>
    <t>To provide a stormwater management solution to mitigate flooding on Tāmaki College that enables residential intensification upstream</t>
  </si>
  <si>
    <t xml:space="preserve">Decrease flooding extents upstream of the ponds and enable residential development of the Takanini Greenfield Area. </t>
  </si>
  <si>
    <t>Increased capacity in the  Stanley catchment area (Grafton Gully and The Strand) to support growth.</t>
  </si>
  <si>
    <t xml:space="preserve">To mitigate/resolve flooding issues in Dominion Street and Karaka Street, Takapuna and to provide for residential growth and intensification </t>
  </si>
  <si>
    <t>Karaka_Dominion Street Stormwater Upgrade [374]</t>
  </si>
  <si>
    <t>To upgrade the existing stormwater capacity by increasing the pipe to a bigger sized system</t>
  </si>
  <si>
    <t>To increase capacity to alleviate upstream habitable floor flooding.</t>
  </si>
  <si>
    <t>3-8 Robert Street, Ellerslie Pipeline Renewal and Upgrade [1300]</t>
  </si>
  <si>
    <t>New stormwater systems to improve condition of existing lines and to increase capacity</t>
  </si>
  <si>
    <t>102 Pah Road, Papatoetoe Stormwater Upgrade [188]</t>
  </si>
  <si>
    <t>Increase stormwater capacity which complies with the Council Code of Practice for Stormwater</t>
  </si>
  <si>
    <t>29 - 37 Third View Avenue Stormwater Upgrade [166]</t>
  </si>
  <si>
    <t>Bairds Rd &amp; Sean Fitzpatrick Pl, Papatoetoe Stormwater Upgrade[175]</t>
  </si>
  <si>
    <t xml:space="preserve">To provide a new public stormwater network and separate properties that are connected to the combined system which increases capacity to enable a number of SHAs to be serviced by the stormwater network.  </t>
  </si>
  <si>
    <t>To mitigate flooding risk caused by the new upstream development at 35‐39 Faulder Avenue.</t>
  </si>
  <si>
    <t>To upgrade the remaining part of the pond in order to increase the overall capacity of the pond</t>
  </si>
  <si>
    <t>Wattle Farm Stage 2 Stormwater Pond Upgrade [258] (88%)</t>
  </si>
  <si>
    <t>Wattle Farm Stage 2 Stormwater Pond Upgrade [258] (12%)</t>
  </si>
  <si>
    <t xml:space="preserve">Increase the capacity for storage or conveyance through the Blake Road Dam in order to reduce flooding of property sections </t>
  </si>
  <si>
    <t>Wairoa Road Stormwater Renewal and Upgrade [2134]</t>
  </si>
  <si>
    <t>Clifton Road Stormwater Renewal and Upgrade [2129]</t>
  </si>
  <si>
    <t>Lake View Road SW Pipe Renewals and Upgrade [1287]</t>
  </si>
  <si>
    <t>To increase capacity of the stormwater network within a growth priority area.  SHAs are to the south and west</t>
  </si>
  <si>
    <t xml:space="preserve">The properties on Gt North Road are in the strategic growth area and are likely to be re-developed.  This project is to ensure the increase of impervious areas draining to the combined network resulting from growth, can be serviced by new stormwater and wastewater networks. </t>
  </si>
  <si>
    <t>Bath Street Stormwater Renewal and Upgrade [2136]</t>
  </si>
  <si>
    <t>To cater for potential growth through provision of additional capacity</t>
  </si>
  <si>
    <t>To construct a new reticulation system with higher capacity in order to reduce flooding</t>
  </si>
  <si>
    <t xml:space="preserve">Part of offset mitigation and consent requirement of the nearby  development project. </t>
  </si>
  <si>
    <t>Mangarata Stage 2 &amp; Kimpton Stg 3 Stormwater Reticulation [193]</t>
  </si>
  <si>
    <t>Point England Reserve Online SW Pond Renewal and Upgrade [2483]</t>
  </si>
  <si>
    <t>Mayfair Crescent Stormwater Renewal and Upgrade [2145]</t>
  </si>
  <si>
    <t xml:space="preserve">
To replace the existing pipe to cater for potential infill residential development within the area.</t>
  </si>
  <si>
    <t>225 St George Street Papatoetoe Stormwater Renewal and Upgrade [167]</t>
  </si>
  <si>
    <t>Supporting Growth in the upstream growth area subcatchment of Flat Bush which is currently undergoing major transformation from rural to urban landuse</t>
  </si>
  <si>
    <t xml:space="preserve"> Provision of stormwater infrastructure services to enable residential growth in a high-density housing  redevelopment area;</t>
  </si>
  <si>
    <t>To relocate the existing stormwater pipe to facilitate future development.</t>
  </si>
  <si>
    <t>212 Henderson Valley Rd Stormwater Network Relocation [2579]</t>
  </si>
  <si>
    <t>Sunnyview Road, Greenhithe Pipe and Outfall Renewal and Upgrade [2410]</t>
  </si>
  <si>
    <t>90-92 Calliope Road - Stormwater Pipe Renewal and Upgrade [2464]</t>
  </si>
  <si>
    <t>The ponds no longer meet the requirements of the existing network discharge consent to cater for the growth within the existing subdivision</t>
  </si>
  <si>
    <t>Unsworth Reserve Stormwater Pond Renewal and Upgrade [2453]</t>
  </si>
  <si>
    <t xml:space="preserve"> To reduce the water level as required to satisfy a Resource Consent condition to pre-development levels near Bollard Ave culverts.</t>
  </si>
  <si>
    <t>Renewal and increase capacity of existing stormwater pipe and upgrade of the downstream outfall.</t>
  </si>
  <si>
    <t>Rata Road Devonport Outfall and Pipe Renewal and Upgrade [2465]</t>
  </si>
  <si>
    <t xml:space="preserve">Create an open waterway to increase downstream capacity and remove a seriously deteriorated pipe in the reserve. </t>
  </si>
  <si>
    <t>Normanton Reserve Pipeline Renewal and Upgrade [385]</t>
  </si>
  <si>
    <t>Upgrading and extending stormwater capacity to facilitate growth</t>
  </si>
  <si>
    <t>557-561 Blockhouse Bay Stormwater Network Extension</t>
  </si>
  <si>
    <t>Anzac St Precinct Stormwater Extension, Flood Mitigation and Environ Improvement [2525]</t>
  </si>
  <si>
    <t>First stage of new and upgraded reticulation in the Anzac St to provide stormwater infrastructure services to enable residential growth in a prime high density housing redevelopment area within a Special Housing Area;</t>
  </si>
  <si>
    <t>Infrastructure to enable development of the Hobsonville Corridor</t>
  </si>
  <si>
    <t xml:space="preserve">Develop the open spaces in conjunction with developers programme for construction of the Westgate Town Centre </t>
  </si>
  <si>
    <t>Pipe upgrade and additional catchpits within Line Road road reserve for significant redevelopment and growth as part of the Tamaki redevelopment strategy</t>
  </si>
  <si>
    <t>Upsize all stormwater pipes to effectively relieve flooding  to accommodate the impending development at 34 Dingle Road</t>
  </si>
  <si>
    <t>26-36 Dingle Road Flood Mitigation and Pipe Upgrade [2551]</t>
  </si>
  <si>
    <t>Construct an open channel to connect the Culvert under Cosgrave Rd to the adjacent developments.  This project will allow for the development of residential houses on Cosgrove Rd.</t>
  </si>
  <si>
    <t>To undertake upgrade and renewals works in five locations across Omaha North to reduce the duration and impact of nuisance flooding</t>
  </si>
  <si>
    <t>Omaha Small/Miscellaneous Projects</t>
  </si>
  <si>
    <t>To mitigate flooding issues caused by the limited capacity of the existing network and to facilitate growth by reducing floodplain to allow development intensification in 31ha of residential areas.</t>
  </si>
  <si>
    <t xml:space="preserve">Increase pipe capacity to support future development </t>
  </si>
  <si>
    <t>Marlborough Avenue Stormwater Improvements [497]</t>
  </si>
  <si>
    <t xml:space="preserve">Renew and upgrade the pipe network that is old and in very poor condition, under capacity  to support future development </t>
  </si>
  <si>
    <t>38-72 Hellyers Street, Birkdale Stormwater Upgrade [2481]</t>
  </si>
  <si>
    <t>To resolve the flooding risk to Tonar Street properties to enable proposed redevelopment to proceed.</t>
  </si>
  <si>
    <t>Increase capacity of stormwater drainage along the road.</t>
  </si>
  <si>
    <t>Matakana Valley Road Stormwater Upgrade [2641]</t>
  </si>
  <si>
    <t>Land purchase and construction of new City Rail Link - Auckland Council's Share</t>
  </si>
  <si>
    <t>Delivery of  a new bus-rail Interchange at Puhinui</t>
  </si>
  <si>
    <t>Additional EMU Rolling Stock</t>
  </si>
  <si>
    <t>Bus Priority - Local Improvements</t>
  </si>
  <si>
    <t>Downtown Bus Improvements</t>
  </si>
  <si>
    <t>Downtown Ferry Basin Redevelopment</t>
  </si>
  <si>
    <t>Downtown Ferry Basin (Pier3&amp;4)</t>
  </si>
  <si>
    <t>EMU Rolling Stock</t>
  </si>
  <si>
    <t>Lake Road / Esmonde Road Improvements</t>
  </si>
  <si>
    <t>Murphys Rd Upgrade Bridge Improvement</t>
  </si>
  <si>
    <t>Network Perfomance</t>
  </si>
  <si>
    <t>Park and Ride Programme</t>
  </si>
  <si>
    <t>Safer Communities and Speed Management</t>
  </si>
  <si>
    <t>Airport Access Improvements</t>
  </si>
  <si>
    <t>EMU Stabling</t>
  </si>
  <si>
    <t>Sylvia Park Bus Improvements</t>
  </si>
  <si>
    <t>Carrington Road Improvements</t>
  </si>
  <si>
    <t>Acquisition of land for neighbourhood parks and civic space to support new growth in accordance with the Open Space Provision Policy</t>
  </si>
  <si>
    <t>Acquisition of land for neighbourhood parks in greenfield development areas in accordance with the Open Space Provision Policy</t>
  </si>
  <si>
    <t>Acquisition of land for neighbourhood parks to support new growth in accordance with the Open Space Provision Policy</t>
  </si>
  <si>
    <t>Acquisition of land for neighbourhood parks in Brownfield development areas in accordance with the Open Space Provision Policy</t>
  </si>
  <si>
    <t>Acquisition of land for neighbourhood parks in rural growth areas in accordance with the Open Space Provision Policy</t>
  </si>
  <si>
    <t>Acquisition of land to extend the organised sport network to cater for new growth in accordance with the Open Space Provision Policy</t>
  </si>
  <si>
    <t>Acquisition of land to suburb parks in greenfield development areas in accordance with the Open Space Provision Policy</t>
  </si>
  <si>
    <t>Programme to development local and sports parks to increase capacity in the network in line with the Open Space Provision policy</t>
  </si>
  <si>
    <t xml:space="preserve">The project will restore the structural integrity and service condition of existing 600mm diameter pipes and will increase the capacity of Stormwater infrastructure </t>
  </si>
  <si>
    <t>Project Description</t>
  </si>
  <si>
    <t>SW_AR_Major renewal and upgrades - Marine Parade</t>
  </si>
  <si>
    <t>SW_AR_Major renewal and upgrades - St Andrews Rd</t>
  </si>
  <si>
    <t>SW_AR_Major renewal and upgrades - Stanmore Rd to Fife St</t>
  </si>
  <si>
    <t>Minor stormwater upgrade to increase stormwater capacity</t>
  </si>
  <si>
    <t>Land Acquisition for a Leisure Centre in Glenfield</t>
  </si>
  <si>
    <t>Programme of works to upgrade council owned building with the inclusion of increasing capacity in the Waitakere area</t>
  </si>
  <si>
    <t>Programme of minor works across the city to increase capacity of the stormwater network</t>
  </si>
  <si>
    <t>Minor works to increase the capacity in the cycling network across the North Shore Area</t>
  </si>
  <si>
    <t>Programme of works across the city to increase capacity of the stormwater network including the provision of safety fences</t>
  </si>
  <si>
    <t>Acquisition of land for along the cost to increase capacity in the reserve network across North Shore City</t>
  </si>
  <si>
    <t>A new multipurpose facility in Albany to provide increase capacity</t>
  </si>
  <si>
    <t>Programme of works to increase capacity for community facilities identified in FDC Long Term Plan to support growth</t>
  </si>
  <si>
    <t>Programme of works to increase capacity in the cycling and walkways across the region</t>
  </si>
  <si>
    <t>Investigation and Design into the upgrade and utilisation of Dominion Road to improve transport capacity</t>
  </si>
  <si>
    <t>Minor stormwater works to improve stormwater capacity</t>
  </si>
  <si>
    <t>Programme of work to increase footpath construction to support growth</t>
  </si>
  <si>
    <t>Open space development adjacent to the Westfield Mall in Albany</t>
  </si>
  <si>
    <t>Programme of works to increase capacity in the community infrastructure network across the North Shore area</t>
  </si>
  <si>
    <t>Programme of minor road works to improve transport infrastructure across the Hibiscus area</t>
  </si>
  <si>
    <t>Upgrade to support new growth</t>
  </si>
  <si>
    <t>Upgrade and new road illumination to improve transport capacity and safety across the Waitakere area</t>
  </si>
  <si>
    <t>Minor stormwater upgrade to improve stormwater capacity</t>
  </si>
  <si>
    <t>Minor works to increase the capacity in the library network across the region.</t>
  </si>
  <si>
    <t>Minor stormwater upgrade to improve stormwater network</t>
  </si>
  <si>
    <t>Open space development to support new development area</t>
  </si>
  <si>
    <t>Programme of minor safety transport works in the Waitakere area</t>
  </si>
  <si>
    <t>Reserve land acquisition with natural environment benefits in the North Shore Area</t>
  </si>
  <si>
    <t>Stormwater Pond works to increase stormwater capacity</t>
  </si>
  <si>
    <t>Programme of work to increase capacity in the recreation park network across the Auckland City Isthmus</t>
  </si>
  <si>
    <t>Land purchases eg Stanley Point, Hinemoa St , Long Bay, Rosedale Rd</t>
  </si>
  <si>
    <t>New and upgraded pedestrian signalisation in the Waitakere area</t>
  </si>
  <si>
    <t>Programme of playground upgrades to support new growth in the Waitakere area</t>
  </si>
  <si>
    <t>Programme of work for major recreation park development across the Manukau Area</t>
  </si>
  <si>
    <t>Programme to enhance safety, security and amenities at bus stops</t>
  </si>
  <si>
    <t>Programme to enhance safety, security and amenities at rail stations</t>
  </si>
  <si>
    <t>Programme to enhance safety, security and amenities at Wharves</t>
  </si>
  <si>
    <t>Upgrade of Queen Street to support increase traffic and pedestrian utilisation</t>
  </si>
  <si>
    <t>Programme of work to increase the capacity in sportsfield across the Manukau Area</t>
  </si>
  <si>
    <t>Programme of stormwater infrastructure works to implement catchment management plan projects for FDC Stormwater area A</t>
  </si>
  <si>
    <t>Programme of stormwater infrastructure works to implement catchment management plan projects for FDC Stormwater area B</t>
  </si>
  <si>
    <t>Stormwater Ponds to support growth in Plan Change 14 Area</t>
  </si>
  <si>
    <t>Stormwater Ponds to support growth in Plan Change 15 Area</t>
  </si>
  <si>
    <t>Acquisition of land to suburb parks in development areas in accordance with the Open Space Provision Policy</t>
  </si>
  <si>
    <t>The development of IP assets such as the overland flow path mapping to support growth</t>
  </si>
  <si>
    <t>Stormwater infrastructure to service new SHA area and wider catchment</t>
  </si>
  <si>
    <t xml:space="preserve">Various projects eg Matakawau accessible, Omana Walkway, Waiuku, </t>
  </si>
  <si>
    <t>Intersection upgrades, corridor improvements, minor safety programmes, seal extensions to support new growth in FDC area</t>
  </si>
  <si>
    <t xml:space="preserve">Upgrade to the Waiheke service centre </t>
  </si>
  <si>
    <t>Whangaparoa civic centre upgrade</t>
  </si>
  <si>
    <t>Upgrading Whangaparoa Road to 4 lanes</t>
  </si>
  <si>
    <t>Upgrade to improve transport capacity and safety</t>
  </si>
  <si>
    <t>Open space acquisition and development in the Wynyard Quarter area to support new growth and increase visitors</t>
  </si>
  <si>
    <t>Funding Area
2018</t>
  </si>
  <si>
    <t>COMMENTS</t>
  </si>
  <si>
    <t>Updated costs from Dtaft - Kimdon Email 24/10/18</t>
  </si>
  <si>
    <t>Park and Ride (Silverdale Stage 2)</t>
  </si>
  <si>
    <t>3200649</t>
  </si>
  <si>
    <t>Upgrade of intersections along Akoranga Drive at College Road and Northcote Road, including traffic management and bus priority measures</t>
  </si>
  <si>
    <t>Upgrade of Albany Highway to support increased traffic demand, including cycle lanes and flush median and Rosedale Road intersection</t>
  </si>
  <si>
    <t>Reconstruction and upgrade to moderate sized traffic signal intersection</t>
  </si>
  <si>
    <t>Road widening for additional lane and right hand turns, including combined cycle pedistrian footpath</t>
  </si>
  <si>
    <t>Upgrade of Albany Highway to support increased traffic demand, including cycle lanes and flush median and Rosedale Road intersection;  Merged project includind upgrades along Albany Highway from Schnapper Rock to Bass Road and Schnapper Rock Road to SH17</t>
  </si>
  <si>
    <t>Upgrade College Road insection to support increase traffic volumes associated with the Esmonde Road interchange, including bus priority measures</t>
  </si>
  <si>
    <t>Upgrades to insections to support increase traffic demand</t>
  </si>
  <si>
    <t>Intersections upgrade required for Anzac, Kilarney, Fred Thomas, Barrys Pt Road and altered flows for the Akoranga Bus station and new Esmond interchange layout.</t>
  </si>
  <si>
    <t>Road upgrade and seal extension to support increase traffic demand</t>
  </si>
  <si>
    <t>Upgrade Esmonde Road to complement the proposed Esmonde Interchange and Lake Road Widening projects</t>
  </si>
  <si>
    <t>Upgrade Fairview Avenue to support new growth; extends from Lonely Track Road intersection to Oteha Valley Road, including reallignment of the southern end</t>
  </si>
  <si>
    <t>New Road link to complement access to Albany village; Incorporated into Gills Road Link project</t>
  </si>
  <si>
    <t>Glenfield road widening to four lanes between Bentley avenue and Sunset road, includes improvements to intersections and bus priority measures and cycle lanes.</t>
  </si>
  <si>
    <t>Reconstruction of Glenvar Road from East Coast Road to Ashley Ave to accommodate increased traffic demand from the Long Bay Structure Plan Area.</t>
  </si>
  <si>
    <t>Programme of upgrading all Greenhithe suburban streets to support increased traffic demand</t>
  </si>
  <si>
    <t>Kerb and chanelling combined with footpaths and lighting, in partnership with new development</t>
  </si>
  <si>
    <t>New crossing to link Beach Haven and Glenfield areas</t>
  </si>
  <si>
    <t>Programme of transport infrastructure upgrades to support new development areas, including Gills Road, Oakway Drive/Albany Highway and Oakway Dr/Schnapper Rock Road subdivision.  Access upgrades and new minor intersection projects to new adjoining land developments</t>
  </si>
  <si>
    <t>Construction new link between Pitoitoi Ave and Kyle Road School</t>
  </si>
  <si>
    <t>Junction improvements as part of overall upgrade of Lonely Track Road improvements</t>
  </si>
  <si>
    <t>Upgrade Lonely Track road between Fairview and East Coast Road in conjunction with development as it occurs</t>
  </si>
  <si>
    <t>Upgrade or new roads to support growth in the Long Bay Structure Plan Area.  Programme of works to be seperated as final list of projects developed.</t>
  </si>
  <si>
    <t xml:space="preserve">New link road, Coliseum Drive extension from SH17 to Albany Highway to support development </t>
  </si>
  <si>
    <t>Development of Bus Station to support new Northern Busway Project</t>
  </si>
  <si>
    <t>Upgrade Paremoremo Road to support new development</t>
  </si>
  <si>
    <t>Upgrade Rosedale Road between Tawa Drive and Bluestone Rise</t>
  </si>
  <si>
    <t>Continuation of seal extension along Ridge Road</t>
  </si>
  <si>
    <t>Realigning and signalising the intersection of SH17 and the Avenue to improve access and accommodate new development</t>
  </si>
  <si>
    <t>Widen Wairau Road (Forrest Hill to Shakespeare), including complementary works on Taharoto Road, Forrest Hill Road and Shakespeare road, including bus priority measures and cycle facilities to support increase traffic demand</t>
  </si>
  <si>
    <t>Northern Busway - Akoranga Station</t>
  </si>
  <si>
    <t>Northern Busway - Albany Station</t>
  </si>
  <si>
    <t>Northern Busway - Constellation Station</t>
  </si>
  <si>
    <t>Northern Busway - Sunnynook Station</t>
  </si>
  <si>
    <t>Lonely Track / Gills/Albany Heights Intersection-Stage 2</t>
  </si>
  <si>
    <t>Akoranga Drive - Stage 1</t>
  </si>
  <si>
    <t>Albany Highway widening</t>
  </si>
  <si>
    <t>Seal Extensions Ridge Road</t>
  </si>
  <si>
    <t>30 Downing Street Acquisition</t>
  </si>
  <si>
    <t>Akoranga Drive Stormwater Treatment Pond</t>
  </si>
  <si>
    <t>Albany Centre Lake-Lucas Pond No.9</t>
  </si>
  <si>
    <t>Albany Highway (Schnapper Rock Road to State Highway 17)</t>
  </si>
  <si>
    <t>Albany Highway 440-458</t>
  </si>
  <si>
    <t>Alexander Ave, 42- culvert</t>
  </si>
  <si>
    <t>Anzac Street Corridor</t>
  </si>
  <si>
    <t>Apollo Drive, Albany, Detention Pond</t>
  </si>
  <si>
    <t>Beach Road - 307</t>
  </si>
  <si>
    <t>Beach Road to Freyberg Park</t>
  </si>
  <si>
    <t>Beaconsfield, 17,and Cheltenham Park</t>
  </si>
  <si>
    <t>Belle Vue Avenue</t>
  </si>
  <si>
    <t>Bevyn Street, 10-21, Milford.</t>
  </si>
  <si>
    <t>Changing Facility (Ashley Reserve)</t>
  </si>
  <si>
    <t>Bush Road / Rosedale Road Improvements</t>
  </si>
  <si>
    <t>Bush Road Improvements</t>
  </si>
  <si>
    <t>Bute Road</t>
  </si>
  <si>
    <t>Cambria Road, Devonport</t>
  </si>
  <si>
    <t>Chelsea Estate - Sediment Forebays</t>
  </si>
  <si>
    <t xml:space="preserve">Albany Lakes Development- Civic Park </t>
  </si>
  <si>
    <t>Carpark (Three Streams Reserve)</t>
  </si>
  <si>
    <t>Carpark / New Road (Rosedale Park Wainoni)</t>
  </si>
  <si>
    <t>Centennial Park to Beach Road, Campbells Bay</t>
  </si>
  <si>
    <t>NSCC Citywide - Coastal Outfalls (Share)</t>
  </si>
  <si>
    <t>NSCC Citywide - Minor Capital Works  (Share)</t>
  </si>
  <si>
    <t>NSCC Citywide - Recreational Cycling</t>
  </si>
  <si>
    <t>NSCC Citywide - Safety Fences - Various Sites (Share)</t>
  </si>
  <si>
    <t>NSCC Citywide - Stream Rehabilitation Works (Share)</t>
  </si>
  <si>
    <t>NSCC Citywide - Subdivisional Contributions (Share)</t>
  </si>
  <si>
    <t>Coastal Land Acquisition</t>
  </si>
  <si>
    <t>College Road</t>
  </si>
  <si>
    <t>Cycling (Sanders Reserve)</t>
  </si>
  <si>
    <t>Dee Place - 16 Minor Stormwater Upgrade</t>
  </si>
  <si>
    <t>Deep Creek - Deep Creek Road - Weatherly</t>
  </si>
  <si>
    <t>Deep Creek - New Reticulation - Carlisle- 153 to 167, Ldyll &amp; Nor East</t>
  </si>
  <si>
    <t>Denby Lane (Stafford Park)</t>
  </si>
  <si>
    <t>East Coast Road / Glenvar Road / Lonely Track Road</t>
  </si>
  <si>
    <t>Elmore Road Upgrading</t>
  </si>
  <si>
    <t>Esmonde Road (Lake Rd to Assembly of God)</t>
  </si>
  <si>
    <t>Eton Avenue</t>
  </si>
  <si>
    <t>Evelyn Place, 3-25</t>
  </si>
  <si>
    <t>Fairview Avenue</t>
  </si>
  <si>
    <t>Flood Protection - Attwood - Attwood Rd 143</t>
  </si>
  <si>
    <t>Flood Protection - Cassino - Lake Rd 110-112</t>
  </si>
  <si>
    <t>Flood Protection - Deep Creek - Alexander Ave 52 culvert</t>
  </si>
  <si>
    <t>Flood Protection - Deep Creek - Long Street 26 Torbay</t>
  </si>
  <si>
    <t>Flood Protection - Deep Creek - Rewi St 1-13 Gray Cresc</t>
  </si>
  <si>
    <t>Flood Protection - Hillcrest - Barrys Point Road</t>
  </si>
  <si>
    <t>Flood Protection - Northboro - Northboro Rd 40</t>
  </si>
  <si>
    <t>Foley Place</t>
  </si>
  <si>
    <t>Foundation Infrastructure - Albany Lakes</t>
  </si>
  <si>
    <t>Foundation Infrastructure (NSCC)</t>
  </si>
  <si>
    <t>Gills Road to Oteha Valley Road</t>
  </si>
  <si>
    <t>Glencourt Place  27 - 43</t>
  </si>
  <si>
    <t>Glendhu Road Upgrading and Link</t>
  </si>
  <si>
    <t>Glenfield Road (Bentley to Sunset)</t>
  </si>
  <si>
    <t>Glenvar Road</t>
  </si>
  <si>
    <t>Greenhithe Streets Upgrading</t>
  </si>
  <si>
    <t>Greenleaf Way, Stage 1</t>
  </si>
  <si>
    <t>Greenleaf Way, Stage 2</t>
  </si>
  <si>
    <t>Greville Road (Hugh Green Drive to SH1)</t>
  </si>
  <si>
    <t>Gulf View Road, 38-60, Beach Road.</t>
  </si>
  <si>
    <t>Gull Lane, 3 &amp; 7 Marigold Pl</t>
  </si>
  <si>
    <t>Hart Rd 10A - 20</t>
  </si>
  <si>
    <t>Harvey Wright Training Field</t>
  </si>
  <si>
    <t xml:space="preserve">Hastings Pde </t>
  </si>
  <si>
    <t>Hebron Rd, 29</t>
  </si>
  <si>
    <t>Hillcrest - Busway Pond</t>
  </si>
  <si>
    <t>Improvements Complementing Development</t>
  </si>
  <si>
    <t>Inga Road</t>
  </si>
  <si>
    <t>James Street, 15</t>
  </si>
  <si>
    <t>Kaipatiki Crossing</t>
  </si>
  <si>
    <t>Kell Park Canoe Ramp</t>
  </si>
  <si>
    <t>Kell Park Formal Gardens (Walking LOS)</t>
  </si>
  <si>
    <t>Kell Park Pedestrian Paths and Bridges</t>
  </si>
  <si>
    <t>Killarney Ave - 12/18</t>
  </si>
  <si>
    <t>Kyle Road Reconstruction</t>
  </si>
  <si>
    <t>Lake Pupuke - Water Quality - Quarry Lake Reserve, Takapuna</t>
  </si>
  <si>
    <t>Land Acquisition (Long Bay)</t>
  </si>
  <si>
    <t>Library Extension (Devonport)</t>
  </si>
  <si>
    <t>Library Extension / Replacement (Birkenhead)</t>
  </si>
  <si>
    <t>Link Drive</t>
  </si>
  <si>
    <t>Little Shoal Bay - Stream Works - Wakanui Street</t>
  </si>
  <si>
    <t>Lonely Track Road/Fairview Ave Intersection</t>
  </si>
  <si>
    <t>Long Bay Structural Plan</t>
  </si>
  <si>
    <t>Lucas Creek - Water Quality - Civic Cres raingardens</t>
  </si>
  <si>
    <t>Lucas Creek Catchment - Stream Works - Lucas Creek Rehabilitation Works</t>
  </si>
  <si>
    <t>Manuka Rd 133</t>
  </si>
  <si>
    <t>Masons Road - Lucas Pond No. 3</t>
  </si>
  <si>
    <t>Massey Link - Coliseum to Albany Highway</t>
  </si>
  <si>
    <t>Natural Environment Land Acquisition 1997-2004</t>
  </si>
  <si>
    <t>Nereus Pl  Upgrade Catchpits and leads.</t>
  </si>
  <si>
    <t>Northcote Rd to Hillcrest Pond</t>
  </si>
  <si>
    <t>Northern Busway - Westlake Station</t>
  </si>
  <si>
    <t>Northumberland Ave,3-19. Hororata Rd</t>
  </si>
  <si>
    <t>Oaks, Albany -upper stormwater pond</t>
  </si>
  <si>
    <t>Omana Road 15</t>
  </si>
  <si>
    <t>Onepoto Domain Formal Gardens (Walking LOS)</t>
  </si>
  <si>
    <t>Orchard, Ridge, Oban Rds, Browns Bay</t>
  </si>
  <si>
    <t>Oteha - Water Quality - Existing Pond Modifications</t>
  </si>
  <si>
    <t>Oteha - Water Quality - Rosedale West Pond Enhancement</t>
  </si>
  <si>
    <t>Oteha Valley Catchment - Stream Works - Riparian Enhancement</t>
  </si>
  <si>
    <t>Oteha Valley Road - Lucas Creek Pond 1</t>
  </si>
  <si>
    <t>Paremoremo Rd Upgrading - Stage 1</t>
  </si>
  <si>
    <t>Paremoremo Rd Upgrading - Stage 2</t>
  </si>
  <si>
    <t>Paremoremo Rd Upgrading - Stage 3</t>
  </si>
  <si>
    <t>Paremoremo Rd Upgrading - Stage 4</t>
  </si>
  <si>
    <t>Park Rd, 11-51</t>
  </si>
  <si>
    <t>Park Rd, 32</t>
  </si>
  <si>
    <t>Pathway (Kell Park)</t>
  </si>
  <si>
    <t>Pathway (Normanton Reserve)</t>
  </si>
  <si>
    <t>Pathway / Bridge (Murrays Bay)</t>
  </si>
  <si>
    <t>Paul Matthews Rain Garden</t>
  </si>
  <si>
    <t>Peter Tce, 1 &amp; 6, Castor Bay.</t>
  </si>
  <si>
    <t>Playground (Kell Park)</t>
  </si>
  <si>
    <t>Playground (Kennedy Park)</t>
  </si>
  <si>
    <t>Playground (Wainoni Park)</t>
  </si>
  <si>
    <t>Pounamu Ave (Node 1)</t>
  </si>
  <si>
    <t>Pupuke Rd, 72-82</t>
  </si>
  <si>
    <t>Pupuke Rd, 83 &amp; 85</t>
  </si>
  <si>
    <t>Rosedale Road Improvements</t>
  </si>
  <si>
    <t>Rothesay Bay - New Reticulation - Rothesay Bay Rd 2-22 Etc.</t>
  </si>
  <si>
    <t>Sharon Rd, 1-3</t>
  </si>
  <si>
    <t>Sportsfield (Ashley Reserve)</t>
  </si>
  <si>
    <t>Sportsfield (Rosedale 1)</t>
  </si>
  <si>
    <t>Sportsfield (Rosedale 2)</t>
  </si>
  <si>
    <t>Sportsfield (Rosedale 3 &amp; 4)</t>
  </si>
  <si>
    <t>Sportsfield (Vauxhall Training Field)</t>
  </si>
  <si>
    <t>Sportsfield (Wainoni Park 3)</t>
  </si>
  <si>
    <t>Stafford Park</t>
  </si>
  <si>
    <t>State Highway 17 / The Avenue</t>
  </si>
  <si>
    <t>Surville Pl 14a, Mairangi Bay</t>
  </si>
  <si>
    <t>Taharoto/Wairau Corridor</t>
  </si>
  <si>
    <t>Taiaotea - Stream Works - Bayside Reserve</t>
  </si>
  <si>
    <t>Tainui Rd, 29-57</t>
  </si>
  <si>
    <t>Taiorahi - New Reticulation - Clematis 13</t>
  </si>
  <si>
    <t>Toilet (Marlborough Park 2004)</t>
  </si>
  <si>
    <t>Toilet (Normanton Reserve 2004)</t>
  </si>
  <si>
    <t>Toilet (Sanders Reserve)</t>
  </si>
  <si>
    <t>Toilet (Three Streams Reserve)</t>
  </si>
  <si>
    <t>Wainoni Park Walking Tracks Yr1</t>
  </si>
  <si>
    <t>Wainoni Park Walking Tracks Yr2</t>
  </si>
  <si>
    <t>Wairoa Road, 6, Moata Place</t>
  </si>
  <si>
    <t>Walkway (Campbells Bay)</t>
  </si>
  <si>
    <t>Walkway (Manuka Reserve)</t>
  </si>
  <si>
    <t>Walkway (Milford Reserve)</t>
  </si>
  <si>
    <t>Walkway (Nell Fisher Reserve)</t>
  </si>
  <si>
    <t>Walkway (Onepoto Domain Stage 1)</t>
  </si>
  <si>
    <t>Walkway (Piripiri Reserve)</t>
  </si>
  <si>
    <t>Walkway (Rosedale Park Stage 1)</t>
  </si>
  <si>
    <t>Walkway (Takapuna-Devonport Stage 1 -Northboro Section)</t>
  </si>
  <si>
    <t>Walkway Coastal Network  (NSCC)</t>
  </si>
  <si>
    <t>Walkway Development (Northboro)</t>
  </si>
  <si>
    <t>Westbourne Road to Beach Road</t>
  </si>
  <si>
    <t>Windsor Park (No 2&amp;3) Natural Outdoor Sports Surfaces</t>
  </si>
  <si>
    <t>Wisteria Way - Honeysuckle Lane</t>
  </si>
  <si>
    <t>Error</t>
  </si>
  <si>
    <t>NSCC Citywide - Fish Passage Improvements &amp; Outfall Erosion (Share)</t>
  </si>
  <si>
    <t>NSCC Citywide - Stream Planting by Community Groups (Share)</t>
  </si>
  <si>
    <t>Acquistion of Park for new greenfield development area</t>
  </si>
  <si>
    <t>Bridge Replacement Wainui No 2</t>
  </si>
  <si>
    <t>Carpark (Buster Elliot Reserve Stage 2)</t>
  </si>
  <si>
    <t>HBC Rds-Knowledge Econony Zone Parkway</t>
  </si>
  <si>
    <t>Land Acquisition (Metropark East)</t>
  </si>
  <si>
    <t>Land Purchase - Whangaparaoa Rd Capacity Improvement Brightside-Arklow (PR)</t>
  </si>
  <si>
    <t>Library Build (Whangaparaoa)</t>
  </si>
  <si>
    <t>Mansel Drive Extension</t>
  </si>
  <si>
    <t>Orewa Bridge Jelas Rd Esp Res Wlkwy Stg 1</t>
  </si>
  <si>
    <t>Orewa LINK Rd-East Leg</t>
  </si>
  <si>
    <t>Orewa LINK Rd-East Leg Land</t>
  </si>
  <si>
    <t>Park Development (Victor Eaves  Stg 5)</t>
  </si>
  <si>
    <t xml:space="preserve">Park Development (Victor Eaves) </t>
  </si>
  <si>
    <t>Peninsula Access Studies local share</t>
  </si>
  <si>
    <t>Seal Extensions - R&amp;T- Weranui Rd</t>
  </si>
  <si>
    <t>Silverdale Parkway Stage 1 - 3</t>
  </si>
  <si>
    <t>Silverdale Parkway Stage 1</t>
  </si>
  <si>
    <t>Silverdale Parkway Stage 2 &amp; 3a</t>
  </si>
  <si>
    <t>Silverdale Parkway Stage 4</t>
  </si>
  <si>
    <t>Silverdale Parkway Stage 4 Landscaping 800m</t>
  </si>
  <si>
    <t>Sportsfield (Metropark Stage 1 East)</t>
  </si>
  <si>
    <t>Svd N Struct Plan/Holy Trinity Relocn</t>
  </si>
  <si>
    <t>Toilet (Moana Reserve)</t>
  </si>
  <si>
    <t>Toilet design (Puhoi)</t>
  </si>
  <si>
    <t>Toilet Major Upgrade/Renewal (Martins Bay)</t>
  </si>
  <si>
    <t>Toilet replacement (Matheson Bay)</t>
  </si>
  <si>
    <t>Wainui Rd Silverdale street Intersection</t>
  </si>
  <si>
    <t>Warkworth Showgrounds Stage 3</t>
  </si>
  <si>
    <t>Wgp Civic Sqrare/Top of Plaza Str Proj</t>
  </si>
  <si>
    <t>Wgp Rd Widening - 4 Laning - F/Y 2006</t>
  </si>
  <si>
    <t>Wgp Rd Widening - 4 Laning R Bch/Vipond</t>
  </si>
  <si>
    <t>Woodcocks Road Widening &amp; Urban Upgrade (1 km)</t>
  </si>
  <si>
    <t>Warkworth Showgrounds Stage 2</t>
  </si>
  <si>
    <t>Redevelopment and increasing exhibition and display areas by 50%</t>
  </si>
  <si>
    <t>Upgrade works include improved access to site for commemorative services</t>
  </si>
  <si>
    <t>Stage 2 of development of churchill park including fencing, tree planting and pedestrian access.</t>
  </si>
  <si>
    <t>Upgrade works to improve amenity value as well as sand carpet installation and training lights to increase capacity</t>
  </si>
  <si>
    <t>Detailed design and land acquisition for Dominion Road Upgrade to support increase traffic demand</t>
  </si>
  <si>
    <t>Queen Street Upgrade Stage 4</t>
  </si>
  <si>
    <t xml:space="preserve">Construction of stormwater treatment poid in Hillcrest Creek downstream of Akoranga Drive culvert. </t>
  </si>
  <si>
    <t>Provide new reticulation and stormwater treatment in association with developer</t>
  </si>
  <si>
    <t>Replacement of existing pipeline and new culverts to mitigate flooding issues caused by the limited capacity of the existing network and to facilitate growth</t>
  </si>
  <si>
    <t>Stormwater Detention Pond to improve stormwater capacity, includes raising spillway and reconstruction to improve performance</t>
  </si>
  <si>
    <t xml:space="preserve">Replacement of existing culvert to increase capacity due to changes in overland flow </t>
  </si>
  <si>
    <t>Replacement of piped infrastructure to increase stormwater capacity</t>
  </si>
  <si>
    <t xml:space="preserve">Realignment of piped infrastructure to new outfall, increase in capacity provide by larger piped infrastructure and superpits </t>
  </si>
  <si>
    <t>Upgrade all pipelines to increase capacity in stormwater network</t>
  </si>
  <si>
    <t>Replacement of duplicate line to increase stormwater capacity</t>
  </si>
  <si>
    <t>Upgrade of existing waterway and outlet entry with reshaping and provide bank protection and improvement of piped infrastructure to increase capacity in stormwater network</t>
  </si>
  <si>
    <t>Cost sharing for new or upgrade stormwater reticulation in association with new development to increase stormwater capacity</t>
  </si>
  <si>
    <t>New parallel stormwater system to increase stormwater capacity, including detention structure and overland flow paths</t>
  </si>
  <si>
    <t>New reticulation to increase stormwater capacity</t>
  </si>
  <si>
    <t>Water Quality wetland to increase stormwater capacity</t>
  </si>
  <si>
    <t>New reticulation along Oxford, Eton and Dominion to link up with new line in Cambridge, includes increase in stormwater capacity</t>
  </si>
  <si>
    <t>New reticulation and outlet structure to increase stormwater capacity, eliminate flooding and overland flow</t>
  </si>
  <si>
    <t>Stormwater upgrades to improve stormwater capacity, includes pipes and overland flows</t>
  </si>
  <si>
    <t>Stormwater pipe upgrades to improve stormwater capacity</t>
  </si>
  <si>
    <t>Divert existing flow to new pipeline to improve stormwater capacity and reduce flooding</t>
  </si>
  <si>
    <t>Stormwater pipe upgrades and renewals to improve stormwater capacity</t>
  </si>
  <si>
    <t>Extension of existing reticulated system and overland flow diverstion to improve stormwater capacity</t>
  </si>
  <si>
    <t>New pipe reticulation to improve capacity in downstream stormwater network</t>
  </si>
  <si>
    <t>New pipe reticulation in a natural flowpath area to increase stormwater capacity</t>
  </si>
  <si>
    <t>Extend piped reticulation to increase stormwater capacity</t>
  </si>
  <si>
    <t>New pipeline to increase stormwater capacity and inlets for overland flows</t>
  </si>
  <si>
    <t>Increase culvert to increase stormwater capacity</t>
  </si>
  <si>
    <t>Upgrade pipes to increase stormwater capacity</t>
  </si>
  <si>
    <t>Upgrade existing culvert to increase stormwater capacity</t>
  </si>
  <si>
    <t>Improvement to existing stormwater pond to improve water quality and increase stormwater capacity</t>
  </si>
  <si>
    <t>Stream protection and riparian planting to mitigate development in upper catchment</t>
  </si>
  <si>
    <t>New detention and water quality pond to mitigate new development in catchment</t>
  </si>
  <si>
    <t>Upgrading existing catchpits, connection with new and existing manholes to increase stormwater capacity</t>
  </si>
  <si>
    <t>Relocation and upgrade of stormwater pipe in associated with Busway construction</t>
  </si>
  <si>
    <t>Extension of existing pipeline to increase stormwater capacity</t>
  </si>
  <si>
    <t>Pipe upgrades to increase stormwater capacity</t>
  </si>
  <si>
    <t>Part of major project to increase stormwater capacity in the catchment</t>
  </si>
  <si>
    <t>New reticulation to extend existing stormwater network</t>
  </si>
  <si>
    <t>New Culvert to increast stormwater capacity</t>
  </si>
  <si>
    <t>Upgrade existing culvert and outfall, including erosion protection to increase stormwater capacity</t>
  </si>
  <si>
    <t>Upgrade and extend piped infrastructure to increase stormwater capacity</t>
  </si>
  <si>
    <t>Extend piped reticulation to increase stormwater capacity in conjunction with upgrades downstream</t>
  </si>
  <si>
    <t>Upgrade existing stormwater infrastructure, diversion of drainage channels and increase capacity inlets and improve secondary flowpaths</t>
  </si>
  <si>
    <t>Provision of stream bank lining to waterway and removal of overgrowth to improve hydraulics and stream flow to enable increase flows; in conjunction with Taiorahi project</t>
  </si>
  <si>
    <t xml:space="preserve">Rebuild library, increasing footprint to approximately 950 sqm with a common floor level throughout and mezzanine level  </t>
  </si>
  <si>
    <t>Programme of works to increase capacity in the sports infrastructure across the region</t>
  </si>
  <si>
    <t>Construction of wharf and pontoon.</t>
  </si>
  <si>
    <t xml:space="preserve">Full replacement of library building increasing  size and capacity </t>
  </si>
  <si>
    <t>Walking and cycling route development</t>
  </si>
  <si>
    <t>Installation of lighting to increase capacity in the sports network</t>
  </si>
  <si>
    <t>To construct a new library facility on Council owned land in Ranui at 431 Swanson Rd to meet the current and future needs of the community.</t>
  </si>
  <si>
    <t>Redevelopment of the existing Te Atatu Library and Community Centre involving construction of a new building to replace the exisiting buildng; extension to the exiting car park and associated landscaping.</t>
  </si>
  <si>
    <t>Construction of a new 800 square metre library on the existing Artworks site at 131 - 133 Ocean View Road Waiheke Island</t>
  </si>
  <si>
    <t>The new community Library is being constructed in the War Memorial Park to meet the future needs of the Wellsford community.</t>
  </si>
  <si>
    <t>Development of seven sand carpet platforms, new amenity changeroom facilities, carparks and integrated walkway connections.</t>
  </si>
  <si>
    <t>Installation of sandcarpet and lighting to increase capacity in sports infrastructure across the region</t>
  </si>
  <si>
    <t>Installation of sandcarpet to increase capacity in sports infrastructure</t>
  </si>
  <si>
    <t>Programme of work to install sandcarpet to increase capacity in sports infrastructure across the region</t>
  </si>
  <si>
    <t>The purpose of this project is for the design and consenting of new cricket practice nets at Wainoni Park, Greenhithe, to supplement the cricket pitches and sports code that this park is used for during the summer season.</t>
  </si>
  <si>
    <t xml:space="preserve">Deliver a full size sand carpet sports field with lighting and cricket nets at Wainoni Park including the detailed design, consent, tender and construction. </t>
  </si>
  <si>
    <t>The development of Riverton Reserve will mark a significant change by initiating a strong focal point for the community to gather, socialise, and recreate. The project is aimed at providing a wide range of activities and facilities.</t>
  </si>
  <si>
    <t>Waler Massey Park Stadium Sand Carpets</t>
  </si>
  <si>
    <t>Local Board initiative to upgrade playground with addtion of new play equipment</t>
  </si>
  <si>
    <t>Car park upgrade, interdependant project to the Wharf construction and Rame Road improvements.</t>
  </si>
  <si>
    <t>Design and build of new play space on Lake Town Green.</t>
  </si>
  <si>
    <t>Development of a new community swimming pool on the North Harbour Stadium precinct.</t>
  </si>
  <si>
    <t>The Upper Harbour Local Board approved this project to deliver two skate parks and youth facilities within their area. Sites include Collins Park in Greenhithe and Hooten Reserve in Albany.</t>
  </si>
  <si>
    <t>check funding areas</t>
  </si>
  <si>
    <t>Installation of new facility in West Harbour, as a partnership with Massey Matters.  Hub to be constructed at 74 Oreil Ave, West Harbour</t>
  </si>
  <si>
    <t>Reclamation of the Onehunga foreshore for the creation of a new park and bridge over SH20.</t>
  </si>
  <si>
    <t>Development programme of public open spaces within the Stonefields residential development.</t>
  </si>
  <si>
    <t xml:space="preserve">Supply and install of a double pan toilet, auto locking doors. </t>
  </si>
  <si>
    <t>Installation of toilet block and drinking fountains</t>
  </si>
  <si>
    <t>The Otahuhu Recreation Precinct Stage 2  comprises a new library, pool and open space development on the site of the existing Otahuhu Recreation Centre.</t>
  </si>
  <si>
    <t>Otahuhu Recreation Precinct</t>
  </si>
  <si>
    <t>This project has been identified in the Auckland Council Long Term Plan from the Rodney Local Board Plan.</t>
  </si>
  <si>
    <t>Upgrading existing carpark area at main entrance of the reserve to maximise usage</t>
  </si>
  <si>
    <t>Design, consent, consult and construct a new playspace in Matakana Wharf Reserve</t>
  </si>
  <si>
    <t>New community facility in Stillwater</t>
  </si>
  <si>
    <t xml:space="preserve">Improving the youth facility at Massey North. </t>
  </si>
  <si>
    <t>New multi-purpose (community facilities - 67% and library - 33%) and town square (open civic space) to meet future demand arising from population growth in the north west area (Community Facilities Network Plan).</t>
  </si>
  <si>
    <t>Multi-purpose community facility and town square (Westgate)</t>
  </si>
  <si>
    <t>Installation of pedestrian walkway lighting connecting Pine Harbour to Beachlands along esplanade walkway.</t>
  </si>
  <si>
    <t>The development of a 10-15 kilometre network of shared paths along the edge of the Tamaki Inlet which once complete will link to the Rotary Walkway (Tamaki Inlet Development/Growth Capacity Plan).</t>
  </si>
  <si>
    <t>Intital planning of the development of carpark and pathways to increase capacity and meet future demand arising from population growth in the area (Open Space Provision Policy).</t>
  </si>
  <si>
    <t>Initial planning of the development of park infrastructure to increase capacity and meet future demand arising from population growth in the area (Open Space Provision Policy).</t>
  </si>
  <si>
    <t>General park development of new open space to include playground, pathways, seating and signage to meet future demand arising from population growth in the area (Open Space Provision Policy).</t>
  </si>
  <si>
    <t>N.005219.06.02</t>
  </si>
  <si>
    <t>Redevelopment of old nursery site to an open space community civic area with active recreation infrastructure to meet the demand arising from regional population growth and visitor numbers (Auckland Domain Concept Plan).</t>
  </si>
  <si>
    <t>N.007134.42.02</t>
  </si>
  <si>
    <t>Development of a natural play area to meet the demand arising from regional population growth and visitor numbers (Auckland Domain Concept Plan).</t>
  </si>
  <si>
    <t>N.007135.43.01</t>
  </si>
  <si>
    <t>Installation of 2 artificial sports fields, lighting, changing room and toilet facility, car park, pathways, entranceway and infrasture as part of the Sports Infrastructure Development Programme to develop local and sports parks to increase capacity in the network in line with the Open Space Provision Policy and Chamberlain Park Master Plan.</t>
  </si>
  <si>
    <t>Develop walkways around Lake Pupuke as agreed in the Milford Centre Plan and the Devonport-Takapuna Greenways Plans to meet the need arising from wider population growth (Open Space Provision Policy).</t>
  </si>
  <si>
    <t>Installation of lighting on field 3 as part of the Sports Infrastructure Development Programme to develop local and sports parks to increase capacity in the network in line with the Open Space Provision policy.</t>
  </si>
  <si>
    <t>Develop a new playground in support to support the population growth in the Belmont development (Open Space Strategic Action Plan and Community Facilities Network Plan).</t>
  </si>
  <si>
    <t>Develop a walkway/cycleway linking Warkworth Showgrounds to Kowhai Park Reserve with a suspension bridge (Parks and Open Spaces Strategic Plan; Auckland Plan; Rodney Greenways Plan).</t>
  </si>
  <si>
    <t>Redevelopment of the showgrounds to meet future demand arising from population growth in the area (Warkworth Structure Plan).  Works include installation of lighting on 2 fields and implementation of civil works.  Installation of wastewater system with landscaping.</t>
  </si>
  <si>
    <t>New multi-purpose (community facilities - 70% and library - 30%) to meet future demand arising from population growth in the south east area (Community Facilities Network Plan).</t>
  </si>
  <si>
    <t>Development of play space throughout the Flat Bush area to meet future demand arising from population growth (Flat Bush Master Plan).</t>
  </si>
  <si>
    <t>Development of neighbourhood park including nature play, connections, infrastructure and passive areas to meet the demand of population growth in the area (Glen Innes Town Centre Master Plan).</t>
  </si>
  <si>
    <t>Development of destination park including play, connections, amenities and passive recreational spaces to meet the demand of population growth (Open Space Provision Policy, Tamaki Rgeneration Master Plan and Tāmaki Open Space Network Plan).</t>
  </si>
  <si>
    <t>Initial investigation phase for development of sports lighting and field upgrades in the Henderson-Massey area to meet the demand in sports provisional requirements, this forms part of the Sports Infrastructure Development Programme to develop local and sports parks to increase capacity in the network in line with the Open Space Provision policy.</t>
  </si>
  <si>
    <t>Investigate provision of community facilities, including performing arts, in the Manurewa area including the Manukau metropolitan centre, assessing options to improve the existing network and address provision requirements (Community Facilities Network Plan).</t>
  </si>
  <si>
    <t>Installation of lighting as part of the Sports Infrastructure Development Programme to develop local and sports parks to increase capacity in the network in line with the Open Space Provision policy.</t>
  </si>
  <si>
    <t>Development of a walkway and play space for the Weymouth special housing area to meet the new population demand in the south area (Community Facilities Network Plan).</t>
  </si>
  <si>
    <t>Installation of 2 changing rooms and 3 toilets as part of the Sports Infrastructure Development Programme to develop local and sports parks to increase capacity in the network in line with the Open Space Provision policy.</t>
  </si>
  <si>
    <t>The development of approximately one hectare of open space provided for a park within the Crown Lynn development precinct to meet the demand arising from population growth (Open Space Provision policy).</t>
  </si>
  <si>
    <t>Development of playspace to support the new local housing area and to meet future demand.  This project is to be collaboratively delivered under the terms of the signed infrastructure agreement with the development company.</t>
  </si>
  <si>
    <t>Initial investigation phase for development of sports lighting and field upgrades in the Franklin area to meet the demand in sports provisional requirements, this forms part of the Sports Infrastructure Development Programme to develop local and sports parks to increase capacity in the network in line with the Open Space Provision policy.</t>
  </si>
  <si>
    <t>Development of public access in greenfield to meet future demand arising from population growth in the area (Open Space Provision Policy).</t>
  </si>
  <si>
    <t>N.007137.01.04</t>
  </si>
  <si>
    <t>N.007136.02.01</t>
  </si>
  <si>
    <t>N.007137.18.01</t>
  </si>
  <si>
    <t>N.007135.03.03</t>
  </si>
  <si>
    <t>N.007136.16.03</t>
  </si>
  <si>
    <t>N.007736.11.03</t>
  </si>
  <si>
    <t>N.007736.11.02</t>
  </si>
  <si>
    <t>N.007739.05.02</t>
  </si>
  <si>
    <t>N.007739.05.01</t>
  </si>
  <si>
    <t>N.007135.10.01</t>
  </si>
  <si>
    <t>N.007137.13.01</t>
  </si>
  <si>
    <t>N.007739.03.01</t>
  </si>
  <si>
    <t>N.007739.06.06</t>
  </si>
  <si>
    <t>N.007737.10.01</t>
  </si>
  <si>
    <t>N.007136.07.01</t>
  </si>
  <si>
    <t>Initial investigation phase for development of sports lighting and field upgrades in the Hibiscus and Bays area to meet the demand in sports provisional requirements, this forms part of the Sports Infrastructure Development Programme to develop local and sports parks to increase capacity in the network in line with the Open Space Provision policy.</t>
  </si>
  <si>
    <t>N.007739.10.02</t>
  </si>
  <si>
    <t xml:space="preserve">Develop local and sports parks to increase capacity in the network in line with the Open Space Provision policy.  </t>
  </si>
  <si>
    <t>N.007137.05.02</t>
  </si>
  <si>
    <t>The development of an open shared path creating an east to west connection from Manukau Harbour to the Tamaki Estuary, and form a key link to wider pedestrian connections. Provide local circulation improvement with connections to amenities, and public transport routes (Otahuhu Spatial Priority Area).</t>
  </si>
  <si>
    <t>N.007738.09.01</t>
  </si>
  <si>
    <t>Initial investigation phase for development of sports lighting and field upgrades in the Otara-Papatoetoe area to meet the demand in sports provisional requirements, this forms part of the Sports Infrastructure Development Programme to develop local and sports parks to increase capacity in the network in line with the Open Space Provision policy.</t>
  </si>
  <si>
    <t>N.007739.13.01</t>
  </si>
  <si>
    <t>Initial investigation phase for development of sports lighting and field upgrades in the Waitakere Ranges area to meet the demand in sports provisional requirements, this forms part of the Sports Infrastructure Development Programme to develop local and sports parks to increase capacity in the network in line with the Open Space Provision policy.</t>
  </si>
  <si>
    <t>N.007739.19.01</t>
  </si>
  <si>
    <t>N.007739.09.02</t>
  </si>
  <si>
    <t>Installation of sand carpet, drainage, irrigation and lighting on 1 field as part of the Sports Infrastructure Development Programme to develop local and sports parks to increase capacity in the network in line with the Open Space Provision policy.</t>
  </si>
  <si>
    <t>N.007136.16.02</t>
  </si>
  <si>
    <t>The development of a perimeter walkway and connections network with associated infrastructure to meet the demands arising from population growth  (Parks and Open Spaces Strategic Plan; Auckland Plan; Rodney Greenways Plan).</t>
  </si>
  <si>
    <t>Development of neighbourhood park including car park, play and open green to meet the demand arising from population growth in the wider Hingaia sub divisions (Open Space Provision Policy).</t>
  </si>
  <si>
    <t>N.007134.14.02</t>
  </si>
  <si>
    <t>Installation of sand slits drainage, lighting and irrigation.  Installation of 2 pan toilet block and car park.  Installation of drinking fountain as part of the Sports Infrastructure Development Programme to develop local and sports parks to increase capacity in the network in line with the Open Space Provision policy.</t>
  </si>
  <si>
    <t>N.007137.06.01</t>
  </si>
  <si>
    <t>The development of a shared path connection through Tahapa Reserve East and West in conjunction with Auckland Transport (Auckland Plan; Parks and Open Space Strategic Plan).</t>
  </si>
  <si>
    <t>N.007136.12.01</t>
  </si>
  <si>
    <t>Installation of artificial turf including drainage and sand slits as part of the Sports Infrastructure Development Programme to develop local and sports parks to increase capacity in the network in line with the Open Space Provision policy.</t>
  </si>
  <si>
    <t>N.007137.05.01</t>
  </si>
  <si>
    <t>Installation of irrigation and lighting as part of the Sports Infrastucture Development Programme to develop local and sports parks to increase capacity in the network in line with the Open Space Provision policy.</t>
  </si>
  <si>
    <t>N.005202.01.04</t>
  </si>
  <si>
    <t>Develop 14 hectare neighbourhood reserve within a new residential sub-division to meet the demand of population growth (Metro Park West Management Plan, Hibiscus and Bays Greenway Plan and Wainui Special Housing Area).</t>
  </si>
  <si>
    <t>N.005199.02.04</t>
  </si>
  <si>
    <t>Development of safe walking and cycling tracks to meet the demand due to population growth in the Tamaki area (Panmure Basin Master Plan, Auckland Plan).</t>
  </si>
  <si>
    <t>N.005348.03.01</t>
  </si>
  <si>
    <t>Creation of a shared path from Panmure Wharf to Wai-o-taiki Nature Reserve to meet the rising demand of population growth in the area (Tamaki Greenways Plan; Parks and Open Spaces Strategic Plan).</t>
  </si>
  <si>
    <t>N.005349.03.01</t>
  </si>
  <si>
    <t>Programme to improve local and sports infrastructure including a greenway connection to the adjacent coastal cycle and walkway to meet future demand in the area and in line with the Open Space Provision policy.</t>
  </si>
  <si>
    <t>The development of a coastal walkway network with connections to stage 1 of the initiative  (Manukau Coastal Walkway Network Development Plan; Auckland Plan).</t>
  </si>
  <si>
    <t>Development of a 32 kilometre network of shared walk and cycle ways throughout the Flat Bush area to meet future demand arising from population growth (Flat Bush Cycle and Walkway Network Plan).</t>
  </si>
  <si>
    <t>Installation of sand carpet, irrigation and lighting on 1 field as part of the Sports Infrastructure Development Programme to develop local and sports parks to increase capacity in the network in line with the Open Space Provision policy.</t>
  </si>
  <si>
    <t>N.007739.09.01</t>
  </si>
  <si>
    <t>Redevelop existing multi-purpose facility and design stages of new marae development (marae development physical works not in scope) to provide for the population growth in the local area (Auckland Sport and Recreation Strategic Plan).</t>
  </si>
  <si>
    <t>Installation of hybrid field 2 and renewal of hybrid field 3 as part of the Sports Infrastructure Development Programme to develop local and sports parks to increase capacity in the network in line with the Open Space Provision policy.</t>
  </si>
  <si>
    <t>N.007739.02.02</t>
  </si>
  <si>
    <t>Develop changing room and toilet facility to meet demand in the area's sports provisional requirements, this forms part of the Sports Infrastructure Development Programme to develop local and sports parks to increase capacity in the network in line with the Open Space Provision policy.</t>
  </si>
  <si>
    <t>N.007137.20.03</t>
  </si>
  <si>
    <t>Develop a new playground including associated landscaping and infrastructure to support the population growth in the south east area (Open Space Strategic Action Plan and The Auckland Plan).</t>
  </si>
  <si>
    <t>N.007737.03.01</t>
  </si>
  <si>
    <t>Installation of sand field, irrigation and lighting on 2 fields as part of the Sports Infrastructure Development Programme to develop local and sports parks to increase capacity in the network in line with the Open Space Provision policy.</t>
  </si>
  <si>
    <t>Development of sports infrastructure to meet the demand arising from population growth (Open Space Provision Policy).</t>
  </si>
  <si>
    <t>Development of a sand carpet field and installation of new floodlights as part of the Sports Infrastructure Development Programme to develop local and sports parks to increase capacity in the network in line with the Open Space Provision policy.</t>
  </si>
  <si>
    <t>N.005202.02.01</t>
  </si>
  <si>
    <t>Greenway development to improve connections across the network to meet the future demand arising from population growth (Open Space Provision policy).</t>
  </si>
  <si>
    <t>Develop 3 soccer playing fields, 2 artificial turf fields and 1 sand carpet field including floodlighting to sports fields.  Development of toilet block and changing facilities, an additional 100 car parking spaces, a playground, pathway and cycleway connections to the adjacent coastal cycle and walkway as part of the Sports Infrastructure Development Programme to develop local and sports parks to increase capacity in the network in line with the Open Space Provision policy.</t>
  </si>
  <si>
    <t>N.004008.01</t>
  </si>
  <si>
    <t>Implement the concept plan for Phyllis Reserve Stage 2 development which includes the car park area, new changing rooms and toilets (Community Facilities Network Plan).</t>
  </si>
  <si>
    <t>N.007137.01.02</t>
  </si>
  <si>
    <t xml:space="preserve">Development of park amenities to support the upgraded sports infrastructure built to meet the future population growth demand in the area.   </t>
  </si>
  <si>
    <t>N.007739.06.02</t>
  </si>
  <si>
    <t>Installation of lighting on field 3 with an upgrade of  the sand slits drainage and irrigation as part of the Sports Infrastructure Development Programme to develop local and sports parks to increase capacity in the network in line with the Open Space Provision policy.</t>
  </si>
  <si>
    <t>N.007137.21.02</t>
  </si>
  <si>
    <t>Development of a new toilet block to meet the future demand and service provision requirements in support of the growth from sporting and Wentworth College users.</t>
  </si>
  <si>
    <t>N.007137.06.02</t>
  </si>
  <si>
    <t>Installation of acoustic wall as part of the Sports Infrastructure Development Programme to increase capacity in the network in line with the Open Space Provision policy.</t>
  </si>
  <si>
    <t>N.007137.12.05</t>
  </si>
  <si>
    <t>Installation of sand carpets and lighting on field 1 and 2.  Install new turf cricket block on field 1 as part of the Sports Infrastructure Development Programme to develop local and sports parks to increase capacity in the network in line with the Open Space Provision policy.</t>
  </si>
  <si>
    <t>N.007137.14.01</t>
  </si>
  <si>
    <t>The provision of local parks amenity within Scott Point Park including sports field replacement and development at Hobsonville Point.  Installation of four new changing rooms and four toilets, development of pathways to connect the new sports fields, pedestrian and cycling linkages as part of the Sports Infrastructure Development Programme to develop local and sports parks to increase capacity in the network in line with the Open Space Provision policy.</t>
  </si>
  <si>
    <t>N.007137.17.01</t>
  </si>
  <si>
    <t>Development of neighbourhood park to meet the demand arising from population growth (Open Space Provision Policy, Auckland Plan).</t>
  </si>
  <si>
    <t>N.007737.06.01</t>
  </si>
  <si>
    <t>Installation of lighting on 2 fields as part of the Sports Infrastructure Development Programme to develop local and sports parks to increase capacity in the network in line with the Open Space Provision policy.</t>
  </si>
  <si>
    <t>N.007137.12.03</t>
  </si>
  <si>
    <t>N.007739.15.02</t>
  </si>
  <si>
    <t>Installation of sand carpet, drainage and irrigation as part of the Sports Infrastructure Development Programme to develop local and sports parks to increase capacity in the network in line with the Open Space Provision policy.</t>
  </si>
  <si>
    <t>N.007137.15.03</t>
  </si>
  <si>
    <t>Development of the recreation reserve including sports field lighting, installation of field irrigation, installation of sand slits on field 4, develop a new field with lighting and develop a new field sand carpet as part of the Sports Infrastructure Development Programme to develop local and sports parks to increase capacity in the network in line with the Open Space Provision policy.</t>
  </si>
  <si>
    <t>N.007137.16.03</t>
  </si>
  <si>
    <t>Install new double hockey artificial turf, drainage, irrigation and lights as part of the Sports Infrastructure Development Programme to develop local and sports parks to increase capacity in the network in line with the Open Space Provision policy.</t>
  </si>
  <si>
    <t>N.007137.12.02</t>
  </si>
  <si>
    <t>Development of destination park including play, connections, amenities and kiosk to meet the demand arising from population demand (Open Space Provision Policy and Hayman Park Master Plan).</t>
  </si>
  <si>
    <t>N.005219.05.01</t>
  </si>
  <si>
    <t>Installation of sand slits, drainage and irrigation on 2 fields as part of the Sports Infrastructure Development Programme to develop local and sports parks to increase capacity in the network in line with the Open Space Provision policy.</t>
  </si>
  <si>
    <t>N.007739.21.02</t>
  </si>
  <si>
    <t>Develop a safe 4.7km greenway link connecting existing walkways to the west while providing fundamental link to proposed walkways around the Mangere Inlet (Parks and Open Spaces Strategic Action Plan and Mangere Otahuhu Greenways Plan).</t>
  </si>
  <si>
    <t>N.005221.03.01</t>
  </si>
  <si>
    <t>Development of neighbourhood park to meet the demand arising from population growth (Open Space Provision Policy, Tamaki Rgeneration Master Plan and Tāmaki Open Space Network Plan).</t>
  </si>
  <si>
    <t>N.007736.11.01</t>
  </si>
  <si>
    <t>Improve and renew walkways and paths throughout the foreshore walkway network as agreed in the Milford Centre Plan and the Devonport-Takapuna Greenways Plans to meet the need arising from wider population growth (Open Space Provision Policy).</t>
  </si>
  <si>
    <t>N.005201.01.02</t>
  </si>
  <si>
    <t>Redevelopment of the Hobsonville HQ building to create a community hub that provides community focused activities, services and programmes, designed to promote the overall wellbeing and connectedness of Hobsonville Point and is associated with the outcomes of the Upper Harbour Local Board Plan.  This facility will meet future demand arising frm the population growth in the Upper Harbour area (Community Facilities Network Plan).</t>
  </si>
  <si>
    <t>Development of carpark and pathways to increase capacity and meet future demand arising from regional population growth and visitor numbers (Botanic Gardens Master Plan).</t>
  </si>
  <si>
    <t>Devolopment of greenway link between the sites to increase capacity in the network in accordance with the Fearon Park masterplan.</t>
  </si>
  <si>
    <t>Installation of sand slits, drainage and irrigation as part of the Sports Infrastructure Development Programme to develop local and sports parks to increase capacity in the network in line with the Open Space Provision policy.</t>
  </si>
  <si>
    <t>N.007137.21.04</t>
  </si>
  <si>
    <t>Installation of sand slits, drainage, irrigation and lights as part of the Sports Infrastructure Development Programme to develop local and sports parks to increase capacity in the network in line with the Open Space Provision policy.</t>
  </si>
  <si>
    <t>N.005202.01.03</t>
  </si>
  <si>
    <t>Installation of hockey field and associated infrastructure as part of the Sports Infrastructure Development Programme to develop local and sports parks to increase capacity in the network in line with the Open Space Provision policy.</t>
  </si>
  <si>
    <t>N.007739.06.04</t>
  </si>
  <si>
    <t>The development of a network of pathways, cycleways and connections throughout the Henderson-Massey and Whau local board areas to meet the rising demand of population growth across  the region in conjunction with strategic partners (Greenway Network Plan; Auckland Plan; Henderson-Massey Greenway Plan and Whau Greenway Plan).</t>
  </si>
  <si>
    <t>Install hybrid turf sports surfaces on the site of the existing 3 league fields at Fowlds Park.  The facility is to incorporate a full-sized rugby league field and also make provision for a warm-up area and softball diamond and forms part of the Sports Infrastructure Development Programme to develop local and sports parks to increase capacity in the network in line with the Open Space Provision policy.</t>
  </si>
  <si>
    <t>N.005364.01.05</t>
  </si>
  <si>
    <t xml:space="preserve">Development of sports infrastructure to meet the future service provisional needs in the area.  A portion of this funding is to be granted to the receipient to construct the toilet and changing room facility under the Keith Hay Park Development Funding Agreement and approval from the Central Facility Partnerships Committee.  </t>
  </si>
  <si>
    <t>N.007137.15.01</t>
  </si>
  <si>
    <t>Contribution to the investment into improving the underpass in Upper Harbour. The opportunity to do this work comes through the northern corridor improvement works to meet future demand arising from population growth.</t>
  </si>
  <si>
    <t>N.007736.17.01</t>
  </si>
  <si>
    <t>The development of greenways connections and associated infrastructure linking local communities to the NZTA funded Orakei Spine shared path.  Feeder links are through Tahapa Reserve and Tahapa East Reserve (Strategic Action Plan: Public Open Space).</t>
  </si>
  <si>
    <t>N.007738.12.01</t>
  </si>
  <si>
    <t>New multi-purpose (community facilities - 70% and library - 30%) to meet future demand arising from population growth in the south area (Community Facilities Network Plan).</t>
  </si>
  <si>
    <t xml:space="preserve">Development of sports infrastructure to meet the future service provisional requirements in the area due to population growth.   </t>
  </si>
  <si>
    <t>N.005222.06.02</t>
  </si>
  <si>
    <t>Development of 9 neighbourhood parks as outlined in the binding Infrastructure Funding Agreement  a including passive open spaces, play and connections to meet the demand of the population growth in the development area (Parks and Open Spaces Strategic Action Plan and Open Space Provision Policy).</t>
  </si>
  <si>
    <t>N.007134.06.02</t>
  </si>
  <si>
    <t>Development of the John Walker Promenade on the southern edge of the park, development of a new car park and access road from Flat Bush School Road and a new changing room pavilion and toilets as per the masterplan (Open Space Provision Policy).</t>
  </si>
  <si>
    <t>Upgrade of greenway connection to increase capacity in the network (Open Space Provision policy).</t>
  </si>
  <si>
    <t>Develop a new playground including associated landscaping and infrastructure to support the population growth in the north west area.</t>
  </si>
  <si>
    <t>N.007736.16.01</t>
  </si>
  <si>
    <t>Initial investigation phase for development of sports lighting and field upgrades in the Manurewa area to meet the demand in sports provisional requirements, this forms part of the Sports Infrastructure Development Programme to develop local and sports parks to increase capacity in the network in line with the Open Space Provision policy.</t>
  </si>
  <si>
    <t>Programme of work to increase capacity in community facilities network as development occurs</t>
  </si>
  <si>
    <t>Neighbourhood Park / Civic Space Land Acquisition - North-West</t>
  </si>
  <si>
    <t xml:space="preserve">Separation of the combined waste and Stormwater network as a result of redevelopment is a requirement of the development.  This project enables the connection the University of Auckland development to the existing stormwater network. </t>
  </si>
  <si>
    <t>G/LOS/R</t>
  </si>
  <si>
    <t>Population growth and impervious surface level increases have been used in the modelling to determine apportioning of the growth component costs for the catchment planning, renewals, growth and flooding network programmes.  Growth costs are based on a combination of historical Capex cost data and the average growth component of current projects.  Specific infrastructure requirements will be determined through the development cycle.</t>
  </si>
  <si>
    <t>SWCatchment &amp; Asset Planning_Waitemata</t>
  </si>
  <si>
    <t>SWCatchment &amp; Asset Planning_NorthEast</t>
  </si>
  <si>
    <t>SWCatchment &amp; Asset Planning_Manukau Harbour</t>
  </si>
  <si>
    <t>SWCatchment &amp; Asset Planning_Kaipara Harbour</t>
  </si>
  <si>
    <t>SWG Network Growth_Other</t>
  </si>
  <si>
    <t>SWEI Environmental Improvements_Other</t>
  </si>
  <si>
    <t>SW_FPC_Flood control projects_Other</t>
  </si>
  <si>
    <t xml:space="preserve">Upgrading and increase of capacity of approx. 90m of 450 mm dia earthenware stormwater pipe and a 550mm by 550mm concrete box culvert.  </t>
  </si>
  <si>
    <t xml:space="preserve">To mitigate 4 habitable floors flooding and increase capacity in the upper Meola catchment and in addition reduce stormwater flows to the Edendale branch to reduce surcharging of combined flows to private properties. To reduce nuisance flooding in Watling reserve.   </t>
  </si>
  <si>
    <t>Pond rehabilitation to improve water quality</t>
  </si>
  <si>
    <t>SW_Catchment &amp; Asset Planning_Mahurangi Harbour</t>
  </si>
  <si>
    <t>SW_Catchment &amp; Asset Planning_Waitemata</t>
  </si>
  <si>
    <t>Improve the water quality/ecology and improve amentiy function</t>
  </si>
  <si>
    <t>Construction of approximatley 560m of 1.5 high x 2.5m wide box culvert along Melanesia Rd, Sage Rd and Tamaki Drive . A small stonewall along the northern boundary of Madills Farm Reserve will be constructed to provide additional flood protection to properties in this area.</t>
  </si>
  <si>
    <t>Investigation, design and construction of Mead St stormwater infrastructure upgrade</t>
  </si>
  <si>
    <t>The Olsen Avenue Stage 1 stormwater upgrade works includes construction of approximately: 236m of 1350mm stormwater pipeline routed along the boundary of 80 Olsen Avenue, 45m of 900mm stormwater pipeline crossing through 68 Olsen Avenue and across the carriage way, 140m of 600mm stormwater pipeline, 20m of 750mm stormwater pipeline and 30m of 1800mm stormwater pipeline. This stormwater upgrade shall use open trench construction methods and connect to the existing discharge chamber at Melrose Road via a new 2000mm X 2000mm box culvert. Three existing stormwater connections to the Olsen Creek will be sealeded off to prevent backflow flooding and increase capacity.</t>
  </si>
  <si>
    <t xml:space="preserve">Construct a new coastal outfall at the base of the cliff below Cliff Road. Construct new inlets, pipes and manholes in Springcombe Road and Cliff Road to capture greater flows. Decommission an existing cliff-top outfall on Cliff Road. </t>
  </si>
  <si>
    <t xml:space="preserve">Multiple major projects to facilitate growth. 
Clinker Place New Lynn
To construct a pipeline to drain the Crown Lynn and Vuksich and Borich sites in order to provide stormwater services for this Special Housing Area for future development by providing conveyance capacity.
Waterview Separation
To provide a new public stormwater network and separate properties that are connected to the combined system which increases capacity to enable a number of SHAs to be serviced by the stormwater network.  
Daventry and Saxon Street Stormwater upgrade
To facilitate  Housing New Zealand redevelopments and improve water quality by reducing wastewater overflows through separating stormwater network from the combined stormwater-wastewater network.
</t>
  </si>
  <si>
    <t>Upgrades to the public stormwater network in Waterview Road, Takanini</t>
  </si>
  <si>
    <t xml:space="preserve">To upgrade the stormwater network to provide an adequate level of service to the catchment area and alleviate flooding and sewer overflows.    </t>
  </si>
  <si>
    <t xml:space="preserve">Upgrade the stormwater system to an adequate level of service and alleviate flooding to the area </t>
  </si>
  <si>
    <t>La Rosa stream daylighting</t>
  </si>
  <si>
    <t>This project is required to resolve a long-standing frequent flooding problem at Mt Albert Grammar School caused by historical piping and building over a tributary of the Meola Creek. Flood waters are often contaminated from sewage overflows resulting from inadequate stormwater drainage and illegal stormwater connections to the wastewater system higher up in the catchment.</t>
  </si>
  <si>
    <t>This project has been initiated as a result of repetated complaint from the local resinents and the local board member regarding extensive flooding, uncontrolled road runoff causing cliff and beach erosionProject initiated to address the flooding from uncontrollrd road runoff, cliff and beach erosion problems complaint received from local residents and the local Board member.</t>
  </si>
  <si>
    <t>Based on the catchment study it was determined that a s/w upgrade was needed to cater for future infill subdivision</t>
  </si>
  <si>
    <t>To provide reduced flooding levels and improved flood protection to residential properties located within the Grand View Road / Peach Parade / Rotomahana Terrace depression area.</t>
  </si>
  <si>
    <t>During the course of the ICS study, flooding hazards were identified at Hawera Road. An upgrade was designed for MPD and has been constructed in stages to accommodate new private development.</t>
  </si>
  <si>
    <t>Purchase easements and land to manage open watercourse.</t>
  </si>
  <si>
    <t>Purely environmental project should be dropped</t>
  </si>
  <si>
    <t>Investigation, design and construction of Mead St upgrade</t>
  </si>
  <si>
    <t>The township of Parakai was identified as requiring improvements to the existing stopbank system as part of the Parakai Integrated Catchment Management Plan.  This was required to reduce the potential hazard of overtopping during adverse weather events.  The Stage 1 work in upgrading the southern section of the stopbanks has been completed and the construction of Stage 2 will further secure the safety of the township against flooding.  The tidal inundation during extreme events is the primary cause of flooding in Parakai, and once completed, the stopbanks will provide protection to approximately 150 houses which are currently within the tidal inundation floodplain.</t>
  </si>
  <si>
    <t xml:space="preserve">Upgrade of collapsed culvert to resolve flooding and increase capacity </t>
  </si>
  <si>
    <t xml:space="preserve">To rehabilitate the existing reticulation, and to provide new reticulation to manage the balance of flows to a 1% AEP storm to protect more than a dozen residential habitable floors, the RSA building and Hawkins Theatre. </t>
  </si>
  <si>
    <t>To replace the stormwater pipes that are in poor condition, upgrade existing stormwater pipes that are undersized and construct a formal overland flow path</t>
  </si>
  <si>
    <t>Project involves extending the public network to the base of the slope and construction of a new outfall</t>
  </si>
  <si>
    <t xml:space="preserve">The park comprises two artificial lakes that serve both as landscape features and stormwater ponds. </t>
  </si>
  <si>
    <t>Carpark works to provide increased capacity and value of the parks</t>
  </si>
  <si>
    <t xml:space="preserve">Redevelopment of the former library building to create a community house that provides community focused activities, services and programmes, designed to promote the overall wellbeing and connectedness of the community, </t>
  </si>
  <si>
    <t>Minor works to increase the capacity in the cycling network.</t>
  </si>
  <si>
    <t>To increase capacity in the sports infrastructure across the region</t>
  </si>
  <si>
    <t>Included in the walking programme which focuses on achieving maximum impact for short trips to the city centre, public transit interchanges, schools and local and metropolitan centres</t>
  </si>
  <si>
    <t xml:space="preserve">New  building to create a community house that provides community focused activities, services and programmes, designed to promote the overall wellbeing and connectedness of the community, </t>
  </si>
  <si>
    <t>Included in programme of work to increase capacity in the recreation park network across the Auckland City Isthmus</t>
  </si>
  <si>
    <t>Pathway development to increase capacity and value of parks</t>
  </si>
  <si>
    <t>Playground development to increase capacity and value of park</t>
  </si>
  <si>
    <t>Development of park to improve capacity and value of park</t>
  </si>
  <si>
    <t>Included in the New Lynn’s transformation programme.</t>
  </si>
  <si>
    <t>Provision of toilet to support increase in usability and value or park</t>
  </si>
  <si>
    <t>Toilet upgrade to support increase in usability and value or park</t>
  </si>
  <si>
    <t xml:space="preserve">Included in the walking programme increasing the network across the North Shore City area </t>
  </si>
  <si>
    <t>Walkway development to support new growth</t>
  </si>
  <si>
    <t>Provision of new open space areas in association with urbanisation of greenfield area</t>
  </si>
  <si>
    <t>Provision of new reserve land to increase the park network to support new growth</t>
  </si>
  <si>
    <t>Development of neighbourhood park to support SHA development</t>
  </si>
  <si>
    <t>Provision of reserve land to increase the open space network in the Manukau City area</t>
  </si>
  <si>
    <t>Investigation, design and construction of the AMETI/Eastern Busway, including Panmure to Pakuranga, Pakuranga town centre and Reeves Road flyover, Ti Rakau busway, and bus facility at Botany Town Centre</t>
  </si>
  <si>
    <t>AMETI programme reconfigured; this portion incorporated into wider programme</t>
  </si>
  <si>
    <t>Delivery of a network of bus and transit lanes throughout the Auckland Region.</t>
  </si>
  <si>
    <t xml:space="preserve">Delivery of bus infrastructure in the CBD, including Wynyard and Fanshawe Street. </t>
  </si>
  <si>
    <t>East West Connections is a programme to improve public transport, walking and cycling options, commuter travel, and freight efficiency</t>
  </si>
  <si>
    <t>Purchase of 57 3-car electric trains to increase capacity in the public transport network</t>
  </si>
  <si>
    <t>A bus and railinterchange at the terminus of the Manukau branch line.</t>
  </si>
  <si>
    <t xml:space="preserve">Lincoln Road Widening Norval - Sel Peacock </t>
  </si>
  <si>
    <t>Lincoln Road widening programme to accommodate additional transit/bus lanes on both sides</t>
  </si>
  <si>
    <t>A new bus-train interchange at Otahuhu Rail Station to contribute to a better connected and more frequent service.</t>
  </si>
  <si>
    <t>Stage 2 of Silverdale Park'n'ride development</t>
  </si>
  <si>
    <t>Widening of the eastern half of Wairau Road between Forrest Hill Drive and Shakespeare Road.</t>
  </si>
  <si>
    <t>Road Corridor Improvement project on Te Atatu Road from School Road/Edmonton Road intersection to SH16.</t>
  </si>
  <si>
    <t>A new two-lane road to improve connections through the western part of Warkworth</t>
  </si>
  <si>
    <t>Roading upgrades in the new Flat Bush growth area</t>
  </si>
  <si>
    <t>Development of new roading infrastructure to cater for new growth area</t>
  </si>
  <si>
    <t>Updated to include GOVT funding</t>
  </si>
  <si>
    <t>Roading infrastructure supporting the Hingaia SHA</t>
  </si>
  <si>
    <t>Extension of roading infrastructure to support new growth area</t>
  </si>
  <si>
    <t>Programme of work to deliver infrastructure requirements to improve public transport network and manage traffic flows</t>
  </si>
  <si>
    <t>Airport to Botany RTN (Investigation and Route Protection)</t>
  </si>
  <si>
    <t>AMETI Eastern Busway Ti Rakau Busway</t>
  </si>
  <si>
    <t>New Footpaths - Regional Programme</t>
  </si>
  <si>
    <t>Programme to construct new and widened footpaths</t>
  </si>
  <si>
    <t>Tamaki Regeneration Transport Programme</t>
  </si>
  <si>
    <t>Matakana Link Road (SH1 to Matakana)</t>
  </si>
  <si>
    <t>Tamaki / Ngapipi Rd safety Improvements (Stg II)</t>
  </si>
  <si>
    <t>Smales Allens Rd Widening and Intersection Upgrade</t>
  </si>
  <si>
    <t>SWG Network Growth_NORSGA GPA</t>
  </si>
  <si>
    <t>SWG Network Growth_Pukekohe GPA</t>
  </si>
  <si>
    <t>Population growth and impervious surface level increases have been used in the modelling to determine apportioning of the growth component costs for the programme.  Growth costs are based on a combination of historical Capex cost data and the average growth component of current projects.  Specific infrastructure requirements will be determined through the development cycle.</t>
  </si>
  <si>
    <t>SWG Network Growth_Otahuhu Middlemore</t>
  </si>
  <si>
    <t xml:space="preserve">N.007040.10  </t>
  </si>
  <si>
    <t>SWCatchment &amp; Asset Planning_Greater Tamaki</t>
  </si>
  <si>
    <t>SWCatchment &amp; Asset Planning_Other</t>
  </si>
  <si>
    <t>Intergenerational equity
% consumed within LTP18-28
 s101(3)(a)(iii)</t>
  </si>
  <si>
    <t>Intergenerational equity
% consumed beyond LTP18-28 
s101(3)(a)(iii)</t>
  </si>
  <si>
    <t>Intergenerational equity
% consumed beyond LTP18-28
 s101(3)(a)(iii)</t>
  </si>
  <si>
    <t>Upgrade of existing pipe to increase stormwater capacity</t>
  </si>
  <si>
    <t>Extention of existing pipe network and development of new overland flow to increase stormwater capacity</t>
  </si>
  <si>
    <t>Neighbourhood Park Land Acquisition - Rural West</t>
  </si>
  <si>
    <t>Neighbourhood Park / Civic Space Land Acquisition - North</t>
  </si>
  <si>
    <t>Neighbourhood Park / Civic Space Land Acquisition - South</t>
  </si>
  <si>
    <t>Neighbourhood Park / Civic Space Land Acquisition - Urban</t>
  </si>
  <si>
    <t>Neighbourhood Park / Civic Space Land Acquisition - Central</t>
  </si>
  <si>
    <t>A programme to address the highest risk urban and rural roads and intersections that require larger scale improvements to address safety deficiencies.  Capital works may include improvements to intersections such as layout or signalisation.  Other capital works in the rural areas may include safety barriers, signage and delineation.  Other capital works in the urban areas may include traffic calming measures such as installation of speed tables, installation of traffic islands, and improved pedestrian crossings.</t>
  </si>
  <si>
    <t>A programme of targeted improvements to address safety and operational deficiencies across AT's road, motorcycle, pedestrian and cycle networks.  Also provides funding to implement smaller improvements recommended in Fatal &amp; Serious Crash Investigations. Capital works may include improvements to changes to intersections such as layout or signalisation, traffic calming measures such as installation of speed tables, installation of traffic islands and safety barriers and improved pedestrian crossings.</t>
  </si>
  <si>
    <t xml:space="preserve">A programme of investment to address safety and operational deficiencies across Auckland's road, motorcycle, pedestrian and cycle networks and speed management interventions within the Auckland Region.  Capital works may include delivery of safety cameras at high risk urban intersections, changes to road layout, traffic calming measures such as installation of speed tables, signage, raised pedestrian crossings and other safety related pedestrian improvements.  </t>
  </si>
  <si>
    <t>Ugrade arterial road to increase capacity in the roading network</t>
  </si>
  <si>
    <t>Investigation, Design and Acquisition for a Link between two halves of Glendhu Road;  Final construction to be undertaken once Glenfield Road Upgrades have been completed.</t>
  </si>
  <si>
    <t>Acquisition of land to increase capacity in the roading network</t>
  </si>
  <si>
    <t>Upgrade to improve transport capacity in a new development area</t>
  </si>
  <si>
    <t xml:space="preserve">New road and upgrade works to increase capacity in the roading network </t>
  </si>
  <si>
    <t>Investigation and design to identify capacity increase requirement to support growth</t>
  </si>
  <si>
    <t>New and upgrade infrastructure in partnership with developer to provide additional capacity in the roading network</t>
  </si>
  <si>
    <t>Construction of the Whangaparaoa library to meet the needs of the Whangapararoa community</t>
  </si>
  <si>
    <t>New collections to support new library developments</t>
  </si>
  <si>
    <t>Supporting works for the new silverdale parkway roading infrastructure</t>
  </si>
  <si>
    <t>Upgrade Toilets and changing Rooms to provide increased capacity</t>
  </si>
  <si>
    <t>Sandcarpet works to increase capacity in the organised sports network</t>
  </si>
  <si>
    <t xml:space="preserve">Redevelopment of the showgrounds to meet future demand arising from population growth in the area (Warkworth Structure Plan). </t>
  </si>
  <si>
    <t>Land acquisition to increase the roading network</t>
  </si>
  <si>
    <t>Duplicate line to increase stormwater capacity</t>
  </si>
  <si>
    <t>New stormwater treatment pond in conjunction with busway project</t>
  </si>
  <si>
    <t>Upgrade works to the existing network to alleviate flooding and to increase stormwater capacity</t>
  </si>
  <si>
    <t>Upgrade intersection at Wainui Road and Silverdale Street to increase capacity for future development</t>
  </si>
  <si>
    <t>Seal Weranui Road to increase roading capacity</t>
  </si>
  <si>
    <t>Road upgrade to support increase traffic demand</t>
  </si>
  <si>
    <t>Upgrade works on Ranfurly Road and Browns Road to increase stormwater capacity</t>
  </si>
  <si>
    <t>Upgrade works to alleviate flooding and increase stormwater capacity</t>
  </si>
  <si>
    <t>Extension of Universal Drive to support development and increase traffic demand</t>
  </si>
  <si>
    <t>Bridge replacement and upgrade to increase capacity to support growth.</t>
  </si>
  <si>
    <t>Removed due to IDF stating replacing critical asset - no change in capacity required</t>
  </si>
  <si>
    <t xml:space="preserve">New integrated facility to meet future demand arising from population growth in the central west area (Community Facilities Network Plan).  </t>
  </si>
  <si>
    <t>Development to meet future demand arising from growth (Community Facilities Network Plan)</t>
  </si>
  <si>
    <t>Adjustment to Benefit and Causation for Growth proportion as Libraries are not to be funded</t>
  </si>
  <si>
    <t>Looks like LOS</t>
  </si>
  <si>
    <t>Looks like LOS/Renewal</t>
  </si>
  <si>
    <t>Couldn't find this project in old NSCC Info</t>
  </si>
  <si>
    <t>Can't Find - Have someone looking but may not get it in time</t>
  </si>
  <si>
    <t>No-one has any details on what this makes up</t>
  </si>
  <si>
    <t>NZTA FUNDING</t>
  </si>
  <si>
    <t>Upgrades, renewals and increases to current collections</t>
  </si>
  <si>
    <t>Investigation and early design work in collaboration with developers for the provision of growth related assets across the stormwater network</t>
  </si>
  <si>
    <t>New pipeline and reticulation to extend existing network</t>
  </si>
  <si>
    <t>New pipeline and reticulation to improve stormwater network</t>
  </si>
  <si>
    <t>A  bus interchange to contribute to a better connected and more frequent service</t>
  </si>
  <si>
    <t>Upgrades and new infrastructure to support redevelopment of New Lynn Town Centre</t>
  </si>
  <si>
    <t>A new bridge connecting traffic from Sturges Rd through to Munroe and Metcalf Roads to improve capacity</t>
  </si>
  <si>
    <t>New Stormwater pond to support new growth area</t>
  </si>
  <si>
    <t>Modify all existing ponds stormwater treatment devices and appropriate maintenance program to improve stormwater capacity</t>
  </si>
  <si>
    <t>Enhance Rosedale ponds including stormwater treatment devices to improve stormwater capacity</t>
  </si>
  <si>
    <t>Riparian enhancement of upper main channel to improve stormwater capacity</t>
  </si>
  <si>
    <t>Programme of work to increase and improve roading capacity alongside renewal programme</t>
  </si>
  <si>
    <t>12 Larnoch Road SW Upgrade</t>
  </si>
  <si>
    <t>13 Riverview Road to Rimu Street, New Lynn</t>
  </si>
  <si>
    <t xml:space="preserve">15 Aquarius Avenue, Glen Eden </t>
  </si>
  <si>
    <t>16 George Herring Pl to 83A Woodglen Rd SW duplicating</t>
  </si>
  <si>
    <t xml:space="preserve">193 Henderson Valley Road Stormwater Channel Upgrade </t>
  </si>
  <si>
    <t xml:space="preserve">2/20 Kamara Road to 55 Rosier Road, Glen Eden </t>
  </si>
  <si>
    <t>30 Crompton Rd SW Upgrade</t>
  </si>
  <si>
    <t xml:space="preserve">30 Surman Place to 18 Glen Close, Glen Eden </t>
  </si>
  <si>
    <t xml:space="preserve">46 Kamara Rd to 25 Kamara Rd, Glen Eden </t>
  </si>
  <si>
    <t>52 – 40 Woodfern Crescent SW Upgrading</t>
  </si>
  <si>
    <t xml:space="preserve">7 Cedar Heights Ave SW Upgrade </t>
  </si>
  <si>
    <t>Birdwood Growth Areas Structure Plan</t>
  </si>
  <si>
    <t>Meilland Place duplicating line</t>
  </si>
  <si>
    <t>Netherlands Ave Great North Road Storm water Extension</t>
  </si>
  <si>
    <t>Sand Filter (Woodfern Crescent)</t>
  </si>
  <si>
    <t>Sand Filter or Storm Filter (Godley Reserve)</t>
  </si>
  <si>
    <t>Riparian and stream bank planting to mitigate existing erosion and future growth related flows</t>
  </si>
  <si>
    <t>Instream works to strengthen stream banks and beds  to mitigate existing erosion and future growth related flows.</t>
  </si>
  <si>
    <t>Instream works to strengthen stream banks and beds  to mitigate existing erosion and future growth related flows.</t>
  </si>
  <si>
    <t>SWCatchment &amp; Asset Planning_Mahurangi Harbour</t>
  </si>
  <si>
    <t>Bobbi ID</t>
  </si>
  <si>
    <t>Net revenue paid off</t>
  </si>
  <si>
    <t>Foregone revenue</t>
  </si>
  <si>
    <t>New CI Trans</t>
  </si>
  <si>
    <t>PC3200671</t>
  </si>
  <si>
    <t>PC3200792</t>
  </si>
  <si>
    <t>PC 2140139</t>
  </si>
  <si>
    <t>PC3200778</t>
  </si>
  <si>
    <t>Multi-use community facility (Flatbush)</t>
  </si>
  <si>
    <t>Sunderland Lounge - exterior and interior renewal</t>
  </si>
  <si>
    <t>Hobsonville Headquarters - redevelopment, exterior landscaping and car park construction</t>
  </si>
  <si>
    <t>Avondale – develop new community centre and library</t>
  </si>
  <si>
    <t>Takanini Library</t>
  </si>
  <si>
    <t>Whau Recreation Centre</t>
  </si>
  <si>
    <t>Aqua-rec-sports centre (Flat bush)</t>
  </si>
  <si>
    <t>YFTRH - HM - Te Rangi Hiroa Reserve Youth Facility</t>
  </si>
  <si>
    <t>Te Puke O Tara Community Centre - refurbish centre</t>
  </si>
  <si>
    <t>Fix</t>
  </si>
  <si>
    <t>Lib</t>
  </si>
  <si>
    <t>Total spend</t>
  </si>
  <si>
    <t>Previous Hist</t>
  </si>
  <si>
    <t>Previous foregone</t>
  </si>
  <si>
    <t>New forgone</t>
  </si>
  <si>
    <t>Total foregone</t>
  </si>
  <si>
    <t>Westgate - develop multipurpose facility and town square;</t>
  </si>
  <si>
    <t>STW A29</t>
  </si>
  <si>
    <t>STW A27</t>
  </si>
  <si>
    <t>STW A3</t>
  </si>
  <si>
    <t>STW A21</t>
  </si>
  <si>
    <t>STW A30</t>
  </si>
  <si>
    <t>STW A16</t>
  </si>
  <si>
    <t>STW A17</t>
  </si>
  <si>
    <t>STW A2</t>
  </si>
  <si>
    <t>STW A26</t>
  </si>
  <si>
    <t>STW A18</t>
  </si>
  <si>
    <t>STW A11</t>
  </si>
  <si>
    <t>STW A25</t>
  </si>
  <si>
    <t>STW A1</t>
  </si>
  <si>
    <t>STW A4</t>
  </si>
  <si>
    <t>STW A13</t>
  </si>
  <si>
    <t>STW A5</t>
  </si>
  <si>
    <t>STW A6</t>
  </si>
  <si>
    <t>STW A24</t>
  </si>
  <si>
    <t>STW A9</t>
  </si>
  <si>
    <t>STW A15</t>
  </si>
  <si>
    <t>STW A22</t>
  </si>
  <si>
    <t>STW A10</t>
  </si>
  <si>
    <t>STW A12</t>
  </si>
  <si>
    <t>STW A14</t>
  </si>
  <si>
    <t>STW A19</t>
  </si>
  <si>
    <t>STW A23</t>
  </si>
  <si>
    <t>STW A32</t>
  </si>
  <si>
    <t>STW A33</t>
  </si>
  <si>
    <t>STW A7</t>
  </si>
  <si>
    <t>STW A8</t>
  </si>
  <si>
    <t>STW A42</t>
  </si>
  <si>
    <t>STW A34</t>
  </si>
  <si>
    <t>STW A41</t>
  </si>
  <si>
    <t>STW A37</t>
  </si>
  <si>
    <t>STW A20</t>
  </si>
  <si>
    <t>STW A28</t>
  </si>
  <si>
    <t>STW A31</t>
  </si>
  <si>
    <t>STW A35</t>
  </si>
  <si>
    <t>STW A36</t>
  </si>
  <si>
    <t>STW A38</t>
  </si>
  <si>
    <t>STW A39</t>
  </si>
  <si>
    <t>STW A40</t>
  </si>
  <si>
    <t>STW A43</t>
  </si>
  <si>
    <t>STW A44</t>
  </si>
  <si>
    <t>STW A45</t>
  </si>
  <si>
    <t>STW A46</t>
  </si>
  <si>
    <t>STW A47</t>
  </si>
  <si>
    <t>STW A48</t>
  </si>
  <si>
    <t>STW A49</t>
  </si>
  <si>
    <t>STW A50</t>
  </si>
  <si>
    <t>Regional</t>
  </si>
  <si>
    <t>Standard</t>
  </si>
  <si>
    <t>Sub-regional</t>
  </si>
  <si>
    <t>Special_HIF_int_adj</t>
  </si>
  <si>
    <t>Special_Milldale</t>
  </si>
  <si>
    <t>Special_HIF</t>
  </si>
  <si>
    <t>New funding area</t>
  </si>
  <si>
    <t>Old funding area</t>
  </si>
  <si>
    <t>Summary of revenue by activity</t>
  </si>
  <si>
    <t>Planned_capex</t>
  </si>
  <si>
    <t>Department</t>
  </si>
  <si>
    <t>Hyperion code</t>
  </si>
  <si>
    <t>WBS code</t>
  </si>
  <si>
    <t>Sentient ID</t>
  </si>
  <si>
    <t>Project / programme name</t>
  </si>
  <si>
    <t>Project/Programme description</t>
  </si>
  <si>
    <t>Local Board</t>
  </si>
  <si>
    <t>LTP activity</t>
  </si>
  <si>
    <t>Funding area description</t>
  </si>
  <si>
    <t>Growth
%</t>
  </si>
  <si>
    <t>Level of Service 
%</t>
  </si>
  <si>
    <t>Renewal
%</t>
  </si>
  <si>
    <t>Benefit considerations  % benefit to growth
s101(3)(a)(ii)</t>
  </si>
  <si>
    <t xml:space="preserve">Cause considerations % caused by growth
s101(3)(a)(iv) </t>
  </si>
  <si>
    <t>In which FY will the asset reach full capacity?
 s101(3)(a)(iii)</t>
  </si>
  <si>
    <t>Revenue from external sources</t>
  </si>
  <si>
    <t>Funding area code</t>
  </si>
  <si>
    <t>Local / Wider</t>
  </si>
  <si>
    <t>LTP Group of activities</t>
  </si>
  <si>
    <t>Funded from other sources $</t>
  </si>
  <si>
    <t>Funded from other sources %</t>
  </si>
  <si>
    <t>List of tables used for validation lists</t>
  </si>
  <si>
    <t>Local boards</t>
  </si>
  <si>
    <t>Albert-Eden</t>
  </si>
  <si>
    <t>Aotea/Great Barrier</t>
  </si>
  <si>
    <t>Devonport-Takapuna</t>
  </si>
  <si>
    <t>Franklin</t>
  </si>
  <si>
    <t>Henderson-Massey</t>
  </si>
  <si>
    <t>Hibiscus and Bays</t>
  </si>
  <si>
    <t>Howick</t>
  </si>
  <si>
    <t>Kaipatiki</t>
  </si>
  <si>
    <t>Mangere</t>
  </si>
  <si>
    <t>Manurewa</t>
  </si>
  <si>
    <t>Mangakiekie-Tamaki</t>
  </si>
  <si>
    <t>Orakei</t>
  </si>
  <si>
    <t>Otara-Paptoetoe</t>
  </si>
  <si>
    <t>Papakura</t>
  </si>
  <si>
    <t>Puketapapa</t>
  </si>
  <si>
    <t>Rodney</t>
  </si>
  <si>
    <t>Upper Harbour</t>
  </si>
  <si>
    <t>Waitakere</t>
  </si>
  <si>
    <t>Waitemata</t>
  </si>
  <si>
    <t>Whau</t>
  </si>
  <si>
    <t>STW - stormwater</t>
  </si>
  <si>
    <t>CI - Community infrastructure</t>
  </si>
  <si>
    <t>OSD - Open space development</t>
  </si>
  <si>
    <t>OSL - Open space land acquisition</t>
  </si>
  <si>
    <t>TRA - Transport</t>
  </si>
  <si>
    <t>PTR - Public transport</t>
  </si>
  <si>
    <t>Regional planning</t>
  </si>
  <si>
    <t>Regulatory services</t>
  </si>
  <si>
    <t>Waste services</t>
  </si>
  <si>
    <t>Enviromental services</t>
  </si>
  <si>
    <t>Emergency management</t>
  </si>
  <si>
    <t>Organisational support</t>
  </si>
  <si>
    <t>Regional governance</t>
  </si>
  <si>
    <t>3rd party amenitiy and grant</t>
  </si>
  <si>
    <t>Regional community services</t>
  </si>
  <si>
    <t>Regionally Delivered  Council Services</t>
  </si>
  <si>
    <t>Local planning and development</t>
  </si>
  <si>
    <t>Local environmental management</t>
  </si>
  <si>
    <t>Local goverenance</t>
  </si>
  <si>
    <t>Local community services</t>
  </si>
  <si>
    <t>Local Council Services</t>
  </si>
  <si>
    <t>Development Auckland</t>
  </si>
  <si>
    <t>Economic growth and vistor economy</t>
  </si>
  <si>
    <t>Regional facilities</t>
  </si>
  <si>
    <t>Investment</t>
  </si>
  <si>
    <t>Local Controlled Services</t>
  </si>
  <si>
    <t>LTP GoA</t>
  </si>
  <si>
    <t>LTP Activity</t>
  </si>
  <si>
    <t>Combined Activity and funding area</t>
  </si>
  <si>
    <t>Reserve Acquisition</t>
  </si>
  <si>
    <t>Community infrastructure</t>
  </si>
  <si>
    <t>Reserve Development</t>
  </si>
  <si>
    <t>Flat Bush GPA</t>
  </si>
  <si>
    <t>Description</t>
  </si>
  <si>
    <t>Funding Area Code</t>
  </si>
  <si>
    <t>2021 (YTD actuals)</t>
  </si>
  <si>
    <t>2021 revenue projection for rest of year</t>
  </si>
  <si>
    <t>2021 budget</t>
  </si>
  <si>
    <t>Mapping of old funding areas to new funding areas</t>
  </si>
  <si>
    <t>Old funding area code</t>
  </si>
  <si>
    <t>Old funding area description</t>
  </si>
  <si>
    <t>New funding area code</t>
  </si>
  <si>
    <t>New funding area description</t>
  </si>
  <si>
    <t>Percentage of old funding areathat applies to new funding area</t>
  </si>
  <si>
    <t>May need to add in additional lines for new funding areas to allow for a one to many split</t>
  </si>
  <si>
    <t>Manurewa / Papakura GPA</t>
  </si>
  <si>
    <t>DC revenue projections and budget</t>
  </si>
  <si>
    <t>Budget per model</t>
  </si>
  <si>
    <t>Revised budget</t>
  </si>
  <si>
    <t>Revised budget approved due to COVID impacts</t>
  </si>
  <si>
    <t>May need to revise 2021 revenue projection depending on how actual DC revenue is tracking</t>
  </si>
  <si>
    <t>Area Local/Wider</t>
  </si>
  <si>
    <t xml:space="preserve">Cost attributable to existing (E) 
</t>
  </si>
  <si>
    <t>Set up validation lists DC activity, LTP activity and funding area description</t>
  </si>
  <si>
    <t>Groups populate the data under the blue highlighted header. The fields under the green highlighted header are calculated automatically</t>
  </si>
  <si>
    <t>Last year for LTP</t>
  </si>
  <si>
    <t>Budget figure from previous DC funding model</t>
  </si>
  <si>
    <t>Set starting year for LTP:</t>
  </si>
  <si>
    <t>Sheet Type</t>
  </si>
  <si>
    <t>FA_Codes</t>
  </si>
  <si>
    <t>Lists</t>
  </si>
  <si>
    <t>Planned_capex_starting_position</t>
  </si>
  <si>
    <t>Category</t>
  </si>
  <si>
    <t>Tab Colour</t>
  </si>
  <si>
    <t>Red</t>
  </si>
  <si>
    <t>Contains codes, values, and definitions which are used throughout the model</t>
  </si>
  <si>
    <t>Light Green</t>
  </si>
  <si>
    <t>Output</t>
  </si>
  <si>
    <t>Orange</t>
  </si>
  <si>
    <t>Check of totals</t>
  </si>
  <si>
    <t>Unique identifier</t>
  </si>
  <si>
    <t>Count of unique identifier</t>
  </si>
  <si>
    <t>Unique identifier for schedule 8 - Planned capex projects</t>
  </si>
  <si>
    <t>Albany Lakes Development- Civic Park  CI A16 1 2029 1</t>
  </si>
  <si>
    <t>Auckland Art Gallery CI A1 0.188 2042 0.476190476190476</t>
  </si>
  <si>
    <t>Auckland Museum Surrounds and Cenotaph CI A1 0.2 2028 1</t>
  </si>
  <si>
    <t>Changing Facility (Ashley Reserve) CI A16 1 2028 1</t>
  </si>
  <si>
    <t>Churchill Park development Stage 2 CI A18 1 2028 1</t>
  </si>
  <si>
    <t>Community Infrastructure (Franklin) CI A14 1 2028 1</t>
  </si>
  <si>
    <t>Crossfield Reserve Training Lights CI A18 1 2028 1</t>
  </si>
  <si>
    <t>Cycleways And Walkways CI A1 0.25 2028 1</t>
  </si>
  <si>
    <t>Cycleways and Walkways (Orewa West) CI A15 0.5 2028 1</t>
  </si>
  <si>
    <t>Cycling (Sanders Reserve) CI A16 0.75 2028 1</t>
  </si>
  <si>
    <t>General Park Development (ACC) CI A18 1 2028 1</t>
  </si>
  <si>
    <t>Hall Upgrade (Stillwater) CI A22 0.34 2028 1</t>
  </si>
  <si>
    <t>Harvey Wright Training Field CI A16 1 2028 1</t>
  </si>
  <si>
    <t>Lake Town Green Reserve CI A16 1 2028 1</t>
  </si>
  <si>
    <t>Library Build CI A1 0.55 2028 1</t>
  </si>
  <si>
    <t>Library Build (Ranui) CI A1 0.23 2028 1</t>
  </si>
  <si>
    <t>Library Build (Te Atatu Peninsula) CI A1 0.72 2028 1</t>
  </si>
  <si>
    <t>Library Build (Wellsford) CI A1 0.57 2032 0.909090909090909</t>
  </si>
  <si>
    <t>Library Build (Whangaparaoa) CI A1 0.3 2029 1</t>
  </si>
  <si>
    <t>Library Collections (ACC) CI A1 0.03 2028 1</t>
  </si>
  <si>
    <t>Library Collections (New Builds) CI A1 0.72 2028 1</t>
  </si>
  <si>
    <t>Library Extension (Devonport) CI A1 0.43 2028 1</t>
  </si>
  <si>
    <t>Library Extension / Replacement (Birkenhead) CI A1 0.43 2028 1</t>
  </si>
  <si>
    <t>Maritime Recreational Fund Development (MCC) CI A19 0.5 2028 1</t>
  </si>
  <si>
    <t>Otahuhu Recreation Precinct CI A19 0.5 2028 1</t>
  </si>
  <si>
    <t>Pathway (Normanton Reserve) CI A16 0.7522 2028 1</t>
  </si>
  <si>
    <t>Pathway / Bridge (Murrays Bay) CI A16 0.7522 2028 1</t>
  </si>
  <si>
    <t>Playground (Kell Park) CI A16 1 2028 1</t>
  </si>
  <si>
    <t>Playground (Kennedy Park) CI A16 0.8065 2028 1</t>
  </si>
  <si>
    <t>Playground (Matakana) CI A21 0.34 2028 1</t>
  </si>
  <si>
    <t>Playground (Wainoni Park) CI A16 1 2028 1</t>
  </si>
  <si>
    <t>Playground Upgrades (WCC) CI A17 0.36 2028 1</t>
  </si>
  <si>
    <t>Recreational Reserve (Waiuku) CI A24 1 2028 1</t>
  </si>
  <si>
    <t>Regeneration project (New Lynn) CI A17 1 2028 1</t>
  </si>
  <si>
    <t>Toilet (Ashley Reserve) CI A16 1 2028 1</t>
  </si>
  <si>
    <t>Toilet (Fowlds Park) CI A18 0.3 2028 1</t>
  </si>
  <si>
    <t>Toilet (Lynn Reserve) CI A16 1 2028 1</t>
  </si>
  <si>
    <t>Toilet (Marlborough Park 2004) CI A16 1 2028 1</t>
  </si>
  <si>
    <t>Toilet (Moana Reserve) CI A15 1 2028 1</t>
  </si>
  <si>
    <t>Toilet (Normanton Reserve 2004) CI A16 1 2028 1</t>
  </si>
  <si>
    <t>Toilet (Rosedale Park) CI A16 1 2028 1</t>
  </si>
  <si>
    <t>Toilet block replacement (Browns Bay / Hadfields Beach) CI A16 0.34 2028 1</t>
  </si>
  <si>
    <t>Toilet design (Puhoi) CI A21 1 2028 1</t>
  </si>
  <si>
    <t>Toilet Major Upgrade/Renewal (Martins Bay) CI A21 0.8 2029 1</t>
  </si>
  <si>
    <t>Toilet replacement (Matheson Bay) CI A21 0.8 2029 1</t>
  </si>
  <si>
    <t>Town square PC15 (Massey North) CI A7 0.625 2028 1</t>
  </si>
  <si>
    <t>Waiheke Service Centre CI A26 0.0476046153846154 2028 1</t>
  </si>
  <si>
    <t>Warkworth Showgrounds Stage 2 CI A1 1 2029 1</t>
  </si>
  <si>
    <t>Warkworth Showgrounds Stage 3 CI A1 1 2028 1</t>
  </si>
  <si>
    <t>Wynyard Quarter Central Precinct Public Works CI A1 0.65 2035 0.714285714285714</t>
  </si>
  <si>
    <t>Wynyard Quarter Central Precinct Public Works CI A1 0.65 2032 0.909090909090909</t>
  </si>
  <si>
    <t>Youth Facility In Parks (Albany) CI A16 0.5 2028 1</t>
  </si>
  <si>
    <t>Coastal Land Acquisition OSL A16 1 2048 0.37037037037037</t>
  </si>
  <si>
    <t>Neighbourhood Park Land Acquisition - North OSL A8 0.82 2028 1</t>
  </si>
  <si>
    <t>Neighbourhood Park Land Acquisition - Northwest OSL A7 0.82 2028 1</t>
  </si>
  <si>
    <t>Neighbourhood Park Land Acquisition - South OSL A9 0.82 2028 1</t>
  </si>
  <si>
    <t>Neighbourhood Park Land Acquisition - Urban OSL A3 0.82 2028 1</t>
  </si>
  <si>
    <t>Organised Sport Park Acquisition - North-West OSL A7 0.82 2028 1</t>
  </si>
  <si>
    <t>Organised Sport Park Acquisition - South OSL A9 0.82 2028 1</t>
  </si>
  <si>
    <t>Park Development (Weymouth) OSL A19 0.75 2028 1</t>
  </si>
  <si>
    <t>Park Land Acquisition (Manukau) OSL A19 1 2028 1</t>
  </si>
  <si>
    <t>Park Land Acquisition (North Shore) OSL A16 1 2028 1</t>
  </si>
  <si>
    <t>Suburb Park Land Acquisition - North OSL A8 0.82 2028 1</t>
  </si>
  <si>
    <t>Suburb Park Land Acquisition - North-West OSL A7 0.82 2028 1</t>
  </si>
  <si>
    <t>Suburb Park Land Acquisition - South OSL A9 0.82 2028 1</t>
  </si>
  <si>
    <t>Suburb Park Land Acquisition - Urban OSL A3 0.82 2028 1</t>
  </si>
  <si>
    <t>AMETI Busway Panmure to Botany PTR A1 0.23 2035 0.714285714285714</t>
  </si>
  <si>
    <t>AMETI Eastern Busway Ti Raukau Busway PTR A1 0.23 2035 0.714285714285714</t>
  </si>
  <si>
    <t>AMETI Morin to Merton; Package 1 PTR A1 0.23 2035 0.714285714285714</t>
  </si>
  <si>
    <t>Manukau Bus Interchange (Lot 59) PTR A1 0.11 2035 0.714285714285714</t>
  </si>
  <si>
    <t>Northern Busway - Akoranga Station PTR A1 0.2387 2028 1</t>
  </si>
  <si>
    <t>Northern Busway - Albany Station PTR A1 0.2158 2028 1</t>
  </si>
  <si>
    <t>Northern Busway - Constellation Station PTR A1 0.1889 2028 1</t>
  </si>
  <si>
    <t>Northern Busway - Sunnynook Station PTR A1 0.1627 2028 1</t>
  </si>
  <si>
    <t>Northern Busway - Westlake Station PTR A1 0.41 2028 1</t>
  </si>
  <si>
    <t>Public Transport and Travel Demand Management PTR A1 0.0580944502391828 2032 0.909090909090909</t>
  </si>
  <si>
    <t>Transport - Land Acquisitions (SWAMMCP) PTR A1 0.250000006439599 2028 1</t>
  </si>
  <si>
    <t>Wiri EMU Depot Extension (Wiri II) PTR A1 0.11 2035 0.714285714285714</t>
  </si>
  <si>
    <t>Albany Centre Lake-Lucas Pond No.9 STW A27 0.3368 2057 0.277777777777778</t>
  </si>
  <si>
    <t>Beach Road to Freyberg Park STW A3 0.2775 2057 0.277777777777778</t>
  </si>
  <si>
    <t>Denby Lane (Stafford Park) STW A27 0.1619 2057 0.277777777777778</t>
  </si>
  <si>
    <t>FDC Catchment Management Plan Projects - Stormwater A Zone STW A30 1 2028 1</t>
  </si>
  <si>
    <t>FDC Catchment Management Plan Projects - Stormwater B Zone STW A16 1 2028 1</t>
  </si>
  <si>
    <t>Flood Protection - Hillcrest - Barrys Point Road STW A3 0.4157 2057 0.277777777777778</t>
  </si>
  <si>
    <t>Masons Road - Lucas Pond No. 3 STW A27 0.3368 2057 0.277777777777778</t>
  </si>
  <si>
    <t>NSCC Citywide - Coastal Outfalls (Share) STW A27 0.333333326366814 2057 0.277777777777778</t>
  </si>
  <si>
    <t>NSCC Citywide - Coastal Outfalls (Share) STW A3 0.333333326366814 2057 0.277777777777778</t>
  </si>
  <si>
    <t>NSCC Citywide - Fish Passage Improvements &amp; Outfall Erosion (Share) STW A27 0.333333333333333 2057 0.277777777777778</t>
  </si>
  <si>
    <t>NSCC Citywide - Fish Passage Improvements &amp; Outfall Erosion (Share) STW A3 0.333333333333333 2057 0.277777777777778</t>
  </si>
  <si>
    <t>NSCC Citywide - Minor Capital Works  (Share) STW A27 0.333333330682034 2057 0.277777777777778</t>
  </si>
  <si>
    <t>NSCC Citywide - Minor Capital Works  (Share) STW A3 0.333333330682034 2057 0.277777777777778</t>
  </si>
  <si>
    <t>NSCC Citywide - Safety Fences - Various Sites (Share) STW A27 0.333333333333333 2050 0.344827586206897</t>
  </si>
  <si>
    <t>NSCC Citywide - Safety Fences - Various Sites (Share) STW A3 0.333333333333333 2050 0.344827586206897</t>
  </si>
  <si>
    <t>NSCC Citywide - Stream Planting by Community Groups (Share) STW A27 0.333333322700638 2057 0.277777777777778</t>
  </si>
  <si>
    <t>NSCC Citywide - Stream Planting by Community Groups (Share) STW A3 0.333333322700638 2057 0.277777777777778</t>
  </si>
  <si>
    <t>NSCC Citywide - Stream Rehabilitation Works (Share) STW A27 0.333333333506499 2057 0.277777777777778</t>
  </si>
  <si>
    <t>NSCC Citywide - Stream Rehabilitation Works (Share) STW A3 0.333333333506499 2057 0.277777777777778</t>
  </si>
  <si>
    <t>NSCC Citywide - Subdivisional Contributions (Share) STW A27 0.333333330682023 2057 0.277777777777778</t>
  </si>
  <si>
    <t>NSCC Citywide - Subdivisional Contributions (Share) STW A3 0.333333330682023 2057 0.277777777777778</t>
  </si>
  <si>
    <t>Oteha Valley Road - Lucas Creek Pond 1 STW A27 0.5176 2057 0.277777777777778</t>
  </si>
  <si>
    <t>Stormwater flood alleviation (ACC) STW A2 0.46 2028 1</t>
  </si>
  <si>
    <t>Stormwater flood alleviation (ACC) STW A26 0.46 2028 1</t>
  </si>
  <si>
    <t>Stormwater PC15 (Totara ponds) STW A18 0.299200679542587 2028 1</t>
  </si>
  <si>
    <t>SW Catchment plan Otara Creek - Flat Bush STW A4 0.15 2028 1</t>
  </si>
  <si>
    <t>SW Programme - design &amp; management Plan (ACC) STW A2 0.46 2028 1</t>
  </si>
  <si>
    <t>SW Programme - design &amp; management Plan (ACC) STW A26 0.46 2028 1</t>
  </si>
  <si>
    <t>SW_AR_Major renewal and upgrades - Marine Parade STW A26 0.1 2028 1</t>
  </si>
  <si>
    <t>SW_AR_Major renewal and upgrades - St Andrews Rd STW A26 0.1 2028 1</t>
  </si>
  <si>
    <t>SW_AR_Pond renewal and rehabilitation - Onepoto dams STW A27 0.1 2028 1</t>
  </si>
  <si>
    <t>SW_EP_Contaminant - Croftfield Lane wetland STW A3 0.05 2028 1</t>
  </si>
  <si>
    <t>SW_FPC_Flood control projects - Madills Farm STW A26 0.3 2028 1</t>
  </si>
  <si>
    <t>SW_FPC_Flood control projects - Mead Street STW A11 0.3 2028 1</t>
  </si>
  <si>
    <t>SW_FPC_Flood control projects - Olsen Ave STW A26 0.3 2028 1</t>
  </si>
  <si>
    <t>SW_G_GPA - CBD STW A2 0.6 2028 1</t>
  </si>
  <si>
    <t>SW_G_GPA - Manurewa Papakura -  Waterview Rd pipe STW A6 0.9 2028 1</t>
  </si>
  <si>
    <t>SWEI 9-11 Kawakawa Bay outfall improvement STW A24 0.15 2028 1</t>
  </si>
  <si>
    <t>SWFA Arimu Rd Pipe STW A6 0.15 2028 1</t>
  </si>
  <si>
    <t>SWFA Ascot Ave to Ellerslie Racecourse Stage 1 STW A26 0.15 2028 1</t>
  </si>
  <si>
    <t>SWFA Mead St East STW A11 0.15 2028 1</t>
  </si>
  <si>
    <t>SWFA Parakai stopbanks STW A9 0.15 2028 1</t>
  </si>
  <si>
    <t>SWFA Wood St to Ray Small Drive Pipeline STW A6 0.15 2028 1</t>
  </si>
  <si>
    <t>SWG Parallel development (Takanini) STW A5 1 2028 1</t>
  </si>
  <si>
    <t>SWG Parallel development (Takanini) STW A6 1 2028 1</t>
  </si>
  <si>
    <t>Taiorahi - New Reticulation - Clematis 13 STW A3 0.31 2057 0.277777777777778</t>
  </si>
  <si>
    <t>Albany Highway (Schnapper Rock Road to State Highway 17) TRA A2 0.4148 2054 0.303030303030303</t>
  </si>
  <si>
    <t>Albany Highway Upgrade TRA A2 0.43 2028 1</t>
  </si>
  <si>
    <t>Anzac Street Corridor TRA A2 0.34 2041 0.5</t>
  </si>
  <si>
    <t>Bridge Replacement Wainui No 2 TRA A2 0.42 2029 1</t>
  </si>
  <si>
    <t>Bush Road / Rosedale Road Improvements TRA A2 0.4605 2031 1</t>
  </si>
  <si>
    <t>Bush Road Improvements TRA A2 0.4745 2037 0.625</t>
  </si>
  <si>
    <t>Clark Street Reconstruction [Growth Portion Only] TRA A4 1 2028 1</t>
  </si>
  <si>
    <t>Wynyard Quarter Integrated Programme - Daldy Street Upgrade TRA A3 0.18 2030 1</t>
  </si>
  <si>
    <t>Dominion Road TRA A3 0.35 2042 0.476190476190476</t>
  </si>
  <si>
    <t>Esmonde Road (Lake Rd to Assembly of God) TRA A2 0.1918 2028 1</t>
  </si>
  <si>
    <t>Flat Bush Upgrades TRA A5 0.215 2028 1</t>
  </si>
  <si>
    <t>Footpath Construction 2004-2008 [Growth Portion Only] (WCC) TRA A4 1 2028 1</t>
  </si>
  <si>
    <t>Gills Road Link TRA A12 0.7545 2035 0.714285714285714</t>
  </si>
  <si>
    <t>Gills Road to Oteha Valley Road TRA A2 0.85 2042 0.476190476190476</t>
  </si>
  <si>
    <t>Glendhu Road Upgrading and Link TRA A2 0.44 2028 1</t>
  </si>
  <si>
    <t>Glenfield Road (Bentley to Sunset) TRA A2 0.22 2028 1</t>
  </si>
  <si>
    <t>Great North Road - Henderson [Growth Portion Only] TRA A4 1 2028 1</t>
  </si>
  <si>
    <t>Greville Road (Hugh Green Drive to SH1) TRA A2 0.9104 2044 0.434782608695652</t>
  </si>
  <si>
    <t>HBC Rds-Knowledge Econony Zone Parkway TRA A2 1 2029 1</t>
  </si>
  <si>
    <t>Henderson Transport Interchange [Growth Portion Only] TRA A4 1 2028 1</t>
  </si>
  <si>
    <t>Hingaia Kuhanui Stage 1 TRA A5 0.8 2028 1</t>
  </si>
  <si>
    <t>Hingaia Oakland Rd/Hingaia Rd Inter TRA A5 0.8 2028 1</t>
  </si>
  <si>
    <t>Hingaia Road Widening TRA A5 0.8 2028 1</t>
  </si>
  <si>
    <t>Hobsonville Interchange [Growth Portion Only] TRA A4 1 2057 0.277777777777778</t>
  </si>
  <si>
    <t>Improved Illumination of Local Roads 2004 to 2008 [Growth Portion Only] TRA A4 1 2039 0.555555555555556</t>
  </si>
  <si>
    <t>Improvements Complementing Development TRA A2 0.87 2037 0.625</t>
  </si>
  <si>
    <t>Kaipatiki Crossing TRA A2 0.2641 2049 0.357142857142857</t>
  </si>
  <si>
    <t>Kumeu/Huapai SHA Station Road Intersection  TRA A4 0.91 2035 0.714285714285714</t>
  </si>
  <si>
    <t>Kyle Road Reconstruction TRA A2 0.51 2028 1</t>
  </si>
  <si>
    <t>Land Purchase - Whangaparaoa Rd Capacity Improvement Brightside-Arklow (PR) TRA A2 0.47 2028 1</t>
  </si>
  <si>
    <t>Lincoln Road Widening Norval - Sel Peacock  TRA A4 0.18 2028 1</t>
  </si>
  <si>
    <t>Lonely Track / Gills/Albany Heights Intersection-Stage 2 TRA A12 0.972826756316627 2049 0.357142857142857</t>
  </si>
  <si>
    <t>Lonely Track Road/Fairview Ave Intersection TRA A2 0.1895 2050 0.344827586206897</t>
  </si>
  <si>
    <t>Long Bay Structural Plan TRA A2 1 2043 0.454545454545455</t>
  </si>
  <si>
    <t>Mansel Drive Extension TRA A2 1 2029 1</t>
  </si>
  <si>
    <t>Medallion Drive Link TRA A12 0.78 2035 0.714285714285714</t>
  </si>
  <si>
    <t>Minor Safety 2004/5 to 2008/09 [Growth Portion Only] TRA A4 1 2039 0.555555555555556</t>
  </si>
  <si>
    <t>New Lynn Town Centre (non sub) [Growth Portion Only] TRA A4 1 2028 1</t>
  </si>
  <si>
    <t>New Lynn Town Centre [Growth Portion Only] TRA A4 1 2028 1</t>
  </si>
  <si>
    <t>NORSGA PC 14 Hobsonville Village TRA A4 0.38 2028 1</t>
  </si>
  <si>
    <t>Orewa LINK Rd-East Leg TRA A2 0.42 2032 0.909090909090909</t>
  </si>
  <si>
    <t>Orewa LINK Rd-East Leg Land TRA A2 0.42 2032 0.909090909090909</t>
  </si>
  <si>
    <t>Paremoremo Rd Upgrading - Stage 1 TRA A2 0.1782 2050 0.344827586206897</t>
  </si>
  <si>
    <t>Paremoremo Rd Upgrading - Stage 2 TRA A2 0.0697 2050 0.344827586206897</t>
  </si>
  <si>
    <t>Paremoremo Rd Upgrading - Stage 3 TRA A2 0.2396 2050 0.344827586206897</t>
  </si>
  <si>
    <t>Paremoremo Rd Upgrading - Stage 4 TRA A2 0.6436 2050 0.344827586206897</t>
  </si>
  <si>
    <t>Paremuka (Munroe) Bridge [Growth Portion Only] TRA A4 1 2028 1</t>
  </si>
  <si>
    <t>Pedestrian Signals 2005 to 2008 [Growth Portion Only] TRA A4 1 2039 0.555555555555556</t>
  </si>
  <si>
    <t>Plan Change 15 - NZRPG IFA [Growth Portion Only] TRA A4 1 2028 1</t>
  </si>
  <si>
    <t>Queen Street Upgrade Stage 4 TRA A3 0.803 2028 1</t>
  </si>
  <si>
    <t>Road base (ACC) TRA A3 0.095 2028 1</t>
  </si>
  <si>
    <t>Rosedale Road Improvements TRA A2 0.37 2050 0.344827586206897</t>
  </si>
  <si>
    <t>Seal Extensions - R&amp;T- Weranui Rd TRA A2 0.42 2029 1</t>
  </si>
  <si>
    <t>Silverdale Parkway Stage 1 TRA A2 1 2028 1</t>
  </si>
  <si>
    <t>Silverdale Parkway Stage 1 - 3 TRA A2 1 2028 1</t>
  </si>
  <si>
    <t>Silverdale Parkway Stage 2 &amp; 3a TRA A2 1 2028 1</t>
  </si>
  <si>
    <t>Silverdale Parkway Stage 4 TRA A2 1 2028 1</t>
  </si>
  <si>
    <t>Svd N Struct Plan/Holy Trinity Relocn TRA A2 0.376075621513171 2028 1</t>
  </si>
  <si>
    <t>Transport (Franklin) TRA A5 0.85 2028 1</t>
  </si>
  <si>
    <t>Universal Drive Extension  [Growth Portion Only] TRA A4 1 2028 1</t>
  </si>
  <si>
    <t>Wainui Rd Silverdale street Intersection TRA A2 0.42 2029 1</t>
  </si>
  <si>
    <t>Warkworth Matakana Link (SH1 to Matakana) TRA A2 0.18 2035 0.714285714285714</t>
  </si>
  <si>
    <t>Wgp Rd Widening - 4 Laning - F/Y 2006 TRA A2 0.42 2029 1</t>
  </si>
  <si>
    <t>Wgp Rd Widening - 4 Laning R Bch/Vipond TRA A2 0.42 2050 0.344827586206897</t>
  </si>
  <si>
    <t>Woodcocks Road Widening &amp; Urban Upgrade (1 km) TRA A2 1 2028 1</t>
  </si>
  <si>
    <t>Neighbourhood Park / Civic Space Land Acquisition - North-West OSL A7 0.985 2031 1</t>
  </si>
  <si>
    <t>Neighbourhood Park / Civic Space Land Acquisition - South OSL A9 0.95 2031 1</t>
  </si>
  <si>
    <t>Suburb Park Land Acquisition - North-West OSL A7 0.985 2031 1</t>
  </si>
  <si>
    <t>Suburb Park Land Acquisition - South OSL A9 0.95 2031 1</t>
  </si>
  <si>
    <t>59 Blake Road Stormwatr Design Project[1306] STW A14 0.1 2031 1</t>
  </si>
  <si>
    <t>6-10 Altona Road Forrest Hill Flood Mitigation [2529] STW A3 0.15 2031 1</t>
  </si>
  <si>
    <t>Baltimore Place Conveyance and Inlet Upgrade [2506] STW A3 0.3 2031 1</t>
  </si>
  <si>
    <t>Central Akld SW &amp; WW CMP Model Build STW A33 0.37 2031 1</t>
  </si>
  <si>
    <t>Clinker Place New Lynn [1272] STW A11 1 2031 1</t>
  </si>
  <si>
    <t>East Tāmaki Dam Upgrade [2500] STW A23 0.4 2031 1</t>
  </si>
  <si>
    <t>Eastbourne Road Remuera Pipe Diversion [2621] STW A2 0.15 2031 1</t>
  </si>
  <si>
    <t>Longwood Place and Springfield Street SW Improvements [2524] STW A3 0.3 2031 1</t>
  </si>
  <si>
    <t>Ōkahu Bay Outfall Diversion [2531] STW A26 0.1 2031 1</t>
  </si>
  <si>
    <t>Osman Street Flood Mitigation [969] STW A29 0.25 2031 1</t>
  </si>
  <si>
    <t>Outfalls Package 3 - Lincoln, Swanson and  Waiurutoa Catchments [2576] STW A33 0.1 2031 1</t>
  </si>
  <si>
    <t>Outfalls Package 4 - Cockle Bay, Mangere Inlet, Slippery Creek and Whangapouri Creek [2576] STW A33 0.1 2031 1</t>
  </si>
  <si>
    <t>Portage Road Flood Mitigation Project [2053] STW A11 0.05 2031 1</t>
  </si>
  <si>
    <t>Ports of Auckland Outfall Upgrade [01] STW A2 0.25 2031 1</t>
  </si>
  <si>
    <t>Rosalind Road and Diana Drive SW Improvements [2588] STW A3 0.7 2031 1</t>
  </si>
  <si>
    <t>Rosedale East Pond Upgrade [398] STW A27 0.3 2031 1</t>
  </si>
  <si>
    <t>Stanmore Road to Fife Street Stormwater Upgrade  [41] - Larchwood section STW A26 0.1 2031 1</t>
  </si>
  <si>
    <t>Stanmore Road to Fife Street Stormwater Upgrade  [41] - Stanmore section STW A26 0.1 2031 1</t>
  </si>
  <si>
    <t>Swaffield Rd  to Ashlynne &amp; Balance  Av Papatoetoe [1000] Stages 2 &amp; 3 STW A19 0.35 2031 1</t>
  </si>
  <si>
    <t>Water Street Stormwater Upgrade Project, Otahuhu [2433] STW A19 0.15 2031 1</t>
  </si>
  <si>
    <t>Reserve development</t>
  </si>
  <si>
    <t>Reserve acquistion</t>
  </si>
  <si>
    <t>Schedule 8 - Assets for which development contributions will be used</t>
  </si>
  <si>
    <t>Hide columns A to E (copy unique identifer, excluding blanks, from Description_data tab). Filter out blank project names for printable sch 8</t>
  </si>
  <si>
    <t>4. Programme Description</t>
  </si>
  <si>
    <t>Count of project name</t>
  </si>
  <si>
    <t>Count of project description</t>
  </si>
  <si>
    <t>Sentient code</t>
  </si>
  <si>
    <t>Output—Internal use</t>
  </si>
  <si>
    <t>Output—External</t>
  </si>
  <si>
    <t>Input—Variables</t>
  </si>
  <si>
    <t>Proportion funded by development contributions</t>
  </si>
  <si>
    <t>Proportion funded by other sources</t>
  </si>
  <si>
    <t>Planned capital expenditure</t>
  </si>
  <si>
    <t>Planned capital expenditure funding from development contributions</t>
  </si>
  <si>
    <t>Planned capital expenditure funding from other sources</t>
  </si>
  <si>
    <t>Sch_8_Planned</t>
  </si>
  <si>
    <t>Output—External use</t>
  </si>
  <si>
    <t>Yellow</t>
  </si>
  <si>
    <t>1. Planned projects - anticipated to be delivered 2021–2031</t>
  </si>
  <si>
    <t>Input—Common values</t>
  </si>
  <si>
    <t>Project description</t>
  </si>
  <si>
    <t>Area type</t>
  </si>
  <si>
    <t>DC price calulation type</t>
  </si>
  <si>
    <t>Oakley</t>
  </si>
  <si>
    <t>Area 51</t>
  </si>
  <si>
    <t>STW A51</t>
  </si>
  <si>
    <t>Tamaki AHP</t>
  </si>
  <si>
    <t>Mt Roskill AHP</t>
  </si>
  <si>
    <t>Mangere AHP</t>
  </si>
  <si>
    <t>Southern Growth Area</t>
  </si>
  <si>
    <t>Drury / Opaheke</t>
  </si>
  <si>
    <t>Northwest  - Redhills</t>
  </si>
  <si>
    <t>Northwest  - Whenuapai</t>
  </si>
  <si>
    <t>Organised Sport Park Acquisition North</t>
  </si>
  <si>
    <t>Suburb Park land acquisition North Rural</t>
  </si>
  <si>
    <t>Organised Sport Park Acquisition North Rural</t>
  </si>
  <si>
    <t>Avondale Civic Precinct  (Avondale Town Square, Crayford Lane and Playground)</t>
  </si>
  <si>
    <t>New town square and surrounds to community facilty. 
105 new homes have been delivered and over  450 new houses, including affordable homes, are being built in Avondale on sites controlled by Panuku by 2027. Regeneration includes town centre as a focus.</t>
  </si>
  <si>
    <t>Henderson Ratanui Link Phase 2 Walking and Cycling</t>
  </si>
  <si>
    <t xml:space="preserve">Project supports walking and cycling connections through Henderson centre. 
Over 800 new homes are expected to be delivered  on Panuku controlled sites by 2030. </t>
  </si>
  <si>
    <t>Henderson Smythe to Hickory - CRL Laneway</t>
  </si>
  <si>
    <t>Opanuku Link -Bridge, Reserve</t>
  </si>
  <si>
    <t xml:space="preserve">Oratia Link Cycleway and Bridge Construction </t>
  </si>
  <si>
    <t>Manukau - Hayman Park Playground  Works</t>
  </si>
  <si>
    <t xml:space="preserve">New playground (in conjunction with community facilities)
50 new homes have been delivered and over 700 new homes are expected to be delivered  on Panuku controlled sites by 2030. Population  in the city centre is forecast to increase from 621 in 2013 to 2344 in 2043. </t>
  </si>
  <si>
    <t>Manukau -Puhinui Stage 1: Ratavine Reserve Works</t>
  </si>
  <si>
    <t>Manukau Puhinui Stage 3: Wiri Reserve Works</t>
  </si>
  <si>
    <t>Manukau Puhinui Stage 4: Wiri and Manukau Industrial Area Works</t>
  </si>
  <si>
    <t xml:space="preserve">Manukau Puhinui Stage 5:  Puhinui Park (Plunkett Ave)  Works </t>
  </si>
  <si>
    <t>Northcote Community Facility</t>
  </si>
  <si>
    <t xml:space="preserve">A new or comprehensivley updgrade community facility
Town centre project is underway to comprehensively redevelop the existing northcote shopping centre, delivering  750 new homes.  Additional growth in the location is driven by Kainga Ora developments </t>
  </si>
  <si>
    <t>Te Ara Awataha Stage 1</t>
  </si>
  <si>
    <t xml:space="preserve">Greenway upgrade
Town centre project is underway to comprehensively redevelop the existing northcote shopping centre, delivering  750 new homes.  Additional growth in the location is driven by Kainga Ora developments. The greenway provides improved walking and cycling connections and public amenity </t>
  </si>
  <si>
    <t>Te Ara Awataha Stage 2</t>
  </si>
  <si>
    <t>New playing fields 
Over 150 new homes are expected to be delivered on Panuku controlled sites by 2032</t>
  </si>
  <si>
    <t>Upgraded public space 
Over 150 new homes are expected to be delivered on Panuku controlled sites by 2032</t>
  </si>
  <si>
    <t>New streetscape connections and renewed public facilities
Over 150 new homes are expected to be delivered on Panuku controlled sites by 2032</t>
  </si>
  <si>
    <t>New access road and road extension, parking reconfiguration and play facilities</t>
  </si>
  <si>
    <t>Land acquisition for new open space/connection
Over 140 new homes are expected to be delivered on Panuku controlled sites by 2030
Approach includes catalysing new housing choices in the town centre, which are integrated with non-residential uses.</t>
  </si>
  <si>
    <t>Upgrade/provide public open space.  Over 140 new homes are expected to be delivered on Panuku controlled sites by 2030.
Approach includes catalysing new housing choices in the town centre, which are integrated with non-residential uses.</t>
  </si>
  <si>
    <t>New open space/connection
Over 140 new homes are expected to be delivered on Panuku controlled sites by 2030
Approach includes catalysing new housing choices in the town centre, which are integrated with non-residential uses.</t>
  </si>
  <si>
    <t>Land acquisition for new open space/connection 
Over 140 new homes are expected to be delivered on Panuku controlled sites by 2030
Approach includes catalysing new housing choices in the town centre, which are integrated with non-residential uses.</t>
  </si>
  <si>
    <t>New open space
Over 140 new homes are expected to be delivered on Panuku controlled sites by 2030
Approach includes catalysing new housing choices in the town centre, which are integrated with non-residential uses.</t>
  </si>
  <si>
    <t>(VCW) Wynyard Crossing Replacement Bridge</t>
  </si>
  <si>
    <t xml:space="preserve">New bridge to replace wynyard crossing, providing improved capacity </t>
  </si>
  <si>
    <t>(WH) Auckland Harbour Bridge Park</t>
  </si>
  <si>
    <t xml:space="preserve">New public open space adjacent to Harbour Bridge </t>
  </si>
  <si>
    <t>The proposed headland park on Wynyard Point i represents an opportunity to add a new green space to the city's waterfront. At approximately 4.3ha in size, it will function as a regional park for the city centre.</t>
  </si>
  <si>
    <t>(WQ) Silo Park Extension Phase 2</t>
  </si>
  <si>
    <t>Exstension to the Silo Park project that was completed for the 36th America’s Cup where storage tanks were removed</t>
  </si>
  <si>
    <t xml:space="preserve">Significantly upgraded or new community centre, supporting growth in the centre and surrounding Tamaki area </t>
  </si>
  <si>
    <t xml:space="preserve">New town square/open space 
Over 220 new homes are expected to be delivered  on Panuku controlled sites by 2029.  </t>
  </si>
  <si>
    <t>(VCW) East West Connection / Public Space Upgrade</t>
  </si>
  <si>
    <t xml:space="preserve">Upgraded eastern viaduct area, refurbishing and repurposing historic carpark site into public space </t>
  </si>
  <si>
    <t>In-house Catchment &amp; Asset Planning programme budget</t>
  </si>
  <si>
    <t>Catchment and asset planning to support growth, flooding, environmental and renewal programmes.</t>
  </si>
  <si>
    <t>102 Pah Road, Papatoetoe [188]</t>
  </si>
  <si>
    <t>To renew the asset to improve capacity to provide adequate service to residents and  to alleviate flooding in the area.</t>
  </si>
  <si>
    <t>29 &amp; 41 Argo Drive [195]</t>
  </si>
  <si>
    <t>To renew the stormwater systems to improve condition of existing lines to solve problems with flooding and damaged drainage lines.</t>
  </si>
  <si>
    <t>Bairds Rd &amp; Sean Fitzpatrick Pl, Papatoetoe [175]</t>
  </si>
  <si>
    <t>Picton Street 1-27  [46]</t>
  </si>
  <si>
    <t>To reduce stormwater inflows to the combined sewer network, overflows and contamination in the Waitemata Harbour by separating the stormwater and wastewater network.  This project will also construct a significant stormwater network connection at Wellington Street which will provide the stormwater network connection for the wider catchment area.</t>
  </si>
  <si>
    <t>To undertake flood mitigation and improve the level of service by replacing and up-sizing the stormwater network between Stanmore Road and Francis Reserve .</t>
  </si>
  <si>
    <t>To increase the capacity for storage or conveyance through the Blake Road Dam in order to reduce flooding of property sections.</t>
  </si>
  <si>
    <t>To construct a pipeline to drain the Crown Lynn site in order to provide stormwater services for future development by providing conveyance capacity.</t>
  </si>
  <si>
    <t>Okahu Bay Stormwater Separation [2538]</t>
  </si>
  <si>
    <t>To undertake stormwater separation to resolve combined sewer issues and provide network renewal and to resolve flooding as necessary, to provide growth capacity in the catchment.</t>
  </si>
  <si>
    <t>To design, designate and consent stormwater servicing to enable development to occur in the Takanini 2a, 2b and 4 Structure Plan areas and to assist in reducing flooding issues within the adjacent catchment to the north-west (Takanini South Catchment).</t>
  </si>
  <si>
    <t>To resolve and reduce the flood risk issues in the lower part of the catchment, including the portal to Britomart Station, and address the condition and ground settlement issues associated with the existing culvert, particularly through Ports of Auckland.</t>
  </si>
  <si>
    <t>Karaka_Dominion Street [374]</t>
  </si>
  <si>
    <t>To mitigate flooding risk, facilitate development, reduce risk to public safety and improve stormwater runoff on the surface of a closed landfill.</t>
  </si>
  <si>
    <t>Wolverton 244 Blockhouse Bay Road [18]</t>
  </si>
  <si>
    <t>To reduce the flood risk associated with the failure of a poor conditioned pipe.</t>
  </si>
  <si>
    <t xml:space="preserve">To provide a new public stormwater network and separate properties that are connected to the combined system. </t>
  </si>
  <si>
    <t>Mayfair Crescent SW Renewal [2587]</t>
  </si>
  <si>
    <t>Renew and upgrade the pipe to an adequate level of service.</t>
  </si>
  <si>
    <t>To construct appropriate downstream drainage to the outfall to mitigate flooding and to reduce incidence of overland flow activation back to levels before 35‐39 Faulder Avenue was developed.</t>
  </si>
  <si>
    <t>Stanley Bay Reserve SW Outlet Renewal [2448]</t>
  </si>
  <si>
    <t>90-92 Calliope Road - SW Pipe Renewal [2464]</t>
  </si>
  <si>
    <t>To renew, upgrade and relocate pipes that are in poor condition and are in danger of collapse.</t>
  </si>
  <si>
    <t>Rata Road Devonport OLFP and Pipe Renewal [2465]</t>
  </si>
  <si>
    <t>To renew and upsize an existing stormwater pipe and upgrade of the downstream outfall.</t>
  </si>
  <si>
    <t>Captain Springs Road, Onehunga - Renewal [2443]</t>
  </si>
  <si>
    <t xml:space="preserve">This project’s objectives are to extend the service life of the stormwater network in Captain Springs Road and Waikaraka Park and to reduce operational costs._x000D_
_x000D_
</t>
  </si>
  <si>
    <t>Waitaro Stream, Corban Reserve Culvert Upgrade [2403]</t>
  </si>
  <si>
    <t>Hurstmere Road Upgrade - Healthy Waters</t>
  </si>
  <si>
    <t>New raingardens for Hurstmere Road to treat existing and increased traffic from growth in the catchment.</t>
  </si>
  <si>
    <t>Mangarata Stage 2 [193]</t>
  </si>
  <si>
    <t>To construct a new reticulation system with higher capacity in order to reduce flooding in a staged approach.  Construction is already completed for Stage 1 at Kimpton Road.</t>
  </si>
  <si>
    <t>Point England Reserve Online SW Pond Renewal [2483]</t>
  </si>
  <si>
    <t>To renew the stormwater pond to restore water quality treatment functions and create a higher amenity wetland.</t>
  </si>
  <si>
    <t>Normanton Reserve Pipeline Renewal and Flood Mitigation [385]</t>
  </si>
  <si>
    <t xml:space="preserve">To renew existing asset by lining the existing pipe running through private properties, then remove the pipe through the reserve and create an open waterway to increase downstream capacity and remove a seriously deteriorated pipe in the reserve. </t>
  </si>
  <si>
    <t>225 St George Street Papatoetoe SW Renewal [167]</t>
  </si>
  <si>
    <t xml:space="preserve">The proposed upgrade is required to replace the existing pipe and to cater for potential infill residential development within the area._x000D_
_x000D_
</t>
  </si>
  <si>
    <t>Building of a model to determine effects of stormwater and wastewater in the combined systems and the effects on the system from increased development.</t>
  </si>
  <si>
    <t>To upgrade the dam spillway and toe channel to enable the dam to safely pass the Maximum Design Flood to meet the requirements of the NZSOLD Dam Safety Guidelines 2015.</t>
  </si>
  <si>
    <t xml:space="preserve">To relocate the outfall to a higher energy receiving environment to disperse stormwater-borne contaminants. </t>
  </si>
  <si>
    <t>Moa Avenue Urgent Stormwater Works - Waiheke Island</t>
  </si>
  <si>
    <t>The proposed works aim to reduce the frequency and/or severity of flooding of 13 properties downstream of Mosquito Basin.  Although originally planned to be delivered as urgent works in line with Auckland Transport's request to complete road resurfacing work along Moa Avenue in early 2018, more complex ground conditions have been encountered than originally anticipated, hence causing delays to the project.</t>
  </si>
  <si>
    <t>88 Harris Road, East Tamaki [2514]</t>
  </si>
  <si>
    <t>To restore the structural integrity of critical stormwater pipes.</t>
  </si>
  <si>
    <t>Highwic Ave to 295 Great South Rd, Greenlane [2519]</t>
  </si>
  <si>
    <t>To restore structural integrity of stormwater pipes and manholes.</t>
  </si>
  <si>
    <t>New Lynn Culvert upgrade</t>
  </si>
  <si>
    <t xml:space="preserve">Stream enhancement works subsequent to the culvert upgrade to enhance the stream and address erosion. This will help support growth in the area and address existing issues. </t>
  </si>
  <si>
    <t>23 Routley Dr - 18 Savoy Rd Stormwater Renewal [1224]</t>
  </si>
  <si>
    <t>557-561 Blockhouse Bay SW Network Extension [2493]</t>
  </si>
  <si>
    <t>To reduce flooding, to enable growth, and to decommission a damaged asset.</t>
  </si>
  <si>
    <t>17-40 Tomo St New Lynn Stormwater Renewal [2608]</t>
  </si>
  <si>
    <t>The project will restore the structural integrity and service condition of existing 600mm diameter pipes and will improve the capacity of existing infrastructure to mitigate the frequency of flooding and support upstream development.</t>
  </si>
  <si>
    <t>To remediate the collapsed sections of rock walls adjacent to properties at 1304 Dominion Road and 15 and 17 Mount Roskill Road for preventing the total collapse, which may cause damages to properties, general flooding and health and safety risk.</t>
  </si>
  <si>
    <t>Te Kanawa Crescent - Abel Tasman Avenue  New Stormwater Reticulation, Henderson [2553]</t>
  </si>
  <si>
    <t>To enable new development in the area and reduce the frequency of overland flows along roads and through private properties thereby mitigating health and safety issues and properties damages associated with overland flows.</t>
  </si>
  <si>
    <t>To mitigate frequent flooding of commercial properties by upgrading the stormwater network in the area.</t>
  </si>
  <si>
    <t>95D Hinemoa Street Stormwater Outfall Renewal</t>
  </si>
  <si>
    <t>To prevent further erosion to the stream banks and improve bank stability while reducing surface flooding to the associated properties.</t>
  </si>
  <si>
    <t>CPT AHP: Freeland Reserve [1378]</t>
  </si>
  <si>
    <t>To manage stormwater run-off from new developments and minimise flood risk to downstream properties via a single council-owned asset developed in collaboration with Homes. Land. Community. known as HLC (a wholly owned subsidiary of Housing New Zealand).</t>
  </si>
  <si>
    <t>To upgrade the existing stormwater pipe to a larger pipe system.</t>
  </si>
  <si>
    <t>26-36 Dingle Road Flood Mitigation [2551]</t>
  </si>
  <si>
    <t>To effectively relieve flooding across the 4 units at 36 Dingle Road and at 26 Dingle Road by piping sections of open channel with adequate inlets.</t>
  </si>
  <si>
    <t>Smythe Rd Henderson SW Retic Renewal and Flood Mitigation [2590]</t>
  </si>
  <si>
    <t>To replace two sections and extend eight sections of the existing public stormwater network in the Smythe Road, Henderson area where there is currently limited stormwater infrastructure and large overland flows.</t>
  </si>
  <si>
    <t>To mitigate flooding issues caused by the limited capacity of the existing network and to facilitate growth by reducing the floodplain extent to allow development intensification in 31ha of residential areas.</t>
  </si>
  <si>
    <t>To improve stormwater conveyance capacity at inlets and outlets and to reduce erosion in the vicinity. Inlets and Outlets will be sized for growth and erosion from increased flows will be mitigated.</t>
  </si>
  <si>
    <t>Great North Rd and Cartwright Road Pipe Renewal Stage 1 [2619]</t>
  </si>
  <si>
    <t>3-8 Robert Street, Ellerslie Pipeline Renewal [1300]</t>
  </si>
  <si>
    <t>Totaravale Drive Stormwater Network Upgrade [2592]</t>
  </si>
  <si>
    <t>The main business driver for this project is to provide stormwater infrastructure services to enable residential growth in a prime high density housing redevelopment area.   In addition, the project will mitigate and assist in the management of major overland flows that currently impact Tawavale Drive and Totaravale Drive.</t>
  </si>
  <si>
    <t>Marlborough Avenue SW Improvements [497]</t>
  </si>
  <si>
    <t>To resolve the frequent flooding and reduce surcharging manholes by increasing capacity and additional public stormwater.</t>
  </si>
  <si>
    <t>To capture overland flow path flow into the piped network at 21-22 and 35-36 Rosalind Road, to mitigate overland flow path regime issues recorded at 21-22 and 35-36 Rosalind Road and reduce surface flow peak rates and volume.</t>
  </si>
  <si>
    <t>Blenheim Street, Glenfield, SW Renewals and Improvements [2618]</t>
  </si>
  <si>
    <t>To resolve the frequent flooding of residential properties between 15, 17, 19 and 21 Blenheim Street</t>
  </si>
  <si>
    <t>This project will enable resident growth, construct new stormwater infrastructure, capture overland flow path flow into the proposed piped network and help with blockages to existing catch-pit blockage.</t>
  </si>
  <si>
    <t>Reynolds Place, Torbay, SW Retic and Flood Mitigation [2589]</t>
  </si>
  <si>
    <t>To support growth for the communities and to prevent damage to properties from flooding; to extend the existing public stormwater reticulation along the road to support future development; to provide a stormwater connection point for the owners of 15 Reynolds Street to intercept the overland flow on their property and divert it to the public network; to alleviate the flooding risk to the road caused by stormwater discharge from kerb outfalls.</t>
  </si>
  <si>
    <t>38-72 Hellyers Street, Birkdale SW upgrade [2481]</t>
  </si>
  <si>
    <t>To renew and upgrade the pipe network that is old and in very poor condition, under capacity and collapsed in sections; to realign the new pipe network clear of structures where practical; to stabilise the abandoned pipes that are at risk of collapse and close to houses; to renew the outfall structure that is in poor condition and the bank is undermining; to construct a formal overland flow path from the berm at 47 Hellyers Street to the watercourse behind 51 Hellyers Street.</t>
  </si>
  <si>
    <t>30-32 Levesque Street and Lauderdale Road SW Renewal [2528] [2681]</t>
  </si>
  <si>
    <t>Anzac St Precinct SW Extension, Flood Mitigation and Environ Improvement [2525]</t>
  </si>
  <si>
    <t>9 to 23 Holly Street, Avondale, SW Renewal [2523]</t>
  </si>
  <si>
    <t>Awakeri stage 2 Cosgrave Culvert [297]</t>
  </si>
  <si>
    <t xml:space="preserve">To construct culverts beneath Cosgrave Road. These culverts will link Awakeri Stage 1 (currently under construction) to the future Awakeri Stage 3. </t>
  </si>
  <si>
    <t>Awakeri Stage 3 [297]</t>
  </si>
  <si>
    <t xml:space="preserve">To construct a open channel at 55 Cosgrave Road.  The open channel will contain the 1 in 100 year flood and will allow for stormwater servicing of this large future development area. The open channel will connect to the future culverts beneath Cosgrave Road and the Awakeri Stage 1 open channel which is currently under construction. </t>
  </si>
  <si>
    <t xml:space="preserve">These project works aim to reduce erosion and flood risk to properties, both from existing flows and increased flows from growth in the contributory catchment. </t>
  </si>
  <si>
    <t>Hayman Park Pond [2697]</t>
  </si>
  <si>
    <t>To restore Hayman Park and Puhinui Stream to ensure they are attractive, safe and accessible green lungs</t>
  </si>
  <si>
    <t>To undertake flood mitigation and improve the level of service by replacing and up-sizing the stormwater network between Wellpark Reserve and Warnock Reserve</t>
  </si>
  <si>
    <t>Airport Oaks, Mangere Stage 2 Wetland [491]</t>
  </si>
  <si>
    <t>To design and construct wetland pond to improve water quality in the Oruarangi Creek and Manukau Harbour.</t>
  </si>
  <si>
    <t>Kimpton Road Stormwater culvert upgrade Stage 3</t>
  </si>
  <si>
    <t xml:space="preserve">To design the motorway culvert to cater 100 year storm events </t>
  </si>
  <si>
    <t>Kitchener Road Box Culvert Emergency Renewal [2674]</t>
  </si>
  <si>
    <t>The project seeks to replace or renew the existing box culvert which a CCTV survey has revealed to be in poor condition. In addition, new stormwater infrastructure will be installed to resolve flooding issues that are frequently experienced at the Kitchener-Shakespeare Road Intersection during heavy rain events. The network upgrade will provide safe communities objectives and additional stormwater capacity to an area where there is a high potential for future development and is zoned as mixed housing urban in the Auckland Unitary Plan.</t>
  </si>
  <si>
    <t>William Souter St SW Network Upgrade [2593]</t>
  </si>
  <si>
    <t>The project involves extending the stormwater network along William Souter Street and Manutara Avenue. The extension of the network will provide additional capacity to an area where there is a high potential for future development given that it is zoned as mixed housing urban in the Auckland Unitary Plan Operative in part.</t>
  </si>
  <si>
    <t>Sunnyfield Crescent SW Network Upgrade [2591]</t>
  </si>
  <si>
    <t>To provide appropriate storm water services for an area designated for impending development as a Terraced Housing and Apartment Buildings zone where there is currently limited storm water infrastructure and large overland flows; also to reduce the frequency of flooding in the study area.</t>
  </si>
  <si>
    <t>Bracken and Tennyson Avenue Network Options [2640]</t>
  </si>
  <si>
    <t>Install enough Stormwater infrastructure to allow for future development. Complete catchment reticulation system. Opportunities for end of catchment treatment also exists.</t>
  </si>
  <si>
    <t>Orchard Road Browns Bay Flood Mitigation [483]</t>
  </si>
  <si>
    <t>Improve the level of service provided by the piped storm water reticulation and reduce the frequency of overland flows through the affected properties.</t>
  </si>
  <si>
    <t>Wolverton Street Culverts 1 &amp; 2 Renewal and Upgrade</t>
  </si>
  <si>
    <t>Great Nth Rd &amp; Cartwright Rd Flood Conveyance, Pipe Renewal and Enviro Improvement Stage 2 [2620]</t>
  </si>
  <si>
    <t>To improve and mitigate the flood risk at 4114-4116,4118 Great North Road and downstream commercial buildings</t>
  </si>
  <si>
    <t>Glen Innes Town Centre - Water Quality Improvements</t>
  </si>
  <si>
    <t>Becroft Drive Stormwater Upgrade [2627, 2700, 2727]</t>
  </si>
  <si>
    <t>Potatu Street, 199 Great North Road SW Extension [2601]</t>
  </si>
  <si>
    <t>Healthy Waters has identified three core strategic objectives as follows: 1 - Supporting Growth, 2 - Healthy and connected Waterways and 3 - Prevent Flooding by ensuring runoffs from impervious areas draining to the combined network can be diverted to the extended stormwater network. .</t>
  </si>
  <si>
    <t>Ocean View Rd Pipe Renewal, Northcote [2646]</t>
  </si>
  <si>
    <t>Renew by upgrading the stormwater pipes to mitigate the identified risks</t>
  </si>
  <si>
    <t>Paerata Road Culvert Upgrade [2612]</t>
  </si>
  <si>
    <t>1. Reduce flood risk to the local community (aligns with Healthy Waters Core Objective 1 – Safe Communities)_x000D_
2. Reduce the extent of the floodplain, and the associated development constraint, in nearby private land. The immediate desire by Foodstuffs Ltd to develop a parcel of land in the adjacent flood plain means delivering this upgrade is critical in the short term (aligns with Healthy Waters Core Objective 2 – Supporting Growth)</t>
  </si>
  <si>
    <t>34 Eskdale Rd Pipe Renewal, Birkdale [2701]</t>
  </si>
  <si>
    <t>The project seeks to install new stormwater infrastructure to replace an existing stormwater pipe which was found in poor condition during a recent CCTV survey. The network upgrade will provide safe community objectives by mitigating the health and safety risks presented by potential failure of the existing pipe, and will enable future growth to an area where there is high potential for future development.</t>
  </si>
  <si>
    <t>Te Atatu Peninsula Town Centre Area 1 Stormwater Reticulation [2603]</t>
  </si>
  <si>
    <t>Two key strategic objectives are associated with this project i.e. 1.Supporting Growth and 2.Safe Communities</t>
  </si>
  <si>
    <t>Te Atatu Peninsula Town Centre Area 2 Stormwater Reticulation [2603]</t>
  </si>
  <si>
    <t>Te Atatu Peninsula Town Centre Area 3 Stormwater Reticulation [2603]</t>
  </si>
  <si>
    <t>339-359 Great North Road (Northland St to Commercial Road) [2556]</t>
  </si>
  <si>
    <t>Healthy Waters has identified three core strategic objectives and are as follows: (1) Safe Community; (2) Supporting Growth and (3) Healthy and Connected Waterways.</t>
  </si>
  <si>
    <t>Birkenhead Ave/Waratah Street SW Network Extension [1291]</t>
  </si>
  <si>
    <t>Extending the stormwater network to provide connections to 30 lots in Birkenhead which are not reticulated.</t>
  </si>
  <si>
    <t>FA: Otahuhu Town Centre upgrade - HW contribution</t>
  </si>
  <si>
    <t>Outfalls Package 5 - Hingaia, Ngakoroa, Oira and Tutaenui [2576]</t>
  </si>
  <si>
    <t>Outfalls Package 6 - Pahurehure Inlet and Outlet [2576]</t>
  </si>
  <si>
    <t>Outfalls Package 7 - Puhinui and Waimahia [2576]</t>
  </si>
  <si>
    <t>Outfalls Package 8 - Okura [2576]</t>
  </si>
  <si>
    <t>Outfalls Package 9 - Warkworth [2576]</t>
  </si>
  <si>
    <t>Paremuka Stream Bank Stabilisation [2709]</t>
  </si>
  <si>
    <t>The objective of this initiative is to reduce the risk of erosion by applying geomorphically management solutions (GEMS) along the stream reach. The current stream bank is eroded and will become worse with upstream development.</t>
  </si>
  <si>
    <t>Mt Wellington Highway Stormwater Improvements [2539]</t>
  </si>
  <si>
    <t xml:space="preserve"> New Stormwater pipes to provide connections for growth</t>
  </si>
  <si>
    <t>CPT AHP: Maybury Reserve Integrated Stormwater</t>
  </si>
  <si>
    <t>The proposed works described in this business case is primarily to support and enable the development and intensification of the Tamaki SPA. This includes construction of a wetland, detention facility and stream enhancements to support upstream development</t>
  </si>
  <si>
    <t>CPT FA:13 Aeronautic Road - Channel</t>
  </si>
  <si>
    <t>Carr_Clinker Roads Flood Mitigation [2759]</t>
  </si>
  <si>
    <t>Construction of larger sized network to reduce flooding and support upstream growth</t>
  </si>
  <si>
    <t>CPT AHP: Dunkirk</t>
  </si>
  <si>
    <t>To upgrade a culvert to allow for upstream development</t>
  </si>
  <si>
    <t>Morningside Drive - 580 New North Road SW Extension [2557]</t>
  </si>
  <si>
    <t>Network extension to mitigate frequent flooding at and around the Morningside Cres Railway Crossing. This is intended to be a colloborative project with AT and KiwiRail. Another objective is improving network capacities to support future development in both the SW and WW networks by separating the systems and reduce overflows at EOP's</t>
  </si>
  <si>
    <t>St Marys Bay Separation [2784]</t>
  </si>
  <si>
    <t>To provide an integrated solution to reduce wet weather overflows to the Waitematā Harbour and Westhaven Marina from the St Marys Bay catchment. Wet weather overflows from 2 overflow points will be reduced from more than 52 times per year to between 2 to 6 times per year. Separation will also reduce stormwater load in the wastewater network and at the Mangere Wastewater Treatment Plant.</t>
  </si>
  <si>
    <t>CPT DA: Minor Works</t>
  </si>
  <si>
    <t>Contributions to developers to construct infrastructure to serve the catchment and not only their site</t>
  </si>
  <si>
    <t>Growth outer years pipeline</t>
  </si>
  <si>
    <t>Growth programme yet to be assigned to growth projects</t>
  </si>
  <si>
    <t>This project is a programme of works to improve local sports infrastructure including a greenway connection to the adjacent coastal cycle and walkway to meet future demand in the area and in line with the Open Space Provision policy and Waikaraka Park Master Plan.
The components of this improvement project:
Upgrade fields eight, nine, and ten to two artificial turf fields and one sand carpet field including floodlighting to sports fields, toilet block and changing facilities.
An additional 100 car parking spaces. 
One children's playground; and footpath and cycleway connections to the adjacent coastal cycle and walkway, the neighbouring cemetery and Waikaraka Park.</t>
  </si>
  <si>
    <t>Upgrade the Jubilee Bridge. The desired outcome is to increase the greenway/cycleway provision in the area and incorporates an arts feature as agreed by the local board to increase capacity in the network in line with the Open Space Provision Policy</t>
  </si>
  <si>
    <t>Design and construct new library and multi-use community centre to meet demand arising from population growth.</t>
  </si>
  <si>
    <t>Implement the local board approved concept plan for Phyllis Reserve, stage 2. 
This stage includes a standalone two pan toilet block for shared path and reserve users to meet a growing demand from population growth</t>
  </si>
  <si>
    <t>Develop a new playground to support new subdivisions in this area of the Belmont block.</t>
  </si>
  <si>
    <t>Development of a new park in a greenfield area to meet the increase demand due to population growth. This is Stage 1a of the park, and includes play space infrastructure, entranceway/pathway network, toilet facilities and open green space.</t>
  </si>
  <si>
    <t>Develop public accessway to meet future demand arising from population growth in the area.</t>
  </si>
  <si>
    <t>Deliver the priorities identified in the Otahuhu Portage Greenways Plan linking Mangere to Onehunga and across the portage link with Maungakiekie-Tamaki pathways to meet future demand arising from population growth in the area. 
The designs will incorporate the findings of the LDI Heritage Survey in order to include Pasifika heritage as part of the greenway route.</t>
  </si>
  <si>
    <t>Development of a local park in conjunction with the stormwater pond construction at the old Crown Lynn Pottery site to meet the demand arising from population growth.</t>
  </si>
  <si>
    <t>Development of open space and sports infrastructure to meet the demands in the area. The investigation and design phase is to first consider the best service level outcomes for those utilising Colin Maiden Park. Service level changes anticipated include items such as improvements in lighting, sports field provision and other sports related infrastructure.</t>
  </si>
  <si>
    <t>Install lighting and a sand carpet to increase the playing capacity at the reserve to meet the demands of increased usage. This forms part of the Sports Infrastructure Development Programme to develop local and sports parks to increase capacity in the network in accordance with the Open Space Provision policy.</t>
  </si>
  <si>
    <t>Development of toilet and changing room facilities to meet the increased demand due to population growth in the area. The project will install two new changing rooms and three new toilets.</t>
  </si>
  <si>
    <t>Create a 32 kilometre network of shared walk and cycle ways throughout the Flat Bush area to meet future demand arising from population growth (Flat Bush Cycle and Walkway Network Plan).</t>
  </si>
  <si>
    <t>Sportsfield Development (Ostrich Farm)</t>
  </si>
  <si>
    <t>Design and consent for physical works for sand slits, drainage, irrigation and lights to meet the demand arising from population growth.</t>
  </si>
  <si>
    <t xml:space="preserve">Design for the development of a large 14 hectare neighbourhood reserve within a new residential sub-division, including engagement with stakeholders to ensure the park design reflects the aspirations and requirements of the local community.  </t>
  </si>
  <si>
    <t>Develop greenways routes linking local communities to the NZTA funded Orakei Spine shared path. Feeder links are through Tahapa Reserve and Tahapa East Reserve and link the Tamaki Regeneration area to Tamaki Drive. Stage two to be delivered in alignment with the planned NZTA section 2 of Glen Ines to Tamaki Drive 3 metre wide shared pathway.</t>
  </si>
  <si>
    <t>Develop a new integrated community centre and library in Avondale to meet future demand arising from population growth in the central west area.</t>
  </si>
  <si>
    <t>Develop a neighbourhood park in the greenfield area of Takanini to support the new Airfield subdivision. Designs will be prepared in accordance with the concept plan for the park, which includes an open field for informal play, a junior playspace (ages 1-5+), a community pavilion, and associated landscaping.</t>
  </si>
  <si>
    <t>Develop a new neighbourhood park within the Tamaki Regeneration area.</t>
  </si>
  <si>
    <t>Develop the local park in the new subdivision at Matua Road</t>
  </si>
  <si>
    <t>Develop a new community centre in Manurewa to improve the existing network and address provision requirements.</t>
  </si>
  <si>
    <t xml:space="preserve">Upgrade the existing playground to a large playground for a wide range of ages to increase capacity in the network. Renew park furniture associated with the playground as a part of the project. </t>
  </si>
  <si>
    <t>Investigate and deliver field and lighting upgrades at Singer Park to  increase capacity in the network through provision of additional   playing hours per week.
Works will include two field upgrades to sand carpet fields including lighting and irrigation.</t>
  </si>
  <si>
    <t xml:space="preserve">Deliver field and lighting upgrades at Te Atatu Peninsula Park to increase capacity in the network through provision of additional playing hours per week to support the sports network in the area. </t>
  </si>
  <si>
    <t xml:space="preserve">Develop playspace infrastructure with walkway connections in the new Riverhead subdivision area to meet the demands of population growth in the immediate area.  
Works include the development of a playground including greenway/walkway connections in Riverhead Point Drive, as identified in the 2018 Riverhead Play Provision Assessment adopted by the local board.  </t>
  </si>
  <si>
    <t>Enhance and expand the amenities on the park to meet the needs of new and future residents, including expanding and upgrading the existing playground, reconfiguring the carpark and widening and enhancing the entranceway. 
Project also includes renewal of other minor park assets.</t>
  </si>
  <si>
    <t>Increase sports playing hours to meet the demand due to growth in the area and provision requirements to support the sports network in the area. Work includes installing sports field lighting and upgrading the field to increase the playing capacity.</t>
  </si>
  <si>
    <t>Install three sets of sports field lights to address provision gaps in the Howick Local Board area. The sports fields to be upgraded will be determined as part of the investigations and will increase capacity in the network.</t>
  </si>
  <si>
    <t>Develop a new neighbourhood park within the Tamaki Regeneration area. Works are expected to include a playground, greenways priority paths and lighting, bridge stream crossings and improved connections between Tripoli and Dunkirk Roads.</t>
  </si>
  <si>
    <t>Redevelopment the Meadowbank Community Centre to provide a new fit-for-purpose community centre to meet future demand arising from growth. The community centre to be located on the ground level with housing on the upper levels.</t>
  </si>
  <si>
    <t>Develop a new neighbourhood park to meet the needs of the growing community in the new Swanson subdivision in the area.</t>
  </si>
  <si>
    <t>Install lighting and upgrade the field to increase the playing capacity to meet the demand due to growth in the area and the provision requirements to support the sports network in the area.</t>
  </si>
  <si>
    <t xml:space="preserve">Develop a new suburban park at 490E Don Buck Road to meet the needs of the growing community.  The initial phase of the project will be to assess the changing needs and demographics of the area and start to design the park with community input. </t>
  </si>
  <si>
    <t xml:space="preserve">Develop a new neighbourhood park to meet the needs of the growing community in a new subdivision area. </t>
  </si>
  <si>
    <t>Contribution to major greenway development as part of the larger "Unlock Northcote" development led by Panuku.</t>
  </si>
  <si>
    <t>Develop new neighbourhood park at 77 Tahuna Minhinnick Drive to meet the demand arising from population growth. Investigations will include the possibility of a small playspace, landscaping and other park amenities.</t>
  </si>
  <si>
    <t>Increase sports playing hours to meet the demand due to growth in the area and provision requirements to support the sports network in the area.
Works include installation of lighting and upgraded field to increase the playing capacity to meet the current shortfall in the local board area.</t>
  </si>
  <si>
    <t xml:space="preserve">Develop open space infrastructure to meet the demands of the new subdivisions in the area and population growth across the local network.  
This stage is to deliver Boundary Reserve west, the balance of the reserve from Tripoli Road.  </t>
  </si>
  <si>
    <t>Construct a new play space on the Cabeleigh Drive Pond Reserve with associated walkways and furniture.
This development for play space will meet the provision gap identified in the Helensville area and support the local population growth.  The design will incorporate junior play, primary/intermediate play and potentially teen play.  
Installation of a new pathway with seating will also be delivered.</t>
  </si>
  <si>
    <t>Develop toilet facilities at Glasgow Park Waimauku to meet the provision demand due to the increase in community population</t>
  </si>
  <si>
    <t>Upgrade fields five &amp; six with sandcarpets, irrigation, lighting and a Designated Training Area to increase capacity in the network.</t>
  </si>
  <si>
    <t xml:space="preserve">Develop a new neighbourhood park at Observation Green Hobsonville to meet the needs of the growing community in a new subdivision area. </t>
  </si>
  <si>
    <t>Develop a new neighbourhood park to meet the needs of the growing community in a new subdivision area.</t>
  </si>
  <si>
    <t xml:space="preserve">Develop a new suburb level park park at 158 Park Estate Road, Hingaia to meet the needs of the growing community.  The initial phase of the project will be to assess the changing needs and demographics of the area and start to design the park with community input. </t>
  </si>
  <si>
    <t>Local Parks and Sportsfield Development</t>
  </si>
  <si>
    <t>Demolish and rebuild toilet and changing room facility including an increased level of service to meet the needs of growth.</t>
  </si>
  <si>
    <t>City Rail Link (Council's share of the joint venture)</t>
  </si>
  <si>
    <t>Half share of building a train link from Britomart to Mt Eden and building stations at Aotea, Krangahape Road and MT Eden to increase capacity of the train network.</t>
  </si>
  <si>
    <t>Core Technology</t>
  </si>
  <si>
    <t xml:space="preserve">This programme is comprised of technology upgrades and replacements, and cybersecurity.
</t>
  </si>
  <si>
    <t>Transport - Auckland wide</t>
  </si>
  <si>
    <t>Completing work on the Downtown Ferry Terminal Development.</t>
  </si>
  <si>
    <t>Projects to support high priority greenfield growth areas, including new Redhills connections with appropriate public transport and active mode provision.</t>
  </si>
  <si>
    <t>Improvements Complementing Developments</t>
  </si>
  <si>
    <t xml:space="preserve">Marae and Papakainga (Turnouts) safety programme </t>
  </si>
  <si>
    <t>Toa Takitini (Transformational) Maori Outcome Programme to improve the entry / exit from Marae, Papakainga and Urupa to main highways and or roads.</t>
  </si>
  <si>
    <t>Wynyard Quarter Integrated Road Programme</t>
  </si>
  <si>
    <t>Providing road upgrades within the Wynyard Quarter precinct.</t>
  </si>
  <si>
    <t>Downtown Ferry Basin (Pier 3 &amp; 4)</t>
  </si>
  <si>
    <t>A programme of capital improvements to support increased demand on the transport network</t>
  </si>
  <si>
    <t>Community House Development (Papatoetoe Chambers)</t>
  </si>
  <si>
    <t>This project seeks to improve the usable space within the Chambers (former Papatoetoe Borough Council) buildings.  This building houses community tenants and includes a large meeting space.  Revitalisation of Old Papatoetoe is a priority for the Otara-Papatoetoe Local Board to ensure the upgrade meets the demand due to increased usage.</t>
  </si>
  <si>
    <t>Development of an outdoor youth facility in an old wood yard site within the reserve to meet the demands of the growing population in the area and in support of the new subdivision in Swanson</t>
  </si>
  <si>
    <t>Projects to support high priority greenfield growth areas</t>
  </si>
  <si>
    <t>Aquatic facility (Flat Bush)</t>
  </si>
  <si>
    <t xml:space="preserve">New recreation centre (swimming, fitness) to meet future demand arising from population growth in the souther area (Community Facilities Network Plan). </t>
  </si>
  <si>
    <t>Community Centre (Manurewa)</t>
  </si>
  <si>
    <t>Community Centre Development (Meadowbank)</t>
  </si>
  <si>
    <t>Community Centre Replacement (Avondale)</t>
  </si>
  <si>
    <t>Recreation Centre (Whau)</t>
  </si>
  <si>
    <t>New Recreation centre (swimming, fitness and sports hall) to meet future demand arising from population growth in the Central west area (Community Facilities Network Plan).</t>
  </si>
  <si>
    <t>Sportsfield development (Ostrich Farm)</t>
  </si>
  <si>
    <t>SWCatchment &amp; Asset Planning West Coast</t>
  </si>
  <si>
    <t>Toilet (Metro Park East)</t>
  </si>
  <si>
    <t>Albany Lakes - Foundation Infrastructure</t>
  </si>
  <si>
    <t>Busway Pond - Hillcrest</t>
  </si>
  <si>
    <t>Canoe Ramp (Rame Reserve)</t>
  </si>
  <si>
    <t>Catchpits and leads upgrade Nereus Pl</t>
  </si>
  <si>
    <t>Centennial Park to Beach Road Campbells Bay</t>
  </si>
  <si>
    <t>Community House (McLaren Park )[Growth Portion Only]</t>
  </si>
  <si>
    <t>Community House (West Harbour ) [Growth Portion Only]</t>
  </si>
  <si>
    <t>Culvert - 1 Peter Tce &amp; 6 Castor Bay</t>
  </si>
  <si>
    <t>Culvert - 12/18 Killarney Ave</t>
  </si>
  <si>
    <t>Culvert - 307 Beach Road</t>
  </si>
  <si>
    <t>Culvert - 42 Alexander Ave</t>
  </si>
  <si>
    <t>Culvert - Inga Road</t>
  </si>
  <si>
    <t>Culvert - Pounamu Ave (Node 1)</t>
  </si>
  <si>
    <t>Deep Creek - New Reticulation - Carlisle- 153 to 167 Ldyll &amp; Nor East</t>
  </si>
  <si>
    <t>Detention Pond - Apollo Drive Albany</t>
  </si>
  <si>
    <t>Drainage (Western Springs Playing Fields)</t>
  </si>
  <si>
    <t>Duplicating Line - 10-21 Bevyn Street Milford</t>
  </si>
  <si>
    <t>Duplicating Line - 16 George Herring Pl to 83A Woodglen Rd</t>
  </si>
  <si>
    <t>Duplicating Line - Cambria Road Devonport</t>
  </si>
  <si>
    <t>Duplicating Line - Meilland Place</t>
  </si>
  <si>
    <t>Fairview Avenue Upgrade</t>
  </si>
  <si>
    <t>Flood Protection - Attwood - 143 Attwood Rd</t>
  </si>
  <si>
    <t xml:space="preserve">Flood Protection - Cassino - 110-112 Lake Rd </t>
  </si>
  <si>
    <t>Flood Protection - Deep Creek - 1-13 Rewi St Gray Cresc</t>
  </si>
  <si>
    <t>Flood Protection - Deep Creek - 26 Long Street Torbay</t>
  </si>
  <si>
    <t>Flood Protection - Deep Creek - 52 Alexander Ave culvert</t>
  </si>
  <si>
    <t>Flood Protection - Northboro - 40 Northboro Rd</t>
  </si>
  <si>
    <t>Greenleaf Way Stage 1</t>
  </si>
  <si>
    <t>Greenleaf Way Stage 2</t>
  </si>
  <si>
    <t>Intersection upgrade - Akoranga Drive - Stage 1</t>
  </si>
  <si>
    <t>Lighting (Anderson Park #1 Field Training Lights)</t>
  </si>
  <si>
    <t>Major Works - Orchard Ridge Oban Rds Browns Bay</t>
  </si>
  <si>
    <t>Minor Stormwater Upgrade - 16 Dee Place</t>
  </si>
  <si>
    <t>Minor Upgrade - 13 Riverview Road to Rimu Street New Lynn</t>
  </si>
  <si>
    <t xml:space="preserve">Minor Upgrade - 15 Aquarius Avenue Glen Eden </t>
  </si>
  <si>
    <t xml:space="preserve">Minor Upgrade - 2/20 Kamara Road to 55 Rosier Road Glen Eden </t>
  </si>
  <si>
    <t>Minor Upgrade - 30 Crompton Rd</t>
  </si>
  <si>
    <t xml:space="preserve">Minor Upgrade - 46 Kamara Rd to 25 Kamara Rd Glen Eden </t>
  </si>
  <si>
    <t>Minor Upgrade - 52 – 40 Woodfern Crescent</t>
  </si>
  <si>
    <t>Minor Upgrade - Belle Vue Avenue</t>
  </si>
  <si>
    <t>Minor Upgrade - Birdwood Growth Areas Structure Plan</t>
  </si>
  <si>
    <t>Minor Upgrade - Deep Creek Road - Weatherly</t>
  </si>
  <si>
    <t xml:space="preserve">Minor Upgrade - Hastings Pde </t>
  </si>
  <si>
    <t>Minor Upgrade - Surville Pl 14a Mairangi Bay</t>
  </si>
  <si>
    <t>Minor Upgrade - Wisteria Way - Honeysuckle Lane</t>
  </si>
  <si>
    <t>Outfall and Pipeline realignment - 17 Beaconsfield and Cheltenham Park</t>
  </si>
  <si>
    <t>Park Development (Owairaka Ave)</t>
  </si>
  <si>
    <t>Park Development (Parrs Park North East)</t>
  </si>
  <si>
    <t>Park Development (Te Pai )</t>
  </si>
  <si>
    <t>Pedestrian Paths and Bridges (Kell Park)</t>
  </si>
  <si>
    <t>Pipe Upgrade - 12 Larnoch Road</t>
  </si>
  <si>
    <t>Pipe upgrade - 15 Omana Road</t>
  </si>
  <si>
    <t xml:space="preserve">Pipe Upgrade - 30 Surman Place to 18 Glen Close Glen Eden </t>
  </si>
  <si>
    <t>Pipelie - 7 Cedar Heights Ave</t>
  </si>
  <si>
    <t>Pipeline - 10A - 20 Hart Rd</t>
  </si>
  <si>
    <t>Pipeline - 15 James Street</t>
  </si>
  <si>
    <t>Pipeline - 3 Gull Lane &amp; 7 Marigold Pl</t>
  </si>
  <si>
    <t>Pipeline - 3-19 Northumberland Ave &amp; Hororata Rd</t>
  </si>
  <si>
    <t>Pipeline - Bute Road</t>
  </si>
  <si>
    <t>Pipeline - Stafford Park</t>
  </si>
  <si>
    <t xml:space="preserve">Pipeline and reticulation - 27 - 43 Glencourt Place  </t>
  </si>
  <si>
    <t>Pipeline and reticulation - 29 Hebron Rd</t>
  </si>
  <si>
    <t xml:space="preserve">Rain Garden - Paul Matthews </t>
  </si>
  <si>
    <t>Rec Prec Implementation (Keith Hay Park)</t>
  </si>
  <si>
    <t>Reticulation - 1-3 Sharon Rd</t>
  </si>
  <si>
    <t>Reticulation - 2-22 Rothesay Bay Rd</t>
  </si>
  <si>
    <t>Reticulation - 32 Park Rd</t>
  </si>
  <si>
    <t>Reticulation - 72-82 Pupuke Rd</t>
  </si>
  <si>
    <t>Reticulation - 83 &amp; 85 Pupuke Rd</t>
  </si>
  <si>
    <t>Reticulation - Eton Avenue</t>
  </si>
  <si>
    <t>Reticulation - Foley Place</t>
  </si>
  <si>
    <t>Reticulation - Gulf View Road 38-60 Beach Road.</t>
  </si>
  <si>
    <t>Reticulation - Northcote Rd to Hillcrest Pond</t>
  </si>
  <si>
    <t>Reticulation - Tainui Rd 29-57</t>
  </si>
  <si>
    <t>Reticulation 11-51 Park Rd</t>
  </si>
  <si>
    <t>Reticulation and outlet structure - 3-25 Evelyn Place</t>
  </si>
  <si>
    <t>Reticulation and Treatment - 440-458 Albany Highway</t>
  </si>
  <si>
    <t>Sandcarpet (Waler Massey Park Stadium)</t>
  </si>
  <si>
    <t>Seal Extensions - Ridge Road</t>
  </si>
  <si>
    <t>Sediment Forebays - Chelsea Estate</t>
  </si>
  <si>
    <t>Stormwater Channel Upgrade - 193 Henderson Valley Road</t>
  </si>
  <si>
    <t>Stormwater Extension - Netherlands Ave Great North Road</t>
  </si>
  <si>
    <t>Stormwater Pond - Link Drive</t>
  </si>
  <si>
    <t>Stormwater Pond Upper - Oaks Albany</t>
  </si>
  <si>
    <t>Stormwater Treatment Pond - Akoranga Drive</t>
  </si>
  <si>
    <t>Stream Protection - 133 Manuka Rd</t>
  </si>
  <si>
    <t>Stream Works - Little Shoal Bay - Wakanui Street</t>
  </si>
  <si>
    <t>Stream Works - Lucas Creek Rehabilitation Works</t>
  </si>
  <si>
    <t>Stream Works - Oteha Valley Catchment - Riparian Enhancement</t>
  </si>
  <si>
    <t>Stream Works - Taiaotea - Bayside Reserve</t>
  </si>
  <si>
    <t xml:space="preserve">Taharoto/Wairau Corridor Road Widening </t>
  </si>
  <si>
    <t>Upgrade Wairoa Road 6 Moata Place</t>
  </si>
  <si>
    <t>Upgrade Westbourne Road to Beach Road</t>
  </si>
  <si>
    <t>Wainoni Park Natural Outdoor SportSurface (Wainoni Park)</t>
  </si>
  <si>
    <t>Walking Tracks (Wainoni Park Yr1)</t>
  </si>
  <si>
    <t>Walking Tracks (Wainoni Park Yr2)</t>
  </si>
  <si>
    <t>Water Quality - Lake Pupuke - Quarry Lake Reserve Takapuna</t>
  </si>
  <si>
    <t>Water Quality - Lucas Creek - Civic Cres raingardens</t>
  </si>
  <si>
    <t>Water Quality - Oteha - Existing Pond Modifications</t>
  </si>
  <si>
    <t>Water Quality - Oteha - Rosedale West Pond Enhancement</t>
  </si>
  <si>
    <t>Aera 24</t>
  </si>
  <si>
    <t>Aera 25</t>
  </si>
  <si>
    <t>Marae and Papakainga (Turnouts) safety programme  TRA A1 0.097 2042 0.476190476190476</t>
  </si>
  <si>
    <t>Matiatia Park &amp; Ride PTR A1 0.1598 2038 0.588235294117647</t>
  </si>
  <si>
    <t>Park and Ride (Papakura) PTR A1 0.1598 2028 1</t>
  </si>
  <si>
    <t>Regional Improvement Projects TRA A1 0.1 2042 0.476190476190476</t>
  </si>
  <si>
    <t>Tamaki Regeneration Transport Programme TRA A11 0.57 2033 0.833333333333333</t>
  </si>
  <si>
    <t>Community House Development (Papatoetoe Chambers) CI A19 0.0882951804457415 2028 1</t>
  </si>
  <si>
    <t>YFTRH - HM - Te Rangi Hiroa Reserve Youth Facility CI A7 0.488306993506655 2048 0.37037037037037</t>
  </si>
  <si>
    <t>SWCatchment &amp; Asset Planning_ Critical assets and asset risk STW A33 0.37 2028 1</t>
  </si>
  <si>
    <t>SWCatchment &amp; Asset Planning_Waitemata STW A2 0.51 2028 1</t>
  </si>
  <si>
    <t>Te Auaunga Awa Oakley Walmsley &amp; Underwood Park Stream  [58] STW A11 0.83 2028 1</t>
  </si>
  <si>
    <t>Airport Access Improvements PTR A1 0.1598 2028 1</t>
  </si>
  <si>
    <t>Double decker network mitigation works PTR A3 0.1598 2028 1</t>
  </si>
  <si>
    <t>Downtown Ferry Basin Redevelopment PTR A1 0.068 2035 0.714285714285714</t>
  </si>
  <si>
    <t>Improvements Complementing Developments TRA A2 0.187220751427831 2037 0.625</t>
  </si>
  <si>
    <t>Lake Road / Esmonde Road Improvements TRA A2 0.1598 2038 0.588235294117647</t>
  </si>
  <si>
    <t>Matakana Link Road (SH1 to Matakana) TRA A2 0.1598 2038 0.588235294117647</t>
  </si>
  <si>
    <t>Redhills Arterial Upgrade TRA A9 0.75 2033 0.833333333333333</t>
  </si>
  <si>
    <t>Seal Extensions - Hauraki Gulf Islands TRA A7 0.08 2033 0.833333333333333</t>
  </si>
  <si>
    <t>Wainui Improvements TRA A10 0.915 2038 0.588235294117647</t>
  </si>
  <si>
    <t>Whenuapai Arterial Upgrade and Realignment TRA A9 0.67 2048 0.37037037037037</t>
  </si>
  <si>
    <t>12 Scenic Drive, Manurewa SW Renewal and Upgrade[2580] STW A5 0.1 2028 1</t>
  </si>
  <si>
    <t>212 Henderson Valley Rd Stormwater Network Relocation [2579] STW A29 0.9 2028 1</t>
  </si>
  <si>
    <t>32 Sharon Road, Cliff SW Outfall Renewal/Diversion &amp; Network Extension [1293] STW A3 0.7 2028 1</t>
  </si>
  <si>
    <t>36 Buckland Road Māngere Stormwater Upgrade [187] STW A14 0.35 2028 1</t>
  </si>
  <si>
    <t>Airport Oaks, Mangere stage 2 Wetland [491] STW A14 0.1 2028 1</t>
  </si>
  <si>
    <t>Aquatic facility (Flat Bush) CI A10 0.287130735673663 2028 1</t>
  </si>
  <si>
    <t>Artillery Drive Tunnel to inlet [280] (19%) STW A14 0.9 2033 0.833333333333333</t>
  </si>
  <si>
    <t>Carpark (Botanic Gardens Overflow) OSD A1 0.625 2028 1</t>
  </si>
  <si>
    <t>Community Centre Replacement (Avondale) CI A17 0.204970001876695 2028 1</t>
  </si>
  <si>
    <t>Development (Moire Park) OSD A1 0.625 2028 1</t>
  </si>
  <si>
    <t>East Tāmaki Dam Upgrade [2500] STW A23 0.4 2028 1</t>
  </si>
  <si>
    <t>Faulder Avenue and Fife Street Stormwater upgrade [1344] STW A26 0.8 2028 1</t>
  </si>
  <si>
    <t>Greenways Link (Otahuhu Portage) OSD A19 0.75 2028 1</t>
  </si>
  <si>
    <t>Grove Rd McLennan Box Culvert [1408] STW A6 0.9 2028 1</t>
  </si>
  <si>
    <t>Kiri Place, Mairangi Bay [1257 &amp; 2442] STW A3 0.3 2028 1</t>
  </si>
  <si>
    <t>Korotaha Terrace Rothesay Pipe Renewal and Upgrade [2552] STW A3 0.25 2028 1</t>
  </si>
  <si>
    <t>Masterplan Priorities (Panmure Basin) OSD A27 0.625 2028 1</t>
  </si>
  <si>
    <t>Morgan St, Alba St , Clayton St - SW Upgrade/Separation, Newmarket [1295] STW A2 0.6 2028 1</t>
  </si>
  <si>
    <t>Neighbourhood Park Land Acquisition - North OSL A8 0.95 2038 0.588235294117647</t>
  </si>
  <si>
    <t>New Changing Rooms (Grey Lynn Park) OSD A1 0.5 2028 1</t>
  </si>
  <si>
    <t>Offset Mitigation Stanmore Bay Catchment [2504] STW A10 0.1 2028 1</t>
  </si>
  <si>
    <t>Open Spaces (Massey North) OSD A17 0.625 2028 1</t>
  </si>
  <si>
    <t>Osman Street Flood Mitigation [969] STW A29 0.25 2028 1</t>
  </si>
  <si>
    <t>Playground (Waimahia Reserve) CI A19 0.75 2028 1</t>
  </si>
  <si>
    <t>Playspace (Flat Bush) OSD A10 0.875 2028 1</t>
  </si>
  <si>
    <t>Recreation Centre (Whau) CI A17 0.313409306463287 2035 0.714285714285714</t>
  </si>
  <si>
    <t>Smythe Rd Henderson SW Retic Renewal and Upgrade [2590] STW A29 0.4 2028 1</t>
  </si>
  <si>
    <t>Sportsfield development (Ostrich Farm) OSD A1 0.75 2028 1</t>
  </si>
  <si>
    <t>Sportsfield Upgrade (Sister Rene Shadbolt Park field 2) OSD A1 0.75 2028 1</t>
  </si>
  <si>
    <t>Sportsfield Upgrade and Lighting Investigation (Henderson-Massey) OSD A1 0.625 2028 1</t>
  </si>
  <si>
    <t>Sportsfield Upgrade and Lighting Investigation (Waitakere Ranges) OSD A1 0.875 2028 1</t>
  </si>
  <si>
    <t>Stanmore Road to Fife Street Stormwater Upgrade  [41] - Larchwood section STW A26 0.1 2028 1</t>
  </si>
  <si>
    <t>Stormwater PC15 (Totara ponds) STW A18 1 2028 1</t>
  </si>
  <si>
    <t>Suburb Park Land Acquisition - North OSL A8 0.95 2038 0.588235294117647</t>
  </si>
  <si>
    <t>Sunnynook Park Dry Pond Upgrade [426] STW A3 0.1 2028 1</t>
  </si>
  <si>
    <t>Swaffield Rd  to Ashlynne &amp; Balance  Av Papatoetoe [1000] Stages 2 &amp; 3 STW A19 0.35 2028 1</t>
  </si>
  <si>
    <t>SWCatchment &amp; Asset Planning West Coast STW A33 0.37 2028 1</t>
  </si>
  <si>
    <t>Toilet (Gulf Harbour Reserve) CI A15 0.625 2028 1</t>
  </si>
  <si>
    <t>Toilet (Metro Park East) CI A15 0.88 2028 1</t>
  </si>
  <si>
    <t>Totaravale Drive SW Network Upgrade [2592] STW A3 0.83 2028 1</t>
  </si>
  <si>
    <t>Unlock Northcote  - Town Centre Upgrade OSD A16 0.8025 2028 1</t>
  </si>
  <si>
    <t>Victor Street to Oakley Creek, Waterview Stormwater Renewal and Upgrade [2159] STW A11 0.4 2028 1</t>
  </si>
  <si>
    <t>Walkways (Norana Park) OSD A19 0.75 2028 1</t>
  </si>
  <si>
    <t>Walkways (Rautawhiri Park) OSD A23 0.75 2028 1</t>
  </si>
  <si>
    <t>Warkworth Showgrounds CI A1 0.75 2028 1</t>
  </si>
  <si>
    <t>Waterview Separation [2141] STW A11 0.5 2028 1</t>
  </si>
  <si>
    <t>Albany Lakes - Foundation Infrastructure CI A16 1 2050 0.344827586206897</t>
  </si>
  <si>
    <t>Bus Priority &amp; Transit lane Improvements PTR A1 0.11 2028 1</t>
  </si>
  <si>
    <t>Busway Pond - Hillcrest STW A3 0.3368 2057 0.277777777777778</t>
  </si>
  <si>
    <t>Canoe Ramp (Rame Reserve) CI A16 1 2028 1</t>
  </si>
  <si>
    <t>Carpark (Pt England Reserve) OSD A18 1 2028 1</t>
  </si>
  <si>
    <t>Carpark (Rame Road) OSD A16 1 2028 1</t>
  </si>
  <si>
    <t>Catchpits and leads upgrade Nereus Pl STW A3 0.3307 2057 0.277777777777778</t>
  </si>
  <si>
    <t>Centennial Park to Beach Road Campbells Bay STW A3 0.353221949171043 2057 0.277777777777778</t>
  </si>
  <si>
    <t>Community House (McLaren Park )[Growth Portion Only] CI A17 1 2048 0.37037037037037</t>
  </si>
  <si>
    <t>Community House (West Harbour ) [Growth Portion Only] CI A17 1 2048 0.37037037037037</t>
  </si>
  <si>
    <t>Culvert - 1 Peter Tce &amp; 6 Castor Bay STW A3 0.4805 2057 0.277777777777778</t>
  </si>
  <si>
    <t>Culvert - 12/18 Killarney Ave STW A3 0.3535 2057 0.277777777777778</t>
  </si>
  <si>
    <t>Culvert - 307 Beach Road STW A3 0.3992 2057 0.277777777777778</t>
  </si>
  <si>
    <t>Culvert - 42 Alexander Ave STW A3 0.3211 2057 0.277777777777778</t>
  </si>
  <si>
    <t>Culvert - Inga Road STW A3 0.3284 2057 0.277777777777778</t>
  </si>
  <si>
    <t>Culvert - Pounamu Ave (Node 1) STW A27 0.4352 2057 0.277777777777778</t>
  </si>
  <si>
    <t>Deep Creek - New Reticulation - Carlisle- 153 to 167 Ldyll &amp; Nor East STW A3 0.2923 2057 0.277777777777778</t>
  </si>
  <si>
    <t>Detention Pond - Apollo Drive Albany STW A27 0.3368 2057 0.277777777777778</t>
  </si>
  <si>
    <t>Downtown Ferry Basin (Pier 3 &amp; 4) PTR A1 0.18 2035 0.714285714285714</t>
  </si>
  <si>
    <t>Drainage (Western Springs Playing Fields) CI A1 1 2028 1</t>
  </si>
  <si>
    <t>Duplicating Line - 10-21 Bevyn Street Milford STW A3 0.39 2057 0.277777777777778</t>
  </si>
  <si>
    <t>Duplicating Line - 16 George Herring Pl to 83A Woodglen Rd STW A29 0.298344725722415 2050 0.344827586206897</t>
  </si>
  <si>
    <t>Duplicating Line - Cambria Road Devonport STW A27 0.2836 2057 0.277777777777778</t>
  </si>
  <si>
    <t>Duplicating Line - Meilland Place STW A29 0.388669693645903 2050 0.344827586206897</t>
  </si>
  <si>
    <t>Elmore Road Upgrading TRA A2 0.4125 2038 0.588235294117647</t>
  </si>
  <si>
    <t>Fairview Avenue Upgrade TRA A2 0.4864 2038 0.588235294117647</t>
  </si>
  <si>
    <t>FDC Catchment Management Plan Projects - Stormwater A Zone STW A21 1 2028 1</t>
  </si>
  <si>
    <t>Flood Protection - Attwood - 143 Attwood Rd STW A27 0.4615 2057 0.277777777777778</t>
  </si>
  <si>
    <t>Flood Protection - Cassino - 110-112 Lake Rd  STW A27 0.2969 2057 0.277777777777778</t>
  </si>
  <si>
    <t>Flood Protection - Deep Creek - 1-13 Rewi St Gray Cresc STW A3 0.2923 2057 0.277777777777778</t>
  </si>
  <si>
    <t>Flood Protection - Deep Creek - 26 Long Street Torbay STW A3 0.3359 2057 0.277777777777778</t>
  </si>
  <si>
    <t>Flood Protection - Deep Creek - 52 Alexander Ave culvert STW A3 0.4086 2057 0.277777777777778</t>
  </si>
  <si>
    <t>Flood Protection - Northboro - 40 Northboro Rd STW A27 0.3606 2057 0.277777777777778</t>
  </si>
  <si>
    <t>Foundation Infrastructure (NSCC) CI A16 1 2045 0.416666666666667</t>
  </si>
  <si>
    <t>Greenhithe Streets Upgrading TRA A2 0.73 2038 0.588235294117647</t>
  </si>
  <si>
    <t>Greenleaf Way Stage 1 STW A3 0.3842 2057 0.277777777777778</t>
  </si>
  <si>
    <t>Greenleaf Way Stage 2 STW A3 0.3856 2057 0.277777777777778</t>
  </si>
  <si>
    <t>Intersection upgrade - Akoranga Drive - Stage 1 TRA A2 0.6195 2028 1</t>
  </si>
  <si>
    <t>Lighting (Anderson Park #1 Field Training Lights) OSD A1 1 2028 1</t>
  </si>
  <si>
    <t>Lighting (Waikaraka Park stage 4) OSD A1 1 2028 1</t>
  </si>
  <si>
    <t>Lower Corridor Area 3 Massey Nth PC15 OSD A17 1 2028 1</t>
  </si>
  <si>
    <t>Major Works - Orchard Ridge Oban Rds Browns Bay STW A3 0.2775 2057 0.277777777777778</t>
  </si>
  <si>
    <t>Minor Stormwater Upgrade - 16 Dee Place STW A3 0.3932 2057 0.277777777777778</t>
  </si>
  <si>
    <t>Minor Upgrade - 13 Riverview Road to Rimu Street New Lynn STW A29 0.424618952297429 2050 0.344827586206897</t>
  </si>
  <si>
    <t>Minor Upgrade - 15 Aquarius Avenue Glen Eden  STW A29 0.340038513675266 2050 0.344827586206897</t>
  </si>
  <si>
    <t>Minor Upgrade - 2/20 Kamara Road to 55 Rosier Road Glen Eden  STW A29 0.489354414268434 2050 0.344827586206897</t>
  </si>
  <si>
    <t>Minor Upgrade - 30 Crompton Rd STW A29 0.46837976122797 2050 0.344827586206897</t>
  </si>
  <si>
    <t>Minor Upgrade - 46 Kamara Rd to 25 Kamara Rd Glen Eden  STW A29 0.478533468680958 2050 0.344827586206897</t>
  </si>
  <si>
    <t>Minor Upgrade - 52 – 40 Woodfern Crescent STW A29 0.196243942422456 2050 0.344827586206897</t>
  </si>
  <si>
    <t>Minor Upgrade - Belle Vue Avenue STW A27 0.1619 2057 0.277777777777778</t>
  </si>
  <si>
    <t>Minor Upgrade - Birdwood Growth Areas Structure Plan STW A29 0.710151187904968 2050 0.344827586206897</t>
  </si>
  <si>
    <t>Minor Upgrade - Deep Creek Road - Weatherly STW A3 0.294 2057 0.277777777777778</t>
  </si>
  <si>
    <t>Minor Upgrade - Hastings Pde  STW A27 0.2915 2057 0.277777777777778</t>
  </si>
  <si>
    <t>Minor Upgrade - Surville Pl 14a Mairangi Bay STW A3 0.2504 2057 0.277777777777778</t>
  </si>
  <si>
    <t>Minor Upgrade - Wisteria Way - Honeysuckle Lane STW A3 0.5539 2057 0.277777777777778</t>
  </si>
  <si>
    <t>Natural Environment Land Acquisition 1997-2004 OSL A16 1 2038 0.588235294117647</t>
  </si>
  <si>
    <t>Outfall and Pipeline realignment - 17 Beaconsfield and Cheltenham Park STW A27 0.0931 2057 0.277777777777778</t>
  </si>
  <si>
    <t>Park Development (Owairaka Ave) OSD A18 1 2028 1</t>
  </si>
  <si>
    <t>Park Development (Parrs Park North East) OSD A17 1 2028 1</t>
  </si>
  <si>
    <t>Park Development (Te Pai ) OSD A17 1 2028 1</t>
  </si>
  <si>
    <t>Park Development (Victor Eaves  Stg 5) OSD A1 1 2028 1</t>
  </si>
  <si>
    <t>Park Development (Victor Eaves)  OSD A1 1 2028 1</t>
  </si>
  <si>
    <t>Pedestrian Paths and Bridges (Kell Park) CI A16 0.7522 2028 1</t>
  </si>
  <si>
    <t>Pipe Upgrade - 12 Larnoch Road STW A29 0.355668268375156 2050 0.344827586206897</t>
  </si>
  <si>
    <t>Pipe upgrade - 15 Omana Road STW A3 0.2331 2057 0.277777777777778</t>
  </si>
  <si>
    <t>Pipe Upgrade - 30 Surman Place to 18 Glen Close Glen Eden  STW A29 0.128486540378863 2050 0.344827586206897</t>
  </si>
  <si>
    <t>Pipelie - 7 Cedar Heights Ave STW A29 0.236086675291074 2050 0.344827586206897</t>
  </si>
  <si>
    <t>Pipeline - 10A - 20 Hart Rd STW A27 0.2135 2057 0.277777777777778</t>
  </si>
  <si>
    <t>Pipeline - 15 James Street STW A27 0.4669 2057 0.277777777777778</t>
  </si>
  <si>
    <t>Pipeline - 3 Gull Lane &amp; 7 Marigold Pl STW A3 0.2343 2057 0.277777777777778</t>
  </si>
  <si>
    <t>Pipeline - 3-19 Northumberland Ave &amp; Hororata Rd STW A27 0.2581 2057 0.277777777777778</t>
  </si>
  <si>
    <t>Pipeline - Bute Road STW A3 0.3616 2057 0.277777777777778</t>
  </si>
  <si>
    <t>Pipeline - Stafford Park STW A27 0.1712 2057 0.277777777777778</t>
  </si>
  <si>
    <t>Pipeline and reticulation - 27 - 43 Glencourt Place   STW A27 0.3966 2057 0.277777777777778</t>
  </si>
  <si>
    <t>Pipeline and reticulation - 29 Hebron Rd STW A3 0.603 2057 0.277777777777778</t>
  </si>
  <si>
    <t>Premier Park Development (MCC) OSD A19 0.5 2028 1</t>
  </si>
  <si>
    <t>Rain Garden - Paul Matthews  STW A27 0.3333 2057 0.277777777777778</t>
  </si>
  <si>
    <t>Rec Prec Implementation (Keith Hay Park) OSD A18 0.65 2028 1</t>
  </si>
  <si>
    <t>Reticulation - 1-3 Sharon Rd STW A3 0.2775 2057 0.277777777777778</t>
  </si>
  <si>
    <t>Reticulation - 2-22 Rothesay Bay Rd STW A3 0.27 2057 0.277777777777778</t>
  </si>
  <si>
    <t>Reticulation - 32 Park Rd STW A27 0.3098 2057 0.277777777777778</t>
  </si>
  <si>
    <t>Reticulation - 72-82 Pupuke Rd STW A27 1 2057 0.277777777777778</t>
  </si>
  <si>
    <t>Reticulation - 83 &amp; 85 Pupuke Rd STW A27 0.3006 2057 0.277777777777778</t>
  </si>
  <si>
    <t>Reticulation - Eton Avenue STW A27 0.2162 2057 0.277777777777778</t>
  </si>
  <si>
    <t>Reticulation - Foley Place STW A3 0.294 2057 0.277777777777778</t>
  </si>
  <si>
    <t>Reticulation - Gulf View Road 38-60 Beach Road. STW A3 0.2893 2057 0.277777777777778</t>
  </si>
  <si>
    <t>Reticulation - Northcote Rd to Hillcrest Pond STW A3 0.3368 2057 0.277777777777778</t>
  </si>
  <si>
    <t>Reticulation - Tainui Rd 29-57 STW A27 0.2162 2057 0.277777777777778</t>
  </si>
  <si>
    <t>Reticulation 11-51 Park Rd STW A27 0.3098 2038 0.588235294117647</t>
  </si>
  <si>
    <t>Reticulation and outlet structure - 3-25 Evelyn Place STW A3 0.3897 2057 0.277777777777778</t>
  </si>
  <si>
    <t>Reticulation and Treatment - 440-458 Albany Highway STW A27 0.4063 2057 0.277777777777778</t>
  </si>
  <si>
    <t>Sand Fields (Crossfield Reserve) and Lights (Glover Park) OSD A1 0.4 2028 1</t>
  </si>
  <si>
    <t>Sand Filter (Woodfern Crescent) STW A29 0.176974074074074 2050 0.344827586206897</t>
  </si>
  <si>
    <t>Sandcarpet (Auckland Domain) OSD A1 1 2028 1</t>
  </si>
  <si>
    <t>Sandcarpet (Blockhse Bay Rec Res #1 field) OSD A1 1 2028 1</t>
  </si>
  <si>
    <t>Sandcarpet (Eastdale Reserve #6 field) OSD A1 1 2028 1</t>
  </si>
  <si>
    <t>Sandcarpet (Grey Lynn Park #3 field) OSD A1 1 2028 1</t>
  </si>
  <si>
    <t>Sandcarpet Installation OSD A1 0.4 2028 1</t>
  </si>
  <si>
    <t>Seal Extensions - Ridge Road TRA A2 0.6931 2050 0.344827586206897</t>
  </si>
  <si>
    <t>Sediment Forebays - Chelsea Estate STW A27 0.3368 2057 0.277777777777778</t>
  </si>
  <si>
    <t>Sportsfield (Ashley Reserve) OSD A1 1 2028 1</t>
  </si>
  <si>
    <t>Sportsfield (Rosedale 1) OSD A1 1 2028 1</t>
  </si>
  <si>
    <t>Sportsfield (Rosedale 2) OSD A1 1 2028 1</t>
  </si>
  <si>
    <t>Sportsfield (Rosedale 3 &amp; 4) OSD A1 1 2028 1</t>
  </si>
  <si>
    <t>Sportsfield (Wainoni Park 3) OSD A1 1 2028 1</t>
  </si>
  <si>
    <t>Sportsfield Development (Drury) OSD A1 0.75 2028 1</t>
  </si>
  <si>
    <t>Sportsfield Development (Existing upgrades) OSD A1 1 2028 1</t>
  </si>
  <si>
    <t>Stormwater Channel Upgrade - 193 Henderson Valley Road STW A29 0.472024260803639 2050 0.344827586206897</t>
  </si>
  <si>
    <t>Stormwater Extension - Netherlands Ave Great North Road STW A29 0.214286004345089 2050 0.344827586206897</t>
  </si>
  <si>
    <t>Stormwater Pond - Link Drive STW A3 0.2939 2057 0.277777777777778</t>
  </si>
  <si>
    <t>Stormwater Pond Upper - Oaks Albany STW A27 0.9742 2057 0.277777777777778</t>
  </si>
  <si>
    <t>Stormwater Treatment Pond - Akoranga Drive STW A27 0.3368 2057 0.277777777777778</t>
  </si>
  <si>
    <t>Stream Protection - 133 Manuka Rd STW A27 0.2356 2057 0.277777777777778</t>
  </si>
  <si>
    <t>Stream Works - Little Shoal Bay - Wakanui Street STW A27 1 2057 0.277777777777778</t>
  </si>
  <si>
    <t>Stream Works - Lucas Creek Rehabilitation Works STW A27 0.33 2057 0.277777777777778</t>
  </si>
  <si>
    <t>Stream Works - Oteha Valley Catchment - Riparian Enhancement STW A27 0.3333 2057 0.277777777777778</t>
  </si>
  <si>
    <t>Stream Works - Taiaotea - Bayside Reserve STW A3 0.3333 2057 0.277777777777778</t>
  </si>
  <si>
    <t>SW Catchment plan Hingaia Stream STW A1 0.15 2028 1</t>
  </si>
  <si>
    <t>SWFA 155 Howard Rd Maraetai stage 2 STW A24 0.15 2028 1</t>
  </si>
  <si>
    <t>Taharoto/Wairau Corridor Road Widening  TRA A2 0.37 2028 1</t>
  </si>
  <si>
    <t>Upgrade Wairoa Road 6 Moata Place STW A27 0.5065 2057 0.277777777777778</t>
  </si>
  <si>
    <t>Upgrade Westbourne Road to Beach Road STW A3 0.276872965043472 2057 0.277777777777778</t>
  </si>
  <si>
    <t>Wainoni Park Natural Outdoor SportSurface (Wainoni Park) OSD A1 1 2028 1</t>
  </si>
  <si>
    <t>Walking Tracks (Wainoni Park Yr1) OSD A16 0.75 2028 1</t>
  </si>
  <si>
    <t>Walking Tracks (Wainoni Park Yr2) OSD A16 0.75 2028 1</t>
  </si>
  <si>
    <t>Walkway (Campbells Bay) OSD A16 0.89 2029 1</t>
  </si>
  <si>
    <t>Walkway (Hobson Bay to Pt Resolution) OSD A18 0.5 2028 1</t>
  </si>
  <si>
    <t>Walkway (Manuka Reserve) OSD A16 0.89 2029 1</t>
  </si>
  <si>
    <t>Walkway (Milford Reserve) OSD A16 0.89 2029 1</t>
  </si>
  <si>
    <t>Walkway (Nell Fisher Reserve) OSD A16 0.89 2029 1</t>
  </si>
  <si>
    <t>Walkway (Onepoto Domain Stage 1) OSD A16 0.89 2029 1</t>
  </si>
  <si>
    <t>Walkway (Piripiri Reserve) OSD A16 0.89 2029 1</t>
  </si>
  <si>
    <t>Walkway (Rosedale Park Stage 1) OSD A16 0.89 2029 1</t>
  </si>
  <si>
    <t>Walkway (Takapuna-Devonport Stage 1 -Northboro Section) OSD A16 0.89 2029 1</t>
  </si>
  <si>
    <t>Walkway Coastal Network  (NSCC) OSD A16 0.89 2029 1</t>
  </si>
  <si>
    <t>Water Quality - Lake Pupuke - Quarry Lake Reserve Takapuna STW A3 0.3333 2057 0.277777777777778</t>
  </si>
  <si>
    <t>Water Quality - Lucas Creek - Civic Cres raingardens STW A27 0.3333 2057 0.277777777777778</t>
  </si>
  <si>
    <t>Water Quality - Oteha - Existing Pond Modifications STW A27 0.3333 2057 0.277777777777778</t>
  </si>
  <si>
    <t>Water Quality - Oteha - Rosedale West Pond Enhancement STW A27 0.33 2057 0.277777777777778</t>
  </si>
  <si>
    <t>Neighbourhood Park Land Acquisition - Brownfield OSL A3 0.85 2031 1</t>
  </si>
  <si>
    <t>Neighbourhood Park Land Acquisition - Rural North Upper OSL A21 0.96 2036 0.666666666666667</t>
  </si>
  <si>
    <t>Suburb Park Land Acquisition - North OSL A8 0.95 2036 0.666666666666667</t>
  </si>
  <si>
    <t>Suburb Park land acquisition North Rural OSL A21 0.97 2036 0.666666666666667</t>
  </si>
  <si>
    <t>Avondale Civic Precinct  (Avondale Town Square, Crayford Lane and Playground) CI A17 0.5 2032 0.909090909090909</t>
  </si>
  <si>
    <t>Henderson Ratanui Link Phase 2 Walking and Cycling CI A17 0.3 2032 0.909090909090909</t>
  </si>
  <si>
    <t>Henderson Smythe to Hickory - CRL Laneway CI A17 0.3 2032 0.909090909090909</t>
  </si>
  <si>
    <t>Opanuku Link -Bridge, Reserve CI A17 0.3 2032 0.909090909090909</t>
  </si>
  <si>
    <t>Oratia Link Cycleway and Bridge Construction  CI A17 0.3 2032 0.909090909090909</t>
  </si>
  <si>
    <t>Manukau - Hayman Park Playground  Works CI A19 0.3 2032 0.909090909090909</t>
  </si>
  <si>
    <t>Manukau -Puhinui Stage 1: Ratavine Reserve Works CI A19 0.3 2032 0.909090909090909</t>
  </si>
  <si>
    <t>Manukau Puhinui Stage 3: Wiri Reserve Works OSD A19 0.3 2031 1</t>
  </si>
  <si>
    <t>Manukau Puhinui Stage 4: Wiri and Manukau Industrial Area Works OSD A19 0.3 2031 1</t>
  </si>
  <si>
    <t>Manukau Puhinui Stage 5:  Puhinui Park (Plunkett Ave)  Works  OSD A19 0.3 2031 1</t>
  </si>
  <si>
    <t>Northcote Community Facility CI A16 0.3 2032 0.909090909090909</t>
  </si>
  <si>
    <t>Te Ara Awataha Stage 1 OSD A16 0.3 2031 1</t>
  </si>
  <si>
    <t>Te Ara Awataha Stage 2 OSD A16 0.3 2031 1</t>
  </si>
  <si>
    <t>(VCW) Wynyard Crossing Replacement Bridge OSD A1 0.1 2031 1</t>
  </si>
  <si>
    <t>(WH) Auckland Harbour Bridge Park OSD A18 0.2 2031 1</t>
  </si>
  <si>
    <t>(WQ) Silo Park Extension Phase 2 OSD A1 0.2 2031 1</t>
  </si>
  <si>
    <t>(VCW) East West Connection / Public Space Upgrade OSD A1 0.2 2031 1</t>
  </si>
  <si>
    <t>In-house Catchment &amp; Asset Planning programme budget STW A33 0.37 2031 1</t>
  </si>
  <si>
    <t>102 Pah Road, Papatoetoe [188] STW A14 0.1 2031 1</t>
  </si>
  <si>
    <t>29 &amp; 41 Argo Drive [195] STW A23 0.15 2031 1</t>
  </si>
  <si>
    <t>Bairds Rd &amp; Sean Fitzpatrick Pl, Papatoetoe [175] STW A23 0.1 2031 1</t>
  </si>
  <si>
    <t>Picton Street 1-27  [46] STW A2 0.05 2031 1</t>
  </si>
  <si>
    <t>Okahu Bay Stormwater Separation [2538] STW A26 0.4 2031 1</t>
  </si>
  <si>
    <t>Awakeri Wetlands stage 1 [297] STW A6 0.9 2034 0.769230769230769</t>
  </si>
  <si>
    <t>Karaka_Dominion Street [374] STW A7 0.83 2031 1</t>
  </si>
  <si>
    <t>Wolverton 244 Blockhouse Bay Road [18] STW A11 0.1 2031 1</t>
  </si>
  <si>
    <t>Waterview Separation [2141] STW A43 0.5 2031 1</t>
  </si>
  <si>
    <t>Mayfair Crescent SW Renewal [2587] STW A3 0.1 2031 1</t>
  </si>
  <si>
    <t>University of Auckland Khyber Pass Road [2429] STW A2 0.65 2031 1</t>
  </si>
  <si>
    <t>Faulder Avenue and Fife Street Stormwater upgrade [1344] STW A26 0.3 2031 1</t>
  </si>
  <si>
    <t>Stanley Bay Reserve SW Outlet Renewal [2448] STW A27 0.1 2031 1</t>
  </si>
  <si>
    <t>90-92 Calliope Road - SW Pipe Renewal [2464] STW A27 0.1 2031 1</t>
  </si>
  <si>
    <t>Rata Road Devonport OLFP and Pipe Renewal [2465] STW A27 0.1 2031 1</t>
  </si>
  <si>
    <t>Captain Springs Road, Onehunga - Renewal [2443] STW A15 0.1 2031 1</t>
  </si>
  <si>
    <t>Waitaro Stream, Corban Reserve Culvert Upgrade [2403] STW A29 0.35 2031 1</t>
  </si>
  <si>
    <t>Hurstmere Road Upgrade - Healthy Waters STW A7 0.25 2031 1</t>
  </si>
  <si>
    <t>Mangarata Stage 2 [193] STW A23 0.1 2031 1</t>
  </si>
  <si>
    <t>Point England Reserve Online SW Pond Renewal [2483] STW A8 0.3 2031 1</t>
  </si>
  <si>
    <t>Normanton Reserve Pipeline Renewal and Flood Mitigation [385] STW A3 0.1 2031 1</t>
  </si>
  <si>
    <t>Moa Avenue Urgent Stormwater Works - Waiheke Island STW A41 0.1 2031 1</t>
  </si>
  <si>
    <t>88 Harris Road, East Tamaki [2514] STW A23 0.2 2031 1</t>
  </si>
  <si>
    <t>Highwic Ave to 295 Great South Rd, Greenlane [2519] STW A26 0.1 2031 1</t>
  </si>
  <si>
    <t>New Lynn Culvert upgrade STW A11 0.3 2031 1</t>
  </si>
  <si>
    <t>23 Routley Dr - 18 Savoy Rd Stormwater Renewal [1224] STW A29 0.25 2031 1</t>
  </si>
  <si>
    <t>557-561 Blockhouse Bay SW Network Extension [2493] STW A34 0.3 2031 1</t>
  </si>
  <si>
    <t>17-40 Tomo St New Lynn Stormwater Renewal [2608] STW A29 0.3 2031 1</t>
  </si>
  <si>
    <t>Oakley Creek Remediation at 15&amp;17 Mt Roskill Road &amp; 1304 Dominion Road [583] STW A43 0.1 2031 1</t>
  </si>
  <si>
    <t>Te Kanawa Crescent - Abel Tasman Avenue  New Stormwater Reticulation, Henderson [2553] STW A29 0.83 2031 1</t>
  </si>
  <si>
    <t>95D Hinemoa Street Stormwater Outfall Renewal STW A27 0.1 2031 1</t>
  </si>
  <si>
    <t>CPT AHP: Freeland Reserve [1378] STW A26 0.9 2031 1</t>
  </si>
  <si>
    <t>26-36 Dingle Road Flood Mitigation [2551] STW A26 0.3 2031 1</t>
  </si>
  <si>
    <t>Smythe Rd Henderson SW Retic Renewal and Flood Mitigation [2590] STW A29 0.4 2031 1</t>
  </si>
  <si>
    <t>Outfalls Package 2 - Whau and Massey Catchments [2576] STW A33 0.1 2031 1</t>
  </si>
  <si>
    <t>Great North Rd and Cartwright Road Pipe Renewal Stage 1 [2619] STW A11 0.1 2031 1</t>
  </si>
  <si>
    <t>3-8 Robert Street, Ellerslie Pipeline Renewal [1300] STW A26 0.15 2031 1</t>
  </si>
  <si>
    <t>Totaravale Drive Stormwater Network Upgrade [2592] STW A3 0.83 2031 1</t>
  </si>
  <si>
    <t>Marlborough Avenue SW Improvements [497] STW A3 0.2 2031 1</t>
  </si>
  <si>
    <t>Reynolds Place, Torbay, SW Retic and Flood Mitigation [2589] STW A3 0.83 2031 1</t>
  </si>
  <si>
    <t>38-72 Hellyers Street, Birkdale SW upgrade [2481] STW A27 0.2 2031 1</t>
  </si>
  <si>
    <t>30-32 Levesque Street and Lauderdale Road SW Renewal [2528] [2681] STW A27 0.2 2031 1</t>
  </si>
  <si>
    <t>Anzac St Precinct SW Extension, Flood Mitigation and Environ Improvement [2525] STW A7 0.6 2031 1</t>
  </si>
  <si>
    <t>9 to 23 Holly Street, Avondale, SW Renewal [2523] STW A11 0.1 2031 1</t>
  </si>
  <si>
    <t>Awakeri stage 2 Cosgrave Culvert [297] STW A6 0.9 2034 0.769230769230769</t>
  </si>
  <si>
    <t>Awakeri Stage 3 [297] STW A6 0.9 2034 0.769230769230769</t>
  </si>
  <si>
    <t>McArthur Avenue Stream Stabilisation [2569] STW A26 0.1 2031 1</t>
  </si>
  <si>
    <t>Hayman Park Pond [2697] STW A5 0.3 2031 1</t>
  </si>
  <si>
    <t>Airport Oaks, Mangere Stage 2 Wetland [491] STW A14 0.1 2031 1</t>
  </si>
  <si>
    <t>Kimpton Road Stormwater culvert upgrade Stage 3 STW A23 0.1 2031 1</t>
  </si>
  <si>
    <t>Kitchener Road Box Culvert Emergency Renewal [2674] STW A3 0.05 2031 1</t>
  </si>
  <si>
    <t>William Souter St SW Network Upgrade [2593] STW A3 0.6 2031 1</t>
  </si>
  <si>
    <t>Sunnyfield Crescent SW Network Upgrade [2591] STW A27 0.8 2031 1</t>
  </si>
  <si>
    <t>Bracken and Tennyson Avenue Network Options [2640] STW A7 0.7 2031 1</t>
  </si>
  <si>
    <t>Orchard Road Browns Bay Flood Mitigation [483] STW A3 0.2 2031 1</t>
  </si>
  <si>
    <t>Wolverton Street Culverts 1 &amp; 2 Renewal and Upgrade STW A11 0.35 2031 1</t>
  </si>
  <si>
    <t>Great Nth Rd &amp; Cartwright Rd Flood Conveyance, Pipe Renewal and Enviro Improvement Stage 2 [2620] STW A11 0.1 2031 1</t>
  </si>
  <si>
    <t>Becroft Drive Stormwater Upgrade [2627, 2700, 2727] STW A3 0.1 2031 1</t>
  </si>
  <si>
    <t>Potatu Street, 199 Great North Road SW Extension [2601] STW A26 0.3 2031 1</t>
  </si>
  <si>
    <t>Ocean View Rd Pipe Renewal, Northcote [2646] STW A27 0.3 2031 1</t>
  </si>
  <si>
    <t>Paerata Road Culvert Upgrade [2612] STW A21 0.5 2031 1</t>
  </si>
  <si>
    <t>34 Eskdale Rd Pipe Renewal, Birkdale [2701] STW A27 0.1 2031 1</t>
  </si>
  <si>
    <t>Te Atatu Peninsula Town Centre Area 1 Stormwater Reticulation [2603] STW A29 0.4 2031 1</t>
  </si>
  <si>
    <t>Te Atatu Peninsula Town Centre Area 2 Stormwater Reticulation [2603] STW A29 0.4 2031 1</t>
  </si>
  <si>
    <t>Te Atatu Peninsula Town Centre Area 3 Stormwater Reticulation [2603] STW A29 0.4 2031 1</t>
  </si>
  <si>
    <t>339-359 Great North Road (Northland St to Commercial Road) [2556] STW A26 0.3 2031 1</t>
  </si>
  <si>
    <t>Birkenhead Ave/Waratah Street SW Network Extension [1291] STW A27 0.6 2031 1</t>
  </si>
  <si>
    <t>FA: Otahuhu Town Centre upgrade - HW contribution STW A19 0.3 2031 1</t>
  </si>
  <si>
    <t>Outfalls Package 5 - Hingaia, Ngakoroa, Oira and Tutaenui [2576] STW A33 0.3 2031 1</t>
  </si>
  <si>
    <t>Outfalls Package 6 - Pahurehure Inlet and Outlet [2576] STW A33 0.3 2031 1</t>
  </si>
  <si>
    <t>Outfalls Package 7 - Puhinui and Waimahia [2576] STW A33 0.3 2031 1</t>
  </si>
  <si>
    <t>Outfalls Package 8 - Okura [2576] STW A33 0.3 2031 1</t>
  </si>
  <si>
    <t>Outfalls Package 9 - Warkworth [2576] STW A33 0.3 2031 1</t>
  </si>
  <si>
    <t>Paremuka Stream Bank Stabilisation [2709] STW A29 0.2 2031 1</t>
  </si>
  <si>
    <t>Mt Wellington Highway Stormwater Improvements [2539] STW A36 0.7 2031 1</t>
  </si>
  <si>
    <t>CPT AHP: Maybury Reserve Integrated Stormwater STW A8 0.95 2031 1</t>
  </si>
  <si>
    <t>CPT FA:13 Aeronautic Road - Channel STW A6 0.8 2031 1</t>
  </si>
  <si>
    <t>Carr_Clinker Roads Flood Mitigation [2759] STW A43 0.05 2031 1</t>
  </si>
  <si>
    <t>CPT AHP: Dunkirk STW A8 1 2031 1</t>
  </si>
  <si>
    <t>Morningside Drive - 580 New North Road SW Extension [2557] STW A26 0.2 2031 1</t>
  </si>
  <si>
    <t>St Marys Bay Separation [2784] STW A2 0.1 2031 1</t>
  </si>
  <si>
    <t>CPT DA: Minor Works STW A33 1 2031 1</t>
  </si>
  <si>
    <t>Growth outer years pipeline STW A33 1 2031 1</t>
  </si>
  <si>
    <t xml:space="preserve">Develop new playgrounds in the Flat Bush area to meet demand arising from population growth </t>
  </si>
  <si>
    <t>Sportsfield Development (Ostrich Farm) OSD A1 0.625 2031 1</t>
  </si>
  <si>
    <t>Replace and upgrade the whole hockey turf and facilities at Papatoetoe Recreation Reserve and upgrade the facilities to meet the demand and increase capacity in the network.</t>
  </si>
  <si>
    <t>Local Parks and Sportsfield Development OSD A1 0.75 2031 1</t>
  </si>
  <si>
    <t>City Rail Link (Council's share of the joint venture) PTR A1 0.23 2048 0.37037037037037</t>
  </si>
  <si>
    <t>Core Technology TRA A1 0.138 2043 0.454545454545455</t>
  </si>
  <si>
    <t>Downtown Ferry Basin Redevelopment PTR A1 0.272 2043 0.454545454545455</t>
  </si>
  <si>
    <t>Wainui Improvements TRA A10 0.75 2043 0.454545454545455</t>
  </si>
  <si>
    <t>Wynyard Quarter Integrated Road Programme TRA A3 0.116 2043 0.454545454545455</t>
  </si>
  <si>
    <t xml:space="preserve">Park upgrades tp support walking and cycling connections through Manukau  
50 new homes have been delivered and over 700 new homes are expected to be delivered  on Panuku controlled sites by 2030. Population  in the city centre is forecast to increase from 621 in 2013 to 2344 in 2043. </t>
  </si>
  <si>
    <t xml:space="preserve">New cycleways to support wider network around Manukau  
50 new homes have been delivered and over 700 new homes are expected to be delivered  on Panuku controlled sites by 2030. Population  in the city centre is forecast to increase from 621 in 2013 to 2344 in 2043. </t>
  </si>
  <si>
    <t xml:space="preserve">Park upgrades to improve utilisation of space
50 new homes have been delivered and over 700 new homes are expected to be delivered  on Panuku controlled sites by 2030. Population  in the city centre is forecast to increase from 621 in 2013 to 2344 in 2043. </t>
  </si>
  <si>
    <t xml:space="preserve">New park to connect support walking and cycling routes through Manukau  
50 new homes have been delivered and over 700 new homes are expected to be delivered  on Panuku controlled sites by 2030. Population  in the city centre is forecast to increase from 621 in 2013 to 2344 in 2043. </t>
  </si>
  <si>
    <t xml:space="preserve">Park upgrades to support walking and cycling connections through Manukau  
50 new homes have been delivered and over 700 new homes are expected to be delivered  on Panuku controlled sites by 2030. Population  in the city centre is forecast to increase from 621 in 2013 to 2344 in 2043. </t>
  </si>
  <si>
    <t>New connections to support regeneration of town centre and surrounding Tamaki area</t>
  </si>
  <si>
    <t xml:space="preserve">Constructing new Wolverton Street Culverts 1 and 2 and provide increased stormwater flow capacity. </t>
  </si>
  <si>
    <t>New open space/connection 
Over 140 new homes are expected to be delivered on Panuku controlled sites by 2030
Approach includes catalysing new housing choices in the town centre, which are integrated with non-residential uses.</t>
  </si>
  <si>
    <t xml:space="preserve">Fully restored treatment and attenuation functionality of pond.  Increased asset life of pond and associated assets.  Improved access for pond maintenance and operations
</t>
  </si>
  <si>
    <t>The main objective is to upgrade  the  existing aged stormwater network that is in poor structural condition. The project also aims  to mitigate stream bank erosion and land instability risk by enhancing stream bank.</t>
  </si>
  <si>
    <t>To provide the required future capacity to alleviate upstream habitable floor flooding. The remaining pipes in good condition upstream will be upgraded in the future as required. This project will involve:  restoring the structural condition of all pipes;  upgrading pipe capacity to support identified future improvement works in upstream catchment;  diverting pipes from under buildings.</t>
  </si>
  <si>
    <t>To mitigate frequent ponding on Altona Road and property flooding of numbers 6, 8 and 10.
To resolve concerns with the open channel along the boundary of Westlake Boys High School.
To achieve appropriate levels of service for the stormwater network in this area under existing development and maximum probable development conditions.
To facilitate growth in this area – currently zoned mixed housing suburban/urban.</t>
  </si>
  <si>
    <t>Safe Communities - Risk to our communities including people, property and infrastructure managed and reduced.  
Supporting Growth - Growth through water sensitive development and provision of water quality stormwater infrastructure is enabled.
Healthy and connected waterways - Stream, groundwater and coastal water values are maintained and enhanced and communities are connected within them.</t>
  </si>
  <si>
    <t>To provide the required future capacity to:  improve flow upstream who are heavily impacted; alleviate upstream flooding; re-grade the berm of Kennedy and Baltimore to define the existing swale;  improve inletting in the vicinity of the overland flow path; upgrade existing single catch pits within Kennedy Avenue to single splay catchpits; install a new scruffy dome outside 50 Kennedy Avenue.</t>
  </si>
  <si>
    <t>Installation of new raingardens to treat existing and increased stormwater contaminants from growth in catchment. Renewal of a pipe.</t>
  </si>
  <si>
    <t>Develop a new neighbourhood park within the Tamaki Regeneration area.  Works will include:  Upgrade playground to renew play equipment and provide for all ages;  Potential land exchanges on eastern and southern edges of reserve to provide housing and street frontage improving passive surveillance.</t>
  </si>
  <si>
    <t>Develop a new neighbourhood park within the Tamaki Regeneration area.  Works will include:
implementing Greenways priority links and shared paths along the coast; providing additional pathways to improve connectivity; enhance existing coastal planting to strengthen ecological and amenity values;  provide a new fitness trail looping around Riverside and Dunkirk Reserves and along the coast.</t>
  </si>
  <si>
    <t>Neighbourhood Park / Civic Space Land Acquisition - North OSL A8 0.95 2031 1</t>
  </si>
  <si>
    <t>225 St George Street Papatoetoe SW Renewal [167] STW A5 0.1 2031 1</t>
  </si>
  <si>
    <t>Blenheim Street, Glenfield, SW Renewals and Improvements [2618] STW A3 0.6 2031 1</t>
  </si>
  <si>
    <t>Glen Innes Town Centre - Water Quality Improvements STW A8 0.3 2031 1</t>
  </si>
  <si>
    <t>Changing Rooms (Te Puke o Tara Sports Park) CI A1 0.625 2052 0.32258064516129</t>
  </si>
  <si>
    <t>Carpark (Buster Elliot Reserve Stage 2) CI A22 1 2029 1</t>
  </si>
  <si>
    <t>Neighbourhood Park Land Acquisition - Rural North Upper OSL A21 0.82 2028 1</t>
  </si>
  <si>
    <t>Sandcarpet (Waler Massey Park Stadium) OSD A12 0.12 2028 1</t>
  </si>
  <si>
    <t>Neighbourhood Park / Civic Space Land Acquisition - Drury / Opaheke</t>
  </si>
  <si>
    <t>Organised Sport Park Acquisition - Drury / Opaheke</t>
  </si>
  <si>
    <t>Suburb Park Land Acquisition - Drury / Opaheke</t>
  </si>
  <si>
    <t>Walkway works ( Manukau Puhinui Stage 2: CMDHB)</t>
  </si>
  <si>
    <t>Walking and Cycling Network Works (Manukau)</t>
  </si>
  <si>
    <t>Sportsfields works (Papatoetoe  86 Cambridge Tce)</t>
  </si>
  <si>
    <t>Cambridge Tce Interface Enhancement Works (Papatoetoe)</t>
  </si>
  <si>
    <t>Community Hub and Arts Development (Papatoetoe)</t>
  </si>
  <si>
    <t>Stadium Reserve Works (Papatoetoe)</t>
  </si>
  <si>
    <t>Civic Hub Enhancement Acquisitions (Pukekohe)</t>
  </si>
  <si>
    <t>Civic Hub Enhancements (Pukekohe)</t>
  </si>
  <si>
    <t>Eat Street Phase 2-King St Enhancements (Pukekohe)</t>
  </si>
  <si>
    <t>Eat Street Stage 2 Acquisition (Pukekohe)</t>
  </si>
  <si>
    <t>King St Through Site Link Acquisition (Pukekohe)</t>
  </si>
  <si>
    <t>Eat Streets Phase 1-Town Square + Roulston Street Upgrade (Pukekohe)</t>
  </si>
  <si>
    <t>Open Space (WQ-Headland Park East)</t>
  </si>
  <si>
    <t>Open Space (WQ-Headland Park North-Hamer St North)</t>
  </si>
  <si>
    <t>Open Space (WQ-Headland Park North East)</t>
  </si>
  <si>
    <t>Open Space (WQ-Headland Park North West)</t>
  </si>
  <si>
    <t>Open Space (WQ-Headland Park West)</t>
  </si>
  <si>
    <t>Sports Bowl Community Facility Investment (Manukau)</t>
  </si>
  <si>
    <t>Pedestrian and cycling bridge and connections to the Lagoon Pool and the Basin (Panmure Basin View Precinct)</t>
  </si>
  <si>
    <t>Community Hub (Panmure)</t>
  </si>
  <si>
    <t>Town Square (Anzac Street / Hurstmere Road)</t>
  </si>
  <si>
    <t>Sports park improvement, extend fields eight, nine, and 10 (Waikaraka Park)</t>
  </si>
  <si>
    <t>Playspace (Flatbush)</t>
  </si>
  <si>
    <t>Toilet - stage 2 (Phyllis Reserve)</t>
  </si>
  <si>
    <t>General Park Development (Hingaia Park-Stage 1a)</t>
  </si>
  <si>
    <t>Develop Public Access (Greenmount Development)</t>
  </si>
  <si>
    <t>General Park Development (Crown Lynn)</t>
  </si>
  <si>
    <t>Park Development (Colin Maiden Park - stage 2)</t>
  </si>
  <si>
    <t>Sand carpet and lighting on field 3 (Shore Road Reserve)</t>
  </si>
  <si>
    <t>Cycleways and walkways (Flat Bush)</t>
  </si>
  <si>
    <t>New community centre and library (Avondale)</t>
  </si>
  <si>
    <t>General Park Development (Kauri Heart Park)</t>
  </si>
  <si>
    <t>Playground and landscaping development (Huapai, Matua Road)</t>
  </si>
  <si>
    <t>Playspace and park furniture upgrade (Moire Park)</t>
  </si>
  <si>
    <t>Sportsfield and lighting (Singer Park)</t>
  </si>
  <si>
    <t>Sportsfield and Lighting upgrade (Te Atatu Peninsula Park)</t>
  </si>
  <si>
    <t>Playspace with walkways (Riverhead)</t>
  </si>
  <si>
    <t>Optimise play space, renew carpark and minor assets (Riverhead War Memorial Park)</t>
  </si>
  <si>
    <t>Sportsfield 2 upgrade (Pukekohe Stadium-Growers Stadium)</t>
  </si>
  <si>
    <t>Lighting - (Howick)</t>
  </si>
  <si>
    <t>General park development (Johnson Reserve)</t>
  </si>
  <si>
    <t>General park development (Taurima Reserve)</t>
  </si>
  <si>
    <t>General park development (Penihana Park)</t>
  </si>
  <si>
    <t>Sportsfield upgrade and lighting (Bledisloe Park)</t>
  </si>
  <si>
    <t>General park development (490E Don Buck Road Massey)</t>
  </si>
  <si>
    <t>General park development (86 Harvest Ave, Orewa)</t>
  </si>
  <si>
    <t>Awataha Greenway Plan development</t>
  </si>
  <si>
    <t>General park development (Glenbrook, 77 Tahuna Minhinnick Drive)</t>
  </si>
  <si>
    <t>Sportsfield and Lighting (Te Puru Park)</t>
  </si>
  <si>
    <t>General Park Development (Boundary Reserve West)</t>
  </si>
  <si>
    <t>Playspace and Walkways (Cabeleigh Drive Pond Reserve)</t>
  </si>
  <si>
    <t>Replace hockey turf upgrade facilities (Papatoetoe Recreation Reserve)</t>
  </si>
  <si>
    <t>Toilet (Glasgow Park)</t>
  </si>
  <si>
    <t>Sportsfield upgrade (Rongomai Park)</t>
  </si>
  <si>
    <t>General park development (Observation Green)</t>
  </si>
  <si>
    <t>General park development (Beachlands, 6 Angiangi Crescent)\</t>
  </si>
  <si>
    <t>Suburb park development (158A Park Estate Road, Hingaia)</t>
  </si>
  <si>
    <t>Generla park development (Dida Park Drive, Huapai)</t>
  </si>
  <si>
    <t>General park development (Thomas Road Recreation Reserve)</t>
  </si>
  <si>
    <t>General park development (935 Papakura-Clevedon Road subdivision)</t>
  </si>
  <si>
    <t>Toilet and Changing room (Aorere Park)</t>
  </si>
  <si>
    <t>General park development (Kirikiri Reserve)</t>
  </si>
  <si>
    <t>Walkway works ( Manukau Puhinui Stage 2: CMDHB) OSD A19 0.3 2031 1</t>
  </si>
  <si>
    <t>Walking and Cycling Network Works (Manukau) CI A19 0.5 2032 0.909090909090909</t>
  </si>
  <si>
    <t>Sportsfields works (Papatoetoe  86 Cambridge Tce) OSD A1 0.9 2031 1</t>
  </si>
  <si>
    <t>Cambridge Tce Interface Enhancement Works (Papatoetoe) OSD A19 0.1 2031 1</t>
  </si>
  <si>
    <t>Community Hub and Arts Development (Papatoetoe) CI A19 0.3 2032 0.909090909090909</t>
  </si>
  <si>
    <t>Stadium Reserve Works (Papatoetoe) OSD A19 0.1 2031 1</t>
  </si>
  <si>
    <t>Civic Hub Enhancement Acquisitions (Pukekohe) CI A14 0.5 2032 0.909090909090909</t>
  </si>
  <si>
    <t>Civic Hub Enhancements (Pukekohe) CI A14 0.5 2032 0.909090909090909</t>
  </si>
  <si>
    <t>Eat Street Phase 2-King St Enhancements (Pukekohe) CI A14 0.3 2032 0.909090909090909</t>
  </si>
  <si>
    <t>Eat Street Stage 2 Acquisition (Pukekohe) CI A14 0.3 2032 0.909090909090909</t>
  </si>
  <si>
    <t>King St Through Site Link Acquisition (Pukekohe) CI A14 0.3 2032 0.909090909090909</t>
  </si>
  <si>
    <t>Eat Streets Phase 1-Town Square + Roulston Street Upgrade (Pukekohe) CI A14 0.3 2032 0.909090909090909</t>
  </si>
  <si>
    <t>Open Space (WQ-Headland Park East) OSD A1 0.2 2031 1</t>
  </si>
  <si>
    <t>Open Space (WQ-Headland Park North-Hamer St North) OSD A1 0.2 2031 1</t>
  </si>
  <si>
    <t>Open Space (WQ-Headland Park North East) OSD A1 0.2 2031 1</t>
  </si>
  <si>
    <t>Open Space (WQ-Headland Park North West) OSD A1 0.2 2031 1</t>
  </si>
  <si>
    <t>Open Space (WQ-Headland Park West) OSD A1 0.2 2031 1</t>
  </si>
  <si>
    <t>Sports Bowl Community Facility Investment (Manukau) CI A19 0.3 2032 0.909090909090909</t>
  </si>
  <si>
    <t>Pedestrian and cycling bridge and connections to the Lagoon Pool and the Basin (Panmure Basin View Precinct) CI A27 0.75 2032 0.909090909090909</t>
  </si>
  <si>
    <t>Community Hub (Panmure) CI A27 0.75 2032 0.909090909090909</t>
  </si>
  <si>
    <t>Town Square (Anzac Street / Hurstmere Road) CI A16 0.1 2032 0.909090909090909</t>
  </si>
  <si>
    <t>Upgrade (Jubilee bridge) OSD A27 0.5 2031 1</t>
  </si>
  <si>
    <t>Upgrade (Jubilee bridge) OSD A18 0.5 2031 1</t>
  </si>
  <si>
    <t>Playspace (Flatbush) CI A10 0.5 2032 0.909090909090909</t>
  </si>
  <si>
    <t>Toilet - stage 2 (Phyllis Reserve) CI A18 0.625 2052 0.32258064516129</t>
  </si>
  <si>
    <t>Playground (Ray Faussett Reserve) OSD A14 0.75 2032 0.909090909090909</t>
  </si>
  <si>
    <t>General Park Development (Hingaia Park-Stage 1a) OSD A13 1 2032 0.909090909090909</t>
  </si>
  <si>
    <t>Develop Public Access (Greenmount Development) OSD A20 0.625 2031 1</t>
  </si>
  <si>
    <t>Greenways Link (Otahuhu Portage) CI A19 0.625 2052 0.32258064516129</t>
  </si>
  <si>
    <t>General Park Development (Crown Lynn) OSD A17 0.5 2031 1</t>
  </si>
  <si>
    <t>Park Development (Colin Maiden Park - stage 2) CI A1 0.5 2032 0.909090909090909</t>
  </si>
  <si>
    <t>Sand carpet and lighting on field 3 (Shore Road Reserve) OSD A1 0.625 2031 1</t>
  </si>
  <si>
    <t>Cycleways and walkways (Flat Bush) CI A10 0.25 2052 0.32258064516129</t>
  </si>
  <si>
    <t>General Park Development (Metro Park West ) OSD A15 0.75 2052 0.32258064516129</t>
  </si>
  <si>
    <t>Walkways (Ōrākei Spine shared Path and Links) CI A18 0.625 2052 0.32258064516129</t>
  </si>
  <si>
    <t>New community centre and library (Avondale) CI A17 0.5 2032 0.909090909090909</t>
  </si>
  <si>
    <t>General Park Development (Kauri Heart Park) OSD A11 1 2032 0.909090909090909</t>
  </si>
  <si>
    <t>General Park Development (East View Reserve) OSD A27 0.75 2046 0.4</t>
  </si>
  <si>
    <t>Playground and landscaping development (Huapai, Matua Road) CI A7 0.75 2032 0.909090909090909</t>
  </si>
  <si>
    <t>Community Centre (Manurewa) CI A19 0.625 2052 0.32258064516129</t>
  </si>
  <si>
    <t>Playspace and park furniture upgrade (Moire Park) CI A17 0.5 2052 0.32258064516129</t>
  </si>
  <si>
    <t>Playspace with walkways (Riverhead) CI A7 1 2052 0.32258064516129</t>
  </si>
  <si>
    <t>Optimise play space, renew carpark and minor assets (Riverhead War Memorial Park) CI A7 0.25 2033 0.833333333333333</t>
  </si>
  <si>
    <t>Sportsfield 2 upgrade (Pukekohe Stadium-Growers Stadium) OSD A1 0.625 2031 1</t>
  </si>
  <si>
    <t>Lighting - (Howick) OSD A1 0.75 2031 1</t>
  </si>
  <si>
    <t>General park development (Johnson Reserve) OSD A27 0.75 2031 1</t>
  </si>
  <si>
    <t>General park development (Taurima Reserve) CI A27 0.75 2046 0.4</t>
  </si>
  <si>
    <t>Community Centre Development (Meadowbank) CI A18 0.25 2032 0.909090909090909</t>
  </si>
  <si>
    <t>General park development (Penihana Park) OSD A23 1 2052 0.32258064516129</t>
  </si>
  <si>
    <t>Sportsfield upgrade and lighting (Bledisloe Park) OSD A1 0.625 2031 1</t>
  </si>
  <si>
    <t>General park development (490E Don Buck Road Massey) OSD A7 1 2031 1</t>
  </si>
  <si>
    <t>General park development (86 Harvest Ave, Orewa) OSD A15 1 2032 0.909090909090909</t>
  </si>
  <si>
    <t>Awataha Greenway Plan development CI A16 0.75 2052 0.32258064516129</t>
  </si>
  <si>
    <t>General park development (Glenbrook, 77 Tahuna Minhinnick Drive) OSD A24 1 2032 0.909090909090909</t>
  </si>
  <si>
    <t>Sportsfield and Lighting (Te Puru Park) OSD A1 0.625 2031 1</t>
  </si>
  <si>
    <t>General Park Development (Boundary Reserve West) OSD A27 0.625 2046 0.4</t>
  </si>
  <si>
    <t>Playspace and Walkways (Cabeleigh Drive Pond Reserve) CI A23 0.75 2052 0.32258064516129</t>
  </si>
  <si>
    <t>Replace hockey turf upgrade facilities (Papatoetoe Recreation Reserve) OSD A1 0.5 2031 1</t>
  </si>
  <si>
    <t>Toilet (Glasgow Park) OSD A23 0.625 2052 0.32258064516129</t>
  </si>
  <si>
    <t>Sportsfield upgrade (Rongomai Park) OSD A1 0.625 2031 1</t>
  </si>
  <si>
    <t>General park development (Observation Green) CI A7 1 2032 0.909090909090909</t>
  </si>
  <si>
    <t>General park development (Beachlands, 6 Angiangi Crescent)\ OSD A25 1 2032 0.909090909090909</t>
  </si>
  <si>
    <t>Suburb park development (158A Park Estate Road, Hingaia) OSD A13 1 2036 0.666666666666667</t>
  </si>
  <si>
    <t>Generla park development (Dida Park Drive, Huapai) OSD A7 1 2031 1</t>
  </si>
  <si>
    <t>General park development (Thomas Road Recreation Reserve) OSD A10 1 2046 0.4</t>
  </si>
  <si>
    <t>General park development (935 Papakura-Clevedon Road subdivision) OSD A11 1 2032 0.909090909090909</t>
  </si>
  <si>
    <t>Toilet and Changing room (Aorere Park) OSD A19 0.25 2031 1</t>
  </si>
  <si>
    <t>General park development (Kirikiri Reserve) OSD A11 1 2046 0.4</t>
  </si>
  <si>
    <t>Do not have to calculate remaining budget as actuals for FY21 were used.</t>
  </si>
  <si>
    <t>No spliting of funding areas required for the proposed DC policy</t>
  </si>
  <si>
    <t>The static data for DC funding areas used throughout the model in formulas and the outputs</t>
  </si>
  <si>
    <t>List of static data used throughout the model in formulas and the outputs</t>
  </si>
  <si>
    <t>2028/29</t>
  </si>
  <si>
    <t>2029/30</t>
  </si>
  <si>
    <t>2030/31</t>
  </si>
  <si>
    <t>The redevelopment of the site required a separated stormwater network and a connection to it. This meant a deep pipe under the railway line and through basalt to the existing 22m deep stormwater tunnel under Kingdon St. Previously, the site discharged to soakage and to the combined system. This new connection pipe will also enable adjacent sites to have a stormwater connection, reduce the floodplain extents on the University of Auckland site and allow for future separation of the combined wastewater and stormwater systems.</t>
  </si>
  <si>
    <t>To reduce odour arising from the open channel (which borders three sides of Stanley Bay Reserve), to reduce flooding issues and to improve amenity. Outlet is also sized and surrounds protected for maximum upstream growth.</t>
  </si>
  <si>
    <t>Improve the water quality within the Glen Innes town center through the installation of treatment devices which are designed to capture gross pollutants from growth and existing town centre users.</t>
  </si>
  <si>
    <t>Organised Sport Park Acquisition - South OSL A1 0.95 2031 1</t>
  </si>
  <si>
    <t>Organised Sport Park Acquisition North OSL A1 0.95 2031 1</t>
  </si>
  <si>
    <t>Organised Sport Park Acquisition - North-West OSL A1 0.985 2031 1</t>
  </si>
  <si>
    <t>Organised Sport Park Acquisition North Rural OSL A1 0.95 2036 0.666666666666667</t>
  </si>
  <si>
    <t>Sports park improvement, extend fields eight, nine, and 10 (Waikaraka Park) OSD A1 0.625 2031 1</t>
  </si>
  <si>
    <t>Sportsfield and lighting (Singer Park) OSD A1 0.625 2031 1</t>
  </si>
  <si>
    <t>Sportsfield and Lighting upgrade (Te Atatu Peninsula Park) OSD A1 0.625 2031 1</t>
  </si>
  <si>
    <t>Make improvements to the stormwater network that will: reduce flooding of neighboring properties; improve downstream water quality; prevent landfill gases and leachate entering the stormwater network making it safer to maintain. 
To increase capacity in the network to allow for future growth.  To create/ improve amenities giving the community greater connectivity to Opanuku and Waitaro streams. To enable adequate stormwater asset maintenance in the future .</t>
  </si>
  <si>
    <t>The main objectives for this project is to renew and upgrade remnant stream and associated under capacity pipe system serves an urbanised catchment of approximately 5.5 ha, as measured upstream from Routley Drive.  
This project will reduce frequency of flooding improved level of service with reduced overland flow through the private properties and support growth in the sub catchment.
The proposed project also support growth in the area by providing a sound stormwater system with capacity to support growth.</t>
  </si>
  <si>
    <t>The objectives of this project are to:  Reduce flooding to properties within the Eskdale Catchment by providing new stormwater infrastructure and increasing the level of service of stormwater reticulation;  Rehabilitate deteriorating assets to reduce the reputational risk to Auckland Council and risk of flooding to properties should they fail in the future;  Support and enable growth to occur within the catchment.</t>
  </si>
  <si>
    <t>Reduce flooding to private properties and the road reserve within the Hillcrest and Shoal Bay Catchment. 
Provide treatment to the stormwater within the Hillcrest and Shoal Bay Catchments discharging to Patuone Reserve 
Enable growth in the Anzac Street West Precinct by providing developers with stormwater infrastructure to connect and discharge.</t>
  </si>
  <si>
    <t>Renewal of approximately 143m of critical stormwater pipe in poor condition crossing beneath residential dwellings and servicing a large over land flow path to restore structural condition and reduce risk of flooding that would be caused if pipes were to fail. Using larger pipes to cater for growth.</t>
  </si>
  <si>
    <t>Objectives of this project are as follows:
To extend the existing public stormwater reticulation to support future development;
To reduce flow to the existing under capacity pipes from 1 Merriefield Avenue to 35 Becroft Drive compliant for a 1% AEP event;
To reduce flooding and erosion at the existing outfall at 3 Merriefield Avenue;
To alleviate nuisance flooding to the road from kerb outfalls and from overflow from Trevone Place;
To avoid potential failure of a critical culvert, Asset ID’s: 2000930244 and 2000534476 and alleviate flooding to properties caused by the culvert being under capacity.</t>
  </si>
  <si>
    <t>Minimise flood risks by implementing overland flow path solution before the serviced catchment reaches a full density allowance under Unitary Plan 
The construction of an OLFP to provide a safe and resilient conveyance through 13 Aeronautic Road to alleviate the long-term flood risks in the catchment. The project will also enable decommissioning the temporary pump station (reducing the Council’s operational costs, and allowing the Council to consider other uses for the pump station land).</t>
  </si>
  <si>
    <t>General park development (Dunkirk Reserve)</t>
  </si>
  <si>
    <t>Organised Sport Park Acquisition - Drury / Opaheke OSL A1 0.95 2051 0.333333333333333</t>
  </si>
  <si>
    <t>General park development (Dunkirk Reserve) OSD A27 0.75 2046 0.4</t>
  </si>
  <si>
    <t>Neighbourhood Park / Civic Space Land Acquisition - Drury / Opaheke OSL A12 0.95 2051 0.178</t>
  </si>
  <si>
    <t>Suburb Park Land Acquisition - Drury / Opaheke OSL A12 0.95 2051 0.178</t>
  </si>
  <si>
    <t>Multi-purpose community facility (Flat Bush) CI A10 0.661 2032 0.909090909090909</t>
  </si>
  <si>
    <t>Updated on 26/11/2021 at 02:58:48 PM</t>
  </si>
  <si>
    <t>Drury East IPA</t>
  </si>
  <si>
    <t>Drury West 1 IPA</t>
  </si>
  <si>
    <t>Drury West 2 IPA</t>
  </si>
  <si>
    <t>Opaheke IPA</t>
  </si>
  <si>
    <t>Drury South IPA</t>
  </si>
  <si>
    <t>Paerata / Pukekohe IPA</t>
  </si>
  <si>
    <t>Papakura / Takaanini IPA</t>
  </si>
  <si>
    <t>2a TRA A23</t>
  </si>
  <si>
    <t>GSR improvements - From Drury School to Waihoehoe Rd</t>
  </si>
  <si>
    <t>2-lane urban- existing road layout with active modes on both sides + intersection improvements (TDM)</t>
  </si>
  <si>
    <t>Transport - Drury East IPA</t>
  </si>
  <si>
    <t>4-lane urban- existing road layout with active modes on both sides + intersection improvements (TDM)</t>
  </si>
  <si>
    <t>4b TRA A23</t>
  </si>
  <si>
    <t>Waihoehoe Rd East upgrades- from Fitzgerald Rd to before Cossey Rd (development boundary)</t>
  </si>
  <si>
    <t>Expand to 24m cross section</t>
  </si>
  <si>
    <t>Upgrade in Norrie Rd/GSR/Waihoehoe intersection</t>
  </si>
  <si>
    <t>9b TRA A23</t>
  </si>
  <si>
    <t>multi-lane signalised intersection with active mode crossings, SGA design</t>
  </si>
  <si>
    <t>New intersection on Waihoehoe Rd/Fitzgerald Rd( including approach cross-sections)</t>
  </si>
  <si>
    <t>11 TRA A23</t>
  </si>
  <si>
    <t>Intersection upgrade Waihoehoe Rd/Fielding Rd/Appleby Rd</t>
  </si>
  <si>
    <t>Roundabout as per SGA design</t>
  </si>
  <si>
    <t>13a TRA A23</t>
  </si>
  <si>
    <t>2-lane urban- new 2-lane arterial with active modes on both sides + intersection improvements (TDM)</t>
  </si>
  <si>
    <t>23b TRA A23</t>
  </si>
  <si>
    <t>Waihoehoe Rd West upgrades- between GSR &amp; Kath Henry Lane</t>
  </si>
  <si>
    <t>Final 4-lane - following interim option, upgrade Road corridor to provide four lanes with additional turning lanes at intersections where required (as indicated in SGA Design</t>
  </si>
  <si>
    <t>Waihoehoe Rd West upgrades- between Kath Henry Lane and Fitzgerald Rd</t>
  </si>
  <si>
    <t>23d TRA A23</t>
  </si>
  <si>
    <t>24 TRA A23</t>
  </si>
  <si>
    <t>Upgrades on Waihoehoe Rd east- from project 4 to Drury Hills + Drury Hills Intersection</t>
  </si>
  <si>
    <t xml:space="preserve">2-lane urban - upgrade existing road layout with active modes on both sides, 20m cross-section </t>
  </si>
  <si>
    <t>36a TRA A23</t>
  </si>
  <si>
    <t>Bremner-Norrie Road east of SH1 up to GSR (overlap with project 12)</t>
  </si>
  <si>
    <t>2-lane urban- upgrade existing road layout with active modes on both sides (Under construction)</t>
  </si>
  <si>
    <t>New intersection on Jesmond/Bremner Rd</t>
  </si>
  <si>
    <t xml:space="preserve"> 2-lane signalised intersection (new intersection with active mode crossings)</t>
  </si>
  <si>
    <t>Jesmond Rd upgrades from SH22 to Waipupuke development boundary</t>
  </si>
  <si>
    <t>2-lane urban- upgrade existing road with active modes on both sides (TDM)</t>
  </si>
  <si>
    <t xml:space="preserve">Jesmond Rd upgrades from project 41 to New Bremner Rd </t>
  </si>
  <si>
    <t xml:space="preserve"> 2-lane urban- upgrade existing road with active mode facility on both sides (TDM)</t>
  </si>
  <si>
    <t>46 TRA A23</t>
  </si>
  <si>
    <t>Upgrades in GSR/Firth St intersection (overlap with project12)</t>
  </si>
  <si>
    <t>Possible signals(subject to Auranga assessment)</t>
  </si>
  <si>
    <t>67 TRA A23</t>
  </si>
  <si>
    <t>Active Mode Corridor Drury Central to GSR</t>
  </si>
  <si>
    <t>70 TRA A23</t>
  </si>
  <si>
    <t>walk/cycle bridges on GSR Road bridge over the rail corridor</t>
  </si>
  <si>
    <t>New cycle bridge 5m wide, 80m long, approach lengths 270m total for both sides. No property required</t>
  </si>
  <si>
    <t>2a TRA A23 WK subsidy</t>
  </si>
  <si>
    <t>4b TRA A23 WK subsidy</t>
  </si>
  <si>
    <t>9b TRA A23 WK subsidy</t>
  </si>
  <si>
    <t>11 TRA A23 WK subsidy</t>
  </si>
  <si>
    <t>13a TRA A23 WK subsidy</t>
  </si>
  <si>
    <t>23b TRA A23 WK subsidy</t>
  </si>
  <si>
    <t>23d TRA A23 WK subsidy</t>
  </si>
  <si>
    <t>24 TRA A23 WK subsidy</t>
  </si>
  <si>
    <t>36a TRA A23 WK subsidy</t>
  </si>
  <si>
    <t>46 TRA A23 WK subsidy</t>
  </si>
  <si>
    <t>67 TRA A23 WK subsidy</t>
  </si>
  <si>
    <t>70 TRA A23 WK subsidy</t>
  </si>
  <si>
    <t>2a TRA A24</t>
  </si>
  <si>
    <t>Transport - Drury West 1 IPA</t>
  </si>
  <si>
    <t>9b TRA A24</t>
  </si>
  <si>
    <t>23b TRA A24</t>
  </si>
  <si>
    <t>23d TRA A24</t>
  </si>
  <si>
    <t>36a TRA A24</t>
  </si>
  <si>
    <t>40a TRA A24</t>
  </si>
  <si>
    <t>41a TRA A24</t>
  </si>
  <si>
    <t>42b TRA A24</t>
  </si>
  <si>
    <t>46 TRA A24</t>
  </si>
  <si>
    <t>67 TRA A24</t>
  </si>
  <si>
    <t>70 TRA A24</t>
  </si>
  <si>
    <t>2a TRA A24 WK subsidy</t>
  </si>
  <si>
    <t>9b TRA A24 WK subsidy</t>
  </si>
  <si>
    <t>23b TRA A24 WK subsidy</t>
  </si>
  <si>
    <t>23d TRA A24 WK subsidy</t>
  </si>
  <si>
    <t>36a TRA A24 WK subsidy</t>
  </si>
  <si>
    <t>40a TRA A24 WK subsidy</t>
  </si>
  <si>
    <t>41a TRA A24 WK subsidy</t>
  </si>
  <si>
    <t>42b TRA A24 WK subsidy</t>
  </si>
  <si>
    <t>46 TRA A24 WK subsidy</t>
  </si>
  <si>
    <t>67 TRA A24 WK subsidy</t>
  </si>
  <si>
    <t>70 TRA A24 WK subsidy</t>
  </si>
  <si>
    <t>Transport - Drury West 2 IPA</t>
  </si>
  <si>
    <t>2a TRA A26</t>
  </si>
  <si>
    <t>Transport - Opaheke IPA</t>
  </si>
  <si>
    <t>4b TRA A26</t>
  </si>
  <si>
    <t>9b TRA A26</t>
  </si>
  <si>
    <t>11 TRA A26</t>
  </si>
  <si>
    <t>23b TRA A26</t>
  </si>
  <si>
    <t>23d TRA A26</t>
  </si>
  <si>
    <t>24 TRA A26</t>
  </si>
  <si>
    <t>36a TRA A26</t>
  </si>
  <si>
    <t>2a TRA A26 WK subsidy</t>
  </si>
  <si>
    <t>4b TRA A26 WK subsidy</t>
  </si>
  <si>
    <t>9b TRA A26 WK subsidy</t>
  </si>
  <si>
    <t>11 TRA A26 WK subsidy</t>
  </si>
  <si>
    <t>23b TRA A26 WK subsidy</t>
  </si>
  <si>
    <t>23d TRA A26 WK subsidy</t>
  </si>
  <si>
    <t>24 TRA A26 WK subsidy</t>
  </si>
  <si>
    <t>36a TRA A26 WK subsidy</t>
  </si>
  <si>
    <t>70 TRA A27</t>
  </si>
  <si>
    <t>70 TRA A27 WK subsidy</t>
  </si>
  <si>
    <t>2a TRA A28</t>
  </si>
  <si>
    <t>4b TRA A28</t>
  </si>
  <si>
    <t>11 TRA A28</t>
  </si>
  <si>
    <t>13a TRA A28</t>
  </si>
  <si>
    <t>23b TRA A28</t>
  </si>
  <si>
    <t>23d TRA A28</t>
  </si>
  <si>
    <t>24 TRA A28</t>
  </si>
  <si>
    <t>2a TRA A28 WK subsidy</t>
  </si>
  <si>
    <t>4b TRA A28 WK subsidy</t>
  </si>
  <si>
    <t>11 TRA A28 WK subsidy</t>
  </si>
  <si>
    <t>13a TRA A28 WK subsidy</t>
  </si>
  <si>
    <t>23b TRA A28 WK subsidy</t>
  </si>
  <si>
    <t>23d TRA A28 WK subsidy</t>
  </si>
  <si>
    <t>24 TRA A28 WK subsidy</t>
  </si>
  <si>
    <t>2a TRA A29</t>
  </si>
  <si>
    <t>9b TRA A29</t>
  </si>
  <si>
    <t>23b TRA A29</t>
  </si>
  <si>
    <t>23d TRA A29</t>
  </si>
  <si>
    <t>67 TRA A29</t>
  </si>
  <si>
    <t>2a TRA A29 WK subsidy</t>
  </si>
  <si>
    <t>9b TRA A29 WK subsidy</t>
  </si>
  <si>
    <t>23b TRA A29 WK subsidy</t>
  </si>
  <si>
    <t>23d TRA A29 WK subsidy</t>
  </si>
  <si>
    <t>67 TRA A29 WK subsidy</t>
  </si>
  <si>
    <t>2a TRA A1</t>
  </si>
  <si>
    <t>36a TRA A1</t>
  </si>
  <si>
    <t>2a TRA A1 WK subsidy</t>
  </si>
  <si>
    <t>36a TRA A1 WK subsidy</t>
  </si>
  <si>
    <t>Drury East</t>
  </si>
  <si>
    <t>Drury West 1</t>
  </si>
  <si>
    <t>Drury West 2</t>
  </si>
  <si>
    <t>Opaheke</t>
  </si>
  <si>
    <t>Papakura / Takaanini</t>
  </si>
  <si>
    <t>10b TRA A23</t>
  </si>
  <si>
    <t>multi-lane roundabout with active mode crossings, SGA design</t>
  </si>
  <si>
    <t>10b TRA A23 WK subsidy</t>
  </si>
  <si>
    <t>9b TRA A25</t>
  </si>
  <si>
    <t>23b TRA A25</t>
  </si>
  <si>
    <t>23d TRA A25</t>
  </si>
  <si>
    <t>36a TRA A25</t>
  </si>
  <si>
    <t>40a TRA A25</t>
  </si>
  <si>
    <t>41a TRA A25</t>
  </si>
  <si>
    <t>42b TRA A25</t>
  </si>
  <si>
    <t>67 TRA A25</t>
  </si>
  <si>
    <t>70 TRA A25</t>
  </si>
  <si>
    <t>9b TRA A25 WK subsidy</t>
  </si>
  <si>
    <t>23b TRA A25 WK subsidy</t>
  </si>
  <si>
    <t>23d TRA A25 WK subsidy</t>
  </si>
  <si>
    <t>36a TRA A25 WK subsidy</t>
  </si>
  <si>
    <t>40a TRA A25 WK subsidy</t>
  </si>
  <si>
    <t>41a TRA A25 WK subsidy</t>
  </si>
  <si>
    <t>42b TRA A25 WK subsidy</t>
  </si>
  <si>
    <t>67 TRA A25 WK subsidy</t>
  </si>
  <si>
    <t>70 TRA A25 WK subsidy</t>
  </si>
  <si>
    <t>10b TRA A26</t>
  </si>
  <si>
    <t>10b TRA A26 WK subsidy</t>
  </si>
  <si>
    <t>10b TRA A28</t>
  </si>
  <si>
    <t>10b TRA A28 WK subsidy</t>
  </si>
  <si>
    <t>WK funding</t>
  </si>
  <si>
    <t>Gross project costs (excludes WK funding)</t>
  </si>
  <si>
    <t>14a TRA A23</t>
  </si>
  <si>
    <t>Western end of Brookefield Road Extension tie in with Quarry Rd</t>
  </si>
  <si>
    <t>2-lane urban (New Road connection to Quarry Road with active modes on both sides + intersection improvements)</t>
  </si>
  <si>
    <t>1b TRA A23</t>
  </si>
  <si>
    <t>GSR improvements - Waihoehoe Rd to Drury Interchange</t>
  </si>
  <si>
    <t>1b TRA A23 WK subsidy</t>
  </si>
  <si>
    <t>14a TRA A24</t>
  </si>
  <si>
    <t>1b TRA A24</t>
  </si>
  <si>
    <t>40b TRA A24</t>
  </si>
  <si>
    <t>Upgrade intersection on Jesmond/Bremner Rd</t>
  </si>
  <si>
    <t xml:space="preserve"> Multi-lane signalised intersection (upgrade intersection with active mode crossings)</t>
  </si>
  <si>
    <t>1b TRA A24 WK subsidy</t>
  </si>
  <si>
    <t>40b TRA A24 WK subsidy</t>
  </si>
  <si>
    <t>14a TRA A25</t>
  </si>
  <si>
    <t>1b TRA A25</t>
  </si>
  <si>
    <t>40b TRA A25</t>
  </si>
  <si>
    <t>1b TRA A25 WK subsidy</t>
  </si>
  <si>
    <t>40b TRA A25 WK subsidy</t>
  </si>
  <si>
    <t>1b TRA A26</t>
  </si>
  <si>
    <t>1b TRA A26 WK subsidy</t>
  </si>
  <si>
    <t>Transport - Southern Growth Area 3</t>
  </si>
  <si>
    <t>1b TRA A29</t>
  </si>
  <si>
    <t>Transport - Southern Growth Area 2</t>
  </si>
  <si>
    <t>1b TRA A29 WK subsidy</t>
  </si>
  <si>
    <t>1b TRA A28</t>
  </si>
  <si>
    <t>Transport - Southern Growth Area 1</t>
  </si>
  <si>
    <t>1b TRA A28 WK subsidy</t>
  </si>
  <si>
    <t>14a TRA A1</t>
  </si>
  <si>
    <t>1b TRA A1</t>
  </si>
  <si>
    <t>40b TRA A1</t>
  </si>
  <si>
    <t>1b TRA A1 WK subsidy</t>
  </si>
  <si>
    <t>40b TRA A1 WK subsidy</t>
  </si>
  <si>
    <t>Southern Growth Area 3</t>
  </si>
  <si>
    <t>Southern Growth Area 2</t>
  </si>
  <si>
    <t>Southern Growth Area 1</t>
  </si>
  <si>
    <t>Drury IPA (civic park)</t>
  </si>
  <si>
    <t>Auranga</t>
  </si>
  <si>
    <t>Drury IPA (Community spaces)</t>
  </si>
  <si>
    <t>Acquisition of land for civic space to support new growth in accordance with the Open Space Provision Policy</t>
  </si>
  <si>
    <t>Development of land for civic space to support new growth in accordance with the Open Space Provision Policy</t>
  </si>
  <si>
    <t>Parks -development</t>
  </si>
  <si>
    <t>Parks -acquisition</t>
  </si>
  <si>
    <t>Western end of Brookefield Road Extension tie in with Quarry Rd TRA A23 0.956922410530503 2060 0.0786637931034483</t>
  </si>
  <si>
    <t>GSR improvements - Waihoehoe Rd to Drury Interchange TRA A23 0.956922410530503 2060 0.0786637931034483</t>
  </si>
  <si>
    <t>GSR improvements - From Drury School to Waihoehoe Rd TRA A23 0.956922410530503 2060 0.0786637931034483</t>
  </si>
  <si>
    <t>Waihoehoe Rd East upgrades- from Fitzgerald Rd to before Cossey Rd (development boundary) TRA A23 0.956922410530503 2060 0.0786637931034483</t>
  </si>
  <si>
    <t>Upgrade in Norrie Rd/GSR/Waihoehoe intersection TRA A23 0.956922410530503 2060 0.0786637931034483</t>
  </si>
  <si>
    <t>New intersection on Waihoehoe Rd/Fitzgerald Rd( including approach cross-sections) TRA A23 0.956922410530503 2060 0.0786637931034483</t>
  </si>
  <si>
    <t>Intersection upgrade Waihoehoe Rd/Fielding Rd/Appleby Rd TRA A23 0.956922410530503 2060 0.0786637931034483</t>
  </si>
  <si>
    <t>Waihoehoe Rd West upgrades- between GSR &amp; Kath Henry Lane TRA A23 0.956922410530503 2060 0.0786637931034483</t>
  </si>
  <si>
    <t>Waihoehoe Rd West upgrades- between Kath Henry Lane and Fitzgerald Rd TRA A23 0.956922410530503 2060 0.0786637931034483</t>
  </si>
  <si>
    <t>Upgrades on Waihoehoe Rd east- from project 4 to Drury Hills + Drury Hills Intersection TRA A23 0.956922410530503 2060 0.0786637931034483</t>
  </si>
  <si>
    <t>Bremner-Norrie Road east of SH1 up to GSR (overlap with project 12) TRA A23 0.956922410530503 2060 0.0786637931034483</t>
  </si>
  <si>
    <t>Upgrades in GSR/Firth St intersection (overlap with project12) TRA A23 0.956922410530503 2060 0.0786637931034483</t>
  </si>
  <si>
    <t>Active Mode Corridor Drury Central to GSR TRA A23 0.956922410530503 2060 0.0786637931034483</t>
  </si>
  <si>
    <t>walk/cycle bridges on GSR Road bridge over the rail corridor TRA A23 0.956922410530503 2060 0.0786637931034483</t>
  </si>
  <si>
    <t>Western end of Brookefield Road Extension tie in with Quarry Rd TRA A24 0.916056010564664 2060 0.318160190325139</t>
  </si>
  <si>
    <t>GSR improvements - Waihoehoe Rd to Drury Interchange TRA A24 0.916056010564664 2060 0.318160190325139</t>
  </si>
  <si>
    <t>GSR improvements - From Drury School to Waihoehoe Rd TRA A24 0.916056010564664 2060 0.318160190325139</t>
  </si>
  <si>
    <t>Upgrade in Norrie Rd/GSR/Waihoehoe intersection TRA A24 0.916056010564664 2060 0.318160190325139</t>
  </si>
  <si>
    <t>Waihoehoe Rd West upgrades- between GSR &amp; Kath Henry Lane TRA A24 0.916056010564664 2060 0.318160190325139</t>
  </si>
  <si>
    <t>Waihoehoe Rd West upgrades- between Kath Henry Lane and Fitzgerald Rd TRA A24 0.916056010564664 2060 0.318160190325139</t>
  </si>
  <si>
    <t>Bremner-Norrie Road east of SH1 up to GSR (overlap with project 12) TRA A24 0.916056010564664 2060 0.318160190325139</t>
  </si>
  <si>
    <t>New intersection on Jesmond/Bremner Rd TRA A24 0.916056010564664 2060 0.318160190325139</t>
  </si>
  <si>
    <t>Upgrade intersection on Jesmond/Bremner Rd TRA A24 0.916056010564664 2060 0.318160190325139</t>
  </si>
  <si>
    <t>Jesmond Rd upgrades from SH22 to Waipupuke development boundary TRA A24 0.916056010564664 2060 0.318160190325139</t>
  </si>
  <si>
    <t>Jesmond Rd upgrades from project 41 to New Bremner Rd  TRA A24 0.916056010564664 2060 0.318160190325139</t>
  </si>
  <si>
    <t>Upgrades in GSR/Firth St intersection (overlap with project12) TRA A24 0.916056010564664 2060 0.318160190325139</t>
  </si>
  <si>
    <t>Active Mode Corridor Drury Central to GSR TRA A24 0.916056010564664 2060 0.318160190325139</t>
  </si>
  <si>
    <t>walk/cycle bridges on GSR Road bridge over the rail corridor TRA A24 0.916056010564664 2060 0.318160190325139</t>
  </si>
  <si>
    <t>Western end of Brookefield Road Extension tie in with Quarry Rd TRA A25 0.935905182821966 2060 0.00314663310258024</t>
  </si>
  <si>
    <t>GSR improvements - Waihoehoe Rd to Drury Interchange TRA A25 0.935905182821966 2060 0.00314663310258024</t>
  </si>
  <si>
    <t>Upgrade in Norrie Rd/GSR/Waihoehoe intersection TRA A25 0.935905182821966 2060 0.00314663310258024</t>
  </si>
  <si>
    <t>Waihoehoe Rd West upgrades- between GSR &amp; Kath Henry Lane TRA A25 0.935905182821966 2060 0.00314663310258024</t>
  </si>
  <si>
    <t>Waihoehoe Rd West upgrades- between Kath Henry Lane and Fitzgerald Rd TRA A25 0.935905182821966 2060 0.00314663310258024</t>
  </si>
  <si>
    <t>Bremner-Norrie Road east of SH1 up to GSR (overlap with project 12) TRA A25 0.935905182821966 2060 0.00314663310258024</t>
  </si>
  <si>
    <t>New intersection on Jesmond/Bremner Rd TRA A25 0.935905182821966 2060 0.00314663310258024</t>
  </si>
  <si>
    <t>Upgrade intersection on Jesmond/Bremner Rd TRA A25 0.935905182821966 2060 0.00314663310258024</t>
  </si>
  <si>
    <t>Jesmond Rd upgrades from SH22 to Waipupuke development boundary TRA A25 0.935905182821966 2060 0.00314663310258024</t>
  </si>
  <si>
    <t>Jesmond Rd upgrades from project 41 to New Bremner Rd  TRA A25 0.935905182821966 2060 0.00314663310258024</t>
  </si>
  <si>
    <t>Active Mode Corridor Drury Central to GSR TRA A25 0.935905182821966 2060 0.00314663310258024</t>
  </si>
  <si>
    <t>walk/cycle bridges on GSR Road bridge over the rail corridor TRA A25 0.935905182821966 2060 0.00314663310258024</t>
  </si>
  <si>
    <t>GSR improvements - Waihoehoe Rd to Drury Interchange TRA A26 0.756801091847854 2060 0.118464792988818</t>
  </si>
  <si>
    <t>GSR improvements - From Drury School to Waihoehoe Rd TRA A26 0.756801091847854 2060 0.118464792988818</t>
  </si>
  <si>
    <t>Waihoehoe Rd East upgrades- from Fitzgerald Rd to before Cossey Rd (development boundary) TRA A26 0.756801091847854 2060 0.118464792988818</t>
  </si>
  <si>
    <t>Upgrade in Norrie Rd/GSR/Waihoehoe intersection TRA A26 0.756801091847854 2060 0.118464792988818</t>
  </si>
  <si>
    <t>New intersection on Waihoehoe Rd/Fitzgerald Rd( including approach cross-sections) TRA A26 0.756801091847854 2060 0.118464792988818</t>
  </si>
  <si>
    <t>Intersection upgrade Waihoehoe Rd/Fielding Rd/Appleby Rd TRA A26 0.756801091847854 2060 0.118464792988818</t>
  </si>
  <si>
    <t>Waihoehoe Rd West upgrades- between GSR &amp; Kath Henry Lane TRA A26 0.756801091847854 2060 0.118464792988818</t>
  </si>
  <si>
    <t>Waihoehoe Rd West upgrades- between Kath Henry Lane and Fitzgerald Rd TRA A26 0.756801091847854 2060 0.118464792988818</t>
  </si>
  <si>
    <t>Upgrades on Waihoehoe Rd east- from project 4 to Drury Hills + Drury Hills Intersection TRA A26 0.756801091847854 2060 0.118464792988818</t>
  </si>
  <si>
    <t>Bremner-Norrie Road east of SH1 up to GSR (overlap with project 12) TRA A26 0.756801091847854 2060 0.118464792988818</t>
  </si>
  <si>
    <t>walk/cycle bridges on GSR Road bridge over the rail corridor TRA A27 0.834213968965223 2060 0.501751927119832</t>
  </si>
  <si>
    <t>GSR improvements - Waihoehoe Rd to Drury Interchange TRA A28 0.610473829173856 2060 0.348159182804852</t>
  </si>
  <si>
    <t>GSR improvements - From Drury School to Waihoehoe Rd TRA A28 0.610473829173856 2060 0.348159182804852</t>
  </si>
  <si>
    <t>Upgrade in Norrie Rd/GSR/Waihoehoe intersection TRA A28 0.610473829173856 2060 0.348159182804852</t>
  </si>
  <si>
    <t>Waihoehoe Rd West upgrades- between GSR &amp; Kath Henry Lane TRA A28 0.610473829173856 2060 0.348159182804852</t>
  </si>
  <si>
    <t>Waihoehoe Rd West upgrades- between Kath Henry Lane and Fitzgerald Rd TRA A28 0.610473829173856 2060 0.348159182804852</t>
  </si>
  <si>
    <t>Active Mode Corridor Drury Central to GSR TRA A28 0.610473829173856 2060 0.348159182804852</t>
  </si>
  <si>
    <t>GSR improvements - Waihoehoe Rd to Drury Interchange TRA A29 0.363493283880925 2060 0.40600624024961</t>
  </si>
  <si>
    <t>GSR improvements - From Drury School to Waihoehoe Rd TRA A29 0.363493283880925 2060 0.40600624024961</t>
  </si>
  <si>
    <t>Waihoehoe Rd East upgrades- from Fitzgerald Rd to before Cossey Rd (development boundary) TRA A29 0.363493283880925 2060 0.40600624024961</t>
  </si>
  <si>
    <t>New intersection on Waihoehoe Rd/Fitzgerald Rd( including approach cross-sections) TRA A29 0.363493283880925 2060 0.40600624024961</t>
  </si>
  <si>
    <t>Intersection upgrade Waihoehoe Rd/Fielding Rd/Appleby Rd TRA A29 0.363493283880925 2060 0.40600624024961</t>
  </si>
  <si>
    <t>Waihoehoe Rd West upgrades- between GSR &amp; Kath Henry Lane TRA A29 0.363493283880925 2060 0.40600624024961</t>
  </si>
  <si>
    <t>Waihoehoe Rd West upgrades- between Kath Henry Lane and Fitzgerald Rd TRA A29 0.363493283880925 2060 0.40600624024961</t>
  </si>
  <si>
    <t>Upgrades on Waihoehoe Rd east- from project 4 to Drury Hills + Drury Hills Intersection TRA A29 0.363493283880925 2060 0.40600624024961</t>
  </si>
  <si>
    <t>Western end of Brookefield Road Extension tie in with Quarry Rd TRA A1 0.328719971596652 2060 0.300677011918574</t>
  </si>
  <si>
    <t>GSR improvements - Waihoehoe Rd to Drury Interchange TRA A1 0.328719971596652 2060 0.300677011918574</t>
  </si>
  <si>
    <t>GSR improvements - From Drury School to Waihoehoe Rd TRA A1 0.328719971596652 2060 0.300677011918574</t>
  </si>
  <si>
    <t>Bremner-Norrie Road east of SH1 up to GSR (overlap with project 12) TRA A1 0.328719971596652 2060 0.300677011918574</t>
  </si>
  <si>
    <t>Upgrade intersection on Jesmond/Bremner Rd TRA A1 0.328719971596652 2060 0.300677011918574</t>
  </si>
  <si>
    <t>Project is expected to start after 30 June 2031</t>
  </si>
  <si>
    <t>Project is expected to cater for growth until financial year ending 30th June</t>
  </si>
  <si>
    <t>No</t>
  </si>
  <si>
    <t>Collector / Arterial</t>
  </si>
  <si>
    <t>Capacity year</t>
  </si>
  <si>
    <t>Project id</t>
  </si>
  <si>
    <t>Collector roads</t>
  </si>
  <si>
    <t>Building or upgrading of collector roads in Drury which benefit this funding area</t>
  </si>
  <si>
    <t>Arterial roads and infrastructure for multi-modial corridors</t>
  </si>
  <si>
    <t>Upgrading existing roads and arterial roads in Drury to cater for higher traffic volumes, which benefit this funding area. In some cases, also building multi-modial corridors to allow active modes and public transport.</t>
  </si>
  <si>
    <t>Reserve Development - Drury IPA (civic park)</t>
  </si>
  <si>
    <t>Acquisition of neighbourhood, suburb, and civic parks for Drury</t>
  </si>
  <si>
    <t>Development of neighbourhood, suburb, and civic parks for Drury</t>
  </si>
  <si>
    <t>Acquisition of neighbourhood, suburb, and civic parks for Drury OSL A28 0.966488638093256 2060 0.143777390569724</t>
  </si>
  <si>
    <t>Gross transport costs</t>
  </si>
  <si>
    <t>Collector</t>
  </si>
  <si>
    <t>Arterial</t>
  </si>
  <si>
    <t>Gross capex (excludes WK funding)</t>
  </si>
  <si>
    <t>Check of gross capex (should be zero)</t>
  </si>
  <si>
    <t>Contains output data used as input for the DC funding model</t>
  </si>
  <si>
    <t>Contains output data used in the DC policy</t>
  </si>
  <si>
    <t>Input—Internal</t>
  </si>
  <si>
    <t>Check to Planned_capex_starting_position tab should be zero</t>
  </si>
  <si>
    <t>Colour codes of sheet types</t>
  </si>
  <si>
    <t>N-S Opaheke Arterial across development (up to Waihoehoe Stream)</t>
  </si>
  <si>
    <t>Remove WK from unique identifier</t>
  </si>
  <si>
    <t>N-S Opaheke Arterial across development (up to Waihoehoe Stream) TRA A23 0.956922410530503 2060 0.0786637931034483</t>
  </si>
  <si>
    <t>N-S Opaheke Arterial across development (up to Waihoehoe Stream) TRA A29 0.363493283880925 2060 0.40600624024961</t>
  </si>
  <si>
    <t>Sch_8_consolidated_list</t>
  </si>
  <si>
    <t>DC infrastructure type</t>
  </si>
  <si>
    <t>DC infrastructure type code</t>
  </si>
  <si>
    <t>Infrastructure type and funding area description</t>
  </si>
  <si>
    <t>DC infrastructure code</t>
  </si>
  <si>
    <t>Infrastructure type</t>
  </si>
  <si>
    <t>Sumif used:</t>
  </si>
  <si>
    <t>Infrastructure type code</t>
  </si>
  <si>
    <t>Infrastructure type and funding area code</t>
  </si>
  <si>
    <t>NA</t>
  </si>
  <si>
    <t>Explanation of sheets in the Cost Allocation Model</t>
  </si>
  <si>
    <t>Reserves</t>
  </si>
  <si>
    <t>Unique Id  (Project code, funding area code, WK subsidy if applicable)</t>
  </si>
  <si>
    <t>FY 2022 costs</t>
  </si>
  <si>
    <t>FY 2023 costs</t>
  </si>
  <si>
    <t>FY 2024 costs</t>
  </si>
  <si>
    <t>FY 2025 costs</t>
  </si>
  <si>
    <t>FY 2026 costs</t>
  </si>
  <si>
    <t>FY 2027 costs</t>
  </si>
  <si>
    <t>FY 2028 costs</t>
  </si>
  <si>
    <t>FY 2029 costs</t>
  </si>
  <si>
    <t>FY 2030 costs</t>
  </si>
  <si>
    <t>Total  cost</t>
  </si>
  <si>
    <t>FY22</t>
  </si>
  <si>
    <t>FY23</t>
  </si>
  <si>
    <t>FY24</t>
  </si>
  <si>
    <t>Intergenerational cost (Years 1 - 10)</t>
  </si>
  <si>
    <t>FY25</t>
  </si>
  <si>
    <t>FY26</t>
  </si>
  <si>
    <t>FY27</t>
  </si>
  <si>
    <t>FY28</t>
  </si>
  <si>
    <t>FY29</t>
  </si>
  <si>
    <t>FY30</t>
  </si>
  <si>
    <t>FY31</t>
  </si>
  <si>
    <t>Intergenerational cost (Years 11 -20)</t>
  </si>
  <si>
    <t>Contributions Policy 2022 Variation A DC modelling</t>
  </si>
  <si>
    <r>
      <t xml:space="preserve">List of planned CAPEX expenditure extracted for Schedule 8 published with the DC policy. Data from the </t>
    </r>
    <r>
      <rPr>
        <i/>
        <sz val="11"/>
        <rFont val="Calibri"/>
        <family val="2"/>
        <scheme val="minor"/>
      </rPr>
      <t xml:space="preserve">Planned_capex_starting_position </t>
    </r>
    <r>
      <rPr>
        <sz val="11"/>
        <rFont val="Calibri"/>
        <family val="2"/>
        <scheme val="minor"/>
      </rPr>
      <t xml:space="preserve">tab is used to extract this information. </t>
    </r>
  </si>
  <si>
    <r>
      <t xml:space="preserve">The information on projects planned for delivery  within the 10-Year Budget 2021-2031. 
The growth share of the project costs to be recovered is calculated in this sheet (columns shown in green headings).  
For futher information, please refer to </t>
    </r>
    <r>
      <rPr>
        <i/>
        <sz val="11"/>
        <rFont val="Calibri"/>
        <family val="2"/>
        <scheme val="minor"/>
      </rPr>
      <t xml:space="preserve">Methodology for Calculating DCs </t>
    </r>
    <r>
      <rPr>
        <sz val="11"/>
        <rFont val="Calibri"/>
        <family val="2"/>
        <scheme val="minor"/>
      </rPr>
      <t>document which is available on the council's website.</t>
    </r>
  </si>
  <si>
    <r>
      <t>Total CAPEX expenditure forecast for the current 10 year period (</t>
    </r>
    <r>
      <rPr>
        <i/>
        <sz val="11"/>
        <rFont val="Calibri"/>
        <family val="2"/>
        <scheme val="minor"/>
      </rPr>
      <t xml:space="preserve">O_CWP_NOW </t>
    </r>
    <r>
      <rPr>
        <sz val="11"/>
        <rFont val="Calibri"/>
        <family val="2"/>
        <scheme val="minor"/>
      </rPr>
      <t>sheet</t>
    </r>
    <r>
      <rPr>
        <i/>
        <sz val="11"/>
        <rFont val="Calibri"/>
        <family val="2"/>
        <scheme val="minor"/>
      </rPr>
      <t xml:space="preserve">) </t>
    </r>
    <r>
      <rPr>
        <sz val="11"/>
        <rFont val="Calibri"/>
        <family val="2"/>
        <scheme val="minor"/>
      </rPr>
      <t xml:space="preserve"> plus planned CAPEX expenditure fundable (</t>
    </r>
    <r>
      <rPr>
        <i/>
        <sz val="11"/>
        <rFont val="Calibri"/>
        <family val="2"/>
        <scheme val="minor"/>
      </rPr>
      <t>O_CWP_FUT</t>
    </r>
    <r>
      <rPr>
        <sz val="11"/>
        <rFont val="Calibri"/>
        <family val="2"/>
        <scheme val="minor"/>
      </rPr>
      <t xml:space="preserve"> sheet) sorted by DC activity and funding area. This information is used as an input the DC funding model.</t>
    </r>
  </si>
  <si>
    <r>
      <t xml:space="preserve">Consolidation of the CAPEX expenditure forecast for all infrastructure types for recovery </t>
    </r>
    <r>
      <rPr>
        <i/>
        <sz val="11"/>
        <rFont val="Calibri"/>
        <family val="2"/>
        <scheme val="minor"/>
      </rPr>
      <t>within the 10-Year Budget 2021-203</t>
    </r>
    <r>
      <rPr>
        <sz val="11"/>
        <rFont val="Calibri"/>
        <family val="2"/>
        <scheme val="minor"/>
      </rPr>
      <t xml:space="preserve">1. This information is used as an input the DC funding model. </t>
    </r>
  </si>
  <si>
    <r>
      <t xml:space="preserve">Consolidation of the  CAPEX expenditure forecast for all infrastructure types in </t>
    </r>
    <r>
      <rPr>
        <i/>
        <sz val="11"/>
        <rFont val="Calibri"/>
        <family val="2"/>
        <scheme val="minor"/>
      </rPr>
      <t>future</t>
    </r>
    <r>
      <rPr>
        <sz val="11"/>
        <rFont val="Calibri"/>
        <family val="2"/>
        <scheme val="minor"/>
      </rPr>
      <t xml:space="preserve"> LTP periods sorted by DC activity and funding area. This information is used as an input the DC funding model.
 These totals include estimated interest which will be incurred.  </t>
    </r>
  </si>
  <si>
    <r>
      <t xml:space="preserve">DC growth 
%
</t>
    </r>
    <r>
      <rPr>
        <i/>
        <sz val="10"/>
        <rFont val="Calibri"/>
        <family val="2"/>
      </rPr>
      <t>(O12+P12)/2</t>
    </r>
  </si>
  <si>
    <r>
      <t xml:space="preserve">Total 
DC CAPEX for delivery within 
</t>
    </r>
    <r>
      <rPr>
        <b/>
        <i/>
        <sz val="10"/>
        <rFont val="Calibri"/>
        <family val="2"/>
      </rPr>
      <t>CURRENT</t>
    </r>
    <r>
      <rPr>
        <b/>
        <sz val="10"/>
        <rFont val="Calibri"/>
        <family val="2"/>
      </rPr>
      <t>LTP</t>
    </r>
  </si>
  <si>
    <r>
      <t xml:space="preserve">Total 
DC CAPEX for delivery within 
</t>
    </r>
    <r>
      <rPr>
        <b/>
        <i/>
        <sz val="10"/>
        <rFont val="Calibri"/>
        <family val="2"/>
      </rPr>
      <t>FUTURE</t>
    </r>
    <r>
      <rPr>
        <b/>
        <sz val="10"/>
        <rFont val="Calibri"/>
        <family val="2"/>
      </rPr>
      <t>LTP</t>
    </r>
  </si>
  <si>
    <r>
      <t xml:space="preserve">Intergenerational equity
% consumed </t>
    </r>
    <r>
      <rPr>
        <b/>
        <sz val="10"/>
        <color rgb="FFC00000"/>
        <rFont val="Calibri"/>
        <family val="2"/>
      </rPr>
      <t>within</t>
    </r>
    <r>
      <rPr>
        <b/>
        <sz val="10"/>
        <color theme="0"/>
        <rFont val="Calibri"/>
        <family val="2"/>
      </rPr>
      <t xml:space="preserve"> LTP12-22
 s101(3)(a)(iii)</t>
    </r>
  </si>
  <si>
    <r>
      <t xml:space="preserve">Intergenerational equity
% consumed </t>
    </r>
    <r>
      <rPr>
        <b/>
        <sz val="10"/>
        <color rgb="FFC00000"/>
        <rFont val="Calibri"/>
        <family val="2"/>
      </rPr>
      <t>beyond</t>
    </r>
    <r>
      <rPr>
        <b/>
        <sz val="10"/>
        <color theme="0"/>
        <rFont val="Calibri"/>
        <family val="2"/>
      </rPr>
      <t xml:space="preserve"> LTP12-22
 s101(3)(a)(iii)</t>
    </r>
  </si>
  <si>
    <t>This model provides an update of transport and reserve projects planned for delivery in the Drury area within the 10-Year Budget 2021-2031.  The data from this model is used in the LTP Funding Model Drury final to calculate the DC price.</t>
  </si>
  <si>
    <t>Project data and calculations</t>
  </si>
  <si>
    <t>Drury IPA</t>
  </si>
  <si>
    <t>Reserve Acquisition - Drury IPA</t>
  </si>
  <si>
    <t>The transport projects are consolidated into collector roads and arterial roads by funding area. For ease, these consolidated projects are listed in Schedule 8 of the Contributions Policy 2022 Varaiation A.</t>
  </si>
  <si>
    <r>
      <t>The Development Contributions Policy 2022 came into effect in January</t>
    </r>
    <r>
      <rPr>
        <sz val="12"/>
        <color theme="1" tint="4.9989318521683403E-2"/>
        <rFont val="Calibri"/>
        <family val="2"/>
        <scheme val="minor"/>
      </rPr>
      <t xml:space="preserve"> 2022 and includes projects planned for delivery within the 10-Year Budget 2021-2031 across Auckland. You can find the models used for this policy on our website at https://www.aucklandcouncil.govt.nz/plans-projects-policies-reports-bylaws/our-policies/development-contributions-policy/Pages/previous-development-contributions-policy.aspx</t>
    </r>
    <r>
      <rPr>
        <sz val="12"/>
        <rFont val="Calibri"/>
        <family val="2"/>
        <scheme val="minor"/>
      </rPr>
      <t xml:space="preserve">
Development Contributions Policy 2022 Variation A which came into effect in June 2023 added projects planned for delivery beyond 2032 and updated the Development Contributions Policy 2022 for projects planned for delivery in the Drury both within  the 10-Year Budget 2021-2031 and beyond 2032. These calculations were completed using four models.
Development Contributions Policy 2022 Variation A only impacted DC local prices within Drury local and sub-regional Drury funding area.  As the model contains all projects, adjustments to the input factors can result in price adjustments for projects outside of Drury. However, only those prices consulted on as part of the Variation A update, Drury, are incorporated into the final DC policy. Changes to regional prices will be consulted on when we next propose to update the policy.
You can find further details on our methodology on our website at https://www.aucklandcouncil.govt.nz/plans-projects-policies-reports-bylaws/our-policies/development-contributions-policy/Pages/development-contributions-policy.aspx
The DCP 2022 Variation A prices are calculated by adding the pricing in the following sheets:
•	LTP Funding Model Drury final - O_DCP_SCH3 sheet
•	DCP 2022 Variation A project and price model - Schedule_3_DC_prices sheet
•	An offline adjustment reduces Drury local transport prices to ensure that the share of project costs attributed to the region is not also charged to   developers in Drury. This is explained further below.  
More detailed work completed on projects to be delivered within the 10-year Budget 2021-2031 period meant that beneficiaries for some transport related projects were assessed to be across the Auckland region.  To ensure that developers in Drury are not charged twice, an offline adjustment was made to reduce the price calculated for local transport prices in the Drury funding areas by the increased regional Auckland wide price.  The DC price set out in Schedule 3 of the Contributions Policy 2022 Variation A reduces the local Transport prices in the Drury funding areas by $14 -$15.
The following diagram sets out the models used for the Contributions Policy 2022 Variation A, and how these relate to the previously adopted Development Contributions Policy 2022. 
</t>
    </r>
  </si>
  <si>
    <r>
      <t xml:space="preserve">The council’s </t>
    </r>
    <r>
      <rPr>
        <b/>
        <i/>
        <sz val="12"/>
        <color rgb="FF0D0D0D"/>
        <rFont val="Calibri"/>
        <family val="2"/>
      </rPr>
      <t>Development Contributions Policy 2022</t>
    </r>
    <r>
      <rPr>
        <sz val="12"/>
        <rFont val="Calibri"/>
        <family val="2"/>
      </rPr>
      <t xml:space="preserve"> was released in December 2021, and </t>
    </r>
    <r>
      <rPr>
        <b/>
        <i/>
        <sz val="12"/>
        <rFont val="Calibri"/>
        <family val="2"/>
      </rPr>
      <t>Development Contributions Policy 2022  Variation A</t>
    </r>
    <r>
      <rPr>
        <sz val="12"/>
        <rFont val="Calibri"/>
        <family val="2"/>
      </rPr>
      <t xml:space="preserve"> was released in April 2023.</t>
    </r>
  </si>
  <si>
    <t>Additional explanation added 24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</si>
</sst>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quot;$&quot;#,##0;[Red]\-&quot;$&quot;#,##0"/>
    <numFmt numFmtId="44" formatCode="_-&quot;$&quot;* #,##0.00_-;\-&quot;$&quot;* #,##0.00_-;_-&quot;$&quot;* &quot;-&quot;??_-;_-@_-"/>
    <numFmt numFmtId="43" formatCode="_-* #,##0.00_-;\-* #,##0.00_-;_-* &quot;-&quot;??_-;_-@_-"/>
    <numFmt numFmtId="164" formatCode="&quot;$&quot;#,##0.00_);[Red]\(&quot;$&quot;#,##0.00\)"/>
    <numFmt numFmtId="165" formatCode="_(* #,##0.00_);_(* \(#,##0.00\);_(* &quot;-&quot;??_);_(@_)"/>
    <numFmt numFmtId="166" formatCode="_-* #,##0_-;\-* #,##0_-;_-* &quot;-&quot;??_-;_-@_-"/>
    <numFmt numFmtId="167" formatCode="#,##0_ ;[Red]\-#,##0\ "/>
    <numFmt numFmtId="168" formatCode="#,##0;[Red]\(#,##0\);0"/>
    <numFmt numFmtId="169" formatCode="#,##0.0"/>
    <numFmt numFmtId="170" formatCode="#,##0.000000_ ;[Red]\-#,##0.000000\ "/>
    <numFmt numFmtId="171" formatCode="0.0%"/>
    <numFmt numFmtId="172" formatCode="#,##0.00_ ;[Red]\-#,##0.00\ "/>
    <numFmt numFmtId="173" formatCode="#,###_);\(#,###\)"/>
    <numFmt numFmtId="174" formatCode="0%\,#"/>
    <numFmt numFmtId="175" formatCode="#,##0.00_);\(#,##0.00\);#"/>
    <numFmt numFmtId="176" formatCode="#,##0.0000_);\(#,##0.0000\);#"/>
    <numFmt numFmtId="177" formatCode="#,###_);\(#,###\);#"/>
    <numFmt numFmtId="178" formatCode="&quot;$&quot;#,##0.0&quot;m&quot;;\-&quot;$&quot;#,##0.0&quot;m&quot;"/>
    <numFmt numFmtId="179" formatCode="#,##0.0&quot;¢&quot;;\-#,##0.0&quot;¢&quot;"/>
    <numFmt numFmtId="180" formatCode="#,##0.0&quot;¢&quot;_);\(#,##0.0&quot;¢&quot;\)"/>
    <numFmt numFmtId="181" formatCode="#,###.000_);\(#,###.000\)"/>
    <numFmt numFmtId="182" formatCode="0.0%;\-0.0%;#"/>
    <numFmt numFmtId="183" formatCode="0.00%_);\(0.00%\)"/>
    <numFmt numFmtId="184" formatCode="0_);\(0\)"/>
    <numFmt numFmtId="185" formatCode="#,##0.0&quot;x&quot;;\-#,##0.0&quot;x&quot;"/>
    <numFmt numFmtId="186" formatCode="_(&quot;$&quot;#,##0.0_);\(&quot;$&quot;#,##0.0\);_(&quot;-&quot;_)"/>
    <numFmt numFmtId="187" formatCode="_(#,##0.0\x_);\(#,##0.0\x\);_(&quot;-&quot;_)"/>
    <numFmt numFmtId="188" formatCode="_(#,##0.0_);\(#,##0.0\);_(&quot;-&quot;_)"/>
    <numFmt numFmtId="189" formatCode="_(#,##0.0%_);\(#,##0.0%\);_(&quot;-&quot;_)"/>
    <numFmt numFmtId="190" formatCode="_(###0_);\(###0\);_(###0_)"/>
    <numFmt numFmtId="191" formatCode="_)d\-mmm\-yy_)"/>
    <numFmt numFmtId="192" formatCode="#,##0;\(#,##0\)"/>
    <numFmt numFmtId="193" formatCode="#,##0."/>
    <numFmt numFmtId="194" formatCode="&quot;$&quot;#."/>
    <numFmt numFmtId="195" formatCode="General_)"/>
    <numFmt numFmtId="196" formatCode="#,##0_ ;\(#,##0\)_-;&quot;-&quot;"/>
    <numFmt numFmtId="197" formatCode="#,##0;[Red]\(#,##0\);\-"/>
    <numFmt numFmtId="198" formatCode="_(#,##0_);\(#,##0\);_(&quot;-&quot;_)"/>
    <numFmt numFmtId="199" formatCode="#,##0&quot;m&quot;;\-#,##0&quot;m&quot;"/>
    <numFmt numFmtId="200" formatCode="#,##0.0&quot;m&quot;_);\(#,##0.0&quot;m&quot;\)"/>
    <numFmt numFmtId="201" formatCode="&quot;$&quot;#,##0.00_);\(&quot;$&quot;#,###.00\)"/>
    <numFmt numFmtId="202" formatCode="0.00_)"/>
    <numFmt numFmtId="203" formatCode="#,##0.000_);\(#,##0.000\)"/>
    <numFmt numFmtId="204" formatCode="0.0000"/>
    <numFmt numFmtId="205" formatCode="#,##0.0&quot;x&quot;_);\(#,##0.0&quot;x&quot;\)"/>
    <numFmt numFmtId="206" formatCode="&quot;$&quot;#,##0.0,,&quot;m&quot;;\-&quot;$&quot;#,##0.0,,&quot;m&quot;"/>
    <numFmt numFmtId="207" formatCode="#,##0.0,,;\-#,##0.0,,"/>
    <numFmt numFmtId="208" formatCode="&quot;$&quot;#,##0.0,,&quot;k&quot;;\-&quot;$&quot;#,##0.0,,&quot;k&quot;"/>
    <numFmt numFmtId="209" formatCode="#,##0.0,;\-#,##0.0,"/>
    <numFmt numFmtId="210" formatCode="_-&quot;$&quot;* #,##0_-;\-&quot;$&quot;* #,##0_-;_-&quot;$&quot;* &quot;-&quot;??_-;_-@_-"/>
    <numFmt numFmtId="211" formatCode="0_ ;[Red]\-0\ "/>
    <numFmt numFmtId="212" formatCode="0.000%"/>
  </numFmts>
  <fonts count="168">
    <font>
      <sz val="10"/>
      <name val="Arial"/>
    </font>
    <font>
      <sz val="11"/>
      <color theme="1"/>
      <name val="Calibri"/>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8"/>
      <name val="Arial"/>
      <family val="2"/>
    </font>
    <font>
      <b/>
      <sz val="11"/>
      <color indexed="8"/>
      <name val="Arial"/>
      <family val="2"/>
    </font>
    <font>
      <sz val="11"/>
      <color indexed="8"/>
      <name val="Arial"/>
      <family val="2"/>
    </font>
    <font>
      <sz val="11"/>
      <name val="Arial"/>
      <family val="2"/>
    </font>
    <font>
      <sz val="11"/>
      <color indexed="9"/>
      <name val="Arial"/>
      <family val="2"/>
    </font>
    <font>
      <sz val="10"/>
      <name val="Arial"/>
      <family val="2"/>
    </font>
    <font>
      <sz val="11"/>
      <color indexed="20"/>
      <name val="Arial"/>
      <family val="2"/>
    </font>
    <font>
      <b/>
      <sz val="11"/>
      <color indexed="9"/>
      <name val="Arial"/>
      <family val="2"/>
    </font>
    <font>
      <i/>
      <sz val="11"/>
      <color indexed="23"/>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0"/>
      <name val="Calibri"/>
      <family val="2"/>
    </font>
    <font>
      <b/>
      <sz val="11"/>
      <color indexed="63"/>
      <name val="Arial"/>
      <family val="2"/>
    </font>
    <font>
      <b/>
      <sz val="18"/>
      <color indexed="56"/>
      <name val="Cambria"/>
      <family val="2"/>
    </font>
    <font>
      <sz val="11"/>
      <color indexed="10"/>
      <name val="Arial"/>
      <family val="2"/>
    </font>
    <font>
      <b/>
      <sz val="10"/>
      <name val="Calibri"/>
      <family val="2"/>
    </font>
    <font>
      <i/>
      <sz val="10"/>
      <color indexed="32"/>
      <name val="Calibri"/>
      <family val="2"/>
    </font>
    <font>
      <b/>
      <sz val="14"/>
      <color indexed="8"/>
      <name val="Calibri"/>
      <family val="2"/>
    </font>
    <font>
      <sz val="10"/>
      <name val="Calibri"/>
      <family val="2"/>
    </font>
    <font>
      <sz val="10"/>
      <color indexed="8"/>
      <name val="Calibri"/>
      <family val="2"/>
    </font>
    <font>
      <b/>
      <sz val="14"/>
      <name val="Calibri"/>
      <family val="2"/>
    </font>
    <font>
      <b/>
      <sz val="9"/>
      <name val="Calibri"/>
      <family val="2"/>
      <scheme val="minor"/>
    </font>
    <font>
      <sz val="9"/>
      <name val="Calibri"/>
      <family val="2"/>
      <scheme val="minor"/>
    </font>
    <font>
      <sz val="9"/>
      <color indexed="62"/>
      <name val="Calibri"/>
      <family val="2"/>
      <scheme val="minor"/>
    </font>
    <font>
      <b/>
      <sz val="9"/>
      <color theme="6" tint="-0.24994659260841701"/>
      <name val="Calibri"/>
      <family val="2"/>
      <scheme val="minor"/>
    </font>
    <font>
      <sz val="9"/>
      <color indexed="17"/>
      <name val="Calibri"/>
      <family val="2"/>
      <scheme val="minor"/>
    </font>
    <font>
      <sz val="9"/>
      <color indexed="60"/>
      <name val="Calibri"/>
      <family val="2"/>
      <scheme val="minor"/>
    </font>
    <font>
      <b/>
      <sz val="9"/>
      <color theme="0"/>
      <name val="Calibri"/>
      <family val="2"/>
      <scheme val="minor"/>
    </font>
    <font>
      <sz val="10"/>
      <color theme="0"/>
      <name val="Calibri"/>
      <family val="2"/>
    </font>
    <font>
      <b/>
      <sz val="14"/>
      <name val="Calibri"/>
      <family val="2"/>
      <scheme val="minor"/>
    </font>
    <font>
      <sz val="10"/>
      <color theme="1"/>
      <name val="Calibri"/>
      <family val="2"/>
      <scheme val="minor"/>
    </font>
    <font>
      <b/>
      <sz val="11"/>
      <color theme="1"/>
      <name val="Arial"/>
      <family val="2"/>
    </font>
    <font>
      <b/>
      <sz val="10"/>
      <name val="Arial"/>
      <family val="2"/>
    </font>
    <font>
      <b/>
      <sz val="10"/>
      <color theme="6" tint="-0.24994659260841701"/>
      <name val="Calibri"/>
      <family val="2"/>
      <scheme val="minor"/>
    </font>
    <font>
      <sz val="10"/>
      <name val="Arial"/>
      <family val="2"/>
    </font>
    <font>
      <sz val="10"/>
      <color indexed="8"/>
      <name val="Arial"/>
      <family val="2"/>
    </font>
    <font>
      <sz val="11"/>
      <color rgb="FF3F3F76"/>
      <name val="Calibri"/>
      <family val="2"/>
      <scheme val="minor"/>
    </font>
    <font>
      <sz val="11"/>
      <color rgb="FF006100"/>
      <name val="Calibri"/>
      <family val="2"/>
      <scheme val="minor"/>
    </font>
    <font>
      <b/>
      <sz val="11"/>
      <color rgb="FFFA7D00"/>
      <name val="Calibri"/>
      <family val="2"/>
      <scheme val="minor"/>
    </font>
    <font>
      <sz val="12"/>
      <name val="Weiss"/>
    </font>
    <font>
      <sz val="12"/>
      <name val="Helv"/>
    </font>
    <font>
      <sz val="10"/>
      <name val="Helv"/>
    </font>
    <font>
      <sz val="11"/>
      <color indexed="8"/>
      <name val="Calibri"/>
      <family val="2"/>
    </font>
    <font>
      <sz val="11"/>
      <color indexed="9"/>
      <name val="Calibri"/>
      <family val="2"/>
    </font>
    <font>
      <sz val="10"/>
      <color indexed="8"/>
      <name val="Book Antiqua"/>
      <family val="1"/>
    </font>
    <font>
      <sz val="12"/>
      <name val="Times New Roman"/>
      <family val="1"/>
    </font>
    <font>
      <sz val="8"/>
      <color indexed="12"/>
      <name val="Helvetica-Narrow"/>
      <family val="2"/>
    </font>
    <font>
      <i/>
      <sz val="8"/>
      <name val="Arial"/>
      <family val="2"/>
    </font>
    <font>
      <b/>
      <sz val="10"/>
      <name val="Arial Rounded MT Bold"/>
      <family val="2"/>
    </font>
    <font>
      <outline/>
      <sz val="14"/>
      <name val="N Helvetica Narrow"/>
    </font>
    <font>
      <sz val="1"/>
      <color indexed="8"/>
      <name val="Courier"/>
      <family val="3"/>
    </font>
    <font>
      <sz val="10"/>
      <color indexed="12"/>
      <name val="Arial"/>
      <family val="2"/>
    </font>
    <font>
      <b/>
      <sz val="16"/>
      <name val="Times New Roman"/>
      <family val="1"/>
    </font>
    <font>
      <b/>
      <sz val="11"/>
      <color indexed="8"/>
      <name val="Calibri"/>
      <family val="2"/>
    </font>
    <font>
      <b/>
      <sz val="20"/>
      <name val="Times New Roman"/>
      <family val="1"/>
    </font>
    <font>
      <b/>
      <sz val="14"/>
      <name val="Helv"/>
    </font>
    <font>
      <b/>
      <sz val="16"/>
      <name val="Copperplate31bc"/>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sz val="10"/>
      <color indexed="8"/>
      <name val="Arial"/>
      <family val="2"/>
    </font>
    <font>
      <b/>
      <sz val="10"/>
      <name val="Trebuchet MS"/>
      <family val="2"/>
    </font>
    <font>
      <b/>
      <u val="doubleAccounting"/>
      <sz val="12"/>
      <name val="Copperplate31bc"/>
    </font>
    <font>
      <b/>
      <sz val="10"/>
      <color indexed="56"/>
      <name val="Wingdings"/>
      <charset val="2"/>
    </font>
    <font>
      <b/>
      <u/>
      <sz val="8"/>
      <color indexed="56"/>
      <name val="Arial"/>
      <family val="2"/>
    </font>
    <font>
      <b/>
      <sz val="10"/>
      <color indexed="12"/>
      <name val="Trebuchet MS"/>
      <family val="2"/>
    </font>
    <font>
      <b/>
      <sz val="8"/>
      <color indexed="12"/>
      <name val="Arial"/>
      <family val="2"/>
    </font>
    <font>
      <b/>
      <sz val="10"/>
      <color indexed="37"/>
      <name val="Arial MT"/>
    </font>
    <font>
      <b/>
      <sz val="10"/>
      <color indexed="57"/>
      <name val="Trebuchet MS"/>
      <family val="2"/>
    </font>
    <font>
      <b/>
      <sz val="10"/>
      <color indexed="37"/>
      <name val="Trebuchet MS"/>
      <family val="2"/>
    </font>
    <font>
      <b/>
      <sz val="8"/>
      <name val="Arial"/>
      <family val="2"/>
    </font>
    <font>
      <sz val="12"/>
      <name val="Optima"/>
      <family val="2"/>
    </font>
    <font>
      <b/>
      <sz val="12"/>
      <name val="Arial"/>
      <family val="2"/>
    </font>
    <font>
      <b/>
      <sz val="10"/>
      <color indexed="12"/>
      <name val="Arial"/>
      <family val="2"/>
    </font>
    <font>
      <i/>
      <sz val="10"/>
      <name val="Comic Sans MS"/>
      <family val="4"/>
    </font>
    <font>
      <b/>
      <sz val="11"/>
      <color indexed="16"/>
      <name val="Times New Roman"/>
      <family val="1"/>
    </font>
    <font>
      <sz val="10"/>
      <color indexed="39"/>
      <name val="Arial"/>
      <family val="2"/>
    </font>
    <font>
      <b/>
      <sz val="12"/>
      <color indexed="8"/>
      <name val="Arial"/>
      <family val="2"/>
    </font>
    <font>
      <b/>
      <sz val="16"/>
      <color indexed="23"/>
      <name val="Arial"/>
      <family val="2"/>
    </font>
    <font>
      <sz val="10"/>
      <color indexed="10"/>
      <name val="Arial"/>
      <family val="2"/>
    </font>
    <font>
      <b/>
      <sz val="13"/>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8"/>
      <name val="Arial Narrow"/>
      <family val="2"/>
    </font>
    <font>
      <sz val="9"/>
      <name val="SwitzerlandNarrow"/>
    </font>
    <font>
      <sz val="9"/>
      <color indexed="12"/>
      <name val="SwitzerlandNarrow"/>
    </font>
    <font>
      <u/>
      <sz val="10"/>
      <name val="Arial"/>
      <family val="2"/>
    </font>
    <font>
      <sz val="12"/>
      <color indexed="9"/>
      <name val="Arial MT"/>
    </font>
    <font>
      <b/>
      <u/>
      <sz val="9.5"/>
      <color indexed="56"/>
      <name val="Arial"/>
      <family val="2"/>
    </font>
    <font>
      <b/>
      <u/>
      <sz val="9"/>
      <color indexed="56"/>
      <name val="Arial"/>
      <family val="2"/>
    </font>
    <font>
      <u/>
      <sz val="8"/>
      <color indexed="56"/>
      <name val="Arial"/>
      <family val="2"/>
    </font>
    <font>
      <u/>
      <sz val="7.5"/>
      <color indexed="56"/>
      <name val="Arial"/>
      <family val="2"/>
    </font>
    <font>
      <i/>
      <sz val="12"/>
      <color indexed="8"/>
      <name val="Arial MT"/>
    </font>
    <font>
      <sz val="11"/>
      <color rgb="FF9C0006"/>
      <name val="Calibri"/>
      <family val="2"/>
      <scheme val="minor"/>
    </font>
    <font>
      <sz val="11"/>
      <name val="Calibri"/>
      <family val="2"/>
      <scheme val="minor"/>
    </font>
    <font>
      <sz val="11"/>
      <color indexed="62"/>
      <name val="Calibri"/>
      <family val="2"/>
      <scheme val="minor"/>
    </font>
    <font>
      <b/>
      <sz val="10"/>
      <color rgb="FFFF0000"/>
      <name val="Arial"/>
      <family val="2"/>
    </font>
    <font>
      <sz val="9"/>
      <color theme="1"/>
      <name val="Calibri"/>
      <family val="2"/>
      <scheme val="minor"/>
    </font>
    <font>
      <b/>
      <sz val="9"/>
      <color theme="1"/>
      <name val="Calibri"/>
      <family val="2"/>
      <scheme val="minor"/>
    </font>
    <font>
      <sz val="11"/>
      <color rgb="FFFF0000"/>
      <name val="Calibri"/>
      <family val="2"/>
      <scheme val="minor"/>
    </font>
    <font>
      <b/>
      <u/>
      <sz val="10"/>
      <name val="Arial"/>
      <family val="2"/>
    </font>
    <font>
      <sz val="9"/>
      <color rgb="FFFF0000"/>
      <name val="Calibri"/>
      <family val="2"/>
      <scheme val="minor"/>
    </font>
    <font>
      <sz val="9"/>
      <color indexed="81"/>
      <name val="Tahoma"/>
      <family val="2"/>
    </font>
    <font>
      <b/>
      <sz val="9"/>
      <color indexed="81"/>
      <name val="Tahoma"/>
      <family val="2"/>
    </font>
    <font>
      <b/>
      <sz val="9"/>
      <color rgb="FFFF0000"/>
      <name val="Calibri"/>
      <family val="2"/>
      <scheme val="minor"/>
    </font>
    <font>
      <sz val="7.2"/>
      <name val="Calibri"/>
      <family val="2"/>
    </font>
    <font>
      <b/>
      <u/>
      <sz val="11"/>
      <color theme="1"/>
      <name val="Arial"/>
      <family val="2"/>
    </font>
    <font>
      <sz val="10"/>
      <color theme="1"/>
      <name val="Arial"/>
      <family val="2"/>
    </font>
    <font>
      <b/>
      <sz val="10"/>
      <color theme="1"/>
      <name val="Arial"/>
      <family val="2"/>
    </font>
    <font>
      <b/>
      <u/>
      <sz val="18"/>
      <color theme="1"/>
      <name val="Arial"/>
      <family val="2"/>
    </font>
    <font>
      <b/>
      <sz val="11"/>
      <name val="Calibri"/>
      <family val="2"/>
      <scheme val="minor"/>
    </font>
    <font>
      <sz val="11"/>
      <color theme="1" tint="4.9989318521683403E-2"/>
      <name val="Calibri"/>
      <family val="2"/>
      <scheme val="minor"/>
    </font>
    <font>
      <sz val="11"/>
      <name val="Calibri"/>
      <family val="2"/>
    </font>
    <font>
      <b/>
      <u/>
      <sz val="10"/>
      <name val="Calibri"/>
      <family val="2"/>
    </font>
    <font>
      <b/>
      <u/>
      <sz val="16"/>
      <name val="Arial"/>
      <family val="2"/>
    </font>
    <font>
      <sz val="9"/>
      <color theme="1"/>
      <name val="Arial"/>
      <family val="2"/>
    </font>
    <font>
      <sz val="9"/>
      <name val="Arial"/>
      <family val="2"/>
    </font>
    <font>
      <b/>
      <sz val="11"/>
      <color theme="1"/>
      <name val="Calibri"/>
      <family val="2"/>
      <scheme val="minor"/>
    </font>
    <font>
      <b/>
      <u/>
      <sz val="20"/>
      <name val="Arial"/>
      <family val="2"/>
    </font>
    <font>
      <b/>
      <sz val="10"/>
      <color rgb="FFC65911"/>
      <name val="Arial"/>
      <family val="2"/>
    </font>
    <font>
      <sz val="10"/>
      <name val="Calibri"/>
      <family val="2"/>
      <scheme val="minor"/>
    </font>
    <font>
      <b/>
      <sz val="16"/>
      <color theme="1"/>
      <name val="Calibri"/>
      <family val="2"/>
      <scheme val="minor"/>
    </font>
    <font>
      <sz val="11"/>
      <color theme="0" tint="-4.9989318521683403E-2"/>
      <name val="Calibri"/>
      <family val="2"/>
      <scheme val="minor"/>
    </font>
    <font>
      <sz val="11"/>
      <color theme="0"/>
      <name val="Calibri"/>
      <family val="2"/>
      <scheme val="minor"/>
    </font>
    <font>
      <b/>
      <sz val="14"/>
      <color theme="1"/>
      <name val="Arial"/>
      <family val="2"/>
    </font>
    <font>
      <b/>
      <sz val="16"/>
      <color theme="1"/>
      <name val="Arial"/>
      <family val="2"/>
    </font>
    <font>
      <b/>
      <sz val="28"/>
      <color theme="1"/>
      <name val="Arial"/>
      <family val="2"/>
    </font>
    <font>
      <sz val="10"/>
      <color rgb="FF000000"/>
      <name val="Arial"/>
      <family val="2"/>
    </font>
    <font>
      <sz val="8"/>
      <color theme="1"/>
      <name val="Calibri"/>
      <family val="2"/>
    </font>
    <font>
      <b/>
      <sz val="11"/>
      <color theme="1"/>
      <name val="Calibri"/>
      <family val="2"/>
    </font>
    <font>
      <b/>
      <sz val="22"/>
      <name val="Arial"/>
      <family val="2"/>
    </font>
    <font>
      <b/>
      <sz val="11"/>
      <color theme="0" tint="-4.9989318521683403E-2"/>
      <name val="Calibri"/>
      <family val="2"/>
      <scheme val="minor"/>
    </font>
    <font>
      <b/>
      <sz val="11"/>
      <color theme="0"/>
      <name val="Calibri"/>
      <family val="2"/>
      <scheme val="minor"/>
    </font>
    <font>
      <b/>
      <sz val="10"/>
      <name val="Calibri"/>
      <family val="2"/>
      <scheme val="minor"/>
    </font>
    <font>
      <b/>
      <sz val="10"/>
      <color rgb="FFC65911"/>
      <name val="Calibri"/>
      <family val="2"/>
    </font>
    <font>
      <b/>
      <sz val="10"/>
      <color rgb="FFCC00CC"/>
      <name val="Calibri"/>
      <family val="2"/>
    </font>
    <font>
      <b/>
      <sz val="9"/>
      <color theme="0"/>
      <name val="Calibri"/>
      <family val="2"/>
    </font>
    <font>
      <sz val="10"/>
      <color theme="1"/>
      <name val="Calibri"/>
      <family val="2"/>
    </font>
    <font>
      <b/>
      <sz val="11"/>
      <color theme="0"/>
      <name val="Calibri"/>
      <family val="2"/>
    </font>
    <font>
      <b/>
      <sz val="10"/>
      <color theme="0"/>
      <name val="Calibri"/>
      <family val="2"/>
    </font>
    <font>
      <i/>
      <sz val="11"/>
      <name val="Calibri"/>
      <family val="2"/>
      <scheme val="minor"/>
    </font>
    <font>
      <i/>
      <sz val="10"/>
      <name val="Calibri"/>
      <family val="2"/>
    </font>
    <font>
      <b/>
      <i/>
      <sz val="10"/>
      <name val="Calibri"/>
      <family val="2"/>
    </font>
    <font>
      <b/>
      <sz val="10"/>
      <color theme="1"/>
      <name val="Calibri"/>
      <family val="2"/>
    </font>
    <font>
      <b/>
      <sz val="10"/>
      <color rgb="FFC00000"/>
      <name val="Calibri"/>
      <family val="2"/>
    </font>
    <font>
      <sz val="16"/>
      <name val="Calibri"/>
      <family val="2"/>
      <scheme val="minor"/>
    </font>
    <font>
      <b/>
      <sz val="20"/>
      <name val="Calibri"/>
      <family val="2"/>
      <scheme val="minor"/>
    </font>
    <font>
      <sz val="12"/>
      <name val="Calibri"/>
      <family val="2"/>
      <scheme val="minor"/>
    </font>
    <font>
      <sz val="12"/>
      <color theme="1" tint="4.9989318521683403E-2"/>
      <name val="Calibri"/>
      <family val="2"/>
      <scheme val="minor"/>
    </font>
    <font>
      <sz val="12"/>
      <name val="Calibri"/>
      <family val="2"/>
    </font>
    <font>
      <b/>
      <i/>
      <sz val="12"/>
      <color rgb="FF0D0D0D"/>
      <name val="Calibri"/>
      <family val="2"/>
    </font>
    <font>
      <b/>
      <i/>
      <sz val="12"/>
      <name val="Calibri"/>
      <family val="2"/>
    </font>
    <font>
      <i/>
      <sz val="12"/>
      <name val="Calibri"/>
      <family val="2"/>
      <scheme val="minor"/>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rgb="FFFFCC99"/>
      </patternFill>
    </fill>
    <fill>
      <patternFill patternType="solid">
        <fgColor rgb="FFC6EFCE"/>
      </patternFill>
    </fill>
    <fill>
      <patternFill patternType="solid">
        <fgColor rgb="FFF2F2F2"/>
      </patternFill>
    </fill>
    <fill>
      <patternFill patternType="solid">
        <fgColor rgb="FFFFC7CE"/>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gray0625">
        <fgColor indexed="26"/>
        <bgColor indexed="43"/>
      </patternFill>
    </fill>
    <fill>
      <patternFill patternType="solid">
        <fgColor indexed="9"/>
        <bgColor indexed="64"/>
      </patternFill>
    </fill>
    <fill>
      <patternFill patternType="gray0625"/>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4"/>
        <bgColor indexed="64"/>
      </patternFill>
    </fill>
    <fill>
      <patternFill patternType="solid">
        <fgColor indexed="13"/>
      </patternFill>
    </fill>
    <fill>
      <patternFill patternType="solid">
        <fgColor theme="9" tint="0.39997558519241921"/>
        <bgColor indexed="64"/>
      </patternFill>
    </fill>
    <fill>
      <patternFill patternType="solid">
        <fgColor rgb="FFFD9BCC"/>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FF99CC"/>
        <bgColor indexed="64"/>
      </patternFill>
    </fill>
    <fill>
      <patternFill patternType="solid">
        <fgColor theme="8" tint="0.39997558519241921"/>
        <bgColor indexed="64"/>
      </patternFill>
    </fill>
    <fill>
      <patternFill patternType="solid">
        <fgColor theme="7"/>
        <bgColor indexed="64"/>
      </patternFill>
    </fill>
    <fill>
      <patternFill patternType="solid">
        <fgColor theme="9" tint="0.79998168889431442"/>
        <bgColor indexed="64"/>
      </patternFill>
    </fill>
    <fill>
      <patternFill patternType="solid">
        <fgColor rgb="FFFF66FF"/>
        <bgColor indexed="64"/>
      </patternFill>
    </fill>
    <fill>
      <patternFill patternType="solid">
        <fgColor theme="0" tint="-0.14999847407452621"/>
        <bgColor indexed="64"/>
      </patternFill>
    </fill>
    <fill>
      <patternFill patternType="solid">
        <fgColor theme="8"/>
        <bgColor indexed="64"/>
      </patternFill>
    </fill>
    <fill>
      <patternFill patternType="solid">
        <fgColor rgb="FFFFC000"/>
        <bgColor indexed="64"/>
      </patternFill>
    </fill>
    <fill>
      <patternFill patternType="solid">
        <fgColor theme="6"/>
        <bgColor indexed="64"/>
      </patternFill>
    </fill>
    <fill>
      <patternFill patternType="solid">
        <fgColor theme="8" tint="0.59999389629810485"/>
        <bgColor indexed="64"/>
      </patternFill>
    </fill>
    <fill>
      <patternFill patternType="solid">
        <fgColor theme="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1"/>
        <bgColor indexed="64"/>
      </patternFill>
    </fill>
    <fill>
      <patternFill patternType="solid">
        <fgColor rgb="FF76935A"/>
        <bgColor indexed="64"/>
      </patternFill>
    </fill>
    <fill>
      <patternFill patternType="solid">
        <fgColor rgb="FFF4B084"/>
        <bgColor indexed="64"/>
      </patternFill>
    </fill>
    <fill>
      <patternFill patternType="solid">
        <fgColor rgb="FFC65911"/>
        <bgColor indexed="64"/>
      </patternFill>
    </fill>
    <fill>
      <patternFill patternType="solid">
        <fgColor rgb="FF0563C1"/>
        <bgColor indexed="64"/>
      </patternFill>
    </fill>
    <fill>
      <patternFill patternType="solid">
        <fgColor rgb="FFA9D08E"/>
        <bgColor indexed="64"/>
      </patternFill>
    </fill>
    <fill>
      <patternFill patternType="solid">
        <fgColor rgb="FFC00000"/>
        <bgColor indexed="64"/>
      </patternFill>
    </fill>
    <fill>
      <patternFill patternType="solid">
        <fgColor rgb="FFF8CBAD"/>
        <bgColor indexed="64"/>
      </patternFill>
    </fill>
    <fill>
      <patternFill patternType="solid">
        <fgColor rgb="FFFFFF93"/>
        <bgColor indexed="64"/>
      </patternFill>
    </fill>
    <fill>
      <patternFill patternType="solid">
        <fgColor rgb="FFDDEBF7"/>
        <bgColor indexed="64"/>
      </patternFill>
    </fill>
    <fill>
      <patternFill patternType="solid">
        <fgColor rgb="FFEBF1DE"/>
        <bgColor indexed="64"/>
      </patternFill>
    </fill>
    <fill>
      <patternFill patternType="solid">
        <fgColor rgb="FFD0CECE"/>
        <bgColor indexed="64"/>
      </patternFill>
    </fill>
    <fill>
      <patternFill patternType="solid">
        <fgColor rgb="FFFFFF99"/>
        <bgColor indexed="64"/>
      </patternFill>
    </fill>
    <fill>
      <patternFill patternType="solid">
        <fgColor rgb="FFFCE4D6"/>
        <bgColor indexed="64"/>
      </patternFill>
    </fill>
    <fill>
      <patternFill patternType="solid">
        <fgColor theme="0"/>
        <bgColor indexed="64"/>
      </patternFill>
    </fill>
  </fills>
  <borders count="81">
    <border>
      <left/>
      <right/>
      <top/>
      <bottom/>
      <diagonal/>
    </border>
    <border>
      <left/>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auto="1"/>
      </left>
      <right/>
      <top/>
      <bottom/>
      <diagonal/>
    </border>
    <border>
      <left style="thin">
        <color rgb="FF7F7F7F"/>
      </left>
      <right style="thin">
        <color rgb="FF7F7F7F"/>
      </right>
      <top style="thin">
        <color rgb="FF7F7F7F"/>
      </top>
      <bottom style="thin">
        <color rgb="FF7F7F7F"/>
      </bottom>
      <diagonal/>
    </border>
    <border>
      <left style="medium">
        <color indexed="18"/>
      </left>
      <right style="medium">
        <color indexed="18"/>
      </right>
      <top style="medium">
        <color indexed="18"/>
      </top>
      <bottom style="medium">
        <color indexed="1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s>
  <cellStyleXfs count="93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3" fillId="3" borderId="0" applyNumberFormat="0" applyBorder="0" applyAlignment="0" applyProtection="0"/>
    <xf numFmtId="0" fontId="33" fillId="27" borderId="3" applyNumberFormat="0" applyAlignment="0" applyProtection="0"/>
    <xf numFmtId="0" fontId="14" fillId="21" borderId="4" applyNumberFormat="0" applyAlignment="0" applyProtection="0"/>
    <xf numFmtId="43" fontId="6" fillId="0" borderId="0" applyFont="0" applyFill="0" applyBorder="0" applyAlignment="0" applyProtection="0"/>
    <xf numFmtId="0" fontId="15" fillId="0" borderId="0" applyNumberFormat="0" applyFill="0" applyBorder="0" applyAlignment="0" applyProtection="0"/>
    <xf numFmtId="0" fontId="34"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32" fillId="7" borderId="3" applyNumberFormat="0" applyAlignment="0" applyProtection="0"/>
    <xf numFmtId="0" fontId="19" fillId="0" borderId="9" applyNumberFormat="0" applyFill="0" applyAlignment="0" applyProtection="0"/>
    <xf numFmtId="0" fontId="35" fillId="22" borderId="0" applyNumberFormat="0" applyBorder="0" applyAlignment="0" applyProtection="0"/>
    <xf numFmtId="0" fontId="9" fillId="23" borderId="10" applyNumberFormat="0" applyFont="0" applyAlignment="0" applyProtection="0"/>
    <xf numFmtId="0" fontId="21" fillId="20" borderId="11" applyNumberFormat="0" applyAlignment="0" applyProtection="0"/>
    <xf numFmtId="9" fontId="6" fillId="0" borderId="0" applyFont="0" applyFill="0" applyBorder="0" applyAlignment="0" applyProtection="0"/>
    <xf numFmtId="0" fontId="22" fillId="0" borderId="0" applyNumberFormat="0" applyFill="0" applyBorder="0" applyAlignment="0" applyProtection="0"/>
    <xf numFmtId="0" fontId="8" fillId="0" borderId="13" applyNumberFormat="0" applyFill="0" applyAlignment="0" applyProtection="0"/>
    <xf numFmtId="0" fontId="23" fillId="0" borderId="0" applyNumberForma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6" fillId="0" borderId="0"/>
    <xf numFmtId="0" fontId="39" fillId="0" borderId="0"/>
    <xf numFmtId="44" fontId="43" fillId="0" borderId="0" applyFont="0" applyFill="0" applyBorder="0" applyAlignment="0" applyProtection="0"/>
    <xf numFmtId="0" fontId="4" fillId="0" borderId="0"/>
    <xf numFmtId="43" fontId="9" fillId="0" borderId="0" applyFont="0" applyFill="0" applyBorder="0" applyAlignment="0" applyProtection="0"/>
    <xf numFmtId="0" fontId="45" fillId="43" borderId="25" applyNumberFormat="0" applyAlignment="0" applyProtection="0"/>
    <xf numFmtId="0" fontId="46" fillId="44" borderId="0" applyNumberFormat="0" applyBorder="0" applyAlignment="0" applyProtection="0"/>
    <xf numFmtId="0" fontId="47" fillId="45" borderId="25" applyNumberFormat="0" applyAlignment="0" applyProtection="0"/>
    <xf numFmtId="0" fontId="6" fillId="0" borderId="0"/>
    <xf numFmtId="0" fontId="33" fillId="27" borderId="3" applyNumberFormat="0" applyAlignment="0" applyProtection="0"/>
    <xf numFmtId="0" fontId="34" fillId="4" borderId="0" applyNumberFormat="0" applyBorder="0" applyAlignment="0" applyProtection="0"/>
    <xf numFmtId="173" fontId="48" fillId="0" borderId="0" applyFont="0" applyFill="0" applyBorder="0" applyAlignment="0" applyProtection="0"/>
    <xf numFmtId="174"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177" fontId="49"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1" fontId="6" fillId="0" borderId="0" applyFont="0" applyFill="0" applyBorder="0" applyAlignment="0" applyProtection="0"/>
    <xf numFmtId="37" fontId="49"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84" fontId="48" fillId="0" borderId="0" applyFont="0" applyFill="0" applyBorder="0" applyAlignment="0" applyProtection="0"/>
    <xf numFmtId="185" fontId="6" fillId="0" borderId="0" applyFont="0" applyFill="0" applyBorder="0" applyAlignment="0" applyProtection="0"/>
    <xf numFmtId="37" fontId="48" fillId="0" borderId="0"/>
    <xf numFmtId="37" fontId="48" fillId="0" borderId="0"/>
    <xf numFmtId="37" fontId="48" fillId="0" borderId="0"/>
    <xf numFmtId="37" fontId="50" fillId="0" borderId="0"/>
    <xf numFmtId="37" fontId="50" fillId="0" borderId="0"/>
    <xf numFmtId="37" fontId="50" fillId="0" borderId="0"/>
    <xf numFmtId="37" fontId="48" fillId="0" borderId="0"/>
    <xf numFmtId="37" fontId="48" fillId="0" borderId="0"/>
    <xf numFmtId="37" fontId="48" fillId="0" borderId="0"/>
    <xf numFmtId="37" fontId="50" fillId="0" borderId="0"/>
    <xf numFmtId="37" fontId="50" fillId="0" borderId="0"/>
    <xf numFmtId="37" fontId="50" fillId="0" borderId="0"/>
    <xf numFmtId="37" fontId="50" fillId="0" borderId="0"/>
    <xf numFmtId="0" fontId="51" fillId="47" borderId="0" applyNumberFormat="0" applyBorder="0" applyAlignment="0" applyProtection="0"/>
    <xf numFmtId="0" fontId="51" fillId="48" borderId="0" applyNumberFormat="0" applyBorder="0" applyAlignment="0" applyProtection="0"/>
    <xf numFmtId="0" fontId="52"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52"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2" fillId="55"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2" fillId="55" borderId="0" applyNumberFormat="0" applyBorder="0" applyAlignment="0" applyProtection="0"/>
    <xf numFmtId="0" fontId="51" fillId="47" borderId="0" applyNumberFormat="0" applyBorder="0" applyAlignment="0" applyProtection="0"/>
    <xf numFmtId="0" fontId="51" fillId="48" borderId="0" applyNumberFormat="0" applyBorder="0" applyAlignment="0" applyProtection="0"/>
    <xf numFmtId="0" fontId="52" fillId="48" borderId="0" applyNumberFormat="0" applyBorder="0" applyAlignment="0" applyProtection="0"/>
    <xf numFmtId="0" fontId="51" fillId="56" borderId="0" applyNumberFormat="0" applyBorder="0" applyAlignment="0" applyProtection="0"/>
    <xf numFmtId="0" fontId="51" fillId="51" borderId="0" applyNumberFormat="0" applyBorder="0" applyAlignment="0" applyProtection="0"/>
    <xf numFmtId="0" fontId="52" fillId="57" borderId="0" applyNumberFormat="0" applyBorder="0" applyAlignment="0" applyProtection="0"/>
    <xf numFmtId="0" fontId="53" fillId="0" borderId="1"/>
    <xf numFmtId="37" fontId="48" fillId="0" borderId="0"/>
    <xf numFmtId="186" fontId="7" fillId="0" borderId="26">
      <alignment horizontal="center" vertical="center"/>
      <protection locked="0"/>
    </xf>
    <xf numFmtId="15" fontId="7" fillId="0" borderId="26">
      <alignment horizontal="center" vertical="center"/>
      <protection locked="0"/>
    </xf>
    <xf numFmtId="187" fontId="7" fillId="0" borderId="26">
      <alignment horizontal="center" vertical="center"/>
      <protection locked="0"/>
    </xf>
    <xf numFmtId="188" fontId="7" fillId="0" borderId="26">
      <alignment horizontal="center" vertical="center"/>
      <protection locked="0"/>
    </xf>
    <xf numFmtId="189" fontId="7" fillId="0" borderId="26">
      <alignment horizontal="center" vertical="center"/>
      <protection locked="0"/>
    </xf>
    <xf numFmtId="190" fontId="7" fillId="0" borderId="26">
      <alignment horizontal="center" vertical="center"/>
      <protection locked="0"/>
    </xf>
    <xf numFmtId="0" fontId="7" fillId="0" borderId="26">
      <alignment vertical="center"/>
      <protection locked="0"/>
    </xf>
    <xf numFmtId="186" fontId="7" fillId="0" borderId="26">
      <alignment horizontal="right" vertical="center"/>
      <protection locked="0"/>
    </xf>
    <xf numFmtId="191" fontId="7" fillId="0" borderId="26">
      <alignment horizontal="right" vertical="center"/>
      <protection locked="0"/>
    </xf>
    <xf numFmtId="187" fontId="7" fillId="0" borderId="26">
      <alignment horizontal="right" vertical="center"/>
      <protection locked="0"/>
    </xf>
    <xf numFmtId="188" fontId="7" fillId="0" borderId="26">
      <alignment horizontal="right" vertical="center"/>
      <protection locked="0"/>
    </xf>
    <xf numFmtId="189" fontId="7" fillId="0" borderId="26">
      <alignment horizontal="right" vertical="center"/>
      <protection locked="0"/>
    </xf>
    <xf numFmtId="190" fontId="7" fillId="0" borderId="26">
      <alignment horizontal="right" vertical="center"/>
      <protection locked="0"/>
    </xf>
    <xf numFmtId="192" fontId="54" fillId="0" borderId="0">
      <alignment vertical="top"/>
    </xf>
    <xf numFmtId="0" fontId="55" fillId="0" borderId="0" applyNumberFormat="0" applyFill="0" applyBorder="0" applyAlignment="0" applyProtection="0">
      <protection locked="0"/>
    </xf>
    <xf numFmtId="38" fontId="56" fillId="0" borderId="0" applyAlignment="0"/>
    <xf numFmtId="0" fontId="57" fillId="0" borderId="0" applyNumberFormat="0" applyFill="0" applyBorder="0" applyAlignment="0" applyProtection="0"/>
    <xf numFmtId="37" fontId="48" fillId="0" borderId="2" applyNumberFormat="0" applyFont="0" applyFill="0" applyAlignment="0" applyProtection="0"/>
    <xf numFmtId="0" fontId="7" fillId="0" borderId="0" applyNumberFormat="0" applyFont="0" applyFill="0" applyBorder="0">
      <alignment horizontal="center" vertical="center"/>
      <protection locked="0"/>
    </xf>
    <xf numFmtId="186" fontId="7" fillId="0" borderId="0" applyFill="0" applyBorder="0">
      <alignment horizontal="center" vertical="center"/>
    </xf>
    <xf numFmtId="15" fontId="7" fillId="0" borderId="0" applyFill="0" applyBorder="0">
      <alignment horizontal="center" vertical="center"/>
    </xf>
    <xf numFmtId="187" fontId="7" fillId="0" borderId="0" applyFill="0" applyBorder="0">
      <alignment horizontal="center" vertical="center"/>
    </xf>
    <xf numFmtId="188" fontId="7" fillId="0" borderId="0" applyFill="0" applyBorder="0">
      <alignment horizontal="center" vertical="center"/>
    </xf>
    <xf numFmtId="189" fontId="7" fillId="0" borderId="0" applyFill="0" applyBorder="0">
      <alignment horizontal="center" vertical="center"/>
    </xf>
    <xf numFmtId="190" fontId="7" fillId="0" borderId="0" applyFill="0" applyBorder="0">
      <alignment horizontal="center" vertical="center"/>
    </xf>
    <xf numFmtId="173" fontId="58" fillId="0" borderId="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93" fontId="59" fillId="0" borderId="0">
      <protection locked="0"/>
    </xf>
    <xf numFmtId="192" fontId="60" fillId="0" borderId="0" applyFill="0" applyBorder="0">
      <protection locked="0"/>
    </xf>
    <xf numFmtId="194" fontId="59" fillId="0" borderId="0">
      <protection locked="0"/>
    </xf>
    <xf numFmtId="15" fontId="48" fillId="0" borderId="0" applyFont="0" applyFill="0" applyBorder="0" applyAlignment="0" applyProtection="0"/>
    <xf numFmtId="0" fontId="61" fillId="0" borderId="0">
      <alignment horizontal="left" vertical="top"/>
    </xf>
    <xf numFmtId="0" fontId="62" fillId="58"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2" fontId="7" fillId="0" borderId="0" applyFont="0" applyFill="0" applyBorder="0" applyAlignment="0" applyProtection="0"/>
    <xf numFmtId="38" fontId="6" fillId="37" borderId="0" applyNumberFormat="0" applyBorder="0" applyAlignment="0" applyProtection="0"/>
    <xf numFmtId="0" fontId="63" fillId="0" borderId="0">
      <alignment vertical="top"/>
    </xf>
    <xf numFmtId="195" fontId="64" fillId="0" borderId="0" applyNumberFormat="0" applyFill="0" applyBorder="0" applyProtection="0">
      <alignment horizontal="left"/>
    </xf>
    <xf numFmtId="195" fontId="65" fillId="0" borderId="0">
      <alignment horizontal="left"/>
    </xf>
    <xf numFmtId="0" fontId="66" fillId="0" borderId="2">
      <alignment horizontal="left"/>
    </xf>
    <xf numFmtId="0" fontId="67" fillId="0" borderId="0">
      <alignment horizontal="right"/>
    </xf>
    <xf numFmtId="37" fontId="68" fillId="0" borderId="0">
      <alignment horizontal="right"/>
    </xf>
    <xf numFmtId="0" fontId="69" fillId="0" borderId="0">
      <alignment horizontal="left"/>
    </xf>
    <xf numFmtId="37" fontId="70" fillId="0" borderId="0">
      <alignment horizontal="right"/>
    </xf>
    <xf numFmtId="0" fontId="71" fillId="38" borderId="0"/>
    <xf numFmtId="196" fontId="44" fillId="0" borderId="0">
      <alignment horizontal="left"/>
    </xf>
    <xf numFmtId="0" fontId="72" fillId="0" borderId="0"/>
    <xf numFmtId="0" fontId="73" fillId="37" borderId="0"/>
    <xf numFmtId="37" fontId="74" fillId="0" borderId="0" applyNumberFormat="0" applyBorder="0" applyAlignment="0" applyProtection="0"/>
    <xf numFmtId="0" fontId="75" fillId="0" borderId="0" applyFill="0" applyBorder="0">
      <alignment horizontal="center" vertical="center"/>
      <protection locked="0"/>
    </xf>
    <xf numFmtId="0" fontId="75" fillId="0" borderId="0" applyFill="0" applyBorder="0">
      <alignment horizontal="center" vertical="center"/>
      <protection locked="0"/>
    </xf>
    <xf numFmtId="0" fontId="76" fillId="0" borderId="0" applyFill="0" applyBorder="0">
      <alignment horizontal="left" vertical="center"/>
      <protection locked="0"/>
    </xf>
    <xf numFmtId="10" fontId="6" fillId="61" borderId="8" applyNumberFormat="0" applyBorder="0" applyAlignment="0" applyProtection="0"/>
    <xf numFmtId="10" fontId="77" fillId="0" borderId="0"/>
    <xf numFmtId="9" fontId="78" fillId="0" borderId="0" applyNumberFormat="0" applyFill="0" applyBorder="0" applyAlignment="0">
      <alignment vertical="top" wrapText="1"/>
      <protection locked="0"/>
    </xf>
    <xf numFmtId="0" fontId="79" fillId="62" borderId="0" applyNumberFormat="0"/>
    <xf numFmtId="197" fontId="80" fillId="0" borderId="0"/>
    <xf numFmtId="3" fontId="81" fillId="0" borderId="0"/>
    <xf numFmtId="0" fontId="82" fillId="0" borderId="8" applyFill="0">
      <alignment horizontal="center" vertical="center"/>
    </xf>
    <xf numFmtId="0" fontId="7" fillId="0" borderId="8" applyFill="0">
      <alignment horizontal="center" vertical="center"/>
    </xf>
    <xf numFmtId="198" fontId="7" fillId="0" borderId="8" applyFill="0">
      <alignment horizontal="center" vertical="center"/>
    </xf>
    <xf numFmtId="199" fontId="6"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199" fontId="6"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199" fontId="6"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48" fillId="0" borderId="0" applyFont="0" applyFill="0" applyBorder="0" applyAlignment="0" applyProtection="0"/>
    <xf numFmtId="199" fontId="6" fillId="0" borderId="0" applyFont="0" applyFill="0" applyBorder="0" applyAlignment="0" applyProtection="0"/>
    <xf numFmtId="201" fontId="6" fillId="0" borderId="0" applyFont="0" applyFill="0" applyBorder="0" applyAlignment="0" applyProtection="0"/>
    <xf numFmtId="0" fontId="83" fillId="0" borderId="0"/>
    <xf numFmtId="17" fontId="48" fillId="0" borderId="0" applyFont="0" applyFill="0" applyBorder="0" applyAlignment="0" applyProtection="0"/>
    <xf numFmtId="0" fontId="84" fillId="0" borderId="0" applyFill="0" applyBorder="0">
      <alignment horizontal="left" vertical="center"/>
    </xf>
    <xf numFmtId="39" fontId="49" fillId="0" borderId="0" applyNumberFormat="0" applyFont="0" applyBorder="0" applyAlignment="0" applyProtection="0"/>
    <xf numFmtId="202" fontId="6" fillId="0" borderId="0"/>
    <xf numFmtId="0" fontId="44"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alignment vertical="top"/>
    </xf>
    <xf numFmtId="0" fontId="45" fillId="43" borderId="25" applyNumberFormat="0" applyAlignment="0" applyProtection="0"/>
    <xf numFmtId="0" fontId="2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6" fillId="0" borderId="0"/>
    <xf numFmtId="0" fontId="51" fillId="0" borderId="0"/>
    <xf numFmtId="0" fontId="51" fillId="0" borderId="0"/>
    <xf numFmtId="0" fontId="51" fillId="0" borderId="0"/>
    <xf numFmtId="0" fontId="60" fillId="0" borderId="0" applyFill="0" applyBorder="0">
      <protection locked="0"/>
    </xf>
    <xf numFmtId="39" fontId="48" fillId="0" borderId="0" applyFont="0" applyFill="0" applyBorder="0" applyAlignment="0" applyProtection="0"/>
    <xf numFmtId="203" fontId="48" fillId="0" borderId="0" applyFont="0" applyFill="0" applyBorder="0" applyAlignment="0" applyProtection="0"/>
    <xf numFmtId="0" fontId="85" fillId="0" borderId="0">
      <alignment horizontal="left" vertical="top"/>
    </xf>
    <xf numFmtId="0" fontId="41" fillId="37" borderId="0" applyBorder="0" applyAlignment="0" applyProtection="0">
      <alignment horizontal="center" vertical="top"/>
    </xf>
    <xf numFmtId="0" fontId="41" fillId="0" borderId="0" applyFill="0" applyBorder="0" applyProtection="0">
      <alignment horizontal="left" vertical="top"/>
    </xf>
    <xf numFmtId="0" fontId="86" fillId="0" borderId="0">
      <alignment horizontal="left" vertical="top"/>
    </xf>
    <xf numFmtId="0" fontId="6" fillId="0" borderId="0" applyFill="0" applyBorder="0" applyProtection="0">
      <alignment horizontal="left" vertical="top"/>
    </xf>
    <xf numFmtId="0" fontId="41" fillId="37" borderId="0" applyBorder="0" applyProtection="0"/>
    <xf numFmtId="0" fontId="87" fillId="63" borderId="12"/>
    <xf numFmtId="164" fontId="48" fillId="64" borderId="0" applyNumberFormat="0" applyFont="0" applyBorder="0" applyAlignment="0" applyProtection="0"/>
    <xf numFmtId="10" fontId="6" fillId="0" borderId="0" applyFont="0" applyFill="0" applyBorder="0" applyAlignment="0" applyProtection="0"/>
    <xf numFmtId="204" fontId="6" fillId="0" borderId="0" applyFill="0" applyBorder="0">
      <protection locked="0"/>
    </xf>
    <xf numFmtId="0" fontId="4" fillId="0" borderId="0"/>
    <xf numFmtId="9" fontId="6" fillId="0" borderId="0" applyFont="0" applyFill="0" applyBorder="0" applyAlignment="0" applyProtection="0"/>
    <xf numFmtId="9" fontId="6" fillId="0" borderId="0" applyFont="0" applyFill="0" applyBorder="0" applyAlignment="0" applyProtection="0"/>
    <xf numFmtId="0" fontId="73" fillId="65" borderId="8"/>
    <xf numFmtId="0" fontId="82" fillId="0" borderId="0" applyFill="0" applyBorder="0">
      <alignment vertical="center"/>
    </xf>
    <xf numFmtId="0" fontId="73" fillId="65" borderId="8"/>
    <xf numFmtId="0" fontId="6" fillId="0" borderId="0"/>
    <xf numFmtId="186" fontId="7" fillId="0" borderId="0" applyFill="0" applyBorder="0">
      <alignment horizontal="right" vertical="center"/>
    </xf>
    <xf numFmtId="191" fontId="7" fillId="0" borderId="0" applyFill="0" applyBorder="0">
      <alignment horizontal="right" vertical="center"/>
    </xf>
    <xf numFmtId="187" fontId="7" fillId="0" borderId="0" applyFill="0" applyBorder="0">
      <alignment horizontal="right" vertical="center"/>
    </xf>
    <xf numFmtId="188" fontId="7" fillId="0" borderId="0" applyFill="0" applyBorder="0">
      <alignment horizontal="right" vertical="center"/>
    </xf>
    <xf numFmtId="189" fontId="7" fillId="0" borderId="0" applyFill="0" applyBorder="0">
      <alignment horizontal="right" vertical="center"/>
    </xf>
    <xf numFmtId="190" fontId="7" fillId="0" borderId="0" applyFill="0" applyBorder="0">
      <alignment horizontal="right" vertical="center"/>
    </xf>
    <xf numFmtId="4" fontId="44" fillId="40" borderId="11" applyNumberFormat="0" applyProtection="0">
      <alignment vertical="center"/>
    </xf>
    <xf numFmtId="4" fontId="88" fillId="40" borderId="11" applyNumberFormat="0" applyProtection="0">
      <alignment vertical="center"/>
    </xf>
    <xf numFmtId="4" fontId="44" fillId="40" borderId="11" applyNumberFormat="0" applyProtection="0">
      <alignment horizontal="left" vertical="center" indent="1"/>
    </xf>
    <xf numFmtId="4" fontId="44" fillId="40" borderId="11" applyNumberFormat="0" applyProtection="0">
      <alignment horizontal="left" vertical="center" indent="1"/>
    </xf>
    <xf numFmtId="0" fontId="6" fillId="65" borderId="11" applyNumberFormat="0" applyProtection="0">
      <alignment horizontal="left" vertical="center" indent="1"/>
    </xf>
    <xf numFmtId="4" fontId="44" fillId="25" borderId="11" applyNumberFormat="0" applyProtection="0">
      <alignment horizontal="right" vertical="center"/>
    </xf>
    <xf numFmtId="4" fontId="44" fillId="66" borderId="11" applyNumberFormat="0" applyProtection="0">
      <alignment horizontal="right" vertical="center"/>
    </xf>
    <xf numFmtId="4" fontId="44" fillId="39" borderId="11" applyNumberFormat="0" applyProtection="0">
      <alignment horizontal="right" vertical="center"/>
    </xf>
    <xf numFmtId="4" fontId="44" fillId="67" borderId="11" applyNumberFormat="0" applyProtection="0">
      <alignment horizontal="right" vertical="center"/>
    </xf>
    <xf numFmtId="4" fontId="44" fillId="68" borderId="11" applyNumberFormat="0" applyProtection="0">
      <alignment horizontal="right" vertical="center"/>
    </xf>
    <xf numFmtId="4" fontId="44" fillId="69" borderId="11" applyNumberFormat="0" applyProtection="0">
      <alignment horizontal="right" vertical="center"/>
    </xf>
    <xf numFmtId="4" fontId="44" fillId="42" borderId="11" applyNumberFormat="0" applyProtection="0">
      <alignment horizontal="right" vertical="center"/>
    </xf>
    <xf numFmtId="4" fontId="44" fillId="41" borderId="11" applyNumberFormat="0" applyProtection="0">
      <alignment horizontal="right" vertical="center"/>
    </xf>
    <xf numFmtId="4" fontId="44" fillId="70" borderId="11" applyNumberFormat="0" applyProtection="0">
      <alignment horizontal="right" vertical="center"/>
    </xf>
    <xf numFmtId="4" fontId="72" fillId="71" borderId="11" applyNumberFormat="0" applyProtection="0">
      <alignment horizontal="left" vertical="center" indent="1"/>
    </xf>
    <xf numFmtId="4" fontId="44" fillId="72" borderId="27" applyNumberFormat="0" applyProtection="0">
      <alignment horizontal="left" vertical="center" indent="1"/>
    </xf>
    <xf numFmtId="4" fontId="89" fillId="73" borderId="0" applyNumberFormat="0" applyProtection="0">
      <alignment horizontal="left" vertical="center" indent="1"/>
    </xf>
    <xf numFmtId="0" fontId="6" fillId="65" borderId="11" applyNumberFormat="0" applyProtection="0">
      <alignment horizontal="left" vertical="center" indent="1"/>
    </xf>
    <xf numFmtId="4" fontId="44" fillId="72" borderId="11" applyNumberFormat="0" applyProtection="0">
      <alignment horizontal="left" vertical="center" indent="1"/>
    </xf>
    <xf numFmtId="4" fontId="44" fillId="74" borderId="11" applyNumberFormat="0" applyProtection="0">
      <alignment horizontal="left" vertical="center" indent="1"/>
    </xf>
    <xf numFmtId="0" fontId="6" fillId="74" borderId="11" applyNumberFormat="0" applyProtection="0">
      <alignment horizontal="left" vertical="center" indent="1"/>
    </xf>
    <xf numFmtId="0" fontId="6" fillId="74" borderId="11" applyNumberFormat="0" applyProtection="0">
      <alignment horizontal="left" vertical="center" indent="1"/>
    </xf>
    <xf numFmtId="0" fontId="6" fillId="75" borderId="11" applyNumberFormat="0" applyProtection="0">
      <alignment horizontal="left" vertical="center" indent="1"/>
    </xf>
    <xf numFmtId="0" fontId="6" fillId="75" borderId="11" applyNumberFormat="0" applyProtection="0">
      <alignment horizontal="left" vertical="center" indent="1"/>
    </xf>
    <xf numFmtId="0" fontId="6" fillId="37" borderId="11" applyNumberFormat="0" applyProtection="0">
      <alignment horizontal="left" vertical="center" indent="1"/>
    </xf>
    <xf numFmtId="0" fontId="6" fillId="37" borderId="11" applyNumberFormat="0" applyProtection="0">
      <alignment horizontal="left" vertical="center" indent="1"/>
    </xf>
    <xf numFmtId="0" fontId="6" fillId="65" borderId="11" applyNumberFormat="0" applyProtection="0">
      <alignment horizontal="left" vertical="center" indent="1"/>
    </xf>
    <xf numFmtId="0" fontId="6" fillId="65" borderId="11" applyNumberFormat="0" applyProtection="0">
      <alignment horizontal="left" vertical="center" indent="1"/>
    </xf>
    <xf numFmtId="0" fontId="6" fillId="0" borderId="0"/>
    <xf numFmtId="4" fontId="44" fillId="61" borderId="11" applyNumberFormat="0" applyProtection="0">
      <alignment vertical="center"/>
    </xf>
    <xf numFmtId="4" fontId="88" fillId="61" borderId="11" applyNumberFormat="0" applyProtection="0">
      <alignment vertical="center"/>
    </xf>
    <xf numFmtId="4" fontId="44" fillId="61" borderId="11" applyNumberFormat="0" applyProtection="0">
      <alignment horizontal="left" vertical="center" indent="1"/>
    </xf>
    <xf numFmtId="4" fontId="44" fillId="61" borderId="11" applyNumberFormat="0" applyProtection="0">
      <alignment horizontal="left" vertical="center" indent="1"/>
    </xf>
    <xf numFmtId="4" fontId="44" fillId="72" borderId="11" applyNumberFormat="0" applyProtection="0">
      <alignment horizontal="right" vertical="center"/>
    </xf>
    <xf numFmtId="4" fontId="88" fillId="72" borderId="11" applyNumberFormat="0" applyProtection="0">
      <alignment horizontal="right" vertical="center"/>
    </xf>
    <xf numFmtId="0" fontId="6" fillId="65" borderId="11" applyNumberFormat="0" applyProtection="0">
      <alignment horizontal="left" vertical="center" indent="1"/>
    </xf>
    <xf numFmtId="0" fontId="6" fillId="65" borderId="11" applyNumberFormat="0" applyProtection="0">
      <alignment horizontal="left" vertical="center" indent="1"/>
    </xf>
    <xf numFmtId="0" fontId="90" fillId="0" borderId="0"/>
    <xf numFmtId="4" fontId="91" fillId="72" borderId="11" applyNumberFormat="0" applyProtection="0">
      <alignment horizontal="right" vertical="center"/>
    </xf>
    <xf numFmtId="0" fontId="92" fillId="0" borderId="0" applyFill="0" applyBorder="0">
      <alignment horizontal="left" vertical="center"/>
    </xf>
    <xf numFmtId="0" fontId="93" fillId="76" borderId="0"/>
    <xf numFmtId="49" fontId="94" fillId="76" borderId="0"/>
    <xf numFmtId="49" fontId="95" fillId="76" borderId="28"/>
    <xf numFmtId="49" fontId="95" fillId="76" borderId="0"/>
    <xf numFmtId="0" fontId="93" fillId="63" borderId="28">
      <protection locked="0"/>
    </xf>
    <xf numFmtId="0" fontId="93" fillId="76" borderId="0"/>
    <xf numFmtId="0" fontId="96" fillId="24" borderId="0"/>
    <xf numFmtId="0" fontId="96" fillId="70" borderId="0"/>
    <xf numFmtId="0" fontId="96" fillId="67" borderId="0"/>
    <xf numFmtId="0" fontId="97" fillId="0" borderId="0" applyNumberFormat="0" applyFill="0" applyBorder="0" applyAlignment="0" applyProtection="0"/>
    <xf numFmtId="202" fontId="98" fillId="77" borderId="0" applyNumberFormat="0" applyFont="0" applyBorder="0" applyAlignment="0"/>
    <xf numFmtId="0" fontId="6" fillId="0" borderId="0"/>
    <xf numFmtId="0" fontId="44" fillId="0" borderId="0">
      <alignment vertical="top"/>
    </xf>
    <xf numFmtId="196" fontId="6" fillId="0" borderId="0"/>
    <xf numFmtId="196" fontId="60" fillId="0" borderId="0"/>
    <xf numFmtId="0" fontId="84" fillId="0" borderId="0"/>
    <xf numFmtId="15" fontId="6" fillId="0" borderId="0"/>
    <xf numFmtId="10" fontId="6" fillId="0" borderId="0"/>
    <xf numFmtId="3" fontId="99" fillId="0" borderId="0"/>
    <xf numFmtId="3" fontId="100" fillId="0" borderId="29"/>
    <xf numFmtId="3" fontId="100" fillId="0" borderId="30"/>
    <xf numFmtId="3" fontId="100" fillId="0" borderId="31"/>
    <xf numFmtId="3" fontId="99" fillId="0" borderId="0"/>
    <xf numFmtId="0" fontId="6" fillId="0" borderId="0"/>
    <xf numFmtId="0" fontId="101" fillId="0" borderId="0" applyFill="0" applyBorder="0" applyAlignment="0"/>
    <xf numFmtId="0" fontId="102" fillId="0" borderId="0"/>
    <xf numFmtId="205" fontId="48" fillId="0" borderId="0" applyFont="0" applyFill="0" applyBorder="0" applyAlignment="0" applyProtection="0"/>
    <xf numFmtId="0" fontId="103" fillId="0" borderId="0" applyFill="0" applyBorder="0">
      <alignment horizontal="left" vertical="center"/>
      <protection locked="0"/>
    </xf>
    <xf numFmtId="0" fontId="104" fillId="0" borderId="0" applyFill="0" applyBorder="0">
      <alignment horizontal="left" vertical="center"/>
      <protection locked="0"/>
    </xf>
    <xf numFmtId="0" fontId="105" fillId="0" borderId="0" applyFill="0" applyBorder="0">
      <alignment horizontal="left" vertical="center"/>
      <protection locked="0"/>
    </xf>
    <xf numFmtId="0" fontId="106" fillId="0" borderId="0" applyFill="0" applyBorder="0">
      <alignment horizontal="left" vertical="center"/>
      <protection locked="0"/>
    </xf>
    <xf numFmtId="37" fontId="6" fillId="0" borderId="0" applyNumberFormat="0" applyFill="0" applyBorder="0" applyAlignment="0" applyProtection="0"/>
    <xf numFmtId="0" fontId="107" fillId="0" borderId="0" applyNumberFormat="0" applyFont="0" applyFill="0"/>
    <xf numFmtId="37" fontId="48" fillId="0" borderId="0" applyNumberFormat="0" applyFont="0" applyBorder="0" applyAlignment="0" applyProtection="0"/>
    <xf numFmtId="37" fontId="48" fillId="0" borderId="0" applyNumberFormat="0" applyFont="0" applyFill="0" applyBorder="0" applyProtection="0"/>
    <xf numFmtId="37" fontId="7" fillId="0" borderId="0" applyNumberFormat="0" applyFill="0" applyBorder="0" applyAlignment="0" applyProtection="0"/>
    <xf numFmtId="0" fontId="84" fillId="0" borderId="0"/>
    <xf numFmtId="37" fontId="48" fillId="0" borderId="0" applyNumberFormat="0" applyFont="0" applyFill="0" applyBorder="0" applyProtection="0">
      <alignment horizontal="right" vertical="top" wrapText="1"/>
    </xf>
    <xf numFmtId="206" fontId="49" fillId="0" borderId="0" applyFont="0" applyFill="0" applyBorder="0" applyAlignment="0" applyProtection="0"/>
    <xf numFmtId="207" fontId="48" fillId="0" borderId="0" applyFont="0" applyFill="0" applyBorder="0" applyAlignment="0" applyProtection="0"/>
    <xf numFmtId="208" fontId="49" fillId="0" borderId="0" applyFont="0" applyFill="0" applyBorder="0" applyAlignment="0" applyProtection="0"/>
    <xf numFmtId="209" fontId="48" fillId="0" borderId="0" applyFont="0" applyFill="0" applyBorder="0" applyAlignment="0" applyProtection="0"/>
    <xf numFmtId="39" fontId="49" fillId="77" borderId="0" applyNumberFormat="0" applyFont="0" applyBorder="0" applyAlignment="0" applyProtection="0"/>
    <xf numFmtId="0" fontId="4" fillId="0" borderId="0"/>
    <xf numFmtId="0" fontId="108" fillId="46" borderId="0" applyNumberFormat="0" applyBorder="0" applyAlignment="0" applyProtection="0"/>
    <xf numFmtId="9" fontId="4" fillId="0" borderId="0" applyFont="0" applyFill="0" applyBorder="0" applyAlignment="0" applyProtection="0"/>
    <xf numFmtId="0" fontId="6"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3" fillId="3" borderId="0" applyNumberFormat="0" applyBorder="0" applyAlignment="0" applyProtection="0"/>
    <xf numFmtId="0" fontId="33" fillId="27" borderId="3" applyNumberFormat="0" applyAlignment="0" applyProtection="0"/>
    <xf numFmtId="0" fontId="14" fillId="21" borderId="4" applyNumberFormat="0" applyAlignment="0" applyProtection="0"/>
    <xf numFmtId="43" fontId="6" fillId="0" borderId="0" applyFon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32" fillId="7" borderId="3" applyNumberFormat="0" applyAlignment="0" applyProtection="0"/>
    <xf numFmtId="0" fontId="19" fillId="0" borderId="9" applyNumberFormat="0" applyFill="0" applyAlignment="0" applyProtection="0"/>
    <xf numFmtId="0" fontId="35" fillId="22" borderId="0" applyNumberFormat="0" applyBorder="0" applyAlignment="0" applyProtection="0"/>
    <xf numFmtId="0" fontId="9" fillId="23" borderId="10" applyNumberFormat="0" applyFont="0" applyAlignment="0" applyProtection="0"/>
    <xf numFmtId="0" fontId="21" fillId="20" borderId="11" applyNumberFormat="0" applyAlignment="0" applyProtection="0"/>
    <xf numFmtId="9" fontId="6" fillId="0" borderId="0" applyFont="0" applyFill="0" applyBorder="0" applyAlignment="0" applyProtection="0"/>
    <xf numFmtId="0" fontId="22" fillId="0" borderId="0" applyNumberFormat="0" applyFill="0" applyBorder="0" applyAlignment="0" applyProtection="0"/>
    <xf numFmtId="0" fontId="8" fillId="0" borderId="13" applyNumberFormat="0" applyFill="0" applyAlignment="0" applyProtection="0"/>
    <xf numFmtId="0" fontId="23" fillId="0" borderId="0" applyNumberFormat="0" applyFill="0" applyBorder="0" applyAlignment="0" applyProtection="0"/>
    <xf numFmtId="0" fontId="20" fillId="0" borderId="0"/>
    <xf numFmtId="0" fontId="33" fillId="27" borderId="3" applyNumberFormat="0" applyAlignment="0" applyProtection="0"/>
    <xf numFmtId="0" fontId="53" fillId="0" borderId="1"/>
    <xf numFmtId="10" fontId="6" fillId="61" borderId="8" applyNumberFormat="0" applyBorder="0" applyAlignment="0" applyProtection="0"/>
    <xf numFmtId="0" fontId="82" fillId="0" borderId="8" applyFill="0">
      <alignment horizontal="center" vertical="center"/>
    </xf>
    <xf numFmtId="0" fontId="7" fillId="0" borderId="8" applyFill="0">
      <alignment horizontal="center" vertical="center"/>
    </xf>
    <xf numFmtId="198" fontId="7" fillId="0" borderId="8" applyFill="0">
      <alignment horizontal="center" vertical="center"/>
    </xf>
    <xf numFmtId="0" fontId="73" fillId="65" borderId="8"/>
    <xf numFmtId="4" fontId="44" fillId="40" borderId="11" applyNumberFormat="0" applyProtection="0">
      <alignment vertical="center"/>
    </xf>
    <xf numFmtId="4" fontId="88" fillId="40" borderId="11" applyNumberFormat="0" applyProtection="0">
      <alignment vertical="center"/>
    </xf>
    <xf numFmtId="4" fontId="44" fillId="40" borderId="11" applyNumberFormat="0" applyProtection="0">
      <alignment horizontal="left" vertical="center" indent="1"/>
    </xf>
    <xf numFmtId="4" fontId="44" fillId="40" borderId="11" applyNumberFormat="0" applyProtection="0">
      <alignment horizontal="left" vertical="center" indent="1"/>
    </xf>
    <xf numFmtId="0" fontId="6" fillId="65" borderId="11" applyNumberFormat="0" applyProtection="0">
      <alignment horizontal="left" vertical="center" indent="1"/>
    </xf>
    <xf numFmtId="4" fontId="44" fillId="25" borderId="11" applyNumberFormat="0" applyProtection="0">
      <alignment horizontal="right" vertical="center"/>
    </xf>
    <xf numFmtId="4" fontId="44" fillId="66" borderId="11" applyNumberFormat="0" applyProtection="0">
      <alignment horizontal="right" vertical="center"/>
    </xf>
    <xf numFmtId="4" fontId="44" fillId="39" borderId="11" applyNumberFormat="0" applyProtection="0">
      <alignment horizontal="right" vertical="center"/>
    </xf>
    <xf numFmtId="4" fontId="44" fillId="67" borderId="11" applyNumberFormat="0" applyProtection="0">
      <alignment horizontal="right" vertical="center"/>
    </xf>
    <xf numFmtId="4" fontId="44" fillId="68" borderId="11" applyNumberFormat="0" applyProtection="0">
      <alignment horizontal="right" vertical="center"/>
    </xf>
    <xf numFmtId="4" fontId="44" fillId="69" borderId="11" applyNumberFormat="0" applyProtection="0">
      <alignment horizontal="right" vertical="center"/>
    </xf>
    <xf numFmtId="4" fontId="44" fillId="42" borderId="11" applyNumberFormat="0" applyProtection="0">
      <alignment horizontal="right" vertical="center"/>
    </xf>
    <xf numFmtId="4" fontId="44" fillId="41" borderId="11" applyNumberFormat="0" applyProtection="0">
      <alignment horizontal="right" vertical="center"/>
    </xf>
    <xf numFmtId="4" fontId="44" fillId="70" borderId="11" applyNumberFormat="0" applyProtection="0">
      <alignment horizontal="right" vertical="center"/>
    </xf>
    <xf numFmtId="4" fontId="72" fillId="71" borderId="11" applyNumberFormat="0" applyProtection="0">
      <alignment horizontal="left" vertical="center" indent="1"/>
    </xf>
    <xf numFmtId="4" fontId="44" fillId="72" borderId="27" applyNumberFormat="0" applyProtection="0">
      <alignment horizontal="left" vertical="center" indent="1"/>
    </xf>
    <xf numFmtId="0" fontId="6" fillId="65" borderId="11" applyNumberFormat="0" applyProtection="0">
      <alignment horizontal="left" vertical="center" indent="1"/>
    </xf>
    <xf numFmtId="4" fontId="44" fillId="72" borderId="11" applyNumberFormat="0" applyProtection="0">
      <alignment horizontal="left" vertical="center" indent="1"/>
    </xf>
    <xf numFmtId="4" fontId="44" fillId="74" borderId="11" applyNumberFormat="0" applyProtection="0">
      <alignment horizontal="left" vertical="center" indent="1"/>
    </xf>
    <xf numFmtId="0" fontId="6" fillId="74" borderId="11" applyNumberFormat="0" applyProtection="0">
      <alignment horizontal="left" vertical="center" indent="1"/>
    </xf>
    <xf numFmtId="0" fontId="6" fillId="74" borderId="11" applyNumberFormat="0" applyProtection="0">
      <alignment horizontal="left" vertical="center" indent="1"/>
    </xf>
    <xf numFmtId="0" fontId="6" fillId="75" borderId="11" applyNumberFormat="0" applyProtection="0">
      <alignment horizontal="left" vertical="center" indent="1"/>
    </xf>
    <xf numFmtId="0" fontId="6" fillId="75" borderId="11" applyNumberFormat="0" applyProtection="0">
      <alignment horizontal="left" vertical="center" indent="1"/>
    </xf>
    <xf numFmtId="0" fontId="6" fillId="37" borderId="11" applyNumberFormat="0" applyProtection="0">
      <alignment horizontal="left" vertical="center" indent="1"/>
    </xf>
    <xf numFmtId="0" fontId="6" fillId="37" borderId="11" applyNumberFormat="0" applyProtection="0">
      <alignment horizontal="left" vertical="center" indent="1"/>
    </xf>
    <xf numFmtId="0" fontId="6" fillId="65" borderId="11" applyNumberFormat="0" applyProtection="0">
      <alignment horizontal="left" vertical="center" indent="1"/>
    </xf>
    <xf numFmtId="0" fontId="6" fillId="65" borderId="11" applyNumberFormat="0" applyProtection="0">
      <alignment horizontal="left" vertical="center" indent="1"/>
    </xf>
    <xf numFmtId="4" fontId="44" fillId="61" borderId="11" applyNumberFormat="0" applyProtection="0">
      <alignment vertical="center"/>
    </xf>
    <xf numFmtId="4" fontId="88" fillId="61" borderId="11" applyNumberFormat="0" applyProtection="0">
      <alignment vertical="center"/>
    </xf>
    <xf numFmtId="4" fontId="44" fillId="61" borderId="11" applyNumberFormat="0" applyProtection="0">
      <alignment horizontal="left" vertical="center" indent="1"/>
    </xf>
    <xf numFmtId="4" fontId="44" fillId="61" borderId="11" applyNumberFormat="0" applyProtection="0">
      <alignment horizontal="left" vertical="center" indent="1"/>
    </xf>
    <xf numFmtId="4" fontId="44" fillId="72" borderId="11" applyNumberFormat="0" applyProtection="0">
      <alignment horizontal="right" vertical="center"/>
    </xf>
    <xf numFmtId="4" fontId="88" fillId="72" borderId="11" applyNumberFormat="0" applyProtection="0">
      <alignment horizontal="right" vertical="center"/>
    </xf>
    <xf numFmtId="0" fontId="6" fillId="65" borderId="11" applyNumberFormat="0" applyProtection="0">
      <alignment horizontal="left" vertical="center" indent="1"/>
    </xf>
    <xf numFmtId="0" fontId="6" fillId="65" borderId="11" applyNumberFormat="0" applyProtection="0">
      <alignment horizontal="left" vertical="center" indent="1"/>
    </xf>
    <xf numFmtId="4" fontId="91" fillId="72" borderId="11" applyNumberFormat="0" applyProtection="0">
      <alignment horizontal="right" vertical="center"/>
    </xf>
    <xf numFmtId="0" fontId="33" fillId="27" borderId="3" applyNumberFormat="0" applyAlignment="0" applyProtection="0"/>
    <xf numFmtId="0" fontId="32" fillId="7" borderId="3" applyNumberFormat="0" applyAlignment="0" applyProtection="0"/>
    <xf numFmtId="0" fontId="9" fillId="23" borderId="10" applyNumberFormat="0" applyFont="0" applyAlignment="0" applyProtection="0"/>
    <xf numFmtId="0" fontId="21" fillId="20" borderId="11" applyNumberFormat="0" applyAlignment="0" applyProtection="0"/>
    <xf numFmtId="0" fontId="8" fillId="0" borderId="13" applyNumberFormat="0" applyFill="0" applyAlignment="0" applyProtection="0"/>
    <xf numFmtId="0" fontId="6" fillId="0" borderId="0"/>
    <xf numFmtId="0" fontId="32" fillId="7" borderId="3" applyNumberFormat="0" applyAlignment="0" applyProtection="0"/>
    <xf numFmtId="0" fontId="11" fillId="19"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1" fillId="16" borderId="0" applyNumberFormat="0" applyBorder="0" applyAlignment="0" applyProtection="0"/>
    <xf numFmtId="0" fontId="32" fillId="7" borderId="3" applyNumberFormat="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32" fillId="7" borderId="3" applyNumberFormat="0" applyAlignment="0" applyProtection="0"/>
    <xf numFmtId="9" fontId="6" fillId="0" borderId="0" applyFont="0" applyFill="0" applyBorder="0" applyAlignment="0" applyProtection="0"/>
    <xf numFmtId="44" fontId="6" fillId="0" borderId="0" applyFont="0" applyFill="0" applyBorder="0" applyAlignment="0" applyProtection="0"/>
    <xf numFmtId="0" fontId="33" fillId="27" borderId="32" applyNumberFormat="0" applyAlignment="0" applyProtection="0"/>
    <xf numFmtId="0" fontId="45" fillId="43" borderId="25" applyNumberFormat="0" applyAlignment="0" applyProtection="0"/>
    <xf numFmtId="0" fontId="6" fillId="75" borderId="47" applyNumberFormat="0" applyProtection="0">
      <alignment horizontal="left" vertical="center" indent="1"/>
    </xf>
    <xf numFmtId="9" fontId="4" fillId="0" borderId="0" applyFont="0" applyFill="0" applyBorder="0" applyAlignment="0" applyProtection="0"/>
    <xf numFmtId="0" fontId="4" fillId="0" borderId="0"/>
    <xf numFmtId="0" fontId="33" fillId="27" borderId="44" applyNumberFormat="0" applyAlignment="0" applyProtection="0"/>
    <xf numFmtId="4" fontId="44" fillId="40" borderId="47" applyNumberFormat="0" applyProtection="0">
      <alignment horizontal="left" vertical="center" indent="1"/>
    </xf>
    <xf numFmtId="0" fontId="33" fillId="27" borderId="44" applyNumberFormat="0" applyAlignment="0" applyProtection="0"/>
    <xf numFmtId="198" fontId="7" fillId="0" borderId="39" applyFill="0">
      <alignment horizontal="center" vertical="center"/>
    </xf>
    <xf numFmtId="4" fontId="88" fillId="40" borderId="47" applyNumberFormat="0" applyProtection="0">
      <alignment vertical="center"/>
    </xf>
    <xf numFmtId="0" fontId="9" fillId="23" borderId="42" applyNumberFormat="0" applyFont="0" applyAlignment="0" applyProtection="0"/>
    <xf numFmtId="0" fontId="9" fillId="23" borderId="49" applyNumberFormat="0" applyFont="0" applyAlignment="0" applyProtection="0"/>
    <xf numFmtId="4" fontId="44" fillId="61" borderId="40" applyNumberFormat="0" applyProtection="0">
      <alignment horizontal="left" vertical="center" indent="1"/>
    </xf>
    <xf numFmtId="4" fontId="44" fillId="41" borderId="47" applyNumberFormat="0" applyProtection="0">
      <alignment horizontal="right" vertical="center"/>
    </xf>
    <xf numFmtId="0" fontId="32" fillId="7" borderId="37" applyNumberFormat="0" applyAlignment="0" applyProtection="0"/>
    <xf numFmtId="0" fontId="45" fillId="43" borderId="25" applyNumberFormat="0" applyAlignment="0" applyProtection="0"/>
    <xf numFmtId="9" fontId="4" fillId="0" borderId="0" applyFont="0" applyFill="0" applyBorder="0" applyAlignment="0" applyProtection="0"/>
    <xf numFmtId="4" fontId="44" fillId="67" borderId="40" applyNumberFormat="0" applyProtection="0">
      <alignment horizontal="right" vertical="center"/>
    </xf>
    <xf numFmtId="0" fontId="6" fillId="65" borderId="47" applyNumberFormat="0" applyProtection="0">
      <alignment horizontal="left" vertical="center" indent="1"/>
    </xf>
    <xf numFmtId="198" fontId="7" fillId="0" borderId="39" applyFill="0">
      <alignment horizontal="center" vertical="center"/>
    </xf>
    <xf numFmtId="0" fontId="6" fillId="65" borderId="40" applyNumberFormat="0" applyProtection="0">
      <alignment horizontal="left" vertical="center" indent="1"/>
    </xf>
    <xf numFmtId="9" fontId="4" fillId="0" borderId="0" applyFont="0" applyFill="0" applyBorder="0" applyAlignment="0" applyProtection="0"/>
    <xf numFmtId="9" fontId="4" fillId="0" borderId="0" applyFont="0" applyFill="0" applyBorder="0" applyAlignment="0" applyProtection="0"/>
    <xf numFmtId="0" fontId="53" fillId="0" borderId="45"/>
    <xf numFmtId="0" fontId="21" fillId="20" borderId="40" applyNumberFormat="0" applyAlignment="0" applyProtection="0"/>
    <xf numFmtId="0" fontId="33" fillId="27" borderId="37" applyNumberFormat="0" applyAlignment="0" applyProtection="0"/>
    <xf numFmtId="0" fontId="6" fillId="74" borderId="47" applyNumberFormat="0" applyProtection="0">
      <alignment horizontal="left" vertical="center" indent="1"/>
    </xf>
    <xf numFmtId="4" fontId="88" fillId="40" borderId="40" applyNumberFormat="0" applyProtection="0">
      <alignment vertical="center"/>
    </xf>
    <xf numFmtId="0" fontId="53" fillId="0" borderId="38"/>
    <xf numFmtId="4" fontId="44" fillId="40" borderId="40" applyNumberFormat="0" applyProtection="0">
      <alignment horizontal="left" vertical="center" indent="1"/>
    </xf>
    <xf numFmtId="0" fontId="53" fillId="0" borderId="33"/>
    <xf numFmtId="0" fontId="6" fillId="65" borderId="47" applyNumberFormat="0" applyProtection="0">
      <alignment horizontal="left" vertical="center" indent="1"/>
    </xf>
    <xf numFmtId="0" fontId="32" fillId="7" borderId="44" applyNumberFormat="0" applyAlignment="0" applyProtection="0"/>
    <xf numFmtId="4" fontId="44" fillId="41" borderId="47" applyNumberFormat="0" applyProtection="0">
      <alignment horizontal="right" vertical="center"/>
    </xf>
    <xf numFmtId="0" fontId="32" fillId="7" borderId="44" applyNumberFormat="0" applyAlignment="0" applyProtection="0"/>
    <xf numFmtId="4" fontId="44" fillId="66" borderId="40" applyNumberFormat="0" applyProtection="0">
      <alignment horizontal="right" vertical="center"/>
    </xf>
    <xf numFmtId="0" fontId="4" fillId="0" borderId="0"/>
    <xf numFmtId="4" fontId="44" fillId="41" borderId="40" applyNumberFormat="0" applyProtection="0">
      <alignment horizontal="right" vertical="center"/>
    </xf>
    <xf numFmtId="4" fontId="44" fillId="41" borderId="40" applyNumberFormat="0" applyProtection="0">
      <alignment horizontal="right" vertical="center"/>
    </xf>
    <xf numFmtId="4" fontId="72" fillId="71" borderId="40" applyNumberFormat="0" applyProtection="0">
      <alignment horizontal="left" vertical="center" indent="1"/>
    </xf>
    <xf numFmtId="0" fontId="6" fillId="65" borderId="40" applyNumberFormat="0" applyProtection="0">
      <alignment horizontal="left" vertical="center" indent="1"/>
    </xf>
    <xf numFmtId="4" fontId="44" fillId="74" borderId="40" applyNumberFormat="0" applyProtection="0">
      <alignment horizontal="left" vertical="center" indent="1"/>
    </xf>
    <xf numFmtId="0" fontId="6" fillId="65" borderId="40" applyNumberFormat="0" applyProtection="0">
      <alignment horizontal="left" vertical="center" indent="1"/>
    </xf>
    <xf numFmtId="4" fontId="91" fillId="72" borderId="40" applyNumberFormat="0" applyProtection="0">
      <alignment horizontal="right" vertical="center"/>
    </xf>
    <xf numFmtId="0" fontId="32" fillId="7" borderId="37" applyNumberFormat="0" applyAlignment="0" applyProtection="0"/>
    <xf numFmtId="10" fontId="6" fillId="61" borderId="46" applyNumberFormat="0" applyBorder="0" applyAlignment="0" applyProtection="0"/>
    <xf numFmtId="0" fontId="53" fillId="0" borderId="45"/>
    <xf numFmtId="0" fontId="73" fillId="65" borderId="46"/>
    <xf numFmtId="4" fontId="44" fillId="40" borderId="47" applyNumberFormat="0" applyProtection="0">
      <alignment vertical="center"/>
    </xf>
    <xf numFmtId="4" fontId="44" fillId="69" borderId="47" applyNumberFormat="0" applyProtection="0">
      <alignment horizontal="right" vertical="center"/>
    </xf>
    <xf numFmtId="4" fontId="72" fillId="71" borderId="47" applyNumberFormat="0" applyProtection="0">
      <alignment horizontal="left" vertical="center" indent="1"/>
    </xf>
    <xf numFmtId="4" fontId="44" fillId="72" borderId="48" applyNumberFormat="0" applyProtection="0">
      <alignment horizontal="left" vertical="center" indent="1"/>
    </xf>
    <xf numFmtId="0" fontId="6" fillId="75" borderId="47" applyNumberFormat="0" applyProtection="0">
      <alignment horizontal="left" vertical="center" indent="1"/>
    </xf>
    <xf numFmtId="0" fontId="6" fillId="75" borderId="47" applyNumberFormat="0" applyProtection="0">
      <alignment horizontal="left" vertical="center" indent="1"/>
    </xf>
    <xf numFmtId="10" fontId="6" fillId="61" borderId="34" applyNumberFormat="0" applyBorder="0" applyAlignment="0" applyProtection="0"/>
    <xf numFmtId="0" fontId="82" fillId="0" borderId="34" applyFill="0">
      <alignment horizontal="center" vertical="center"/>
    </xf>
    <xf numFmtId="0" fontId="7" fillId="0" borderId="34" applyFill="0">
      <alignment horizontal="center" vertical="center"/>
    </xf>
    <xf numFmtId="198" fontId="7" fillId="0" borderId="34" applyFill="0">
      <alignment horizontal="center" vertical="center"/>
    </xf>
    <xf numFmtId="0" fontId="7" fillId="0" borderId="46" applyFill="0">
      <alignment horizontal="center" vertical="center"/>
    </xf>
    <xf numFmtId="0" fontId="73" fillId="65" borderId="46"/>
    <xf numFmtId="4" fontId="44" fillId="25" borderId="47" applyNumberFormat="0" applyProtection="0">
      <alignment horizontal="right" vertical="center"/>
    </xf>
    <xf numFmtId="0" fontId="6" fillId="37" borderId="47" applyNumberFormat="0" applyProtection="0">
      <alignment horizontal="left" vertical="center" indent="1"/>
    </xf>
    <xf numFmtId="0" fontId="6" fillId="65" borderId="47" applyNumberFormat="0" applyProtection="0">
      <alignment horizontal="left" vertical="center" indent="1"/>
    </xf>
    <xf numFmtId="0" fontId="8" fillId="0" borderId="50" applyNumberFormat="0" applyFill="0" applyAlignment="0" applyProtection="0"/>
    <xf numFmtId="0" fontId="45" fillId="43" borderId="25" applyNumberFormat="0" applyAlignment="0" applyProtection="0"/>
    <xf numFmtId="4" fontId="44" fillId="74" borderId="47" applyNumberFormat="0" applyProtection="0">
      <alignment horizontal="left" vertical="center" indent="1"/>
    </xf>
    <xf numFmtId="0" fontId="73" fillId="65" borderId="39"/>
    <xf numFmtId="4" fontId="44" fillId="42" borderId="47" applyNumberFormat="0" applyProtection="0">
      <alignment horizontal="right" vertical="center"/>
    </xf>
    <xf numFmtId="4" fontId="44" fillId="40" borderId="40" applyNumberFormat="0" applyProtection="0">
      <alignment vertical="center"/>
    </xf>
    <xf numFmtId="4" fontId="44" fillId="69" borderId="40" applyNumberFormat="0" applyProtection="0">
      <alignment horizontal="right" vertical="center"/>
    </xf>
    <xf numFmtId="4" fontId="44" fillId="70" borderId="40" applyNumberFormat="0" applyProtection="0">
      <alignment horizontal="right" vertical="center"/>
    </xf>
    <xf numFmtId="4" fontId="72" fillId="71" borderId="40" applyNumberFormat="0" applyProtection="0">
      <alignment horizontal="left" vertical="center" indent="1"/>
    </xf>
    <xf numFmtId="4" fontId="44" fillId="72" borderId="41" applyNumberFormat="0" applyProtection="0">
      <alignment horizontal="left" vertical="center" indent="1"/>
    </xf>
    <xf numFmtId="0" fontId="6" fillId="75" borderId="40" applyNumberFormat="0" applyProtection="0">
      <alignment horizontal="left" vertical="center" indent="1"/>
    </xf>
    <xf numFmtId="0" fontId="6" fillId="75" borderId="40" applyNumberFormat="0" applyProtection="0">
      <alignment horizontal="left" vertical="center" indent="1"/>
    </xf>
    <xf numFmtId="0" fontId="6" fillId="37" borderId="40" applyNumberFormat="0" applyProtection="0">
      <alignment horizontal="left" vertical="center" indent="1"/>
    </xf>
    <xf numFmtId="0" fontId="6" fillId="37" borderId="40" applyNumberFormat="0" applyProtection="0">
      <alignment horizontal="left" vertical="center" indent="1"/>
    </xf>
    <xf numFmtId="0" fontId="6" fillId="65" borderId="40" applyNumberFormat="0" applyProtection="0">
      <alignment horizontal="left" vertical="center" indent="1"/>
    </xf>
    <xf numFmtId="4" fontId="44" fillId="61" borderId="47" applyNumberFormat="0" applyProtection="0">
      <alignment horizontal="left" vertical="center" indent="1"/>
    </xf>
    <xf numFmtId="0" fontId="7" fillId="0" borderId="46" applyFill="0">
      <alignment horizontal="center" vertical="center"/>
    </xf>
    <xf numFmtId="0" fontId="7" fillId="0" borderId="39" applyFill="0">
      <alignment horizontal="center" vertical="center"/>
    </xf>
    <xf numFmtId="0" fontId="73" fillId="65" borderId="39"/>
    <xf numFmtId="4" fontId="44" fillId="25" borderId="40" applyNumberFormat="0" applyProtection="0">
      <alignment horizontal="right" vertical="center"/>
    </xf>
    <xf numFmtId="0" fontId="6" fillId="74" borderId="40" applyNumberFormat="0" applyProtection="0">
      <alignment horizontal="left" vertical="center" indent="1"/>
    </xf>
    <xf numFmtId="0" fontId="6" fillId="37" borderId="40" applyNumberFormat="0" applyProtection="0">
      <alignment horizontal="left" vertical="center" indent="1"/>
    </xf>
    <xf numFmtId="0" fontId="6" fillId="37" borderId="40" applyNumberFormat="0" applyProtection="0">
      <alignment horizontal="left" vertical="center" indent="1"/>
    </xf>
    <xf numFmtId="0" fontId="6" fillId="65" borderId="40" applyNumberFormat="0" applyProtection="0">
      <alignment horizontal="left" vertical="center" indent="1"/>
    </xf>
    <xf numFmtId="0" fontId="6" fillId="65" borderId="40" applyNumberFormat="0" applyProtection="0">
      <alignment horizontal="left" vertical="center" indent="1"/>
    </xf>
    <xf numFmtId="4" fontId="44" fillId="61" borderId="40" applyNumberFormat="0" applyProtection="0">
      <alignment horizontal="left" vertical="center" indent="1"/>
    </xf>
    <xf numFmtId="4" fontId="44" fillId="72" borderId="40" applyNumberFormat="0" applyProtection="0">
      <alignment horizontal="right" vertical="center"/>
    </xf>
    <xf numFmtId="0" fontId="9" fillId="23" borderId="42" applyNumberFormat="0" applyFont="0" applyAlignment="0" applyProtection="0"/>
    <xf numFmtId="0" fontId="21" fillId="20" borderId="40" applyNumberFormat="0" applyAlignment="0" applyProtection="0"/>
    <xf numFmtId="0" fontId="32" fillId="7" borderId="37" applyNumberFormat="0" applyAlignment="0" applyProtection="0"/>
    <xf numFmtId="4" fontId="44" fillId="74" borderId="47" applyNumberFormat="0" applyProtection="0">
      <alignment horizontal="left" vertical="center" indent="1"/>
    </xf>
    <xf numFmtId="0" fontId="6" fillId="65" borderId="47" applyNumberFormat="0" applyProtection="0">
      <alignment horizontal="left" vertical="center" indent="1"/>
    </xf>
    <xf numFmtId="0" fontId="73" fillId="65" borderId="34"/>
    <xf numFmtId="0" fontId="6" fillId="65" borderId="47" applyNumberFormat="0" applyProtection="0">
      <alignment horizontal="left" vertical="center" indent="1"/>
    </xf>
    <xf numFmtId="0" fontId="45" fillId="43" borderId="25" applyNumberFormat="0" applyAlignment="0" applyProtection="0"/>
    <xf numFmtId="0" fontId="4" fillId="0" borderId="0"/>
    <xf numFmtId="4" fontId="44" fillId="40" borderId="35" applyNumberFormat="0" applyProtection="0">
      <alignment vertical="center"/>
    </xf>
    <xf numFmtId="4" fontId="88" fillId="40" borderId="35" applyNumberFormat="0" applyProtection="0">
      <alignment vertical="center"/>
    </xf>
    <xf numFmtId="4" fontId="44" fillId="40" borderId="35" applyNumberFormat="0" applyProtection="0">
      <alignment horizontal="left" vertical="center" indent="1"/>
    </xf>
    <xf numFmtId="4" fontId="44" fillId="40" borderId="35" applyNumberFormat="0" applyProtection="0">
      <alignment horizontal="left" vertical="center" indent="1"/>
    </xf>
    <xf numFmtId="0" fontId="6" fillId="65" borderId="35" applyNumberFormat="0" applyProtection="0">
      <alignment horizontal="left" vertical="center" indent="1"/>
    </xf>
    <xf numFmtId="4" fontId="44" fillId="25" borderId="35" applyNumberFormat="0" applyProtection="0">
      <alignment horizontal="right" vertical="center"/>
    </xf>
    <xf numFmtId="4" fontId="44" fillId="66" borderId="35" applyNumberFormat="0" applyProtection="0">
      <alignment horizontal="right" vertical="center"/>
    </xf>
    <xf numFmtId="4" fontId="44" fillId="39" borderId="35" applyNumberFormat="0" applyProtection="0">
      <alignment horizontal="right" vertical="center"/>
    </xf>
    <xf numFmtId="4" fontId="44" fillId="67" borderId="35" applyNumberFormat="0" applyProtection="0">
      <alignment horizontal="right" vertical="center"/>
    </xf>
    <xf numFmtId="4" fontId="44" fillId="68" borderId="35" applyNumberFormat="0" applyProtection="0">
      <alignment horizontal="right" vertical="center"/>
    </xf>
    <xf numFmtId="4" fontId="44" fillId="69" borderId="35" applyNumberFormat="0" applyProtection="0">
      <alignment horizontal="right" vertical="center"/>
    </xf>
    <xf numFmtId="4" fontId="44" fillId="42" borderId="35" applyNumberFormat="0" applyProtection="0">
      <alignment horizontal="right" vertical="center"/>
    </xf>
    <xf numFmtId="4" fontId="44" fillId="41" borderId="35" applyNumberFormat="0" applyProtection="0">
      <alignment horizontal="right" vertical="center"/>
    </xf>
    <xf numFmtId="4" fontId="44" fillId="70" borderId="35" applyNumberFormat="0" applyProtection="0">
      <alignment horizontal="right" vertical="center"/>
    </xf>
    <xf numFmtId="4" fontId="72" fillId="71" borderId="35" applyNumberFormat="0" applyProtection="0">
      <alignment horizontal="left" vertical="center" indent="1"/>
    </xf>
    <xf numFmtId="4" fontId="44" fillId="72" borderId="36" applyNumberFormat="0" applyProtection="0">
      <alignment horizontal="left" vertical="center" indent="1"/>
    </xf>
    <xf numFmtId="0" fontId="6" fillId="65" borderId="35" applyNumberFormat="0" applyProtection="0">
      <alignment horizontal="left" vertical="center" indent="1"/>
    </xf>
    <xf numFmtId="4" fontId="44" fillId="72" borderId="35" applyNumberFormat="0" applyProtection="0">
      <alignment horizontal="left" vertical="center" indent="1"/>
    </xf>
    <xf numFmtId="4" fontId="44" fillId="74" borderId="35" applyNumberFormat="0" applyProtection="0">
      <alignment horizontal="left" vertical="center" indent="1"/>
    </xf>
    <xf numFmtId="0" fontId="6" fillId="74" borderId="35" applyNumberFormat="0" applyProtection="0">
      <alignment horizontal="left" vertical="center" indent="1"/>
    </xf>
    <xf numFmtId="0" fontId="6" fillId="74" borderId="35" applyNumberFormat="0" applyProtection="0">
      <alignment horizontal="left" vertical="center" indent="1"/>
    </xf>
    <xf numFmtId="0" fontId="6" fillId="75" borderId="35" applyNumberFormat="0" applyProtection="0">
      <alignment horizontal="left" vertical="center" indent="1"/>
    </xf>
    <xf numFmtId="0" fontId="6" fillId="75" borderId="35" applyNumberFormat="0" applyProtection="0">
      <alignment horizontal="left" vertical="center" indent="1"/>
    </xf>
    <xf numFmtId="0" fontId="6" fillId="37" borderId="35" applyNumberFormat="0" applyProtection="0">
      <alignment horizontal="left" vertical="center" indent="1"/>
    </xf>
    <xf numFmtId="0" fontId="6" fillId="37" borderId="35" applyNumberFormat="0" applyProtection="0">
      <alignment horizontal="left" vertical="center" indent="1"/>
    </xf>
    <xf numFmtId="0" fontId="6" fillId="65" borderId="35" applyNumberFormat="0" applyProtection="0">
      <alignment horizontal="left" vertical="center" indent="1"/>
    </xf>
    <xf numFmtId="0" fontId="6" fillId="65" borderId="35" applyNumberFormat="0" applyProtection="0">
      <alignment horizontal="left" vertical="center" indent="1"/>
    </xf>
    <xf numFmtId="0" fontId="6" fillId="74" borderId="47" applyNumberFormat="0" applyProtection="0">
      <alignment horizontal="left" vertical="center" indent="1"/>
    </xf>
    <xf numFmtId="4" fontId="44" fillId="61" borderId="35" applyNumberFormat="0" applyProtection="0">
      <alignment vertical="center"/>
    </xf>
    <xf numFmtId="4" fontId="88" fillId="61" borderId="35" applyNumberFormat="0" applyProtection="0">
      <alignment vertical="center"/>
    </xf>
    <xf numFmtId="4" fontId="44" fillId="61" borderId="35" applyNumberFormat="0" applyProtection="0">
      <alignment horizontal="left" vertical="center" indent="1"/>
    </xf>
    <xf numFmtId="4" fontId="44" fillId="61" borderId="35" applyNumberFormat="0" applyProtection="0">
      <alignment horizontal="left" vertical="center" indent="1"/>
    </xf>
    <xf numFmtId="4" fontId="44" fillId="72" borderId="35" applyNumberFormat="0" applyProtection="0">
      <alignment horizontal="right" vertical="center"/>
    </xf>
    <xf numFmtId="4" fontId="88" fillId="72" borderId="35" applyNumberFormat="0" applyProtection="0">
      <alignment horizontal="right" vertical="center"/>
    </xf>
    <xf numFmtId="0" fontId="6" fillId="65" borderId="35" applyNumberFormat="0" applyProtection="0">
      <alignment horizontal="left" vertical="center" indent="1"/>
    </xf>
    <xf numFmtId="0" fontId="6" fillId="65" borderId="35" applyNumberFormat="0" applyProtection="0">
      <alignment horizontal="left" vertical="center" indent="1"/>
    </xf>
    <xf numFmtId="4" fontId="91" fillId="72" borderId="35" applyNumberFormat="0" applyProtection="0">
      <alignment horizontal="right" vertical="center"/>
    </xf>
    <xf numFmtId="0" fontId="6" fillId="65" borderId="47" applyNumberFormat="0" applyProtection="0">
      <alignment horizontal="left" vertical="center" indent="1"/>
    </xf>
    <xf numFmtId="4" fontId="72" fillId="71" borderId="47" applyNumberFormat="0" applyProtection="0">
      <alignment horizontal="left" vertical="center" indent="1"/>
    </xf>
    <xf numFmtId="4" fontId="44" fillId="39" borderId="40" applyNumberFormat="0" applyProtection="0">
      <alignment horizontal="right" vertical="center"/>
    </xf>
    <xf numFmtId="4" fontId="44" fillId="61" borderId="40" applyNumberFormat="0" applyProtection="0">
      <alignment horizontal="left" vertical="center" indent="1"/>
    </xf>
    <xf numFmtId="4" fontId="44" fillId="70" borderId="47" applyNumberFormat="0" applyProtection="0">
      <alignment horizontal="right" vertical="center"/>
    </xf>
    <xf numFmtId="0" fontId="6" fillId="74" borderId="40" applyNumberFormat="0" applyProtection="0">
      <alignment horizontal="left" vertical="center" indent="1"/>
    </xf>
    <xf numFmtId="198" fontId="7" fillId="0" borderId="46" applyFill="0">
      <alignment horizontal="center" vertical="center"/>
    </xf>
    <xf numFmtId="4" fontId="88" fillId="61" borderId="40" applyNumberFormat="0" applyProtection="0">
      <alignment vertical="center"/>
    </xf>
    <xf numFmtId="4" fontId="44" fillId="40" borderId="40" applyNumberFormat="0" applyProtection="0">
      <alignment horizontal="left" vertical="center" indent="1"/>
    </xf>
    <xf numFmtId="4" fontId="44" fillId="39" borderId="40" applyNumberFormat="0" applyProtection="0">
      <alignment horizontal="right" vertical="center"/>
    </xf>
    <xf numFmtId="0" fontId="45" fillId="43" borderId="25" applyNumberFormat="0" applyAlignment="0" applyProtection="0"/>
    <xf numFmtId="4" fontId="88" fillId="61" borderId="47" applyNumberFormat="0" applyProtection="0">
      <alignment vertical="center"/>
    </xf>
    <xf numFmtId="4" fontId="44" fillId="61" borderId="40" applyNumberFormat="0" applyProtection="0">
      <alignment horizontal="left" vertical="center" indent="1"/>
    </xf>
    <xf numFmtId="4" fontId="44" fillId="61" borderId="40" applyNumberFormat="0" applyProtection="0">
      <alignment vertical="center"/>
    </xf>
    <xf numFmtId="4" fontId="88" fillId="61" borderId="40" applyNumberFormat="0" applyProtection="0">
      <alignment vertical="center"/>
    </xf>
    <xf numFmtId="0" fontId="45" fillId="43" borderId="25" applyNumberFormat="0" applyAlignment="0" applyProtection="0"/>
    <xf numFmtId="0" fontId="4" fillId="0" borderId="0"/>
    <xf numFmtId="4" fontId="88" fillId="40" borderId="40" applyNumberFormat="0" applyProtection="0">
      <alignment vertical="center"/>
    </xf>
    <xf numFmtId="9" fontId="4" fillId="0" borderId="0" applyFont="0" applyFill="0" applyBorder="0" applyAlignment="0" applyProtection="0"/>
    <xf numFmtId="0" fontId="6" fillId="65" borderId="40" applyNumberFormat="0" applyProtection="0">
      <alignment horizontal="left" vertical="center" indent="1"/>
    </xf>
    <xf numFmtId="10" fontId="6" fillId="61" borderId="39" applyNumberFormat="0" applyBorder="0" applyAlignment="0" applyProtection="0"/>
    <xf numFmtId="0" fontId="6" fillId="37" borderId="47" applyNumberFormat="0" applyProtection="0">
      <alignment horizontal="left" vertical="center" indent="1"/>
    </xf>
    <xf numFmtId="4" fontId="44" fillId="25" borderId="47" applyNumberFormat="0" applyProtection="0">
      <alignment horizontal="right" vertical="center"/>
    </xf>
    <xf numFmtId="4" fontId="44" fillId="39" borderId="47" applyNumberFormat="0" applyProtection="0">
      <alignment horizontal="right" vertical="center"/>
    </xf>
    <xf numFmtId="4" fontId="44" fillId="61" borderId="47" applyNumberFormat="0" applyProtection="0">
      <alignment horizontal="left" vertical="center" indent="1"/>
    </xf>
    <xf numFmtId="4" fontId="88" fillId="61" borderId="47" applyNumberFormat="0" applyProtection="0">
      <alignment vertical="center"/>
    </xf>
    <xf numFmtId="0" fontId="4" fillId="0" borderId="0"/>
    <xf numFmtId="4" fontId="44" fillId="66" borderId="40" applyNumberFormat="0" applyProtection="0">
      <alignment horizontal="right" vertical="center"/>
    </xf>
    <xf numFmtId="0" fontId="7" fillId="0" borderId="39" applyFill="0">
      <alignment horizontal="center" vertical="center"/>
    </xf>
    <xf numFmtId="0" fontId="33" fillId="27" borderId="37" applyNumberFormat="0" applyAlignment="0" applyProtection="0"/>
    <xf numFmtId="4" fontId="44" fillId="40" borderId="47" applyNumberFormat="0" applyProtection="0">
      <alignment horizontal="left" vertical="center" indent="1"/>
    </xf>
    <xf numFmtId="0" fontId="32" fillId="7" borderId="37" applyNumberFormat="0" applyAlignment="0" applyProtection="0"/>
    <xf numFmtId="0" fontId="53" fillId="0" borderId="38"/>
    <xf numFmtId="0" fontId="6" fillId="65" borderId="47" applyNumberFormat="0" applyProtection="0">
      <alignment horizontal="left" vertical="center" indent="1"/>
    </xf>
    <xf numFmtId="0" fontId="6" fillId="74" borderId="40" applyNumberFormat="0" applyProtection="0">
      <alignment horizontal="left" vertical="center" indent="1"/>
    </xf>
    <xf numFmtId="0" fontId="8" fillId="0" borderId="43" applyNumberFormat="0" applyFill="0" applyAlignment="0" applyProtection="0"/>
    <xf numFmtId="4" fontId="44" fillId="25" borderId="40" applyNumberFormat="0" applyProtection="0">
      <alignment horizontal="right" vertical="center"/>
    </xf>
    <xf numFmtId="4" fontId="44" fillId="67" borderId="40" applyNumberFormat="0" applyProtection="0">
      <alignment horizontal="right" vertical="center"/>
    </xf>
    <xf numFmtId="4" fontId="44" fillId="40" borderId="40" applyNumberFormat="0" applyProtection="0">
      <alignment horizontal="left" vertical="center" indent="1"/>
    </xf>
    <xf numFmtId="0" fontId="53" fillId="0" borderId="33"/>
    <xf numFmtId="10" fontId="6" fillId="61" borderId="34" applyNumberFormat="0" applyBorder="0" applyAlignment="0" applyProtection="0"/>
    <xf numFmtId="0" fontId="82" fillId="0" borderId="34" applyFill="0">
      <alignment horizontal="center" vertical="center"/>
    </xf>
    <xf numFmtId="0" fontId="7" fillId="0" borderId="34" applyFill="0">
      <alignment horizontal="center" vertical="center"/>
    </xf>
    <xf numFmtId="198" fontId="7" fillId="0" borderId="34" applyFill="0">
      <alignment horizontal="center" vertical="center"/>
    </xf>
    <xf numFmtId="0" fontId="73" fillId="65" borderId="34"/>
    <xf numFmtId="0" fontId="6" fillId="74" borderId="47" applyNumberFormat="0" applyProtection="0">
      <alignment horizontal="left" vertical="center" indent="1"/>
    </xf>
    <xf numFmtId="4" fontId="44" fillId="74" borderId="40" applyNumberFormat="0" applyProtection="0">
      <alignment horizontal="left" vertical="center" indent="1"/>
    </xf>
    <xf numFmtId="4" fontId="44" fillId="66" borderId="47" applyNumberFormat="0" applyProtection="0">
      <alignment horizontal="right" vertical="center"/>
    </xf>
    <xf numFmtId="4" fontId="44" fillId="72" borderId="36" applyNumberFormat="0" applyProtection="0">
      <alignment horizontal="left" vertical="center" indent="1"/>
    </xf>
    <xf numFmtId="0" fontId="6" fillId="74" borderId="40" applyNumberFormat="0" applyProtection="0">
      <alignment horizontal="left" vertical="center" indent="1"/>
    </xf>
    <xf numFmtId="4" fontId="44" fillId="39" borderId="47" applyNumberFormat="0" applyProtection="0">
      <alignment horizontal="right" vertical="center"/>
    </xf>
    <xf numFmtId="9" fontId="4" fillId="0" borderId="0" applyFont="0" applyFill="0" applyBorder="0" applyAlignment="0" applyProtection="0"/>
    <xf numFmtId="4" fontId="44" fillId="72" borderId="47" applyNumberFormat="0" applyProtection="0">
      <alignment horizontal="left" vertical="center" indent="1"/>
    </xf>
    <xf numFmtId="4" fontId="44" fillId="68" borderId="47" applyNumberFormat="0" applyProtection="0">
      <alignment horizontal="right" vertical="center"/>
    </xf>
    <xf numFmtId="0" fontId="6" fillId="65" borderId="47" applyNumberFormat="0" applyProtection="0">
      <alignment horizontal="left" vertical="center" indent="1"/>
    </xf>
    <xf numFmtId="4" fontId="44" fillId="42" borderId="40" applyNumberFormat="0" applyProtection="0">
      <alignment horizontal="right" vertical="center"/>
    </xf>
    <xf numFmtId="0" fontId="21" fillId="20" borderId="47" applyNumberFormat="0" applyAlignment="0" applyProtection="0"/>
    <xf numFmtId="4" fontId="44" fillId="68" borderId="40" applyNumberFormat="0" applyProtection="0">
      <alignment horizontal="right" vertical="center"/>
    </xf>
    <xf numFmtId="4" fontId="88" fillId="72" borderId="47" applyNumberFormat="0" applyProtection="0">
      <alignment horizontal="right" vertical="center"/>
    </xf>
    <xf numFmtId="0" fontId="6" fillId="75" borderId="40" applyNumberFormat="0" applyProtection="0">
      <alignment horizontal="left" vertical="center" indent="1"/>
    </xf>
    <xf numFmtId="4" fontId="88" fillId="72" borderId="40" applyNumberFormat="0" applyProtection="0">
      <alignment horizontal="right" vertical="center"/>
    </xf>
    <xf numFmtId="0" fontId="6" fillId="65" borderId="40" applyNumberFormat="0" applyProtection="0">
      <alignment horizontal="left" vertical="center" indent="1"/>
    </xf>
    <xf numFmtId="0" fontId="32" fillId="7" borderId="44" applyNumberFormat="0" applyAlignment="0" applyProtection="0"/>
    <xf numFmtId="0" fontId="6" fillId="75" borderId="40" applyNumberFormat="0" applyProtection="0">
      <alignment horizontal="left" vertical="center" indent="1"/>
    </xf>
    <xf numFmtId="0" fontId="4" fillId="0" borderId="0"/>
    <xf numFmtId="4" fontId="44" fillId="66" borderId="47" applyNumberFormat="0" applyProtection="0">
      <alignment horizontal="right" vertical="center"/>
    </xf>
    <xf numFmtId="4" fontId="91" fillId="72" borderId="47" applyNumberFormat="0" applyProtection="0">
      <alignment horizontal="right" vertical="center"/>
    </xf>
    <xf numFmtId="0" fontId="6" fillId="65" borderId="40" applyNumberFormat="0" applyProtection="0">
      <alignment horizontal="left" vertical="center" indent="1"/>
    </xf>
    <xf numFmtId="4" fontId="91" fillId="72" borderId="40" applyNumberFormat="0" applyProtection="0">
      <alignment horizontal="right" vertical="center"/>
    </xf>
    <xf numFmtId="0" fontId="45" fillId="43" borderId="25" applyNumberFormat="0" applyAlignment="0" applyProtection="0"/>
    <xf numFmtId="4" fontId="44" fillId="72" borderId="40" applyNumberFormat="0" applyProtection="0">
      <alignment horizontal="left" vertical="center" indent="1"/>
    </xf>
    <xf numFmtId="10" fontId="6" fillId="61" borderId="39" applyNumberFormat="0" applyBorder="0" applyAlignment="0" applyProtection="0"/>
    <xf numFmtId="4" fontId="88" fillId="40" borderId="47" applyNumberFormat="0" applyProtection="0">
      <alignment vertical="center"/>
    </xf>
    <xf numFmtId="0" fontId="4" fillId="0" borderId="0"/>
    <xf numFmtId="0" fontId="33" fillId="27" borderId="37" applyNumberFormat="0" applyAlignment="0" applyProtection="0"/>
    <xf numFmtId="0" fontId="6" fillId="65" borderId="40" applyNumberFormat="0" applyProtection="0">
      <alignment horizontal="left" vertical="center" indent="1"/>
    </xf>
    <xf numFmtId="4" fontId="88" fillId="72" borderId="40" applyNumberFormat="0" applyProtection="0">
      <alignment horizontal="right" vertical="center"/>
    </xf>
    <xf numFmtId="4" fontId="44" fillId="72" borderId="40" applyNumberFormat="0" applyProtection="0">
      <alignment horizontal="left" vertical="center" indent="1"/>
    </xf>
    <xf numFmtId="4" fontId="44" fillId="72" borderId="41" applyNumberFormat="0" applyProtection="0">
      <alignment horizontal="left" vertical="center" indent="1"/>
    </xf>
    <xf numFmtId="4" fontId="44" fillId="70" borderId="40" applyNumberFormat="0" applyProtection="0">
      <alignment horizontal="right" vertical="center"/>
    </xf>
    <xf numFmtId="4" fontId="44" fillId="42" borderId="40" applyNumberFormat="0" applyProtection="0">
      <alignment horizontal="right" vertical="center"/>
    </xf>
    <xf numFmtId="0" fontId="8" fillId="0" borderId="43" applyNumberFormat="0" applyFill="0" applyAlignment="0" applyProtection="0"/>
    <xf numFmtId="4" fontId="44" fillId="40" borderId="47" applyNumberFormat="0" applyProtection="0">
      <alignment horizontal="left" vertical="center" indent="1"/>
    </xf>
    <xf numFmtId="4" fontId="44" fillId="72" borderId="40" applyNumberFormat="0" applyProtection="0">
      <alignment horizontal="right" vertical="center"/>
    </xf>
    <xf numFmtId="0" fontId="6" fillId="74" borderId="47" applyNumberFormat="0" applyProtection="0">
      <alignment horizontal="left" vertical="center" indent="1"/>
    </xf>
    <xf numFmtId="0" fontId="6" fillId="75" borderId="47" applyNumberFormat="0" applyProtection="0">
      <alignment horizontal="left" vertical="center" indent="1"/>
    </xf>
    <xf numFmtId="0" fontId="6" fillId="65" borderId="40" applyNumberFormat="0" applyProtection="0">
      <alignment horizontal="left" vertical="center" indent="1"/>
    </xf>
    <xf numFmtId="4" fontId="44" fillId="72" borderId="47" applyNumberFormat="0" applyProtection="0">
      <alignment horizontal="right" vertical="center"/>
    </xf>
    <xf numFmtId="0" fontId="6" fillId="37" borderId="47" applyNumberFormat="0" applyProtection="0">
      <alignment horizontal="left" vertical="center" indent="1"/>
    </xf>
    <xf numFmtId="4" fontId="44" fillId="40" borderId="40" applyNumberFormat="0" applyProtection="0">
      <alignment vertical="center"/>
    </xf>
    <xf numFmtId="0" fontId="21" fillId="20" borderId="47" applyNumberFormat="0" applyAlignment="0" applyProtection="0"/>
    <xf numFmtId="4" fontId="44" fillId="61" borderId="47" applyNumberFormat="0" applyProtection="0">
      <alignment vertical="center"/>
    </xf>
    <xf numFmtId="9" fontId="4" fillId="0" borderId="0" applyFont="0" applyFill="0" applyBorder="0" applyAlignment="0" applyProtection="0"/>
    <xf numFmtId="4" fontId="44" fillId="40" borderId="40" applyNumberFormat="0" applyProtection="0">
      <alignment horizontal="left" vertical="center" indent="1"/>
    </xf>
    <xf numFmtId="0" fontId="33" fillId="27" borderId="37" applyNumberFormat="0" applyAlignment="0" applyProtection="0"/>
    <xf numFmtId="4" fontId="44" fillId="69" borderId="40" applyNumberFormat="0" applyProtection="0">
      <alignment horizontal="right" vertical="center"/>
    </xf>
    <xf numFmtId="0" fontId="6" fillId="65" borderId="40" applyNumberFormat="0" applyProtection="0">
      <alignment horizontal="left" vertical="center" indent="1"/>
    </xf>
    <xf numFmtId="4" fontId="44" fillId="61" borderId="47" applyNumberFormat="0" applyProtection="0">
      <alignment horizontal="left" vertical="center" indent="1"/>
    </xf>
    <xf numFmtId="0" fontId="6" fillId="65" borderId="47" applyNumberFormat="0" applyProtection="0">
      <alignment horizontal="left" vertical="center" indent="1"/>
    </xf>
    <xf numFmtId="4" fontId="44" fillId="61" borderId="40" applyNumberFormat="0" applyProtection="0">
      <alignment vertical="center"/>
    </xf>
    <xf numFmtId="0" fontId="6" fillId="37" borderId="47" applyNumberFormat="0" applyProtection="0">
      <alignment horizontal="left" vertical="center" indent="1"/>
    </xf>
    <xf numFmtId="4" fontId="91" fillId="72" borderId="47" applyNumberFormat="0" applyProtection="0">
      <alignment horizontal="right" vertical="center"/>
    </xf>
    <xf numFmtId="0" fontId="82" fillId="0" borderId="39" applyFill="0">
      <alignment horizontal="center" vertical="center"/>
    </xf>
    <xf numFmtId="4" fontId="44" fillId="67" borderId="47" applyNumberFormat="0" applyProtection="0">
      <alignment horizontal="right" vertical="center"/>
    </xf>
    <xf numFmtId="4" fontId="44" fillId="68" borderId="40" applyNumberFormat="0" applyProtection="0">
      <alignment horizontal="right" vertical="center"/>
    </xf>
    <xf numFmtId="0" fontId="82" fillId="0" borderId="39" applyFill="0">
      <alignment horizontal="center" vertical="center"/>
    </xf>
    <xf numFmtId="0" fontId="32" fillId="7" borderId="37" applyNumberFormat="0" applyAlignment="0" applyProtection="0"/>
    <xf numFmtId="4" fontId="44" fillId="67" borderId="47" applyNumberFormat="0" applyProtection="0">
      <alignment horizontal="right" vertical="center"/>
    </xf>
    <xf numFmtId="9" fontId="4" fillId="0" borderId="0" applyFont="0" applyFill="0" applyBorder="0" applyAlignment="0" applyProtection="0"/>
    <xf numFmtId="0" fontId="32" fillId="7" borderId="44" applyNumberFormat="0" applyAlignment="0" applyProtection="0"/>
    <xf numFmtId="4" fontId="44" fillId="61" borderId="47" applyNumberFormat="0" applyProtection="0">
      <alignment horizontal="left" vertical="center" indent="1"/>
    </xf>
    <xf numFmtId="0" fontId="9" fillId="23" borderId="49" applyNumberFormat="0" applyFont="0" applyAlignment="0" applyProtection="0"/>
    <xf numFmtId="10" fontId="6" fillId="61" borderId="46" applyNumberFormat="0" applyBorder="0" applyAlignment="0" applyProtection="0"/>
    <xf numFmtId="198" fontId="7" fillId="0" borderId="46" applyFill="0">
      <alignment horizontal="center" vertical="center"/>
    </xf>
    <xf numFmtId="0" fontId="45" fillId="43" borderId="25" applyNumberFormat="0" applyAlignment="0" applyProtection="0"/>
    <xf numFmtId="0" fontId="4" fillId="0" borderId="0"/>
    <xf numFmtId="0" fontId="33" fillId="27" borderId="44" applyNumberFormat="0" applyAlignment="0" applyProtection="0"/>
    <xf numFmtId="0" fontId="6" fillId="65" borderId="47" applyNumberFormat="0" applyProtection="0">
      <alignment horizontal="left" vertical="center" indent="1"/>
    </xf>
    <xf numFmtId="4" fontId="88" fillId="72" borderId="47" applyNumberFormat="0" applyProtection="0">
      <alignment horizontal="right" vertical="center"/>
    </xf>
    <xf numFmtId="4" fontId="44" fillId="72" borderId="47" applyNumberFormat="0" applyProtection="0">
      <alignment horizontal="left" vertical="center" indent="1"/>
    </xf>
    <xf numFmtId="4" fontId="44" fillId="72" borderId="48" applyNumberFormat="0" applyProtection="0">
      <alignment horizontal="left" vertical="center" indent="1"/>
    </xf>
    <xf numFmtId="4" fontId="44" fillId="70" borderId="47" applyNumberFormat="0" applyProtection="0">
      <alignment horizontal="right" vertical="center"/>
    </xf>
    <xf numFmtId="4" fontId="44" fillId="42" borderId="47" applyNumberFormat="0" applyProtection="0">
      <alignment horizontal="right" vertical="center"/>
    </xf>
    <xf numFmtId="0" fontId="8" fillId="0" borderId="50" applyNumberFormat="0" applyFill="0" applyAlignment="0" applyProtection="0"/>
    <xf numFmtId="4" fontId="44" fillId="72" borderId="47" applyNumberFormat="0" applyProtection="0">
      <alignment horizontal="right" vertical="center"/>
    </xf>
    <xf numFmtId="0" fontId="6" fillId="65" borderId="47" applyNumberFormat="0" applyProtection="0">
      <alignment horizontal="left" vertical="center" indent="1"/>
    </xf>
    <xf numFmtId="4" fontId="44" fillId="40" borderId="47" applyNumberFormat="0" applyProtection="0">
      <alignment vertical="center"/>
    </xf>
    <xf numFmtId="9" fontId="4" fillId="0" borderId="0" applyFont="0" applyFill="0" applyBorder="0" applyAlignment="0" applyProtection="0"/>
    <xf numFmtId="4" fontId="44" fillId="40" borderId="47" applyNumberFormat="0" applyProtection="0">
      <alignment horizontal="left" vertical="center" indent="1"/>
    </xf>
    <xf numFmtId="0" fontId="33" fillId="27" borderId="44" applyNumberFormat="0" applyAlignment="0" applyProtection="0"/>
    <xf numFmtId="4" fontId="44" fillId="69" borderId="47" applyNumberFormat="0" applyProtection="0">
      <alignment horizontal="right" vertical="center"/>
    </xf>
    <xf numFmtId="0" fontId="6" fillId="65" borderId="47" applyNumberFormat="0" applyProtection="0">
      <alignment horizontal="left" vertical="center" indent="1"/>
    </xf>
    <xf numFmtId="4" fontId="44" fillId="61" borderId="47" applyNumberFormat="0" applyProtection="0">
      <alignment vertical="center"/>
    </xf>
    <xf numFmtId="0" fontId="82" fillId="0" borderId="46" applyFill="0">
      <alignment horizontal="center" vertical="center"/>
    </xf>
    <xf numFmtId="4" fontId="44" fillId="68" borderId="47" applyNumberFormat="0" applyProtection="0">
      <alignment horizontal="right" vertical="center"/>
    </xf>
    <xf numFmtId="0" fontId="82" fillId="0" borderId="46" applyFill="0">
      <alignment horizontal="center" vertical="center"/>
    </xf>
    <xf numFmtId="0" fontId="32" fillId="7" borderId="44" applyNumberFormat="0" applyAlignment="0" applyProtection="0"/>
    <xf numFmtId="43" fontId="6" fillId="0" borderId="0" applyFont="0" applyFill="0" applyBorder="0" applyAlignment="0" applyProtection="0"/>
    <xf numFmtId="0" fontId="32" fillId="7" borderId="44" applyNumberFormat="0" applyAlignment="0" applyProtection="0"/>
    <xf numFmtId="44" fontId="6"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3" fillId="27" borderId="44" applyNumberFormat="0" applyAlignment="0" applyProtection="0"/>
    <xf numFmtId="9" fontId="3" fillId="0" borderId="0" applyFont="0" applyFill="0" applyBorder="0" applyAlignment="0" applyProtection="0"/>
    <xf numFmtId="0" fontId="3" fillId="0" borderId="0"/>
    <xf numFmtId="198" fontId="7" fillId="0" borderId="46" applyFill="0">
      <alignment horizontal="center" vertical="center"/>
    </xf>
    <xf numFmtId="0" fontId="9" fillId="23" borderId="49" applyNumberFormat="0" applyFont="0" applyAlignment="0" applyProtection="0"/>
    <xf numFmtId="4" fontId="44" fillId="61" borderId="47" applyNumberFormat="0" applyProtection="0">
      <alignment horizontal="left" vertical="center" indent="1"/>
    </xf>
    <xf numFmtId="0" fontId="32" fillId="7" borderId="44" applyNumberFormat="0" applyAlignment="0" applyProtection="0"/>
    <xf numFmtId="9" fontId="3" fillId="0" borderId="0" applyFont="0" applyFill="0" applyBorder="0" applyAlignment="0" applyProtection="0"/>
    <xf numFmtId="4" fontId="44" fillId="67" borderId="47" applyNumberFormat="0" applyProtection="0">
      <alignment horizontal="right" vertical="center"/>
    </xf>
    <xf numFmtId="198" fontId="7" fillId="0" borderId="46" applyFill="0">
      <alignment horizontal="center" vertical="center"/>
    </xf>
    <xf numFmtId="0" fontId="6" fillId="65" borderId="47" applyNumberFormat="0" applyProtection="0">
      <alignment horizontal="left" vertical="center" indent="1"/>
    </xf>
    <xf numFmtId="9" fontId="3" fillId="0" borderId="0" applyFont="0" applyFill="0" applyBorder="0" applyAlignment="0" applyProtection="0"/>
    <xf numFmtId="9" fontId="3" fillId="0" borderId="0" applyFont="0" applyFill="0" applyBorder="0" applyAlignment="0" applyProtection="0"/>
    <xf numFmtId="0" fontId="21" fillId="20" borderId="47" applyNumberFormat="0" applyAlignment="0" applyProtection="0"/>
    <xf numFmtId="0" fontId="33" fillId="27" borderId="44" applyNumberFormat="0" applyAlignment="0" applyProtection="0"/>
    <xf numFmtId="4" fontId="88" fillId="40" borderId="47" applyNumberFormat="0" applyProtection="0">
      <alignment vertical="center"/>
    </xf>
    <xf numFmtId="0" fontId="53" fillId="0" borderId="45"/>
    <xf numFmtId="4" fontId="44" fillId="40" borderId="47" applyNumberFormat="0" applyProtection="0">
      <alignment horizontal="left" vertical="center" indent="1"/>
    </xf>
    <xf numFmtId="0" fontId="53" fillId="0" borderId="45"/>
    <xf numFmtId="4" fontId="44" fillId="66" borderId="47" applyNumberFormat="0" applyProtection="0">
      <alignment horizontal="right" vertical="center"/>
    </xf>
    <xf numFmtId="0" fontId="3" fillId="0" borderId="0"/>
    <xf numFmtId="4" fontId="44" fillId="41" borderId="47" applyNumberFormat="0" applyProtection="0">
      <alignment horizontal="right" vertical="center"/>
    </xf>
    <xf numFmtId="4" fontId="44" fillId="41" borderId="47" applyNumberFormat="0" applyProtection="0">
      <alignment horizontal="right" vertical="center"/>
    </xf>
    <xf numFmtId="4" fontId="72" fillId="71" borderId="47" applyNumberFormat="0" applyProtection="0">
      <alignment horizontal="left" vertical="center" indent="1"/>
    </xf>
    <xf numFmtId="0" fontId="6" fillId="65" borderId="47" applyNumberFormat="0" applyProtection="0">
      <alignment horizontal="left" vertical="center" indent="1"/>
    </xf>
    <xf numFmtId="4" fontId="44" fillId="74" borderId="47" applyNumberFormat="0" applyProtection="0">
      <alignment horizontal="left" vertical="center" indent="1"/>
    </xf>
    <xf numFmtId="0" fontId="6" fillId="65" borderId="47" applyNumberFormat="0" applyProtection="0">
      <alignment horizontal="left" vertical="center" indent="1"/>
    </xf>
    <xf numFmtId="4" fontId="91" fillId="72" borderId="47" applyNumberFormat="0" applyProtection="0">
      <alignment horizontal="right" vertical="center"/>
    </xf>
    <xf numFmtId="0" fontId="32" fillId="7" borderId="44" applyNumberFormat="0" applyAlignment="0" applyProtection="0"/>
    <xf numFmtId="10" fontId="6" fillId="61" borderId="46" applyNumberFormat="0" applyBorder="0" applyAlignment="0" applyProtection="0"/>
    <xf numFmtId="0" fontId="82" fillId="0" borderId="46" applyFill="0">
      <alignment horizontal="center" vertical="center"/>
    </xf>
    <xf numFmtId="0" fontId="7" fillId="0" borderId="46" applyFill="0">
      <alignment horizontal="center" vertical="center"/>
    </xf>
    <xf numFmtId="198" fontId="7" fillId="0" borderId="46" applyFill="0">
      <alignment horizontal="center" vertical="center"/>
    </xf>
    <xf numFmtId="0" fontId="73" fillId="65" borderId="46"/>
    <xf numFmtId="4" fontId="44" fillId="40" borderId="47" applyNumberFormat="0" applyProtection="0">
      <alignment vertical="center"/>
    </xf>
    <xf numFmtId="4" fontId="44" fillId="69" borderId="47" applyNumberFormat="0" applyProtection="0">
      <alignment horizontal="right" vertical="center"/>
    </xf>
    <xf numFmtId="4" fontId="44" fillId="70" borderId="47" applyNumberFormat="0" applyProtection="0">
      <alignment horizontal="right" vertical="center"/>
    </xf>
    <xf numFmtId="4" fontId="72" fillId="71" borderId="47" applyNumberFormat="0" applyProtection="0">
      <alignment horizontal="left" vertical="center" indent="1"/>
    </xf>
    <xf numFmtId="4" fontId="44" fillId="72" borderId="48" applyNumberFormat="0" applyProtection="0">
      <alignment horizontal="left" vertical="center" indent="1"/>
    </xf>
    <xf numFmtId="0" fontId="6" fillId="75" borderId="47" applyNumberFormat="0" applyProtection="0">
      <alignment horizontal="left" vertical="center" indent="1"/>
    </xf>
    <xf numFmtId="0" fontId="6" fillId="75" borderId="47" applyNumberFormat="0" applyProtection="0">
      <alignment horizontal="left" vertical="center" indent="1"/>
    </xf>
    <xf numFmtId="0" fontId="6" fillId="37" borderId="47" applyNumberFormat="0" applyProtection="0">
      <alignment horizontal="left" vertical="center" indent="1"/>
    </xf>
    <xf numFmtId="0" fontId="6" fillId="37" borderId="47" applyNumberFormat="0" applyProtection="0">
      <alignment horizontal="left" vertical="center" indent="1"/>
    </xf>
    <xf numFmtId="0" fontId="6" fillId="65" borderId="47" applyNumberFormat="0" applyProtection="0">
      <alignment horizontal="left" vertical="center" indent="1"/>
    </xf>
    <xf numFmtId="0" fontId="7" fillId="0" borderId="46" applyFill="0">
      <alignment horizontal="center" vertical="center"/>
    </xf>
    <xf numFmtId="0" fontId="73" fillId="65" borderId="46"/>
    <xf numFmtId="4" fontId="44" fillId="25" borderId="47" applyNumberFormat="0" applyProtection="0">
      <alignment horizontal="right" vertical="center"/>
    </xf>
    <xf numFmtId="0" fontId="6" fillId="74" borderId="47" applyNumberFormat="0" applyProtection="0">
      <alignment horizontal="left" vertical="center" indent="1"/>
    </xf>
    <xf numFmtId="0" fontId="6" fillId="37" borderId="47" applyNumberFormat="0" applyProtection="0">
      <alignment horizontal="left" vertical="center" indent="1"/>
    </xf>
    <xf numFmtId="0" fontId="6" fillId="37" borderId="47" applyNumberFormat="0" applyProtection="0">
      <alignment horizontal="left" vertical="center" indent="1"/>
    </xf>
    <xf numFmtId="0" fontId="6" fillId="65" borderId="47" applyNumberFormat="0" applyProtection="0">
      <alignment horizontal="left" vertical="center" indent="1"/>
    </xf>
    <xf numFmtId="0" fontId="6" fillId="65" borderId="47" applyNumberFormat="0" applyProtection="0">
      <alignment horizontal="left" vertical="center" indent="1"/>
    </xf>
    <xf numFmtId="4" fontId="44" fillId="61" borderId="47" applyNumberFormat="0" applyProtection="0">
      <alignment horizontal="left" vertical="center" indent="1"/>
    </xf>
    <xf numFmtId="4" fontId="44" fillId="72" borderId="47" applyNumberFormat="0" applyProtection="0">
      <alignment horizontal="right" vertical="center"/>
    </xf>
    <xf numFmtId="0" fontId="9" fillId="23" borderId="49" applyNumberFormat="0" applyFont="0" applyAlignment="0" applyProtection="0"/>
    <xf numFmtId="0" fontId="21" fillId="20" borderId="47" applyNumberFormat="0" applyAlignment="0" applyProtection="0"/>
    <xf numFmtId="0" fontId="32" fillId="7" borderId="44" applyNumberFormat="0" applyAlignment="0" applyProtection="0"/>
    <xf numFmtId="0" fontId="73" fillId="65" borderId="46"/>
    <xf numFmtId="0" fontId="3" fillId="0" borderId="0"/>
    <xf numFmtId="4" fontId="44" fillId="40" borderId="47" applyNumberFormat="0" applyProtection="0">
      <alignment vertical="center"/>
    </xf>
    <xf numFmtId="4" fontId="88" fillId="40" borderId="47" applyNumberFormat="0" applyProtection="0">
      <alignment vertical="center"/>
    </xf>
    <xf numFmtId="4" fontId="44" fillId="40" borderId="47" applyNumberFormat="0" applyProtection="0">
      <alignment horizontal="left" vertical="center" indent="1"/>
    </xf>
    <xf numFmtId="4" fontId="44" fillId="40" borderId="47" applyNumberFormat="0" applyProtection="0">
      <alignment horizontal="left" vertical="center" indent="1"/>
    </xf>
    <xf numFmtId="0" fontId="6" fillId="65" borderId="47" applyNumberFormat="0" applyProtection="0">
      <alignment horizontal="left" vertical="center" indent="1"/>
    </xf>
    <xf numFmtId="4" fontId="44" fillId="25" borderId="47" applyNumberFormat="0" applyProtection="0">
      <alignment horizontal="right" vertical="center"/>
    </xf>
    <xf numFmtId="4" fontId="44" fillId="66" borderId="47" applyNumberFormat="0" applyProtection="0">
      <alignment horizontal="right" vertical="center"/>
    </xf>
    <xf numFmtId="4" fontId="44" fillId="39" borderId="47" applyNumberFormat="0" applyProtection="0">
      <alignment horizontal="right" vertical="center"/>
    </xf>
    <xf numFmtId="4" fontId="44" fillId="67" borderId="47" applyNumberFormat="0" applyProtection="0">
      <alignment horizontal="right" vertical="center"/>
    </xf>
    <xf numFmtId="4" fontId="44" fillId="68" borderId="47" applyNumberFormat="0" applyProtection="0">
      <alignment horizontal="right" vertical="center"/>
    </xf>
    <xf numFmtId="4" fontId="44" fillId="69" borderId="47" applyNumberFormat="0" applyProtection="0">
      <alignment horizontal="right" vertical="center"/>
    </xf>
    <xf numFmtId="4" fontId="44" fillId="42" borderId="47" applyNumberFormat="0" applyProtection="0">
      <alignment horizontal="right" vertical="center"/>
    </xf>
    <xf numFmtId="4" fontId="44" fillId="41" borderId="47" applyNumberFormat="0" applyProtection="0">
      <alignment horizontal="right" vertical="center"/>
    </xf>
    <xf numFmtId="4" fontId="44" fillId="70" borderId="47" applyNumberFormat="0" applyProtection="0">
      <alignment horizontal="right" vertical="center"/>
    </xf>
    <xf numFmtId="4" fontId="72" fillId="71" borderId="47" applyNumberFormat="0" applyProtection="0">
      <alignment horizontal="left" vertical="center" indent="1"/>
    </xf>
    <xf numFmtId="4" fontId="44" fillId="72" borderId="48" applyNumberFormat="0" applyProtection="0">
      <alignment horizontal="left" vertical="center" indent="1"/>
    </xf>
    <xf numFmtId="0" fontId="6" fillId="65" borderId="47" applyNumberFormat="0" applyProtection="0">
      <alignment horizontal="left" vertical="center" indent="1"/>
    </xf>
    <xf numFmtId="4" fontId="44" fillId="72" borderId="47" applyNumberFormat="0" applyProtection="0">
      <alignment horizontal="left" vertical="center" indent="1"/>
    </xf>
    <xf numFmtId="4" fontId="44" fillId="74" borderId="47" applyNumberFormat="0" applyProtection="0">
      <alignment horizontal="left" vertical="center" indent="1"/>
    </xf>
    <xf numFmtId="0" fontId="6" fillId="74" borderId="47" applyNumberFormat="0" applyProtection="0">
      <alignment horizontal="left" vertical="center" indent="1"/>
    </xf>
    <xf numFmtId="0" fontId="6" fillId="74" borderId="47" applyNumberFormat="0" applyProtection="0">
      <alignment horizontal="left" vertical="center" indent="1"/>
    </xf>
    <xf numFmtId="0" fontId="6" fillId="75" borderId="47" applyNumberFormat="0" applyProtection="0">
      <alignment horizontal="left" vertical="center" indent="1"/>
    </xf>
    <xf numFmtId="0" fontId="6" fillId="75" borderId="47" applyNumberFormat="0" applyProtection="0">
      <alignment horizontal="left" vertical="center" indent="1"/>
    </xf>
    <xf numFmtId="0" fontId="6" fillId="37" borderId="47" applyNumberFormat="0" applyProtection="0">
      <alignment horizontal="left" vertical="center" indent="1"/>
    </xf>
    <xf numFmtId="0" fontId="6" fillId="37" borderId="47" applyNumberFormat="0" applyProtection="0">
      <alignment horizontal="left" vertical="center" indent="1"/>
    </xf>
    <xf numFmtId="0" fontId="6" fillId="65" borderId="47" applyNumberFormat="0" applyProtection="0">
      <alignment horizontal="left" vertical="center" indent="1"/>
    </xf>
    <xf numFmtId="0" fontId="6" fillId="65" borderId="47" applyNumberFormat="0" applyProtection="0">
      <alignment horizontal="left" vertical="center" indent="1"/>
    </xf>
    <xf numFmtId="4" fontId="44" fillId="61" borderId="47" applyNumberFormat="0" applyProtection="0">
      <alignment vertical="center"/>
    </xf>
    <xf numFmtId="4" fontId="88" fillId="61" borderId="47" applyNumberFormat="0" applyProtection="0">
      <alignment vertical="center"/>
    </xf>
    <xf numFmtId="4" fontId="44" fillId="61" borderId="47" applyNumberFormat="0" applyProtection="0">
      <alignment horizontal="left" vertical="center" indent="1"/>
    </xf>
    <xf numFmtId="4" fontId="44" fillId="61" borderId="47" applyNumberFormat="0" applyProtection="0">
      <alignment horizontal="left" vertical="center" indent="1"/>
    </xf>
    <xf numFmtId="4" fontId="44" fillId="72" borderId="47" applyNumberFormat="0" applyProtection="0">
      <alignment horizontal="right" vertical="center"/>
    </xf>
    <xf numFmtId="4" fontId="88" fillId="72" borderId="47" applyNumberFormat="0" applyProtection="0">
      <alignment horizontal="right" vertical="center"/>
    </xf>
    <xf numFmtId="0" fontId="6" fillId="65" borderId="47" applyNumberFormat="0" applyProtection="0">
      <alignment horizontal="left" vertical="center" indent="1"/>
    </xf>
    <xf numFmtId="0" fontId="6" fillId="65" borderId="47" applyNumberFormat="0" applyProtection="0">
      <alignment horizontal="left" vertical="center" indent="1"/>
    </xf>
    <xf numFmtId="4" fontId="91" fillId="72" borderId="47" applyNumberFormat="0" applyProtection="0">
      <alignment horizontal="right" vertical="center"/>
    </xf>
    <xf numFmtId="4" fontId="44" fillId="39" borderId="47" applyNumberFormat="0" applyProtection="0">
      <alignment horizontal="right" vertical="center"/>
    </xf>
    <xf numFmtId="4" fontId="44" fillId="61" borderId="47" applyNumberFormat="0" applyProtection="0">
      <alignment horizontal="left" vertical="center" indent="1"/>
    </xf>
    <xf numFmtId="0" fontId="6" fillId="74" borderId="47" applyNumberFormat="0" applyProtection="0">
      <alignment horizontal="left" vertical="center" indent="1"/>
    </xf>
    <xf numFmtId="4" fontId="88" fillId="61" borderId="47" applyNumberFormat="0" applyProtection="0">
      <alignment vertical="center"/>
    </xf>
    <xf numFmtId="4" fontId="44" fillId="40" borderId="47" applyNumberFormat="0" applyProtection="0">
      <alignment horizontal="left" vertical="center" indent="1"/>
    </xf>
    <xf numFmtId="4" fontId="44" fillId="39" borderId="47" applyNumberFormat="0" applyProtection="0">
      <alignment horizontal="right" vertical="center"/>
    </xf>
    <xf numFmtId="4" fontId="44" fillId="61" borderId="47" applyNumberFormat="0" applyProtection="0">
      <alignment horizontal="left" vertical="center" indent="1"/>
    </xf>
    <xf numFmtId="4" fontId="44" fillId="61" borderId="47" applyNumberFormat="0" applyProtection="0">
      <alignment vertical="center"/>
    </xf>
    <xf numFmtId="4" fontId="88" fillId="61" borderId="47" applyNumberFormat="0" applyProtection="0">
      <alignment vertical="center"/>
    </xf>
    <xf numFmtId="0" fontId="3" fillId="0" borderId="0"/>
    <xf numFmtId="4" fontId="88" fillId="40" borderId="47" applyNumberFormat="0" applyProtection="0">
      <alignment vertical="center"/>
    </xf>
    <xf numFmtId="9" fontId="3" fillId="0" borderId="0" applyFont="0" applyFill="0" applyBorder="0" applyAlignment="0" applyProtection="0"/>
    <xf numFmtId="0" fontId="6" fillId="65" borderId="47" applyNumberFormat="0" applyProtection="0">
      <alignment horizontal="left" vertical="center" indent="1"/>
    </xf>
    <xf numFmtId="10" fontId="6" fillId="61" borderId="46" applyNumberFormat="0" applyBorder="0" applyAlignment="0" applyProtection="0"/>
    <xf numFmtId="0" fontId="3" fillId="0" borderId="0"/>
    <xf numFmtId="4" fontId="44" fillId="66" borderId="47" applyNumberFormat="0" applyProtection="0">
      <alignment horizontal="right" vertical="center"/>
    </xf>
    <xf numFmtId="0" fontId="7" fillId="0" borderId="46" applyFill="0">
      <alignment horizontal="center" vertical="center"/>
    </xf>
    <xf numFmtId="0" fontId="33" fillId="27" borderId="44" applyNumberFormat="0" applyAlignment="0" applyProtection="0"/>
    <xf numFmtId="0" fontId="32" fillId="7" borderId="44" applyNumberFormat="0" applyAlignment="0" applyProtection="0"/>
    <xf numFmtId="0" fontId="53" fillId="0" borderId="45"/>
    <xf numFmtId="0" fontId="6" fillId="74" borderId="47" applyNumberFormat="0" applyProtection="0">
      <alignment horizontal="left" vertical="center" indent="1"/>
    </xf>
    <xf numFmtId="0" fontId="8" fillId="0" borderId="50" applyNumberFormat="0" applyFill="0" applyAlignment="0" applyProtection="0"/>
    <xf numFmtId="4" fontId="44" fillId="25" borderId="47" applyNumberFormat="0" applyProtection="0">
      <alignment horizontal="right" vertical="center"/>
    </xf>
    <xf numFmtId="4" fontId="44" fillId="67" borderId="47" applyNumberFormat="0" applyProtection="0">
      <alignment horizontal="right" vertical="center"/>
    </xf>
    <xf numFmtId="4" fontId="44" fillId="40" borderId="47" applyNumberFormat="0" applyProtection="0">
      <alignment horizontal="left" vertical="center" indent="1"/>
    </xf>
    <xf numFmtId="0" fontId="53" fillId="0" borderId="45"/>
    <xf numFmtId="10" fontId="6" fillId="61" borderId="46" applyNumberFormat="0" applyBorder="0" applyAlignment="0" applyProtection="0"/>
    <xf numFmtId="0" fontId="82" fillId="0" borderId="46" applyFill="0">
      <alignment horizontal="center" vertical="center"/>
    </xf>
    <xf numFmtId="0" fontId="7" fillId="0" borderId="46" applyFill="0">
      <alignment horizontal="center" vertical="center"/>
    </xf>
    <xf numFmtId="198" fontId="7" fillId="0" borderId="46" applyFill="0">
      <alignment horizontal="center" vertical="center"/>
    </xf>
    <xf numFmtId="0" fontId="73" fillId="65" borderId="46"/>
    <xf numFmtId="4" fontId="44" fillId="74" borderId="47" applyNumberFormat="0" applyProtection="0">
      <alignment horizontal="left" vertical="center" indent="1"/>
    </xf>
    <xf numFmtId="4" fontId="44" fillId="72" borderId="48" applyNumberFormat="0" applyProtection="0">
      <alignment horizontal="left" vertical="center" indent="1"/>
    </xf>
    <xf numFmtId="0" fontId="6" fillId="74" borderId="47" applyNumberFormat="0" applyProtection="0">
      <alignment horizontal="left" vertical="center" indent="1"/>
    </xf>
    <xf numFmtId="9" fontId="3" fillId="0" borderId="0" applyFont="0" applyFill="0" applyBorder="0" applyAlignment="0" applyProtection="0"/>
    <xf numFmtId="4" fontId="44" fillId="42" borderId="47" applyNumberFormat="0" applyProtection="0">
      <alignment horizontal="right" vertical="center"/>
    </xf>
    <xf numFmtId="4" fontId="44" fillId="68" borderId="47" applyNumberFormat="0" applyProtection="0">
      <alignment horizontal="right" vertical="center"/>
    </xf>
    <xf numFmtId="0" fontId="6" fillId="75" borderId="47" applyNumberFormat="0" applyProtection="0">
      <alignment horizontal="left" vertical="center" indent="1"/>
    </xf>
    <xf numFmtId="4" fontId="88" fillId="72" borderId="47" applyNumberFormat="0" applyProtection="0">
      <alignment horizontal="right" vertical="center"/>
    </xf>
    <xf numFmtId="0" fontId="6" fillId="65" borderId="47" applyNumberFormat="0" applyProtection="0">
      <alignment horizontal="left" vertical="center" indent="1"/>
    </xf>
    <xf numFmtId="0" fontId="6" fillId="75" borderId="47" applyNumberFormat="0" applyProtection="0">
      <alignment horizontal="left" vertical="center" indent="1"/>
    </xf>
    <xf numFmtId="0" fontId="3" fillId="0" borderId="0"/>
    <xf numFmtId="0" fontId="6" fillId="65" borderId="47" applyNumberFormat="0" applyProtection="0">
      <alignment horizontal="left" vertical="center" indent="1"/>
    </xf>
    <xf numFmtId="4" fontId="91" fillId="72" borderId="47" applyNumberFormat="0" applyProtection="0">
      <alignment horizontal="right" vertical="center"/>
    </xf>
    <xf numFmtId="4" fontId="44" fillId="72" borderId="47" applyNumberFormat="0" applyProtection="0">
      <alignment horizontal="left" vertical="center" indent="1"/>
    </xf>
    <xf numFmtId="10" fontId="6" fillId="61" borderId="46" applyNumberFormat="0" applyBorder="0" applyAlignment="0" applyProtection="0"/>
    <xf numFmtId="0" fontId="3" fillId="0" borderId="0"/>
    <xf numFmtId="0" fontId="33" fillId="27" borderId="44" applyNumberFormat="0" applyAlignment="0" applyProtection="0"/>
    <xf numFmtId="0" fontId="6" fillId="65" borderId="47" applyNumberFormat="0" applyProtection="0">
      <alignment horizontal="left" vertical="center" indent="1"/>
    </xf>
    <xf numFmtId="4" fontId="88" fillId="72" borderId="47" applyNumberFormat="0" applyProtection="0">
      <alignment horizontal="right" vertical="center"/>
    </xf>
    <xf numFmtId="4" fontId="44" fillId="72" borderId="47" applyNumberFormat="0" applyProtection="0">
      <alignment horizontal="left" vertical="center" indent="1"/>
    </xf>
    <xf numFmtId="4" fontId="44" fillId="72" borderId="48" applyNumberFormat="0" applyProtection="0">
      <alignment horizontal="left" vertical="center" indent="1"/>
    </xf>
    <xf numFmtId="4" fontId="44" fillId="70" borderId="47" applyNumberFormat="0" applyProtection="0">
      <alignment horizontal="right" vertical="center"/>
    </xf>
    <xf numFmtId="4" fontId="44" fillId="42" borderId="47" applyNumberFormat="0" applyProtection="0">
      <alignment horizontal="right" vertical="center"/>
    </xf>
    <xf numFmtId="0" fontId="8" fillId="0" borderId="50" applyNumberFormat="0" applyFill="0" applyAlignment="0" applyProtection="0"/>
    <xf numFmtId="4" fontId="44" fillId="72" borderId="47" applyNumberFormat="0" applyProtection="0">
      <alignment horizontal="right" vertical="center"/>
    </xf>
    <xf numFmtId="0" fontId="6" fillId="65" borderId="47" applyNumberFormat="0" applyProtection="0">
      <alignment horizontal="left" vertical="center" indent="1"/>
    </xf>
    <xf numFmtId="4" fontId="44" fillId="40" borderId="47" applyNumberFormat="0" applyProtection="0">
      <alignment vertical="center"/>
    </xf>
    <xf numFmtId="9" fontId="3" fillId="0" borderId="0" applyFont="0" applyFill="0" applyBorder="0" applyAlignment="0" applyProtection="0"/>
    <xf numFmtId="4" fontId="44" fillId="40" borderId="47" applyNumberFormat="0" applyProtection="0">
      <alignment horizontal="left" vertical="center" indent="1"/>
    </xf>
    <xf numFmtId="0" fontId="33" fillId="27" borderId="44" applyNumberFormat="0" applyAlignment="0" applyProtection="0"/>
    <xf numFmtId="4" fontId="44" fillId="69" borderId="47" applyNumberFormat="0" applyProtection="0">
      <alignment horizontal="right" vertical="center"/>
    </xf>
    <xf numFmtId="0" fontId="6" fillId="65" borderId="47" applyNumberFormat="0" applyProtection="0">
      <alignment horizontal="left" vertical="center" indent="1"/>
    </xf>
    <xf numFmtId="4" fontId="44" fillId="61" borderId="47" applyNumberFormat="0" applyProtection="0">
      <alignment vertical="center"/>
    </xf>
    <xf numFmtId="0" fontId="82" fillId="0" borderId="46" applyFill="0">
      <alignment horizontal="center" vertical="center"/>
    </xf>
    <xf numFmtId="4" fontId="44" fillId="68" borderId="47" applyNumberFormat="0" applyProtection="0">
      <alignment horizontal="right" vertical="center"/>
    </xf>
    <xf numFmtId="0" fontId="82" fillId="0" borderId="46" applyFill="0">
      <alignment horizontal="center" vertical="center"/>
    </xf>
    <xf numFmtId="0" fontId="32" fillId="7" borderId="44" applyNumberForma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 fillId="0" borderId="0" applyFont="0" applyFill="0" applyBorder="0" applyAlignment="0" applyProtection="0">
      <alignment vertical="center"/>
    </xf>
    <xf numFmtId="4" fontId="6" fillId="0" borderId="0" applyFont="0" applyFill="0" applyBorder="0" applyProtection="0">
      <alignment horizontal="right" vertical="center"/>
    </xf>
    <xf numFmtId="0" fontId="6" fillId="0" borderId="0"/>
    <xf numFmtId="0" fontId="142" fillId="0" borderId="0"/>
  </cellStyleXfs>
  <cellXfs count="926">
    <xf numFmtId="0" fontId="0" fillId="0" borderId="0" xfId="0"/>
    <xf numFmtId="49" fontId="31" fillId="0" borderId="0" xfId="0" applyNumberFormat="1" applyFont="1" applyAlignment="1">
      <alignment vertical="center"/>
    </xf>
    <xf numFmtId="167" fontId="30" fillId="0" borderId="0" xfId="28" applyNumberFormat="1" applyFont="1" applyAlignment="1">
      <alignment vertical="center"/>
    </xf>
    <xf numFmtId="167" fontId="30" fillId="0" borderId="0" xfId="0" applyNumberFormat="1" applyFont="1" applyAlignment="1">
      <alignment horizontal="right" vertical="center"/>
    </xf>
    <xf numFmtId="49" fontId="30" fillId="0" borderId="0" xfId="0" applyNumberFormat="1" applyFont="1" applyAlignment="1">
      <alignment vertical="center"/>
    </xf>
    <xf numFmtId="0" fontId="30" fillId="0" borderId="0" xfId="0" applyFont="1" applyAlignment="1">
      <alignment vertical="center"/>
    </xf>
    <xf numFmtId="0" fontId="31" fillId="0" borderId="0" xfId="0" applyFont="1" applyAlignment="1">
      <alignment vertical="center"/>
    </xf>
    <xf numFmtId="167" fontId="31" fillId="0" borderId="0" xfId="28" applyNumberFormat="1" applyFont="1" applyAlignment="1">
      <alignment vertical="center"/>
    </xf>
    <xf numFmtId="0" fontId="30" fillId="0" borderId="0" xfId="0" applyFont="1" applyAlignment="1">
      <alignment vertical="center" wrapText="1"/>
    </xf>
    <xf numFmtId="0" fontId="30" fillId="25" borderId="0" xfId="0" applyFont="1" applyFill="1" applyAlignment="1">
      <alignment vertical="center" wrapText="1"/>
    </xf>
    <xf numFmtId="166" fontId="30" fillId="25" borderId="0" xfId="28" applyNumberFormat="1" applyFont="1" applyFill="1" applyAlignment="1">
      <alignment horizontal="center" vertical="center"/>
    </xf>
    <xf numFmtId="9" fontId="30" fillId="25" borderId="0" xfId="0" applyNumberFormat="1" applyFont="1" applyFill="1" applyAlignment="1">
      <alignment horizontal="right" vertical="center"/>
    </xf>
    <xf numFmtId="0" fontId="30" fillId="25" borderId="0" xfId="0" applyFont="1" applyFill="1" applyAlignment="1">
      <alignment horizontal="center" vertical="center"/>
    </xf>
    <xf numFmtId="0" fontId="31" fillId="25" borderId="0" xfId="0" quotePrefix="1" applyFont="1" applyFill="1" applyAlignment="1">
      <alignment horizontal="right" vertical="center" wrapText="1"/>
    </xf>
    <xf numFmtId="0" fontId="31" fillId="25" borderId="0" xfId="0" applyFont="1" applyFill="1" applyAlignment="1">
      <alignment horizontal="right" vertical="center" wrapText="1"/>
    </xf>
    <xf numFmtId="0" fontId="31" fillId="25" borderId="0" xfId="0" applyFont="1" applyFill="1" applyAlignment="1">
      <alignment vertical="center" wrapText="1"/>
    </xf>
    <xf numFmtId="0" fontId="31" fillId="26" borderId="0" xfId="0" applyFont="1" applyFill="1" applyAlignment="1">
      <alignment vertical="center"/>
    </xf>
    <xf numFmtId="168" fontId="31" fillId="25" borderId="0" xfId="0" applyNumberFormat="1" applyFont="1" applyFill="1" applyAlignment="1">
      <alignment vertical="center"/>
    </xf>
    <xf numFmtId="169" fontId="31" fillId="25" borderId="0" xfId="0" applyNumberFormat="1" applyFont="1" applyFill="1" applyAlignment="1">
      <alignment vertical="center"/>
    </xf>
    <xf numFmtId="3" fontId="31" fillId="25" borderId="0" xfId="0" applyNumberFormat="1" applyFont="1" applyFill="1" applyAlignment="1">
      <alignment vertical="center"/>
    </xf>
    <xf numFmtId="49" fontId="31" fillId="25" borderId="0" xfId="0" applyNumberFormat="1" applyFont="1" applyFill="1" applyAlignment="1">
      <alignment vertical="center"/>
    </xf>
    <xf numFmtId="0" fontId="31" fillId="25" borderId="0" xfId="0" applyFont="1" applyFill="1" applyAlignment="1">
      <alignment vertical="center"/>
    </xf>
    <xf numFmtId="0" fontId="20" fillId="25" borderId="0" xfId="0" applyFont="1" applyFill="1" applyAlignment="1">
      <alignment vertical="center"/>
    </xf>
    <xf numFmtId="9" fontId="0" fillId="0" borderId="0" xfId="0" applyNumberFormat="1"/>
    <xf numFmtId="49" fontId="0" fillId="0" borderId="0" xfId="0" applyNumberFormat="1"/>
    <xf numFmtId="49" fontId="25" fillId="24" borderId="0" xfId="0" applyNumberFormat="1" applyFont="1" applyFill="1" applyProtection="1">
      <protection locked="0"/>
    </xf>
    <xf numFmtId="0" fontId="0" fillId="24" borderId="0" xfId="0" applyFill="1"/>
    <xf numFmtId="0" fontId="0" fillId="25" borderId="0" xfId="0" applyFill="1"/>
    <xf numFmtId="0" fontId="12" fillId="0" borderId="0" xfId="0" applyFont="1"/>
    <xf numFmtId="3" fontId="0" fillId="0" borderId="0" xfId="0" applyNumberFormat="1"/>
    <xf numFmtId="0" fontId="26" fillId="0" borderId="0" xfId="0" applyFont="1"/>
    <xf numFmtId="0" fontId="27" fillId="0" borderId="0" xfId="0" applyFont="1"/>
    <xf numFmtId="15" fontId="27" fillId="0" borderId="0" xfId="0" applyNumberFormat="1" applyFont="1"/>
    <xf numFmtId="3" fontId="27" fillId="0" borderId="0" xfId="0" applyNumberFormat="1" applyFont="1"/>
    <xf numFmtId="0" fontId="27" fillId="0" borderId="1" xfId="0" applyFont="1" applyBorder="1"/>
    <xf numFmtId="0" fontId="27" fillId="25" borderId="0" xfId="0" applyFont="1" applyFill="1" applyAlignment="1">
      <alignment vertical="center"/>
    </xf>
    <xf numFmtId="0" fontId="28" fillId="0" borderId="0" xfId="0" applyFont="1"/>
    <xf numFmtId="0" fontId="28" fillId="0" borderId="1" xfId="0" applyFont="1" applyBorder="1"/>
    <xf numFmtId="0" fontId="29" fillId="0" borderId="0" xfId="0" applyFont="1" applyAlignment="1">
      <alignment vertical="center"/>
    </xf>
    <xf numFmtId="0" fontId="31" fillId="0" borderId="0" xfId="0" applyFont="1" applyAlignment="1">
      <alignment vertical="top"/>
    </xf>
    <xf numFmtId="3" fontId="20" fillId="25" borderId="0" xfId="0" applyNumberFormat="1" applyFont="1" applyFill="1" applyAlignment="1">
      <alignment vertical="center"/>
    </xf>
    <xf numFmtId="3" fontId="27" fillId="25" borderId="0" xfId="0" applyNumberFormat="1" applyFont="1" applyFill="1" applyAlignment="1">
      <alignment vertical="center"/>
    </xf>
    <xf numFmtId="0" fontId="27" fillId="25" borderId="0" xfId="0" applyFont="1" applyFill="1" applyAlignment="1">
      <alignment horizontal="right" vertical="center"/>
    </xf>
    <xf numFmtId="3" fontId="36" fillId="29" borderId="21" xfId="0" applyNumberFormat="1" applyFont="1" applyFill="1" applyBorder="1" applyAlignment="1">
      <alignment horizontal="center" vertical="center"/>
    </xf>
    <xf numFmtId="49" fontId="36" fillId="29" borderId="23" xfId="0" applyNumberFormat="1" applyFont="1" applyFill="1" applyBorder="1" applyAlignment="1">
      <alignment horizontal="center" vertical="center"/>
    </xf>
    <xf numFmtId="3" fontId="36" fillId="29" borderId="14" xfId="0" applyNumberFormat="1" applyFont="1" applyFill="1" applyBorder="1" applyAlignment="1">
      <alignment horizontal="center" vertical="center"/>
    </xf>
    <xf numFmtId="49" fontId="36" fillId="29" borderId="16" xfId="0" applyNumberFormat="1" applyFont="1" applyFill="1" applyBorder="1" applyAlignment="1">
      <alignment horizontal="center" vertical="center"/>
    </xf>
    <xf numFmtId="3" fontId="33" fillId="27" borderId="3" xfId="26" applyNumberFormat="1"/>
    <xf numFmtId="0" fontId="0" fillId="25" borderId="0" xfId="0" applyFill="1" applyAlignment="1">
      <alignment horizontal="left"/>
    </xf>
    <xf numFmtId="0" fontId="0" fillId="0" borderId="0" xfId="0" applyAlignment="1">
      <alignment horizontal="left"/>
    </xf>
    <xf numFmtId="0" fontId="36" fillId="28" borderId="8" xfId="30" applyFont="1" applyFill="1" applyBorder="1" applyAlignment="1" applyProtection="1">
      <alignment horizontal="center" vertical="top" wrapText="1"/>
      <protection locked="0"/>
    </xf>
    <xf numFmtId="0" fontId="36" fillId="28" borderId="3" xfId="26" applyFont="1" applyFill="1" applyAlignment="1">
      <alignment vertical="center"/>
    </xf>
    <xf numFmtId="0" fontId="36" fillId="28" borderId="3" xfId="26" applyFont="1" applyFill="1" applyAlignment="1">
      <alignment vertical="center" wrapText="1"/>
    </xf>
    <xf numFmtId="0" fontId="38" fillId="0" borderId="0" xfId="0" applyFont="1" applyAlignment="1">
      <alignment vertical="center"/>
    </xf>
    <xf numFmtId="0" fontId="37" fillId="28" borderId="21" xfId="0" applyFont="1" applyFill="1" applyBorder="1" applyAlignment="1">
      <alignment horizontal="center"/>
    </xf>
    <xf numFmtId="0" fontId="37" fillId="28" borderId="14" xfId="0" applyFont="1" applyFill="1" applyBorder="1" applyAlignment="1">
      <alignment horizontal="center"/>
    </xf>
    <xf numFmtId="0" fontId="37" fillId="28" borderId="22" xfId="0" applyFont="1" applyFill="1" applyBorder="1" applyAlignment="1">
      <alignment horizontal="center"/>
    </xf>
    <xf numFmtId="0" fontId="37" fillId="28" borderId="15" xfId="0" applyFont="1" applyFill="1" applyBorder="1" applyAlignment="1">
      <alignment horizontal="center"/>
    </xf>
    <xf numFmtId="0" fontId="20" fillId="0" borderId="0" xfId="0" applyFont="1"/>
    <xf numFmtId="9" fontId="0" fillId="25" borderId="0" xfId="40" applyFont="1" applyFill="1"/>
    <xf numFmtId="0" fontId="20" fillId="25" borderId="0" xfId="0" applyFont="1" applyFill="1" applyAlignment="1">
      <alignment horizontal="right" vertical="center"/>
    </xf>
    <xf numFmtId="0" fontId="0" fillId="25" borderId="0" xfId="0" applyFill="1" applyAlignment="1">
      <alignment wrapText="1"/>
    </xf>
    <xf numFmtId="0" fontId="40" fillId="0" borderId="0" xfId="0" applyFont="1" applyAlignment="1">
      <alignment wrapText="1"/>
    </xf>
    <xf numFmtId="166" fontId="5" fillId="0" borderId="0" xfId="28" applyNumberFormat="1" applyFont="1"/>
    <xf numFmtId="167" fontId="5" fillId="0" borderId="0" xfId="28" applyNumberFormat="1" applyFont="1"/>
    <xf numFmtId="9" fontId="6" fillId="0" borderId="0" xfId="0" applyNumberFormat="1" applyFont="1"/>
    <xf numFmtId="9" fontId="6" fillId="34" borderId="0" xfId="0" applyNumberFormat="1" applyFont="1" applyFill="1"/>
    <xf numFmtId="166" fontId="31" fillId="0" borderId="0" xfId="28" applyNumberFormat="1" applyFont="1" applyAlignment="1">
      <alignment vertical="center"/>
    </xf>
    <xf numFmtId="166" fontId="31" fillId="0" borderId="0" xfId="0" applyNumberFormat="1" applyFont="1" applyAlignment="1">
      <alignment vertical="center"/>
    </xf>
    <xf numFmtId="9" fontId="6" fillId="33" borderId="0" xfId="0" applyNumberFormat="1" applyFont="1" applyFill="1"/>
    <xf numFmtId="166" fontId="0" fillId="0" borderId="0" xfId="28" applyNumberFormat="1" applyFont="1"/>
    <xf numFmtId="166" fontId="30" fillId="0" borderId="0" xfId="28" applyNumberFormat="1" applyFont="1" applyAlignment="1">
      <alignment vertical="center"/>
    </xf>
    <xf numFmtId="9" fontId="6" fillId="35" borderId="0" xfId="0" applyNumberFormat="1" applyFont="1" applyFill="1"/>
    <xf numFmtId="166" fontId="5" fillId="35" borderId="0" xfId="28" applyNumberFormat="1" applyFont="1" applyFill="1"/>
    <xf numFmtId="167" fontId="5" fillId="35" borderId="0" xfId="28" applyNumberFormat="1" applyFont="1" applyFill="1"/>
    <xf numFmtId="9" fontId="6" fillId="30" borderId="0" xfId="0" applyNumberFormat="1" applyFont="1" applyFill="1"/>
    <xf numFmtId="166" fontId="5" fillId="30" borderId="0" xfId="28" applyNumberFormat="1" applyFont="1" applyFill="1"/>
    <xf numFmtId="167" fontId="5" fillId="30" borderId="0" xfId="28" applyNumberFormat="1" applyFont="1" applyFill="1"/>
    <xf numFmtId="166" fontId="40" fillId="0" borderId="0" xfId="28" applyNumberFormat="1" applyFont="1"/>
    <xf numFmtId="166" fontId="0" fillId="0" borderId="0" xfId="0" applyNumberFormat="1"/>
    <xf numFmtId="0" fontId="36" fillId="0" borderId="0" xfId="30" applyFont="1" applyFill="1" applyAlignment="1" applyProtection="1">
      <alignment horizontal="center" vertical="top" wrapText="1"/>
      <protection locked="0"/>
    </xf>
    <xf numFmtId="0" fontId="0" fillId="36" borderId="0" xfId="0" applyFill="1"/>
    <xf numFmtId="0" fontId="41" fillId="36" borderId="0" xfId="0" applyFont="1" applyFill="1"/>
    <xf numFmtId="9" fontId="0" fillId="0" borderId="0" xfId="40" applyFont="1"/>
    <xf numFmtId="1" fontId="0" fillId="25" borderId="0" xfId="0" applyNumberFormat="1" applyFill="1"/>
    <xf numFmtId="1" fontId="0" fillId="0" borderId="0" xfId="0" applyNumberFormat="1"/>
    <xf numFmtId="49" fontId="34" fillId="0" borderId="0" xfId="30" applyNumberFormat="1" applyFill="1" applyAlignment="1" applyProtection="1">
      <alignment vertical="center"/>
      <protection locked="0"/>
    </xf>
    <xf numFmtId="0" fontId="41" fillId="36" borderId="0" xfId="0" applyFont="1" applyFill="1" applyAlignment="1">
      <alignment wrapText="1"/>
    </xf>
    <xf numFmtId="167" fontId="30" fillId="25" borderId="0" xfId="0" applyNumberFormat="1" applyFont="1" applyFill="1" applyAlignment="1">
      <alignment vertical="center"/>
    </xf>
    <xf numFmtId="3" fontId="31" fillId="0" borderId="0" xfId="0" applyNumberFormat="1" applyFont="1" applyAlignment="1">
      <alignment vertical="center"/>
    </xf>
    <xf numFmtId="3" fontId="30" fillId="0" borderId="0" xfId="0" applyNumberFormat="1" applyFont="1" applyAlignment="1">
      <alignment vertical="center"/>
    </xf>
    <xf numFmtId="0" fontId="109" fillId="25" borderId="0" xfId="0" applyFont="1" applyFill="1" applyAlignment="1">
      <alignment vertical="center"/>
    </xf>
    <xf numFmtId="0" fontId="109" fillId="25" borderId="0" xfId="0" applyFont="1" applyFill="1" applyAlignment="1">
      <alignment vertical="center" wrapText="1"/>
    </xf>
    <xf numFmtId="0" fontId="24" fillId="28" borderId="52" xfId="0" applyFont="1" applyFill="1" applyBorder="1" applyAlignment="1">
      <alignment horizontal="center" vertical="center" wrapText="1"/>
    </xf>
    <xf numFmtId="0" fontId="109" fillId="78" borderId="46" xfId="0" applyFont="1" applyFill="1" applyBorder="1"/>
    <xf numFmtId="0" fontId="109" fillId="0" borderId="46" xfId="35" applyFont="1" applyFill="1" applyBorder="1" applyAlignment="1">
      <alignment horizontal="center" vertical="center"/>
    </xf>
    <xf numFmtId="167" fontId="109" fillId="0" borderId="46" xfId="49" applyNumberFormat="1" applyFont="1" applyBorder="1"/>
    <xf numFmtId="172" fontId="6" fillId="25" borderId="0" xfId="49" applyNumberFormat="1" applyFont="1" applyFill="1"/>
    <xf numFmtId="172" fontId="6" fillId="0" borderId="0" xfId="49" applyNumberFormat="1" applyFont="1"/>
    <xf numFmtId="0" fontId="0" fillId="79" borderId="0" xfId="0" applyFill="1"/>
    <xf numFmtId="0" fontId="109" fillId="79" borderId="0" xfId="0" applyFont="1" applyFill="1"/>
    <xf numFmtId="167" fontId="41" fillId="79" borderId="0" xfId="0" applyNumberFormat="1" applyFont="1" applyFill="1"/>
    <xf numFmtId="0" fontId="41" fillId="79" borderId="0" xfId="0" applyFont="1" applyFill="1"/>
    <xf numFmtId="0" fontId="109" fillId="0" borderId="0" xfId="0" applyFont="1"/>
    <xf numFmtId="0" fontId="6" fillId="80" borderId="0" xfId="0" applyFont="1" applyFill="1"/>
    <xf numFmtId="9" fontId="6" fillId="25" borderId="0" xfId="40" applyFill="1"/>
    <xf numFmtId="9" fontId="6" fillId="0" borderId="0" xfId="40"/>
    <xf numFmtId="0" fontId="31" fillId="80" borderId="0" xfId="0" applyFont="1" applyFill="1" applyAlignment="1">
      <alignment vertical="center"/>
    </xf>
    <xf numFmtId="0" fontId="41" fillId="80" borderId="0" xfId="0" applyFont="1" applyFill="1" applyAlignment="1">
      <alignment wrapText="1"/>
    </xf>
    <xf numFmtId="167" fontId="109" fillId="80" borderId="0" xfId="0" applyNumberFormat="1" applyFont="1" applyFill="1"/>
    <xf numFmtId="9" fontId="109" fillId="80" borderId="0" xfId="0" applyNumberFormat="1" applyFont="1" applyFill="1"/>
    <xf numFmtId="3" fontId="109" fillId="80" borderId="0" xfId="0" applyNumberFormat="1" applyFont="1" applyFill="1"/>
    <xf numFmtId="171" fontId="109" fillId="80" borderId="0" xfId="40" applyNumberFormat="1" applyFont="1" applyFill="1"/>
    <xf numFmtId="1" fontId="109" fillId="80" borderId="0" xfId="0" applyNumberFormat="1" applyFont="1" applyFill="1"/>
    <xf numFmtId="171" fontId="109" fillId="80" borderId="0" xfId="0" applyNumberFormat="1" applyFont="1" applyFill="1"/>
    <xf numFmtId="0" fontId="109" fillId="80" borderId="0" xfId="0" applyFont="1" applyFill="1" applyAlignment="1">
      <alignment horizontal="center"/>
    </xf>
    <xf numFmtId="0" fontId="109" fillId="80" borderId="0" xfId="0" applyFont="1" applyFill="1"/>
    <xf numFmtId="0" fontId="109" fillId="80" borderId="0" xfId="0" applyFont="1" applyFill="1" applyAlignment="1">
      <alignment vertical="top" wrapText="1"/>
    </xf>
    <xf numFmtId="167" fontId="41" fillId="80" borderId="0" xfId="49" applyNumberFormat="1" applyFont="1" applyFill="1"/>
    <xf numFmtId="167" fontId="41" fillId="80" borderId="0" xfId="0" applyNumberFormat="1" applyFont="1" applyFill="1"/>
    <xf numFmtId="167" fontId="30" fillId="80" borderId="0" xfId="0" applyNumberFormat="1" applyFont="1" applyFill="1" applyAlignment="1">
      <alignment vertical="center"/>
    </xf>
    <xf numFmtId="167" fontId="41" fillId="80" borderId="0" xfId="0" applyNumberFormat="1" applyFont="1" applyFill="1" applyAlignment="1">
      <alignment horizontal="center"/>
    </xf>
    <xf numFmtId="0" fontId="41" fillId="80" borderId="0" xfId="0" applyFont="1" applyFill="1"/>
    <xf numFmtId="3" fontId="6" fillId="80" borderId="0" xfId="0" applyNumberFormat="1" applyFont="1" applyFill="1"/>
    <xf numFmtId="0" fontId="6" fillId="0" borderId="0" xfId="0" applyFont="1"/>
    <xf numFmtId="3" fontId="20" fillId="0" borderId="0" xfId="0" applyNumberFormat="1" applyFont="1" applyAlignment="1">
      <alignment vertical="center"/>
    </xf>
    <xf numFmtId="0" fontId="112" fillId="25" borderId="0" xfId="0" applyFont="1" applyFill="1" applyAlignment="1">
      <alignment vertical="center"/>
    </xf>
    <xf numFmtId="168" fontId="112" fillId="25" borderId="0" xfId="0" applyNumberFormat="1" applyFont="1" applyFill="1" applyAlignment="1">
      <alignment vertical="center"/>
    </xf>
    <xf numFmtId="0" fontId="112" fillId="25" borderId="0" xfId="0" applyFont="1" applyFill="1" applyAlignment="1">
      <alignment horizontal="center" vertical="center"/>
    </xf>
    <xf numFmtId="0" fontId="112" fillId="25" borderId="0" xfId="0" applyFont="1" applyFill="1" applyAlignment="1">
      <alignment vertical="center" wrapText="1"/>
    </xf>
    <xf numFmtId="0" fontId="112" fillId="25" borderId="0" xfId="0" applyFont="1" applyFill="1" applyAlignment="1">
      <alignment horizontal="right" vertical="center" wrapText="1"/>
    </xf>
    <xf numFmtId="3" fontId="113" fillId="29" borderId="21" xfId="0" applyNumberFormat="1" applyFont="1" applyFill="1" applyBorder="1" applyAlignment="1">
      <alignment horizontal="center" vertical="center"/>
    </xf>
    <xf numFmtId="0" fontId="112" fillId="25" borderId="0" xfId="0" applyFont="1" applyFill="1" applyAlignment="1">
      <alignment horizontal="center" vertical="center" wrapText="1"/>
    </xf>
    <xf numFmtId="49" fontId="113" fillId="29" borderId="23" xfId="0" applyNumberFormat="1" applyFont="1" applyFill="1" applyBorder="1" applyAlignment="1">
      <alignment horizontal="center" vertical="center"/>
    </xf>
    <xf numFmtId="0" fontId="113" fillId="25" borderId="0" xfId="0" applyFont="1" applyFill="1" applyAlignment="1">
      <alignment horizontal="center" vertical="center"/>
    </xf>
    <xf numFmtId="3" fontId="113" fillId="25" borderId="0" xfId="0" applyNumberFormat="1" applyFont="1" applyFill="1" applyAlignment="1">
      <alignment horizontal="right" vertical="center"/>
    </xf>
    <xf numFmtId="0" fontId="113" fillId="0" borderId="0" xfId="0" applyFont="1" applyAlignment="1">
      <alignment vertical="center"/>
    </xf>
    <xf numFmtId="167" fontId="113" fillId="0" borderId="0" xfId="28" applyNumberFormat="1" applyFont="1" applyAlignment="1">
      <alignment vertical="center"/>
    </xf>
    <xf numFmtId="0" fontId="113" fillId="0" borderId="0" xfId="0" applyFont="1" applyAlignment="1">
      <alignment horizontal="center" vertical="center"/>
    </xf>
    <xf numFmtId="167" fontId="113" fillId="25" borderId="0" xfId="0" applyNumberFormat="1" applyFont="1" applyFill="1" applyAlignment="1">
      <alignment vertical="center"/>
    </xf>
    <xf numFmtId="0" fontId="112" fillId="0" borderId="0" xfId="0" applyFont="1" applyAlignment="1">
      <alignment vertical="center"/>
    </xf>
    <xf numFmtId="0" fontId="112" fillId="0" borderId="0" xfId="0" applyFont="1" applyAlignment="1">
      <alignment horizontal="center" vertical="center"/>
    </xf>
    <xf numFmtId="166" fontId="112" fillId="0" borderId="0" xfId="28" applyNumberFormat="1" applyFont="1" applyAlignment="1">
      <alignment vertical="center"/>
    </xf>
    <xf numFmtId="166" fontId="112" fillId="0" borderId="0" xfId="0" applyNumberFormat="1" applyFont="1" applyAlignment="1">
      <alignment vertical="center"/>
    </xf>
    <xf numFmtId="49" fontId="31" fillId="79" borderId="0" xfId="0" applyNumberFormat="1" applyFont="1" applyFill="1" applyAlignment="1">
      <alignment vertical="center"/>
    </xf>
    <xf numFmtId="0" fontId="31" fillId="79" borderId="0" xfId="0" applyFont="1" applyFill="1" applyAlignment="1">
      <alignment vertical="center"/>
    </xf>
    <xf numFmtId="0" fontId="30" fillId="79" borderId="0" xfId="0" applyFont="1" applyFill="1" applyAlignment="1">
      <alignment horizontal="center" vertical="center"/>
    </xf>
    <xf numFmtId="0" fontId="113" fillId="79" borderId="0" xfId="0" applyFont="1" applyFill="1" applyAlignment="1">
      <alignment horizontal="center" vertical="center"/>
    </xf>
    <xf numFmtId="3" fontId="113" fillId="79" borderId="0" xfId="0" applyNumberFormat="1" applyFont="1" applyFill="1" applyAlignment="1">
      <alignment horizontal="right" vertical="center"/>
    </xf>
    <xf numFmtId="9" fontId="30" fillId="79" borderId="0" xfId="0" applyNumberFormat="1" applyFont="1" applyFill="1" applyAlignment="1">
      <alignment horizontal="right" vertical="center"/>
    </xf>
    <xf numFmtId="166" fontId="30" fillId="79" borderId="0" xfId="28" applyNumberFormat="1" applyFont="1" applyFill="1" applyAlignment="1">
      <alignment horizontal="center" vertical="center"/>
    </xf>
    <xf numFmtId="0" fontId="109" fillId="0" borderId="46" xfId="0" applyFont="1" applyBorder="1" applyAlignment="1">
      <alignment horizontal="center"/>
    </xf>
    <xf numFmtId="0" fontId="36" fillId="28" borderId="46" xfId="57" applyFont="1" applyFill="1" applyBorder="1" applyAlignment="1" applyProtection="1">
      <alignment horizontal="center" vertical="top" wrapText="1"/>
      <protection locked="0"/>
    </xf>
    <xf numFmtId="0" fontId="20" fillId="0" borderId="0" xfId="0" applyFont="1" applyAlignment="1">
      <alignment vertical="center"/>
    </xf>
    <xf numFmtId="0" fontId="27" fillId="0" borderId="0" xfId="0" applyFont="1" applyAlignment="1">
      <alignment vertical="center"/>
    </xf>
    <xf numFmtId="0" fontId="0" fillId="26" borderId="0" xfId="0" applyFill="1"/>
    <xf numFmtId="0" fontId="28" fillId="26" borderId="0" xfId="0" applyFont="1" applyFill="1"/>
    <xf numFmtId="0" fontId="20" fillId="26" borderId="0" xfId="0" applyFont="1" applyFill="1"/>
    <xf numFmtId="0" fontId="20" fillId="26" borderId="0" xfId="0" applyFont="1" applyFill="1" applyAlignment="1">
      <alignment vertical="center"/>
    </xf>
    <xf numFmtId="0" fontId="27" fillId="26" borderId="0" xfId="0" applyFont="1" applyFill="1" applyAlignment="1">
      <alignment vertical="center"/>
    </xf>
    <xf numFmtId="0" fontId="41" fillId="26" borderId="0" xfId="0" applyFont="1" applyFill="1" applyAlignment="1">
      <alignment wrapText="1"/>
    </xf>
    <xf numFmtId="168" fontId="30" fillId="78" borderId="46" xfId="26" applyNumberFormat="1" applyFont="1" applyFill="1" applyBorder="1" applyAlignment="1">
      <alignment horizontal="center"/>
    </xf>
    <xf numFmtId="9" fontId="24" fillId="28" borderId="53" xfId="40" applyFont="1" applyFill="1" applyBorder="1" applyAlignment="1">
      <alignment horizontal="center" wrapText="1"/>
    </xf>
    <xf numFmtId="0" fontId="24" fillId="28" borderId="52" xfId="0" applyFont="1" applyFill="1" applyBorder="1" applyAlignment="1">
      <alignment horizontal="center" wrapText="1"/>
    </xf>
    <xf numFmtId="0" fontId="24" fillId="28" borderId="53" xfId="0" applyFont="1" applyFill="1" applyBorder="1" applyAlignment="1">
      <alignment wrapText="1"/>
    </xf>
    <xf numFmtId="0" fontId="6" fillId="79" borderId="0" xfId="0" applyFont="1" applyFill="1" applyAlignment="1">
      <alignment wrapText="1"/>
    </xf>
    <xf numFmtId="0" fontId="6" fillId="80" borderId="0" xfId="0" applyFont="1" applyFill="1" applyAlignment="1">
      <alignment wrapText="1"/>
    </xf>
    <xf numFmtId="0" fontId="31" fillId="80" borderId="0" xfId="0" applyFont="1" applyFill="1" applyAlignment="1">
      <alignment vertical="center" wrapText="1"/>
    </xf>
    <xf numFmtId="0" fontId="0" fillId="0" borderId="0" xfId="0" applyAlignment="1">
      <alignment wrapText="1"/>
    </xf>
    <xf numFmtId="0" fontId="0" fillId="79" borderId="0" xfId="0" applyFill="1" applyAlignment="1">
      <alignment wrapText="1"/>
    </xf>
    <xf numFmtId="0" fontId="41" fillId="79" borderId="0" xfId="0" applyFont="1" applyFill="1" applyAlignment="1">
      <alignment horizontal="left"/>
    </xf>
    <xf numFmtId="9" fontId="41" fillId="79" borderId="0" xfId="40" applyFont="1" applyFill="1"/>
    <xf numFmtId="167" fontId="41" fillId="79" borderId="0" xfId="49" applyNumberFormat="1" applyFont="1" applyFill="1"/>
    <xf numFmtId="167" fontId="41" fillId="79" borderId="0" xfId="40" applyNumberFormat="1" applyFont="1" applyFill="1"/>
    <xf numFmtId="167" fontId="6" fillId="79" borderId="0" xfId="40" applyNumberFormat="1" applyFill="1"/>
    <xf numFmtId="167" fontId="6" fillId="79" borderId="0" xfId="49" applyNumberFormat="1" applyFont="1" applyFill="1"/>
    <xf numFmtId="1" fontId="41" fillId="79" borderId="0" xfId="0" applyNumberFormat="1" applyFont="1" applyFill="1"/>
    <xf numFmtId="9" fontId="6" fillId="79" borderId="0" xfId="40" applyFill="1"/>
    <xf numFmtId="3" fontId="41" fillId="79" borderId="0" xfId="0" applyNumberFormat="1" applyFont="1" applyFill="1" applyAlignment="1">
      <alignment vertical="center"/>
    </xf>
    <xf numFmtId="172" fontId="6" fillId="79" borderId="0" xfId="49" applyNumberFormat="1" applyFont="1" applyFill="1"/>
    <xf numFmtId="3" fontId="41" fillId="79" borderId="0" xfId="0" applyNumberFormat="1" applyFont="1" applyFill="1"/>
    <xf numFmtId="0" fontId="0" fillId="79" borderId="0" xfId="0" applyFill="1" applyAlignment="1">
      <alignment horizontal="left"/>
    </xf>
    <xf numFmtId="9" fontId="0" fillId="79" borderId="0" xfId="40" applyFont="1" applyFill="1"/>
    <xf numFmtId="1" fontId="0" fillId="79" borderId="0" xfId="0" applyNumberFormat="1" applyFill="1"/>
    <xf numFmtId="3" fontId="6" fillId="79" borderId="0" xfId="0" applyNumberFormat="1" applyFont="1" applyFill="1"/>
    <xf numFmtId="0" fontId="111" fillId="79" borderId="0" xfId="0" applyFont="1" applyFill="1"/>
    <xf numFmtId="0" fontId="24" fillId="28" borderId="51" xfId="0" applyFont="1" applyFill="1" applyBorder="1" applyAlignment="1">
      <alignment horizontal="center" vertical="center" wrapText="1"/>
    </xf>
    <xf numFmtId="0" fontId="109" fillId="26" borderId="19" xfId="0" applyFont="1" applyFill="1" applyBorder="1"/>
    <xf numFmtId="0" fontId="109" fillId="26" borderId="15" xfId="0" applyFont="1" applyFill="1" applyBorder="1"/>
    <xf numFmtId="0" fontId="109" fillId="26" borderId="17" xfId="0" applyFont="1" applyFill="1" applyBorder="1"/>
    <xf numFmtId="0" fontId="0" fillId="80" borderId="0" xfId="0" applyFill="1"/>
    <xf numFmtId="167" fontId="109" fillId="0" borderId="46" xfId="0" applyNumberFormat="1" applyFont="1" applyBorder="1"/>
    <xf numFmtId="43" fontId="0" fillId="79" borderId="0" xfId="28" applyFont="1" applyFill="1"/>
    <xf numFmtId="0" fontId="30" fillId="0" borderId="0" xfId="0" applyFont="1" applyAlignment="1">
      <alignment vertical="top" wrapText="1"/>
    </xf>
    <xf numFmtId="168" fontId="31" fillId="0" borderId="0" xfId="0" applyNumberFormat="1" applyFont="1" applyAlignment="1">
      <alignment vertical="center"/>
    </xf>
    <xf numFmtId="0" fontId="31" fillId="0" borderId="0" xfId="0" applyFont="1" applyAlignment="1">
      <alignment vertical="top" wrapText="1"/>
    </xf>
    <xf numFmtId="0" fontId="31" fillId="7" borderId="46" xfId="35" applyFont="1" applyBorder="1" applyAlignment="1">
      <alignment horizontal="center" vertical="center"/>
    </xf>
    <xf numFmtId="168" fontId="30" fillId="27" borderId="46" xfId="26" applyNumberFormat="1" applyFont="1" applyBorder="1"/>
    <xf numFmtId="3" fontId="31" fillId="7" borderId="46" xfId="35" applyNumberFormat="1" applyFont="1" applyBorder="1" applyAlignment="1">
      <alignment horizontal="center" vertical="center"/>
    </xf>
    <xf numFmtId="9" fontId="31" fillId="7" borderId="46" xfId="35" applyNumberFormat="1" applyFont="1" applyBorder="1" applyAlignment="1">
      <alignment horizontal="right" vertical="center"/>
    </xf>
    <xf numFmtId="9" fontId="30" fillId="27" borderId="46" xfId="26" applyNumberFormat="1" applyFont="1" applyBorder="1"/>
    <xf numFmtId="0" fontId="36" fillId="28" borderId="46" xfId="26" applyFont="1" applyFill="1" applyBorder="1" applyAlignment="1">
      <alignment horizontal="right" vertical="top" wrapText="1"/>
    </xf>
    <xf numFmtId="1" fontId="31" fillId="26" borderId="46" xfId="28" applyNumberFormat="1" applyFont="1" applyFill="1" applyBorder="1" applyAlignment="1">
      <alignment horizontal="center"/>
    </xf>
    <xf numFmtId="9" fontId="30" fillId="7" borderId="46" xfId="35" applyNumberFormat="1" applyFont="1" applyBorder="1" applyAlignment="1">
      <alignment horizontal="right" vertical="center"/>
    </xf>
    <xf numFmtId="0" fontId="40" fillId="0" borderId="0" xfId="0" applyFont="1" applyAlignment="1">
      <alignment vertical="center" wrapText="1"/>
    </xf>
    <xf numFmtId="44" fontId="40" fillId="0" borderId="0" xfId="0" applyNumberFormat="1" applyFont="1" applyAlignment="1">
      <alignment vertical="center" wrapText="1"/>
    </xf>
    <xf numFmtId="0" fontId="0" fillId="0" borderId="0" xfId="0" applyAlignment="1">
      <alignment vertical="center" wrapText="1"/>
    </xf>
    <xf numFmtId="167" fontId="0" fillId="0" borderId="0" xfId="0" applyNumberFormat="1"/>
    <xf numFmtId="0" fontId="0" fillId="33" borderId="0" xfId="0" applyFill="1"/>
    <xf numFmtId="167" fontId="0" fillId="33" borderId="0" xfId="0" applyNumberFormat="1" applyFill="1"/>
    <xf numFmtId="0" fontId="40" fillId="0" borderId="55" xfId="0" applyFont="1" applyBorder="1"/>
    <xf numFmtId="167" fontId="40" fillId="0" borderId="55" xfId="0" applyNumberFormat="1" applyFont="1" applyBorder="1"/>
    <xf numFmtId="1" fontId="24" fillId="28" borderId="51" xfId="0" applyNumberFormat="1" applyFont="1" applyFill="1" applyBorder="1" applyAlignment="1">
      <alignment wrapText="1"/>
    </xf>
    <xf numFmtId="0" fontId="24" fillId="28" borderId="51" xfId="0" applyFont="1" applyFill="1" applyBorder="1" applyAlignment="1">
      <alignment wrapText="1"/>
    </xf>
    <xf numFmtId="9" fontId="24" fillId="28" borderId="51" xfId="40" applyFont="1" applyFill="1" applyBorder="1" applyAlignment="1">
      <alignment wrapText="1"/>
    </xf>
    <xf numFmtId="172" fontId="24" fillId="28" borderId="51" xfId="49" applyNumberFormat="1" applyFont="1" applyFill="1" applyBorder="1" applyAlignment="1">
      <alignment wrapText="1"/>
    </xf>
    <xf numFmtId="0" fontId="6" fillId="79" borderId="0" xfId="0" applyFont="1" applyFill="1"/>
    <xf numFmtId="167" fontId="41" fillId="79" borderId="55" xfId="49" applyNumberFormat="1" applyFont="1" applyFill="1" applyBorder="1"/>
    <xf numFmtId="167" fontId="6" fillId="80" borderId="0" xfId="0" applyNumberFormat="1" applyFont="1" applyFill="1"/>
    <xf numFmtId="167" fontId="41" fillId="80" borderId="55" xfId="49" applyNumberFormat="1" applyFont="1" applyFill="1" applyBorder="1"/>
    <xf numFmtId="9" fontId="41" fillId="80" borderId="0" xfId="40" applyFont="1" applyFill="1"/>
    <xf numFmtId="0" fontId="6" fillId="0" borderId="0" xfId="0" applyFont="1" applyAlignment="1">
      <alignment wrapText="1"/>
    </xf>
    <xf numFmtId="171" fontId="109" fillId="0" borderId="0" xfId="0" applyNumberFormat="1" applyFont="1"/>
    <xf numFmtId="167" fontId="0" fillId="0" borderId="0" xfId="0" applyNumberFormat="1" applyAlignment="1">
      <alignment vertical="center" wrapText="1"/>
    </xf>
    <xf numFmtId="167" fontId="40" fillId="0" borderId="0" xfId="0" applyNumberFormat="1" applyFont="1" applyAlignment="1">
      <alignment vertical="center" wrapText="1"/>
    </xf>
    <xf numFmtId="167" fontId="0" fillId="78" borderId="0" xfId="0" applyNumberFormat="1" applyFill="1" applyAlignment="1">
      <alignment horizontal="left" vertical="center" wrapText="1"/>
    </xf>
    <xf numFmtId="167" fontId="0" fillId="0" borderId="0" xfId="0" applyNumberFormat="1" applyAlignment="1">
      <alignment horizontal="left" vertical="center" wrapText="1"/>
    </xf>
    <xf numFmtId="167" fontId="0" fillId="33" borderId="0" xfId="0" applyNumberFormat="1" applyFill="1" applyAlignment="1">
      <alignment vertical="center" wrapText="1"/>
    </xf>
    <xf numFmtId="167" fontId="0" fillId="31" borderId="0" xfId="0" applyNumberFormat="1" applyFill="1" applyAlignment="1">
      <alignment horizontal="left" vertical="center" wrapText="1"/>
    </xf>
    <xf numFmtId="167" fontId="0" fillId="31" borderId="0" xfId="0" applyNumberFormat="1" applyFill="1" applyAlignment="1">
      <alignment vertical="center" wrapText="1"/>
    </xf>
    <xf numFmtId="0" fontId="40" fillId="34" borderId="0" xfId="0" applyFont="1" applyFill="1" applyAlignment="1">
      <alignment vertical="center" wrapText="1"/>
    </xf>
    <xf numFmtId="0" fontId="10" fillId="25" borderId="0" xfId="0" applyFont="1" applyFill="1" applyAlignment="1">
      <alignment vertical="center"/>
    </xf>
    <xf numFmtId="3" fontId="40" fillId="83" borderId="0" xfId="0" applyNumberFormat="1" applyFont="1" applyFill="1"/>
    <xf numFmtId="167" fontId="40" fillId="83" borderId="0" xfId="0" applyNumberFormat="1" applyFont="1" applyFill="1"/>
    <xf numFmtId="167" fontId="0" fillId="26" borderId="0" xfId="0" applyNumberFormat="1" applyFill="1"/>
    <xf numFmtId="0" fontId="115" fillId="0" borderId="0" xfId="0" applyFont="1"/>
    <xf numFmtId="167" fontId="0" fillId="32" borderId="0" xfId="0" applyNumberFormat="1" applyFill="1" applyAlignment="1">
      <alignment horizontal="left" vertical="center" wrapText="1"/>
    </xf>
    <xf numFmtId="167" fontId="0" fillId="32" borderId="0" xfId="0" applyNumberFormat="1" applyFill="1" applyAlignment="1">
      <alignment vertical="center" wrapText="1"/>
    </xf>
    <xf numFmtId="167" fontId="41" fillId="0" borderId="55" xfId="0" applyNumberFormat="1" applyFont="1" applyBorder="1" applyAlignment="1">
      <alignment vertical="center" wrapText="1"/>
    </xf>
    <xf numFmtId="167" fontId="41" fillId="0" borderId="0" xfId="0" applyNumberFormat="1" applyFont="1" applyAlignment="1">
      <alignment vertical="center" wrapText="1"/>
    </xf>
    <xf numFmtId="167" fontId="6" fillId="0" borderId="0" xfId="0" applyNumberFormat="1" applyFont="1" applyAlignment="1">
      <alignment horizontal="left" vertical="center" wrapText="1"/>
    </xf>
    <xf numFmtId="167" fontId="0" fillId="78" borderId="0" xfId="0" applyNumberFormat="1" applyFill="1" applyAlignment="1">
      <alignment vertical="center" wrapText="1"/>
    </xf>
    <xf numFmtId="0" fontId="46" fillId="44" borderId="56" xfId="53" applyBorder="1" applyAlignment="1">
      <alignment vertical="center" wrapText="1"/>
    </xf>
    <xf numFmtId="167" fontId="0" fillId="0" borderId="0" xfId="0" applyNumberFormat="1" applyAlignment="1">
      <alignment horizontal="center" vertical="center" wrapText="1"/>
    </xf>
    <xf numFmtId="167" fontId="41" fillId="0" borderId="0" xfId="0" applyNumberFormat="1" applyFont="1" applyAlignment="1">
      <alignment horizontal="center" vertical="center" wrapText="1"/>
    </xf>
    <xf numFmtId="167" fontId="6" fillId="0" borderId="0" xfId="0" applyNumberFormat="1" applyFont="1" applyAlignment="1">
      <alignment vertical="center" wrapText="1"/>
    </xf>
    <xf numFmtId="167" fontId="41" fillId="84" borderId="0" xfId="0" applyNumberFormat="1" applyFont="1" applyFill="1" applyAlignment="1">
      <alignment vertical="center" wrapText="1"/>
    </xf>
    <xf numFmtId="167" fontId="41" fillId="81" borderId="0" xfId="0" applyNumberFormat="1" applyFont="1" applyFill="1" applyAlignment="1">
      <alignment vertical="center" wrapText="1"/>
    </xf>
    <xf numFmtId="167" fontId="6" fillId="0" borderId="0" xfId="0" applyNumberFormat="1" applyFont="1" applyAlignment="1">
      <alignment horizontal="center" vertical="center" wrapText="1"/>
    </xf>
    <xf numFmtId="0" fontId="41" fillId="33" borderId="0" xfId="0" applyFont="1" applyFill="1" applyAlignment="1">
      <alignment wrapText="1"/>
    </xf>
    <xf numFmtId="167" fontId="41" fillId="79" borderId="22" xfId="49" applyNumberFormat="1" applyFont="1" applyFill="1" applyBorder="1"/>
    <xf numFmtId="167" fontId="41" fillId="79" borderId="22" xfId="0" applyNumberFormat="1" applyFont="1" applyFill="1" applyBorder="1"/>
    <xf numFmtId="167" fontId="41" fillId="80" borderId="22" xfId="0" applyNumberFormat="1" applyFont="1" applyFill="1" applyBorder="1"/>
    <xf numFmtId="167" fontId="41" fillId="80" borderId="22" xfId="49" applyNumberFormat="1" applyFont="1" applyFill="1" applyBorder="1"/>
    <xf numFmtId="9" fontId="41" fillId="80" borderId="22" xfId="40" applyFont="1" applyFill="1" applyBorder="1"/>
    <xf numFmtId="167" fontId="30" fillId="80" borderId="22" xfId="0" applyNumberFormat="1" applyFont="1" applyFill="1" applyBorder="1" applyAlignment="1">
      <alignment vertical="center"/>
    </xf>
    <xf numFmtId="167" fontId="41" fillId="80" borderId="22" xfId="0" applyNumberFormat="1" applyFont="1" applyFill="1" applyBorder="1" applyAlignment="1">
      <alignment horizontal="center"/>
    </xf>
    <xf numFmtId="0" fontId="6" fillId="80" borderId="22" xfId="0" applyFont="1" applyFill="1" applyBorder="1"/>
    <xf numFmtId="0" fontId="41" fillId="80" borderId="0" xfId="0" applyFont="1" applyFill="1" applyAlignment="1">
      <alignment horizontal="center" vertical="center"/>
    </xf>
    <xf numFmtId="167" fontId="41" fillId="80" borderId="0" xfId="0" applyNumberFormat="1" applyFont="1" applyFill="1" applyAlignment="1">
      <alignment vertical="center"/>
    </xf>
    <xf numFmtId="0" fontId="41" fillId="80" borderId="0" xfId="0" applyFont="1" applyFill="1" applyAlignment="1">
      <alignment vertical="center" wrapText="1"/>
    </xf>
    <xf numFmtId="9" fontId="6" fillId="85" borderId="0" xfId="40" applyFill="1"/>
    <xf numFmtId="49" fontId="31" fillId="0" borderId="46" xfId="30" applyNumberFormat="1" applyFont="1" applyFill="1" applyBorder="1" applyAlignment="1" applyProtection="1">
      <alignment vertical="center"/>
      <protection locked="0"/>
    </xf>
    <xf numFmtId="167" fontId="31" fillId="0" borderId="46" xfId="30" applyNumberFormat="1" applyFont="1" applyFill="1" applyBorder="1" applyAlignment="1">
      <alignment vertical="center"/>
    </xf>
    <xf numFmtId="0" fontId="20" fillId="33" borderId="0" xfId="0" applyFont="1" applyFill="1"/>
    <xf numFmtId="167" fontId="109" fillId="0" borderId="0" xfId="0" applyNumberFormat="1" applyFont="1"/>
    <xf numFmtId="171" fontId="109" fillId="0" borderId="46" xfId="40" applyNumberFormat="1" applyFont="1" applyBorder="1" applyAlignment="1">
      <alignment vertical="center"/>
    </xf>
    <xf numFmtId="171" fontId="109" fillId="0" borderId="46" xfId="40" applyNumberFormat="1" applyFont="1" applyBorder="1"/>
    <xf numFmtId="9" fontId="109" fillId="0" borderId="46" xfId="760" applyNumberFormat="1" applyFont="1" applyFill="1" applyBorder="1"/>
    <xf numFmtId="9" fontId="109" fillId="0" borderId="46" xfId="0" applyNumberFormat="1" applyFont="1" applyBorder="1"/>
    <xf numFmtId="9" fontId="109" fillId="0" borderId="46" xfId="520" applyNumberFormat="1" applyFont="1" applyFill="1" applyBorder="1"/>
    <xf numFmtId="167" fontId="6" fillId="32" borderId="0" xfId="0" applyNumberFormat="1" applyFont="1" applyFill="1" applyAlignment="1">
      <alignment horizontal="left" vertical="center" wrapText="1"/>
    </xf>
    <xf numFmtId="171" fontId="31" fillId="0" borderId="0" xfId="40" applyNumberFormat="1" applyFont="1" applyAlignment="1">
      <alignment vertical="center"/>
    </xf>
    <xf numFmtId="0" fontId="31" fillId="32" borderId="46" xfId="30" applyFont="1" applyFill="1" applyBorder="1" applyAlignment="1" applyProtection="1">
      <alignment vertical="center"/>
      <protection locked="0"/>
    </xf>
    <xf numFmtId="0" fontId="36" fillId="28" borderId="46" xfId="30" applyFont="1" applyFill="1" applyBorder="1" applyAlignment="1" applyProtection="1">
      <alignment vertical="center" wrapText="1"/>
      <protection locked="0"/>
    </xf>
    <xf numFmtId="9" fontId="31" fillId="0" borderId="46" xfId="30" applyNumberFormat="1" applyFont="1" applyFill="1" applyBorder="1" applyAlignment="1" applyProtection="1">
      <alignment vertical="center"/>
      <protection locked="0"/>
    </xf>
    <xf numFmtId="9" fontId="119" fillId="7" borderId="46" xfId="35" applyNumberFormat="1" applyFont="1" applyBorder="1" applyAlignment="1">
      <alignment horizontal="right" vertical="center"/>
    </xf>
    <xf numFmtId="0" fontId="36" fillId="28" borderId="20" xfId="57" applyFont="1" applyFill="1" applyBorder="1" applyAlignment="1" applyProtection="1">
      <alignment horizontal="center" vertical="top" wrapText="1"/>
      <protection locked="0"/>
    </xf>
    <xf numFmtId="0" fontId="36" fillId="28" borderId="0" xfId="57" applyFont="1" applyFill="1" applyAlignment="1" applyProtection="1">
      <alignment horizontal="center" vertical="top" wrapText="1"/>
      <protection locked="0"/>
    </xf>
    <xf numFmtId="49" fontId="31" fillId="0" borderId="0" xfId="30" applyNumberFormat="1" applyFont="1" applyFill="1" applyAlignment="1" applyProtection="1">
      <alignment vertical="center"/>
      <protection locked="0"/>
    </xf>
    <xf numFmtId="0" fontId="20" fillId="86" borderId="0" xfId="0" applyFont="1" applyFill="1"/>
    <xf numFmtId="0" fontId="30" fillId="33" borderId="0" xfId="0" applyFont="1" applyFill="1" applyAlignment="1">
      <alignment vertical="top" wrapText="1"/>
    </xf>
    <xf numFmtId="0" fontId="31" fillId="25"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3" fontId="31" fillId="0" borderId="0" xfId="0" applyNumberFormat="1" applyFont="1" applyAlignment="1">
      <alignment horizontal="center" vertical="center"/>
    </xf>
    <xf numFmtId="3" fontId="30" fillId="0" borderId="0" xfId="0" applyNumberFormat="1" applyFont="1" applyAlignment="1">
      <alignment horizontal="center" vertical="center"/>
    </xf>
    <xf numFmtId="168" fontId="30" fillId="27" borderId="3" xfId="26" applyNumberFormat="1" applyFont="1"/>
    <xf numFmtId="9" fontId="31" fillId="0" borderId="23" xfId="30" applyNumberFormat="1" applyFont="1" applyFill="1" applyBorder="1" applyAlignment="1" applyProtection="1">
      <alignment vertical="center"/>
      <protection locked="0"/>
    </xf>
    <xf numFmtId="0" fontId="31" fillId="33" borderId="0" xfId="0" applyFont="1" applyFill="1" applyAlignment="1">
      <alignment vertical="center"/>
    </xf>
    <xf numFmtId="0" fontId="31" fillId="33" borderId="0" xfId="0" applyFont="1" applyFill="1" applyAlignment="1">
      <alignment vertical="top"/>
    </xf>
    <xf numFmtId="167" fontId="31" fillId="0" borderId="0" xfId="0" applyNumberFormat="1" applyFont="1" applyAlignment="1">
      <alignment vertical="center"/>
    </xf>
    <xf numFmtId="167" fontId="31" fillId="0" borderId="0" xfId="30" applyNumberFormat="1" applyFont="1" applyFill="1" applyAlignment="1">
      <alignment vertical="center"/>
    </xf>
    <xf numFmtId="170" fontId="30" fillId="0" borderId="0" xfId="28" applyNumberFormat="1" applyFont="1" applyAlignment="1">
      <alignment vertical="center"/>
    </xf>
    <xf numFmtId="170" fontId="31" fillId="0" borderId="0" xfId="28" applyNumberFormat="1" applyFont="1" applyAlignment="1">
      <alignment vertical="center"/>
    </xf>
    <xf numFmtId="167" fontId="116" fillId="0" borderId="0" xfId="30" applyNumberFormat="1" applyFont="1" applyFill="1" applyAlignment="1">
      <alignment vertical="center"/>
    </xf>
    <xf numFmtId="210" fontId="31" fillId="0" borderId="0" xfId="49" applyNumberFormat="1" applyFont="1" applyAlignment="1">
      <alignment vertical="center"/>
    </xf>
    <xf numFmtId="0" fontId="6" fillId="26" borderId="0" xfId="221" applyFill="1"/>
    <xf numFmtId="0" fontId="28" fillId="26" borderId="0" xfId="221" applyFont="1" applyFill="1"/>
    <xf numFmtId="0" fontId="20" fillId="26" borderId="0" xfId="221" applyFont="1" applyFill="1"/>
    <xf numFmtId="0" fontId="20" fillId="26" borderId="0" xfId="221" applyFont="1" applyFill="1" applyAlignment="1">
      <alignment vertical="center"/>
    </xf>
    <xf numFmtId="0" fontId="6" fillId="0" borderId="0" xfId="221"/>
    <xf numFmtId="0" fontId="121" fillId="0" borderId="0" xfId="0" applyFont="1"/>
    <xf numFmtId="167" fontId="122" fillId="0" borderId="0" xfId="0" applyNumberFormat="1" applyFont="1"/>
    <xf numFmtId="0" fontId="123" fillId="0" borderId="0" xfId="0" applyFont="1"/>
    <xf numFmtId="0" fontId="123" fillId="0" borderId="0" xfId="0" applyFont="1" applyAlignment="1">
      <alignment horizontal="left"/>
    </xf>
    <xf numFmtId="0" fontId="122" fillId="0" borderId="0" xfId="0" applyFont="1"/>
    <xf numFmtId="167" fontId="122" fillId="26" borderId="0" xfId="0" applyNumberFormat="1" applyFont="1" applyFill="1"/>
    <xf numFmtId="167" fontId="122" fillId="82" borderId="0" xfId="0" applyNumberFormat="1" applyFont="1" applyFill="1"/>
    <xf numFmtId="0" fontId="20" fillId="82" borderId="0" xfId="0" applyFont="1" applyFill="1"/>
    <xf numFmtId="167" fontId="122" fillId="84" borderId="0" xfId="0" applyNumberFormat="1" applyFont="1" applyFill="1"/>
    <xf numFmtId="167" fontId="122" fillId="30" borderId="0" xfId="0" applyNumberFormat="1" applyFont="1" applyFill="1"/>
    <xf numFmtId="0" fontId="20" fillId="84" borderId="0" xfId="0" applyFont="1" applyFill="1"/>
    <xf numFmtId="0" fontId="20" fillId="30" borderId="0" xfId="0" applyFont="1" applyFill="1"/>
    <xf numFmtId="167" fontId="122" fillId="33" borderId="0" xfId="0" applyNumberFormat="1" applyFont="1" applyFill="1"/>
    <xf numFmtId="167" fontId="123" fillId="0" borderId="55" xfId="0" applyNumberFormat="1" applyFont="1" applyBorder="1"/>
    <xf numFmtId="167" fontId="123" fillId="0" borderId="0" xfId="0" applyNumberFormat="1" applyFont="1"/>
    <xf numFmtId="0" fontId="24" fillId="0" borderId="55" xfId="0" applyFont="1" applyBorder="1"/>
    <xf numFmtId="0" fontId="124" fillId="0" borderId="0" xfId="0" applyFont="1"/>
    <xf numFmtId="0" fontId="122" fillId="0" borderId="0" xfId="0" applyFont="1" applyAlignment="1">
      <alignment vertical="center" wrapText="1"/>
    </xf>
    <xf numFmtId="0" fontId="123" fillId="0" borderId="0" xfId="0" applyFont="1" applyAlignment="1">
      <alignment horizontal="center" wrapText="1"/>
    </xf>
    <xf numFmtId="3" fontId="123" fillId="0" borderId="0" xfId="0" applyNumberFormat="1" applyFont="1" applyAlignment="1">
      <alignment horizontal="center" wrapText="1"/>
    </xf>
    <xf numFmtId="211" fontId="123" fillId="0" borderId="0" xfId="0" applyNumberFormat="1" applyFont="1" applyAlignment="1">
      <alignment horizontal="center" wrapText="1"/>
    </xf>
    <xf numFmtId="3" fontId="122" fillId="0" borderId="0" xfId="0" applyNumberFormat="1" applyFont="1"/>
    <xf numFmtId="3" fontId="122" fillId="0" borderId="0" xfId="0" applyNumberFormat="1" applyFont="1" applyAlignment="1">
      <alignment horizontal="center"/>
    </xf>
    <xf numFmtId="3" fontId="123" fillId="0" borderId="0" xfId="0" applyNumberFormat="1" applyFont="1"/>
    <xf numFmtId="3" fontId="123" fillId="0" borderId="55" xfId="0" applyNumberFormat="1" applyFont="1" applyBorder="1"/>
    <xf numFmtId="169" fontId="0" fillId="0" borderId="0" xfId="0" applyNumberFormat="1"/>
    <xf numFmtId="0" fontId="41" fillId="0" borderId="0" xfId="0" applyFont="1"/>
    <xf numFmtId="167" fontId="41" fillId="0" borderId="0" xfId="0" applyNumberFormat="1" applyFont="1"/>
    <xf numFmtId="0" fontId="20" fillId="87" borderId="0" xfId="0" applyFont="1" applyFill="1"/>
    <xf numFmtId="0" fontId="28" fillId="87" borderId="0" xfId="0" applyFont="1" applyFill="1"/>
    <xf numFmtId="167" fontId="109" fillId="80" borderId="0" xfId="0" applyNumberFormat="1" applyFont="1" applyFill="1" applyAlignment="1">
      <alignment horizontal="center"/>
    </xf>
    <xf numFmtId="167" fontId="41" fillId="80" borderId="55" xfId="0" applyNumberFormat="1" applyFont="1" applyFill="1" applyBorder="1"/>
    <xf numFmtId="168" fontId="31" fillId="0" borderId="0" xfId="0" applyNumberFormat="1" applyFont="1" applyAlignment="1">
      <alignment vertical="top"/>
    </xf>
    <xf numFmtId="168" fontId="31" fillId="33" borderId="0" xfId="0" applyNumberFormat="1" applyFont="1" applyFill="1" applyAlignment="1">
      <alignment vertical="top"/>
    </xf>
    <xf numFmtId="212" fontId="0" fillId="0" borderId="0" xfId="40" applyNumberFormat="1" applyFont="1"/>
    <xf numFmtId="0" fontId="28" fillId="88" borderId="0" xfId="221" applyFont="1" applyFill="1"/>
    <xf numFmtId="0" fontId="20" fillId="88" borderId="0" xfId="221" applyFont="1" applyFill="1"/>
    <xf numFmtId="0" fontId="20" fillId="88" borderId="0" xfId="0" applyFont="1" applyFill="1"/>
    <xf numFmtId="0" fontId="6" fillId="88" borderId="0" xfId="0" applyFont="1" applyFill="1"/>
    <xf numFmtId="0" fontId="6" fillId="88" borderId="0" xfId="221" applyFill="1"/>
    <xf numFmtId="0" fontId="0" fillId="88" borderId="0" xfId="0" applyFill="1"/>
    <xf numFmtId="0" fontId="28" fillId="88" borderId="0" xfId="0" applyFont="1" applyFill="1"/>
    <xf numFmtId="0" fontId="27" fillId="88" borderId="0" xfId="0" applyFont="1" applyFill="1"/>
    <xf numFmtId="167" fontId="0" fillId="88" borderId="0" xfId="0" applyNumberFormat="1" applyFill="1"/>
    <xf numFmtId="44" fontId="40" fillId="88" borderId="0" xfId="0" applyNumberFormat="1" applyFont="1" applyFill="1" applyAlignment="1">
      <alignment vertical="center" wrapText="1"/>
    </xf>
    <xf numFmtId="0" fontId="40" fillId="88" borderId="0" xfId="0" applyFont="1" applyFill="1" applyAlignment="1">
      <alignment vertical="center" wrapText="1"/>
    </xf>
    <xf numFmtId="0" fontId="0" fillId="88" borderId="0" xfId="0" applyFill="1" applyAlignment="1">
      <alignment vertical="center" wrapText="1"/>
    </xf>
    <xf numFmtId="167" fontId="40" fillId="88" borderId="55" xfId="0" applyNumberFormat="1" applyFont="1" applyFill="1" applyBorder="1"/>
    <xf numFmtId="0" fontId="41" fillId="88" borderId="0" xfId="0" applyFont="1" applyFill="1"/>
    <xf numFmtId="43" fontId="31" fillId="0" borderId="0" xfId="0" applyNumberFormat="1" applyFont="1" applyAlignment="1">
      <alignment vertical="center"/>
    </xf>
    <xf numFmtId="3" fontId="31" fillId="25" borderId="0" xfId="0" applyNumberFormat="1" applyFont="1" applyFill="1" applyAlignment="1">
      <alignment vertical="center" wrapText="1"/>
    </xf>
    <xf numFmtId="3" fontId="36" fillId="29" borderId="21" xfId="0" applyNumberFormat="1" applyFont="1" applyFill="1" applyBorder="1" applyAlignment="1">
      <alignment horizontal="center" vertical="center" wrapText="1"/>
    </xf>
    <xf numFmtId="49" fontId="36" fillId="29" borderId="23" xfId="0" applyNumberFormat="1" applyFont="1" applyFill="1" applyBorder="1" applyAlignment="1">
      <alignment horizontal="center" vertical="center" wrapText="1"/>
    </xf>
    <xf numFmtId="49" fontId="31" fillId="25" borderId="0" xfId="0" applyNumberFormat="1" applyFont="1" applyFill="1" applyAlignment="1">
      <alignment vertical="center" wrapText="1"/>
    </xf>
    <xf numFmtId="49" fontId="31" fillId="79" borderId="0" xfId="0" applyNumberFormat="1" applyFont="1" applyFill="1" applyAlignment="1">
      <alignment vertical="center" wrapText="1"/>
    </xf>
    <xf numFmtId="0" fontId="31" fillId="0" borderId="0" xfId="0" applyFont="1" applyAlignment="1">
      <alignment vertical="center" wrapText="1"/>
    </xf>
    <xf numFmtId="0" fontId="31" fillId="32" borderId="46" xfId="30" applyFont="1" applyFill="1" applyBorder="1" applyAlignment="1" applyProtection="1">
      <alignment vertical="center" wrapText="1"/>
      <protection locked="0"/>
    </xf>
    <xf numFmtId="49" fontId="30" fillId="0" borderId="0" xfId="0" applyNumberFormat="1" applyFont="1" applyAlignment="1">
      <alignment vertical="center" wrapText="1"/>
    </xf>
    <xf numFmtId="3" fontId="31" fillId="0" borderId="0" xfId="0" applyNumberFormat="1" applyFont="1" applyAlignment="1">
      <alignment vertical="center" wrapText="1"/>
    </xf>
    <xf numFmtId="3" fontId="30" fillId="0" borderId="0" xfId="0" applyNumberFormat="1" applyFont="1" applyAlignment="1">
      <alignment vertical="center" wrapText="1"/>
    </xf>
    <xf numFmtId="0" fontId="0" fillId="0" borderId="0" xfId="0" applyAlignment="1">
      <alignment vertical="center"/>
    </xf>
    <xf numFmtId="167" fontId="36" fillId="28" borderId="0" xfId="30" applyNumberFormat="1" applyFont="1" applyFill="1" applyAlignment="1">
      <alignment horizontal="center" vertical="center"/>
    </xf>
    <xf numFmtId="49" fontId="36" fillId="28" borderId="46" xfId="30" applyNumberFormat="1" applyFont="1" applyFill="1" applyBorder="1" applyAlignment="1" applyProtection="1">
      <alignment vertical="center" wrapText="1"/>
      <protection locked="0"/>
    </xf>
    <xf numFmtId="167" fontId="36" fillId="28" borderId="46" xfId="30" applyNumberFormat="1" applyFont="1" applyFill="1" applyBorder="1" applyAlignment="1" applyProtection="1">
      <alignment horizontal="right" vertical="center" wrapText="1"/>
      <protection locked="0"/>
    </xf>
    <xf numFmtId="0" fontId="36" fillId="28" borderId="46" xfId="35" applyFont="1" applyFill="1" applyBorder="1" applyAlignment="1">
      <alignment horizontal="center" vertical="center" wrapText="1"/>
    </xf>
    <xf numFmtId="0" fontId="113" fillId="28" borderId="46" xfId="35" applyFont="1" applyFill="1" applyBorder="1" applyAlignment="1">
      <alignment horizontal="center" vertical="center" wrapText="1"/>
    </xf>
    <xf numFmtId="0" fontId="113" fillId="28" borderId="46" xfId="26" applyFont="1" applyFill="1" applyBorder="1" applyAlignment="1">
      <alignment horizontal="right" vertical="center" wrapText="1"/>
    </xf>
    <xf numFmtId="0" fontId="113" fillId="28" borderId="46" xfId="35" applyFont="1" applyFill="1" applyBorder="1" applyAlignment="1">
      <alignment horizontal="right" vertical="center" wrapText="1"/>
    </xf>
    <xf numFmtId="0" fontId="36" fillId="28" borderId="46" xfId="35" applyFont="1" applyFill="1" applyBorder="1" applyAlignment="1">
      <alignment horizontal="right" vertical="center" wrapText="1"/>
    </xf>
    <xf numFmtId="0" fontId="36" fillId="28" borderId="46" xfId="26" applyFont="1" applyFill="1" applyBorder="1" applyAlignment="1">
      <alignment horizontal="right" vertical="center" wrapText="1"/>
    </xf>
    <xf numFmtId="0" fontId="36" fillId="0" borderId="8" xfId="30" applyFont="1" applyFill="1" applyBorder="1" applyAlignment="1" applyProtection="1">
      <alignment vertical="center" wrapText="1"/>
      <protection locked="0"/>
    </xf>
    <xf numFmtId="0" fontId="36" fillId="28" borderId="3" xfId="26" applyFont="1" applyFill="1" applyAlignment="1">
      <alignment horizontal="right" vertical="center" wrapText="1"/>
    </xf>
    <xf numFmtId="0" fontId="30" fillId="26" borderId="0" xfId="0" applyFont="1" applyFill="1" applyAlignment="1">
      <alignment vertical="center"/>
    </xf>
    <xf numFmtId="0" fontId="109" fillId="79" borderId="0" xfId="0" applyFont="1" applyFill="1" applyAlignment="1">
      <alignment vertical="center"/>
    </xf>
    <xf numFmtId="168" fontId="30" fillId="27" borderId="46" xfId="26" applyNumberFormat="1" applyFont="1" applyBorder="1" applyAlignment="1">
      <alignment vertical="center"/>
    </xf>
    <xf numFmtId="9" fontId="30" fillId="27" borderId="46" xfId="26" applyNumberFormat="1" applyFont="1" applyBorder="1" applyAlignment="1">
      <alignment vertical="center"/>
    </xf>
    <xf numFmtId="1" fontId="31" fillId="26" borderId="46" xfId="28" applyNumberFormat="1" applyFont="1" applyFill="1" applyBorder="1" applyAlignment="1">
      <alignment horizontal="center" vertical="center"/>
    </xf>
    <xf numFmtId="168" fontId="30" fillId="78" borderId="46" xfId="26" applyNumberFormat="1" applyFont="1" applyFill="1" applyBorder="1" applyAlignment="1">
      <alignment horizontal="center" vertical="center"/>
    </xf>
    <xf numFmtId="0" fontId="6" fillId="0" borderId="0" xfId="0" applyFont="1" applyAlignment="1">
      <alignment vertical="center"/>
    </xf>
    <xf numFmtId="171" fontId="30" fillId="27" borderId="46" xfId="26" applyNumberFormat="1" applyFont="1" applyBorder="1" applyAlignment="1">
      <alignment vertical="center"/>
    </xf>
    <xf numFmtId="168" fontId="30" fillId="0" borderId="0" xfId="0" applyNumberFormat="1" applyFont="1" applyAlignment="1">
      <alignment vertical="center"/>
    </xf>
    <xf numFmtId="166" fontId="6" fillId="0" borderId="0" xfId="28" applyNumberFormat="1" applyAlignment="1">
      <alignment vertical="center"/>
    </xf>
    <xf numFmtId="0" fontId="109" fillId="0" borderId="46" xfId="35" applyFont="1" applyFill="1" applyBorder="1" applyAlignment="1">
      <alignment vertical="center" wrapText="1"/>
    </xf>
    <xf numFmtId="0" fontId="34" fillId="79" borderId="0" xfId="30" applyFill="1" applyAlignment="1" applyProtection="1">
      <alignment vertical="center" wrapText="1"/>
      <protection locked="0"/>
    </xf>
    <xf numFmtId="0" fontId="41" fillId="79" borderId="0" xfId="0" applyFont="1" applyFill="1" applyAlignment="1">
      <alignment wrapText="1"/>
    </xf>
    <xf numFmtId="0" fontId="0" fillId="79" borderId="0" xfId="0" quotePrefix="1" applyFill="1" applyAlignment="1">
      <alignment wrapText="1"/>
    </xf>
    <xf numFmtId="0" fontId="0" fillId="79" borderId="0" xfId="0" applyFill="1" applyAlignment="1">
      <alignment horizontal="left" wrapText="1"/>
    </xf>
    <xf numFmtId="0" fontId="41" fillId="79" borderId="0" xfId="0" applyFont="1" applyFill="1" applyAlignment="1">
      <alignment horizontal="right" wrapText="1"/>
    </xf>
    <xf numFmtId="167" fontId="0" fillId="79" borderId="0" xfId="0" applyNumberFormat="1" applyFill="1" applyAlignment="1">
      <alignment wrapText="1"/>
    </xf>
    <xf numFmtId="3" fontId="41" fillId="79" borderId="0" xfId="0" applyNumberFormat="1" applyFont="1" applyFill="1" applyAlignment="1">
      <alignment wrapText="1"/>
    </xf>
    <xf numFmtId="4" fontId="41" fillId="79" borderId="0" xfId="0" applyNumberFormat="1" applyFont="1" applyFill="1" applyAlignment="1">
      <alignment wrapText="1"/>
    </xf>
    <xf numFmtId="3" fontId="0" fillId="79" borderId="0" xfId="0" applyNumberFormat="1" applyFill="1" applyAlignment="1">
      <alignment wrapText="1"/>
    </xf>
    <xf numFmtId="0" fontId="0" fillId="0" borderId="0" xfId="0" applyAlignment="1">
      <alignment horizontal="left" wrapText="1"/>
    </xf>
    <xf numFmtId="0" fontId="109" fillId="79" borderId="0" xfId="0" applyFont="1" applyFill="1" applyAlignment="1">
      <alignment horizontal="center"/>
    </xf>
    <xf numFmtId="9" fontId="0" fillId="25" borderId="0" xfId="40" applyFont="1" applyFill="1" applyAlignment="1">
      <alignment horizontal="center"/>
    </xf>
    <xf numFmtId="9" fontId="0" fillId="0" borderId="0" xfId="40" applyFont="1" applyAlignment="1">
      <alignment horizontal="center"/>
    </xf>
    <xf numFmtId="9" fontId="109" fillId="0" borderId="46" xfId="40" applyFont="1" applyBorder="1" applyAlignment="1">
      <alignment horizontal="center"/>
    </xf>
    <xf numFmtId="9" fontId="41" fillId="79" borderId="0" xfId="40" applyFont="1" applyFill="1" applyAlignment="1">
      <alignment horizontal="center"/>
    </xf>
    <xf numFmtId="9" fontId="0" fillId="79" borderId="0" xfId="40" applyFont="1" applyFill="1" applyAlignment="1">
      <alignment horizontal="center"/>
    </xf>
    <xf numFmtId="0" fontId="0" fillId="79" borderId="0" xfId="0" applyFill="1" applyAlignment="1">
      <alignment horizontal="center"/>
    </xf>
    <xf numFmtId="0" fontId="41" fillId="79" borderId="0" xfId="0" applyFont="1" applyFill="1" applyAlignment="1">
      <alignment horizontal="center"/>
    </xf>
    <xf numFmtId="167" fontId="0" fillId="79" borderId="0" xfId="0" applyNumberFormat="1" applyFill="1" applyAlignment="1">
      <alignment horizontal="center"/>
    </xf>
    <xf numFmtId="4" fontId="41" fillId="79" borderId="0" xfId="0" applyNumberFormat="1" applyFont="1" applyFill="1" applyAlignment="1">
      <alignment horizontal="center"/>
    </xf>
    <xf numFmtId="0" fontId="0" fillId="0" borderId="0" xfId="0" applyAlignment="1">
      <alignment horizontal="center"/>
    </xf>
    <xf numFmtId="0" fontId="0" fillId="25" borderId="0" xfId="0" applyFill="1" applyAlignment="1">
      <alignment horizontal="center"/>
    </xf>
    <xf numFmtId="49" fontId="109" fillId="0" borderId="46" xfId="35" applyNumberFormat="1" applyFont="1" applyFill="1" applyBorder="1" applyAlignment="1">
      <alignment horizontal="center" vertical="center"/>
    </xf>
    <xf numFmtId="0" fontId="109" fillId="0" borderId="46" xfId="520" applyFont="1" applyFill="1" applyBorder="1" applyAlignment="1">
      <alignment horizontal="center" vertical="center"/>
    </xf>
    <xf numFmtId="0" fontId="109" fillId="0" borderId="46" xfId="0" applyFont="1" applyBorder="1" applyAlignment="1">
      <alignment horizontal="left" wrapText="1"/>
    </xf>
    <xf numFmtId="0" fontId="36" fillId="28" borderId="0" xfId="30" applyFont="1" applyFill="1" applyAlignment="1">
      <alignment horizontal="left" vertical="center" wrapText="1"/>
    </xf>
    <xf numFmtId="49" fontId="36" fillId="28" borderId="20" xfId="30" applyNumberFormat="1" applyFont="1" applyFill="1" applyBorder="1" applyAlignment="1">
      <alignment horizontal="center" vertical="center" wrapText="1"/>
    </xf>
    <xf numFmtId="0" fontId="36" fillId="28" borderId="12" xfId="30" applyFont="1" applyFill="1" applyBorder="1" applyAlignment="1">
      <alignment horizontal="center" vertical="center" wrapText="1"/>
    </xf>
    <xf numFmtId="167" fontId="36" fillId="28" borderId="20" xfId="30" applyNumberFormat="1" applyFont="1" applyFill="1" applyBorder="1" applyAlignment="1">
      <alignment horizontal="center" vertical="center"/>
    </xf>
    <xf numFmtId="167" fontId="36" fillId="28" borderId="12" xfId="30" applyNumberFormat="1" applyFont="1" applyFill="1" applyBorder="1" applyAlignment="1">
      <alignment horizontal="center" vertical="center"/>
    </xf>
    <xf numFmtId="0" fontId="36" fillId="28" borderId="0" xfId="0" applyFont="1" applyFill="1" applyAlignment="1">
      <alignment vertical="center"/>
    </xf>
    <xf numFmtId="0" fontId="113" fillId="28" borderId="0" xfId="0" applyFont="1" applyFill="1" applyAlignment="1">
      <alignment vertical="center"/>
    </xf>
    <xf numFmtId="0" fontId="113" fillId="28" borderId="24" xfId="0" applyFont="1" applyFill="1" applyBorder="1" applyAlignment="1">
      <alignment vertical="center"/>
    </xf>
    <xf numFmtId="0" fontId="113" fillId="28" borderId="54" xfId="0" applyFont="1" applyFill="1" applyBorder="1" applyAlignment="1">
      <alignment vertical="center"/>
    </xf>
    <xf numFmtId="0" fontId="113" fillId="28" borderId="0" xfId="0" applyFont="1" applyFill="1" applyAlignment="1">
      <alignment horizontal="center" vertical="center"/>
    </xf>
    <xf numFmtId="0" fontId="36" fillId="28" borderId="24" xfId="0" applyFont="1" applyFill="1" applyBorder="1" applyAlignment="1">
      <alignment vertical="center"/>
    </xf>
    <xf numFmtId="0" fontId="36" fillId="28" borderId="54" xfId="0" applyFont="1" applyFill="1" applyBorder="1" applyAlignment="1">
      <alignment vertical="center"/>
    </xf>
    <xf numFmtId="0" fontId="36" fillId="28" borderId="57" xfId="26" applyFont="1" applyFill="1" applyBorder="1" applyAlignment="1">
      <alignment horizontal="left" vertical="center"/>
    </xf>
    <xf numFmtId="3" fontId="113" fillId="0" borderId="0" xfId="0" applyNumberFormat="1" applyFont="1" applyAlignment="1">
      <alignment horizontal="right" vertical="center"/>
    </xf>
    <xf numFmtId="9" fontId="30" fillId="0" borderId="0" xfId="0" applyNumberFormat="1" applyFont="1" applyAlignment="1">
      <alignment horizontal="right" vertical="center"/>
    </xf>
    <xf numFmtId="166" fontId="30" fillId="0" borderId="0" xfId="28" applyNumberFormat="1" applyFont="1" applyAlignment="1">
      <alignment horizontal="center" vertical="center"/>
    </xf>
    <xf numFmtId="49" fontId="31" fillId="0" borderId="0" xfId="0" applyNumberFormat="1" applyFont="1" applyAlignment="1">
      <alignment vertical="center" wrapText="1"/>
    </xf>
    <xf numFmtId="0" fontId="36" fillId="0" borderId="0" xfId="0" applyFont="1" applyAlignment="1">
      <alignment horizontal="center" vertical="center" wrapText="1"/>
    </xf>
    <xf numFmtId="168" fontId="31" fillId="79" borderId="0" xfId="0" applyNumberFormat="1" applyFont="1" applyFill="1" applyAlignment="1">
      <alignment vertical="center"/>
    </xf>
    <xf numFmtId="0" fontId="30" fillId="79" borderId="0" xfId="0" applyFont="1" applyFill="1" applyAlignment="1">
      <alignment vertical="center"/>
    </xf>
    <xf numFmtId="49" fontId="31" fillId="79" borderId="0" xfId="30" applyNumberFormat="1" applyFont="1" applyFill="1" applyAlignment="1" applyProtection="1">
      <alignment vertical="center"/>
      <protection locked="0"/>
    </xf>
    <xf numFmtId="0" fontId="31" fillId="79" borderId="46" xfId="0" applyFont="1" applyFill="1" applyBorder="1" applyAlignment="1">
      <alignment vertical="center"/>
    </xf>
    <xf numFmtId="49" fontId="31" fillId="79" borderId="46" xfId="30" applyNumberFormat="1" applyFont="1" applyFill="1" applyBorder="1" applyAlignment="1" applyProtection="1">
      <alignment vertical="center"/>
      <protection locked="0"/>
    </xf>
    <xf numFmtId="0" fontId="36" fillId="28" borderId="16" xfId="30" applyFont="1" applyFill="1" applyBorder="1" applyAlignment="1">
      <alignment horizontal="left" vertical="center" wrapText="1"/>
    </xf>
    <xf numFmtId="0" fontId="36" fillId="79" borderId="0" xfId="0" applyFont="1" applyFill="1" applyAlignment="1">
      <alignment horizontal="center" vertical="center"/>
    </xf>
    <xf numFmtId="0" fontId="31" fillId="79" borderId="0" xfId="0" applyFont="1" applyFill="1" applyAlignment="1">
      <alignment horizontal="center" vertical="center"/>
    </xf>
    <xf numFmtId="0" fontId="36" fillId="79" borderId="2" xfId="30" applyFont="1" applyFill="1" applyBorder="1" applyAlignment="1">
      <alignment horizontal="left" vertical="center" wrapText="1"/>
    </xf>
    <xf numFmtId="0" fontId="36" fillId="79" borderId="46" xfId="30" applyFont="1" applyFill="1" applyBorder="1" applyAlignment="1" applyProtection="1">
      <alignment vertical="center" wrapText="1"/>
      <protection locked="0"/>
    </xf>
    <xf numFmtId="0" fontId="30" fillId="79" borderId="46" xfId="30" applyFont="1" applyFill="1" applyBorder="1" applyAlignment="1" applyProtection="1">
      <alignment horizontal="center" vertical="center" wrapText="1"/>
      <protection locked="0"/>
    </xf>
    <xf numFmtId="49" fontId="31" fillId="79" borderId="46" xfId="30" applyNumberFormat="1" applyFont="1" applyFill="1" applyBorder="1" applyAlignment="1" applyProtection="1">
      <alignment horizontal="center" vertical="center"/>
      <protection locked="0"/>
    </xf>
    <xf numFmtId="0" fontId="31" fillId="79" borderId="46" xfId="30" applyFont="1" applyFill="1" applyBorder="1" applyAlignment="1" applyProtection="1">
      <alignment vertical="center"/>
      <protection locked="0"/>
    </xf>
    <xf numFmtId="0" fontId="31" fillId="79" borderId="46" xfId="30" applyFont="1" applyFill="1" applyBorder="1" applyAlignment="1" applyProtection="1">
      <alignment horizontal="center" vertical="center"/>
      <protection locked="0"/>
    </xf>
    <xf numFmtId="9" fontId="31" fillId="78" borderId="46" xfId="35" applyNumberFormat="1" applyFont="1" applyFill="1" applyBorder="1" applyAlignment="1">
      <alignment horizontal="right" vertical="center"/>
    </xf>
    <xf numFmtId="0" fontId="31" fillId="78" borderId="46" xfId="35" applyFont="1" applyFill="1" applyBorder="1" applyAlignment="1">
      <alignment horizontal="center" vertical="center"/>
    </xf>
    <xf numFmtId="9" fontId="6" fillId="0" borderId="0" xfId="40" applyAlignment="1">
      <alignment horizontal="right" vertical="center"/>
    </xf>
    <xf numFmtId="9" fontId="6" fillId="0" borderId="46" xfId="40" applyBorder="1" applyAlignment="1">
      <alignment horizontal="right" vertical="center"/>
    </xf>
    <xf numFmtId="0" fontId="24" fillId="79" borderId="51" xfId="0" applyFont="1" applyFill="1" applyBorder="1" applyAlignment="1">
      <alignment horizontal="center" vertical="center" wrapText="1"/>
    </xf>
    <xf numFmtId="0" fontId="24" fillId="79" borderId="51" xfId="0" applyFont="1" applyFill="1" applyBorder="1" applyAlignment="1">
      <alignment horizontal="left" vertical="center" wrapText="1"/>
    </xf>
    <xf numFmtId="0" fontId="109" fillId="79" borderId="46" xfId="0" applyFont="1" applyFill="1" applyBorder="1"/>
    <xf numFmtId="49" fontId="110" fillId="79" borderId="46" xfId="35" applyNumberFormat="1" applyFont="1" applyFill="1" applyBorder="1" applyAlignment="1" applyProtection="1">
      <alignment horizontal="left" vertical="center"/>
      <protection locked="0"/>
    </xf>
    <xf numFmtId="49" fontId="109" fillId="79" borderId="46" xfId="35" applyNumberFormat="1" applyFont="1" applyFill="1" applyBorder="1" applyAlignment="1" applyProtection="1">
      <alignment horizontal="left" vertical="center"/>
      <protection locked="0"/>
    </xf>
    <xf numFmtId="0" fontId="109" fillId="79" borderId="46" xfId="0" applyFont="1" applyFill="1" applyBorder="1" applyAlignment="1">
      <alignment horizontal="left"/>
    </xf>
    <xf numFmtId="0" fontId="109" fillId="79" borderId="46" xfId="35" applyFont="1" applyFill="1" applyBorder="1" applyAlignment="1">
      <alignment horizontal="left"/>
    </xf>
    <xf numFmtId="0" fontId="110" fillId="79" borderId="46" xfId="35" applyFont="1" applyFill="1" applyBorder="1" applyAlignment="1">
      <alignment horizontal="left"/>
    </xf>
    <xf numFmtId="0" fontId="110" fillId="79" borderId="46" xfId="35" applyFont="1" applyFill="1" applyBorder="1" applyAlignment="1" applyProtection="1">
      <alignment horizontal="left" vertical="center"/>
      <protection locked="0"/>
    </xf>
    <xf numFmtId="49" fontId="109" fillId="79" borderId="46" xfId="520" applyNumberFormat="1" applyFont="1" applyFill="1" applyBorder="1" applyAlignment="1" applyProtection="1">
      <alignment horizontal="left" vertical="center"/>
      <protection locked="0"/>
    </xf>
    <xf numFmtId="167" fontId="30" fillId="79" borderId="0" xfId="28" applyNumberFormat="1" applyFont="1" applyFill="1" applyAlignment="1">
      <alignment vertical="center"/>
    </xf>
    <xf numFmtId="0" fontId="109" fillId="89" borderId="0" xfId="0" applyFont="1" applyFill="1"/>
    <xf numFmtId="167" fontId="109" fillId="89" borderId="0" xfId="0" applyNumberFormat="1" applyFont="1" applyFill="1"/>
    <xf numFmtId="167" fontId="109" fillId="89" borderId="0" xfId="0" applyNumberFormat="1" applyFont="1" applyFill="1" applyAlignment="1">
      <alignment horizontal="center"/>
    </xf>
    <xf numFmtId="3" fontId="109" fillId="89" borderId="0" xfId="0" applyNumberFormat="1" applyFont="1" applyFill="1"/>
    <xf numFmtId="171" fontId="109" fillId="89" borderId="0" xfId="40" applyNumberFormat="1" applyFont="1" applyFill="1"/>
    <xf numFmtId="1" fontId="109" fillId="89" borderId="0" xfId="0" applyNumberFormat="1" applyFont="1" applyFill="1"/>
    <xf numFmtId="171" fontId="109" fillId="89" borderId="0" xfId="0" applyNumberFormat="1" applyFont="1" applyFill="1"/>
    <xf numFmtId="0" fontId="109" fillId="89" borderId="0" xfId="0" applyFont="1" applyFill="1" applyAlignment="1">
      <alignment vertical="top" wrapText="1"/>
    </xf>
    <xf numFmtId="0" fontId="109" fillId="89" borderId="0" xfId="0" applyFont="1" applyFill="1" applyAlignment="1">
      <alignment horizontal="center"/>
    </xf>
    <xf numFmtId="210" fontId="31" fillId="0" borderId="0" xfId="0" applyNumberFormat="1" applyFont="1" applyAlignment="1">
      <alignment vertical="center"/>
    </xf>
    <xf numFmtId="0" fontId="109" fillId="90" borderId="46" xfId="35" applyFont="1" applyFill="1" applyBorder="1" applyAlignment="1">
      <alignment vertical="center" wrapText="1"/>
    </xf>
    <xf numFmtId="0" fontId="109" fillId="36" borderId="46" xfId="35" applyFont="1" applyFill="1" applyBorder="1" applyAlignment="1">
      <alignment vertical="center" wrapText="1"/>
    </xf>
    <xf numFmtId="167" fontId="109" fillId="90" borderId="46" xfId="0" applyNumberFormat="1" applyFont="1" applyFill="1" applyBorder="1"/>
    <xf numFmtId="9" fontId="109" fillId="90" borderId="46" xfId="40" applyFont="1" applyFill="1" applyBorder="1" applyAlignment="1">
      <alignment horizontal="center"/>
    </xf>
    <xf numFmtId="9" fontId="109" fillId="90" borderId="46" xfId="760" applyNumberFormat="1" applyFont="1" applyFill="1" applyBorder="1"/>
    <xf numFmtId="172" fontId="6" fillId="82" borderId="0" xfId="49" applyNumberFormat="1" applyFont="1" applyFill="1"/>
    <xf numFmtId="0" fontId="0" fillId="82" borderId="0" xfId="0" applyFill="1" applyAlignment="1">
      <alignment wrapText="1"/>
    </xf>
    <xf numFmtId="172" fontId="24" fillId="82" borderId="51" xfId="49" applyNumberFormat="1" applyFont="1" applyFill="1" applyBorder="1" applyAlignment="1">
      <alignment wrapText="1"/>
    </xf>
    <xf numFmtId="167" fontId="109" fillId="82" borderId="46" xfId="49" applyNumberFormat="1" applyFont="1" applyFill="1" applyBorder="1"/>
    <xf numFmtId="167" fontId="41" fillId="82" borderId="0" xfId="49" applyNumberFormat="1" applyFont="1" applyFill="1"/>
    <xf numFmtId="167" fontId="6" fillId="82" borderId="0" xfId="49" applyNumberFormat="1" applyFont="1" applyFill="1"/>
    <xf numFmtId="9" fontId="6" fillId="82" borderId="0" xfId="40" applyFill="1"/>
    <xf numFmtId="9" fontId="0" fillId="82" borderId="0" xfId="40" applyFont="1" applyFill="1"/>
    <xf numFmtId="167" fontId="41" fillId="82" borderId="55" xfId="49" applyNumberFormat="1" applyFont="1" applyFill="1" applyBorder="1"/>
    <xf numFmtId="0" fontId="0" fillId="32" borderId="0" xfId="0" applyFill="1"/>
    <xf numFmtId="0" fontId="0" fillId="32" borderId="0" xfId="0" applyFill="1" applyAlignment="1">
      <alignment wrapText="1"/>
    </xf>
    <xf numFmtId="167" fontId="109" fillId="32" borderId="0" xfId="0" applyNumberFormat="1" applyFont="1" applyFill="1"/>
    <xf numFmtId="10" fontId="109" fillId="90" borderId="46" xfId="40" applyNumberFormat="1" applyFont="1" applyFill="1" applyBorder="1" applyAlignment="1">
      <alignment horizontal="center"/>
    </xf>
    <xf numFmtId="0" fontId="109" fillId="34" borderId="46" xfId="35" applyFont="1" applyFill="1" applyBorder="1" applyAlignment="1">
      <alignment vertical="center" wrapText="1"/>
    </xf>
    <xf numFmtId="9" fontId="109" fillId="36" borderId="46" xfId="40" applyFont="1" applyFill="1" applyBorder="1" applyAlignment="1">
      <alignment horizontal="center"/>
    </xf>
    <xf numFmtId="0" fontId="109" fillId="36" borderId="46" xfId="35" applyFont="1" applyFill="1" applyBorder="1" applyAlignment="1">
      <alignment horizontal="center" vertical="center"/>
    </xf>
    <xf numFmtId="167" fontId="109" fillId="36" borderId="46" xfId="0" applyNumberFormat="1" applyFont="1" applyFill="1" applyBorder="1"/>
    <xf numFmtId="9" fontId="109" fillId="36" borderId="46" xfId="760" applyNumberFormat="1" applyFont="1" applyFill="1" applyBorder="1"/>
    <xf numFmtId="171" fontId="109" fillId="36" borderId="46" xfId="40" applyNumberFormat="1" applyFont="1" applyFill="1" applyBorder="1"/>
    <xf numFmtId="167" fontId="109" fillId="36" borderId="46" xfId="49" applyNumberFormat="1" applyFont="1" applyFill="1" applyBorder="1"/>
    <xf numFmtId="49" fontId="110" fillId="36" borderId="46" xfId="35" applyNumberFormat="1" applyFont="1" applyFill="1" applyBorder="1" applyAlignment="1" applyProtection="1">
      <alignment horizontal="left" vertical="center"/>
      <protection locked="0"/>
    </xf>
    <xf numFmtId="0" fontId="109" fillId="36" borderId="46" xfId="0" applyFont="1" applyFill="1" applyBorder="1"/>
    <xf numFmtId="167" fontId="109" fillId="36" borderId="0" xfId="0" applyNumberFormat="1" applyFont="1" applyFill="1"/>
    <xf numFmtId="0" fontId="109" fillId="36" borderId="0" xfId="0" applyFont="1" applyFill="1"/>
    <xf numFmtId="0" fontId="109" fillId="0" borderId="46" xfId="760" applyFont="1" applyFill="1" applyBorder="1" applyAlignment="1">
      <alignment vertical="center" wrapText="1"/>
    </xf>
    <xf numFmtId="0" fontId="109" fillId="34" borderId="46" xfId="0" applyFont="1" applyFill="1" applyBorder="1" applyAlignment="1">
      <alignment horizontal="center" wrapText="1"/>
    </xf>
    <xf numFmtId="0" fontId="109" fillId="90" borderId="46" xfId="0" applyFont="1" applyFill="1" applyBorder="1" applyAlignment="1">
      <alignment horizontal="left" wrapText="1"/>
    </xf>
    <xf numFmtId="9" fontId="114" fillId="90" borderId="46" xfId="40" applyFont="1" applyFill="1" applyBorder="1" applyAlignment="1">
      <alignment horizontal="center"/>
    </xf>
    <xf numFmtId="0" fontId="31" fillId="90" borderId="46" xfId="30" applyFont="1" applyFill="1" applyBorder="1" applyAlignment="1" applyProtection="1">
      <alignment vertical="center" wrapText="1"/>
      <protection locked="0"/>
    </xf>
    <xf numFmtId="49" fontId="110" fillId="82" borderId="46" xfId="35" applyNumberFormat="1" applyFont="1" applyFill="1" applyBorder="1" applyAlignment="1" applyProtection="1">
      <alignment horizontal="left" vertical="center"/>
      <protection locked="0"/>
    </xf>
    <xf numFmtId="0" fontId="109" fillId="82" borderId="46" xfId="35" applyFont="1" applyFill="1" applyBorder="1" applyAlignment="1">
      <alignment vertical="center" wrapText="1"/>
    </xf>
    <xf numFmtId="9" fontId="109" fillId="82" borderId="46" xfId="40" applyFont="1" applyFill="1" applyBorder="1" applyAlignment="1">
      <alignment horizontal="center"/>
    </xf>
    <xf numFmtId="0" fontId="109" fillId="82" borderId="46" xfId="35" applyFont="1" applyFill="1" applyBorder="1" applyAlignment="1">
      <alignment horizontal="center" vertical="center"/>
    </xf>
    <xf numFmtId="167" fontId="109" fillId="82" borderId="46" xfId="0" applyNumberFormat="1" applyFont="1" applyFill="1" applyBorder="1"/>
    <xf numFmtId="9" fontId="109" fillId="82" borderId="46" xfId="760" applyNumberFormat="1" applyFont="1" applyFill="1" applyBorder="1"/>
    <xf numFmtId="171" fontId="109" fillId="82" borderId="46" xfId="40" applyNumberFormat="1" applyFont="1" applyFill="1" applyBorder="1" applyAlignment="1">
      <alignment vertical="center"/>
    </xf>
    <xf numFmtId="171" fontId="109" fillId="82" borderId="46" xfId="40" applyNumberFormat="1" applyFont="1" applyFill="1" applyBorder="1"/>
    <xf numFmtId="0" fontId="109" fillId="82" borderId="46" xfId="0" applyFont="1" applyFill="1" applyBorder="1"/>
    <xf numFmtId="167" fontId="109" fillId="82" borderId="0" xfId="0" applyNumberFormat="1" applyFont="1" applyFill="1"/>
    <xf numFmtId="0" fontId="109" fillId="82" borderId="0" xfId="0" applyFont="1" applyFill="1"/>
    <xf numFmtId="0" fontId="109" fillId="82" borderId="46" xfId="0" applyFont="1" applyFill="1" applyBorder="1" applyAlignment="1">
      <alignment horizontal="left" wrapText="1"/>
    </xf>
    <xf numFmtId="0" fontId="31" fillId="30" borderId="46" xfId="30" applyFont="1" applyFill="1" applyBorder="1" applyAlignment="1" applyProtection="1">
      <alignment vertical="center" wrapText="1"/>
      <protection locked="0"/>
    </xf>
    <xf numFmtId="0" fontId="30" fillId="36" borderId="0" xfId="0" applyFont="1" applyFill="1" applyAlignment="1">
      <alignment vertical="top" wrapText="1"/>
    </xf>
    <xf numFmtId="0" fontId="30" fillId="82" borderId="0" xfId="0" applyFont="1" applyFill="1" applyAlignment="1">
      <alignment vertical="top" wrapText="1"/>
    </xf>
    <xf numFmtId="0" fontId="31" fillId="90" borderId="46" xfId="0" applyFont="1" applyFill="1" applyBorder="1" applyAlignment="1">
      <alignment vertical="top" wrapText="1"/>
    </xf>
    <xf numFmtId="0" fontId="31" fillId="32" borderId="0" xfId="30" applyFont="1" applyFill="1" applyAlignment="1" applyProtection="1">
      <alignment vertical="center" wrapText="1"/>
      <protection locked="0"/>
    </xf>
    <xf numFmtId="9" fontId="31" fillId="0" borderId="0" xfId="30" applyNumberFormat="1" applyFont="1" applyFill="1" applyAlignment="1" applyProtection="1">
      <alignment vertical="center"/>
      <protection locked="0"/>
    </xf>
    <xf numFmtId="9" fontId="6" fillId="0" borderId="46" xfId="40" applyBorder="1" applyAlignment="1">
      <alignment vertical="center"/>
    </xf>
    <xf numFmtId="0" fontId="31" fillId="90" borderId="46" xfId="30" applyFont="1" applyFill="1" applyBorder="1" applyAlignment="1" applyProtection="1">
      <alignment vertical="center"/>
      <protection locked="0"/>
    </xf>
    <xf numFmtId="9" fontId="6" fillId="0" borderId="0" xfId="40" applyAlignment="1">
      <alignment vertical="center"/>
    </xf>
    <xf numFmtId="0" fontId="31" fillId="91" borderId="0" xfId="0" applyFont="1" applyFill="1" applyAlignment="1">
      <alignment vertical="center" wrapText="1"/>
    </xf>
    <xf numFmtId="0" fontId="31" fillId="91" borderId="0" xfId="0" applyFont="1" applyFill="1" applyAlignment="1">
      <alignment vertical="center"/>
    </xf>
    <xf numFmtId="49" fontId="31" fillId="91" borderId="46" xfId="30" applyNumberFormat="1" applyFont="1" applyFill="1" applyBorder="1" applyAlignment="1" applyProtection="1">
      <alignment vertical="center"/>
      <protection locked="0"/>
    </xf>
    <xf numFmtId="49" fontId="31" fillId="91" borderId="46" xfId="30" applyNumberFormat="1" applyFont="1" applyFill="1" applyBorder="1" applyAlignment="1" applyProtection="1">
      <alignment horizontal="center" vertical="center"/>
      <protection locked="0"/>
    </xf>
    <xf numFmtId="0" fontId="31" fillId="91" borderId="46" xfId="30" applyFont="1" applyFill="1" applyBorder="1" applyAlignment="1" applyProtection="1">
      <alignment vertical="center"/>
      <protection locked="0"/>
    </xf>
    <xf numFmtId="0" fontId="31" fillId="91" borderId="46" xfId="30" applyFont="1" applyFill="1" applyBorder="1" applyAlignment="1" applyProtection="1">
      <alignment vertical="center" wrapText="1"/>
      <protection locked="0"/>
    </xf>
    <xf numFmtId="167" fontId="31" fillId="91" borderId="46" xfId="30" applyNumberFormat="1" applyFont="1" applyFill="1" applyBorder="1" applyAlignment="1">
      <alignment vertical="center"/>
    </xf>
    <xf numFmtId="0" fontId="31" fillId="91" borderId="46" xfId="35" applyFont="1" applyFill="1" applyBorder="1" applyAlignment="1">
      <alignment horizontal="center" vertical="center"/>
    </xf>
    <xf numFmtId="168" fontId="30" fillId="91" borderId="46" xfId="26" applyNumberFormat="1" applyFont="1" applyFill="1" applyBorder="1" applyAlignment="1">
      <alignment vertical="center"/>
    </xf>
    <xf numFmtId="3" fontId="31" fillId="91" borderId="46" xfId="35" applyNumberFormat="1" applyFont="1" applyFill="1" applyBorder="1" applyAlignment="1">
      <alignment horizontal="center" vertical="center"/>
    </xf>
    <xf numFmtId="9" fontId="31" fillId="91" borderId="46" xfId="30" applyNumberFormat="1" applyFont="1" applyFill="1" applyBorder="1" applyAlignment="1" applyProtection="1">
      <alignment vertical="center"/>
      <protection locked="0"/>
    </xf>
    <xf numFmtId="9" fontId="31" fillId="91" borderId="46" xfId="35" applyNumberFormat="1" applyFont="1" applyFill="1" applyBorder="1" applyAlignment="1">
      <alignment horizontal="right" vertical="center"/>
    </xf>
    <xf numFmtId="9" fontId="30" fillId="91" borderId="46" xfId="26" applyNumberFormat="1" applyFont="1" applyFill="1" applyBorder="1" applyAlignment="1">
      <alignment vertical="center"/>
    </xf>
    <xf numFmtId="9" fontId="30" fillId="91" borderId="46" xfId="35" applyNumberFormat="1" applyFont="1" applyFill="1" applyBorder="1" applyAlignment="1">
      <alignment horizontal="right" vertical="center"/>
    </xf>
    <xf numFmtId="1" fontId="31" fillId="91" borderId="46" xfId="28" applyNumberFormat="1" applyFont="1" applyFill="1" applyBorder="1" applyAlignment="1">
      <alignment horizontal="center" vertical="center"/>
    </xf>
    <xf numFmtId="168" fontId="30" fillId="91" borderId="46" xfId="26" applyNumberFormat="1" applyFont="1" applyFill="1" applyBorder="1" applyAlignment="1">
      <alignment horizontal="center" vertical="center"/>
    </xf>
    <xf numFmtId="49" fontId="31" fillId="91" borderId="0" xfId="30" applyNumberFormat="1" applyFont="1" applyFill="1" applyAlignment="1" applyProtection="1">
      <alignment vertical="center"/>
      <protection locked="0"/>
    </xf>
    <xf numFmtId="168" fontId="31" fillId="91" borderId="0" xfId="0" applyNumberFormat="1" applyFont="1" applyFill="1" applyAlignment="1">
      <alignment vertical="center"/>
    </xf>
    <xf numFmtId="0" fontId="31" fillId="91" borderId="0" xfId="0" applyFont="1" applyFill="1" applyAlignment="1">
      <alignment vertical="top"/>
    </xf>
    <xf numFmtId="0" fontId="30" fillId="91" borderId="0" xfId="0" applyFont="1" applyFill="1" applyAlignment="1">
      <alignment vertical="top" wrapText="1"/>
    </xf>
    <xf numFmtId="0" fontId="0" fillId="92" borderId="0" xfId="0" applyFill="1"/>
    <xf numFmtId="49" fontId="31" fillId="92" borderId="46" xfId="53" applyNumberFormat="1" applyFont="1" applyFill="1" applyBorder="1" applyAlignment="1" applyProtection="1">
      <alignment vertical="center"/>
      <protection locked="0"/>
    </xf>
    <xf numFmtId="49" fontId="31" fillId="92" borderId="46" xfId="53" applyNumberFormat="1" applyFont="1" applyFill="1" applyBorder="1" applyAlignment="1" applyProtection="1">
      <alignment horizontal="center" vertical="center"/>
      <protection locked="0"/>
    </xf>
    <xf numFmtId="0" fontId="31" fillId="92" borderId="46" xfId="53" applyFont="1" applyFill="1" applyBorder="1" applyAlignment="1" applyProtection="1">
      <alignment vertical="center" wrapText="1"/>
      <protection locked="0"/>
    </xf>
    <xf numFmtId="167" fontId="31" fillId="92" borderId="46" xfId="53" applyNumberFormat="1" applyFont="1" applyFill="1" applyBorder="1" applyAlignment="1">
      <alignment vertical="center"/>
    </xf>
    <xf numFmtId="0" fontId="6" fillId="92" borderId="46" xfId="0" applyFont="1" applyFill="1" applyBorder="1"/>
    <xf numFmtId="9" fontId="30" fillId="90" borderId="46" xfId="35" applyNumberFormat="1" applyFont="1" applyFill="1" applyBorder="1" applyAlignment="1">
      <alignment horizontal="right" vertical="center"/>
    </xf>
    <xf numFmtId="9" fontId="30" fillId="90" borderId="46" xfId="583" applyNumberFormat="1" applyFont="1" applyFill="1" applyBorder="1" applyAlignment="1">
      <alignment horizontal="right" vertical="center"/>
    </xf>
    <xf numFmtId="9" fontId="31" fillId="91" borderId="0" xfId="30" applyNumberFormat="1" applyFont="1" applyFill="1" applyAlignment="1" applyProtection="1">
      <alignment vertical="center"/>
      <protection locked="0"/>
    </xf>
    <xf numFmtId="0" fontId="109" fillId="0" borderId="0" xfId="35" applyFont="1" applyFill="1" applyBorder="1" applyAlignment="1">
      <alignment vertical="center" wrapText="1"/>
    </xf>
    <xf numFmtId="0" fontId="31" fillId="34" borderId="0" xfId="0" applyFont="1" applyFill="1" applyAlignment="1">
      <alignment vertical="center" wrapText="1"/>
    </xf>
    <xf numFmtId="0" fontId="31" fillId="34" borderId="0" xfId="0" applyFont="1" applyFill="1" applyAlignment="1">
      <alignment vertical="center"/>
    </xf>
    <xf numFmtId="49" fontId="31" fillId="34" borderId="46" xfId="53" applyNumberFormat="1" applyFont="1" applyFill="1" applyBorder="1" applyAlignment="1" applyProtection="1">
      <alignment vertical="center"/>
      <protection locked="0"/>
    </xf>
    <xf numFmtId="49" fontId="31" fillId="34" borderId="46" xfId="53" applyNumberFormat="1" applyFont="1" applyFill="1" applyBorder="1" applyAlignment="1" applyProtection="1">
      <alignment horizontal="center" vertical="center"/>
      <protection locked="0"/>
    </xf>
    <xf numFmtId="0" fontId="6" fillId="34" borderId="46" xfId="0" applyFont="1" applyFill="1" applyBorder="1"/>
    <xf numFmtId="0" fontId="31" fillId="34" borderId="46" xfId="53" applyFont="1" applyFill="1" applyBorder="1" applyAlignment="1" applyProtection="1">
      <alignment vertical="center" wrapText="1"/>
      <protection locked="0"/>
    </xf>
    <xf numFmtId="0" fontId="0" fillId="34" borderId="0" xfId="0" applyFill="1"/>
    <xf numFmtId="167" fontId="31" fillId="34" borderId="46" xfId="53" applyNumberFormat="1" applyFont="1" applyFill="1" applyBorder="1" applyAlignment="1">
      <alignment vertical="center"/>
    </xf>
    <xf numFmtId="0" fontId="31" fillId="34" borderId="46" xfId="35" applyFont="1" applyFill="1" applyBorder="1" applyAlignment="1">
      <alignment horizontal="center" vertical="center"/>
    </xf>
    <xf numFmtId="168" fontId="30" fillId="34" borderId="46" xfId="26" applyNumberFormat="1" applyFont="1" applyFill="1" applyBorder="1" applyAlignment="1">
      <alignment vertical="center"/>
    </xf>
    <xf numFmtId="3" fontId="31" fillId="34" borderId="46" xfId="35" applyNumberFormat="1" applyFont="1" applyFill="1" applyBorder="1" applyAlignment="1">
      <alignment horizontal="center" vertical="center"/>
    </xf>
    <xf numFmtId="9" fontId="31" fillId="34" borderId="46" xfId="30" applyNumberFormat="1" applyFont="1" applyFill="1" applyBorder="1" applyAlignment="1" applyProtection="1">
      <alignment vertical="center"/>
      <protection locked="0"/>
    </xf>
    <xf numFmtId="9" fontId="31" fillId="34" borderId="46" xfId="35" applyNumberFormat="1" applyFont="1" applyFill="1" applyBorder="1" applyAlignment="1">
      <alignment horizontal="right" vertical="center"/>
    </xf>
    <xf numFmtId="9" fontId="30" fillId="34" borderId="46" xfId="26" applyNumberFormat="1" applyFont="1" applyFill="1" applyBorder="1" applyAlignment="1">
      <alignment vertical="center"/>
    </xf>
    <xf numFmtId="9" fontId="30" fillId="34" borderId="46" xfId="35" applyNumberFormat="1" applyFont="1" applyFill="1" applyBorder="1" applyAlignment="1">
      <alignment horizontal="right" vertical="center"/>
    </xf>
    <xf numFmtId="1" fontId="31" fillId="34" borderId="46" xfId="28" applyNumberFormat="1" applyFont="1" applyFill="1" applyBorder="1" applyAlignment="1">
      <alignment horizontal="center" vertical="center"/>
    </xf>
    <xf numFmtId="168" fontId="30" fillId="34" borderId="46" xfId="26" applyNumberFormat="1" applyFont="1" applyFill="1" applyBorder="1" applyAlignment="1">
      <alignment horizontal="center" vertical="center"/>
    </xf>
    <xf numFmtId="49" fontId="31" fillId="34" borderId="0" xfId="30" applyNumberFormat="1" applyFont="1" applyFill="1" applyAlignment="1" applyProtection="1">
      <alignment vertical="center"/>
      <protection locked="0"/>
    </xf>
    <xf numFmtId="49" fontId="31" fillId="34" borderId="46" xfId="30" applyNumberFormat="1" applyFont="1" applyFill="1" applyBorder="1" applyAlignment="1" applyProtection="1">
      <alignment vertical="center"/>
      <protection locked="0"/>
    </xf>
    <xf numFmtId="0" fontId="31" fillId="34" borderId="46" xfId="583" applyFont="1" applyFill="1" applyBorder="1" applyAlignment="1">
      <alignment horizontal="center" vertical="center"/>
    </xf>
    <xf numFmtId="9" fontId="31" fillId="34" borderId="46" xfId="53" applyNumberFormat="1" applyFont="1" applyFill="1" applyBorder="1" applyAlignment="1" applyProtection="1">
      <alignment vertical="center"/>
      <protection locked="0"/>
    </xf>
    <xf numFmtId="9" fontId="31" fillId="34" borderId="46" xfId="583" applyNumberFormat="1" applyFont="1" applyFill="1" applyBorder="1" applyAlignment="1">
      <alignment horizontal="right" vertical="center"/>
    </xf>
    <xf numFmtId="9" fontId="30" fillId="34" borderId="46" xfId="54" applyNumberFormat="1" applyFont="1" applyFill="1" applyBorder="1" applyAlignment="1">
      <alignment vertical="center"/>
    </xf>
    <xf numFmtId="168" fontId="30" fillId="34" borderId="18" xfId="54" applyNumberFormat="1" applyFont="1" applyFill="1" applyBorder="1" applyAlignment="1">
      <alignment horizontal="center" vertical="center"/>
    </xf>
    <xf numFmtId="49" fontId="31" fillId="34" borderId="46" xfId="30" applyNumberFormat="1" applyFont="1" applyFill="1" applyBorder="1" applyAlignment="1" applyProtection="1">
      <alignment horizontal="center" vertical="center"/>
      <protection locked="0"/>
    </xf>
    <xf numFmtId="0" fontId="31" fillId="34" borderId="46" xfId="30" applyFont="1" applyFill="1" applyBorder="1" applyAlignment="1" applyProtection="1">
      <alignment vertical="center" wrapText="1"/>
      <protection locked="0"/>
    </xf>
    <xf numFmtId="167" fontId="31" fillId="34" borderId="46" xfId="30" applyNumberFormat="1" applyFont="1" applyFill="1" applyBorder="1" applyAlignment="1">
      <alignment vertical="center"/>
    </xf>
    <xf numFmtId="168" fontId="31" fillId="34" borderId="0" xfId="0" applyNumberFormat="1" applyFont="1" applyFill="1" applyAlignment="1">
      <alignment vertical="center"/>
    </xf>
    <xf numFmtId="0" fontId="31" fillId="34" borderId="0" xfId="0" applyFont="1" applyFill="1" applyAlignment="1">
      <alignment vertical="top"/>
    </xf>
    <xf numFmtId="0" fontId="30" fillId="34" borderId="0" xfId="0" applyFont="1" applyFill="1" applyAlignment="1">
      <alignment vertical="top" wrapText="1"/>
    </xf>
    <xf numFmtId="0" fontId="0" fillId="34" borderId="46" xfId="0" applyFill="1" applyBorder="1" applyAlignment="1">
      <alignment vertical="center" wrapText="1"/>
    </xf>
    <xf numFmtId="0" fontId="0" fillId="34" borderId="58" xfId="0" applyFill="1" applyBorder="1"/>
    <xf numFmtId="171" fontId="109" fillId="93" borderId="46" xfId="40" applyNumberFormat="1" applyFont="1" applyFill="1" applyBorder="1" applyAlignment="1">
      <alignment vertical="center"/>
    </xf>
    <xf numFmtId="171" fontId="109" fillId="93" borderId="46" xfId="40" applyNumberFormat="1" applyFont="1" applyFill="1" applyBorder="1"/>
    <xf numFmtId="0" fontId="109" fillId="0" borderId="46" xfId="583" applyFont="1" applyFill="1" applyBorder="1" applyAlignment="1">
      <alignment vertical="center" wrapText="1"/>
    </xf>
    <xf numFmtId="0" fontId="126" fillId="90" borderId="46" xfId="583" applyFont="1" applyFill="1" applyBorder="1" applyAlignment="1">
      <alignment vertical="center" wrapText="1"/>
    </xf>
    <xf numFmtId="0" fontId="109" fillId="90" borderId="46" xfId="583" applyFont="1" applyFill="1" applyBorder="1" applyAlignment="1">
      <alignment vertical="center" wrapText="1"/>
    </xf>
    <xf numFmtId="0" fontId="109" fillId="82" borderId="46" xfId="760" applyFont="1" applyFill="1" applyBorder="1" applyAlignment="1">
      <alignment vertical="center" wrapText="1"/>
    </xf>
    <xf numFmtId="0" fontId="109" fillId="90" borderId="0" xfId="583" applyFont="1" applyFill="1" applyBorder="1" applyAlignment="1">
      <alignment vertical="center" wrapText="1"/>
    </xf>
    <xf numFmtId="171" fontId="109" fillId="90" borderId="46" xfId="40" applyNumberFormat="1" applyFont="1" applyFill="1" applyBorder="1" applyAlignment="1">
      <alignment vertical="center"/>
    </xf>
    <xf numFmtId="0" fontId="109" fillId="90" borderId="46" xfId="760" applyFont="1" applyFill="1" applyBorder="1" applyAlignment="1">
      <alignment vertical="center" wrapText="1"/>
    </xf>
    <xf numFmtId="0" fontId="109" fillId="90" borderId="46" xfId="35" applyFont="1" applyFill="1" applyBorder="1" applyAlignment="1">
      <alignment horizontal="center" vertical="center"/>
    </xf>
    <xf numFmtId="167" fontId="109" fillId="90" borderId="46" xfId="49" applyNumberFormat="1" applyFont="1" applyFill="1" applyBorder="1"/>
    <xf numFmtId="0" fontId="109" fillId="0" borderId="46" xfId="760" applyFont="1" applyFill="1" applyBorder="1" applyAlignment="1">
      <alignment horizontal="center" vertical="center"/>
    </xf>
    <xf numFmtId="0" fontId="31" fillId="82" borderId="46" xfId="30" applyFont="1" applyFill="1" applyBorder="1" applyAlignment="1" applyProtection="1">
      <alignment vertical="center"/>
      <protection locked="0"/>
    </xf>
    <xf numFmtId="3" fontId="20" fillId="82" borderId="0" xfId="0" applyNumberFormat="1" applyFont="1" applyFill="1" applyAlignment="1">
      <alignment vertical="center"/>
    </xf>
    <xf numFmtId="3" fontId="31" fillId="94" borderId="46" xfId="35" applyNumberFormat="1" applyFont="1" applyFill="1" applyBorder="1" applyAlignment="1">
      <alignment horizontal="center" vertical="center"/>
    </xf>
    <xf numFmtId="9" fontId="31" fillId="94" borderId="46" xfId="30" applyNumberFormat="1" applyFont="1" applyFill="1" applyBorder="1" applyAlignment="1" applyProtection="1">
      <alignment vertical="center"/>
      <protection locked="0"/>
    </xf>
    <xf numFmtId="9" fontId="31" fillId="94" borderId="46" xfId="760" applyNumberFormat="1" applyFont="1" applyFill="1" applyBorder="1" applyAlignment="1">
      <alignment horizontal="right" vertical="center"/>
    </xf>
    <xf numFmtId="9" fontId="30" fillId="94" borderId="46" xfId="780" applyNumberFormat="1" applyFont="1" applyFill="1" applyBorder="1" applyAlignment="1">
      <alignment vertical="center"/>
    </xf>
    <xf numFmtId="49" fontId="31" fillId="94" borderId="46" xfId="30" applyNumberFormat="1" applyFont="1" applyFill="1" applyBorder="1" applyAlignment="1" applyProtection="1">
      <alignment horizontal="center" vertical="center"/>
      <protection locked="0"/>
    </xf>
    <xf numFmtId="0" fontId="31" fillId="94" borderId="46" xfId="30" applyFont="1" applyFill="1" applyBorder="1" applyAlignment="1" applyProtection="1">
      <alignment vertical="center"/>
      <protection locked="0"/>
    </xf>
    <xf numFmtId="49" fontId="31" fillId="94" borderId="46" xfId="30" applyNumberFormat="1" applyFont="1" applyFill="1" applyBorder="1" applyAlignment="1" applyProtection="1">
      <alignment vertical="center"/>
      <protection locked="0"/>
    </xf>
    <xf numFmtId="167" fontId="31" fillId="94" borderId="46" xfId="30" applyNumberFormat="1" applyFont="1" applyFill="1" applyBorder="1" applyAlignment="1">
      <alignment vertical="center"/>
    </xf>
    <xf numFmtId="0" fontId="31" fillId="94" borderId="46" xfId="760" applyFont="1" applyFill="1" applyBorder="1" applyAlignment="1">
      <alignment horizontal="center" vertical="center"/>
    </xf>
    <xf numFmtId="168" fontId="30" fillId="94" borderId="46" xfId="780" applyNumberFormat="1" applyFont="1" applyFill="1" applyBorder="1" applyAlignment="1">
      <alignment vertical="center"/>
    </xf>
    <xf numFmtId="3" fontId="31" fillId="94" borderId="46" xfId="760" applyNumberFormat="1" applyFont="1" applyFill="1" applyBorder="1" applyAlignment="1">
      <alignment horizontal="center" vertical="center"/>
    </xf>
    <xf numFmtId="9" fontId="30" fillId="94" borderId="46" xfId="760" applyNumberFormat="1" applyFont="1" applyFill="1" applyBorder="1" applyAlignment="1">
      <alignment horizontal="right" vertical="center"/>
    </xf>
    <xf numFmtId="1" fontId="31" fillId="94" borderId="46" xfId="28" applyNumberFormat="1" applyFont="1" applyFill="1" applyBorder="1" applyAlignment="1">
      <alignment horizontal="center" vertical="center"/>
    </xf>
    <xf numFmtId="168" fontId="30" fillId="94" borderId="46" xfId="780" applyNumberFormat="1" applyFont="1" applyFill="1" applyBorder="1" applyAlignment="1">
      <alignment horizontal="center" vertical="center"/>
    </xf>
    <xf numFmtId="49" fontId="31" fillId="94" borderId="0" xfId="30" applyNumberFormat="1" applyFont="1" applyFill="1" applyAlignment="1" applyProtection="1">
      <alignment vertical="center"/>
      <protection locked="0"/>
    </xf>
    <xf numFmtId="0" fontId="31" fillId="94" borderId="0" xfId="0" applyFont="1" applyFill="1" applyAlignment="1">
      <alignment vertical="center"/>
    </xf>
    <xf numFmtId="168" fontId="31" fillId="94" borderId="0" xfId="0" applyNumberFormat="1" applyFont="1" applyFill="1" applyAlignment="1">
      <alignment vertical="center"/>
    </xf>
    <xf numFmtId="0" fontId="6" fillId="95" borderId="46" xfId="0" applyFont="1" applyFill="1" applyBorder="1"/>
    <xf numFmtId="0" fontId="31" fillId="95" borderId="46" xfId="30" applyFont="1" applyFill="1" applyBorder="1" applyAlignment="1" applyProtection="1">
      <alignment vertical="center"/>
      <protection locked="0"/>
    </xf>
    <xf numFmtId="167" fontId="31" fillId="95" borderId="46" xfId="30" applyNumberFormat="1" applyFont="1" applyFill="1" applyBorder="1" applyAlignment="1">
      <alignment vertical="center"/>
    </xf>
    <xf numFmtId="167" fontId="31" fillId="95" borderId="46" xfId="53" applyNumberFormat="1" applyFont="1" applyFill="1" applyBorder="1" applyAlignment="1">
      <alignment vertical="center"/>
    </xf>
    <xf numFmtId="9" fontId="109" fillId="90" borderId="46" xfId="0" applyNumberFormat="1" applyFont="1" applyFill="1" applyBorder="1"/>
    <xf numFmtId="0" fontId="109" fillId="91" borderId="46" xfId="35" applyFont="1" applyFill="1" applyBorder="1" applyAlignment="1">
      <alignment vertical="center" wrapText="1"/>
    </xf>
    <xf numFmtId="9" fontId="109" fillId="91" borderId="46" xfId="40" applyFont="1" applyFill="1" applyBorder="1" applyAlignment="1">
      <alignment horizontal="center"/>
    </xf>
    <xf numFmtId="0" fontId="109" fillId="91" borderId="46" xfId="760" applyFont="1" applyFill="1" applyBorder="1" applyAlignment="1">
      <alignment vertical="center" wrapText="1"/>
    </xf>
    <xf numFmtId="0" fontId="109" fillId="91" borderId="46" xfId="520" applyFont="1" applyFill="1" applyBorder="1" applyAlignment="1">
      <alignment vertical="center" wrapText="1"/>
    </xf>
    <xf numFmtId="0" fontId="109" fillId="91" borderId="46" xfId="583" applyFont="1" applyFill="1" applyBorder="1" applyAlignment="1">
      <alignment vertical="center" wrapText="1"/>
    </xf>
    <xf numFmtId="0" fontId="31" fillId="0" borderId="46" xfId="30" applyFont="1" applyFill="1" applyBorder="1" applyAlignment="1" applyProtection="1">
      <alignment vertical="center"/>
      <protection locked="0"/>
    </xf>
    <xf numFmtId="0" fontId="31" fillId="0" borderId="46" xfId="30" applyFont="1" applyFill="1" applyBorder="1" applyAlignment="1" applyProtection="1">
      <alignment vertical="center" wrapText="1"/>
      <protection locked="0"/>
    </xf>
    <xf numFmtId="0" fontId="31" fillId="96" borderId="0" xfId="0" applyFont="1" applyFill="1" applyAlignment="1">
      <alignment vertical="center"/>
    </xf>
    <xf numFmtId="0" fontId="125" fillId="96" borderId="0" xfId="0" applyFont="1" applyFill="1" applyAlignment="1">
      <alignment vertical="center"/>
    </xf>
    <xf numFmtId="0" fontId="31" fillId="96" borderId="0" xfId="0" applyFont="1" applyFill="1" applyAlignment="1">
      <alignment vertical="top"/>
    </xf>
    <xf numFmtId="0" fontId="116" fillId="0" borderId="0" xfId="0" applyFont="1" applyAlignment="1">
      <alignment vertical="center" wrapText="1"/>
    </xf>
    <xf numFmtId="0" fontId="116" fillId="25" borderId="0" xfId="0" applyFont="1" applyFill="1" applyAlignment="1">
      <alignment vertical="center"/>
    </xf>
    <xf numFmtId="49" fontId="116" fillId="79" borderId="46" xfId="30" applyNumberFormat="1" applyFont="1" applyFill="1" applyBorder="1" applyAlignment="1" applyProtection="1">
      <alignment vertical="center"/>
      <protection locked="0"/>
    </xf>
    <xf numFmtId="49" fontId="116" fillId="79" borderId="46" xfId="30" applyNumberFormat="1" applyFont="1" applyFill="1" applyBorder="1" applyAlignment="1" applyProtection="1">
      <alignment horizontal="center" vertical="center"/>
      <protection locked="0"/>
    </xf>
    <xf numFmtId="0" fontId="116" fillId="32" borderId="46" xfId="30" applyFont="1" applyFill="1" applyBorder="1" applyAlignment="1" applyProtection="1">
      <alignment vertical="center"/>
      <protection locked="0"/>
    </xf>
    <xf numFmtId="0" fontId="116" fillId="32" borderId="46" xfId="30" applyFont="1" applyFill="1" applyBorder="1" applyAlignment="1" applyProtection="1">
      <alignment vertical="center" wrapText="1"/>
      <protection locked="0"/>
    </xf>
    <xf numFmtId="49" fontId="116" fillId="0" borderId="46" xfId="30" applyNumberFormat="1" applyFont="1" applyFill="1" applyBorder="1" applyAlignment="1" applyProtection="1">
      <alignment vertical="center"/>
      <protection locked="0"/>
    </xf>
    <xf numFmtId="167" fontId="116" fillId="0" borderId="46" xfId="30" applyNumberFormat="1" applyFont="1" applyFill="1" applyBorder="1" applyAlignment="1">
      <alignment vertical="center"/>
    </xf>
    <xf numFmtId="0" fontId="116" fillId="7" borderId="46" xfId="35" applyFont="1" applyBorder="1" applyAlignment="1">
      <alignment horizontal="center" vertical="center"/>
    </xf>
    <xf numFmtId="168" fontId="119" fillId="27" borderId="46" xfId="26" applyNumberFormat="1" applyFont="1" applyBorder="1" applyAlignment="1">
      <alignment vertical="center"/>
    </xf>
    <xf numFmtId="3" fontId="116" fillId="7" borderId="46" xfId="35" applyNumberFormat="1" applyFont="1" applyBorder="1" applyAlignment="1">
      <alignment horizontal="center" vertical="center"/>
    </xf>
    <xf numFmtId="9" fontId="116" fillId="0" borderId="46" xfId="30" applyNumberFormat="1" applyFont="1" applyFill="1" applyBorder="1" applyAlignment="1" applyProtection="1">
      <alignment vertical="center"/>
      <protection locked="0"/>
    </xf>
    <xf numFmtId="9" fontId="116" fillId="7" borderId="46" xfId="35" applyNumberFormat="1" applyFont="1" applyBorder="1" applyAlignment="1">
      <alignment horizontal="right" vertical="center"/>
    </xf>
    <xf numFmtId="9" fontId="119" fillId="27" borderId="46" xfId="26" applyNumberFormat="1" applyFont="1" applyBorder="1" applyAlignment="1">
      <alignment vertical="center"/>
    </xf>
    <xf numFmtId="1" fontId="116" fillId="26" borderId="46" xfId="28" applyNumberFormat="1" applyFont="1" applyFill="1" applyBorder="1" applyAlignment="1">
      <alignment horizontal="center" vertical="center"/>
    </xf>
    <xf numFmtId="168" fontId="119" fillId="78" borderId="46" xfId="26" applyNumberFormat="1" applyFont="1" applyFill="1" applyBorder="1" applyAlignment="1">
      <alignment horizontal="center" vertical="center"/>
    </xf>
    <xf numFmtId="49" fontId="116" fillId="0" borderId="0" xfId="30" applyNumberFormat="1" applyFont="1" applyFill="1" applyAlignment="1" applyProtection="1">
      <alignment vertical="center"/>
      <protection locked="0"/>
    </xf>
    <xf numFmtId="0" fontId="116" fillId="0" borderId="0" xfId="0" applyFont="1" applyAlignment="1">
      <alignment vertical="center"/>
    </xf>
    <xf numFmtId="168" fontId="116" fillId="0" borderId="0" xfId="0" applyNumberFormat="1" applyFont="1" applyAlignment="1">
      <alignment vertical="center"/>
    </xf>
    <xf numFmtId="0" fontId="116" fillId="0" borderId="0" xfId="0" applyFont="1" applyAlignment="1">
      <alignment vertical="top"/>
    </xf>
    <xf numFmtId="0" fontId="119" fillId="0" borderId="0" xfId="0" applyFont="1" applyAlignment="1">
      <alignment vertical="top" wrapText="1"/>
    </xf>
    <xf numFmtId="0" fontId="114" fillId="79" borderId="0" xfId="0" applyFont="1" applyFill="1"/>
    <xf numFmtId="0" fontId="114" fillId="25" borderId="0" xfId="0" applyFont="1" applyFill="1" applyAlignment="1">
      <alignment vertical="center"/>
    </xf>
    <xf numFmtId="0" fontId="114" fillId="25" borderId="0" xfId="0" applyFont="1" applyFill="1" applyAlignment="1">
      <alignment vertical="center" wrapText="1"/>
    </xf>
    <xf numFmtId="0" fontId="114" fillId="79" borderId="46" xfId="0" applyFont="1" applyFill="1" applyBorder="1"/>
    <xf numFmtId="49" fontId="114" fillId="79" borderId="46" xfId="35" applyNumberFormat="1" applyFont="1" applyFill="1" applyBorder="1" applyAlignment="1" applyProtection="1">
      <alignment horizontal="left" vertical="center"/>
      <protection locked="0"/>
    </xf>
    <xf numFmtId="0" fontId="114" fillId="0" borderId="46" xfId="35" applyFont="1" applyFill="1" applyBorder="1" applyAlignment="1">
      <alignment vertical="center" wrapText="1"/>
    </xf>
    <xf numFmtId="9" fontId="114" fillId="0" borderId="46" xfId="40" applyFont="1" applyBorder="1" applyAlignment="1">
      <alignment horizontal="center"/>
    </xf>
    <xf numFmtId="0" fontId="114" fillId="0" borderId="46" xfId="35" applyFont="1" applyFill="1" applyBorder="1" applyAlignment="1">
      <alignment horizontal="center" vertical="center"/>
    </xf>
    <xf numFmtId="167" fontId="114" fillId="0" borderId="46" xfId="0" applyNumberFormat="1" applyFont="1" applyBorder="1"/>
    <xf numFmtId="9" fontId="114" fillId="0" borderId="46" xfId="760" applyNumberFormat="1" applyFont="1" applyFill="1" applyBorder="1"/>
    <xf numFmtId="171" fontId="114" fillId="0" borderId="46" xfId="40" applyNumberFormat="1" applyFont="1" applyBorder="1" applyAlignment="1">
      <alignment vertical="center"/>
    </xf>
    <xf numFmtId="171" fontId="114" fillId="0" borderId="46" xfId="40" applyNumberFormat="1" applyFont="1" applyBorder="1"/>
    <xf numFmtId="167" fontId="114" fillId="0" borderId="46" xfId="49" applyNumberFormat="1" applyFont="1" applyBorder="1"/>
    <xf numFmtId="0" fontId="114" fillId="26" borderId="19" xfId="0" applyFont="1" applyFill="1" applyBorder="1"/>
    <xf numFmtId="0" fontId="114" fillId="78" borderId="46" xfId="0" applyFont="1" applyFill="1" applyBorder="1"/>
    <xf numFmtId="0" fontId="114" fillId="79" borderId="0" xfId="0" applyFont="1" applyFill="1" applyAlignment="1">
      <alignment horizontal="center"/>
    </xf>
    <xf numFmtId="167" fontId="114" fillId="80" borderId="0" xfId="0" applyNumberFormat="1" applyFont="1" applyFill="1"/>
    <xf numFmtId="9" fontId="114" fillId="80" borderId="0" xfId="0" applyNumberFormat="1" applyFont="1" applyFill="1"/>
    <xf numFmtId="167" fontId="114" fillId="80" borderId="0" xfId="0" applyNumberFormat="1" applyFont="1" applyFill="1" applyAlignment="1">
      <alignment horizontal="center"/>
    </xf>
    <xf numFmtId="3" fontId="114" fillId="80" borderId="0" xfId="0" applyNumberFormat="1" applyFont="1" applyFill="1"/>
    <xf numFmtId="171" fontId="114" fillId="80" borderId="0" xfId="40" applyNumberFormat="1" applyFont="1" applyFill="1"/>
    <xf numFmtId="1" fontId="114" fillId="80" borderId="0" xfId="0" applyNumberFormat="1" applyFont="1" applyFill="1"/>
    <xf numFmtId="171" fontId="114" fillId="80" borderId="0" xfId="0" applyNumberFormat="1" applyFont="1" applyFill="1"/>
    <xf numFmtId="0" fontId="114" fillId="80" borderId="0" xfId="0" applyFont="1" applyFill="1" applyAlignment="1">
      <alignment vertical="top" wrapText="1"/>
    </xf>
    <xf numFmtId="0" fontId="114" fillId="80" borderId="0" xfId="0" applyFont="1" applyFill="1" applyAlignment="1">
      <alignment horizontal="center"/>
    </xf>
    <xf numFmtId="0" fontId="114" fillId="80" borderId="0" xfId="0" applyFont="1" applyFill="1"/>
    <xf numFmtId="171" fontId="114" fillId="0" borderId="0" xfId="0" applyNumberFormat="1" applyFont="1"/>
    <xf numFmtId="167" fontId="114" fillId="0" borderId="0" xfId="0" applyNumberFormat="1" applyFont="1"/>
    <xf numFmtId="167" fontId="114" fillId="82" borderId="46" xfId="49" applyNumberFormat="1" applyFont="1" applyFill="1" applyBorder="1"/>
    <xf numFmtId="167" fontId="114" fillId="32" borderId="0" xfId="0" applyNumberFormat="1" applyFont="1" applyFill="1"/>
    <xf numFmtId="0" fontId="114" fillId="0" borderId="0" xfId="0" applyFont="1"/>
    <xf numFmtId="167" fontId="125" fillId="0" borderId="0" xfId="0" applyNumberFormat="1" applyFont="1"/>
    <xf numFmtId="0" fontId="127" fillId="91" borderId="0" xfId="0" applyFont="1" applyFill="1"/>
    <xf numFmtId="0" fontId="127" fillId="91" borderId="59" xfId="0" applyFont="1" applyFill="1" applyBorder="1" applyAlignment="1">
      <alignment vertical="center" wrapText="1"/>
    </xf>
    <xf numFmtId="0" fontId="109" fillId="91" borderId="46" xfId="0" applyFont="1" applyFill="1" applyBorder="1"/>
    <xf numFmtId="0" fontId="127" fillId="91" borderId="0" xfId="0" applyFont="1" applyFill="1" applyAlignment="1">
      <alignment wrapText="1"/>
    </xf>
    <xf numFmtId="9" fontId="30" fillId="36" borderId="46" xfId="35" applyNumberFormat="1" applyFont="1" applyFill="1" applyBorder="1" applyAlignment="1">
      <alignment horizontal="right" vertical="center"/>
    </xf>
    <xf numFmtId="171" fontId="30" fillId="85" borderId="46" xfId="583" applyNumberFormat="1" applyFont="1" applyFill="1" applyBorder="1" applyAlignment="1">
      <alignment horizontal="right" vertical="center"/>
    </xf>
    <xf numFmtId="9" fontId="30" fillId="36" borderId="46" xfId="26" applyNumberFormat="1" applyFont="1" applyFill="1" applyBorder="1" applyAlignment="1">
      <alignment vertical="center"/>
    </xf>
    <xf numFmtId="168" fontId="30" fillId="36" borderId="46" xfId="26" applyNumberFormat="1" applyFont="1" applyFill="1" applyBorder="1" applyAlignment="1">
      <alignment horizontal="center" vertical="center"/>
    </xf>
    <xf numFmtId="9" fontId="31" fillId="36" borderId="46" xfId="35" applyNumberFormat="1" applyFont="1" applyFill="1" applyBorder="1" applyAlignment="1">
      <alignment horizontal="right" vertical="center"/>
    </xf>
    <xf numFmtId="167" fontId="109" fillId="90" borderId="46" xfId="49" applyNumberFormat="1" applyFont="1" applyFill="1" applyBorder="1" applyAlignment="1">
      <alignment vertical="center"/>
    </xf>
    <xf numFmtId="0" fontId="109" fillId="26" borderId="19" xfId="0" applyFont="1" applyFill="1" applyBorder="1" applyAlignment="1">
      <alignment vertical="center"/>
    </xf>
    <xf numFmtId="0" fontId="109" fillId="78" borderId="46" xfId="0" applyFont="1" applyFill="1" applyBorder="1" applyAlignment="1">
      <alignment vertical="center"/>
    </xf>
    <xf numFmtId="167" fontId="0" fillId="79" borderId="0" xfId="40" applyNumberFormat="1" applyFont="1" applyFill="1"/>
    <xf numFmtId="0" fontId="109" fillId="82" borderId="0" xfId="0" applyFont="1" applyFill="1" applyAlignment="1">
      <alignment vertical="center"/>
    </xf>
    <xf numFmtId="0" fontId="109" fillId="82" borderId="0" xfId="0" applyFont="1" applyFill="1" applyAlignment="1">
      <alignment vertical="center" wrapText="1"/>
    </xf>
    <xf numFmtId="0" fontId="109" fillId="82" borderId="46" xfId="35" applyFont="1" applyFill="1" applyBorder="1" applyAlignment="1">
      <alignment horizontal="left"/>
    </xf>
    <xf numFmtId="0" fontId="109" fillId="82" borderId="19" xfId="0" applyFont="1" applyFill="1" applyBorder="1"/>
    <xf numFmtId="9" fontId="109" fillId="82" borderId="46" xfId="40" applyFont="1" applyFill="1" applyBorder="1" applyAlignment="1">
      <alignment horizontal="right"/>
    </xf>
    <xf numFmtId="3" fontId="109" fillId="82" borderId="46" xfId="760" applyNumberFormat="1" applyFont="1" applyFill="1" applyBorder="1"/>
    <xf numFmtId="167" fontId="109" fillId="82" borderId="46" xfId="473" applyNumberFormat="1" applyFont="1" applyFill="1" applyBorder="1"/>
    <xf numFmtId="167" fontId="0" fillId="0" borderId="0" xfId="0" applyNumberFormat="1" applyAlignment="1">
      <alignment horizontal="center"/>
    </xf>
    <xf numFmtId="9" fontId="6" fillId="0" borderId="0" xfId="40" applyFont="1"/>
    <xf numFmtId="167" fontId="6" fillId="0" borderId="0" xfId="49" applyNumberFormat="1" applyFont="1"/>
    <xf numFmtId="0" fontId="31" fillId="82" borderId="0" xfId="0" applyFont="1" applyFill="1" applyAlignment="1">
      <alignment vertical="center"/>
    </xf>
    <xf numFmtId="49" fontId="31" fillId="82" borderId="46" xfId="30" applyNumberFormat="1" applyFont="1" applyFill="1" applyBorder="1" applyAlignment="1" applyProtection="1">
      <alignment vertical="center"/>
      <protection locked="0"/>
    </xf>
    <xf numFmtId="49" fontId="31" fillId="82" borderId="46" xfId="30" applyNumberFormat="1" applyFont="1" applyFill="1" applyBorder="1" applyAlignment="1" applyProtection="1">
      <alignment horizontal="center" vertical="center"/>
      <protection locked="0"/>
    </xf>
    <xf numFmtId="0" fontId="31" fillId="82" borderId="46" xfId="30" applyFont="1" applyFill="1" applyBorder="1" applyAlignment="1" applyProtection="1">
      <alignment vertical="center" wrapText="1"/>
      <protection locked="0"/>
    </xf>
    <xf numFmtId="167" fontId="31" fillId="82" borderId="46" xfId="30" applyNumberFormat="1" applyFont="1" applyFill="1" applyBorder="1" applyAlignment="1">
      <alignment vertical="center"/>
    </xf>
    <xf numFmtId="0" fontId="31" fillId="82" borderId="46" xfId="35" applyFont="1" applyFill="1" applyBorder="1" applyAlignment="1">
      <alignment horizontal="center" vertical="center"/>
    </xf>
    <xf numFmtId="168" fontId="30" fillId="82" borderId="46" xfId="26" applyNumberFormat="1" applyFont="1" applyFill="1" applyBorder="1" applyAlignment="1">
      <alignment vertical="center"/>
    </xf>
    <xf numFmtId="3" fontId="31" fillId="82" borderId="46" xfId="35" applyNumberFormat="1" applyFont="1" applyFill="1" applyBorder="1" applyAlignment="1">
      <alignment horizontal="center" vertical="center"/>
    </xf>
    <xf numFmtId="9" fontId="31" fillId="82" borderId="46" xfId="30" applyNumberFormat="1" applyFont="1" applyFill="1" applyBorder="1" applyAlignment="1" applyProtection="1">
      <alignment vertical="center"/>
      <protection locked="0"/>
    </xf>
    <xf numFmtId="9" fontId="31" fillId="82" borderId="46" xfId="35" applyNumberFormat="1" applyFont="1" applyFill="1" applyBorder="1" applyAlignment="1">
      <alignment horizontal="right" vertical="center"/>
    </xf>
    <xf numFmtId="9" fontId="30" fillId="82" borderId="46" xfId="26" applyNumberFormat="1" applyFont="1" applyFill="1" applyBorder="1" applyAlignment="1">
      <alignment vertical="center"/>
    </xf>
    <xf numFmtId="9" fontId="30" fillId="82" borderId="46" xfId="35" applyNumberFormat="1" applyFont="1" applyFill="1" applyBorder="1" applyAlignment="1">
      <alignment horizontal="right" vertical="center"/>
    </xf>
    <xf numFmtId="1" fontId="31" fillId="82" borderId="46" xfId="28" applyNumberFormat="1" applyFont="1" applyFill="1" applyBorder="1" applyAlignment="1">
      <alignment horizontal="center" vertical="center"/>
    </xf>
    <xf numFmtId="168" fontId="30" fillId="82" borderId="46" xfId="26" applyNumberFormat="1" applyFont="1" applyFill="1" applyBorder="1" applyAlignment="1">
      <alignment horizontal="center" vertical="center"/>
    </xf>
    <xf numFmtId="168" fontId="30" fillId="82" borderId="46" xfId="26" applyNumberFormat="1" applyFont="1" applyFill="1" applyBorder="1"/>
    <xf numFmtId="9" fontId="119" fillId="82" borderId="46" xfId="26" applyNumberFormat="1" applyFont="1" applyFill="1" applyBorder="1"/>
    <xf numFmtId="9" fontId="119" fillId="82" borderId="46" xfId="35" applyNumberFormat="1" applyFont="1" applyFill="1" applyBorder="1" applyAlignment="1">
      <alignment horizontal="right" vertical="center"/>
    </xf>
    <xf numFmtId="1" fontId="31" fillId="82" borderId="46" xfId="28" applyNumberFormat="1" applyFont="1" applyFill="1" applyBorder="1" applyAlignment="1">
      <alignment horizontal="center"/>
    </xf>
    <xf numFmtId="168" fontId="30" fillId="82" borderId="46" xfId="26" applyNumberFormat="1" applyFont="1" applyFill="1" applyBorder="1" applyAlignment="1">
      <alignment horizontal="center"/>
    </xf>
    <xf numFmtId="9" fontId="30" fillId="33" borderId="46" xfId="26" applyNumberFormat="1" applyFont="1" applyFill="1" applyBorder="1" applyAlignment="1">
      <alignment vertical="center"/>
    </xf>
    <xf numFmtId="0" fontId="128" fillId="0" borderId="0" xfId="0" applyFont="1"/>
    <xf numFmtId="0" fontId="24" fillId="0" borderId="22" xfId="0" applyFont="1" applyBorder="1"/>
    <xf numFmtId="167" fontId="123" fillId="0" borderId="22" xfId="0" applyNumberFormat="1" applyFont="1" applyBorder="1"/>
    <xf numFmtId="10" fontId="131" fillId="0" borderId="0" xfId="872" applyNumberFormat="1" applyFont="1" applyFill="1" applyBorder="1"/>
    <xf numFmtId="3" fontId="0" fillId="33" borderId="0" xfId="0" applyNumberFormat="1" applyFill="1"/>
    <xf numFmtId="3" fontId="41" fillId="0" borderId="0" xfId="0" applyNumberFormat="1" applyFont="1"/>
    <xf numFmtId="3" fontId="41" fillId="0" borderId="55" xfId="0" applyNumberFormat="1" applyFont="1" applyBorder="1"/>
    <xf numFmtId="0" fontId="133" fillId="0" borderId="0" xfId="0" applyFont="1"/>
    <xf numFmtId="0" fontId="41" fillId="0" borderId="0" xfId="0" applyFont="1" applyAlignment="1">
      <alignment horizontal="center" wrapText="1"/>
    </xf>
    <xf numFmtId="0" fontId="41" fillId="0" borderId="0" xfId="0" applyFont="1" applyAlignment="1">
      <alignment vertical="center"/>
    </xf>
    <xf numFmtId="0" fontId="41" fillId="0" borderId="0" xfId="0" applyFont="1" applyAlignment="1">
      <alignment vertical="center" wrapText="1"/>
    </xf>
    <xf numFmtId="0" fontId="41" fillId="78" borderId="0" xfId="0" applyFont="1" applyFill="1"/>
    <xf numFmtId="0" fontId="0" fillId="78" borderId="0" xfId="0" applyFill="1"/>
    <xf numFmtId="0" fontId="134" fillId="0" borderId="0" xfId="0" applyFont="1"/>
    <xf numFmtId="0" fontId="24" fillId="25" borderId="0" xfId="0" applyFont="1" applyFill="1" applyAlignment="1">
      <alignment vertical="center"/>
    </xf>
    <xf numFmtId="3" fontId="24" fillId="25" borderId="0" xfId="0" applyNumberFormat="1" applyFont="1" applyFill="1" applyAlignment="1">
      <alignment vertical="center"/>
    </xf>
    <xf numFmtId="0" fontId="40" fillId="0" borderId="63" xfId="0" applyFont="1" applyBorder="1" applyAlignment="1">
      <alignment vertical="center" wrapText="1"/>
    </xf>
    <xf numFmtId="0" fontId="40" fillId="0" borderId="64" xfId="0" applyFont="1" applyBorder="1" applyAlignment="1">
      <alignment horizontal="center" vertical="center" wrapText="1"/>
    </xf>
    <xf numFmtId="0" fontId="40" fillId="0" borderId="66" xfId="0" applyFont="1" applyBorder="1" applyAlignment="1">
      <alignment vertical="center" wrapText="1"/>
    </xf>
    <xf numFmtId="0" fontId="40" fillId="0" borderId="67" xfId="0" applyFont="1" applyBorder="1" applyAlignment="1">
      <alignment vertical="center" wrapText="1"/>
    </xf>
    <xf numFmtId="0" fontId="139" fillId="0" borderId="0" xfId="0" applyFont="1" applyAlignment="1">
      <alignment vertical="center"/>
    </xf>
    <xf numFmtId="0" fontId="140" fillId="91" borderId="0" xfId="0" applyFont="1" applyFill="1" applyAlignment="1">
      <alignment vertical="center" wrapText="1"/>
    </xf>
    <xf numFmtId="0" fontId="141" fillId="91" borderId="0" xfId="0" applyFont="1" applyFill="1" applyAlignment="1">
      <alignment vertical="center"/>
    </xf>
    <xf numFmtId="0" fontId="141" fillId="91" borderId="65" xfId="0" applyFont="1" applyFill="1" applyBorder="1" applyAlignment="1">
      <alignment vertical="center"/>
    </xf>
    <xf numFmtId="0" fontId="141" fillId="91" borderId="64" xfId="0" applyFont="1" applyFill="1" applyBorder="1" applyAlignment="1">
      <alignment vertical="center"/>
    </xf>
    <xf numFmtId="0" fontId="141" fillId="91" borderId="68" xfId="0" applyFont="1" applyFill="1" applyBorder="1" applyAlignment="1">
      <alignment vertical="center" wrapText="1"/>
    </xf>
    <xf numFmtId="0" fontId="40" fillId="34" borderId="65" xfId="0" applyFont="1" applyFill="1" applyBorder="1" applyAlignment="1">
      <alignment vertical="center"/>
    </xf>
    <xf numFmtId="0" fontId="40" fillId="0" borderId="65" xfId="0" applyFont="1" applyBorder="1" applyAlignment="1">
      <alignment horizontal="center" vertical="center" wrapText="1"/>
    </xf>
    <xf numFmtId="0" fontId="141" fillId="0" borderId="0" xfId="0" applyFont="1" applyAlignment="1">
      <alignment vertical="center"/>
    </xf>
    <xf numFmtId="0" fontId="6" fillId="0" borderId="0" xfId="219" applyAlignment="1">
      <alignment vertical="center"/>
    </xf>
    <xf numFmtId="0" fontId="139" fillId="0" borderId="0" xfId="219" applyFont="1" applyAlignment="1">
      <alignment vertical="center"/>
    </xf>
    <xf numFmtId="0" fontId="41" fillId="0" borderId="0" xfId="219" applyFont="1" applyAlignment="1">
      <alignment vertical="top" wrapText="1"/>
    </xf>
    <xf numFmtId="0" fontId="134" fillId="0" borderId="0" xfId="219" applyFont="1" applyAlignment="1">
      <alignment vertical="center"/>
    </xf>
    <xf numFmtId="0" fontId="40" fillId="0" borderId="63" xfId="219" applyFont="1" applyBorder="1" applyAlignment="1">
      <alignment vertical="top" wrapText="1"/>
    </xf>
    <xf numFmtId="0" fontId="40" fillId="0" borderId="66" xfId="219" applyFont="1" applyBorder="1" applyAlignment="1">
      <alignment vertical="top" wrapText="1"/>
    </xf>
    <xf numFmtId="0" fontId="40" fillId="0" borderId="67" xfId="219" applyFont="1" applyBorder="1" applyAlignment="1">
      <alignment vertical="top" wrapText="1"/>
    </xf>
    <xf numFmtId="0" fontId="6" fillId="0" borderId="0" xfId="219" applyAlignment="1">
      <alignment vertical="center" wrapText="1"/>
    </xf>
    <xf numFmtId="0" fontId="130" fillId="0" borderId="0" xfId="219" applyFont="1" applyAlignment="1">
      <alignment vertical="center"/>
    </xf>
    <xf numFmtId="0" fontId="122" fillId="0" borderId="0" xfId="219" applyFont="1" applyAlignment="1">
      <alignment vertical="center"/>
    </xf>
    <xf numFmtId="0" fontId="0" fillId="107" borderId="69" xfId="0" applyFill="1" applyBorder="1"/>
    <xf numFmtId="0" fontId="0" fillId="107" borderId="61" xfId="0" applyFill="1" applyBorder="1"/>
    <xf numFmtId="0" fontId="0" fillId="107" borderId="62" xfId="0" applyFill="1" applyBorder="1" applyAlignment="1">
      <alignment wrapText="1"/>
    </xf>
    <xf numFmtId="0" fontId="0" fillId="110" borderId="70" xfId="0" applyFill="1" applyBorder="1"/>
    <xf numFmtId="0" fontId="129" fillId="0" borderId="0" xfId="221" applyFont="1"/>
    <xf numFmtId="0" fontId="84" fillId="0" borderId="0" xfId="221" applyFont="1"/>
    <xf numFmtId="0" fontId="6" fillId="0" borderId="0" xfId="221" applyAlignment="1">
      <alignment horizontal="center"/>
    </xf>
    <xf numFmtId="0" fontId="134" fillId="0" borderId="0" xfId="221" applyFont="1"/>
    <xf numFmtId="0" fontId="133" fillId="0" borderId="0" xfId="221" applyFont="1"/>
    <xf numFmtId="0" fontId="41" fillId="0" borderId="0" xfId="221" applyFont="1" applyAlignment="1">
      <alignment vertical="center"/>
    </xf>
    <xf numFmtId="0" fontId="41" fillId="0" borderId="0" xfId="221" applyFont="1" applyAlignment="1">
      <alignment vertical="center" wrapText="1"/>
    </xf>
    <xf numFmtId="0" fontId="0" fillId="107" borderId="76" xfId="0" applyFill="1" applyBorder="1"/>
    <xf numFmtId="0" fontId="0" fillId="107" borderId="75" xfId="0" applyFill="1" applyBorder="1"/>
    <xf numFmtId="0" fontId="0" fillId="107" borderId="77" xfId="0" applyFill="1" applyBorder="1" applyAlignment="1">
      <alignment wrapText="1"/>
    </xf>
    <xf numFmtId="0" fontId="0" fillId="109" borderId="76" xfId="0" applyFill="1" applyBorder="1"/>
    <xf numFmtId="0" fontId="0" fillId="109" borderId="75" xfId="0" applyFill="1" applyBorder="1"/>
    <xf numFmtId="0" fontId="0" fillId="109" borderId="77" xfId="0" applyFill="1" applyBorder="1" applyAlignment="1">
      <alignment wrapText="1"/>
    </xf>
    <xf numFmtId="0" fontId="0" fillId="110" borderId="76" xfId="0" applyFill="1" applyBorder="1"/>
    <xf numFmtId="0" fontId="0" fillId="110" borderId="75" xfId="0" applyFill="1" applyBorder="1"/>
    <xf numFmtId="0" fontId="0" fillId="110" borderId="77" xfId="0" applyFill="1" applyBorder="1" applyAlignment="1">
      <alignment wrapText="1"/>
    </xf>
    <xf numFmtId="0" fontId="0" fillId="108" borderId="76" xfId="0" applyFill="1" applyBorder="1"/>
    <xf numFmtId="0" fontId="0" fillId="108" borderId="75" xfId="0" applyFill="1" applyBorder="1"/>
    <xf numFmtId="0" fontId="0" fillId="108" borderId="77" xfId="0" applyFill="1" applyBorder="1" applyAlignment="1">
      <alignment wrapText="1"/>
    </xf>
    <xf numFmtId="0" fontId="0" fillId="111" borderId="76" xfId="0" applyFill="1" applyBorder="1"/>
    <xf numFmtId="0" fontId="0" fillId="111" borderId="75" xfId="0" applyFill="1" applyBorder="1"/>
    <xf numFmtId="0" fontId="0" fillId="111" borderId="77" xfId="0" applyFill="1" applyBorder="1" applyAlignment="1">
      <alignment wrapText="1"/>
    </xf>
    <xf numFmtId="0" fontId="6" fillId="0" borderId="75" xfId="219" applyBorder="1" applyAlignment="1">
      <alignment vertical="center"/>
    </xf>
    <xf numFmtId="0" fontId="6" fillId="110" borderId="75" xfId="219" applyFill="1" applyBorder="1" applyAlignment="1">
      <alignment vertical="center" wrapText="1"/>
    </xf>
    <xf numFmtId="0" fontId="0" fillId="110" borderId="72" xfId="0" applyFill="1" applyBorder="1"/>
    <xf numFmtId="0" fontId="0" fillId="110" borderId="73" xfId="0" applyFill="1" applyBorder="1" applyAlignment="1">
      <alignment wrapText="1"/>
    </xf>
    <xf numFmtId="0" fontId="41" fillId="0" borderId="0" xfId="219" applyFont="1" applyAlignment="1">
      <alignment vertical="top"/>
    </xf>
    <xf numFmtId="0" fontId="41" fillId="34" borderId="0" xfId="219" applyFont="1" applyFill="1" applyAlignment="1">
      <alignment vertical="top"/>
    </xf>
    <xf numFmtId="0" fontId="40" fillId="0" borderId="71" xfId="219" applyFont="1" applyBorder="1" applyAlignment="1">
      <alignment vertical="top" wrapText="1"/>
    </xf>
    <xf numFmtId="0" fontId="40" fillId="0" borderId="0" xfId="47" applyFont="1" applyAlignment="1">
      <alignment vertical="center" wrapText="1"/>
    </xf>
    <xf numFmtId="0" fontId="6" fillId="0" borderId="0" xfId="47"/>
    <xf numFmtId="167" fontId="33" fillId="27" borderId="3" xfId="26" applyNumberFormat="1"/>
    <xf numFmtId="167" fontId="27" fillId="0" borderId="0" xfId="0" applyNumberFormat="1" applyFont="1"/>
    <xf numFmtId="167" fontId="42" fillId="27" borderId="3" xfId="26" applyNumberFormat="1" applyFont="1"/>
    <xf numFmtId="167" fontId="20" fillId="25" borderId="0" xfId="0" applyNumberFormat="1" applyFont="1" applyFill="1" applyAlignment="1">
      <alignment vertical="center"/>
    </xf>
    <xf numFmtId="0" fontId="0" fillId="33" borderId="0" xfId="0" applyFill="1" applyAlignment="1">
      <alignment horizontal="left" wrapText="1"/>
    </xf>
    <xf numFmtId="0" fontId="135" fillId="0" borderId="0" xfId="0" applyFont="1" applyAlignment="1">
      <alignment vertical="center"/>
    </xf>
    <xf numFmtId="6" fontId="6" fillId="110" borderId="75" xfId="219" applyNumberFormat="1" applyFill="1" applyBorder="1" applyAlignment="1">
      <alignment vertical="center"/>
    </xf>
    <xf numFmtId="0" fontId="20" fillId="0" borderId="0" xfId="0" applyFont="1" applyAlignment="1">
      <alignment horizontal="right"/>
    </xf>
    <xf numFmtId="0" fontId="143" fillId="0" borderId="0" xfId="47" applyFont="1" applyAlignment="1">
      <alignment vertical="center" wrapText="1"/>
    </xf>
    <xf numFmtId="167" fontId="144" fillId="0" borderId="0" xfId="47" applyNumberFormat="1" applyFont="1" applyAlignment="1">
      <alignment vertical="center"/>
    </xf>
    <xf numFmtId="6" fontId="6" fillId="0" borderId="0" xfId="219" applyNumberFormat="1" applyAlignment="1">
      <alignment vertical="center"/>
    </xf>
    <xf numFmtId="0" fontId="6" fillId="106" borderId="76" xfId="219" applyFill="1" applyBorder="1" applyAlignment="1">
      <alignment vertical="center"/>
    </xf>
    <xf numFmtId="0" fontId="6" fillId="106" borderId="75" xfId="219" applyFill="1" applyBorder="1" applyAlignment="1">
      <alignment vertical="center"/>
    </xf>
    <xf numFmtId="0" fontId="6" fillId="106" borderId="75" xfId="219" applyFill="1" applyBorder="1" applyAlignment="1">
      <alignment vertical="center" wrapText="1"/>
    </xf>
    <xf numFmtId="6" fontId="6" fillId="106" borderId="75" xfId="219" applyNumberFormat="1" applyFill="1" applyBorder="1" applyAlignment="1">
      <alignment vertical="center"/>
    </xf>
    <xf numFmtId="171" fontId="6" fillId="106" borderId="75" xfId="219" applyNumberFormat="1" applyFill="1" applyBorder="1" applyAlignment="1">
      <alignment vertical="center"/>
    </xf>
    <xf numFmtId="167" fontId="6" fillId="0" borderId="0" xfId="219" applyNumberFormat="1" applyAlignment="1">
      <alignment vertical="center"/>
    </xf>
    <xf numFmtId="167" fontId="41" fillId="0" borderId="74" xfId="219" applyNumberFormat="1" applyFont="1" applyBorder="1" applyAlignment="1">
      <alignment vertical="center"/>
    </xf>
    <xf numFmtId="0" fontId="6" fillId="106" borderId="75" xfId="219" applyFill="1" applyBorder="1" applyAlignment="1">
      <alignment horizontal="center" vertical="center" wrapText="1"/>
    </xf>
    <xf numFmtId="6" fontId="41" fillId="0" borderId="80" xfId="219" applyNumberFormat="1" applyFont="1" applyBorder="1" applyAlignment="1">
      <alignment vertical="center"/>
    </xf>
    <xf numFmtId="6" fontId="41" fillId="0" borderId="78" xfId="219" applyNumberFormat="1" applyFont="1" applyBorder="1" applyAlignment="1">
      <alignment vertical="center"/>
    </xf>
    <xf numFmtId="6" fontId="41" fillId="0" borderId="79" xfId="219" applyNumberFormat="1" applyFont="1" applyBorder="1" applyAlignment="1">
      <alignment vertical="center"/>
    </xf>
    <xf numFmtId="171" fontId="122" fillId="106" borderId="75" xfId="219" applyNumberFormat="1" applyFont="1" applyFill="1" applyBorder="1" applyAlignment="1">
      <alignment vertical="center"/>
    </xf>
    <xf numFmtId="0" fontId="145" fillId="102" borderId="65" xfId="219" applyFont="1" applyFill="1" applyBorder="1" applyAlignment="1">
      <alignment vertical="center"/>
    </xf>
    <xf numFmtId="0" fontId="6" fillId="102" borderId="64" xfId="219" applyFill="1" applyBorder="1" applyAlignment="1">
      <alignment vertical="center"/>
    </xf>
    <xf numFmtId="0" fontId="6" fillId="102" borderId="64" xfId="219" applyFill="1" applyBorder="1" applyAlignment="1">
      <alignment vertical="center" wrapText="1"/>
    </xf>
    <xf numFmtId="6" fontId="6" fillId="102" borderId="64" xfId="219" applyNumberFormat="1" applyFill="1" applyBorder="1" applyAlignment="1">
      <alignment vertical="center"/>
    </xf>
    <xf numFmtId="171" fontId="6" fillId="102" borderId="64" xfId="219" applyNumberFormat="1" applyFill="1" applyBorder="1" applyAlignment="1">
      <alignment vertical="center"/>
    </xf>
    <xf numFmtId="171" fontId="122" fillId="102" borderId="64" xfId="219" applyNumberFormat="1" applyFont="1" applyFill="1" applyBorder="1" applyAlignment="1">
      <alignment vertical="center"/>
    </xf>
    <xf numFmtId="171" fontId="122" fillId="102" borderId="68" xfId="219" applyNumberFormat="1" applyFont="1" applyFill="1" applyBorder="1" applyAlignment="1">
      <alignment vertical="center"/>
    </xf>
    <xf numFmtId="0" fontId="6" fillId="106" borderId="69" xfId="219" applyFill="1" applyBorder="1" applyAlignment="1">
      <alignment vertical="center"/>
    </xf>
    <xf numFmtId="0" fontId="6" fillId="106" borderId="61" xfId="219" applyFill="1" applyBorder="1" applyAlignment="1">
      <alignment vertical="center"/>
    </xf>
    <xf numFmtId="171" fontId="6" fillId="106" borderId="61" xfId="219" applyNumberFormat="1" applyFill="1" applyBorder="1" applyAlignment="1">
      <alignment vertical="center"/>
    </xf>
    <xf numFmtId="171" fontId="122" fillId="106" borderId="61" xfId="219" applyNumberFormat="1" applyFont="1" applyFill="1" applyBorder="1" applyAlignment="1">
      <alignment vertical="center"/>
    </xf>
    <xf numFmtId="0" fontId="6" fillId="106" borderId="61" xfId="219" applyFill="1" applyBorder="1" applyAlignment="1">
      <alignment horizontal="center" vertical="center" wrapText="1"/>
    </xf>
    <xf numFmtId="0" fontId="6" fillId="106" borderId="62" xfId="219" applyFill="1" applyBorder="1" applyAlignment="1">
      <alignment horizontal="center" vertical="center" wrapText="1"/>
    </xf>
    <xf numFmtId="0" fontId="6" fillId="106" borderId="77" xfId="219" applyFill="1" applyBorder="1" applyAlignment="1">
      <alignment horizontal="center" vertical="center" wrapText="1"/>
    </xf>
    <xf numFmtId="0" fontId="6" fillId="0" borderId="75" xfId="219" applyBorder="1" applyAlignment="1">
      <alignment horizontal="center" vertical="center"/>
    </xf>
    <xf numFmtId="0" fontId="0" fillId="0" borderId="75" xfId="0" applyBorder="1" applyAlignment="1">
      <alignment horizontal="center" vertical="center"/>
    </xf>
    <xf numFmtId="167" fontId="41" fillId="0" borderId="0" xfId="219" applyNumberFormat="1" applyFont="1" applyAlignment="1">
      <alignment vertical="center"/>
    </xf>
    <xf numFmtId="0" fontId="148" fillId="33" borderId="75" xfId="0" applyFont="1" applyFill="1" applyBorder="1" applyAlignment="1">
      <alignment vertical="center" wrapText="1"/>
    </xf>
    <xf numFmtId="0" fontId="109" fillId="0" borderId="75" xfId="0" applyFont="1" applyBorder="1" applyAlignment="1">
      <alignment vertical="center" wrapText="1"/>
    </xf>
    <xf numFmtId="0" fontId="109" fillId="0" borderId="75" xfId="0" applyFont="1" applyBorder="1" applyAlignment="1">
      <alignment vertical="center"/>
    </xf>
    <xf numFmtId="0" fontId="149" fillId="0" borderId="0" xfId="0" applyFont="1"/>
    <xf numFmtId="0" fontId="24" fillId="0" borderId="0" xfId="0" applyFont="1"/>
    <xf numFmtId="0" fontId="24" fillId="0" borderId="0" xfId="0" applyFont="1" applyAlignment="1">
      <alignment vertical="center"/>
    </xf>
    <xf numFmtId="0" fontId="150" fillId="0" borderId="0" xfId="0" applyFont="1"/>
    <xf numFmtId="0" fontId="20" fillId="98" borderId="0" xfId="0" applyFont="1" applyFill="1" applyAlignment="1">
      <alignment horizontal="center"/>
    </xf>
    <xf numFmtId="0" fontId="20" fillId="0" borderId="0" xfId="47" applyFont="1" applyAlignment="1">
      <alignment vertical="center"/>
    </xf>
    <xf numFmtId="171" fontId="1" fillId="0" borderId="0" xfId="40" applyNumberFormat="1" applyFont="1" applyAlignment="1">
      <alignment vertical="center"/>
    </xf>
    <xf numFmtId="167" fontId="20" fillId="0" borderId="0" xfId="47" applyNumberFormat="1" applyFont="1" applyAlignment="1">
      <alignment vertical="center"/>
    </xf>
    <xf numFmtId="167" fontId="20" fillId="0" borderId="0" xfId="0" applyNumberFormat="1" applyFont="1"/>
    <xf numFmtId="171" fontId="20" fillId="0" borderId="0" xfId="0" applyNumberFormat="1" applyFont="1"/>
    <xf numFmtId="9" fontId="20" fillId="0" borderId="0" xfId="0" applyNumberFormat="1" applyFont="1"/>
    <xf numFmtId="38" fontId="20" fillId="0" borderId="0" xfId="0" applyNumberFormat="1" applyFont="1"/>
    <xf numFmtId="10" fontId="20" fillId="0" borderId="0" xfId="0" applyNumberFormat="1" applyFont="1"/>
    <xf numFmtId="0" fontId="20" fillId="0" borderId="0" xfId="0" applyFont="1" applyAlignment="1">
      <alignment vertical="center" wrapText="1"/>
    </xf>
    <xf numFmtId="171" fontId="20" fillId="0" borderId="0" xfId="40" applyNumberFormat="1" applyFont="1"/>
    <xf numFmtId="0" fontId="20" fillId="0" borderId="0" xfId="0" applyFont="1" applyAlignment="1">
      <alignment wrapText="1"/>
    </xf>
    <xf numFmtId="0" fontId="24" fillId="0" borderId="74" xfId="47" applyFont="1" applyBorder="1" applyAlignment="1">
      <alignment vertical="center"/>
    </xf>
    <xf numFmtId="0" fontId="20" fillId="0" borderId="74" xfId="0" applyFont="1" applyBorder="1"/>
    <xf numFmtId="167" fontId="20" fillId="0" borderId="74" xfId="47" applyNumberFormat="1" applyFont="1" applyBorder="1" applyAlignment="1">
      <alignment vertical="center"/>
    </xf>
    <xf numFmtId="0" fontId="24" fillId="0" borderId="74" xfId="0" applyFont="1" applyBorder="1"/>
    <xf numFmtId="38" fontId="20" fillId="0" borderId="74" xfId="0" applyNumberFormat="1" applyFont="1" applyBorder="1"/>
    <xf numFmtId="38" fontId="24" fillId="0" borderId="74" xfId="0" applyNumberFormat="1" applyFont="1" applyBorder="1"/>
    <xf numFmtId="167" fontId="24" fillId="97" borderId="46" xfId="53" applyNumberFormat="1" applyFont="1" applyFill="1" applyBorder="1" applyAlignment="1" applyProtection="1">
      <alignment horizontal="center" vertical="center" wrapText="1"/>
      <protection locked="0"/>
    </xf>
    <xf numFmtId="0" fontId="152" fillId="0" borderId="0" xfId="47" applyFont="1" applyAlignment="1">
      <alignment vertical="center" wrapText="1"/>
    </xf>
    <xf numFmtId="0" fontId="37" fillId="0" borderId="0" xfId="0" applyFont="1"/>
    <xf numFmtId="0" fontId="153" fillId="0" borderId="0" xfId="0" applyFont="1" applyAlignment="1">
      <alignment vertical="center" wrapText="1"/>
    </xf>
    <xf numFmtId="38" fontId="37" fillId="0" borderId="0" xfId="0" applyNumberFormat="1" applyFont="1" applyAlignment="1">
      <alignment vertical="center"/>
    </xf>
    <xf numFmtId="0" fontId="37" fillId="0" borderId="0" xfId="0" applyFont="1" applyAlignment="1">
      <alignment vertical="center"/>
    </xf>
    <xf numFmtId="167" fontId="37" fillId="0" borderId="74" xfId="47" applyNumberFormat="1" applyFont="1" applyBorder="1" applyAlignment="1">
      <alignment vertical="center"/>
    </xf>
    <xf numFmtId="0" fontId="37" fillId="0" borderId="74" xfId="0" applyFont="1" applyBorder="1"/>
    <xf numFmtId="0" fontId="37" fillId="0" borderId="74" xfId="0" applyFont="1" applyBorder="1" applyAlignment="1">
      <alignment vertical="center"/>
    </xf>
    <xf numFmtId="38" fontId="37" fillId="0" borderId="74" xfId="0" applyNumberFormat="1" applyFont="1" applyBorder="1"/>
    <xf numFmtId="9" fontId="37" fillId="0" borderId="0" xfId="40" applyFont="1" applyFill="1"/>
    <xf numFmtId="38" fontId="37" fillId="0" borderId="0" xfId="0" applyNumberFormat="1" applyFont="1"/>
    <xf numFmtId="38" fontId="154" fillId="0" borderId="74" xfId="0" applyNumberFormat="1" applyFont="1" applyBorder="1"/>
    <xf numFmtId="0" fontId="37" fillId="0" borderId="0" xfId="0" applyFont="1" applyAlignment="1">
      <alignment vertical="center" wrapText="1"/>
    </xf>
    <xf numFmtId="0" fontId="37" fillId="0" borderId="74" xfId="0" applyFont="1" applyBorder="1" applyAlignment="1">
      <alignment wrapText="1"/>
    </xf>
    <xf numFmtId="0" fontId="37" fillId="0" borderId="0" xfId="0" applyFont="1" applyAlignment="1">
      <alignment wrapText="1"/>
    </xf>
    <xf numFmtId="49" fontId="151" fillId="0" borderId="60" xfId="53" applyNumberFormat="1" applyFont="1" applyFill="1" applyBorder="1" applyAlignment="1" applyProtection="1">
      <alignment vertical="center" wrapText="1"/>
      <protection locked="0"/>
    </xf>
    <xf numFmtId="0" fontId="136" fillId="100" borderId="75" xfId="0" applyFont="1" applyFill="1" applyBorder="1" applyAlignment="1">
      <alignment horizontal="center" vertical="center"/>
    </xf>
    <xf numFmtId="0" fontId="132" fillId="105" borderId="75" xfId="0" applyFont="1" applyFill="1" applyBorder="1" applyAlignment="1">
      <alignment vertical="center"/>
    </xf>
    <xf numFmtId="0" fontId="147" fillId="104" borderId="75" xfId="0" applyFont="1" applyFill="1" applyBorder="1" applyAlignment="1">
      <alignment vertical="center" wrapText="1"/>
    </xf>
    <xf numFmtId="0" fontId="138" fillId="104" borderId="75" xfId="0" applyFont="1" applyFill="1" applyBorder="1" applyAlignment="1">
      <alignment vertical="center" wrapText="1"/>
    </xf>
    <xf numFmtId="0" fontId="109" fillId="103" borderId="75" xfId="0" applyFont="1" applyFill="1" applyBorder="1" applyAlignment="1">
      <alignment vertical="center" wrapText="1"/>
    </xf>
    <xf numFmtId="0" fontId="148" fillId="103" borderId="75" xfId="0" applyFont="1" applyFill="1" applyBorder="1" applyAlignment="1">
      <alignment vertical="center" wrapText="1"/>
    </xf>
    <xf numFmtId="0" fontId="137" fillId="101" borderId="75" xfId="0" applyFont="1" applyFill="1" applyBorder="1" applyAlignment="1">
      <alignment vertical="center" wrapText="1"/>
    </xf>
    <xf numFmtId="0" fontId="146" fillId="101" borderId="75" xfId="0" applyFont="1" applyFill="1" applyBorder="1" applyAlignment="1">
      <alignment vertical="center" wrapText="1"/>
    </xf>
    <xf numFmtId="0" fontId="109" fillId="33" borderId="75" xfId="0" applyFont="1" applyFill="1" applyBorder="1" applyAlignment="1">
      <alignment vertical="center" wrapText="1"/>
    </xf>
    <xf numFmtId="0" fontId="20" fillId="36" borderId="0" xfId="0" applyFont="1" applyFill="1"/>
    <xf numFmtId="167" fontId="24" fillId="97" borderId="60" xfId="53" applyNumberFormat="1" applyFont="1" applyFill="1" applyBorder="1" applyAlignment="1" applyProtection="1">
      <alignment horizontal="center" vertical="center" wrapText="1"/>
      <protection locked="0"/>
    </xf>
    <xf numFmtId="49" fontId="154" fillId="99" borderId="46" xfId="53" applyNumberFormat="1" applyFont="1" applyFill="1" applyBorder="1" applyAlignment="1" applyProtection="1">
      <alignment vertical="center" wrapText="1"/>
      <protection locked="0"/>
    </xf>
    <xf numFmtId="0" fontId="154" fillId="99" borderId="46" xfId="53" applyNumberFormat="1" applyFont="1" applyFill="1" applyBorder="1" applyAlignment="1" applyProtection="1">
      <alignment vertical="center" wrapText="1"/>
      <protection locked="0"/>
    </xf>
    <xf numFmtId="49" fontId="24" fillId="34" borderId="46" xfId="53" applyNumberFormat="1" applyFont="1" applyFill="1" applyBorder="1" applyAlignment="1" applyProtection="1">
      <alignment vertical="center" wrapText="1"/>
      <protection locked="0"/>
    </xf>
    <xf numFmtId="49" fontId="24" fillId="98" borderId="46" xfId="53" applyNumberFormat="1" applyFont="1" applyFill="1" applyBorder="1" applyAlignment="1" applyProtection="1">
      <alignment vertical="center" wrapText="1"/>
      <protection locked="0"/>
    </xf>
    <xf numFmtId="171" fontId="152" fillId="0" borderId="0" xfId="40" applyNumberFormat="1" applyFont="1" applyAlignment="1">
      <alignment vertical="center"/>
    </xf>
    <xf numFmtId="167" fontId="158" fillId="0" borderId="0" xfId="47" applyNumberFormat="1" applyFont="1" applyAlignment="1">
      <alignment vertical="center"/>
    </xf>
    <xf numFmtId="0" fontId="154" fillId="0" borderId="0" xfId="0" applyFont="1" applyAlignment="1">
      <alignment vertical="center" wrapText="1"/>
    </xf>
    <xf numFmtId="0" fontId="109" fillId="112" borderId="0" xfId="0" applyFont="1" applyFill="1"/>
    <xf numFmtId="0" fontId="109" fillId="112" borderId="0" xfId="0" applyFont="1" applyFill="1" applyAlignment="1">
      <alignment wrapText="1"/>
    </xf>
    <xf numFmtId="0" fontId="160" fillId="112" borderId="0" xfId="0" applyFont="1" applyFill="1" applyAlignment="1">
      <alignment wrapText="1"/>
    </xf>
    <xf numFmtId="0" fontId="161" fillId="112" borderId="0" xfId="0" applyFont="1" applyFill="1" applyAlignment="1">
      <alignment horizontal="center" vertical="center" wrapText="1"/>
    </xf>
    <xf numFmtId="0" fontId="6" fillId="106" borderId="61" xfId="219" applyFill="1" applyBorder="1" applyAlignment="1">
      <alignment vertical="center" wrapText="1"/>
    </xf>
    <xf numFmtId="6" fontId="6" fillId="106" borderId="61" xfId="219" applyNumberFormat="1" applyFill="1" applyBorder="1" applyAlignment="1">
      <alignment vertical="center"/>
    </xf>
    <xf numFmtId="0" fontId="6" fillId="109" borderId="70" xfId="219" applyFill="1" applyBorder="1" applyAlignment="1">
      <alignment vertical="center"/>
    </xf>
    <xf numFmtId="0" fontId="6" fillId="109" borderId="72" xfId="219" applyFill="1" applyBorder="1" applyAlignment="1">
      <alignment vertical="center"/>
    </xf>
    <xf numFmtId="0" fontId="6" fillId="109" borderId="72" xfId="219" applyFill="1" applyBorder="1" applyAlignment="1">
      <alignment vertical="center" wrapText="1"/>
    </xf>
    <xf numFmtId="6" fontId="6" fillId="109" borderId="72" xfId="219" applyNumberFormat="1" applyFill="1" applyBorder="1" applyAlignment="1">
      <alignment vertical="center"/>
    </xf>
    <xf numFmtId="171" fontId="6" fillId="109" borderId="72" xfId="219" applyNumberFormat="1" applyFill="1" applyBorder="1" applyAlignment="1">
      <alignment vertical="center"/>
    </xf>
    <xf numFmtId="171" fontId="122" fillId="109" borderId="72" xfId="219" applyNumberFormat="1" applyFont="1" applyFill="1" applyBorder="1" applyAlignment="1">
      <alignment vertical="center"/>
    </xf>
    <xf numFmtId="0" fontId="6" fillId="109" borderId="72" xfId="219" applyFill="1" applyBorder="1" applyAlignment="1">
      <alignment horizontal="center" vertical="center" wrapText="1"/>
    </xf>
    <xf numFmtId="0" fontId="6" fillId="109" borderId="73" xfId="219" applyFill="1" applyBorder="1" applyAlignment="1">
      <alignment horizontal="center" vertical="center" wrapText="1"/>
    </xf>
    <xf numFmtId="0" fontId="6" fillId="110" borderId="61" xfId="219" applyFill="1" applyBorder="1" applyAlignment="1">
      <alignment vertical="center" wrapText="1"/>
    </xf>
    <xf numFmtId="6" fontId="6" fillId="110" borderId="61" xfId="219" applyNumberFormat="1" applyFill="1" applyBorder="1" applyAlignment="1">
      <alignment vertical="center"/>
    </xf>
    <xf numFmtId="0" fontId="162" fillId="112" borderId="0" xfId="0" applyFont="1" applyFill="1" applyAlignment="1">
      <alignment wrapText="1"/>
    </xf>
    <xf numFmtId="0" fontId="164" fillId="0" borderId="0" xfId="0" applyFont="1" applyAlignment="1">
      <alignment vertical="center" wrapText="1"/>
    </xf>
    <xf numFmtId="0" fontId="167" fillId="112" borderId="0" xfId="0" applyFont="1" applyFill="1" applyAlignment="1">
      <alignment horizontal="left" vertical="center" wrapText="1"/>
    </xf>
    <xf numFmtId="0" fontId="136" fillId="100" borderId="75" xfId="0" applyFont="1" applyFill="1" applyBorder="1" applyAlignment="1">
      <alignment horizontal="center" vertical="center"/>
    </xf>
    <xf numFmtId="0" fontId="135" fillId="0" borderId="0" xfId="0" applyFont="1" applyAlignment="1">
      <alignment horizontal="left" vertical="center" wrapText="1"/>
    </xf>
    <xf numFmtId="0" fontId="135" fillId="0" borderId="0" xfId="0" applyFont="1" applyAlignment="1">
      <alignment horizontal="left" vertical="center"/>
    </xf>
    <xf numFmtId="0" fontId="154" fillId="99" borderId="16" xfId="53" applyNumberFormat="1" applyFont="1" applyFill="1" applyBorder="1" applyAlignment="1" applyProtection="1">
      <alignment horizontal="center" vertical="center" wrapText="1"/>
      <protection locked="0"/>
    </xf>
    <xf numFmtId="0" fontId="154" fillId="99" borderId="2" xfId="53" applyNumberFormat="1" applyFont="1" applyFill="1" applyBorder="1" applyAlignment="1" applyProtection="1">
      <alignment horizontal="center" vertical="center" wrapText="1"/>
      <protection locked="0"/>
    </xf>
    <xf numFmtId="0" fontId="84" fillId="78" borderId="0" xfId="219" applyFont="1" applyFill="1" applyAlignment="1">
      <alignment horizontal="left" vertical="center" wrapText="1"/>
    </xf>
    <xf numFmtId="0" fontId="36" fillId="0" borderId="0" xfId="0" applyFont="1" applyAlignment="1">
      <alignment vertical="center"/>
    </xf>
  </cellXfs>
  <cellStyles count="938">
    <cellStyle name="#" xfId="58" xr:uid="{00000000-0005-0000-0000-000000000000}"/>
    <cellStyle name="#%" xfId="59" xr:uid="{00000000-0005-0000-0000-000001000000}"/>
    <cellStyle name="#,00" xfId="60" xr:uid="{00000000-0005-0000-0000-000002000000}"/>
    <cellStyle name="#,0000" xfId="61" xr:uid="{00000000-0005-0000-0000-000003000000}"/>
    <cellStyle name="#_UNIT COST" xfId="62" xr:uid="{00000000-0005-0000-0000-000004000000}"/>
    <cellStyle name="$m" xfId="63" xr:uid="{00000000-0005-0000-0000-000005000000}"/>
    <cellStyle name="¢" xfId="64" xr:uid="{00000000-0005-0000-0000-000006000000}"/>
    <cellStyle name="¢_AlcoaFinModel_V1.0_16Jan00.xls Chart 1" xfId="65" xr:uid="{00000000-0005-0000-0000-000007000000}"/>
    <cellStyle name="¢_Annual LF" xfId="66" xr:uid="{00000000-0005-0000-0000-000008000000}"/>
    <cellStyle name="¢_FinModelTemplateVer1.xls Chart 2" xfId="67" xr:uid="{00000000-0005-0000-0000-000009000000}"/>
    <cellStyle name="¢_IndBid_Synergen_FModel_180200" xfId="68" xr:uid="{00000000-0005-0000-0000-00000A000000}"/>
    <cellStyle name="¢_JC WACC Jan99" xfId="69" xr:uid="{00000000-0005-0000-0000-00000B000000}"/>
    <cellStyle name="¢_MonthlyLF" xfId="70" xr:uid="{00000000-0005-0000-0000-00000C000000}"/>
    <cellStyle name="¢_NEGF_Availability_V2_1Aug00" xfId="71" xr:uid="{00000000-0005-0000-0000-00000D000000}"/>
    <cellStyle name="¢_NEGF_Availability_V2_1Aug00.xls Chart 4" xfId="72" xr:uid="{00000000-0005-0000-0000-00000E000000}"/>
    <cellStyle name="¢_NEGF_Availability_V2_1Aug00.xls Chart 5" xfId="73" xr:uid="{00000000-0005-0000-0000-00000F000000}"/>
    <cellStyle name="¢_RWC_IPP_NEGoldfieldIntercSys_13Mar00.xls Chart 1" xfId="74" xr:uid="{00000000-0005-0000-0000-000010000000}"/>
    <cellStyle name="¢_RWC_IPP_NEGoldfieldIntercSys_13Mar00.xls Chart 2" xfId="75" xr:uid="{00000000-0005-0000-0000-000011000000}"/>
    <cellStyle name="¢_RWC_IPP_NEGoldfieldIntercSys_13Mar00.xls Chart 3" xfId="76" xr:uid="{00000000-0005-0000-0000-000012000000}"/>
    <cellStyle name="¢_RWC_NEGoldfieldIntercSys_V6.0_31Jul00.xls Chart 1" xfId="77" xr:uid="{00000000-0005-0000-0000-000013000000}"/>
    <cellStyle name="¢_RWC_NEGoldfieldIntercSys_V6.0_31Jul00.xls Chart 2" xfId="78" xr:uid="{00000000-0005-0000-0000-000014000000}"/>
    <cellStyle name="¢_RWC_NEGoldfieldIntercSys_V6.0_31Jul00.xls Chart 4" xfId="79" xr:uid="{00000000-0005-0000-0000-000015000000}"/>
    <cellStyle name="¢_RWC_SCLbidreview_V1.1_2Nov03" xfId="80" xr:uid="{00000000-0005-0000-0000-000016000000}"/>
    <cellStyle name="¢_Sheet" xfId="81" xr:uid="{00000000-0005-0000-0000-000017000000}"/>
    <cellStyle name="¢_Worksheet" xfId="82" xr:uid="{00000000-0005-0000-0000-000018000000}"/>
    <cellStyle name="0,000" xfId="83" xr:uid="{00000000-0005-0000-0000-000019000000}"/>
    <cellStyle name="0.0%" xfId="84" xr:uid="{00000000-0005-0000-0000-00001A000000}"/>
    <cellStyle name="0.00%" xfId="85" xr:uid="{00000000-0005-0000-0000-00001B000000}"/>
    <cellStyle name="0000" xfId="86" xr:uid="{00000000-0005-0000-0000-00001C000000}"/>
    <cellStyle name="0x" xfId="87" xr:uid="{00000000-0005-0000-0000-00001D000000}"/>
    <cellStyle name="20% - Accent1" xfId="1" builtinId="30" customBuiltin="1"/>
    <cellStyle name="20% - Accent1 2" xfId="365" xr:uid="{00000000-0005-0000-0000-00001F000000}"/>
    <cellStyle name="20% - Accent2" xfId="2" builtinId="34" customBuiltin="1"/>
    <cellStyle name="20% - Accent2 2" xfId="366" xr:uid="{00000000-0005-0000-0000-000021000000}"/>
    <cellStyle name="20% - Accent3" xfId="3" builtinId="38" customBuiltin="1"/>
    <cellStyle name="20% - Accent3 2" xfId="367" xr:uid="{00000000-0005-0000-0000-000023000000}"/>
    <cellStyle name="20% - Accent4" xfId="4" builtinId="42" customBuiltin="1"/>
    <cellStyle name="20% - Accent4 2" xfId="368" xr:uid="{00000000-0005-0000-0000-000025000000}"/>
    <cellStyle name="20% - Accent5" xfId="5" builtinId="46" customBuiltin="1"/>
    <cellStyle name="20% - Accent5 2" xfId="369" xr:uid="{00000000-0005-0000-0000-000027000000}"/>
    <cellStyle name="20% - Accent6" xfId="6" builtinId="50" customBuiltin="1"/>
    <cellStyle name="20% - Accent6 2" xfId="370" xr:uid="{00000000-0005-0000-0000-000029000000}"/>
    <cellStyle name="4" xfId="88" xr:uid="{00000000-0005-0000-0000-00002A000000}"/>
    <cellStyle name="4_IndBid_Synergen_FModel_180200" xfId="89" xr:uid="{00000000-0005-0000-0000-00002B000000}"/>
    <cellStyle name="4_JC_Peakermodel26Apr00" xfId="90" xr:uid="{00000000-0005-0000-0000-00002C000000}"/>
    <cellStyle name="4_NEGF_Availability_V2_1Aug00" xfId="91" xr:uid="{00000000-0005-0000-0000-00002D000000}"/>
    <cellStyle name="4_Price Path (2)" xfId="92" xr:uid="{00000000-0005-0000-0000-00002E000000}"/>
    <cellStyle name="4_RWC_EDLgasturb_27Aug03" xfId="93" xr:uid="{00000000-0005-0000-0000-00002F000000}"/>
    <cellStyle name="4_RWC_IPP_NEGoldfieldIntercSys_13Mar00.xls Chart 1" xfId="94" xr:uid="{00000000-0005-0000-0000-000030000000}"/>
    <cellStyle name="4_RWC_IPP_NEGoldfieldIntercSys_13Mar00.xls Chart 2" xfId="95" xr:uid="{00000000-0005-0000-0000-000031000000}"/>
    <cellStyle name="4_RWC_IPP_NEGoldfieldIntercSys_13Mar00.xls Chart 3" xfId="96" xr:uid="{00000000-0005-0000-0000-000032000000}"/>
    <cellStyle name="4_RWC_NEGoldfieldIntercSys_V6.0_31Jul00.xls Chart 1" xfId="97" xr:uid="{00000000-0005-0000-0000-000033000000}"/>
    <cellStyle name="4_RWC_NEGoldfieldIntercSys_V6.0_31Jul00.xls Chart 2" xfId="98" xr:uid="{00000000-0005-0000-0000-000034000000}"/>
    <cellStyle name="4_RWC_NEGoldfieldIntercSys_V6.0_31Jul00.xls Chart 4" xfId="99" xr:uid="{00000000-0005-0000-0000-000035000000}"/>
    <cellStyle name="4_RWC_SCLbidreview_V1.1_2Nov03" xfId="100" xr:uid="{00000000-0005-0000-0000-000036000000}"/>
    <cellStyle name="40% - Accent1" xfId="7" builtinId="31" customBuiltin="1"/>
    <cellStyle name="40% - Accent1 2" xfId="371" xr:uid="{00000000-0005-0000-0000-000038000000}"/>
    <cellStyle name="40% - Accent2" xfId="8" builtinId="35" customBuiltin="1"/>
    <cellStyle name="40% - Accent2 2" xfId="372" xr:uid="{00000000-0005-0000-0000-00003A000000}"/>
    <cellStyle name="40% - Accent3" xfId="9" builtinId="39" customBuiltin="1"/>
    <cellStyle name="40% - Accent3 2" xfId="373" xr:uid="{00000000-0005-0000-0000-00003C000000}"/>
    <cellStyle name="40% - Accent4" xfId="10" builtinId="43" customBuiltin="1"/>
    <cellStyle name="40% - Accent4 2" xfId="374" xr:uid="{00000000-0005-0000-0000-00003E000000}"/>
    <cellStyle name="40% - Accent5" xfId="11" builtinId="47" customBuiltin="1"/>
    <cellStyle name="40% - Accent5 2" xfId="375" xr:uid="{00000000-0005-0000-0000-000040000000}"/>
    <cellStyle name="40% - Accent6" xfId="12" builtinId="51" customBuiltin="1"/>
    <cellStyle name="40% - Accent6 2" xfId="376" xr:uid="{00000000-0005-0000-0000-000042000000}"/>
    <cellStyle name="60% - Accent1" xfId="13" builtinId="32" customBuiltin="1"/>
    <cellStyle name="60% - Accent1 2" xfId="377" xr:uid="{00000000-0005-0000-0000-000044000000}"/>
    <cellStyle name="60% - Accent2" xfId="14" builtinId="36" customBuiltin="1"/>
    <cellStyle name="60% - Accent2 2" xfId="378" xr:uid="{00000000-0005-0000-0000-000046000000}"/>
    <cellStyle name="60% - Accent3" xfId="15" builtinId="40" customBuiltin="1"/>
    <cellStyle name="60% - Accent3 2" xfId="379" xr:uid="{00000000-0005-0000-0000-000048000000}"/>
    <cellStyle name="60% - Accent4" xfId="16" builtinId="44" customBuiltin="1"/>
    <cellStyle name="60% - Accent4 2" xfId="380" xr:uid="{00000000-0005-0000-0000-00004A000000}"/>
    <cellStyle name="60% - Accent5" xfId="17" builtinId="48" customBuiltin="1"/>
    <cellStyle name="60% - Accent5 2" xfId="381" xr:uid="{00000000-0005-0000-0000-00004C000000}"/>
    <cellStyle name="60% - Accent6" xfId="18" builtinId="52" customBuiltin="1"/>
    <cellStyle name="60% - Accent6 2" xfId="382" xr:uid="{00000000-0005-0000-0000-00004E000000}"/>
    <cellStyle name="Accent1" xfId="19" builtinId="29" customBuiltin="1"/>
    <cellStyle name="Accent1 - 20%" xfId="101" xr:uid="{00000000-0005-0000-0000-000050000000}"/>
    <cellStyle name="Accent1 - 40%" xfId="102" xr:uid="{00000000-0005-0000-0000-000051000000}"/>
    <cellStyle name="Accent1 - 60%" xfId="103" xr:uid="{00000000-0005-0000-0000-000052000000}"/>
    <cellStyle name="Accent1 2" xfId="383" xr:uid="{00000000-0005-0000-0000-000053000000}"/>
    <cellStyle name="Accent1 3" xfId="462" xr:uid="{00000000-0005-0000-0000-000054000000}"/>
    <cellStyle name="Accent1 4" xfId="469" xr:uid="{00000000-0005-0000-0000-000055000000}"/>
    <cellStyle name="Accent1 5" xfId="477" xr:uid="{00000000-0005-0000-0000-000056000000}"/>
    <cellStyle name="Accent2" xfId="20" builtinId="33" customBuiltin="1"/>
    <cellStyle name="Accent2 - 20%" xfId="104" xr:uid="{00000000-0005-0000-0000-000058000000}"/>
    <cellStyle name="Accent2 - 40%" xfId="105" xr:uid="{00000000-0005-0000-0000-000059000000}"/>
    <cellStyle name="Accent2 - 60%" xfId="106" xr:uid="{00000000-0005-0000-0000-00005A000000}"/>
    <cellStyle name="Accent2 2" xfId="384" xr:uid="{00000000-0005-0000-0000-00005B000000}"/>
    <cellStyle name="Accent2 3" xfId="463" xr:uid="{00000000-0005-0000-0000-00005C000000}"/>
    <cellStyle name="Accent2 4" xfId="468" xr:uid="{00000000-0005-0000-0000-00005D000000}"/>
    <cellStyle name="Accent2 5" xfId="478" xr:uid="{00000000-0005-0000-0000-00005E000000}"/>
    <cellStyle name="Accent3" xfId="21" builtinId="37" customBuiltin="1"/>
    <cellStyle name="Accent3 - 20%" xfId="107" xr:uid="{00000000-0005-0000-0000-000060000000}"/>
    <cellStyle name="Accent3 - 40%" xfId="108" xr:uid="{00000000-0005-0000-0000-000061000000}"/>
    <cellStyle name="Accent3 - 60%" xfId="109" xr:uid="{00000000-0005-0000-0000-000062000000}"/>
    <cellStyle name="Accent3 2" xfId="385" xr:uid="{00000000-0005-0000-0000-000063000000}"/>
    <cellStyle name="Accent3 3" xfId="464" xr:uid="{00000000-0005-0000-0000-000064000000}"/>
    <cellStyle name="Accent3 4" xfId="461" xr:uid="{00000000-0005-0000-0000-000065000000}"/>
    <cellStyle name="Accent3 5" xfId="479" xr:uid="{00000000-0005-0000-0000-000066000000}"/>
    <cellStyle name="Accent4" xfId="22" builtinId="41" customBuiltin="1"/>
    <cellStyle name="Accent4 - 20%" xfId="110" xr:uid="{00000000-0005-0000-0000-000068000000}"/>
    <cellStyle name="Accent4 - 40%" xfId="111" xr:uid="{00000000-0005-0000-0000-000069000000}"/>
    <cellStyle name="Accent4 - 60%" xfId="112" xr:uid="{00000000-0005-0000-0000-00006A000000}"/>
    <cellStyle name="Accent4 2" xfId="386" xr:uid="{00000000-0005-0000-0000-00006B000000}"/>
    <cellStyle name="Accent4 3" xfId="465" xr:uid="{00000000-0005-0000-0000-00006C000000}"/>
    <cellStyle name="Accent4 4" xfId="460" xr:uid="{00000000-0005-0000-0000-00006D000000}"/>
    <cellStyle name="Accent4 5" xfId="480" xr:uid="{00000000-0005-0000-0000-00006E000000}"/>
    <cellStyle name="Accent5" xfId="23" builtinId="45" customBuiltin="1"/>
    <cellStyle name="Accent5 - 20%" xfId="113" xr:uid="{00000000-0005-0000-0000-000070000000}"/>
    <cellStyle name="Accent5 - 40%" xfId="114" xr:uid="{00000000-0005-0000-0000-000071000000}"/>
    <cellStyle name="Accent5 - 60%" xfId="115" xr:uid="{00000000-0005-0000-0000-000072000000}"/>
    <cellStyle name="Accent5 2" xfId="387" xr:uid="{00000000-0005-0000-0000-000073000000}"/>
    <cellStyle name="Accent5 3" xfId="466" xr:uid="{00000000-0005-0000-0000-000074000000}"/>
    <cellStyle name="Accent5 4" xfId="459" xr:uid="{00000000-0005-0000-0000-000075000000}"/>
    <cellStyle name="Accent5 5" xfId="481" xr:uid="{00000000-0005-0000-0000-000076000000}"/>
    <cellStyle name="Accent6" xfId="24" builtinId="49" customBuiltin="1"/>
    <cellStyle name="Accent6 - 20%" xfId="116" xr:uid="{00000000-0005-0000-0000-000078000000}"/>
    <cellStyle name="Accent6 - 40%" xfId="117" xr:uid="{00000000-0005-0000-0000-000079000000}"/>
    <cellStyle name="Accent6 - 60%" xfId="118" xr:uid="{00000000-0005-0000-0000-00007A000000}"/>
    <cellStyle name="Accent6 2" xfId="388" xr:uid="{00000000-0005-0000-0000-00007B000000}"/>
    <cellStyle name="Accent6 3" xfId="467" xr:uid="{00000000-0005-0000-0000-00007C000000}"/>
    <cellStyle name="Accent6 4" xfId="458" xr:uid="{00000000-0005-0000-0000-00007D000000}"/>
    <cellStyle name="Accent6 5" xfId="482" xr:uid="{00000000-0005-0000-0000-00007E000000}"/>
    <cellStyle name="Activity" xfId="119" xr:uid="{00000000-0005-0000-0000-00007F000000}"/>
    <cellStyle name="Activity 2" xfId="409" xr:uid="{00000000-0005-0000-0000-000080000000}"/>
    <cellStyle name="Activity 2 2" xfId="661" xr:uid="{00000000-0005-0000-0000-000081000000}"/>
    <cellStyle name="Activity 2 2 2" xfId="886" xr:uid="{00000000-0005-0000-0000-000082000000}"/>
    <cellStyle name="Activity 2 3" xfId="514" xr:uid="{00000000-0005-0000-0000-000083000000}"/>
    <cellStyle name="Activity 2 3 2" xfId="782" xr:uid="{00000000-0005-0000-0000-000084000000}"/>
    <cellStyle name="Activity 2 4" xfId="509" xr:uid="{00000000-0005-0000-0000-000085000000}"/>
    <cellStyle name="Activity 3" xfId="516" xr:uid="{00000000-0005-0000-0000-000086000000}"/>
    <cellStyle name="Activity 3 2" xfId="784" xr:uid="{00000000-0005-0000-0000-000087000000}"/>
    <cellStyle name="Activity 4" xfId="654" xr:uid="{00000000-0005-0000-0000-000088000000}"/>
    <cellStyle name="Activity 4 2" xfId="880" xr:uid="{00000000-0005-0000-0000-000089000000}"/>
    <cellStyle name="Activity 5" xfId="532" xr:uid="{00000000-0005-0000-0000-00008A000000}"/>
    <cellStyle name="array" xfId="120" xr:uid="{00000000-0005-0000-0000-00008B000000}"/>
    <cellStyle name="Assumptions Center Currency" xfId="121" xr:uid="{00000000-0005-0000-0000-00008C000000}"/>
    <cellStyle name="Assumptions Center Date" xfId="122" xr:uid="{00000000-0005-0000-0000-00008D000000}"/>
    <cellStyle name="Assumptions Center Multiple" xfId="123" xr:uid="{00000000-0005-0000-0000-00008E000000}"/>
    <cellStyle name="Assumptions Center Number" xfId="124" xr:uid="{00000000-0005-0000-0000-00008F000000}"/>
    <cellStyle name="Assumptions Center Percentage" xfId="125" xr:uid="{00000000-0005-0000-0000-000090000000}"/>
    <cellStyle name="Assumptions Center Year" xfId="126" xr:uid="{00000000-0005-0000-0000-000091000000}"/>
    <cellStyle name="Assumptions Heading" xfId="127" xr:uid="{00000000-0005-0000-0000-000092000000}"/>
    <cellStyle name="Assumptions Right Currency" xfId="128" xr:uid="{00000000-0005-0000-0000-000093000000}"/>
    <cellStyle name="Assumptions Right Date" xfId="129" xr:uid="{00000000-0005-0000-0000-000094000000}"/>
    <cellStyle name="Assumptions Right Multiple" xfId="130" xr:uid="{00000000-0005-0000-0000-000095000000}"/>
    <cellStyle name="Assumptions Right Number" xfId="131" xr:uid="{00000000-0005-0000-0000-000096000000}"/>
    <cellStyle name="Assumptions Right Percentage" xfId="132" xr:uid="{00000000-0005-0000-0000-000097000000}"/>
    <cellStyle name="Assumptions Right Year" xfId="133" xr:uid="{00000000-0005-0000-0000-000098000000}"/>
    <cellStyle name="Audit NZ" xfId="134" xr:uid="{00000000-0005-0000-0000-000099000000}"/>
    <cellStyle name="Bad" xfId="25" builtinId="27" customBuiltin="1"/>
    <cellStyle name="Bad 2" xfId="362" xr:uid="{00000000-0005-0000-0000-00009B000000}"/>
    <cellStyle name="Bad 3" xfId="389" xr:uid="{00000000-0005-0000-0000-00009C000000}"/>
    <cellStyle name="blue" xfId="135" xr:uid="{00000000-0005-0000-0000-00009D000000}"/>
    <cellStyle name="Body" xfId="136" xr:uid="{00000000-0005-0000-0000-00009E000000}"/>
    <cellStyle name="bold" xfId="137" xr:uid="{00000000-0005-0000-0000-00009F000000}"/>
    <cellStyle name="Border" xfId="138" xr:uid="{00000000-0005-0000-0000-0000A0000000}"/>
    <cellStyle name="Calculation" xfId="26" builtinId="22" customBuiltin="1"/>
    <cellStyle name="Calculation 2" xfId="56" xr:uid="{00000000-0005-0000-0000-0000A2000000}"/>
    <cellStyle name="Calculation 2 2" xfId="408" xr:uid="{00000000-0005-0000-0000-0000A3000000}"/>
    <cellStyle name="Calculation 2 2 2" xfId="511" xr:uid="{00000000-0005-0000-0000-0000A4000000}"/>
    <cellStyle name="Calculation 2 2 2 2" xfId="780" xr:uid="{00000000-0005-0000-0000-0000A5000000}"/>
    <cellStyle name="Calculation 2 2 3" xfId="493" xr:uid="{00000000-0005-0000-0000-0000A6000000}"/>
    <cellStyle name="Calculation 2 3" xfId="486" xr:uid="{00000000-0005-0000-0000-0000A7000000}"/>
    <cellStyle name="Calculation 2 3 2" xfId="766" xr:uid="{00000000-0005-0000-0000-0000A8000000}"/>
    <cellStyle name="Calculation 2 4" xfId="716" xr:uid="{00000000-0005-0000-0000-0000A9000000}"/>
    <cellStyle name="Calculation 2 4 2" xfId="921" xr:uid="{00000000-0005-0000-0000-0000AA000000}"/>
    <cellStyle name="Calculation 2 5" xfId="751" xr:uid="{00000000-0005-0000-0000-0000AB000000}"/>
    <cellStyle name="Calculation 3" xfId="390" xr:uid="{00000000-0005-0000-0000-0000AC000000}"/>
    <cellStyle name="Calculation 3 2" xfId="451" xr:uid="{00000000-0005-0000-0000-0000AD000000}"/>
    <cellStyle name="Calculation 3 2 2" xfId="696" xr:uid="{00000000-0005-0000-0000-0000AE000000}"/>
    <cellStyle name="Calculation 3 2 2 2" xfId="908" xr:uid="{00000000-0005-0000-0000-0000AF000000}"/>
    <cellStyle name="Calculation 3 2 3" xfId="738" xr:uid="{00000000-0005-0000-0000-0000B0000000}"/>
    <cellStyle name="Calculation 3 3" xfId="651" xr:uid="{00000000-0005-0000-0000-0000B1000000}"/>
    <cellStyle name="Calculation 3 3 2" xfId="878" xr:uid="{00000000-0005-0000-0000-0000B2000000}"/>
    <cellStyle name="Calculation 3 4" xfId="491" xr:uid="{00000000-0005-0000-0000-0000B3000000}"/>
    <cellStyle name="Calculation 4" xfId="54" xr:uid="{00000000-0005-0000-0000-0000B4000000}"/>
    <cellStyle name="Cell Link" xfId="139" xr:uid="{00000000-0005-0000-0000-0000B5000000}"/>
    <cellStyle name="Center Currency" xfId="140" xr:uid="{00000000-0005-0000-0000-0000B6000000}"/>
    <cellStyle name="Center Date" xfId="141" xr:uid="{00000000-0005-0000-0000-0000B7000000}"/>
    <cellStyle name="Center Multiple" xfId="142" xr:uid="{00000000-0005-0000-0000-0000B8000000}"/>
    <cellStyle name="Center Number" xfId="143" xr:uid="{00000000-0005-0000-0000-0000B9000000}"/>
    <cellStyle name="Center Percentage" xfId="144" xr:uid="{00000000-0005-0000-0000-0000BA000000}"/>
    <cellStyle name="Center Year" xfId="145" xr:uid="{00000000-0005-0000-0000-0000BB000000}"/>
    <cellStyle name="Check" xfId="146" xr:uid="{00000000-0005-0000-0000-0000BC000000}"/>
    <cellStyle name="Check Cell" xfId="27" builtinId="23" customBuiltin="1"/>
    <cellStyle name="Check Cell 2" xfId="391" xr:uid="{00000000-0005-0000-0000-0000BE000000}"/>
    <cellStyle name="Comma" xfId="28" builtinId="3"/>
    <cellStyle name="Comma 10 6" xfId="759" xr:uid="{00000000-0005-0000-0000-0000C0000000}"/>
    <cellStyle name="Comma 14" xfId="932" xr:uid="{00000000-0005-0000-0000-0000C1000000}"/>
    <cellStyle name="Comma 2" xfId="46" xr:uid="{00000000-0005-0000-0000-0000C2000000}"/>
    <cellStyle name="Comma 2 2" xfId="147" xr:uid="{00000000-0005-0000-0000-0000C3000000}"/>
    <cellStyle name="Comma 2 3" xfId="148" xr:uid="{00000000-0005-0000-0000-0000C4000000}"/>
    <cellStyle name="Comma 2 4" xfId="149" xr:uid="{00000000-0005-0000-0000-0000C5000000}"/>
    <cellStyle name="Comma 3" xfId="150" xr:uid="{00000000-0005-0000-0000-0000C6000000}"/>
    <cellStyle name="Comma 4" xfId="392" xr:uid="{00000000-0005-0000-0000-0000C7000000}"/>
    <cellStyle name="Comma 5" xfId="51" xr:uid="{00000000-0005-0000-0000-0000C8000000}"/>
    <cellStyle name="Comma0" xfId="151" xr:uid="{00000000-0005-0000-0000-0000C9000000}"/>
    <cellStyle name="Currency" xfId="49" builtinId="4"/>
    <cellStyle name="Currency [0] U" xfId="152" xr:uid="{00000000-0005-0000-0000-0000CB000000}"/>
    <cellStyle name="Currency 2" xfId="473" xr:uid="{00000000-0005-0000-0000-0000CC000000}"/>
    <cellStyle name="Currency 3" xfId="475" xr:uid="{00000000-0005-0000-0000-0000CD000000}"/>
    <cellStyle name="Currency 4" xfId="485" xr:uid="{00000000-0005-0000-0000-0000CE000000}"/>
    <cellStyle name="Currency 5" xfId="761" xr:uid="{00000000-0005-0000-0000-0000CF000000}"/>
    <cellStyle name="Currency0" xfId="153" xr:uid="{00000000-0005-0000-0000-0000D0000000}"/>
    <cellStyle name="Date" xfId="154" xr:uid="{00000000-0005-0000-0000-0000D1000000}"/>
    <cellStyle name="Decimal2DP" xfId="935" xr:uid="{00000000-0005-0000-0000-0000D2000000}"/>
    <cellStyle name="Element" xfId="155" xr:uid="{00000000-0005-0000-0000-0000D3000000}"/>
    <cellStyle name="Emphasis 1" xfId="156" xr:uid="{00000000-0005-0000-0000-0000D4000000}"/>
    <cellStyle name="Emphasis 2" xfId="157" xr:uid="{00000000-0005-0000-0000-0000D5000000}"/>
    <cellStyle name="Emphasis 3" xfId="158" xr:uid="{00000000-0005-0000-0000-0000D6000000}"/>
    <cellStyle name="Explanatory Text" xfId="29" builtinId="53" customBuiltin="1"/>
    <cellStyle name="Explanatory Text 2" xfId="393" xr:uid="{00000000-0005-0000-0000-0000D8000000}"/>
    <cellStyle name="Fixed" xfId="159" xr:uid="{00000000-0005-0000-0000-0000D9000000}"/>
    <cellStyle name="Good" xfId="30" builtinId="26" customBuiltin="1"/>
    <cellStyle name="Good 2" xfId="57" xr:uid="{00000000-0005-0000-0000-0000DB000000}"/>
    <cellStyle name="Good 3" xfId="53" xr:uid="{00000000-0005-0000-0000-0000DC000000}"/>
    <cellStyle name="Grey" xfId="160" xr:uid="{00000000-0005-0000-0000-0000DD000000}"/>
    <cellStyle name="Group" xfId="161" xr:uid="{00000000-0005-0000-0000-0000DE000000}"/>
    <cellStyle name="Head" xfId="162" xr:uid="{00000000-0005-0000-0000-0000DF000000}"/>
    <cellStyle name="Head 1" xfId="163" xr:uid="{00000000-0005-0000-0000-0000E0000000}"/>
    <cellStyle name="head11a" xfId="164" xr:uid="{00000000-0005-0000-0000-0000E1000000}"/>
    <cellStyle name="head11b" xfId="165" xr:uid="{00000000-0005-0000-0000-0000E2000000}"/>
    <cellStyle name="head11c" xfId="166" xr:uid="{00000000-0005-0000-0000-0000E3000000}"/>
    <cellStyle name="head14" xfId="167" xr:uid="{00000000-0005-0000-0000-0000E4000000}"/>
    <cellStyle name="headd" xfId="168" xr:uid="{00000000-0005-0000-0000-0000E5000000}"/>
    <cellStyle name="heading" xfId="169" xr:uid="{00000000-0005-0000-0000-0000E6000000}"/>
    <cellStyle name="Heading 1" xfId="31" builtinId="16" customBuiltin="1"/>
    <cellStyle name="Heading 1 2" xfId="394" xr:uid="{00000000-0005-0000-0000-0000E8000000}"/>
    <cellStyle name="Heading 2" xfId="32" builtinId="17" customBuiltin="1"/>
    <cellStyle name="Heading 2 2" xfId="395" xr:uid="{00000000-0005-0000-0000-0000EA000000}"/>
    <cellStyle name="Heading 3" xfId="33" builtinId="18" customBuiltin="1"/>
    <cellStyle name="Heading 3 2" xfId="396" xr:uid="{00000000-0005-0000-0000-0000EC000000}"/>
    <cellStyle name="Heading 4" xfId="34" builtinId="19" customBuiltin="1"/>
    <cellStyle name="Heading 4 2" xfId="397" xr:uid="{00000000-0005-0000-0000-0000EE000000}"/>
    <cellStyle name="Heading1" xfId="170" xr:uid="{00000000-0005-0000-0000-0000EF000000}"/>
    <cellStyle name="Heading2" xfId="171" xr:uid="{00000000-0005-0000-0000-0000F0000000}"/>
    <cellStyle name="Heading3" xfId="172" xr:uid="{00000000-0005-0000-0000-0000F1000000}"/>
    <cellStyle name="Highlight" xfId="173" xr:uid="{00000000-0005-0000-0000-0000F2000000}"/>
    <cellStyle name="Hyperlink Arrow" xfId="174" xr:uid="{00000000-0005-0000-0000-0000F3000000}"/>
    <cellStyle name="Hyperlink Check" xfId="175" xr:uid="{00000000-0005-0000-0000-0000F4000000}"/>
    <cellStyle name="Hyperlink Text" xfId="176" xr:uid="{00000000-0005-0000-0000-0000F5000000}"/>
    <cellStyle name="Input" xfId="35" builtinId="20" customBuiltin="1"/>
    <cellStyle name="Input [yellow]" xfId="177" xr:uid="{00000000-0005-0000-0000-0000F7000000}"/>
    <cellStyle name="Input [yellow] 2" xfId="410" xr:uid="{00000000-0005-0000-0000-0000F8000000}"/>
    <cellStyle name="Input [yellow] 2 2" xfId="662" xr:uid="{00000000-0005-0000-0000-0000F9000000}"/>
    <cellStyle name="Input [yellow] 2 2 2" xfId="887" xr:uid="{00000000-0005-0000-0000-0000FA000000}"/>
    <cellStyle name="Input [yellow] 2 3" xfId="693" xr:uid="{00000000-0005-0000-0000-0000FB000000}"/>
    <cellStyle name="Input [yellow] 2 3 2" xfId="906" xr:uid="{00000000-0005-0000-0000-0000FC000000}"/>
    <cellStyle name="Input [yellow] 2 4" xfId="531" xr:uid="{00000000-0005-0000-0000-0000FD000000}"/>
    <cellStyle name="Input [yellow] 3" xfId="540" xr:uid="{00000000-0005-0000-0000-0000FE000000}"/>
    <cellStyle name="Input [yellow] 3 2" xfId="795" xr:uid="{00000000-0005-0000-0000-0000FF000000}"/>
    <cellStyle name="Input [yellow] 4" xfId="642" xr:uid="{00000000-0005-0000-0000-000000010000}"/>
    <cellStyle name="Input [yellow] 4 2" xfId="874" xr:uid="{00000000-0005-0000-0000-000001010000}"/>
    <cellStyle name="Input [yellow] 5" xfId="734" xr:uid="{00000000-0005-0000-0000-000002010000}"/>
    <cellStyle name="Input 10" xfId="583" xr:uid="{00000000-0005-0000-0000-000003010000}"/>
    <cellStyle name="Input 11" xfId="487" xr:uid="{00000000-0005-0000-0000-000004010000}"/>
    <cellStyle name="Input 12" xfId="501" xr:uid="{00000000-0005-0000-0000-000005010000}"/>
    <cellStyle name="Input 13" xfId="632" xr:uid="{00000000-0005-0000-0000-000006010000}"/>
    <cellStyle name="Input 14" xfId="550" xr:uid="{00000000-0005-0000-0000-000007010000}"/>
    <cellStyle name="Input 15" xfId="736" xr:uid="{00000000-0005-0000-0000-000008010000}"/>
    <cellStyle name="Input 16" xfId="760" xr:uid="{00000000-0005-0000-0000-000009010000}"/>
    <cellStyle name="Input 2" xfId="398" xr:uid="{00000000-0005-0000-0000-00000A010000}"/>
    <cellStyle name="Input 2 2" xfId="452" xr:uid="{00000000-0005-0000-0000-00000B010000}"/>
    <cellStyle name="Input 2 2 2" xfId="530" xr:uid="{00000000-0005-0000-0000-00000C010000}"/>
    <cellStyle name="Input 2 2 2 2" xfId="794" xr:uid="{00000000-0005-0000-0000-00000D010000}"/>
    <cellStyle name="Input 2 2 3" xfId="520" xr:uid="{00000000-0005-0000-0000-00000E010000}"/>
    <cellStyle name="Input 2 3" xfId="653" xr:uid="{00000000-0005-0000-0000-00000F010000}"/>
    <cellStyle name="Input 2 3 2" xfId="879" xr:uid="{00000000-0005-0000-0000-000010010000}"/>
    <cellStyle name="Input 2 4" xfId="518" xr:uid="{00000000-0005-0000-0000-000011010000}"/>
    <cellStyle name="Input 3" xfId="470" xr:uid="{00000000-0005-0000-0000-000012010000}"/>
    <cellStyle name="Input 3 2" xfId="500" xr:uid="{00000000-0005-0000-0000-000013010000}"/>
    <cellStyle name="Input 3 2 2" xfId="772" xr:uid="{00000000-0005-0000-0000-000014010000}"/>
    <cellStyle name="Input 3 3" xfId="731" xr:uid="{00000000-0005-0000-0000-000015010000}"/>
    <cellStyle name="Input 4" xfId="457" xr:uid="{00000000-0005-0000-0000-000016010000}"/>
    <cellStyle name="Input 4 2" xfId="578" xr:uid="{00000000-0005-0000-0000-000017010000}"/>
    <cellStyle name="Input 4 2 2" xfId="822" xr:uid="{00000000-0005-0000-0000-000018010000}"/>
    <cellStyle name="Input 4 3" xfId="684" xr:uid="{00000000-0005-0000-0000-000019010000}"/>
    <cellStyle name="Input 5" xfId="483" xr:uid="{00000000-0005-0000-0000-00001A010000}"/>
    <cellStyle name="Input 5 2" xfId="728" xr:uid="{00000000-0005-0000-0000-00001B010000}"/>
    <cellStyle name="Input 5 2 2" xfId="928" xr:uid="{00000000-0005-0000-0000-00001C010000}"/>
    <cellStyle name="Input 5 3" xfId="758" xr:uid="{00000000-0005-0000-0000-00001D010000}"/>
    <cellStyle name="Input 6" xfId="52" xr:uid="{00000000-0005-0000-0000-00001E010000}"/>
    <cellStyle name="Input 7" xfId="233" xr:uid="{00000000-0005-0000-0000-00001F010000}"/>
    <cellStyle name="Input 8" xfId="637" xr:uid="{00000000-0005-0000-0000-000020010000}"/>
    <cellStyle name="Input 9" xfId="691" xr:uid="{00000000-0005-0000-0000-000021010000}"/>
    <cellStyle name="Input%" xfId="178" xr:uid="{00000000-0005-0000-0000-000022010000}"/>
    <cellStyle name="InputCell" xfId="179" xr:uid="{00000000-0005-0000-0000-000023010000}"/>
    <cellStyle name="Inputs2" xfId="180" xr:uid="{00000000-0005-0000-0000-000024010000}"/>
    <cellStyle name="Integer" xfId="934" xr:uid="{00000000-0005-0000-0000-000025010000}"/>
    <cellStyle name="Linked Cell" xfId="36" builtinId="24" customBuiltin="1"/>
    <cellStyle name="Linked Cell 2" xfId="399" xr:uid="{00000000-0005-0000-0000-000027010000}"/>
    <cellStyle name="Linked Input" xfId="181" xr:uid="{00000000-0005-0000-0000-000028010000}"/>
    <cellStyle name="Linked Output" xfId="182" xr:uid="{00000000-0005-0000-0000-000029010000}"/>
    <cellStyle name="Lookup Table Heading" xfId="183" xr:uid="{00000000-0005-0000-0000-00002A010000}"/>
    <cellStyle name="Lookup Table Heading 2" xfId="411" xr:uid="{00000000-0005-0000-0000-00002B010000}"/>
    <cellStyle name="Lookup Table Heading 2 2" xfId="663" xr:uid="{00000000-0005-0000-0000-00002C010000}"/>
    <cellStyle name="Lookup Table Heading 2 2 2" xfId="888" xr:uid="{00000000-0005-0000-0000-00002D010000}"/>
    <cellStyle name="Lookup Table Heading 2 3" xfId="724" xr:uid="{00000000-0005-0000-0000-00002E010000}"/>
    <cellStyle name="Lookup Table Heading 2 3 2" xfId="925" xr:uid="{00000000-0005-0000-0000-00002F010000}"/>
    <cellStyle name="Lookup Table Heading 2 4" xfId="755" xr:uid="{00000000-0005-0000-0000-000030010000}"/>
    <cellStyle name="Lookup Table Heading 3" xfId="541" xr:uid="{00000000-0005-0000-0000-000031010000}"/>
    <cellStyle name="Lookup Table Heading 3 2" xfId="796" xr:uid="{00000000-0005-0000-0000-000032010000}"/>
    <cellStyle name="Lookup Table Heading 4" xfId="727" xr:uid="{00000000-0005-0000-0000-000033010000}"/>
    <cellStyle name="Lookup Table Heading 4 2" xfId="927" xr:uid="{00000000-0005-0000-0000-000034010000}"/>
    <cellStyle name="Lookup Table Heading 5" xfId="757" xr:uid="{00000000-0005-0000-0000-000035010000}"/>
    <cellStyle name="Lookup Table Label" xfId="184" xr:uid="{00000000-0005-0000-0000-000036010000}"/>
    <cellStyle name="Lookup Table Label 2" xfId="412" xr:uid="{00000000-0005-0000-0000-000037010000}"/>
    <cellStyle name="Lookup Table Label 2 2" xfId="664" xr:uid="{00000000-0005-0000-0000-000038010000}"/>
    <cellStyle name="Lookup Table Label 2 2 2" xfId="889" xr:uid="{00000000-0005-0000-0000-000039010000}"/>
    <cellStyle name="Lookup Table Label 2 3" xfId="566" xr:uid="{00000000-0005-0000-0000-00003A010000}"/>
    <cellStyle name="Lookup Table Label 2 3 2" xfId="810" xr:uid="{00000000-0005-0000-0000-00003B010000}"/>
    <cellStyle name="Lookup Table Label 2 4" xfId="544" xr:uid="{00000000-0005-0000-0000-00003C010000}"/>
    <cellStyle name="Lookup Table Label 3" xfId="542" xr:uid="{00000000-0005-0000-0000-00003D010000}"/>
    <cellStyle name="Lookup Table Label 3 2" xfId="797" xr:uid="{00000000-0005-0000-0000-00003E010000}"/>
    <cellStyle name="Lookup Table Label 4" xfId="650" xr:uid="{00000000-0005-0000-0000-00003F010000}"/>
    <cellStyle name="Lookup Table Label 4 2" xfId="877" xr:uid="{00000000-0005-0000-0000-000040010000}"/>
    <cellStyle name="Lookup Table Label 5" xfId="565" xr:uid="{00000000-0005-0000-0000-000041010000}"/>
    <cellStyle name="Lookup Table Number" xfId="185" xr:uid="{00000000-0005-0000-0000-000042010000}"/>
    <cellStyle name="Lookup Table Number 2" xfId="413" xr:uid="{00000000-0005-0000-0000-000043010000}"/>
    <cellStyle name="Lookup Table Number 2 2" xfId="665" xr:uid="{00000000-0005-0000-0000-000044010000}"/>
    <cellStyle name="Lookup Table Number 2 2 2" xfId="890" xr:uid="{00000000-0005-0000-0000-000045010000}"/>
    <cellStyle name="Lookup Table Number 2 3" xfId="505" xr:uid="{00000000-0005-0000-0000-000046010000}"/>
    <cellStyle name="Lookup Table Number 2 3 2" xfId="775" xr:uid="{00000000-0005-0000-0000-000047010000}"/>
    <cellStyle name="Lookup Table Number 2 4" xfId="628" xr:uid="{00000000-0005-0000-0000-000048010000}"/>
    <cellStyle name="Lookup Table Number 3" xfId="543" xr:uid="{00000000-0005-0000-0000-000049010000}"/>
    <cellStyle name="Lookup Table Number 3 2" xfId="798" xr:uid="{00000000-0005-0000-0000-00004A010000}"/>
    <cellStyle name="Lookup Table Number 4" xfId="494" xr:uid="{00000000-0005-0000-0000-00004B010000}"/>
    <cellStyle name="Lookup Table Number 4 2" xfId="769" xr:uid="{00000000-0005-0000-0000-00004C010000}"/>
    <cellStyle name="Lookup Table Number 5" xfId="735" xr:uid="{00000000-0005-0000-0000-00004D010000}"/>
    <cellStyle name="m" xfId="186" xr:uid="{00000000-0005-0000-0000-00004E010000}"/>
    <cellStyle name="m_AlcoaFinModel_V1.0_16Jan00.xls Chart 1" xfId="187" xr:uid="{00000000-0005-0000-0000-00004F010000}"/>
    <cellStyle name="m_Annual LF" xfId="188" xr:uid="{00000000-0005-0000-0000-000050010000}"/>
    <cellStyle name="m_FinModelTemplateVer1.xls Chart 2" xfId="189" xr:uid="{00000000-0005-0000-0000-000051010000}"/>
    <cellStyle name="m_IndBid_Synergen_FModel_180200" xfId="190" xr:uid="{00000000-0005-0000-0000-000052010000}"/>
    <cellStyle name="m_JC WACC Jan99" xfId="191" xr:uid="{00000000-0005-0000-0000-000053010000}"/>
    <cellStyle name="m_MonthlyLF" xfId="192" xr:uid="{00000000-0005-0000-0000-000054010000}"/>
    <cellStyle name="m_NEGF_Availability_V2_1Aug00" xfId="193" xr:uid="{00000000-0005-0000-0000-000055010000}"/>
    <cellStyle name="m_NEGF_Availability_V2_1Aug00.xls Chart 4" xfId="194" xr:uid="{00000000-0005-0000-0000-000056010000}"/>
    <cellStyle name="m_NEGF_Availability_V2_1Aug00.xls Chart 5" xfId="195" xr:uid="{00000000-0005-0000-0000-000057010000}"/>
    <cellStyle name="m_RWC_IPP_NEGoldfieldIntercSys_13Mar00.xls Chart 1" xfId="196" xr:uid="{00000000-0005-0000-0000-000058010000}"/>
    <cellStyle name="m_RWC_IPP_NEGoldfieldIntercSys_13Mar00.xls Chart 2" xfId="197" xr:uid="{00000000-0005-0000-0000-000059010000}"/>
    <cellStyle name="m_RWC_IPP_NEGoldfieldIntercSys_13Mar00.xls Chart 3" xfId="198" xr:uid="{00000000-0005-0000-0000-00005A010000}"/>
    <cellStyle name="m_RWC_NEGoldfieldIntercSys_V6.0_31Jul00.xls Chart 1" xfId="199" xr:uid="{00000000-0005-0000-0000-00005B010000}"/>
    <cellStyle name="m_RWC_NEGoldfieldIntercSys_V6.0_31Jul00.xls Chart 2" xfId="200" xr:uid="{00000000-0005-0000-0000-00005C010000}"/>
    <cellStyle name="m_RWC_NEGoldfieldIntercSys_V6.0_31Jul00.xls Chart 4" xfId="201" xr:uid="{00000000-0005-0000-0000-00005D010000}"/>
    <cellStyle name="m_RWC_SCLbidreview_V1.1_2Nov03" xfId="202" xr:uid="{00000000-0005-0000-0000-00005E010000}"/>
    <cellStyle name="m_Sheet" xfId="203" xr:uid="{00000000-0005-0000-0000-00005F010000}"/>
    <cellStyle name="m_Worksheet" xfId="204" xr:uid="{00000000-0005-0000-0000-000060010000}"/>
    <cellStyle name="millions" xfId="205" xr:uid="{00000000-0005-0000-0000-000061010000}"/>
    <cellStyle name="mmm-yy" xfId="206" xr:uid="{00000000-0005-0000-0000-000062010000}"/>
    <cellStyle name="Model Name" xfId="207" xr:uid="{00000000-0005-0000-0000-000063010000}"/>
    <cellStyle name="Neutral" xfId="37" builtinId="28" customBuiltin="1"/>
    <cellStyle name="Neutral 2" xfId="400" xr:uid="{00000000-0005-0000-0000-000065010000}"/>
    <cellStyle name="no pattern" xfId="208" xr:uid="{00000000-0005-0000-0000-000066010000}"/>
    <cellStyle name="Normal" xfId="0" builtinId="0"/>
    <cellStyle name="Normal - Style1" xfId="209" xr:uid="{00000000-0005-0000-0000-000068010000}"/>
    <cellStyle name="Normal 1" xfId="210" xr:uid="{00000000-0005-0000-0000-000069010000}"/>
    <cellStyle name="Normal 10" xfId="211" xr:uid="{00000000-0005-0000-0000-00006A010000}"/>
    <cellStyle name="Normal 11" xfId="212" xr:uid="{00000000-0005-0000-0000-00006B010000}"/>
    <cellStyle name="Normal 12" xfId="213" xr:uid="{00000000-0005-0000-0000-00006C010000}"/>
    <cellStyle name="Normal 13" xfId="214" xr:uid="{00000000-0005-0000-0000-00006D010000}"/>
    <cellStyle name="Normal 14" xfId="215" xr:uid="{00000000-0005-0000-0000-00006E010000}"/>
    <cellStyle name="Normal 15" xfId="216" xr:uid="{00000000-0005-0000-0000-00006F010000}"/>
    <cellStyle name="Normal 16" xfId="217" xr:uid="{00000000-0005-0000-0000-000070010000}"/>
    <cellStyle name="Normal 17" xfId="218" xr:uid="{00000000-0005-0000-0000-000071010000}"/>
    <cellStyle name="Normal 18" xfId="219" xr:uid="{00000000-0005-0000-0000-000072010000}"/>
    <cellStyle name="Normal 19" xfId="220" xr:uid="{00000000-0005-0000-0000-000073010000}"/>
    <cellStyle name="Normal 2" xfId="44" xr:uid="{00000000-0005-0000-0000-000074010000}"/>
    <cellStyle name="Normal 2 2" xfId="221" xr:uid="{00000000-0005-0000-0000-000075010000}"/>
    <cellStyle name="Normal 2 3" xfId="222" xr:uid="{00000000-0005-0000-0000-000076010000}"/>
    <cellStyle name="Normal 2 4" xfId="223" xr:uid="{00000000-0005-0000-0000-000077010000}"/>
    <cellStyle name="Normal 2 5" xfId="361" xr:uid="{00000000-0005-0000-0000-000078010000}"/>
    <cellStyle name="Normal 2 5 2" xfId="764" xr:uid="{00000000-0005-0000-0000-000079010000}"/>
    <cellStyle name="Normal 2 6" xfId="407" xr:uid="{00000000-0005-0000-0000-00007A010000}"/>
    <cellStyle name="Normal 2 7" xfId="55" xr:uid="{00000000-0005-0000-0000-00007B010000}"/>
    <cellStyle name="Normal 20" xfId="224" xr:uid="{00000000-0005-0000-0000-00007C010000}"/>
    <cellStyle name="Normal 21" xfId="225" xr:uid="{00000000-0005-0000-0000-00007D010000}"/>
    <cellStyle name="Normal 22" xfId="226" xr:uid="{00000000-0005-0000-0000-00007E010000}"/>
    <cellStyle name="Normal 23" xfId="227" xr:uid="{00000000-0005-0000-0000-00007F010000}"/>
    <cellStyle name="Normal 24" xfId="228" xr:uid="{00000000-0005-0000-0000-000080010000}"/>
    <cellStyle name="Normal 25" xfId="229" xr:uid="{00000000-0005-0000-0000-000081010000}"/>
    <cellStyle name="Normal 26" xfId="230" xr:uid="{00000000-0005-0000-0000-000082010000}"/>
    <cellStyle name="Normal 27" xfId="231" xr:uid="{00000000-0005-0000-0000-000083010000}"/>
    <cellStyle name="Normal 28" xfId="364" xr:uid="{00000000-0005-0000-0000-000084010000}"/>
    <cellStyle name="Normal 29" xfId="232" xr:uid="{00000000-0005-0000-0000-000085010000}"/>
    <cellStyle name="Normal 3" xfId="47" xr:uid="{00000000-0005-0000-0000-000086010000}"/>
    <cellStyle name="Normal 30" xfId="456" xr:uid="{00000000-0005-0000-0000-000087010000}"/>
    <cellStyle name="Normal 31" xfId="472" xr:uid="{00000000-0005-0000-0000-000088010000}"/>
    <cellStyle name="Normal 32" xfId="476" xr:uid="{00000000-0005-0000-0000-000089010000}"/>
    <cellStyle name="Normal 33" xfId="50" xr:uid="{00000000-0005-0000-0000-00008A010000}"/>
    <cellStyle name="Normal 33 2" xfId="762" xr:uid="{00000000-0005-0000-0000-00008B010000}"/>
    <cellStyle name="Normal 34" xfId="265" xr:uid="{00000000-0005-0000-0000-00008C010000}"/>
    <cellStyle name="Normal 34 2" xfId="763" xr:uid="{00000000-0005-0000-0000-00008D010000}"/>
    <cellStyle name="Normal 35" xfId="638" xr:uid="{00000000-0005-0000-0000-00008E010000}"/>
    <cellStyle name="Normal 35 2" xfId="870" xr:uid="{00000000-0005-0000-0000-00008F010000}"/>
    <cellStyle name="Normal 36" xfId="686" xr:uid="{00000000-0005-0000-0000-000090010000}"/>
    <cellStyle name="Normal 36 2" xfId="902" xr:uid="{00000000-0005-0000-0000-000091010000}"/>
    <cellStyle name="Normal 37" xfId="584" xr:uid="{00000000-0005-0000-0000-000092010000}"/>
    <cellStyle name="Normal 37 2" xfId="824" xr:uid="{00000000-0005-0000-0000-000093010000}"/>
    <cellStyle name="Normal 38" xfId="695" xr:uid="{00000000-0005-0000-0000-000094010000}"/>
    <cellStyle name="Normal 38 2" xfId="907" xr:uid="{00000000-0005-0000-0000-000095010000}"/>
    <cellStyle name="Normal 39" xfId="648" xr:uid="{00000000-0005-0000-0000-000096010000}"/>
    <cellStyle name="Normal 39 2" xfId="875" xr:uid="{00000000-0005-0000-0000-000097010000}"/>
    <cellStyle name="Normal 4" xfId="234" xr:uid="{00000000-0005-0000-0000-000098010000}"/>
    <cellStyle name="Normal 40" xfId="490" xr:uid="{00000000-0005-0000-0000-000099010000}"/>
    <cellStyle name="Normal 40 2" xfId="768" xr:uid="{00000000-0005-0000-0000-00009A010000}"/>
    <cellStyle name="Normal 41" xfId="522" xr:uid="{00000000-0005-0000-0000-00009B010000}"/>
    <cellStyle name="Normal 41 2" xfId="786" xr:uid="{00000000-0005-0000-0000-00009C010000}"/>
    <cellStyle name="Normal 42" xfId="737" xr:uid="{00000000-0005-0000-0000-00009D010000}"/>
    <cellStyle name="Normal 42 2" xfId="930" xr:uid="{00000000-0005-0000-0000-00009E010000}"/>
    <cellStyle name="Normal 43" xfId="936" xr:uid="{D310A4B8-C79A-436E-97DB-9EF5BA8D73C5}"/>
    <cellStyle name="Normal 44" xfId="937" xr:uid="{8268C85F-9C9F-4AF7-ACFE-81A3E0A496D9}"/>
    <cellStyle name="Normal 45" xfId="235" xr:uid="{00000000-0005-0000-0000-00009F010000}"/>
    <cellStyle name="Normal 47" xfId="236" xr:uid="{00000000-0005-0000-0000-0000A0010000}"/>
    <cellStyle name="Normal 48" xfId="237" xr:uid="{00000000-0005-0000-0000-0000A1010000}"/>
    <cellStyle name="Normal 5" xfId="238" xr:uid="{00000000-0005-0000-0000-0000A2010000}"/>
    <cellStyle name="Normal 50" xfId="239" xr:uid="{00000000-0005-0000-0000-0000A3010000}"/>
    <cellStyle name="Normal 51" xfId="48" xr:uid="{00000000-0005-0000-0000-0000A4010000}"/>
    <cellStyle name="Normal 54" xfId="240" xr:uid="{00000000-0005-0000-0000-0000A5010000}"/>
    <cellStyle name="Normal 55" xfId="241" xr:uid="{00000000-0005-0000-0000-0000A6010000}"/>
    <cellStyle name="Normal 56" xfId="242" xr:uid="{00000000-0005-0000-0000-0000A7010000}"/>
    <cellStyle name="Normal 57" xfId="243" xr:uid="{00000000-0005-0000-0000-0000A8010000}"/>
    <cellStyle name="Normal 59" xfId="244" xr:uid="{00000000-0005-0000-0000-0000A9010000}"/>
    <cellStyle name="Normal 6" xfId="245" xr:uid="{00000000-0005-0000-0000-0000AA010000}"/>
    <cellStyle name="Normal 60" xfId="246" xr:uid="{00000000-0005-0000-0000-0000AB010000}"/>
    <cellStyle name="Normal 62" xfId="247" xr:uid="{00000000-0005-0000-0000-0000AC010000}"/>
    <cellStyle name="Normal 63" xfId="248" xr:uid="{00000000-0005-0000-0000-0000AD010000}"/>
    <cellStyle name="Normal 7" xfId="249" xr:uid="{00000000-0005-0000-0000-0000AE010000}"/>
    <cellStyle name="Normal 8" xfId="250" xr:uid="{00000000-0005-0000-0000-0000AF010000}"/>
    <cellStyle name="Normal 9" xfId="251" xr:uid="{00000000-0005-0000-0000-0000B0010000}"/>
    <cellStyle name="Normal U" xfId="252" xr:uid="{00000000-0005-0000-0000-0000B1010000}"/>
    <cellStyle name="Note" xfId="38" builtinId="10" customBuiltin="1"/>
    <cellStyle name="Note 2" xfId="401" xr:uid="{00000000-0005-0000-0000-0000B3010000}"/>
    <cellStyle name="Note 2 2" xfId="453" xr:uid="{00000000-0005-0000-0000-0000B4010000}"/>
    <cellStyle name="Note 2 2 2" xfId="576" xr:uid="{00000000-0005-0000-0000-0000B5010000}"/>
    <cellStyle name="Note 2 2 2 2" xfId="820" xr:uid="{00000000-0005-0000-0000-0000B6010000}"/>
    <cellStyle name="Note 2 2 3" xfId="497" xr:uid="{00000000-0005-0000-0000-0000B7010000}"/>
    <cellStyle name="Note 2 3" xfId="496" xr:uid="{00000000-0005-0000-0000-0000B8010000}"/>
    <cellStyle name="Note 2 3 2" xfId="770" xr:uid="{00000000-0005-0000-0000-0000B9010000}"/>
    <cellStyle name="Note 2 4" xfId="733" xr:uid="{00000000-0005-0000-0000-0000BA010000}"/>
    <cellStyle name="O.OO" xfId="253" xr:uid="{00000000-0005-0000-0000-0000BB010000}"/>
    <cellStyle name="O.OO0" xfId="254" xr:uid="{00000000-0005-0000-0000-0000BC010000}"/>
    <cellStyle name="OrigenAccount" xfId="255" xr:uid="{00000000-0005-0000-0000-0000BD010000}"/>
    <cellStyle name="OrigenColumnHdg" xfId="256" xr:uid="{00000000-0005-0000-0000-0000BE010000}"/>
    <cellStyle name="OrigenEntity" xfId="257" xr:uid="{00000000-0005-0000-0000-0000BF010000}"/>
    <cellStyle name="OrigenPeriod" xfId="258" xr:uid="{00000000-0005-0000-0000-0000C0010000}"/>
    <cellStyle name="OrigenPostingCode" xfId="259" xr:uid="{00000000-0005-0000-0000-0000C1010000}"/>
    <cellStyle name="OrigenTotals" xfId="260" xr:uid="{00000000-0005-0000-0000-0000C2010000}"/>
    <cellStyle name="Output" xfId="39" builtinId="21" customBuiltin="1"/>
    <cellStyle name="Output 2" xfId="402" xr:uid="{00000000-0005-0000-0000-0000C4010000}"/>
    <cellStyle name="Output 2 2" xfId="454" xr:uid="{00000000-0005-0000-0000-0000C5010000}"/>
    <cellStyle name="Output 2 2 2" xfId="577" xr:uid="{00000000-0005-0000-0000-0000C6010000}"/>
    <cellStyle name="Output 2 2 2 2" xfId="821" xr:uid="{00000000-0005-0000-0000-0000C7010000}"/>
    <cellStyle name="Output 2 2 3" xfId="712" xr:uid="{00000000-0005-0000-0000-0000C8010000}"/>
    <cellStyle name="Output 2 3" xfId="510" xr:uid="{00000000-0005-0000-0000-0000C9010000}"/>
    <cellStyle name="Output 2 3 2" xfId="779" xr:uid="{00000000-0005-0000-0000-0000CA010000}"/>
    <cellStyle name="Output 2 4" xfId="678" xr:uid="{00000000-0005-0000-0000-0000CB010000}"/>
    <cellStyle name="Output Line Items" xfId="261" xr:uid="{00000000-0005-0000-0000-0000CC010000}"/>
    <cellStyle name="Pattern" xfId="262" xr:uid="{00000000-0005-0000-0000-0000CD010000}"/>
    <cellStyle name="Percent" xfId="40" builtinId="5"/>
    <cellStyle name="Percent [2]" xfId="263" xr:uid="{00000000-0005-0000-0000-0000CF010000}"/>
    <cellStyle name="Percent [2] U" xfId="264" xr:uid="{00000000-0005-0000-0000-0000D0010000}"/>
    <cellStyle name="Percent 10" xfId="640" xr:uid="{00000000-0005-0000-0000-0000D1010000}"/>
    <cellStyle name="Percent 10 2" xfId="872" xr:uid="{00000000-0005-0000-0000-0000D2010000}"/>
    <cellStyle name="Percent 11" xfId="507" xr:uid="{00000000-0005-0000-0000-0000D3010000}"/>
    <cellStyle name="Percent 11 2" xfId="777" xr:uid="{00000000-0005-0000-0000-0000D4010000}"/>
    <cellStyle name="Percent 12" xfId="508" xr:uid="{00000000-0005-0000-0000-0000D5010000}"/>
    <cellStyle name="Percent 12 2" xfId="778" xr:uid="{00000000-0005-0000-0000-0000D6010000}"/>
    <cellStyle name="Percent 13" xfId="502" xr:uid="{00000000-0005-0000-0000-0000D7010000}"/>
    <cellStyle name="Percent 13 2" xfId="773" xr:uid="{00000000-0005-0000-0000-0000D8010000}"/>
    <cellStyle name="Percent 14" xfId="714" xr:uid="{00000000-0005-0000-0000-0000D9010000}"/>
    <cellStyle name="Percent 14 2" xfId="919" xr:uid="{00000000-0005-0000-0000-0000DA010000}"/>
    <cellStyle name="Percent 15" xfId="489" xr:uid="{00000000-0005-0000-0000-0000DB010000}"/>
    <cellStyle name="Percent 15 2" xfId="767" xr:uid="{00000000-0005-0000-0000-0000DC010000}"/>
    <cellStyle name="Percent 16" xfId="673" xr:uid="{00000000-0005-0000-0000-0000DD010000}"/>
    <cellStyle name="Percent 16 2" xfId="895" xr:uid="{00000000-0005-0000-0000-0000DE010000}"/>
    <cellStyle name="Percent 17" xfId="730" xr:uid="{00000000-0005-0000-0000-0000DF010000}"/>
    <cellStyle name="Percent 17 2" xfId="929" xr:uid="{00000000-0005-0000-0000-0000E0010000}"/>
    <cellStyle name="Percent 18" xfId="749" xr:uid="{00000000-0005-0000-0000-0000E1010000}"/>
    <cellStyle name="Percent 18 2" xfId="931" xr:uid="{00000000-0005-0000-0000-0000E2010000}"/>
    <cellStyle name="Percent 2" xfId="45" xr:uid="{00000000-0005-0000-0000-0000E3010000}"/>
    <cellStyle name="Percent 29" xfId="933" xr:uid="{00000000-0005-0000-0000-0000E4010000}"/>
    <cellStyle name="Percent 3" xfId="266" xr:uid="{00000000-0005-0000-0000-0000E5010000}"/>
    <cellStyle name="Percent 4" xfId="267" xr:uid="{00000000-0005-0000-0000-0000E6010000}"/>
    <cellStyle name="Percent 5" xfId="403" xr:uid="{00000000-0005-0000-0000-0000E7010000}"/>
    <cellStyle name="Percent 6" xfId="471" xr:uid="{00000000-0005-0000-0000-0000E8010000}"/>
    <cellStyle name="Percent 7" xfId="474" xr:uid="{00000000-0005-0000-0000-0000E9010000}"/>
    <cellStyle name="Percent 8" xfId="484" xr:uid="{00000000-0005-0000-0000-0000EA010000}"/>
    <cellStyle name="Percent 9" xfId="363" xr:uid="{00000000-0005-0000-0000-0000EB010000}"/>
    <cellStyle name="Percent 9 2" xfId="765" xr:uid="{00000000-0005-0000-0000-0000EC010000}"/>
    <cellStyle name="Period" xfId="268" xr:uid="{00000000-0005-0000-0000-0000ED010000}"/>
    <cellStyle name="Period 2" xfId="414" xr:uid="{00000000-0005-0000-0000-0000EE010000}"/>
    <cellStyle name="Period 2 2" xfId="666" xr:uid="{00000000-0005-0000-0000-0000EF010000}"/>
    <cellStyle name="Period 2 2 2" xfId="891" xr:uid="{00000000-0005-0000-0000-0000F0010000}"/>
    <cellStyle name="Period 2 3" xfId="567" xr:uid="{00000000-0005-0000-0000-0000F1010000}"/>
    <cellStyle name="Period 2 3 2" xfId="811" xr:uid="{00000000-0005-0000-0000-0000F2010000}"/>
    <cellStyle name="Period 2 4" xfId="545" xr:uid="{00000000-0005-0000-0000-0000F3010000}"/>
    <cellStyle name="Period 3" xfId="581" xr:uid="{00000000-0005-0000-0000-0000F4010000}"/>
    <cellStyle name="Period 3 2" xfId="823" xr:uid="{00000000-0005-0000-0000-0000F5010000}"/>
    <cellStyle name="Period 4" xfId="552" xr:uid="{00000000-0005-0000-0000-0000F6010000}"/>
    <cellStyle name="Period 4 2" xfId="799" xr:uid="{00000000-0005-0000-0000-0000F7010000}"/>
    <cellStyle name="Period 5" xfId="533" xr:uid="{00000000-0005-0000-0000-0000F8010000}"/>
    <cellStyle name="Period Title" xfId="269" xr:uid="{00000000-0005-0000-0000-0000F9010000}"/>
    <cellStyle name="Period_Ratios Note 08 Feb 2012 (2)" xfId="270" xr:uid="{00000000-0005-0000-0000-0000FA010000}"/>
    <cellStyle name="Pounds (0)" xfId="271" xr:uid="{00000000-0005-0000-0000-0000FB010000}"/>
    <cellStyle name="Right Currency" xfId="272" xr:uid="{00000000-0005-0000-0000-0000FC010000}"/>
    <cellStyle name="Right Date" xfId="273" xr:uid="{00000000-0005-0000-0000-0000FD010000}"/>
    <cellStyle name="Right Multiple" xfId="274" xr:uid="{00000000-0005-0000-0000-0000FE010000}"/>
    <cellStyle name="Right Number" xfId="275" xr:uid="{00000000-0005-0000-0000-0000FF010000}"/>
    <cellStyle name="Right Percentage" xfId="276" xr:uid="{00000000-0005-0000-0000-000000020000}"/>
    <cellStyle name="Right Year" xfId="277" xr:uid="{00000000-0005-0000-0000-000001020000}"/>
    <cellStyle name="SAPBEXaggData" xfId="278" xr:uid="{00000000-0005-0000-0000-000002020000}"/>
    <cellStyle name="SAPBEXaggData 2" xfId="415" xr:uid="{00000000-0005-0000-0000-000003020000}"/>
    <cellStyle name="SAPBEXaggData 2 2" xfId="711" xr:uid="{00000000-0005-0000-0000-000004020000}"/>
    <cellStyle name="SAPBEXaggData 2 2 2" xfId="918" xr:uid="{00000000-0005-0000-0000-000005020000}"/>
    <cellStyle name="SAPBEXaggData 2 3" xfId="748" xr:uid="{00000000-0005-0000-0000-000006020000}"/>
    <cellStyle name="SAPBEXaggData 3" xfId="585" xr:uid="{00000000-0005-0000-0000-000007020000}"/>
    <cellStyle name="SAPBEXaggData 3 2" xfId="825" xr:uid="{00000000-0005-0000-0000-000008020000}"/>
    <cellStyle name="SAPBEXaggData 4" xfId="554" xr:uid="{00000000-0005-0000-0000-000009020000}"/>
    <cellStyle name="SAPBEXaggData 4 2" xfId="800" xr:uid="{00000000-0005-0000-0000-00000A020000}"/>
    <cellStyle name="SAPBEXaggData 5" xfId="534" xr:uid="{00000000-0005-0000-0000-00000B020000}"/>
    <cellStyle name="SAPBEXaggDataEmph" xfId="279" xr:uid="{00000000-0005-0000-0000-00000C020000}"/>
    <cellStyle name="SAPBEXaggDataEmph 2" xfId="416" xr:uid="{00000000-0005-0000-0000-00000D020000}"/>
    <cellStyle name="SAPBEXaggDataEmph 2 2" xfId="513" xr:uid="{00000000-0005-0000-0000-00000E020000}"/>
    <cellStyle name="SAPBEXaggDataEmph 2 2 2" xfId="781" xr:uid="{00000000-0005-0000-0000-00000F020000}"/>
    <cellStyle name="SAPBEXaggDataEmph 2 3" xfId="694" xr:uid="{00000000-0005-0000-0000-000010020000}"/>
    <cellStyle name="SAPBEXaggDataEmph 3" xfId="586" xr:uid="{00000000-0005-0000-0000-000011020000}"/>
    <cellStyle name="SAPBEXaggDataEmph 3 2" xfId="826" xr:uid="{00000000-0005-0000-0000-000012020000}"/>
    <cellStyle name="SAPBEXaggDataEmph 4" xfId="639" xr:uid="{00000000-0005-0000-0000-000013020000}"/>
    <cellStyle name="SAPBEXaggDataEmph 4 2" xfId="871" xr:uid="{00000000-0005-0000-0000-000014020000}"/>
    <cellStyle name="SAPBEXaggDataEmph 5" xfId="495" xr:uid="{00000000-0005-0000-0000-000015020000}"/>
    <cellStyle name="SAPBEXaggItem" xfId="280" xr:uid="{00000000-0005-0000-0000-000016020000}"/>
    <cellStyle name="SAPBEXaggItem 2" xfId="417" xr:uid="{00000000-0005-0000-0000-000017020000}"/>
    <cellStyle name="SAPBEXaggItem 2 2" xfId="515" xr:uid="{00000000-0005-0000-0000-000018020000}"/>
    <cellStyle name="SAPBEXaggItem 2 2 2" xfId="783" xr:uid="{00000000-0005-0000-0000-000019020000}"/>
    <cellStyle name="SAPBEXaggItem 2 3" xfId="492" xr:uid="{00000000-0005-0000-0000-00001A020000}"/>
    <cellStyle name="SAPBEXaggItem 3" xfId="587" xr:uid="{00000000-0005-0000-0000-00001B020000}"/>
    <cellStyle name="SAPBEXaggItem 3 2" xfId="827" xr:uid="{00000000-0005-0000-0000-00001C020000}"/>
    <cellStyle name="SAPBEXaggItem 4" xfId="660" xr:uid="{00000000-0005-0000-0000-00001D020000}"/>
    <cellStyle name="SAPBEXaggItem 4 2" xfId="885" xr:uid="{00000000-0005-0000-0000-00001E020000}"/>
    <cellStyle name="SAPBEXaggItem 5" xfId="652" xr:uid="{00000000-0005-0000-0000-00001F020000}"/>
    <cellStyle name="SAPBEXaggItemX" xfId="281" xr:uid="{00000000-0005-0000-0000-000020020000}"/>
    <cellStyle name="SAPBEXaggItemX 2" xfId="418" xr:uid="{00000000-0005-0000-0000-000021020000}"/>
    <cellStyle name="SAPBEXaggItemX 2 2" xfId="630" xr:uid="{00000000-0005-0000-0000-000022020000}"/>
    <cellStyle name="SAPBEXaggItemX 2 2 2" xfId="865" xr:uid="{00000000-0005-0000-0000-000023020000}"/>
    <cellStyle name="SAPBEXaggItemX 2 3" xfId="704" xr:uid="{00000000-0005-0000-0000-000024020000}"/>
    <cellStyle name="SAPBEXaggItemX 3" xfId="588" xr:uid="{00000000-0005-0000-0000-000025020000}"/>
    <cellStyle name="SAPBEXaggItemX 3 2" xfId="828" xr:uid="{00000000-0005-0000-0000-000026020000}"/>
    <cellStyle name="SAPBEXaggItemX 4" xfId="715" xr:uid="{00000000-0005-0000-0000-000027020000}"/>
    <cellStyle name="SAPBEXaggItemX 4 2" xfId="920" xr:uid="{00000000-0005-0000-0000-000028020000}"/>
    <cellStyle name="SAPBEXaggItemX 5" xfId="750" xr:uid="{00000000-0005-0000-0000-000029020000}"/>
    <cellStyle name="SAPBEXchaText" xfId="282" xr:uid="{00000000-0005-0000-0000-00002A020000}"/>
    <cellStyle name="SAPBEXchaText 2" xfId="419" xr:uid="{00000000-0005-0000-0000-00002B020000}"/>
    <cellStyle name="SAPBEXchaText 2 2" xfId="506" xr:uid="{00000000-0005-0000-0000-00002C020000}"/>
    <cellStyle name="SAPBEXchaText 2 2 2" xfId="776" xr:uid="{00000000-0005-0000-0000-00002D020000}"/>
    <cellStyle name="SAPBEXchaText 2 3" xfId="504" xr:uid="{00000000-0005-0000-0000-00002E020000}"/>
    <cellStyle name="SAPBEXchaText 3" xfId="589" xr:uid="{00000000-0005-0000-0000-00002F020000}"/>
    <cellStyle name="SAPBEXchaText 3 2" xfId="829" xr:uid="{00000000-0005-0000-0000-000030020000}"/>
    <cellStyle name="SAPBEXchaText 4" xfId="708" xr:uid="{00000000-0005-0000-0000-000031020000}"/>
    <cellStyle name="SAPBEXchaText 4 2" xfId="917" xr:uid="{00000000-0005-0000-0000-000032020000}"/>
    <cellStyle name="SAPBEXchaText 5" xfId="747" xr:uid="{00000000-0005-0000-0000-000033020000}"/>
    <cellStyle name="SAPBEXexcBad7" xfId="283" xr:uid="{00000000-0005-0000-0000-000034020000}"/>
    <cellStyle name="SAPBEXexcBad7 2" xfId="420" xr:uid="{00000000-0005-0000-0000-000035020000}"/>
    <cellStyle name="SAPBEXexcBad7 2 2" xfId="568" xr:uid="{00000000-0005-0000-0000-000036020000}"/>
    <cellStyle name="SAPBEXexcBad7 2 2 2" xfId="812" xr:uid="{00000000-0005-0000-0000-000037020000}"/>
    <cellStyle name="SAPBEXexcBad7 2 3" xfId="546" xr:uid="{00000000-0005-0000-0000-000038020000}"/>
    <cellStyle name="SAPBEXexcBad7 3" xfId="590" xr:uid="{00000000-0005-0000-0000-000039020000}"/>
    <cellStyle name="SAPBEXexcBad7 3 2" xfId="830" xr:uid="{00000000-0005-0000-0000-00003A020000}"/>
    <cellStyle name="SAPBEXexcBad7 4" xfId="658" xr:uid="{00000000-0005-0000-0000-00003B020000}"/>
    <cellStyle name="SAPBEXexcBad7 4 2" xfId="883" xr:uid="{00000000-0005-0000-0000-00003C020000}"/>
    <cellStyle name="SAPBEXexcBad7 5" xfId="644" xr:uid="{00000000-0005-0000-0000-00003D020000}"/>
    <cellStyle name="SAPBEXexcBad8" xfId="284" xr:uid="{00000000-0005-0000-0000-00003E020000}"/>
    <cellStyle name="SAPBEXexcBad8 2" xfId="421" xr:uid="{00000000-0005-0000-0000-00003F020000}"/>
    <cellStyle name="SAPBEXexcBad8 2 2" xfId="649" xr:uid="{00000000-0005-0000-0000-000040020000}"/>
    <cellStyle name="SAPBEXexcBad8 2 2 2" xfId="876" xr:uid="{00000000-0005-0000-0000-000041020000}"/>
    <cellStyle name="SAPBEXexcBad8 2 3" xfId="687" xr:uid="{00000000-0005-0000-0000-000042020000}"/>
    <cellStyle name="SAPBEXexcBad8 3" xfId="591" xr:uid="{00000000-0005-0000-0000-000043020000}"/>
    <cellStyle name="SAPBEXexcBad8 3 2" xfId="831" xr:uid="{00000000-0005-0000-0000-000044020000}"/>
    <cellStyle name="SAPBEXexcBad8 4" xfId="521" xr:uid="{00000000-0005-0000-0000-000045020000}"/>
    <cellStyle name="SAPBEXexcBad8 4 2" xfId="785" xr:uid="{00000000-0005-0000-0000-000046020000}"/>
    <cellStyle name="SAPBEXexcBad8 5" xfId="669" xr:uid="{00000000-0005-0000-0000-000047020000}"/>
    <cellStyle name="SAPBEXexcBad9" xfId="285" xr:uid="{00000000-0005-0000-0000-000048020000}"/>
    <cellStyle name="SAPBEXexcBad9 2" xfId="422" xr:uid="{00000000-0005-0000-0000-000049020000}"/>
    <cellStyle name="SAPBEXexcBad9 2 2" xfId="624" xr:uid="{00000000-0005-0000-0000-00004A020000}"/>
    <cellStyle name="SAPBEXexcBad9 2 2 2" xfId="861" xr:uid="{00000000-0005-0000-0000-00004B020000}"/>
    <cellStyle name="SAPBEXexcBad9 2 3" xfId="645" xr:uid="{00000000-0005-0000-0000-00004C020000}"/>
    <cellStyle name="SAPBEXexcBad9 3" xfId="592" xr:uid="{00000000-0005-0000-0000-00004D020000}"/>
    <cellStyle name="SAPBEXexcBad9 3 2" xfId="832" xr:uid="{00000000-0005-0000-0000-00004E020000}"/>
    <cellStyle name="SAPBEXexcBad9 4" xfId="631" xr:uid="{00000000-0005-0000-0000-00004F020000}"/>
    <cellStyle name="SAPBEXexcBad9 4 2" xfId="866" xr:uid="{00000000-0005-0000-0000-000050020000}"/>
    <cellStyle name="SAPBEXexcBad9 5" xfId="672" xr:uid="{00000000-0005-0000-0000-000051020000}"/>
    <cellStyle name="SAPBEXexcCritical4" xfId="286" xr:uid="{00000000-0005-0000-0000-000052020000}"/>
    <cellStyle name="SAPBEXexcCritical4 2" xfId="423" xr:uid="{00000000-0005-0000-0000-000053020000}"/>
    <cellStyle name="SAPBEXexcCritical4 2 2" xfId="659" xr:uid="{00000000-0005-0000-0000-000054020000}"/>
    <cellStyle name="SAPBEXexcCritical4 2 2 2" xfId="884" xr:uid="{00000000-0005-0000-0000-000055020000}"/>
    <cellStyle name="SAPBEXexcCritical4 2 3" xfId="725" xr:uid="{00000000-0005-0000-0000-000056020000}"/>
    <cellStyle name="SAPBEXexcCritical4 3" xfId="593" xr:uid="{00000000-0005-0000-0000-000057020000}"/>
    <cellStyle name="SAPBEXexcCritical4 3 2" xfId="833" xr:uid="{00000000-0005-0000-0000-000058020000}"/>
    <cellStyle name="SAPBEXexcCritical4 4" xfId="503" xr:uid="{00000000-0005-0000-0000-000059020000}"/>
    <cellStyle name="SAPBEXexcCritical4 4 2" xfId="774" xr:uid="{00000000-0005-0000-0000-00005A020000}"/>
    <cellStyle name="SAPBEXexcCritical4 5" xfId="729" xr:uid="{00000000-0005-0000-0000-00005B020000}"/>
    <cellStyle name="SAPBEXexcCritical5" xfId="287" xr:uid="{00000000-0005-0000-0000-00005C020000}"/>
    <cellStyle name="SAPBEXexcCritical5 2" xfId="424" xr:uid="{00000000-0005-0000-0000-00005D020000}"/>
    <cellStyle name="SAPBEXexcCritical5 2 2" xfId="679" xr:uid="{00000000-0005-0000-0000-00005E020000}"/>
    <cellStyle name="SAPBEXexcCritical5 2 2 2" xfId="897" xr:uid="{00000000-0005-0000-0000-00005F020000}"/>
    <cellStyle name="SAPBEXexcCritical5 2 3" xfId="675" xr:uid="{00000000-0005-0000-0000-000060020000}"/>
    <cellStyle name="SAPBEXexcCritical5 3" xfId="594" xr:uid="{00000000-0005-0000-0000-000061020000}"/>
    <cellStyle name="SAPBEXexcCritical5 3 2" xfId="834" xr:uid="{00000000-0005-0000-0000-000062020000}"/>
    <cellStyle name="SAPBEXexcCritical5 4" xfId="726" xr:uid="{00000000-0005-0000-0000-000063020000}"/>
    <cellStyle name="SAPBEXexcCritical5 4 2" xfId="926" xr:uid="{00000000-0005-0000-0000-000064020000}"/>
    <cellStyle name="SAPBEXexcCritical5 5" xfId="756" xr:uid="{00000000-0005-0000-0000-000065020000}"/>
    <cellStyle name="SAPBEXexcCritical6" xfId="288" xr:uid="{00000000-0005-0000-0000-000066020000}"/>
    <cellStyle name="SAPBEXexcCritical6 2" xfId="425" xr:uid="{00000000-0005-0000-0000-000067020000}"/>
    <cellStyle name="SAPBEXexcCritical6 2 2" xfId="717" xr:uid="{00000000-0005-0000-0000-000068020000}"/>
    <cellStyle name="SAPBEXexcCritical6 2 2 2" xfId="922" xr:uid="{00000000-0005-0000-0000-000069020000}"/>
    <cellStyle name="SAPBEXexcCritical6 2 3" xfId="752" xr:uid="{00000000-0005-0000-0000-00006A020000}"/>
    <cellStyle name="SAPBEXexcCritical6 3" xfId="595" xr:uid="{00000000-0005-0000-0000-00006B020000}"/>
    <cellStyle name="SAPBEXexcCritical6 3 2" xfId="835" xr:uid="{00000000-0005-0000-0000-00006C020000}"/>
    <cellStyle name="SAPBEXexcCritical6 4" xfId="555" xr:uid="{00000000-0005-0000-0000-00006D020000}"/>
    <cellStyle name="SAPBEXexcCritical6 4 2" xfId="801" xr:uid="{00000000-0005-0000-0000-00006E020000}"/>
    <cellStyle name="SAPBEXexcCritical6 5" xfId="535" xr:uid="{00000000-0005-0000-0000-00006F020000}"/>
    <cellStyle name="SAPBEXexcGood1" xfId="289" xr:uid="{00000000-0005-0000-0000-000070020000}"/>
    <cellStyle name="SAPBEXexcGood1 2" xfId="426" xr:uid="{00000000-0005-0000-0000-000071020000}"/>
    <cellStyle name="SAPBEXexcGood1 2 2" xfId="702" xr:uid="{00000000-0005-0000-0000-000072020000}"/>
    <cellStyle name="SAPBEXexcGood1 2 2 2" xfId="914" xr:uid="{00000000-0005-0000-0000-000073020000}"/>
    <cellStyle name="SAPBEXexcGood1 2 3" xfId="744" xr:uid="{00000000-0005-0000-0000-000074020000}"/>
    <cellStyle name="SAPBEXexcGood1 3" xfId="596" xr:uid="{00000000-0005-0000-0000-000075020000}"/>
    <cellStyle name="SAPBEXexcGood1 3 2" xfId="836" xr:uid="{00000000-0005-0000-0000-000076020000}"/>
    <cellStyle name="SAPBEXexcGood1 4" xfId="677" xr:uid="{00000000-0005-0000-0000-000077020000}"/>
    <cellStyle name="SAPBEXexcGood1 4 2" xfId="896" xr:uid="{00000000-0005-0000-0000-000078020000}"/>
    <cellStyle name="SAPBEXexcGood1 5" xfId="553" xr:uid="{00000000-0005-0000-0000-000079020000}"/>
    <cellStyle name="SAPBEXexcGood2" xfId="290" xr:uid="{00000000-0005-0000-0000-00007A020000}"/>
    <cellStyle name="SAPBEXexcGood2 2" xfId="427" xr:uid="{00000000-0005-0000-0000-00007B020000}"/>
    <cellStyle name="SAPBEXexcGood2 2 2" xfId="524" xr:uid="{00000000-0005-0000-0000-00007C020000}"/>
    <cellStyle name="SAPBEXexcGood2 2 2 2" xfId="788" xr:uid="{00000000-0005-0000-0000-00007D020000}"/>
    <cellStyle name="SAPBEXexcGood2 2 3" xfId="519" xr:uid="{00000000-0005-0000-0000-00007E020000}"/>
    <cellStyle name="SAPBEXexcGood2 3" xfId="597" xr:uid="{00000000-0005-0000-0000-00007F020000}"/>
    <cellStyle name="SAPBEXexcGood2 3 2" xfId="837" xr:uid="{00000000-0005-0000-0000-000080020000}"/>
    <cellStyle name="SAPBEXexcGood2 4" xfId="523" xr:uid="{00000000-0005-0000-0000-000081020000}"/>
    <cellStyle name="SAPBEXexcGood2 4 2" xfId="787" xr:uid="{00000000-0005-0000-0000-000082020000}"/>
    <cellStyle name="SAPBEXexcGood2 5" xfId="499" xr:uid="{00000000-0005-0000-0000-000083020000}"/>
    <cellStyle name="SAPBEXexcGood3" xfId="291" xr:uid="{00000000-0005-0000-0000-000084020000}"/>
    <cellStyle name="SAPBEXexcGood3 2" xfId="428" xr:uid="{00000000-0005-0000-0000-000085020000}"/>
    <cellStyle name="SAPBEXexcGood3 2 2" xfId="701" xr:uid="{00000000-0005-0000-0000-000086020000}"/>
    <cellStyle name="SAPBEXexcGood3 2 2 2" xfId="913" xr:uid="{00000000-0005-0000-0000-000087020000}"/>
    <cellStyle name="SAPBEXexcGood3 2 3" xfId="743" xr:uid="{00000000-0005-0000-0000-000088020000}"/>
    <cellStyle name="SAPBEXexcGood3 3" xfId="598" xr:uid="{00000000-0005-0000-0000-000089020000}"/>
    <cellStyle name="SAPBEXexcGood3 3 2" xfId="838" xr:uid="{00000000-0005-0000-0000-00008A020000}"/>
    <cellStyle name="SAPBEXexcGood3 4" xfId="556" xr:uid="{00000000-0005-0000-0000-00008B020000}"/>
    <cellStyle name="SAPBEXexcGood3 4 2" xfId="802" xr:uid="{00000000-0005-0000-0000-00008C020000}"/>
    <cellStyle name="SAPBEXexcGood3 5" xfId="626" xr:uid="{00000000-0005-0000-0000-00008D020000}"/>
    <cellStyle name="SAPBEXfilterDrill" xfId="292" xr:uid="{00000000-0005-0000-0000-00008E020000}"/>
    <cellStyle name="SAPBEXfilterDrill 2" xfId="429" xr:uid="{00000000-0005-0000-0000-00008F020000}"/>
    <cellStyle name="SAPBEXfilterDrill 2 2" xfId="525" xr:uid="{00000000-0005-0000-0000-000090020000}"/>
    <cellStyle name="SAPBEXfilterDrill 2 2 2" xfId="789" xr:uid="{00000000-0005-0000-0000-000091020000}"/>
    <cellStyle name="SAPBEXfilterDrill 2 3" xfId="623" xr:uid="{00000000-0005-0000-0000-000092020000}"/>
    <cellStyle name="SAPBEXfilterDrill 3" xfId="599" xr:uid="{00000000-0005-0000-0000-000093020000}"/>
    <cellStyle name="SAPBEXfilterDrill 3 2" xfId="839" xr:uid="{00000000-0005-0000-0000-000094020000}"/>
    <cellStyle name="SAPBEXfilterDrill 4" xfId="557" xr:uid="{00000000-0005-0000-0000-000095020000}"/>
    <cellStyle name="SAPBEXfilterDrill 4 2" xfId="803" xr:uid="{00000000-0005-0000-0000-000096020000}"/>
    <cellStyle name="SAPBEXfilterDrill 5" xfId="536" xr:uid="{00000000-0005-0000-0000-000097020000}"/>
    <cellStyle name="SAPBEXfilterItem" xfId="293" xr:uid="{00000000-0005-0000-0000-000098020000}"/>
    <cellStyle name="SAPBEXfilterItem 2" xfId="430" xr:uid="{00000000-0005-0000-0000-000099020000}"/>
    <cellStyle name="SAPBEXfilterItem 2 2" xfId="670" xr:uid="{00000000-0005-0000-0000-00009A020000}"/>
    <cellStyle name="SAPBEXfilterItem 2 2 2" xfId="893" xr:uid="{00000000-0005-0000-0000-00009B020000}"/>
    <cellStyle name="SAPBEXfilterItem 2 3" xfId="700" xr:uid="{00000000-0005-0000-0000-00009C020000}"/>
    <cellStyle name="SAPBEXfilterItem 2 3 2" xfId="912" xr:uid="{00000000-0005-0000-0000-00009D020000}"/>
    <cellStyle name="SAPBEXfilterItem 2 4" xfId="742" xr:uid="{00000000-0005-0000-0000-00009E020000}"/>
    <cellStyle name="SAPBEXfilterItem 3" xfId="600" xr:uid="{00000000-0005-0000-0000-00009F020000}"/>
    <cellStyle name="SAPBEXfilterItem 3 2" xfId="840" xr:uid="{00000000-0005-0000-0000-0000A0020000}"/>
    <cellStyle name="SAPBEXfilterItem 4" xfId="558" xr:uid="{00000000-0005-0000-0000-0000A1020000}"/>
    <cellStyle name="SAPBEXfilterItem 4 2" xfId="804" xr:uid="{00000000-0005-0000-0000-0000A2020000}"/>
    <cellStyle name="SAPBEXfilterItem 5" xfId="537" xr:uid="{00000000-0005-0000-0000-0000A3020000}"/>
    <cellStyle name="SAPBEXfilterText" xfId="294" xr:uid="{00000000-0005-0000-0000-0000A4020000}"/>
    <cellStyle name="SAPBEXformats" xfId="295" xr:uid="{00000000-0005-0000-0000-0000A5020000}"/>
    <cellStyle name="SAPBEXformats 2" xfId="431" xr:uid="{00000000-0005-0000-0000-0000A6020000}"/>
    <cellStyle name="SAPBEXformats 2 2" xfId="526" xr:uid="{00000000-0005-0000-0000-0000A7020000}"/>
    <cellStyle name="SAPBEXformats 2 2 2" xfId="790" xr:uid="{00000000-0005-0000-0000-0000A8020000}"/>
    <cellStyle name="SAPBEXformats 2 3" xfId="580" xr:uid="{00000000-0005-0000-0000-0000A9020000}"/>
    <cellStyle name="SAPBEXformats 3" xfId="601" xr:uid="{00000000-0005-0000-0000-0000AA020000}"/>
    <cellStyle name="SAPBEXformats 3 2" xfId="841" xr:uid="{00000000-0005-0000-0000-0000AB020000}"/>
    <cellStyle name="SAPBEXformats 4" xfId="683" xr:uid="{00000000-0005-0000-0000-0000AC020000}"/>
    <cellStyle name="SAPBEXformats 4 2" xfId="900" xr:uid="{00000000-0005-0000-0000-0000AD020000}"/>
    <cellStyle name="SAPBEXformats 5" xfId="622" xr:uid="{00000000-0005-0000-0000-0000AE020000}"/>
    <cellStyle name="SAPBEXheaderItem" xfId="296" xr:uid="{00000000-0005-0000-0000-0000AF020000}"/>
    <cellStyle name="SAPBEXheaderItem 2" xfId="432" xr:uid="{00000000-0005-0000-0000-0000B0020000}"/>
    <cellStyle name="SAPBEXheaderItem 2 2" xfId="699" xr:uid="{00000000-0005-0000-0000-0000B1020000}"/>
    <cellStyle name="SAPBEXheaderItem 2 2 2" xfId="911" xr:uid="{00000000-0005-0000-0000-0000B2020000}"/>
    <cellStyle name="SAPBEXheaderItem 2 3" xfId="741" xr:uid="{00000000-0005-0000-0000-0000B3020000}"/>
    <cellStyle name="SAPBEXheaderItem 3" xfId="602" xr:uid="{00000000-0005-0000-0000-0000B4020000}"/>
    <cellStyle name="SAPBEXheaderItem 3 2" xfId="842" xr:uid="{00000000-0005-0000-0000-0000B5020000}"/>
    <cellStyle name="SAPBEXheaderItem 4" xfId="692" xr:uid="{00000000-0005-0000-0000-0000B6020000}"/>
    <cellStyle name="SAPBEXheaderItem 4 2" xfId="905" xr:uid="{00000000-0005-0000-0000-0000B7020000}"/>
    <cellStyle name="SAPBEXheaderItem 5" xfId="674" xr:uid="{00000000-0005-0000-0000-0000B8020000}"/>
    <cellStyle name="SAPBEXheaderText" xfId="297" xr:uid="{00000000-0005-0000-0000-0000B9020000}"/>
    <cellStyle name="SAPBEXheaderText 2" xfId="433" xr:uid="{00000000-0005-0000-0000-0000BA020000}"/>
    <cellStyle name="SAPBEXheaderText 2 2" xfId="527" xr:uid="{00000000-0005-0000-0000-0000BB020000}"/>
    <cellStyle name="SAPBEXheaderText 2 2 2" xfId="791" xr:uid="{00000000-0005-0000-0000-0000BC020000}"/>
    <cellStyle name="SAPBEXheaderText 2 3" xfId="579" xr:uid="{00000000-0005-0000-0000-0000BD020000}"/>
    <cellStyle name="SAPBEXheaderText 3" xfId="603" xr:uid="{00000000-0005-0000-0000-0000BE020000}"/>
    <cellStyle name="SAPBEXheaderText 3 2" xfId="843" xr:uid="{00000000-0005-0000-0000-0000BF020000}"/>
    <cellStyle name="SAPBEXheaderText 4" xfId="668" xr:uid="{00000000-0005-0000-0000-0000C0020000}"/>
    <cellStyle name="SAPBEXheaderText 4 2" xfId="892" xr:uid="{00000000-0005-0000-0000-0000C1020000}"/>
    <cellStyle name="SAPBEXheaderText 5" xfId="551" xr:uid="{00000000-0005-0000-0000-0000C2020000}"/>
    <cellStyle name="SAPBEXHLevel0" xfId="298" xr:uid="{00000000-0005-0000-0000-0000C3020000}"/>
    <cellStyle name="SAPBEXHLevel0 2" xfId="434" xr:uid="{00000000-0005-0000-0000-0000C4020000}"/>
    <cellStyle name="SAPBEXHLevel0 2 2" xfId="569" xr:uid="{00000000-0005-0000-0000-0000C5020000}"/>
    <cellStyle name="SAPBEXHLevel0 2 2 2" xfId="813" xr:uid="{00000000-0005-0000-0000-0000C6020000}"/>
    <cellStyle name="SAPBEXHLevel0 2 3" xfId="667" xr:uid="{00000000-0005-0000-0000-0000C7020000}"/>
    <cellStyle name="SAPBEXHLevel0 3" xfId="604" xr:uid="{00000000-0005-0000-0000-0000C8020000}"/>
    <cellStyle name="SAPBEXHLevel0 3 2" xfId="844" xr:uid="{00000000-0005-0000-0000-0000C9020000}"/>
    <cellStyle name="SAPBEXHLevel0 4" xfId="671" xr:uid="{00000000-0005-0000-0000-0000CA020000}"/>
    <cellStyle name="SAPBEXHLevel0 4 2" xfId="894" xr:uid="{00000000-0005-0000-0000-0000CB020000}"/>
    <cellStyle name="SAPBEXHLevel0 5" xfId="706" xr:uid="{00000000-0005-0000-0000-0000CC020000}"/>
    <cellStyle name="SAPBEXHLevel0X" xfId="299" xr:uid="{00000000-0005-0000-0000-0000CD020000}"/>
    <cellStyle name="SAPBEXHLevel0X 2" xfId="435" xr:uid="{00000000-0005-0000-0000-0000CE020000}"/>
    <cellStyle name="SAPBEXHLevel0X 2 2" xfId="656" xr:uid="{00000000-0005-0000-0000-0000CF020000}"/>
    <cellStyle name="SAPBEXHLevel0X 2 2 2" xfId="881" xr:uid="{00000000-0005-0000-0000-0000D0020000}"/>
    <cellStyle name="SAPBEXHLevel0X 2 3" xfId="612" xr:uid="{00000000-0005-0000-0000-0000D1020000}"/>
    <cellStyle name="SAPBEXHLevel0X 3" xfId="605" xr:uid="{00000000-0005-0000-0000-0000D2020000}"/>
    <cellStyle name="SAPBEXHLevel0X 3 2" xfId="845" xr:uid="{00000000-0005-0000-0000-0000D3020000}"/>
    <cellStyle name="SAPBEXHLevel0X 4" xfId="627" xr:uid="{00000000-0005-0000-0000-0000D4020000}"/>
    <cellStyle name="SAPBEXHLevel0X 4 2" xfId="863" xr:uid="{00000000-0005-0000-0000-0000D5020000}"/>
    <cellStyle name="SAPBEXHLevel0X 5" xfId="512" xr:uid="{00000000-0005-0000-0000-0000D6020000}"/>
    <cellStyle name="SAPBEXHLevel1" xfId="300" xr:uid="{00000000-0005-0000-0000-0000D7020000}"/>
    <cellStyle name="SAPBEXHLevel1 2" xfId="436" xr:uid="{00000000-0005-0000-0000-0000D8020000}"/>
    <cellStyle name="SAPBEXHLevel1 2 2" xfId="685" xr:uid="{00000000-0005-0000-0000-0000D9020000}"/>
    <cellStyle name="SAPBEXHLevel1 2 2 2" xfId="901" xr:uid="{00000000-0005-0000-0000-0000DA020000}"/>
    <cellStyle name="SAPBEXHLevel1 2 3" xfId="488" xr:uid="{00000000-0005-0000-0000-0000DB020000}"/>
    <cellStyle name="SAPBEXHLevel1 3" xfId="606" xr:uid="{00000000-0005-0000-0000-0000DC020000}"/>
    <cellStyle name="SAPBEXHLevel1 3 2" xfId="846" xr:uid="{00000000-0005-0000-0000-0000DD020000}"/>
    <cellStyle name="SAPBEXHLevel1 4" xfId="559" xr:uid="{00000000-0005-0000-0000-0000DE020000}"/>
    <cellStyle name="SAPBEXHLevel1 4 2" xfId="805" xr:uid="{00000000-0005-0000-0000-0000DF020000}"/>
    <cellStyle name="SAPBEXHLevel1 5" xfId="538" xr:uid="{00000000-0005-0000-0000-0000E0020000}"/>
    <cellStyle name="SAPBEXHLevel1X" xfId="301" xr:uid="{00000000-0005-0000-0000-0000E1020000}"/>
    <cellStyle name="SAPBEXHLevel1X 2" xfId="437" xr:uid="{00000000-0005-0000-0000-0000E2020000}"/>
    <cellStyle name="SAPBEXHLevel1X 2 2" xfId="681" xr:uid="{00000000-0005-0000-0000-0000E3020000}"/>
    <cellStyle name="SAPBEXHLevel1X 2 2 2" xfId="898" xr:uid="{00000000-0005-0000-0000-0000E4020000}"/>
    <cellStyle name="SAPBEXHLevel1X 2 3" xfId="707" xr:uid="{00000000-0005-0000-0000-0000E5020000}"/>
    <cellStyle name="SAPBEXHLevel1X 3" xfId="607" xr:uid="{00000000-0005-0000-0000-0000E6020000}"/>
    <cellStyle name="SAPBEXHLevel1X 3 2" xfId="847" xr:uid="{00000000-0005-0000-0000-0000E7020000}"/>
    <cellStyle name="SAPBEXHLevel1X 4" xfId="560" xr:uid="{00000000-0005-0000-0000-0000E8020000}"/>
    <cellStyle name="SAPBEXHLevel1X 4 2" xfId="806" xr:uid="{00000000-0005-0000-0000-0000E9020000}"/>
    <cellStyle name="SAPBEXHLevel1X 5" xfId="539" xr:uid="{00000000-0005-0000-0000-0000EA020000}"/>
    <cellStyle name="SAPBEXHLevel2" xfId="302" xr:uid="{00000000-0005-0000-0000-0000EB020000}"/>
    <cellStyle name="SAPBEXHLevel2 2" xfId="438" xr:uid="{00000000-0005-0000-0000-0000EC020000}"/>
    <cellStyle name="SAPBEXHLevel2 2 2" xfId="570" xr:uid="{00000000-0005-0000-0000-0000ED020000}"/>
    <cellStyle name="SAPBEXHLevel2 2 2 2" xfId="814" xr:uid="{00000000-0005-0000-0000-0000EE020000}"/>
    <cellStyle name="SAPBEXHLevel2 2 3" xfId="547" xr:uid="{00000000-0005-0000-0000-0000EF020000}"/>
    <cellStyle name="SAPBEXHLevel2 3" xfId="608" xr:uid="{00000000-0005-0000-0000-0000F0020000}"/>
    <cellStyle name="SAPBEXHLevel2 3 2" xfId="848" xr:uid="{00000000-0005-0000-0000-0000F1020000}"/>
    <cellStyle name="SAPBEXHLevel2 4" xfId="561" xr:uid="{00000000-0005-0000-0000-0000F2020000}"/>
    <cellStyle name="SAPBEXHLevel2 4 2" xfId="807" xr:uid="{00000000-0005-0000-0000-0000F3020000}"/>
    <cellStyle name="SAPBEXHLevel2 5" xfId="710" xr:uid="{00000000-0005-0000-0000-0000F4020000}"/>
    <cellStyle name="SAPBEXHLevel2X" xfId="303" xr:uid="{00000000-0005-0000-0000-0000F5020000}"/>
    <cellStyle name="SAPBEXHLevel2X 2" xfId="439" xr:uid="{00000000-0005-0000-0000-0000F6020000}"/>
    <cellStyle name="SAPBEXHLevel2X 2 2" xfId="571" xr:uid="{00000000-0005-0000-0000-0000F7020000}"/>
    <cellStyle name="SAPBEXHLevel2X 2 2 2" xfId="815" xr:uid="{00000000-0005-0000-0000-0000F8020000}"/>
    <cellStyle name="SAPBEXHLevel2X 2 3" xfId="722" xr:uid="{00000000-0005-0000-0000-0000F9020000}"/>
    <cellStyle name="SAPBEXHLevel2X 3" xfId="609" xr:uid="{00000000-0005-0000-0000-0000FA020000}"/>
    <cellStyle name="SAPBEXHLevel2X 3 2" xfId="849" xr:uid="{00000000-0005-0000-0000-0000FB020000}"/>
    <cellStyle name="SAPBEXHLevel2X 4" xfId="562" xr:uid="{00000000-0005-0000-0000-0000FC020000}"/>
    <cellStyle name="SAPBEXHLevel2X 4 2" xfId="808" xr:uid="{00000000-0005-0000-0000-0000FD020000}"/>
    <cellStyle name="SAPBEXHLevel2X 5" xfId="643" xr:uid="{00000000-0005-0000-0000-0000FE020000}"/>
    <cellStyle name="SAPBEXHLevel3" xfId="304" xr:uid="{00000000-0005-0000-0000-0000FF020000}"/>
    <cellStyle name="SAPBEXHLevel3 2" xfId="440" xr:uid="{00000000-0005-0000-0000-000000030000}"/>
    <cellStyle name="SAPBEXHLevel3 2 2" xfId="572" xr:uid="{00000000-0005-0000-0000-000001030000}"/>
    <cellStyle name="SAPBEXHLevel3 2 2 2" xfId="816" xr:uid="{00000000-0005-0000-0000-000002030000}"/>
    <cellStyle name="SAPBEXHLevel3 2 3" xfId="548" xr:uid="{00000000-0005-0000-0000-000003030000}"/>
    <cellStyle name="SAPBEXHLevel3 3" xfId="610" xr:uid="{00000000-0005-0000-0000-000004030000}"/>
    <cellStyle name="SAPBEXHLevel3 3 2" xfId="850" xr:uid="{00000000-0005-0000-0000-000005030000}"/>
    <cellStyle name="SAPBEXHLevel3 4" xfId="641" xr:uid="{00000000-0005-0000-0000-000006030000}"/>
    <cellStyle name="SAPBEXHLevel3 4 2" xfId="873" xr:uid="{00000000-0005-0000-0000-000007030000}"/>
    <cellStyle name="SAPBEXHLevel3 5" xfId="655" xr:uid="{00000000-0005-0000-0000-000008030000}"/>
    <cellStyle name="SAPBEXHLevel3X" xfId="305" xr:uid="{00000000-0005-0000-0000-000009030000}"/>
    <cellStyle name="SAPBEXHLevel3X 2" xfId="441" xr:uid="{00000000-0005-0000-0000-00000A030000}"/>
    <cellStyle name="SAPBEXHLevel3X 2 2" xfId="573" xr:uid="{00000000-0005-0000-0000-00000B030000}"/>
    <cellStyle name="SAPBEXHLevel3X 2 2 2" xfId="817" xr:uid="{00000000-0005-0000-0000-00000C030000}"/>
    <cellStyle name="SAPBEXHLevel3X 2 3" xfId="720" xr:uid="{00000000-0005-0000-0000-00000D030000}"/>
    <cellStyle name="SAPBEXHLevel3X 3" xfId="611" xr:uid="{00000000-0005-0000-0000-00000E030000}"/>
    <cellStyle name="SAPBEXHLevel3X 3 2" xfId="851" xr:uid="{00000000-0005-0000-0000-00000F030000}"/>
    <cellStyle name="SAPBEXHLevel3X 4" xfId="563" xr:uid="{00000000-0005-0000-0000-000010030000}"/>
    <cellStyle name="SAPBEXHLevel3X 4 2" xfId="809" xr:uid="{00000000-0005-0000-0000-000011030000}"/>
    <cellStyle name="SAPBEXHLevel3X 5" xfId="517" xr:uid="{00000000-0005-0000-0000-000012030000}"/>
    <cellStyle name="SAPBEXinputData" xfId="306" xr:uid="{00000000-0005-0000-0000-000013030000}"/>
    <cellStyle name="SAPBEXresData" xfId="307" xr:uid="{00000000-0005-0000-0000-000014030000}"/>
    <cellStyle name="SAPBEXresData 2" xfId="442" xr:uid="{00000000-0005-0000-0000-000015030000}"/>
    <cellStyle name="SAPBEXresData 2 2" xfId="635" xr:uid="{00000000-0005-0000-0000-000016030000}"/>
    <cellStyle name="SAPBEXresData 2 2 2" xfId="868" xr:uid="{00000000-0005-0000-0000-000017030000}"/>
    <cellStyle name="SAPBEXresData 2 3" xfId="713" xr:uid="{00000000-0005-0000-0000-000018030000}"/>
    <cellStyle name="SAPBEXresData 3" xfId="613" xr:uid="{00000000-0005-0000-0000-000019030000}"/>
    <cellStyle name="SAPBEXresData 3 2" xfId="852" xr:uid="{00000000-0005-0000-0000-00001A030000}"/>
    <cellStyle name="SAPBEXresData 4" xfId="721" xr:uid="{00000000-0005-0000-0000-00001B030000}"/>
    <cellStyle name="SAPBEXresData 4 2" xfId="924" xr:uid="{00000000-0005-0000-0000-00001C030000}"/>
    <cellStyle name="SAPBEXresData 5" xfId="754" xr:uid="{00000000-0005-0000-0000-00001D030000}"/>
    <cellStyle name="SAPBEXresDataEmph" xfId="308" xr:uid="{00000000-0005-0000-0000-00001E030000}"/>
    <cellStyle name="SAPBEXresDataEmph 2" xfId="443" xr:uid="{00000000-0005-0000-0000-00001F030000}"/>
    <cellStyle name="SAPBEXresDataEmph 2 2" xfId="636" xr:uid="{00000000-0005-0000-0000-000020030000}"/>
    <cellStyle name="SAPBEXresDataEmph 2 2 2" xfId="869" xr:uid="{00000000-0005-0000-0000-000021030000}"/>
    <cellStyle name="SAPBEXresDataEmph 2 3" xfId="633" xr:uid="{00000000-0005-0000-0000-000022030000}"/>
    <cellStyle name="SAPBEXresDataEmph 3" xfId="614" xr:uid="{00000000-0005-0000-0000-000023030000}"/>
    <cellStyle name="SAPBEXresDataEmph 3 2" xfId="853" xr:uid="{00000000-0005-0000-0000-000024030000}"/>
    <cellStyle name="SAPBEXresDataEmph 4" xfId="629" xr:uid="{00000000-0005-0000-0000-000025030000}"/>
    <cellStyle name="SAPBEXresDataEmph 4 2" xfId="864" xr:uid="{00000000-0005-0000-0000-000026030000}"/>
    <cellStyle name="SAPBEXresDataEmph 5" xfId="647" xr:uid="{00000000-0005-0000-0000-000027030000}"/>
    <cellStyle name="SAPBEXresItem" xfId="309" xr:uid="{00000000-0005-0000-0000-000028030000}"/>
    <cellStyle name="SAPBEXresItem 2" xfId="444" xr:uid="{00000000-0005-0000-0000-000029030000}"/>
    <cellStyle name="SAPBEXresItem 2 2" xfId="574" xr:uid="{00000000-0005-0000-0000-00002A030000}"/>
    <cellStyle name="SAPBEXresItem 2 2 2" xfId="818" xr:uid="{00000000-0005-0000-0000-00002B030000}"/>
    <cellStyle name="SAPBEXresItem 2 3" xfId="719" xr:uid="{00000000-0005-0000-0000-00002C030000}"/>
    <cellStyle name="SAPBEXresItem 3" xfId="615" xr:uid="{00000000-0005-0000-0000-00002D030000}"/>
    <cellStyle name="SAPBEXresItem 3 2" xfId="854" xr:uid="{00000000-0005-0000-0000-00002E030000}"/>
    <cellStyle name="SAPBEXresItem 4" xfId="625" xr:uid="{00000000-0005-0000-0000-00002F030000}"/>
    <cellStyle name="SAPBEXresItem 4 2" xfId="862" xr:uid="{00000000-0005-0000-0000-000030030000}"/>
    <cellStyle name="SAPBEXresItem 5" xfId="646" xr:uid="{00000000-0005-0000-0000-000031030000}"/>
    <cellStyle name="SAPBEXresItemX" xfId="310" xr:uid="{00000000-0005-0000-0000-000032030000}"/>
    <cellStyle name="SAPBEXresItemX 2" xfId="445" xr:uid="{00000000-0005-0000-0000-000033030000}"/>
    <cellStyle name="SAPBEXresItemX 2 2" xfId="498" xr:uid="{00000000-0005-0000-0000-000034030000}"/>
    <cellStyle name="SAPBEXresItemX 2 2 2" xfId="771" xr:uid="{00000000-0005-0000-0000-000035030000}"/>
    <cellStyle name="SAPBEXresItemX 2 3" xfId="732" xr:uid="{00000000-0005-0000-0000-000036030000}"/>
    <cellStyle name="SAPBEXresItemX 3" xfId="616" xr:uid="{00000000-0005-0000-0000-000037030000}"/>
    <cellStyle name="SAPBEXresItemX 3 2" xfId="855" xr:uid="{00000000-0005-0000-0000-000038030000}"/>
    <cellStyle name="SAPBEXresItemX 4" xfId="634" xr:uid="{00000000-0005-0000-0000-000039030000}"/>
    <cellStyle name="SAPBEXresItemX 4 2" xfId="867" xr:uid="{00000000-0005-0000-0000-00003A030000}"/>
    <cellStyle name="SAPBEXresItemX 5" xfId="564" xr:uid="{00000000-0005-0000-0000-00003B030000}"/>
    <cellStyle name="SAPBEXstdData" xfId="311" xr:uid="{00000000-0005-0000-0000-00003C030000}"/>
    <cellStyle name="SAPBEXstdData 2" xfId="446" xr:uid="{00000000-0005-0000-0000-00003D030000}"/>
    <cellStyle name="SAPBEXstdData 2 2" xfId="575" xr:uid="{00000000-0005-0000-0000-00003E030000}"/>
    <cellStyle name="SAPBEXstdData 2 2 2" xfId="819" xr:uid="{00000000-0005-0000-0000-00003F030000}"/>
    <cellStyle name="SAPBEXstdData 2 3" xfId="709" xr:uid="{00000000-0005-0000-0000-000040030000}"/>
    <cellStyle name="SAPBEXstdData 3" xfId="617" xr:uid="{00000000-0005-0000-0000-000041030000}"/>
    <cellStyle name="SAPBEXstdData 3 2" xfId="856" xr:uid="{00000000-0005-0000-0000-000042030000}"/>
    <cellStyle name="SAPBEXstdData 4" xfId="705" xr:uid="{00000000-0005-0000-0000-000043030000}"/>
    <cellStyle name="SAPBEXstdData 4 2" xfId="916" xr:uid="{00000000-0005-0000-0000-000044030000}"/>
    <cellStyle name="SAPBEXstdData 5" xfId="746" xr:uid="{00000000-0005-0000-0000-000045030000}"/>
    <cellStyle name="SAPBEXstdDataEmph" xfId="312" xr:uid="{00000000-0005-0000-0000-000046030000}"/>
    <cellStyle name="SAPBEXstdDataEmph 2" xfId="447" xr:uid="{00000000-0005-0000-0000-000047030000}"/>
    <cellStyle name="SAPBEXstdDataEmph 2 2" xfId="698" xr:uid="{00000000-0005-0000-0000-000048030000}"/>
    <cellStyle name="SAPBEXstdDataEmph 2 2 2" xfId="910" xr:uid="{00000000-0005-0000-0000-000049030000}"/>
    <cellStyle name="SAPBEXstdDataEmph 2 3" xfId="740" xr:uid="{00000000-0005-0000-0000-00004A030000}"/>
    <cellStyle name="SAPBEXstdDataEmph 3" xfId="618" xr:uid="{00000000-0005-0000-0000-00004B030000}"/>
    <cellStyle name="SAPBEXstdDataEmph 3 2" xfId="857" xr:uid="{00000000-0005-0000-0000-00004C030000}"/>
    <cellStyle name="SAPBEXstdDataEmph 4" xfId="682" xr:uid="{00000000-0005-0000-0000-00004D030000}"/>
    <cellStyle name="SAPBEXstdDataEmph 4 2" xfId="899" xr:uid="{00000000-0005-0000-0000-00004E030000}"/>
    <cellStyle name="SAPBEXstdDataEmph 5" xfId="680" xr:uid="{00000000-0005-0000-0000-00004F030000}"/>
    <cellStyle name="SAPBEXstdItem" xfId="313" xr:uid="{00000000-0005-0000-0000-000050030000}"/>
    <cellStyle name="SAPBEXstdItem 2" xfId="448" xr:uid="{00000000-0005-0000-0000-000051030000}"/>
    <cellStyle name="SAPBEXstdItem 2 2" xfId="528" xr:uid="{00000000-0005-0000-0000-000052030000}"/>
    <cellStyle name="SAPBEXstdItem 2 2 2" xfId="792" xr:uid="{00000000-0005-0000-0000-000053030000}"/>
    <cellStyle name="SAPBEXstdItem 2 3" xfId="582" xr:uid="{00000000-0005-0000-0000-000054030000}"/>
    <cellStyle name="SAPBEXstdItem 3" xfId="619" xr:uid="{00000000-0005-0000-0000-000055030000}"/>
    <cellStyle name="SAPBEXstdItem 3 2" xfId="858" xr:uid="{00000000-0005-0000-0000-000056030000}"/>
    <cellStyle name="SAPBEXstdItem 4" xfId="718" xr:uid="{00000000-0005-0000-0000-000057030000}"/>
    <cellStyle name="SAPBEXstdItem 4 2" xfId="923" xr:uid="{00000000-0005-0000-0000-000058030000}"/>
    <cellStyle name="SAPBEXstdItem 5" xfId="753" xr:uid="{00000000-0005-0000-0000-000059030000}"/>
    <cellStyle name="SAPBEXstdItemX" xfId="314" xr:uid="{00000000-0005-0000-0000-00005A030000}"/>
    <cellStyle name="SAPBEXstdItemX 2" xfId="449" xr:uid="{00000000-0005-0000-0000-00005B030000}"/>
    <cellStyle name="SAPBEXstdItemX 2 2" xfId="697" xr:uid="{00000000-0005-0000-0000-00005C030000}"/>
    <cellStyle name="SAPBEXstdItemX 2 2 2" xfId="909" xr:uid="{00000000-0005-0000-0000-00005D030000}"/>
    <cellStyle name="SAPBEXstdItemX 2 3" xfId="739" xr:uid="{00000000-0005-0000-0000-00005E030000}"/>
    <cellStyle name="SAPBEXstdItemX 3" xfId="620" xr:uid="{00000000-0005-0000-0000-00005F030000}"/>
    <cellStyle name="SAPBEXstdItemX 3 2" xfId="859" xr:uid="{00000000-0005-0000-0000-000060030000}"/>
    <cellStyle name="SAPBEXstdItemX 4" xfId="689" xr:uid="{00000000-0005-0000-0000-000061030000}"/>
    <cellStyle name="SAPBEXstdItemX 4 2" xfId="903" xr:uid="{00000000-0005-0000-0000-000062030000}"/>
    <cellStyle name="SAPBEXstdItemX 5" xfId="676" xr:uid="{00000000-0005-0000-0000-000063030000}"/>
    <cellStyle name="SAPBEXtitle" xfId="315" xr:uid="{00000000-0005-0000-0000-000064030000}"/>
    <cellStyle name="SAPBEXundefined" xfId="316" xr:uid="{00000000-0005-0000-0000-000065030000}"/>
    <cellStyle name="SAPBEXundefined 2" xfId="450" xr:uid="{00000000-0005-0000-0000-000066030000}"/>
    <cellStyle name="SAPBEXundefined 2 2" xfId="529" xr:uid="{00000000-0005-0000-0000-000067030000}"/>
    <cellStyle name="SAPBEXundefined 2 2 2" xfId="793" xr:uid="{00000000-0005-0000-0000-000068030000}"/>
    <cellStyle name="SAPBEXundefined 2 3" xfId="723" xr:uid="{00000000-0005-0000-0000-000069030000}"/>
    <cellStyle name="SAPBEXundefined 3" xfId="621" xr:uid="{00000000-0005-0000-0000-00006A030000}"/>
    <cellStyle name="SAPBEXundefined 3 2" xfId="860" xr:uid="{00000000-0005-0000-0000-00006B030000}"/>
    <cellStyle name="SAPBEXundefined 4" xfId="690" xr:uid="{00000000-0005-0000-0000-00006C030000}"/>
    <cellStyle name="SAPBEXundefined 4 2" xfId="904" xr:uid="{00000000-0005-0000-0000-00006D030000}"/>
    <cellStyle name="SAPBEXundefined 5" xfId="688" xr:uid="{00000000-0005-0000-0000-00006E030000}"/>
    <cellStyle name="Section Number" xfId="317" xr:uid="{00000000-0005-0000-0000-00006F030000}"/>
    <cellStyle name="SEM-BPS-data" xfId="318" xr:uid="{00000000-0005-0000-0000-000070030000}"/>
    <cellStyle name="SEM-BPS-head" xfId="319" xr:uid="{00000000-0005-0000-0000-000071030000}"/>
    <cellStyle name="SEM-BPS-headdata" xfId="320" xr:uid="{00000000-0005-0000-0000-000072030000}"/>
    <cellStyle name="SEM-BPS-headkey" xfId="321" xr:uid="{00000000-0005-0000-0000-000073030000}"/>
    <cellStyle name="SEM-BPS-input-on" xfId="322" xr:uid="{00000000-0005-0000-0000-000074030000}"/>
    <cellStyle name="SEM-BPS-key" xfId="323" xr:uid="{00000000-0005-0000-0000-000075030000}"/>
    <cellStyle name="SEM-BPS-sub1" xfId="324" xr:uid="{00000000-0005-0000-0000-000076030000}"/>
    <cellStyle name="SEM-BPS-sub2" xfId="325" xr:uid="{00000000-0005-0000-0000-000077030000}"/>
    <cellStyle name="SEM-BPS-total" xfId="326" xr:uid="{00000000-0005-0000-0000-000078030000}"/>
    <cellStyle name="Sheet Title" xfId="327" xr:uid="{00000000-0005-0000-0000-000079030000}"/>
    <cellStyle name="Special" xfId="328" xr:uid="{00000000-0005-0000-0000-00007A030000}"/>
    <cellStyle name="Standard_stud97" xfId="329" xr:uid="{00000000-0005-0000-0000-00007B030000}"/>
    <cellStyle name="Style 1" xfId="330" xr:uid="{00000000-0005-0000-0000-00007C030000}"/>
    <cellStyle name="style1" xfId="331" xr:uid="{00000000-0005-0000-0000-00007D030000}"/>
    <cellStyle name="style1a" xfId="332" xr:uid="{00000000-0005-0000-0000-00007E030000}"/>
    <cellStyle name="Style2" xfId="333" xr:uid="{00000000-0005-0000-0000-00007F030000}"/>
    <cellStyle name="Style4" xfId="334" xr:uid="{00000000-0005-0000-0000-000080030000}"/>
    <cellStyle name="Style5" xfId="335" xr:uid="{00000000-0005-0000-0000-000081030000}"/>
    <cellStyle name="swiss" xfId="336" xr:uid="{00000000-0005-0000-0000-000082030000}"/>
    <cellStyle name="swiss input" xfId="337" xr:uid="{00000000-0005-0000-0000-000083030000}"/>
    <cellStyle name="swiss input1" xfId="338" xr:uid="{00000000-0005-0000-0000-000084030000}"/>
    <cellStyle name="swiss input2" xfId="339" xr:uid="{00000000-0005-0000-0000-000085030000}"/>
    <cellStyle name="swiss spec" xfId="340" xr:uid="{00000000-0005-0000-0000-000086030000}"/>
    <cellStyle name="Switch" xfId="341" xr:uid="{00000000-0005-0000-0000-000087030000}"/>
    <cellStyle name="Table Heading" xfId="342" xr:uid="{00000000-0005-0000-0000-000088030000}"/>
    <cellStyle name="Tim" xfId="343" xr:uid="{00000000-0005-0000-0000-000089030000}"/>
    <cellStyle name="times" xfId="344" xr:uid="{00000000-0005-0000-0000-00008A030000}"/>
    <cellStyle name="Title" xfId="41" builtinId="15" customBuiltin="1"/>
    <cellStyle name="Title 2" xfId="404" xr:uid="{00000000-0005-0000-0000-00008C030000}"/>
    <cellStyle name="TOC 1" xfId="345" xr:uid="{00000000-0005-0000-0000-00008D030000}"/>
    <cellStyle name="TOC 2" xfId="346" xr:uid="{00000000-0005-0000-0000-00008E030000}"/>
    <cellStyle name="TOC 3" xfId="347" xr:uid="{00000000-0005-0000-0000-00008F030000}"/>
    <cellStyle name="TOC 4" xfId="348" xr:uid="{00000000-0005-0000-0000-000090030000}"/>
    <cellStyle name="Total" xfId="42" builtinId="25" customBuiltin="1"/>
    <cellStyle name="Total 2" xfId="405" xr:uid="{00000000-0005-0000-0000-000092030000}"/>
    <cellStyle name="Total 2 2" xfId="455" xr:uid="{00000000-0005-0000-0000-000093030000}"/>
    <cellStyle name="Total 2 2 2" xfId="657" xr:uid="{00000000-0005-0000-0000-000094030000}"/>
    <cellStyle name="Total 2 2 2 2" xfId="882" xr:uid="{00000000-0005-0000-0000-000095030000}"/>
    <cellStyle name="Total 2 2 3" xfId="549" xr:uid="{00000000-0005-0000-0000-000096030000}"/>
    <cellStyle name="Total 2 3" xfId="703" xr:uid="{00000000-0005-0000-0000-000097030000}"/>
    <cellStyle name="Total 2 3 2" xfId="915" xr:uid="{00000000-0005-0000-0000-000098030000}"/>
    <cellStyle name="Total 2 4" xfId="745" xr:uid="{00000000-0005-0000-0000-000099030000}"/>
    <cellStyle name="un-bold" xfId="349" xr:uid="{00000000-0005-0000-0000-00009A030000}"/>
    <cellStyle name="UNITS" xfId="350" xr:uid="{00000000-0005-0000-0000-00009B030000}"/>
    <cellStyle name="un-Pattern" xfId="351" xr:uid="{00000000-0005-0000-0000-00009C030000}"/>
    <cellStyle name="un-wrap" xfId="352" xr:uid="{00000000-0005-0000-0000-00009D030000}"/>
    <cellStyle name="Warning Text" xfId="43" builtinId="11" customBuiltin="1"/>
    <cellStyle name="Warning Text 2" xfId="406" xr:uid="{00000000-0005-0000-0000-00009F030000}"/>
    <cellStyle name="white/hidden" xfId="353" xr:uid="{00000000-0005-0000-0000-0000A0030000}"/>
    <cellStyle name="WorksheetTitle" xfId="354" xr:uid="{00000000-0005-0000-0000-0000A1030000}"/>
    <cellStyle name="wrap" xfId="355" xr:uid="{00000000-0005-0000-0000-0000A2030000}"/>
    <cellStyle name="xMillions ($0.0m)" xfId="356" xr:uid="{00000000-0005-0000-0000-0000A3030000}"/>
    <cellStyle name="xMillions (0.0)" xfId="357" xr:uid="{00000000-0005-0000-0000-0000A4030000}"/>
    <cellStyle name="xThousands ($0.0k)" xfId="358" xr:uid="{00000000-0005-0000-0000-0000A5030000}"/>
    <cellStyle name="xThousands (0.0)" xfId="359" xr:uid="{00000000-0005-0000-0000-0000A6030000}"/>
    <cellStyle name="yellow" xfId="360" xr:uid="{00000000-0005-0000-0000-0000A7030000}"/>
  </cellStyles>
  <dxfs count="0"/>
  <tableStyles count="0" defaultTableStyle="TableStyleMedium2" defaultPivotStyle="PivotStyleLight16"/>
  <colors>
    <mruColors>
      <color rgb="FF167BF3"/>
      <color rgb="FF507617"/>
      <color rgb="FF507628"/>
      <color rgb="FFC00000"/>
      <color rgb="FF0563C1"/>
      <color rgb="FFFFFF93"/>
      <color rgb="FFFFFF79"/>
      <color rgb="FFFFFF33"/>
      <color rgb="FFA28DB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18</xdr:row>
      <xdr:rowOff>-1</xdr:rowOff>
    </xdr:from>
    <xdr:to>
      <xdr:col>1</xdr:col>
      <xdr:colOff>10694087</xdr:colOff>
      <xdr:row>48</xdr:row>
      <xdr:rowOff>50962</xdr:rowOff>
    </xdr:to>
    <xdr:pic>
      <xdr:nvPicPr>
        <xdr:cNvPr id="2" name="Picture 1">
          <a:extLst>
            <a:ext uri="{FF2B5EF4-FFF2-40B4-BE49-F238E27FC236}">
              <a16:creationId xmlns:a16="http://schemas.microsoft.com/office/drawing/2014/main" id="{9E4517E1-0926-4C2F-A8C8-B2CB0DF8D88B}"/>
            </a:ext>
          </a:extLst>
        </xdr:cNvPr>
        <xdr:cNvPicPr>
          <a:picLocks noChangeAspect="1"/>
        </xdr:cNvPicPr>
      </xdr:nvPicPr>
      <xdr:blipFill>
        <a:blip xmlns:r="http://schemas.openxmlformats.org/officeDocument/2006/relationships" r:embed="rId1"/>
        <a:stretch>
          <a:fillRect/>
        </a:stretch>
      </xdr:blipFill>
      <xdr:spPr>
        <a:xfrm>
          <a:off x="428625" y="8358187"/>
          <a:ext cx="10265462" cy="5527837"/>
        </a:xfrm>
        <a:prstGeom prst="rect">
          <a:avLst/>
        </a:prstGeom>
        <a:ln w="53975" cmpd="thickThin">
          <a:solidFill>
            <a:schemeClr val="tx2">
              <a:lumMod val="75000"/>
            </a:schemeClr>
          </a:solidFill>
        </a:ln>
      </xdr:spPr>
    </xdr:pic>
    <xdr:clientData/>
  </xdr:twoCellAnchor>
  <xdr:twoCellAnchor>
    <xdr:from>
      <xdr:col>1</xdr:col>
      <xdr:colOff>11560175</xdr:colOff>
      <xdr:row>22</xdr:row>
      <xdr:rowOff>90787</xdr:rowOff>
    </xdr:from>
    <xdr:to>
      <xdr:col>4</xdr:col>
      <xdr:colOff>190683</xdr:colOff>
      <xdr:row>27</xdr:row>
      <xdr:rowOff>110964</xdr:rowOff>
    </xdr:to>
    <xdr:sp macro="" textlink="">
      <xdr:nvSpPr>
        <xdr:cNvPr id="5" name="TextBox 4">
          <a:extLst>
            <a:ext uri="{FF2B5EF4-FFF2-40B4-BE49-F238E27FC236}">
              <a16:creationId xmlns:a16="http://schemas.microsoft.com/office/drawing/2014/main" id="{5F7DACA3-DB22-2223-79E4-C818393C29E6}"/>
            </a:ext>
          </a:extLst>
        </xdr:cNvPr>
        <xdr:cNvSpPr txBox="1"/>
      </xdr:nvSpPr>
      <xdr:spPr>
        <a:xfrm>
          <a:off x="11560175" y="5950930"/>
          <a:ext cx="4668794" cy="927320"/>
        </a:xfrm>
        <a:prstGeom prst="rect">
          <a:avLst/>
        </a:prstGeom>
        <a:noFill/>
        <a:ln w="60325" cmpd="sng">
          <a:solidFill>
            <a:srgbClr val="167BF3"/>
          </a:solidFill>
          <a:prstDash val="solid"/>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chemeClr val="tx1">
                  <a:lumMod val="95000"/>
                  <a:lumOff val="5000"/>
                </a:schemeClr>
              </a:solidFill>
            </a:rPr>
            <a:t>This model contains the modelling for projects planned for delivery in the Drury area beyond the 10-Year Budget 2021-2031 (beyond 2032)</a:t>
          </a:r>
        </a:p>
      </xdr:txBody>
    </xdr:sp>
    <xdr:clientData/>
  </xdr:twoCellAnchor>
  <xdr:twoCellAnchor>
    <xdr:from>
      <xdr:col>1</xdr:col>
      <xdr:colOff>569321</xdr:colOff>
      <xdr:row>8</xdr:row>
      <xdr:rowOff>173800</xdr:rowOff>
    </xdr:from>
    <xdr:to>
      <xdr:col>1</xdr:col>
      <xdr:colOff>5249321</xdr:colOff>
      <xdr:row>14</xdr:row>
      <xdr:rowOff>29883</xdr:rowOff>
    </xdr:to>
    <xdr:sp macro="" textlink="">
      <xdr:nvSpPr>
        <xdr:cNvPr id="8" name="TextBox 7">
          <a:extLst>
            <a:ext uri="{FF2B5EF4-FFF2-40B4-BE49-F238E27FC236}">
              <a16:creationId xmlns:a16="http://schemas.microsoft.com/office/drawing/2014/main" id="{939E2878-E616-41F0-A9EE-31D2E970EE69}"/>
            </a:ext>
          </a:extLst>
        </xdr:cNvPr>
        <xdr:cNvSpPr txBox="1"/>
      </xdr:nvSpPr>
      <xdr:spPr>
        <a:xfrm>
          <a:off x="569321" y="3513153"/>
          <a:ext cx="4680000" cy="976671"/>
        </a:xfrm>
        <a:prstGeom prst="rect">
          <a:avLst/>
        </a:prstGeom>
        <a:noFill/>
        <a:ln w="60325" cmpd="sng">
          <a:solidFill>
            <a:srgbClr val="507617"/>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chemeClr val="tx1">
                  <a:lumMod val="95000"/>
                  <a:lumOff val="5000"/>
                </a:schemeClr>
              </a:solidFill>
            </a:rPr>
            <a:t>This model provides an update of transport and reserve projects planned for delivery in the Drury area within the 10-Year Budget 2021-2031.  The data from this model is used in the LTP Funding Model Drury final to calculate the DC price.</a:t>
          </a:r>
        </a:p>
        <a:p>
          <a:r>
            <a:rPr lang="en-NZ" sz="1200">
              <a:solidFill>
                <a:schemeClr val="tx1">
                  <a:lumMod val="95000"/>
                  <a:lumOff val="5000"/>
                </a:schemeClr>
              </a:solidFill>
            </a:rPr>
            <a:t>.</a:t>
          </a:r>
        </a:p>
      </xdr:txBody>
    </xdr:sp>
    <xdr:clientData/>
  </xdr:twoCellAnchor>
  <xdr:twoCellAnchor editAs="oneCell">
    <xdr:from>
      <xdr:col>1</xdr:col>
      <xdr:colOff>3220357</xdr:colOff>
      <xdr:row>14</xdr:row>
      <xdr:rowOff>45357</xdr:rowOff>
    </xdr:from>
    <xdr:to>
      <xdr:col>1</xdr:col>
      <xdr:colOff>3546929</xdr:colOff>
      <xdr:row>20</xdr:row>
      <xdr:rowOff>154214</xdr:rowOff>
    </xdr:to>
    <xdr:cxnSp macro="">
      <xdr:nvCxnSpPr>
        <xdr:cNvPr id="9" name="Straight Arrow Connector 8">
          <a:extLst>
            <a:ext uri="{FF2B5EF4-FFF2-40B4-BE49-F238E27FC236}">
              <a16:creationId xmlns:a16="http://schemas.microsoft.com/office/drawing/2014/main" id="{2D2BD519-CB52-4B05-9D7B-A167D5384E1D}"/>
            </a:ext>
          </a:extLst>
        </xdr:cNvPr>
        <xdr:cNvCxnSpPr>
          <a:cxnSpLocks noChangeAspect="1"/>
        </xdr:cNvCxnSpPr>
      </xdr:nvCxnSpPr>
      <xdr:spPr>
        <a:xfrm>
          <a:off x="3220357" y="4454071"/>
          <a:ext cx="326572" cy="1197429"/>
        </a:xfrm>
        <a:prstGeom prst="straightConnector1">
          <a:avLst/>
        </a:prstGeom>
        <a:ln>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614877</xdr:colOff>
      <xdr:row>50</xdr:row>
      <xdr:rowOff>172743</xdr:rowOff>
    </xdr:from>
    <xdr:to>
      <xdr:col>1</xdr:col>
      <xdr:colOff>5184589</xdr:colOff>
      <xdr:row>56</xdr:row>
      <xdr:rowOff>7471</xdr:rowOff>
    </xdr:to>
    <xdr:sp macro="" textlink="">
      <xdr:nvSpPr>
        <xdr:cNvPr id="12" name="TextBox 11">
          <a:extLst>
            <a:ext uri="{FF2B5EF4-FFF2-40B4-BE49-F238E27FC236}">
              <a16:creationId xmlns:a16="http://schemas.microsoft.com/office/drawing/2014/main" id="{2713AA02-C43C-44EC-B826-5A757F3E9275}"/>
            </a:ext>
          </a:extLst>
        </xdr:cNvPr>
        <xdr:cNvSpPr txBox="1"/>
      </xdr:nvSpPr>
      <xdr:spPr>
        <a:xfrm>
          <a:off x="614877" y="11356214"/>
          <a:ext cx="4569712" cy="955316"/>
        </a:xfrm>
        <a:prstGeom prst="rect">
          <a:avLst/>
        </a:prstGeom>
        <a:noFill/>
        <a:ln w="603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chemeClr val="tx1">
                  <a:lumMod val="95000"/>
                  <a:lumOff val="5000"/>
                </a:schemeClr>
              </a:solidFill>
            </a:rPr>
            <a:t>This model uses the data calculated in the LTP CAM Drury final spreadsheet to calculate the DC price for projects planned for delivery within the 10-Year Budget 2021-2031.  </a:t>
          </a:r>
        </a:p>
      </xdr:txBody>
    </xdr:sp>
    <xdr:clientData/>
  </xdr:twoCellAnchor>
  <xdr:twoCellAnchor>
    <xdr:from>
      <xdr:col>1</xdr:col>
      <xdr:colOff>11505035</xdr:colOff>
      <xdr:row>36</xdr:row>
      <xdr:rowOff>85382</xdr:rowOff>
    </xdr:from>
    <xdr:to>
      <xdr:col>4</xdr:col>
      <xdr:colOff>130741</xdr:colOff>
      <xdr:row>41</xdr:row>
      <xdr:rowOff>105559</xdr:rowOff>
    </xdr:to>
    <xdr:sp macro="" textlink="">
      <xdr:nvSpPr>
        <xdr:cNvPr id="13" name="TextBox 12">
          <a:extLst>
            <a:ext uri="{FF2B5EF4-FFF2-40B4-BE49-F238E27FC236}">
              <a16:creationId xmlns:a16="http://schemas.microsoft.com/office/drawing/2014/main" id="{496C5073-F715-42B5-A3AD-DF775F6CBC37}"/>
            </a:ext>
          </a:extLst>
        </xdr:cNvPr>
        <xdr:cNvSpPr txBox="1"/>
      </xdr:nvSpPr>
      <xdr:spPr>
        <a:xfrm>
          <a:off x="11505035" y="8485525"/>
          <a:ext cx="4663992" cy="927320"/>
        </a:xfrm>
        <a:prstGeom prst="rect">
          <a:avLst/>
        </a:prstGeom>
        <a:noFill/>
        <a:ln w="60325"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chemeClr val="tx1">
                  <a:lumMod val="95000"/>
                  <a:lumOff val="5000"/>
                </a:schemeClr>
              </a:solidFill>
            </a:rPr>
            <a:t>This model calculates the HUE growth forecasts for each funding area and infrastructure type across all years. The data is used to</a:t>
          </a:r>
          <a:r>
            <a:rPr lang="en-NZ" sz="1200" baseline="0">
              <a:solidFill>
                <a:schemeClr val="tx1">
                  <a:lumMod val="95000"/>
                  <a:lumOff val="5000"/>
                </a:schemeClr>
              </a:solidFill>
            </a:rPr>
            <a:t> calculate the DC price per HUE in the </a:t>
          </a:r>
          <a:r>
            <a:rPr lang="en-NZ" sz="1200" b="1" i="1" baseline="0">
              <a:solidFill>
                <a:schemeClr val="tx1">
                  <a:lumMod val="95000"/>
                  <a:lumOff val="5000"/>
                </a:schemeClr>
              </a:solidFill>
            </a:rPr>
            <a:t>LTP Fundng model Drury </a:t>
          </a:r>
          <a:r>
            <a:rPr lang="en-NZ" sz="1200" baseline="0">
              <a:solidFill>
                <a:schemeClr val="tx1">
                  <a:lumMod val="95000"/>
                  <a:lumOff val="5000"/>
                </a:schemeClr>
              </a:solidFill>
            </a:rPr>
            <a:t>and the </a:t>
          </a:r>
          <a:r>
            <a:rPr lang="en-NZ" sz="1200" b="1" i="1" baseline="0">
              <a:solidFill>
                <a:schemeClr val="tx1">
                  <a:lumMod val="95000"/>
                  <a:lumOff val="5000"/>
                </a:schemeClr>
              </a:solidFill>
            </a:rPr>
            <a:t>DC Policy 2022 Variation A projecta nd price model.</a:t>
          </a:r>
          <a:endParaRPr lang="en-NZ" sz="1200">
            <a:solidFill>
              <a:schemeClr val="tx1">
                <a:lumMod val="95000"/>
                <a:lumOff val="5000"/>
              </a:schemeClr>
            </a:solidFill>
          </a:endParaRPr>
        </a:p>
      </xdr:txBody>
    </xdr:sp>
    <xdr:clientData/>
  </xdr:twoCellAnchor>
  <xdr:twoCellAnchor>
    <xdr:from>
      <xdr:col>1</xdr:col>
      <xdr:colOff>2431143</xdr:colOff>
      <xdr:row>34</xdr:row>
      <xdr:rowOff>117928</xdr:rowOff>
    </xdr:from>
    <xdr:to>
      <xdr:col>1</xdr:col>
      <xdr:colOff>3320143</xdr:colOff>
      <xdr:row>50</xdr:row>
      <xdr:rowOff>99786</xdr:rowOff>
    </xdr:to>
    <xdr:cxnSp macro="">
      <xdr:nvCxnSpPr>
        <xdr:cNvPr id="19" name="Straight Arrow Connector 18">
          <a:extLst>
            <a:ext uri="{FF2B5EF4-FFF2-40B4-BE49-F238E27FC236}">
              <a16:creationId xmlns:a16="http://schemas.microsoft.com/office/drawing/2014/main" id="{93A8E10D-3C2C-466F-9429-11722512A710}"/>
            </a:ext>
          </a:extLst>
        </xdr:cNvPr>
        <xdr:cNvCxnSpPr>
          <a:cxnSpLocks noChangeAspect="1"/>
        </xdr:cNvCxnSpPr>
      </xdr:nvCxnSpPr>
      <xdr:spPr>
        <a:xfrm flipV="1">
          <a:off x="2431143" y="8155214"/>
          <a:ext cx="889000" cy="2884715"/>
        </a:xfrm>
        <a:prstGeom prst="straightConnector1">
          <a:avLst/>
        </a:prstGeom>
        <a:ln>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7008813</xdr:colOff>
      <xdr:row>34</xdr:row>
      <xdr:rowOff>15875</xdr:rowOff>
    </xdr:from>
    <xdr:to>
      <xdr:col>1</xdr:col>
      <xdr:colOff>11152522</xdr:colOff>
      <xdr:row>39</xdr:row>
      <xdr:rowOff>168646</xdr:rowOff>
    </xdr:to>
    <xdr:cxnSp macro="">
      <xdr:nvCxnSpPr>
        <xdr:cNvPr id="24" name="Straight Arrow Connector 23">
          <a:extLst>
            <a:ext uri="{FF2B5EF4-FFF2-40B4-BE49-F238E27FC236}">
              <a16:creationId xmlns:a16="http://schemas.microsoft.com/office/drawing/2014/main" id="{3A553AA3-EA78-4D8B-B3D8-314209DEFF82}"/>
            </a:ext>
          </a:extLst>
        </xdr:cNvPr>
        <xdr:cNvCxnSpPr>
          <a:cxnSpLocks/>
        </xdr:cNvCxnSpPr>
      </xdr:nvCxnSpPr>
      <xdr:spPr>
        <a:xfrm flipH="1" flipV="1">
          <a:off x="7008813" y="11247438"/>
          <a:ext cx="4143709" cy="1065583"/>
        </a:xfrm>
        <a:prstGeom prst="straightConnector1">
          <a:avLst/>
        </a:prstGeom>
        <a:ln>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oneCell">
    <xdr:from>
      <xdr:col>1</xdr:col>
      <xdr:colOff>10136188</xdr:colOff>
      <xdr:row>26</xdr:row>
      <xdr:rowOff>154214</xdr:rowOff>
    </xdr:from>
    <xdr:to>
      <xdr:col>1</xdr:col>
      <xdr:colOff>11602357</xdr:colOff>
      <xdr:row>29</xdr:row>
      <xdr:rowOff>103188</xdr:rowOff>
    </xdr:to>
    <xdr:cxnSp macro="">
      <xdr:nvCxnSpPr>
        <xdr:cNvPr id="11" name="Straight Arrow Connector 10">
          <a:extLst>
            <a:ext uri="{FF2B5EF4-FFF2-40B4-BE49-F238E27FC236}">
              <a16:creationId xmlns:a16="http://schemas.microsoft.com/office/drawing/2014/main" id="{1643A864-ED27-4CC9-BFD0-64FBA82AABD2}"/>
            </a:ext>
          </a:extLst>
        </xdr:cNvPr>
        <xdr:cNvCxnSpPr>
          <a:cxnSpLocks/>
        </xdr:cNvCxnSpPr>
      </xdr:nvCxnSpPr>
      <xdr:spPr>
        <a:xfrm flipH="1">
          <a:off x="10136188" y="9972902"/>
          <a:ext cx="1466169" cy="496661"/>
        </a:xfrm>
        <a:prstGeom prst="straightConnector1">
          <a:avLst/>
        </a:prstGeom>
        <a:ln>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fLock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omments" Target="../comments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vmlDrawing" Target="../drawings/vmlDrawing2.vml"/><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7A490-821D-440A-B500-55D95A316FCE}">
  <sheetPr>
    <pageSetUpPr fitToPage="1"/>
  </sheetPr>
  <dimension ref="B1:B7"/>
  <sheetViews>
    <sheetView tabSelected="1" topLeftCell="B1" zoomScale="90" zoomScaleNormal="90" workbookViewId="0">
      <selection activeCell="B3" sqref="B3"/>
    </sheetView>
  </sheetViews>
  <sheetFormatPr defaultColWidth="8.7265625" defaultRowHeight="14.5"/>
  <cols>
    <col min="1" max="1" width="1.54296875" style="900" customWidth="1"/>
    <col min="2" max="2" width="187.1796875" style="900" customWidth="1"/>
    <col min="3" max="3" width="24.453125" style="900" customWidth="1"/>
    <col min="4" max="16384" width="8.7265625" style="900"/>
  </cols>
  <sheetData>
    <row r="1" spans="2:2" ht="26">
      <c r="B1" s="903" t="s">
        <v>7039</v>
      </c>
    </row>
    <row r="2" spans="2:2" ht="36.65" customHeight="1">
      <c r="B2" s="918" t="s">
        <v>7057</v>
      </c>
    </row>
    <row r="3" spans="2:2" ht="387.5">
      <c r="B3" s="916" t="s">
        <v>7055</v>
      </c>
    </row>
    <row r="4" spans="2:2" ht="21">
      <c r="B4" s="902"/>
    </row>
    <row r="6" spans="2:2" ht="15.5">
      <c r="B6" s="917" t="s">
        <v>7056</v>
      </c>
    </row>
    <row r="7" spans="2:2">
      <c r="B7" s="901"/>
    </row>
  </sheetData>
  <pageMargins left="0.70866141732283472" right="0.70866141732283472" top="0.74803149606299213" bottom="0.74803149606299213" header="0.31496062992125984" footer="0.31496062992125984"/>
  <pageSetup paperSize="8" scale="7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71B3A-F213-4297-A810-2F65A0DC4913}">
  <sheetPr codeName="Sheet48">
    <tabColor rgb="FFFFFF00"/>
  </sheetPr>
  <dimension ref="A1:P29"/>
  <sheetViews>
    <sheetView topLeftCell="F10" workbookViewId="0">
      <selection activeCell="F17" sqref="F5:P17"/>
    </sheetView>
  </sheetViews>
  <sheetFormatPr defaultColWidth="9.81640625" defaultRowHeight="12.5"/>
  <cols>
    <col min="1" max="1" width="14.81640625" style="755" hidden="1" customWidth="1"/>
    <col min="2" max="2" width="10.1796875" style="755" hidden="1" customWidth="1"/>
    <col min="3" max="3" width="51.1796875" style="755" hidden="1" customWidth="1"/>
    <col min="4" max="4" width="22.7265625" style="755" hidden="1" customWidth="1"/>
    <col min="5" max="5" width="15" style="755" hidden="1" customWidth="1"/>
    <col min="6" max="6" width="28.7265625" style="755" customWidth="1"/>
    <col min="7" max="7" width="29.81640625" style="755" customWidth="1"/>
    <col min="8" max="9" width="64.1796875" style="762" customWidth="1"/>
    <col min="10" max="10" width="21.54296875" style="755" customWidth="1"/>
    <col min="11" max="11" width="24.1796875" style="755" customWidth="1"/>
    <col min="12" max="13" width="21" style="755" customWidth="1"/>
    <col min="14" max="14" width="16.453125" style="764" customWidth="1"/>
    <col min="15" max="15" width="14.81640625" style="755" customWidth="1"/>
    <col min="16" max="16" width="17" style="755" customWidth="1"/>
    <col min="17" max="16384" width="9.81640625" style="755"/>
  </cols>
  <sheetData>
    <row r="1" spans="1:16" s="763" customFormat="1" ht="18">
      <c r="A1" s="755"/>
      <c r="B1" s="755"/>
      <c r="C1" s="755"/>
      <c r="D1" s="755"/>
      <c r="E1" s="755"/>
      <c r="F1" s="756" t="s">
        <v>5784</v>
      </c>
      <c r="G1" s="755"/>
      <c r="H1" s="762"/>
      <c r="I1" s="762"/>
      <c r="J1" s="755"/>
      <c r="K1" s="755"/>
      <c r="L1" s="755"/>
      <c r="M1" s="755"/>
    </row>
    <row r="2" spans="1:16" s="763" customFormat="1" ht="18.5" thickBot="1">
      <c r="A2" s="758"/>
      <c r="B2" s="755"/>
      <c r="C2" s="755"/>
      <c r="D2" s="755"/>
      <c r="E2" s="755"/>
      <c r="F2" s="756"/>
      <c r="G2" s="755"/>
      <c r="H2" s="762"/>
      <c r="I2" s="762"/>
      <c r="J2" s="755"/>
      <c r="K2" s="755"/>
      <c r="L2" s="755"/>
      <c r="M2" s="755"/>
    </row>
    <row r="3" spans="1:16" s="763" customFormat="1" ht="76.5" customHeight="1" thickBot="1">
      <c r="A3" s="924"/>
      <c r="B3" s="924"/>
      <c r="C3" s="924"/>
      <c r="D3" s="924"/>
      <c r="E3" s="924"/>
      <c r="F3" s="823" t="s">
        <v>5801</v>
      </c>
      <c r="G3" s="824"/>
      <c r="H3" s="825"/>
      <c r="I3" s="825"/>
      <c r="J3" s="826"/>
      <c r="K3" s="826"/>
      <c r="L3" s="826"/>
      <c r="M3" s="827"/>
      <c r="N3" s="828"/>
      <c r="O3" s="828"/>
      <c r="P3" s="829"/>
    </row>
    <row r="4" spans="1:16" s="763" customFormat="1" ht="70.5" thickBot="1">
      <c r="A4" s="759" t="s">
        <v>7011</v>
      </c>
      <c r="B4" s="757" t="s">
        <v>7012</v>
      </c>
      <c r="C4" s="796" t="s">
        <v>5566</v>
      </c>
      <c r="D4" s="795" t="s">
        <v>6979</v>
      </c>
      <c r="E4" s="797" t="s">
        <v>5456</v>
      </c>
      <c r="F4" s="759" t="s">
        <v>7009</v>
      </c>
      <c r="G4" s="760" t="s">
        <v>2002</v>
      </c>
      <c r="H4" s="760" t="s">
        <v>2012</v>
      </c>
      <c r="I4" s="760" t="s">
        <v>5803</v>
      </c>
      <c r="J4" s="760" t="s">
        <v>5795</v>
      </c>
      <c r="K4" s="760" t="s">
        <v>5796</v>
      </c>
      <c r="L4" s="760" t="s">
        <v>5797</v>
      </c>
      <c r="M4" s="760" t="s">
        <v>5793</v>
      </c>
      <c r="N4" s="760" t="s">
        <v>5794</v>
      </c>
      <c r="O4" s="760" t="s">
        <v>6976</v>
      </c>
      <c r="P4" s="761" t="s">
        <v>6977</v>
      </c>
    </row>
    <row r="5" spans="1:16" ht="25">
      <c r="A5" s="791" t="str">
        <f t="shared" ref="A5:A14" si="0">TRIM(LEFT(B5, 3))</f>
        <v>TRA</v>
      </c>
      <c r="B5" s="791" t="str">
        <f>VLOOKUP(C5,CHOOSE({1,2},Planned_capex_starting_position!$BL$8:$BL$413,Planned_capex_starting_position!$AF$8:$AF$413),2,0)</f>
        <v>TRA A1</v>
      </c>
      <c r="C5" s="791" t="s">
        <v>6971</v>
      </c>
      <c r="D5" s="837" t="str">
        <f>IF($A5="TRA",VLOOKUP($C5,Planned_capex_starting_position!$BL$8:$BU$147,9,FALSE),"Not Transport")</f>
        <v>Collector</v>
      </c>
      <c r="E5" s="791" t="str">
        <f>IF(VLOOKUP(C5,CHOOSE({1,2},Planned_capex_starting_position!$BL$8:$BL$413,Planned_capex_starting_position!$E$8:$E$413),2,0)=0,"",VLOOKUP(C5,CHOOSE({1,2},Planned_capex_starting_position!$BL$8:$BL$413,Planned_capex_starting_position!$E$8:$E$413),2,0))</f>
        <v>14a TRA A1</v>
      </c>
      <c r="F5" s="830" t="str">
        <f>VLOOKUP(A5,Lists!H:I,2,FALSE)</f>
        <v>Transport</v>
      </c>
      <c r="G5" s="831" t="str">
        <f>VLOOKUP(B5,FA_Codes!D:G,4,FALSE)</f>
        <v>Auckland wide</v>
      </c>
      <c r="H5" s="914" t="s">
        <v>6982</v>
      </c>
      <c r="I5" s="914" t="s">
        <v>6983</v>
      </c>
      <c r="J5" s="915">
        <f>SUMIFS(Sch_8_Planned!J$5:J$77,Sch_8_Planned!$A$5:$A$77,"TRA",Sch_8_Planned!$B$5:$B$77,$B5,Sch_8_Planned!$D$5:$D$77,$D5)</f>
        <v>225992.13136967673</v>
      </c>
      <c r="K5" s="915">
        <f>SUMIFS(Sch_8_Planned!K$5:K$77,Sch_8_Planned!$A$5:$A$77,"TRA",Sch_8_Planned!$B$5:$B$77,$B5,Sch_8_Planned!$D$5:$D$77,$D5)</f>
        <v>74288.12700490703</v>
      </c>
      <c r="L5" s="915">
        <f>SUMIFS(Sch_8_Planned!L$5:L$77,Sch_8_Planned!$A$5:$A$77,"TRA",Sch_8_Planned!$B$5:$B$77,$B5,Sch_8_Planned!$D$5:$D$77,$D5)</f>
        <v>151704.0043647697</v>
      </c>
      <c r="M5" s="832">
        <f t="shared" ref="M5:M14" si="1">IFERROR(K5/J5,0)</f>
        <v>0.32871997159665223</v>
      </c>
      <c r="N5" s="833">
        <f t="shared" ref="N5:N14" si="2">1-M5</f>
        <v>0.67128002840334777</v>
      </c>
      <c r="O5" s="834" t="s">
        <v>6978</v>
      </c>
      <c r="P5" s="835">
        <v>2060</v>
      </c>
    </row>
    <row r="6" spans="1:16" ht="37.5">
      <c r="A6" s="791" t="str">
        <f t="shared" si="0"/>
        <v>TRA</v>
      </c>
      <c r="B6" s="791" t="str">
        <f>VLOOKUP(C6,CHOOSE({1,2},Planned_capex_starting_position!$BL$8:$BL$413,Planned_capex_starting_position!$AF$8:$AF$413),2,0)</f>
        <v>TRA A1</v>
      </c>
      <c r="C6" s="791" t="s">
        <v>6972</v>
      </c>
      <c r="D6" s="838" t="str">
        <f>IF($A6="TRA",VLOOKUP($C6,Planned_capex_starting_position!$BL$8:$BU$147,9,FALSE),"Not Transport")</f>
        <v>Arterial</v>
      </c>
      <c r="E6" s="791" t="str">
        <f>IF(VLOOKUP(C6,CHOOSE({1,2},Planned_capex_starting_position!$BL$8:$BL$413,Planned_capex_starting_position!$E$8:$E$413),2,0)=0,"",VLOOKUP(C6,CHOOSE({1,2},Planned_capex_starting_position!$BL$8:$BL$413,Planned_capex_starting_position!$E$8:$E$413),2,0))</f>
        <v>1b TRA A1</v>
      </c>
      <c r="F6" s="811" t="str">
        <f>VLOOKUP(A6,Lists!H:I,2,FALSE)</f>
        <v>Transport</v>
      </c>
      <c r="G6" s="812" t="str">
        <f>VLOOKUP(B6,FA_Codes!D:G,4,FALSE)</f>
        <v>Auckland wide</v>
      </c>
      <c r="H6" s="792" t="s">
        <v>6984</v>
      </c>
      <c r="I6" s="792" t="s">
        <v>6985</v>
      </c>
      <c r="J6" s="806">
        <f>SUMIFS(Sch_8_Planned!J$5:J$77,Sch_8_Planned!$A$5:$A$77,"TRA",Sch_8_Planned!$B$5:$B$77,$B6,Sch_8_Planned!$D$5:$D$77,$D6)</f>
        <v>1934965.1332533499</v>
      </c>
      <c r="K6" s="806">
        <f>SUMIFS(Sch_8_Planned!K$5:K$77,Sch_8_Planned!$A$5:$A$77,"TRA",Sch_8_Planned!$B$5:$B$77,$B6,Sch_8_Planned!$D$5:$D$77,$D6)</f>
        <v>311670.22498534125</v>
      </c>
      <c r="L6" s="806">
        <f>SUMIFS(Sch_8_Planned!L$5:L$77,Sch_8_Planned!$A$5:$A$77,"TRA",Sch_8_Planned!$B$5:$B$77,$B6,Sch_8_Planned!$D$5:$D$77,$D6)</f>
        <v>1623294.9082680088</v>
      </c>
      <c r="M6" s="815">
        <f t="shared" si="1"/>
        <v>0.16107278608235959</v>
      </c>
      <c r="N6" s="822">
        <f t="shared" si="2"/>
        <v>0.83892721391764047</v>
      </c>
      <c r="O6" s="818" t="s">
        <v>6978</v>
      </c>
      <c r="P6" s="836">
        <v>2060</v>
      </c>
    </row>
    <row r="7" spans="1:16" ht="25">
      <c r="A7" s="791" t="str">
        <f t="shared" si="0"/>
        <v>TRA</v>
      </c>
      <c r="B7" s="791" t="str">
        <f>VLOOKUP(C7,CHOOSE({1,2},Planned_capex_starting_position!$BL$8:$BL$413,Planned_capex_starting_position!$AF$8:$AF$413),2,0)</f>
        <v>TRA A23</v>
      </c>
      <c r="C7" s="791" t="s">
        <v>6906</v>
      </c>
      <c r="D7" s="837" t="str">
        <f>IF($A7="TRA",VLOOKUP($C7,Planned_capex_starting_position!$BL$8:$BU$147,9,FALSE),"Not Transport")</f>
        <v>Collector</v>
      </c>
      <c r="E7" s="791" t="str">
        <f>IF(VLOOKUP(C7,CHOOSE({1,2},Planned_capex_starting_position!$BL$8:$BL$413,Planned_capex_starting_position!$E$8:$E$413),2,0)=0,"",VLOOKUP(C7,CHOOSE({1,2},Planned_capex_starting_position!$BL$8:$BL$413,Planned_capex_starting_position!$E$8:$E$413),2,0))</f>
        <v>14a TRA A23</v>
      </c>
      <c r="F7" s="811" t="str">
        <f>VLOOKUP(A7,Lists!H:I,2,FALSE)</f>
        <v>Transport</v>
      </c>
      <c r="G7" s="812" t="str">
        <f>VLOOKUP(B7,FA_Codes!D:G,4,FALSE)</f>
        <v>Drury East IPA</v>
      </c>
      <c r="H7" s="792" t="s">
        <v>6982</v>
      </c>
      <c r="I7" s="792" t="s">
        <v>6983</v>
      </c>
      <c r="J7" s="806">
        <f>SUMIFS(Sch_8_Planned!J$5:J$77,Sch_8_Planned!$A$5:$A$77,"TRA",Sch_8_Planned!$B$5:$B$77,$B7,Sch_8_Planned!$D$5:$D$77,$D7)</f>
        <v>7231748.2038296554</v>
      </c>
      <c r="K7" s="806">
        <f>SUMIFS(Sch_8_Planned!K$5:K$77,Sch_8_Planned!$A$5:$A$77,"TRA",Sch_8_Planned!$B$5:$B$77,$B7,Sch_8_Planned!$D$5:$D$77,$D7)</f>
        <v>6920221.9235583106</v>
      </c>
      <c r="L7" s="806">
        <f>SUMIFS(Sch_8_Planned!L$5:L$77,Sch_8_Planned!$A$5:$A$77,"TRA",Sch_8_Planned!$B$5:$B$77,$B7,Sch_8_Planned!$D$5:$D$77,$D7)</f>
        <v>311526.28027134482</v>
      </c>
      <c r="M7" s="815">
        <f t="shared" si="1"/>
        <v>0.9569224105305032</v>
      </c>
      <c r="N7" s="822">
        <f t="shared" si="2"/>
        <v>4.3077589469496802E-2</v>
      </c>
      <c r="O7" s="818" t="s">
        <v>6978</v>
      </c>
      <c r="P7" s="836">
        <v>2060</v>
      </c>
    </row>
    <row r="8" spans="1:16" ht="37.5">
      <c r="A8" s="791" t="str">
        <f t="shared" si="0"/>
        <v>TRA</v>
      </c>
      <c r="B8" s="791" t="str">
        <f>VLOOKUP(C8,CHOOSE({1,2},Planned_capex_starting_position!$BL$8:$BL$413,Planned_capex_starting_position!$AF$8:$AF$413),2,0)</f>
        <v>TRA A23</v>
      </c>
      <c r="C8" s="791" t="s">
        <v>6908</v>
      </c>
      <c r="D8" s="837" t="str">
        <f>IF($A8="TRA",VLOOKUP($C8,Planned_capex_starting_position!$BL$8:$BU$147,9,FALSE),"Not Transport")</f>
        <v>Arterial</v>
      </c>
      <c r="E8" s="791" t="str">
        <f>IF(VLOOKUP(C8,CHOOSE({1,2},Planned_capex_starting_position!$BL$8:$BL$413,Planned_capex_starting_position!$E$8:$E$413),2,0)=0,"",VLOOKUP(C8,CHOOSE({1,2},Planned_capex_starting_position!$BL$8:$BL$413,Planned_capex_starting_position!$E$8:$E$413),2,0))</f>
        <v>2a TRA A23</v>
      </c>
      <c r="F8" s="811" t="str">
        <f>VLOOKUP(A8,Lists!H:I,2,FALSE)</f>
        <v>Transport</v>
      </c>
      <c r="G8" s="812" t="str">
        <f>VLOOKUP(B8,FA_Codes!D:G,4,FALSE)</f>
        <v>Drury East IPA</v>
      </c>
      <c r="H8" s="792" t="s">
        <v>6984</v>
      </c>
      <c r="I8" s="792" t="s">
        <v>6985</v>
      </c>
      <c r="J8" s="806">
        <f>SUMIFS(Sch_8_Planned!J$5:J$77,Sch_8_Planned!$A$5:$A$77,"TRA",Sch_8_Planned!$B$5:$B$77,$B8,Sch_8_Planned!$D$5:$D$77,$D8)</f>
        <v>120806008.64813915</v>
      </c>
      <c r="K8" s="806">
        <f>SUMIFS(Sch_8_Planned!K$5:K$77,Sch_8_Planned!$A$5:$A$77,"TRA",Sch_8_Planned!$B$5:$B$77,$B8,Sch_8_Planned!$D$5:$D$77,$D8)</f>
        <v>56644968.731051587</v>
      </c>
      <c r="L8" s="806">
        <f>SUMIFS(Sch_8_Planned!L$5:L$77,Sch_8_Planned!$A$5:$A$77,"TRA",Sch_8_Planned!$B$5:$B$77,$B8,Sch_8_Planned!$D$5:$D$77,$D8)</f>
        <v>64161039.91708754</v>
      </c>
      <c r="M8" s="815">
        <f t="shared" si="1"/>
        <v>0.4688919811599464</v>
      </c>
      <c r="N8" s="822">
        <f t="shared" si="2"/>
        <v>0.53110801884005365</v>
      </c>
      <c r="O8" s="818" t="s">
        <v>6978</v>
      </c>
      <c r="P8" s="836">
        <v>2060</v>
      </c>
    </row>
    <row r="9" spans="1:16" ht="25">
      <c r="A9" s="791" t="str">
        <f t="shared" si="0"/>
        <v>TRA</v>
      </c>
      <c r="B9" s="791" t="str">
        <f>VLOOKUP(C9,CHOOSE({1,2},Planned_capex_starting_position!$BL$8:$BL$413,Planned_capex_starting_position!$AF$8:$AF$413),2,0)</f>
        <v>TRA A24</v>
      </c>
      <c r="C9" s="791" t="s">
        <v>6920</v>
      </c>
      <c r="D9" s="837" t="str">
        <f>IF($A9="TRA",VLOOKUP($C9,Planned_capex_starting_position!$BL$8:$BU$147,9,FALSE),"Not Transport")</f>
        <v>Collector</v>
      </c>
      <c r="E9" s="791" t="str">
        <f>IF(VLOOKUP(C9,CHOOSE({1,2},Planned_capex_starting_position!$BL$8:$BL$413,Planned_capex_starting_position!$E$8:$E$413),2,0)=0,"",VLOOKUP(C9,CHOOSE({1,2},Planned_capex_starting_position!$BL$8:$BL$413,Planned_capex_starting_position!$E$8:$E$413),2,0))</f>
        <v>14a TRA A24</v>
      </c>
      <c r="F9" s="811" t="str">
        <f>VLOOKUP(A9,Lists!H:I,2,FALSE)</f>
        <v>Transport</v>
      </c>
      <c r="G9" s="812" t="str">
        <f>VLOOKUP(B9,FA_Codes!D:G,4,FALSE)</f>
        <v>Drury West 1 IPA</v>
      </c>
      <c r="H9" s="792" t="s">
        <v>6982</v>
      </c>
      <c r="I9" s="792" t="s">
        <v>6983</v>
      </c>
      <c r="J9" s="806">
        <f>SUMIFS(Sch_8_Planned!J$5:J$77,Sch_8_Planned!$A$5:$A$77,"TRA",Sch_8_Planned!$B$5:$B$77,$B9,Sch_8_Planned!$D$5:$D$77,$D9)</f>
        <v>451984.26273935346</v>
      </c>
      <c r="K9" s="806">
        <f>SUMIFS(Sch_8_Planned!K$5:K$77,Sch_8_Planned!$A$5:$A$77,"TRA",Sch_8_Planned!$B$5:$B$77,$B9,Sch_8_Planned!$D$5:$D$77,$D9)</f>
        <v>414042.90056302329</v>
      </c>
      <c r="L9" s="806">
        <f>SUMIFS(Sch_8_Planned!L$5:L$77,Sch_8_Planned!$A$5:$A$77,"TRA",Sch_8_Planned!$B$5:$B$77,$B9,Sch_8_Planned!$D$5:$D$77,$D9)</f>
        <v>37941.362176330178</v>
      </c>
      <c r="M9" s="815">
        <f t="shared" si="1"/>
        <v>0.91605601056466457</v>
      </c>
      <c r="N9" s="822">
        <f t="shared" si="2"/>
        <v>8.3943989435335431E-2</v>
      </c>
      <c r="O9" s="818" t="s">
        <v>6978</v>
      </c>
      <c r="P9" s="836">
        <v>2060</v>
      </c>
    </row>
    <row r="10" spans="1:16" ht="37.5">
      <c r="A10" s="791" t="str">
        <f t="shared" si="0"/>
        <v>TRA</v>
      </c>
      <c r="B10" s="791" t="str">
        <f>VLOOKUP(C10,CHOOSE({1,2},Planned_capex_starting_position!$BL$8:$BL$413,Planned_capex_starting_position!$AF$8:$AF$413),2,0)</f>
        <v>TRA A24</v>
      </c>
      <c r="C10" s="791" t="s">
        <v>6926</v>
      </c>
      <c r="D10" s="837" t="str">
        <f>IF($A10="TRA",VLOOKUP($C10,Planned_capex_starting_position!$BL$8:$BU$147,9,FALSE),"Not Transport")</f>
        <v>Arterial</v>
      </c>
      <c r="E10" s="791" t="str">
        <f>IF(VLOOKUP(C10,CHOOSE({1,2},Planned_capex_starting_position!$BL$8:$BL$413,Planned_capex_starting_position!$E$8:$E$413),2,0)=0,"",VLOOKUP(C10,CHOOSE({1,2},Planned_capex_starting_position!$BL$8:$BL$413,Planned_capex_starting_position!$E$8:$E$413),2,0))</f>
        <v>36a TRA A24</v>
      </c>
      <c r="F10" s="811" t="str">
        <f>VLOOKUP(A10,Lists!H:I,2,FALSE)</f>
        <v>Transport</v>
      </c>
      <c r="G10" s="812" t="str">
        <f>VLOOKUP(B10,FA_Codes!D:G,4,FALSE)</f>
        <v>Drury West 1 IPA</v>
      </c>
      <c r="H10" s="792" t="s">
        <v>6984</v>
      </c>
      <c r="I10" s="792" t="s">
        <v>6985</v>
      </c>
      <c r="J10" s="806">
        <f>SUMIFS(Sch_8_Planned!J$5:J$77,Sch_8_Planned!$A$5:$A$77,"TRA",Sch_8_Planned!$B$5:$B$77,$B10,Sch_8_Planned!$D$5:$D$77,$D10)</f>
        <v>55236458.668295249</v>
      </c>
      <c r="K10" s="806">
        <f>SUMIFS(Sch_8_Planned!K$5:K$77,Sch_8_Planned!$A$5:$A$77,"TRA",Sch_8_Planned!$B$5:$B$77,$B10,Sch_8_Planned!$D$5:$D$77,$D10)</f>
        <v>24793848.083045278</v>
      </c>
      <c r="L10" s="806">
        <f>SUMIFS(Sch_8_Planned!L$5:L$77,Sch_8_Planned!$A$5:$A$77,"TRA",Sch_8_Planned!$B$5:$B$77,$B10,Sch_8_Planned!$D$5:$D$77,$D10)</f>
        <v>30442610.585249983</v>
      </c>
      <c r="M10" s="815">
        <f t="shared" si="1"/>
        <v>0.44886744517668559</v>
      </c>
      <c r="N10" s="822">
        <f t="shared" si="2"/>
        <v>0.55113255482331436</v>
      </c>
      <c r="O10" s="818" t="s">
        <v>6978</v>
      </c>
      <c r="P10" s="836">
        <v>2060</v>
      </c>
    </row>
    <row r="11" spans="1:16" ht="25">
      <c r="A11" s="791" t="str">
        <f t="shared" si="0"/>
        <v>TRA</v>
      </c>
      <c r="B11" s="791" t="str">
        <f>VLOOKUP(C11,CHOOSE({1,2},Planned_capex_starting_position!$BL$8:$BL$413,Planned_capex_starting_position!$AF$8:$AF$413),2,0)</f>
        <v>TRA A25</v>
      </c>
      <c r="C11" s="791" t="s">
        <v>6934</v>
      </c>
      <c r="D11" s="837" t="str">
        <f>IF($A11="TRA",VLOOKUP($C11,Planned_capex_starting_position!$BL$8:$BU$147,9,FALSE),"Not Transport")</f>
        <v>Collector</v>
      </c>
      <c r="E11" s="791" t="str">
        <f>IF(VLOOKUP(C11,CHOOSE({1,2},Planned_capex_starting_position!$BL$8:$BL$413,Planned_capex_starting_position!$E$8:$E$413),2,0)=0,"",VLOOKUP(C11,CHOOSE({1,2},Planned_capex_starting_position!$BL$8:$BL$413,Planned_capex_starting_position!$E$8:$E$413),2,0))</f>
        <v>14a TRA A25</v>
      </c>
      <c r="F11" s="811" t="str">
        <f>VLOOKUP(A11,Lists!H:I,2,FALSE)</f>
        <v>Transport</v>
      </c>
      <c r="G11" s="812" t="str">
        <f>VLOOKUP(B11,FA_Codes!D:G,4,FALSE)</f>
        <v>Drury West 2 IPA</v>
      </c>
      <c r="H11" s="792" t="s">
        <v>6982</v>
      </c>
      <c r="I11" s="792" t="s">
        <v>6983</v>
      </c>
      <c r="J11" s="806">
        <f>SUMIFS(Sch_8_Planned!J$5:J$77,Sch_8_Planned!$A$5:$A$77,"TRA",Sch_8_Planned!$B$5:$B$77,$B11,Sch_8_Planned!$D$5:$D$77,$D11)</f>
        <v>1129960.6568483836</v>
      </c>
      <c r="K11" s="806">
        <f>SUMIFS(Sch_8_Planned!K$5:K$77,Sch_8_Planned!$A$5:$A$77,"TRA",Sch_8_Planned!$B$5:$B$77,$B11,Sch_8_Planned!$D$5:$D$77,$D11)</f>
        <v>1057536.0351293152</v>
      </c>
      <c r="L11" s="806">
        <f>SUMIFS(Sch_8_Planned!L$5:L$77,Sch_8_Planned!$A$5:$A$77,"TRA",Sch_8_Planned!$B$5:$B$77,$B11,Sch_8_Planned!$D$5:$D$77,$D11)</f>
        <v>72424.621719068382</v>
      </c>
      <c r="M11" s="815">
        <f t="shared" si="1"/>
        <v>0.935905182821966</v>
      </c>
      <c r="N11" s="822">
        <f t="shared" si="2"/>
        <v>6.4094817178034003E-2</v>
      </c>
      <c r="O11" s="818" t="s">
        <v>6978</v>
      </c>
      <c r="P11" s="836">
        <v>2060</v>
      </c>
    </row>
    <row r="12" spans="1:16" ht="37.5">
      <c r="A12" s="791" t="str">
        <f t="shared" si="0"/>
        <v>TRA</v>
      </c>
      <c r="B12" s="791" t="str">
        <f>VLOOKUP(C12,CHOOSE({1,2},Planned_capex_starting_position!$BL$8:$BL$413,Planned_capex_starting_position!$AF$8:$AF$413),2,0)</f>
        <v>TRA A25</v>
      </c>
      <c r="C12" s="791" t="s">
        <v>6939</v>
      </c>
      <c r="D12" s="837" t="str">
        <f>IF($A12="TRA",VLOOKUP($C12,Planned_capex_starting_position!$BL$8:$BU$147,9,FALSE),"Not Transport")</f>
        <v>Arterial</v>
      </c>
      <c r="E12" s="791" t="str">
        <f>IF(VLOOKUP(C12,CHOOSE({1,2},Planned_capex_starting_position!$BL$8:$BL$413,Planned_capex_starting_position!$E$8:$E$413),2,0)=0,"",VLOOKUP(C12,CHOOSE({1,2},Planned_capex_starting_position!$BL$8:$BL$413,Planned_capex_starting_position!$E$8:$E$413),2,0))</f>
        <v>36a TRA A25</v>
      </c>
      <c r="F12" s="811" t="str">
        <f>VLOOKUP(A12,Lists!H:I,2,FALSE)</f>
        <v>Transport</v>
      </c>
      <c r="G12" s="812" t="str">
        <f>VLOOKUP(B12,FA_Codes!D:G,4,FALSE)</f>
        <v>Drury West 2 IPA</v>
      </c>
      <c r="H12" s="792" t="s">
        <v>6984</v>
      </c>
      <c r="I12" s="792" t="s">
        <v>6985</v>
      </c>
      <c r="J12" s="806">
        <f>SUMIFS(Sch_8_Planned!J$5:J$77,Sch_8_Planned!$A$5:$A$77,"TRA",Sch_8_Planned!$B$5:$B$77,$B12,Sch_8_Planned!$D$5:$D$77,$D12)</f>
        <v>14790511.18308172</v>
      </c>
      <c r="K12" s="806">
        <f>SUMIFS(Sch_8_Planned!K$5:K$77,Sch_8_Planned!$A$5:$A$77,"TRA",Sch_8_Planned!$B$5:$B$77,$B12,Sch_8_Planned!$D$5:$D$77,$D12)</f>
        <v>6782832.8756878907</v>
      </c>
      <c r="L12" s="806">
        <f>SUMIFS(Sch_8_Planned!L$5:L$77,Sch_8_Planned!$A$5:$A$77,"TRA",Sch_8_Planned!$B$5:$B$77,$B12,Sch_8_Planned!$D$5:$D$77,$D12)</f>
        <v>8007678.3073938303</v>
      </c>
      <c r="M12" s="815">
        <f t="shared" si="1"/>
        <v>0.45859353958276333</v>
      </c>
      <c r="N12" s="822">
        <f t="shared" si="2"/>
        <v>0.54140646041723661</v>
      </c>
      <c r="O12" s="818" t="s">
        <v>6978</v>
      </c>
      <c r="P12" s="836">
        <v>2060</v>
      </c>
    </row>
    <row r="13" spans="1:16" ht="37.5">
      <c r="A13" s="791" t="str">
        <f t="shared" si="0"/>
        <v>TRA</v>
      </c>
      <c r="B13" s="791" t="str">
        <f>VLOOKUP(C13,CHOOSE({1,2},Planned_capex_starting_position!$BL$8:$BL$413,Planned_capex_starting_position!$AF$8:$AF$413),2,0)</f>
        <v>TRA A26</v>
      </c>
      <c r="C13" s="791" t="s">
        <v>6955</v>
      </c>
      <c r="D13" s="837" t="str">
        <f>IF($A13="TRA",VLOOKUP($C13,Planned_capex_starting_position!$BL$8:$BU$147,9,FALSE),"Not Transport")</f>
        <v>Arterial</v>
      </c>
      <c r="E13" s="791" t="str">
        <f>IF(VLOOKUP(C13,CHOOSE({1,2},Planned_capex_starting_position!$BL$8:$BL$413,Planned_capex_starting_position!$E$8:$E$413),2,0)=0,"",VLOOKUP(C13,CHOOSE({1,2},Planned_capex_starting_position!$BL$8:$BL$413,Planned_capex_starting_position!$E$8:$E$413),2,0))</f>
        <v>36a TRA A26</v>
      </c>
      <c r="F13" s="811" t="str">
        <f>VLOOKUP(A13,Lists!H:I,2,FALSE)</f>
        <v>Transport</v>
      </c>
      <c r="G13" s="812" t="str">
        <f>VLOOKUP(B13,FA_Codes!D:G,4,FALSE)</f>
        <v>Opaheke IPA</v>
      </c>
      <c r="H13" s="792" t="s">
        <v>6984</v>
      </c>
      <c r="I13" s="792" t="s">
        <v>6985</v>
      </c>
      <c r="J13" s="806">
        <f>SUMIFS(Sch_8_Planned!J$5:J$77,Sch_8_Planned!$A$5:$A$77,"TRA",Sch_8_Planned!$B$5:$B$77,$B13,Sch_8_Planned!$D$5:$D$77,$D13)</f>
        <v>26910643.031015974</v>
      </c>
      <c r="K13" s="806">
        <f>SUMIFS(Sch_8_Planned!K$5:K$77,Sch_8_Planned!$A$5:$A$77,"TRA",Sch_8_Planned!$B$5:$B$77,$B13,Sch_8_Planned!$D$5:$D$77,$D13)</f>
        <v>9979341.9738183524</v>
      </c>
      <c r="L13" s="806">
        <f>SUMIFS(Sch_8_Planned!L$5:L$77,Sch_8_Planned!$A$5:$A$77,"TRA",Sch_8_Planned!$B$5:$B$77,$B13,Sch_8_Planned!$D$5:$D$77,$D13)</f>
        <v>16931301.057197619</v>
      </c>
      <c r="M13" s="815">
        <f t="shared" si="1"/>
        <v>0.37083253500544822</v>
      </c>
      <c r="N13" s="822">
        <f t="shared" si="2"/>
        <v>0.62916746499455178</v>
      </c>
      <c r="O13" s="818" t="s">
        <v>6978</v>
      </c>
      <c r="P13" s="836">
        <v>2060</v>
      </c>
    </row>
    <row r="14" spans="1:16" ht="37.5">
      <c r="A14" s="791" t="str">
        <f t="shared" si="0"/>
        <v>TRA</v>
      </c>
      <c r="B14" s="791" t="str">
        <f>VLOOKUP(C14,CHOOSE({1,2},Planned_capex_starting_position!$BL$8:$BL$413,Planned_capex_starting_position!$AF$8:$AF$413),2,0)</f>
        <v>TRA A28</v>
      </c>
      <c r="C14" s="791" t="s">
        <v>6962</v>
      </c>
      <c r="D14" s="837" t="str">
        <f>IF($A14="TRA",VLOOKUP($C14,Planned_capex_starting_position!$BL$8:$BU$147,9,FALSE),"Not Transport")</f>
        <v>Arterial</v>
      </c>
      <c r="E14" s="791" t="str">
        <f>IF(VLOOKUP(C14,CHOOSE({1,2},Planned_capex_starting_position!$BL$8:$BL$413,Planned_capex_starting_position!$E$8:$E$413),2,0)=0,"",VLOOKUP(C14,CHOOSE({1,2},Planned_capex_starting_position!$BL$8:$BL$413,Planned_capex_starting_position!$E$8:$E$413),2,0))</f>
        <v>67 TRA A29</v>
      </c>
      <c r="F14" s="811" t="str">
        <f>VLOOKUP(A14,Lists!H:I,2,FALSE)</f>
        <v>Transport</v>
      </c>
      <c r="G14" s="812" t="str">
        <f>VLOOKUP(B14,FA_Codes!D:G,4,FALSE)</f>
        <v>Southern Growth Area 2</v>
      </c>
      <c r="H14" s="792" t="s">
        <v>6984</v>
      </c>
      <c r="I14" s="792" t="s">
        <v>6985</v>
      </c>
      <c r="J14" s="806">
        <f>SUMIFS(Sch_8_Planned!J$5:J$77,Sch_8_Planned!$A$5:$A$77,"TRA",Sch_8_Planned!$B$5:$B$77,$B14,Sch_8_Planned!$D$5:$D$77,$D14)</f>
        <v>11187635.68379768</v>
      </c>
      <c r="K14" s="806">
        <f>SUMIFS(Sch_8_Planned!K$5:K$77,Sch_8_Planned!$A$5:$A$77,"TRA",Sch_8_Planned!$B$5:$B$77,$B14,Sch_8_Planned!$D$5:$D$77,$D14)</f>
        <v>3346581.8096921192</v>
      </c>
      <c r="L14" s="806">
        <f>SUMIFS(Sch_8_Planned!L$5:L$77,Sch_8_Planned!$A$5:$A$77,"TRA",Sch_8_Planned!$B$5:$B$77,$B14,Sch_8_Planned!$D$5:$D$77,$D14)</f>
        <v>7841053.8741055606</v>
      </c>
      <c r="M14" s="815">
        <f t="shared" si="1"/>
        <v>0.2991321762951894</v>
      </c>
      <c r="N14" s="822">
        <f t="shared" si="2"/>
        <v>0.7008678237048106</v>
      </c>
      <c r="O14" s="818" t="s">
        <v>6978</v>
      </c>
      <c r="P14" s="836">
        <v>2060</v>
      </c>
    </row>
    <row r="15" spans="1:16" ht="37.5">
      <c r="A15" s="791" t="str">
        <f t="shared" ref="A15:A17" si="3">TRIM(LEFT(B15, 3))</f>
        <v>TRA</v>
      </c>
      <c r="B15" s="791" t="str">
        <f>VLOOKUP(C15,CHOOSE({1,2},Planned_capex_starting_position!$BL$8:$BL$413,Planned_capex_starting_position!$AF$8:$AF$413),2,0)</f>
        <v>TRA A29</v>
      </c>
      <c r="C15" s="791" t="s">
        <v>6969</v>
      </c>
      <c r="D15" s="837" t="str">
        <f>IF($A15="TRA",VLOOKUP($C15,Planned_capex_starting_position!$BL$8:$BU$147,9,FALSE),"Not Transport")</f>
        <v>Arterial</v>
      </c>
      <c r="E15" s="791" t="str">
        <f>IF(VLOOKUP(C15,CHOOSE({1,2},Planned_capex_starting_position!$BL$8:$BL$413,Planned_capex_starting_position!$E$8:$E$413),2,0)=0,"",VLOOKUP(C15,CHOOSE({1,2},Planned_capex_starting_position!$BL$8:$BL$413,Planned_capex_starting_position!$E$8:$E$413),2,0))</f>
        <v>23d TRA A28</v>
      </c>
      <c r="F15" s="811" t="str">
        <f>VLOOKUP(A15,Lists!H:I,2,FALSE)</f>
        <v>Transport</v>
      </c>
      <c r="G15" s="812" t="str">
        <f>VLOOKUP(B15,FA_Codes!D:G,4,FALSE)</f>
        <v>Southern Growth Area 1</v>
      </c>
      <c r="H15" s="792" t="s">
        <v>6984</v>
      </c>
      <c r="I15" s="792" t="s">
        <v>6985</v>
      </c>
      <c r="J15" s="806">
        <f>SUMIFS(Sch_8_Planned!J$5:J$77,Sch_8_Planned!$A$5:$A$77,"TRA",Sch_8_Planned!$B$5:$B$77,$B15,Sch_8_Planned!$D$5:$D$77,$D15)</f>
        <v>6270729.423157217</v>
      </c>
      <c r="K15" s="806">
        <f>SUMIFS(Sch_8_Planned!K$5:K$77,Sch_8_Planned!$A$5:$A$77,"TRA",Sch_8_Planned!$B$5:$B$77,$B15,Sch_8_Planned!$D$5:$D$77,$D15)</f>
        <v>1116890.334872555</v>
      </c>
      <c r="L15" s="806">
        <f>SUMIFS(Sch_8_Planned!L$5:L$77,Sch_8_Planned!$A$5:$A$77,"TRA",Sch_8_Planned!$B$5:$B$77,$B15,Sch_8_Planned!$D$5:$D$77,$D15)</f>
        <v>5153839.0882846629</v>
      </c>
      <c r="M15" s="815">
        <f t="shared" ref="M15:M17" si="4">IFERROR(K15/J15,0)</f>
        <v>0.17811170910165308</v>
      </c>
      <c r="N15" s="822">
        <f t="shared" ref="N15:N17" si="5">1-M15</f>
        <v>0.82188829089834692</v>
      </c>
      <c r="O15" s="818" t="s">
        <v>6978</v>
      </c>
      <c r="P15" s="836">
        <v>2060</v>
      </c>
    </row>
    <row r="16" spans="1:16" ht="37.5">
      <c r="A16" s="791" t="str">
        <f t="shared" si="3"/>
        <v>TRA</v>
      </c>
      <c r="B16" s="791" t="str">
        <f>VLOOKUP(C16,CHOOSE({1,2},Planned_capex_starting_position!$BL$8:$BL$413,Planned_capex_starting_position!$AF$8:$AF$413),2,0)</f>
        <v>TRA A27</v>
      </c>
      <c r="C16" s="791" t="s">
        <v>6956</v>
      </c>
      <c r="D16" s="837" t="str">
        <f>IF($A16="TRA",VLOOKUP($C16,Planned_capex_starting_position!$BL$8:$BU$147,9,FALSE),"Not Transport")</f>
        <v>Arterial</v>
      </c>
      <c r="E16" s="791" t="str">
        <f>IF(VLOOKUP(C16,CHOOSE({1,2},Planned_capex_starting_position!$BL$8:$BL$413,Planned_capex_starting_position!$E$8:$E$413),2,0)=0,"",VLOOKUP(C16,CHOOSE({1,2},Planned_capex_starting_position!$BL$8:$BL$413,Planned_capex_starting_position!$E$8:$E$413),2,0))</f>
        <v>70 TRA A27</v>
      </c>
      <c r="F16" s="811" t="str">
        <f>VLOOKUP(A16,Lists!H:I,2,FALSE)</f>
        <v>Transport</v>
      </c>
      <c r="G16" s="812" t="str">
        <f>VLOOKUP(B16,FA_Codes!D:G,4,FALSE)</f>
        <v>Southern Growth Area 3</v>
      </c>
      <c r="H16" s="792" t="s">
        <v>6984</v>
      </c>
      <c r="I16" s="792" t="s">
        <v>6985</v>
      </c>
      <c r="J16" s="806">
        <f>SUMIFS(Sch_8_Planned!J$5:J$77,Sch_8_Planned!$A$5:$A$77,"TRA",Sch_8_Planned!$B$5:$B$77,$B16,Sch_8_Planned!$D$5:$D$77,$D16)</f>
        <v>175500.20565357927</v>
      </c>
      <c r="K16" s="806">
        <f>SUMIFS(Sch_8_Planned!K$5:K$77,Sch_8_Planned!$A$5:$A$77,"TRA",Sch_8_Planned!$B$5:$B$77,$B16,Sch_8_Planned!$D$5:$D$77,$D16)</f>
        <v>71738.314325117768</v>
      </c>
      <c r="L16" s="806">
        <f>SUMIFS(Sch_8_Planned!L$5:L$77,Sch_8_Planned!$A$5:$A$77,"TRA",Sch_8_Planned!$B$5:$B$77,$B16,Sch_8_Planned!$D$5:$D$77,$D16)</f>
        <v>103761.8913284615</v>
      </c>
      <c r="M16" s="815">
        <f t="shared" si="4"/>
        <v>0.40876484479295933</v>
      </c>
      <c r="N16" s="822">
        <f t="shared" si="5"/>
        <v>0.59123515520704073</v>
      </c>
      <c r="O16" s="818" t="s">
        <v>6978</v>
      </c>
      <c r="P16" s="836">
        <v>2060</v>
      </c>
    </row>
    <row r="17" spans="1:16" ht="25.5" thickBot="1">
      <c r="A17" s="791" t="str">
        <f t="shared" si="3"/>
        <v>OSL</v>
      </c>
      <c r="B17" s="791" t="str">
        <f>VLOOKUP(C17,CHOOSE({1,2},Planned_capex_starting_position!$BL$8:$BL$413,Planned_capex_starting_position!$AF$8:$AF$413),2,0)</f>
        <v>OSL A28</v>
      </c>
      <c r="C17" s="791" t="s">
        <v>6989</v>
      </c>
      <c r="D17" s="837" t="str">
        <f>IF($A17="TRA",VLOOKUP($C17,Planned_capex_starting_position!$BL$8:$BU$147,9,FALSE),"Not Transport")</f>
        <v>Not Transport</v>
      </c>
      <c r="E17" s="791" t="str">
        <f>IF(VLOOKUP(C17,CHOOSE({1,2},Planned_capex_starting_position!$BL$8:$BL$413,Planned_capex_starting_position!$E$8:$E$413),2,0)=0,"",VLOOKUP(C17,CHOOSE({1,2},Planned_capex_starting_position!$BL$8:$BL$413,Planned_capex_starting_position!$E$8:$E$413),2,0))</f>
        <v/>
      </c>
      <c r="F17" s="906" t="str">
        <f>VLOOKUP(A17,Lists!H:I,2,FALSE)</f>
        <v>Reserve acquistion</v>
      </c>
      <c r="G17" s="907" t="str">
        <f>VLOOKUP(B17,FA_Codes!D:G,4,FALSE)</f>
        <v>Drury IPA</v>
      </c>
      <c r="H17" s="908" t="str">
        <f>VLOOKUP(C17,CHOOSE({1,2},Planned_capex_starting_position!$BL$8:$BL$413,Planned_capex_starting_position!$F$8:$F$413),2,0)</f>
        <v>Acquisition of neighbourhood, suburb, and civic parks for Drury</v>
      </c>
      <c r="I17" s="908" t="str">
        <f>VLOOKUP(C17,CHOOSE({1,2},Planned_capex_starting_position!$BL$8:$BL$413,Planned_capex_starting_position!$G$8:$G$413),2,0)</f>
        <v>Acquisition of land for civic space to support new growth in accordance with the Open Space Provision Policy</v>
      </c>
      <c r="J17" s="909">
        <f>SUMIFS(Planned_capex_starting_position!$AC$8:$AC$413,Planned_capex_starting_position!$AC$8:$AC$413,"&gt;0",Planned_capex_starting_position!$BL$8:$BL$413,C17)</f>
        <v>126593599.99999999</v>
      </c>
      <c r="K17" s="909">
        <f>SUMIF(Planned_capex_starting_position!$BL$8:$BL$413,C17,Planned_capex_starting_position!$AV$8:$AV$413)+SUMIF(Planned_capex_starting_position!$BL$8:$BL$413,C17,Planned_capex_starting_position!$BJ$8:$BJ$413)</f>
        <v>122351276.05532247</v>
      </c>
      <c r="L17" s="909">
        <f t="shared" ref="L17" si="6">J17-K17</f>
        <v>4242323.9446775168</v>
      </c>
      <c r="M17" s="910">
        <f t="shared" si="4"/>
        <v>0.96648863809325658</v>
      </c>
      <c r="N17" s="911">
        <f t="shared" si="5"/>
        <v>3.351136190674342E-2</v>
      </c>
      <c r="O17" s="912" t="s">
        <v>6978</v>
      </c>
      <c r="P17" s="913">
        <v>2060</v>
      </c>
    </row>
    <row r="18" spans="1:16" ht="13.5" thickBot="1">
      <c r="J18" s="819">
        <f>SUBTOTAL(9,J5:J17)</f>
        <v>372945737.23118097</v>
      </c>
      <c r="K18" s="820">
        <f>SUBTOTAL(9,K5:K17)</f>
        <v>233865237.38905627</v>
      </c>
      <c r="L18" s="821">
        <f>SUBTOTAL(9,L5:L17)</f>
        <v>139080499.8421247</v>
      </c>
    </row>
    <row r="19" spans="1:16">
      <c r="J19" s="810">
        <f>+J18-Sch_8_Planned!J78</f>
        <v>0</v>
      </c>
      <c r="K19" s="810">
        <f>+K18-Sch_8_Planned!K78</f>
        <v>0</v>
      </c>
      <c r="L19" s="810">
        <f>+L18-Sch_8_Planned!L78</f>
        <v>0</v>
      </c>
    </row>
    <row r="21" spans="1:16">
      <c r="I21" s="762" t="s">
        <v>2800</v>
      </c>
      <c r="J21" s="816">
        <f t="shared" ref="J21:J28" si="7">SUMIF($B$5:$B$17,$I21,J$5:J$17)</f>
        <v>128037756.85196881</v>
      </c>
    </row>
    <row r="22" spans="1:16">
      <c r="I22" s="762" t="s">
        <v>2801</v>
      </c>
      <c r="J22" s="816">
        <f t="shared" si="7"/>
        <v>55688442.931034602</v>
      </c>
    </row>
    <row r="23" spans="1:16">
      <c r="I23" s="762" t="s">
        <v>2802</v>
      </c>
      <c r="J23" s="816">
        <f t="shared" si="7"/>
        <v>15920471.839930104</v>
      </c>
    </row>
    <row r="24" spans="1:16">
      <c r="I24" s="762" t="s">
        <v>2803</v>
      </c>
      <c r="J24" s="816">
        <f t="shared" si="7"/>
        <v>26910643.031015974</v>
      </c>
    </row>
    <row r="25" spans="1:16">
      <c r="I25" s="762" t="s">
        <v>2804</v>
      </c>
      <c r="J25" s="816">
        <f t="shared" si="7"/>
        <v>175500.20565357927</v>
      </c>
    </row>
    <row r="26" spans="1:16">
      <c r="I26" s="762" t="s">
        <v>2805</v>
      </c>
      <c r="J26" s="816">
        <f t="shared" si="7"/>
        <v>11187635.68379768</v>
      </c>
    </row>
    <row r="27" spans="1:16">
      <c r="I27" s="762" t="s">
        <v>2806</v>
      </c>
      <c r="J27" s="816">
        <f t="shared" si="7"/>
        <v>6270729.423157217</v>
      </c>
    </row>
    <row r="28" spans="1:16">
      <c r="I28" s="762" t="s">
        <v>2778</v>
      </c>
      <c r="J28" s="816">
        <f t="shared" si="7"/>
        <v>2160957.2646230268</v>
      </c>
    </row>
    <row r="29" spans="1:16" ht="13.5" thickBot="1">
      <c r="J29" s="817">
        <f>SUM(J21:J28)</f>
        <v>246352137.231181</v>
      </c>
    </row>
  </sheetData>
  <autoFilter ref="A4:Q19" xr:uid="{41D71B3A-F213-4297-A810-2F65A0DC4913}"/>
  <mergeCells count="1">
    <mergeCell ref="A3:E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2060"/>
  </sheetPr>
  <dimension ref="A1:CK1307"/>
  <sheetViews>
    <sheetView zoomScale="90" zoomScaleNormal="90" workbookViewId="0">
      <pane xSplit="8" ySplit="13" topLeftCell="BX830" activePane="bottomRight" state="frozen"/>
      <selection pane="topRight" activeCell="I1" sqref="I1"/>
      <selection pane="bottomLeft" activeCell="A14" sqref="A14"/>
      <selection pane="bottomRight" activeCell="CA14" sqref="CA14:CA845"/>
    </sheetView>
  </sheetViews>
  <sheetFormatPr defaultColWidth="9.453125" defaultRowHeight="12"/>
  <cols>
    <col min="1" max="1" width="35.453125" style="6" customWidth="1"/>
    <col min="2" max="2" width="14.453125" style="6" customWidth="1"/>
    <col min="3" max="3" width="12.54296875" style="6" customWidth="1"/>
    <col min="4" max="4" width="9.54296875" style="6" customWidth="1"/>
    <col min="5" max="6" width="8.54296875" style="284" customWidth="1"/>
    <col min="7" max="7" width="55.54296875" style="6" customWidth="1"/>
    <col min="8" max="8" width="49.453125" style="357" customWidth="1"/>
    <col min="9" max="9" width="20.54296875" style="6" customWidth="1"/>
    <col min="10" max="11" width="15.54296875" style="1" customWidth="1"/>
    <col min="12" max="20" width="15.54296875" style="6" customWidth="1"/>
    <col min="21" max="21" width="20.54296875" style="6" customWidth="1"/>
    <col min="22" max="24" width="10" style="6" customWidth="1"/>
    <col min="25" max="25" width="17.453125" style="6" customWidth="1"/>
    <col min="26" max="26" width="15.54296875" style="6" customWidth="1"/>
    <col min="27" max="27" width="16.453125" style="140" customWidth="1"/>
    <col min="28" max="29" width="7.54296875" style="140" customWidth="1"/>
    <col min="30" max="30" width="10.54296875" style="140" customWidth="1"/>
    <col min="31" max="33" width="7.54296875" style="140" customWidth="1"/>
    <col min="34" max="34" width="10.453125" style="140" customWidth="1"/>
    <col min="35" max="35" width="10.453125" style="141" customWidth="1"/>
    <col min="36" max="36" width="9.453125" style="6" customWidth="1"/>
    <col min="37" max="37" width="7.54296875" style="6" customWidth="1"/>
    <col min="38" max="40" width="16.453125" style="6" customWidth="1"/>
    <col min="41" max="41" width="12" style="6" customWidth="1"/>
    <col min="42" max="42" width="15.54296875" style="6" customWidth="1"/>
    <col min="43" max="43" width="2.54296875" style="6" customWidth="1"/>
    <col min="44" max="53" width="13.54296875" style="6" customWidth="1"/>
    <col min="54" max="54" width="4.453125" style="6" customWidth="1"/>
    <col min="55" max="64" width="13.54296875" style="6" customWidth="1"/>
    <col min="65" max="65" width="4.453125" style="6" customWidth="1"/>
    <col min="66" max="66" width="16.54296875" style="6" customWidth="1"/>
    <col min="67" max="67" width="14.453125" style="6" customWidth="1"/>
    <col min="68" max="68" width="12.453125" style="6" customWidth="1"/>
    <col min="69" max="69" width="9.54296875" style="6" customWidth="1"/>
    <col min="70" max="71" width="14.54296875" style="6" customWidth="1"/>
    <col min="72" max="72" width="12" style="6" customWidth="1"/>
    <col min="73" max="73" width="12.54296875" style="6" customWidth="1"/>
    <col min="74" max="74" width="12.453125" style="6" customWidth="1"/>
    <col min="75" max="75" width="12.54296875" style="6" customWidth="1"/>
    <col min="76" max="76" width="11" style="6" customWidth="1"/>
    <col min="77" max="77" width="59.453125" style="627" customWidth="1"/>
    <col min="78" max="79" width="11" style="6" customWidth="1"/>
    <col min="80" max="80" width="11.54296875" style="6" customWidth="1"/>
    <col min="81" max="81" width="11" style="6" customWidth="1"/>
    <col min="82" max="82" width="12.54296875" style="6" customWidth="1"/>
    <col min="83" max="89" width="9.54296875" style="6" customWidth="1"/>
    <col min="90" max="91" width="10" style="6" customWidth="1"/>
    <col min="92" max="92" width="9.54296875" style="6" bestFit="1" customWidth="1"/>
    <col min="93" max="93" width="10.54296875" style="6" bestFit="1" customWidth="1"/>
    <col min="94" max="16384" width="9.453125" style="6"/>
  </cols>
  <sheetData>
    <row r="1" spans="1:89">
      <c r="B1" s="21"/>
      <c r="C1" s="21"/>
      <c r="D1" s="21"/>
      <c r="E1" s="282"/>
      <c r="F1" s="282"/>
      <c r="G1" s="19">
        <f>SUBTOTAL(9,$K$14:$T$831)</f>
        <v>24803219432.622799</v>
      </c>
      <c r="H1" s="352"/>
      <c r="I1" s="19">
        <f>SUBTOTAL(9,$K$14:$T$831)</f>
        <v>24803219432.622799</v>
      </c>
      <c r="J1" s="21"/>
      <c r="K1" s="21"/>
      <c r="L1" s="21"/>
      <c r="M1" s="21"/>
      <c r="N1" s="21"/>
      <c r="O1" s="21"/>
      <c r="P1" s="21"/>
      <c r="Q1" s="18"/>
      <c r="R1" s="18"/>
      <c r="S1" s="18"/>
      <c r="T1" s="18"/>
      <c r="U1" s="18"/>
      <c r="V1" s="21"/>
      <c r="W1" s="126"/>
      <c r="X1" s="126"/>
      <c r="Y1" s="127"/>
      <c r="Z1" s="127"/>
      <c r="AA1" s="126"/>
      <c r="AB1" s="126"/>
      <c r="AC1" s="128"/>
      <c r="AD1" s="126"/>
      <c r="AE1" s="126"/>
      <c r="AF1" s="126"/>
      <c r="AG1" s="21"/>
      <c r="AH1" s="21"/>
      <c r="AI1" s="21"/>
      <c r="AJ1" s="21"/>
      <c r="AK1" s="21"/>
      <c r="AL1" s="21" t="s">
        <v>2221</v>
      </c>
      <c r="AM1" s="19">
        <f>BN1</f>
        <v>34367949.434799999</v>
      </c>
      <c r="AN1" s="19">
        <f>BO1</f>
        <v>0</v>
      </c>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f>SUBTOTAL(9,BN14:BN112)</f>
        <v>34367949.434799999</v>
      </c>
      <c r="BO1" s="21">
        <f>SUBTOTAL(9,BO14:BO112)</f>
        <v>0</v>
      </c>
      <c r="BP1" s="21"/>
      <c r="BQ1" s="21"/>
      <c r="BR1" s="21"/>
      <c r="BS1" s="145"/>
      <c r="BT1" s="145"/>
      <c r="BU1" s="145"/>
      <c r="BV1" s="145"/>
      <c r="BW1" s="145"/>
      <c r="BX1" s="145"/>
    </row>
    <row r="2" spans="1:89">
      <c r="B2" s="21"/>
      <c r="C2" s="21"/>
      <c r="D2" s="21"/>
      <c r="E2" s="282"/>
      <c r="F2" s="282"/>
      <c r="G2" s="19">
        <f>SUM(AA14:AA831)</f>
        <v>20922478523.640545</v>
      </c>
      <c r="H2" s="352"/>
      <c r="I2" s="19">
        <f>SUM(U14:U831)</f>
        <v>24802814515.972748</v>
      </c>
      <c r="J2" s="21"/>
      <c r="K2" s="21"/>
      <c r="L2" s="21"/>
      <c r="M2" s="21"/>
      <c r="N2" s="21"/>
      <c r="O2" s="21"/>
      <c r="P2" s="21"/>
      <c r="Q2" s="21"/>
      <c r="R2" s="21"/>
      <c r="S2" s="21"/>
      <c r="T2" s="21"/>
      <c r="U2" s="21"/>
      <c r="V2" s="21"/>
      <c r="W2" s="126"/>
      <c r="X2" s="126"/>
      <c r="Y2" s="126"/>
      <c r="Z2" s="128" t="s">
        <v>2219</v>
      </c>
      <c r="AA2" s="126"/>
      <c r="AB2" s="126"/>
      <c r="AC2" s="128"/>
      <c r="AD2" s="126"/>
      <c r="AE2" s="126"/>
      <c r="AF2" s="126"/>
      <c r="AG2" s="21"/>
      <c r="AH2" s="21"/>
      <c r="AI2" s="21"/>
      <c r="AJ2" s="21"/>
      <c r="AK2" s="21"/>
      <c r="AL2" s="21" t="s">
        <v>2220</v>
      </c>
      <c r="AM2" s="19">
        <f>SUBTOTAL(9,AM14:AM112)</f>
        <v>34367949.434799999</v>
      </c>
      <c r="AN2" s="19">
        <f>SUBTOTAL(9,AN14:AN112)</f>
        <v>0</v>
      </c>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145"/>
      <c r="BT2" s="145"/>
      <c r="BU2" s="145"/>
      <c r="BV2" s="145"/>
      <c r="BW2" s="145"/>
      <c r="BX2" s="145"/>
    </row>
    <row r="3" spans="1:89">
      <c r="B3" s="21"/>
      <c r="C3" s="21"/>
      <c r="D3" s="21"/>
      <c r="E3" s="282"/>
      <c r="F3" s="282"/>
      <c r="G3" s="43">
        <f>G2-G1</f>
        <v>-3880740908.982254</v>
      </c>
      <c r="H3" s="353"/>
      <c r="I3" s="43">
        <f>I2-I1</f>
        <v>-404916.65005111694</v>
      </c>
      <c r="J3" s="21"/>
      <c r="K3" s="21"/>
      <c r="L3" s="21"/>
      <c r="M3" s="21"/>
      <c r="N3" s="21"/>
      <c r="O3" s="21"/>
      <c r="P3" s="21"/>
      <c r="Q3" s="21"/>
      <c r="R3" s="21"/>
      <c r="S3" s="21"/>
      <c r="T3" s="21"/>
      <c r="U3" s="21"/>
      <c r="V3" s="15"/>
      <c r="W3" s="129"/>
      <c r="X3" s="129"/>
      <c r="Y3" s="130"/>
      <c r="Z3" s="131">
        <f>SUM(Z12:Z848)</f>
        <v>0</v>
      </c>
      <c r="AA3" s="130"/>
      <c r="AB3" s="129"/>
      <c r="AC3" s="132"/>
      <c r="AD3" s="129"/>
      <c r="AE3" s="129"/>
      <c r="AF3" s="129"/>
      <c r="AG3" s="14"/>
      <c r="AH3" s="14"/>
      <c r="AI3" s="14"/>
      <c r="AJ3" s="14"/>
      <c r="AK3" s="13"/>
      <c r="AL3" s="14"/>
      <c r="AM3" s="43">
        <f>AM2-AM1</f>
        <v>0</v>
      </c>
      <c r="AN3" s="45">
        <f>AN2-AN1</f>
        <v>0</v>
      </c>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145"/>
      <c r="BT3" s="145"/>
      <c r="BU3" s="145"/>
      <c r="BV3" s="145"/>
      <c r="BW3" s="145"/>
      <c r="BX3" s="145"/>
    </row>
    <row r="4" spans="1:89">
      <c r="B4" s="21"/>
      <c r="C4" s="21"/>
      <c r="D4" s="21"/>
      <c r="E4" s="282"/>
      <c r="F4" s="282"/>
      <c r="G4" s="44" t="s">
        <v>3903</v>
      </c>
      <c r="H4" s="354"/>
      <c r="I4" s="44" t="s">
        <v>3902</v>
      </c>
      <c r="J4" s="21"/>
      <c r="K4" s="21"/>
      <c r="L4" s="21"/>
      <c r="M4" s="21"/>
      <c r="N4" s="21"/>
      <c r="O4" s="21"/>
      <c r="P4" s="21"/>
      <c r="Q4" s="21"/>
      <c r="R4" s="21"/>
      <c r="S4" s="21"/>
      <c r="T4" s="21"/>
      <c r="U4" s="21"/>
      <c r="V4" s="21"/>
      <c r="W4" s="126"/>
      <c r="X4" s="126"/>
      <c r="Y4" s="126"/>
      <c r="Z4" s="133" t="s">
        <v>2218</v>
      </c>
      <c r="AA4" s="126"/>
      <c r="AB4" s="126"/>
      <c r="AC4" s="126"/>
      <c r="AD4" s="126"/>
      <c r="AE4" s="126"/>
      <c r="AF4" s="126"/>
      <c r="AG4" s="21"/>
      <c r="AH4" s="21"/>
      <c r="AI4" s="21"/>
      <c r="AJ4" s="21"/>
      <c r="AK4" s="21"/>
      <c r="AL4" s="21"/>
      <c r="AM4" s="44" t="s">
        <v>2218</v>
      </c>
      <c r="AN4" s="46" t="s">
        <v>2218</v>
      </c>
      <c r="AO4" s="21" t="s">
        <v>97</v>
      </c>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145"/>
      <c r="BT4" s="145"/>
      <c r="BU4" s="145"/>
      <c r="BV4" s="145"/>
      <c r="BW4" s="145"/>
      <c r="BX4" s="145"/>
    </row>
    <row r="5" spans="1:89" ht="12.5">
      <c r="A5" s="362"/>
      <c r="B5" s="21"/>
      <c r="C5" s="21"/>
      <c r="D5" s="21"/>
      <c r="E5" s="282"/>
      <c r="F5" s="282"/>
      <c r="G5" s="20"/>
      <c r="H5" s="355"/>
      <c r="I5" s="20"/>
      <c r="J5" s="21"/>
      <c r="K5" s="21"/>
      <c r="L5" s="21"/>
      <c r="M5" s="21"/>
      <c r="N5" s="21"/>
      <c r="O5" s="21"/>
      <c r="P5" s="21"/>
      <c r="Q5" s="21"/>
      <c r="R5" s="21"/>
      <c r="S5" s="21"/>
      <c r="T5" s="21"/>
      <c r="U5" s="21"/>
      <c r="V5" s="12"/>
      <c r="W5" s="134"/>
      <c r="X5" s="134"/>
      <c r="Y5" s="135"/>
      <c r="Z5" s="135"/>
      <c r="AA5" s="135"/>
      <c r="AB5" s="134"/>
      <c r="AC5" s="134"/>
      <c r="AD5" s="134"/>
      <c r="AE5" s="134"/>
      <c r="AF5" s="134"/>
      <c r="AG5" s="11"/>
      <c r="AH5" s="11"/>
      <c r="AI5" s="11"/>
      <c r="AJ5" s="11"/>
      <c r="AK5" s="11"/>
      <c r="AL5" s="10"/>
      <c r="AM5" s="10"/>
      <c r="AN5" s="10"/>
      <c r="AO5" s="21" t="s">
        <v>2222</v>
      </c>
      <c r="AP5" s="21"/>
      <c r="AQ5" s="21"/>
      <c r="AR5" s="21">
        <f>AR6+BC6</f>
        <v>14357042.354800001</v>
      </c>
      <c r="AS5" s="21">
        <f t="shared" ref="AS5:AX5" si="0">AS6+BD6</f>
        <v>2017083</v>
      </c>
      <c r="AT5" s="21">
        <f t="shared" si="0"/>
        <v>5329647.08</v>
      </c>
      <c r="AU5" s="21">
        <f t="shared" si="0"/>
        <v>4858534.5</v>
      </c>
      <c r="AV5" s="21">
        <f t="shared" si="0"/>
        <v>5955642.5</v>
      </c>
      <c r="AW5" s="21">
        <f t="shared" si="0"/>
        <v>1850000</v>
      </c>
      <c r="AX5" s="21">
        <f t="shared" si="0"/>
        <v>0</v>
      </c>
      <c r="AY5" s="21"/>
      <c r="AZ5" s="21"/>
      <c r="BA5" s="21"/>
      <c r="BB5" s="21"/>
      <c r="BC5" s="21"/>
      <c r="BD5" s="21"/>
      <c r="BE5" s="21"/>
      <c r="BF5" s="21"/>
      <c r="BG5" s="21"/>
      <c r="BH5" s="21"/>
      <c r="BI5" s="21"/>
      <c r="BJ5" s="21"/>
      <c r="BK5" s="21"/>
      <c r="BL5" s="21"/>
      <c r="BM5" s="21"/>
      <c r="BN5" s="21"/>
      <c r="BO5" s="21"/>
      <c r="BP5" s="21"/>
      <c r="BQ5" s="21"/>
      <c r="BR5" s="21"/>
      <c r="BS5" s="145"/>
      <c r="BT5" s="145"/>
      <c r="BU5" s="145"/>
      <c r="BV5" s="145"/>
      <c r="BW5" s="145"/>
      <c r="BX5" s="145"/>
    </row>
    <row r="6" spans="1:89" ht="12.5">
      <c r="A6" s="362"/>
      <c r="B6" s="21"/>
      <c r="C6" s="21"/>
      <c r="D6" s="21"/>
      <c r="E6" s="282"/>
      <c r="F6" s="282"/>
      <c r="G6" s="144"/>
      <c r="H6" s="356"/>
      <c r="I6" s="144"/>
      <c r="J6" s="145"/>
      <c r="K6" s="145"/>
      <c r="L6" s="145"/>
      <c r="M6" s="145"/>
      <c r="N6" s="145"/>
      <c r="O6" s="145"/>
      <c r="P6" s="145"/>
      <c r="Q6" s="145"/>
      <c r="R6" s="145"/>
      <c r="S6" s="145"/>
      <c r="T6" s="145"/>
      <c r="U6" s="145"/>
      <c r="V6" s="146"/>
      <c r="W6" s="147"/>
      <c r="X6" s="147"/>
      <c r="Y6" s="148"/>
      <c r="Z6" s="148"/>
      <c r="AA6" s="148"/>
      <c r="AB6" s="147"/>
      <c r="AC6" s="147"/>
      <c r="AD6" s="147"/>
      <c r="AE6" s="147"/>
      <c r="AF6" s="147"/>
      <c r="AG6" s="149"/>
      <c r="AH6" s="149"/>
      <c r="AI6" s="149"/>
      <c r="AJ6" s="149"/>
      <c r="AK6" s="149"/>
      <c r="AL6" s="150"/>
      <c r="AM6" s="150"/>
      <c r="AN6" s="150"/>
      <c r="AO6" s="21" t="s">
        <v>2021</v>
      </c>
      <c r="AP6" s="21"/>
      <c r="AQ6" s="21"/>
      <c r="AR6" s="17">
        <f t="shared" ref="AR6:AX6" si="1">SUM(AR14:AR112)</f>
        <v>14357042.354800001</v>
      </c>
      <c r="AS6" s="17">
        <f t="shared" si="1"/>
        <v>2017083</v>
      </c>
      <c r="AT6" s="17">
        <f t="shared" si="1"/>
        <v>5329647.08</v>
      </c>
      <c r="AU6" s="17">
        <f t="shared" si="1"/>
        <v>4858534.5</v>
      </c>
      <c r="AV6" s="17">
        <f t="shared" si="1"/>
        <v>5955642.5</v>
      </c>
      <c r="AW6" s="17">
        <f t="shared" si="1"/>
        <v>1850000</v>
      </c>
      <c r="AX6" s="17">
        <f t="shared" si="1"/>
        <v>0</v>
      </c>
      <c r="AY6" s="21"/>
      <c r="AZ6" s="21"/>
      <c r="BA6" s="21"/>
      <c r="BB6" s="21"/>
      <c r="BC6" s="17">
        <f t="shared" ref="BC6:BI6" si="2">SUM(BC14:BC112)</f>
        <v>0</v>
      </c>
      <c r="BD6" s="17">
        <f t="shared" si="2"/>
        <v>0</v>
      </c>
      <c r="BE6" s="17">
        <f t="shared" si="2"/>
        <v>0</v>
      </c>
      <c r="BF6" s="17">
        <f t="shared" si="2"/>
        <v>0</v>
      </c>
      <c r="BG6" s="17">
        <f t="shared" si="2"/>
        <v>0</v>
      </c>
      <c r="BH6" s="17">
        <f t="shared" si="2"/>
        <v>0</v>
      </c>
      <c r="BI6" s="17">
        <f t="shared" si="2"/>
        <v>0</v>
      </c>
      <c r="BJ6" s="21"/>
      <c r="BK6" s="21"/>
      <c r="BL6" s="21"/>
      <c r="BM6" s="21"/>
      <c r="BN6" s="21"/>
      <c r="BO6" s="21"/>
      <c r="BP6" s="21"/>
      <c r="BQ6" s="21"/>
      <c r="BR6" s="21"/>
      <c r="BS6" s="145"/>
      <c r="BT6" s="145"/>
      <c r="BU6" s="145"/>
      <c r="BV6" s="145"/>
      <c r="BW6" s="145"/>
      <c r="BX6" s="145"/>
    </row>
    <row r="7" spans="1:89" ht="12.5">
      <c r="A7" s="362"/>
      <c r="B7" s="21"/>
      <c r="C7" s="21"/>
      <c r="D7" s="21"/>
      <c r="E7" s="282"/>
      <c r="F7" s="282"/>
      <c r="G7" s="144"/>
      <c r="H7" s="356"/>
      <c r="I7" s="144"/>
      <c r="J7" s="145"/>
      <c r="K7" s="145"/>
      <c r="L7" s="145"/>
      <c r="M7" s="145"/>
      <c r="N7" s="145"/>
      <c r="O7" s="145"/>
      <c r="P7" s="145"/>
      <c r="Q7" s="145"/>
      <c r="R7" s="145"/>
      <c r="S7" s="145"/>
      <c r="T7" s="145"/>
      <c r="U7" s="145"/>
      <c r="V7" s="146"/>
      <c r="W7" s="147"/>
      <c r="X7" s="147"/>
      <c r="Y7" s="148"/>
      <c r="Z7" s="148"/>
      <c r="AA7" s="148"/>
      <c r="AB7" s="147"/>
      <c r="AC7" s="147"/>
      <c r="AD7" s="147"/>
      <c r="AE7" s="147"/>
      <c r="AF7" s="147"/>
      <c r="AG7" s="149"/>
      <c r="AH7" s="149"/>
      <c r="AI7" s="149"/>
      <c r="AJ7" s="149"/>
      <c r="AK7" s="149"/>
      <c r="AL7" s="150"/>
      <c r="AM7" s="150"/>
      <c r="AN7" s="150"/>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145"/>
      <c r="BT7" s="145"/>
      <c r="BU7" s="145"/>
      <c r="BV7" s="145"/>
      <c r="BW7" s="145"/>
      <c r="BX7" s="145"/>
    </row>
    <row r="8" spans="1:89" ht="12.5">
      <c r="A8" s="362"/>
      <c r="B8" s="21"/>
      <c r="C8" s="21"/>
      <c r="D8" s="21"/>
      <c r="E8" s="282"/>
      <c r="F8" s="282"/>
      <c r="G8" s="144" t="s">
        <v>2259</v>
      </c>
      <c r="H8" s="356"/>
      <c r="I8" s="144"/>
      <c r="J8" s="145"/>
      <c r="K8" s="145"/>
      <c r="L8" s="145"/>
      <c r="M8" s="145"/>
      <c r="N8" s="145"/>
      <c r="O8" s="145"/>
      <c r="P8" s="145"/>
      <c r="Q8" s="145"/>
      <c r="R8" s="145"/>
      <c r="S8" s="145"/>
      <c r="T8" s="145"/>
      <c r="U8" s="145"/>
      <c r="V8" s="146"/>
      <c r="W8" s="147"/>
      <c r="X8" s="147"/>
      <c r="Y8" s="148"/>
      <c r="Z8" s="148"/>
      <c r="AA8" s="148"/>
      <c r="AB8" s="147"/>
      <c r="AC8" s="147"/>
      <c r="AD8" s="147"/>
      <c r="AE8" s="147"/>
      <c r="AF8" s="147"/>
      <c r="AG8" s="149"/>
      <c r="AH8" s="149"/>
      <c r="AI8" s="149"/>
      <c r="AJ8" s="149"/>
      <c r="AK8" s="149"/>
      <c r="AL8" s="150"/>
      <c r="AM8" s="150"/>
      <c r="AN8" s="150"/>
      <c r="AO8" s="21"/>
      <c r="AP8" s="21"/>
      <c r="AQ8" s="21"/>
      <c r="AR8" s="145"/>
      <c r="AS8" s="145"/>
      <c r="AT8" s="145"/>
      <c r="AU8" s="145"/>
      <c r="AV8" s="145"/>
      <c r="AW8" s="145"/>
      <c r="AX8" s="145"/>
      <c r="AY8" s="145"/>
      <c r="AZ8" s="145"/>
      <c r="BA8" s="145"/>
      <c r="BB8" s="145"/>
      <c r="BC8" s="145"/>
      <c r="BD8" s="145"/>
      <c r="BE8" s="145"/>
      <c r="BF8" s="145"/>
      <c r="BG8" s="145"/>
      <c r="BH8" s="145"/>
      <c r="BI8" s="145"/>
      <c r="BJ8" s="145"/>
      <c r="BK8" s="145"/>
      <c r="BL8" s="428"/>
      <c r="BM8" s="145"/>
      <c r="BN8" s="145"/>
      <c r="BO8" s="145"/>
      <c r="BP8" s="145"/>
      <c r="BQ8" s="21"/>
      <c r="BR8" s="21"/>
      <c r="BS8" s="145"/>
      <c r="BT8" s="145"/>
      <c r="BU8" s="145"/>
      <c r="BV8" s="145"/>
      <c r="BW8" s="145"/>
      <c r="BX8" s="145"/>
    </row>
    <row r="9" spans="1:89" ht="12.5">
      <c r="A9" s="362"/>
      <c r="B9" s="21"/>
      <c r="C9" s="21"/>
      <c r="D9" s="21"/>
      <c r="E9" s="282"/>
      <c r="F9" s="282"/>
      <c r="G9" s="144"/>
      <c r="H9" s="356"/>
      <c r="I9" s="144"/>
      <c r="J9" s="145"/>
      <c r="K9" s="145"/>
      <c r="L9" s="145"/>
      <c r="M9" s="145"/>
      <c r="N9" s="145"/>
      <c r="O9" s="145"/>
      <c r="P9" s="145"/>
      <c r="Q9" s="145"/>
      <c r="R9" s="145"/>
      <c r="S9" s="145"/>
      <c r="T9" s="145"/>
      <c r="U9" s="145"/>
      <c r="V9" s="146"/>
      <c r="W9" s="147"/>
      <c r="X9" s="147"/>
      <c r="Y9" s="148"/>
      <c r="Z9" s="148"/>
      <c r="AA9" s="148"/>
      <c r="AB9" s="147"/>
      <c r="AC9" s="147"/>
      <c r="AD9" s="147"/>
      <c r="AE9" s="147"/>
      <c r="AF9" s="147"/>
      <c r="AG9" s="149"/>
      <c r="AH9" s="149"/>
      <c r="AI9" s="149"/>
      <c r="AJ9" s="149"/>
      <c r="AK9" s="149"/>
      <c r="AL9" s="150"/>
      <c r="AM9" s="150"/>
      <c r="AN9" s="150"/>
      <c r="AO9" s="21"/>
      <c r="AP9" s="21"/>
      <c r="AQ9" s="21"/>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21"/>
      <c r="BR9" s="21"/>
      <c r="BS9" s="145"/>
      <c r="BT9" s="145"/>
      <c r="BU9" s="145"/>
      <c r="BV9" s="145"/>
      <c r="BW9" s="145"/>
      <c r="BX9" s="145"/>
    </row>
    <row r="10" spans="1:89" ht="18.5">
      <c r="B10" s="21"/>
      <c r="C10" s="21"/>
      <c r="D10" s="145"/>
      <c r="E10" s="434"/>
      <c r="F10" s="434"/>
      <c r="G10" s="53" t="s">
        <v>100</v>
      </c>
      <c r="H10" s="427"/>
      <c r="I10" s="1"/>
      <c r="J10" s="6"/>
      <c r="K10" s="6"/>
      <c r="L10" s="5"/>
      <c r="V10" s="5"/>
      <c r="W10" s="140"/>
      <c r="X10" s="140"/>
      <c r="Y10" s="140"/>
      <c r="Z10" s="140"/>
      <c r="AC10" s="141"/>
      <c r="AG10" s="6"/>
      <c r="AH10" s="6"/>
      <c r="AI10" s="6"/>
      <c r="AO10" s="925"/>
      <c r="AP10" s="925"/>
      <c r="AQ10" s="925"/>
      <c r="BP10" s="145"/>
      <c r="BQ10" s="21"/>
      <c r="BR10" s="21"/>
      <c r="BS10" s="145"/>
      <c r="BT10" s="145"/>
      <c r="BU10" s="145"/>
      <c r="BV10" s="145"/>
      <c r="BW10" s="145"/>
      <c r="BX10" s="145"/>
    </row>
    <row r="11" spans="1:89">
      <c r="B11" s="21"/>
      <c r="C11" s="21"/>
      <c r="D11" s="145"/>
      <c r="E11" s="435"/>
      <c r="F11" s="435"/>
      <c r="G11" s="1"/>
      <c r="H11" s="426"/>
      <c r="I11" s="1"/>
      <c r="J11" s="6"/>
      <c r="K11" s="6"/>
      <c r="V11" s="283"/>
      <c r="W11" s="138"/>
      <c r="X11" s="138"/>
      <c r="Y11" s="423"/>
      <c r="Z11" s="423"/>
      <c r="AA11" s="423"/>
      <c r="AB11" s="138"/>
      <c r="AC11" s="138"/>
      <c r="AD11" s="138"/>
      <c r="AE11" s="138"/>
      <c r="AF11" s="138"/>
      <c r="AG11" s="424"/>
      <c r="AH11" s="424"/>
      <c r="AI11" s="424"/>
      <c r="AJ11" s="424"/>
      <c r="AK11" s="424"/>
      <c r="AL11" s="425"/>
      <c r="AM11" s="425"/>
      <c r="AN11" s="425"/>
      <c r="BP11" s="145"/>
      <c r="BQ11" s="21"/>
      <c r="BR11" s="21"/>
      <c r="BS11" s="145"/>
      <c r="BT11" s="145"/>
      <c r="BU11" s="145"/>
      <c r="BV11" s="145"/>
      <c r="BW11" s="145"/>
      <c r="BX11" s="145"/>
    </row>
    <row r="12" spans="1:89" s="8" customFormat="1" ht="24">
      <c r="B12" s="9"/>
      <c r="C12" s="9"/>
      <c r="D12" s="436"/>
      <c r="E12" s="436"/>
      <c r="F12" s="436"/>
      <c r="G12" s="433" t="s">
        <v>98</v>
      </c>
      <c r="H12" s="410"/>
      <c r="I12" s="411" t="s">
        <v>892</v>
      </c>
      <c r="J12" s="412"/>
      <c r="K12" s="413" t="s">
        <v>893</v>
      </c>
      <c r="L12" s="363"/>
      <c r="M12" s="363"/>
      <c r="N12" s="363"/>
      <c r="O12" s="363"/>
      <c r="P12" s="363"/>
      <c r="Q12" s="414"/>
      <c r="R12" s="363"/>
      <c r="S12" s="363"/>
      <c r="T12" s="363"/>
      <c r="U12" s="363"/>
      <c r="V12" s="415"/>
      <c r="W12" s="416"/>
      <c r="X12" s="416"/>
      <c r="Y12" s="417" t="s">
        <v>96</v>
      </c>
      <c r="Z12" s="416"/>
      <c r="AA12" s="418"/>
      <c r="AB12" s="417" t="s">
        <v>95</v>
      </c>
      <c r="AC12" s="419"/>
      <c r="AD12" s="416"/>
      <c r="AE12" s="416"/>
      <c r="AF12" s="416"/>
      <c r="AG12" s="415"/>
      <c r="AH12" s="415"/>
      <c r="AI12" s="415"/>
      <c r="AJ12" s="420" t="s">
        <v>37</v>
      </c>
      <c r="AK12" s="415"/>
      <c r="AL12" s="415"/>
      <c r="AM12" s="415"/>
      <c r="AN12" s="421"/>
      <c r="AO12" s="421"/>
      <c r="AP12" s="422"/>
      <c r="AQ12" s="6"/>
      <c r="AR12" s="51" t="s">
        <v>2227</v>
      </c>
      <c r="AS12" s="52"/>
      <c r="AT12" s="52"/>
      <c r="AU12" s="52"/>
      <c r="AV12" s="52"/>
      <c r="AW12" s="52"/>
      <c r="AX12" s="52"/>
      <c r="AY12" s="52"/>
      <c r="AZ12" s="52"/>
      <c r="BA12" s="52"/>
      <c r="BB12" s="16"/>
      <c r="BC12" s="51" t="s">
        <v>2228</v>
      </c>
      <c r="BD12" s="52"/>
      <c r="BE12" s="52"/>
      <c r="BF12" s="52"/>
      <c r="BG12" s="52"/>
      <c r="BH12" s="52"/>
      <c r="BI12" s="52"/>
      <c r="BJ12" s="52"/>
      <c r="BK12" s="52"/>
      <c r="BL12" s="52"/>
      <c r="BM12" s="16"/>
      <c r="BN12" s="52"/>
      <c r="BO12" s="52"/>
      <c r="BP12" s="145"/>
      <c r="BQ12" s="21"/>
      <c r="BR12" s="21"/>
      <c r="BS12" s="145"/>
      <c r="BT12" s="145"/>
      <c r="BU12" s="145"/>
      <c r="BV12" s="145"/>
      <c r="BW12" s="145"/>
      <c r="BX12" s="145"/>
      <c r="BY12" s="627"/>
      <c r="BZ12" s="6"/>
      <c r="CA12" s="6"/>
      <c r="CB12" s="6"/>
      <c r="CC12" s="6"/>
      <c r="CD12" s="6"/>
      <c r="CE12" s="6"/>
      <c r="CF12" s="6"/>
      <c r="CG12" s="6"/>
      <c r="CH12" s="6"/>
      <c r="CI12" s="6"/>
      <c r="CJ12" s="6"/>
      <c r="CK12" s="6"/>
    </row>
    <row r="13" spans="1:89" s="193" customFormat="1" ht="168">
      <c r="A13" s="8" t="s">
        <v>2501</v>
      </c>
      <c r="B13" s="9" t="s">
        <v>2000</v>
      </c>
      <c r="C13" s="9" t="s">
        <v>2269</v>
      </c>
      <c r="D13" s="437" t="s">
        <v>2003</v>
      </c>
      <c r="E13" s="438" t="s">
        <v>3641</v>
      </c>
      <c r="F13" s="437" t="s">
        <v>3905</v>
      </c>
      <c r="G13" s="364" t="s">
        <v>1997</v>
      </c>
      <c r="H13" s="364" t="s">
        <v>4415</v>
      </c>
      <c r="I13" s="364" t="s">
        <v>889</v>
      </c>
      <c r="J13" s="274" t="s">
        <v>2001</v>
      </c>
      <c r="K13" s="365" t="s">
        <v>2004</v>
      </c>
      <c r="L13" s="365" t="s">
        <v>2005</v>
      </c>
      <c r="M13" s="365" t="s">
        <v>2006</v>
      </c>
      <c r="N13" s="365" t="s">
        <v>2007</v>
      </c>
      <c r="O13" s="365" t="s">
        <v>2624</v>
      </c>
      <c r="P13" s="365" t="s">
        <v>2625</v>
      </c>
      <c r="Q13" s="365" t="s">
        <v>2626</v>
      </c>
      <c r="R13" s="365" t="s">
        <v>2903</v>
      </c>
      <c r="S13" s="365" t="s">
        <v>2904</v>
      </c>
      <c r="T13" s="365" t="s">
        <v>2905</v>
      </c>
      <c r="U13" s="365" t="s">
        <v>3901</v>
      </c>
      <c r="V13" s="366" t="s">
        <v>2008</v>
      </c>
      <c r="W13" s="367" t="s">
        <v>1167</v>
      </c>
      <c r="X13" s="367" t="s">
        <v>1190</v>
      </c>
      <c r="Y13" s="368" t="s">
        <v>1998</v>
      </c>
      <c r="Z13" s="369" t="s">
        <v>92</v>
      </c>
      <c r="AA13" s="368" t="s">
        <v>93</v>
      </c>
      <c r="AB13" s="367" t="s">
        <v>94</v>
      </c>
      <c r="AC13" s="367" t="s">
        <v>1191</v>
      </c>
      <c r="AD13" s="274" t="s">
        <v>895</v>
      </c>
      <c r="AE13" s="274" t="s">
        <v>3164</v>
      </c>
      <c r="AF13" s="274" t="s">
        <v>3165</v>
      </c>
      <c r="AG13" s="370" t="s">
        <v>1222</v>
      </c>
      <c r="AH13" s="370" t="s">
        <v>1223</v>
      </c>
      <c r="AI13" s="371" t="s">
        <v>1999</v>
      </c>
      <c r="AJ13" s="370" t="s">
        <v>5289</v>
      </c>
      <c r="AK13" s="371" t="s">
        <v>5290</v>
      </c>
      <c r="AL13" s="371" t="s">
        <v>2009</v>
      </c>
      <c r="AM13" s="371" t="s">
        <v>2010</v>
      </c>
      <c r="AN13" s="371" t="s">
        <v>2229</v>
      </c>
      <c r="AO13" s="371" t="s">
        <v>3601</v>
      </c>
      <c r="AP13" s="371" t="s">
        <v>2002</v>
      </c>
      <c r="AQ13" s="372"/>
      <c r="AR13" s="373" t="s">
        <v>2013</v>
      </c>
      <c r="AS13" s="373" t="s">
        <v>2014</v>
      </c>
      <c r="AT13" s="373" t="s">
        <v>2015</v>
      </c>
      <c r="AU13" s="373" t="s">
        <v>2016</v>
      </c>
      <c r="AV13" s="373" t="s">
        <v>2260</v>
      </c>
      <c r="AW13" s="373" t="s">
        <v>2261</v>
      </c>
      <c r="AX13" s="373" t="s">
        <v>2262</v>
      </c>
      <c r="AY13" s="373" t="s">
        <v>2906</v>
      </c>
      <c r="AZ13" s="373" t="s">
        <v>2907</v>
      </c>
      <c r="BA13" s="373" t="s">
        <v>2908</v>
      </c>
      <c r="BB13" s="16"/>
      <c r="BC13" s="373" t="s">
        <v>2017</v>
      </c>
      <c r="BD13" s="373" t="s">
        <v>2018</v>
      </c>
      <c r="BE13" s="373" t="s">
        <v>2019</v>
      </c>
      <c r="BF13" s="373" t="s">
        <v>2020</v>
      </c>
      <c r="BG13" s="373" t="s">
        <v>2263</v>
      </c>
      <c r="BH13" s="373" t="s">
        <v>2264</v>
      </c>
      <c r="BI13" s="373" t="s">
        <v>2265</v>
      </c>
      <c r="BJ13" s="373" t="s">
        <v>2909</v>
      </c>
      <c r="BK13" s="373" t="s">
        <v>2910</v>
      </c>
      <c r="BL13" s="373" t="s">
        <v>2911</v>
      </c>
      <c r="BM13" s="374"/>
      <c r="BN13" s="373" t="s">
        <v>2912</v>
      </c>
      <c r="BO13" s="373" t="s">
        <v>2913</v>
      </c>
      <c r="BP13" s="429"/>
      <c r="BQ13" s="21"/>
      <c r="BR13" s="21"/>
      <c r="BS13" s="145"/>
      <c r="BT13" s="145"/>
      <c r="BU13" s="145"/>
      <c r="BV13" s="145"/>
      <c r="BW13" s="145"/>
      <c r="BX13" s="145"/>
      <c r="BY13" s="628" t="s">
        <v>4718</v>
      </c>
      <c r="BZ13" s="6" t="s">
        <v>5368</v>
      </c>
      <c r="CA13" s="6"/>
      <c r="CB13" s="6"/>
      <c r="CC13" s="39"/>
      <c r="CD13" s="39"/>
      <c r="CE13" s="39"/>
      <c r="CF13" s="39"/>
      <c r="CG13" s="39"/>
      <c r="CH13" s="39"/>
      <c r="CI13" s="39"/>
      <c r="CJ13" s="39"/>
      <c r="CK13" s="39"/>
    </row>
    <row r="14" spans="1:89" s="193" customFormat="1" ht="14.5">
      <c r="A14" s="100" t="s">
        <v>2506</v>
      </c>
      <c r="B14" s="21" t="str">
        <f>LEFT(AP14,3)</f>
        <v xml:space="preserve">CI </v>
      </c>
      <c r="C14" s="21" t="s">
        <v>4235</v>
      </c>
      <c r="D14" s="432">
        <v>2030205</v>
      </c>
      <c r="E14" s="439" t="s">
        <v>3626</v>
      </c>
      <c r="F14" s="439" t="s">
        <v>3656</v>
      </c>
      <c r="G14" s="520" t="s">
        <v>4404</v>
      </c>
      <c r="H14" s="620" t="s">
        <v>5310</v>
      </c>
      <c r="I14" s="262" t="s">
        <v>3497</v>
      </c>
      <c r="J14" s="262" t="s">
        <v>3504</v>
      </c>
      <c r="K14" s="263">
        <v>1348017.84</v>
      </c>
      <c r="L14" s="263">
        <v>0</v>
      </c>
      <c r="M14" s="263">
        <v>0</v>
      </c>
      <c r="N14" s="263">
        <v>0</v>
      </c>
      <c r="O14" s="263">
        <v>0</v>
      </c>
      <c r="P14" s="263">
        <v>0</v>
      </c>
      <c r="Q14" s="263">
        <v>0</v>
      </c>
      <c r="R14" s="263">
        <v>0</v>
      </c>
      <c r="S14" s="263">
        <v>0</v>
      </c>
      <c r="T14" s="263">
        <v>0</v>
      </c>
      <c r="U14" s="263">
        <f t="shared" ref="U14:U27" si="3">SUM(K14:T14)</f>
        <v>1348017.84</v>
      </c>
      <c r="V14" s="196" t="str">
        <f t="shared" ref="V14:V77" si="4">IF(AND(AD14&gt;0,AE14&gt;0,AF14&gt;0),"G/LOS/R",IF(AND(AD14&gt;0,AE14&gt;0),"G/LOS",IF(AND(AD14&gt;0,AF14&gt;0),"G/R",IF(AND(AE14&gt;0,AF14&gt;0),"LOS/R",IF(AD14&gt;0,"G",IF(AE14&gt;0,"LOS",IF(AF14&gt;0,"R","CHECK")))))))</f>
        <v>G</v>
      </c>
      <c r="W14" s="196" t="s">
        <v>1168</v>
      </c>
      <c r="X14" s="196" t="str">
        <f t="shared" ref="X14:X45" si="5">IF(LEFT(V14,1)="G","Y","N")</f>
        <v>Y</v>
      </c>
      <c r="Y14" s="197">
        <f t="shared" ref="Y14:Y77" si="6">SUM(K14:T14)</f>
        <v>1348017.84</v>
      </c>
      <c r="Z14" s="198"/>
      <c r="AA14" s="197">
        <f t="shared" ref="AA14:AA77" si="7">Y14-Z14</f>
        <v>1348017.84</v>
      </c>
      <c r="AB14" s="196" t="s">
        <v>1166</v>
      </c>
      <c r="AC14" s="196" t="s">
        <v>3624</v>
      </c>
      <c r="AD14" s="275">
        <v>1</v>
      </c>
      <c r="AE14" s="275">
        <v>0</v>
      </c>
      <c r="AF14" s="275">
        <v>0</v>
      </c>
      <c r="AG14" s="442">
        <v>0.72</v>
      </c>
      <c r="AH14" s="442">
        <v>0.72</v>
      </c>
      <c r="AI14" s="200">
        <f t="shared" ref="AI14:AI77" si="8">(AG14+AH14)/2</f>
        <v>0.72</v>
      </c>
      <c r="AJ14" s="203">
        <v>1</v>
      </c>
      <c r="AK14" s="203">
        <f>100%-AJ14</f>
        <v>0</v>
      </c>
      <c r="AL14" s="197">
        <f t="shared" ref="AL14:AL77" si="9">(100%-AI14)*AA14</f>
        <v>377444.99520000006</v>
      </c>
      <c r="AM14" s="197">
        <f t="shared" ref="AM14:AM77" si="10">AA14*AI14*AJ14</f>
        <v>970572.84480000008</v>
      </c>
      <c r="AN14" s="197">
        <f t="shared" ref="AN14:AN77" si="11">AA14*AI14*AK14</f>
        <v>0</v>
      </c>
      <c r="AO14" s="202" t="s">
        <v>3608</v>
      </c>
      <c r="AP14" s="161" t="s">
        <v>2842</v>
      </c>
      <c r="AQ14" s="279"/>
      <c r="AR14" s="287">
        <f t="shared" ref="AR14:BA14" si="12">K14*$AI14*$AJ14</f>
        <v>970572.84480000008</v>
      </c>
      <c r="AS14" s="287">
        <f t="shared" si="12"/>
        <v>0</v>
      </c>
      <c r="AT14" s="287">
        <f t="shared" si="12"/>
        <v>0</v>
      </c>
      <c r="AU14" s="287">
        <f t="shared" si="12"/>
        <v>0</v>
      </c>
      <c r="AV14" s="287">
        <f t="shared" si="12"/>
        <v>0</v>
      </c>
      <c r="AW14" s="287">
        <f t="shared" si="12"/>
        <v>0</v>
      </c>
      <c r="AX14" s="287">
        <f t="shared" si="12"/>
        <v>0</v>
      </c>
      <c r="AY14" s="287">
        <f t="shared" si="12"/>
        <v>0</v>
      </c>
      <c r="AZ14" s="287">
        <f t="shared" si="12"/>
        <v>0</v>
      </c>
      <c r="BA14" s="287">
        <f t="shared" si="12"/>
        <v>0</v>
      </c>
      <c r="BB14" s="16"/>
      <c r="BC14" s="287">
        <f t="shared" ref="BC14:BL14" si="13">K14*$AI14*$AK14</f>
        <v>0</v>
      </c>
      <c r="BD14" s="287">
        <f t="shared" si="13"/>
        <v>0</v>
      </c>
      <c r="BE14" s="287">
        <f t="shared" si="13"/>
        <v>0</v>
      </c>
      <c r="BF14" s="287">
        <f t="shared" si="13"/>
        <v>0</v>
      </c>
      <c r="BG14" s="287">
        <f t="shared" si="13"/>
        <v>0</v>
      </c>
      <c r="BH14" s="287">
        <f t="shared" si="13"/>
        <v>0</v>
      </c>
      <c r="BI14" s="287">
        <f t="shared" si="13"/>
        <v>0</v>
      </c>
      <c r="BJ14" s="287">
        <f t="shared" si="13"/>
        <v>0</v>
      </c>
      <c r="BK14" s="287">
        <f t="shared" si="13"/>
        <v>0</v>
      </c>
      <c r="BL14" s="287">
        <f t="shared" si="13"/>
        <v>0</v>
      </c>
      <c r="BM14" s="16"/>
      <c r="BN14" s="287">
        <f>SUM(AR14:BA14)</f>
        <v>970572.84480000008</v>
      </c>
      <c r="BO14" s="287">
        <f>SUM(BC14:BL14)</f>
        <v>0</v>
      </c>
      <c r="BP14" s="430"/>
      <c r="BQ14" s="21"/>
      <c r="BR14" s="21"/>
      <c r="BS14" s="39"/>
      <c r="BT14" s="334">
        <f t="shared" ref="BT14:BT33" si="14">+BN14+BO14</f>
        <v>970572.84480000008</v>
      </c>
      <c r="BU14" s="334">
        <f t="shared" ref="BU14:BU33" si="15">+AM14</f>
        <v>970572.84480000008</v>
      </c>
      <c r="BV14" s="334">
        <f t="shared" ref="BV14:BV33" si="16">+AN14</f>
        <v>0</v>
      </c>
      <c r="BW14" s="334">
        <f t="shared" ref="BW14:BW33" si="17">+BT14-BU14-BV14</f>
        <v>0</v>
      </c>
      <c r="BX14" s="39"/>
      <c r="BY14" s="39"/>
      <c r="BZ14" s="39">
        <v>1</v>
      </c>
      <c r="CA14" s="39">
        <f>IFERROR(ROUND(IF(AJ14=100%,2031,1/AJ14*10+2021),0),"")</f>
        <v>2031</v>
      </c>
      <c r="CB14" s="39"/>
      <c r="CC14" s="39"/>
      <c r="CD14" s="39"/>
      <c r="CE14" s="39"/>
      <c r="CF14" s="39"/>
      <c r="CG14" s="39"/>
      <c r="CH14" s="39"/>
      <c r="CI14" s="39"/>
      <c r="CJ14" s="39"/>
      <c r="CK14" s="39"/>
    </row>
    <row r="15" spans="1:89" s="193" customFormat="1" ht="48">
      <c r="A15" s="100" t="s">
        <v>2506</v>
      </c>
      <c r="B15" s="21" t="str">
        <f t="shared" ref="B15:B77" si="18">LEFT(AP15,3)</f>
        <v xml:space="preserve">CI </v>
      </c>
      <c r="C15" s="21" t="s">
        <v>2269</v>
      </c>
      <c r="D15" s="432">
        <v>2130319</v>
      </c>
      <c r="E15" s="439" t="s">
        <v>3626</v>
      </c>
      <c r="F15" s="439" t="s">
        <v>3481</v>
      </c>
      <c r="G15" s="273" t="s">
        <v>2511</v>
      </c>
      <c r="H15" s="500" t="s">
        <v>5053</v>
      </c>
      <c r="I15" s="262" t="s">
        <v>3492</v>
      </c>
      <c r="J15" s="262" t="s">
        <v>3505</v>
      </c>
      <c r="K15" s="263">
        <v>1100</v>
      </c>
      <c r="L15" s="263">
        <v>0</v>
      </c>
      <c r="M15" s="263">
        <v>0</v>
      </c>
      <c r="N15" s="263">
        <v>0</v>
      </c>
      <c r="O15" s="263">
        <v>0</v>
      </c>
      <c r="P15" s="263">
        <v>0</v>
      </c>
      <c r="Q15" s="263">
        <v>0</v>
      </c>
      <c r="R15" s="263">
        <v>0</v>
      </c>
      <c r="S15" s="263">
        <v>0</v>
      </c>
      <c r="T15" s="263">
        <v>0</v>
      </c>
      <c r="U15" s="263">
        <f t="shared" si="3"/>
        <v>1100</v>
      </c>
      <c r="V15" s="196" t="str">
        <f t="shared" si="4"/>
        <v>G/LOS</v>
      </c>
      <c r="W15" s="196" t="s">
        <v>1168</v>
      </c>
      <c r="X15" s="196" t="str">
        <f t="shared" si="5"/>
        <v>Y</v>
      </c>
      <c r="Y15" s="197">
        <f t="shared" si="6"/>
        <v>1100</v>
      </c>
      <c r="Z15" s="198"/>
      <c r="AA15" s="197">
        <f t="shared" si="7"/>
        <v>1100</v>
      </c>
      <c r="AB15" s="196" t="s">
        <v>1166</v>
      </c>
      <c r="AC15" s="196" t="s">
        <v>3624</v>
      </c>
      <c r="AD15" s="275">
        <v>0.75</v>
      </c>
      <c r="AE15" s="275">
        <v>0.25</v>
      </c>
      <c r="AF15" s="275">
        <v>0</v>
      </c>
      <c r="AG15" s="199">
        <v>0.75</v>
      </c>
      <c r="AH15" s="199">
        <v>0.75</v>
      </c>
      <c r="AI15" s="377">
        <f t="shared" si="8"/>
        <v>0.75</v>
      </c>
      <c r="AJ15" s="203">
        <v>1</v>
      </c>
      <c r="AK15" s="203">
        <f>1-AJ15</f>
        <v>0</v>
      </c>
      <c r="AL15" s="197">
        <f t="shared" si="9"/>
        <v>275</v>
      </c>
      <c r="AM15" s="197">
        <f t="shared" si="10"/>
        <v>825</v>
      </c>
      <c r="AN15" s="197">
        <f t="shared" si="11"/>
        <v>0</v>
      </c>
      <c r="AO15" s="202" t="s">
        <v>3608</v>
      </c>
      <c r="AP15" s="161" t="s">
        <v>2842</v>
      </c>
      <c r="AQ15" s="279"/>
      <c r="AR15" s="287">
        <f t="shared" ref="AR15:AR78" si="19">K15*$AI15*$AJ15</f>
        <v>825</v>
      </c>
      <c r="AS15" s="287">
        <f t="shared" ref="AS15:AS78" si="20">L15*$AI15*$AJ15</f>
        <v>0</v>
      </c>
      <c r="AT15" s="287">
        <f t="shared" ref="AT15:AT78" si="21">M15*$AI15*$AJ15</f>
        <v>0</v>
      </c>
      <c r="AU15" s="287">
        <f t="shared" ref="AU15:AU78" si="22">N15*$AI15*$AJ15</f>
        <v>0</v>
      </c>
      <c r="AV15" s="287">
        <f t="shared" ref="AV15:AV78" si="23">O15*$AI15*$AJ15</f>
        <v>0</v>
      </c>
      <c r="AW15" s="287">
        <f t="shared" ref="AW15:AW78" si="24">P15*$AI15*$AJ15</f>
        <v>0</v>
      </c>
      <c r="AX15" s="287">
        <f t="shared" ref="AX15:AX78" si="25">Q15*$AI15*$AJ15</f>
        <v>0</v>
      </c>
      <c r="AY15" s="287">
        <f t="shared" ref="AY15:AY78" si="26">R15*$AI15*$AJ15</f>
        <v>0</v>
      </c>
      <c r="AZ15" s="287">
        <f t="shared" ref="AZ15:AZ78" si="27">S15*$AI15*$AJ15</f>
        <v>0</v>
      </c>
      <c r="BA15" s="287">
        <f t="shared" ref="BA15:BA78" si="28">T15*$AI15*$AJ15</f>
        <v>0</v>
      </c>
      <c r="BB15" s="16"/>
      <c r="BC15" s="287">
        <f t="shared" ref="BC15:BC78" si="29">K15*$AI15*$AK15</f>
        <v>0</v>
      </c>
      <c r="BD15" s="287">
        <f t="shared" ref="BD15:BD78" si="30">L15*$AI15*$AK15</f>
        <v>0</v>
      </c>
      <c r="BE15" s="287">
        <f t="shared" ref="BE15:BE78" si="31">M15*$AI15*$AK15</f>
        <v>0</v>
      </c>
      <c r="BF15" s="287">
        <f t="shared" ref="BF15:BF78" si="32">N15*$AI15*$AK15</f>
        <v>0</v>
      </c>
      <c r="BG15" s="287">
        <f t="shared" ref="BG15:BG78" si="33">O15*$AI15*$AK15</f>
        <v>0</v>
      </c>
      <c r="BH15" s="287">
        <f t="shared" ref="BH15:BH78" si="34">P15*$AI15*$AK15</f>
        <v>0</v>
      </c>
      <c r="BI15" s="287">
        <f t="shared" ref="BI15:BI78" si="35">Q15*$AI15*$AK15</f>
        <v>0</v>
      </c>
      <c r="BJ15" s="287">
        <f t="shared" ref="BJ15:BJ78" si="36">R15*$AI15*$AK15</f>
        <v>0</v>
      </c>
      <c r="BK15" s="287">
        <f t="shared" ref="BK15:BK78" si="37">S15*$AI15*$AK15</f>
        <v>0</v>
      </c>
      <c r="BL15" s="287">
        <f t="shared" ref="BL15:BL78" si="38">T15*$AI15*$AK15</f>
        <v>0</v>
      </c>
      <c r="BM15" s="16"/>
      <c r="BN15" s="287">
        <f t="shared" ref="BN15:BN78" si="39">SUM(AR15:BA15)</f>
        <v>825</v>
      </c>
      <c r="BO15" s="287">
        <f t="shared" ref="BO15:BO78" si="40">SUM(BC15:BL15)</f>
        <v>0</v>
      </c>
      <c r="BP15" s="430"/>
      <c r="BQ15" s="21"/>
      <c r="BR15" s="21"/>
      <c r="BS15" s="39"/>
      <c r="BT15" s="334">
        <f t="shared" si="14"/>
        <v>825</v>
      </c>
      <c r="BU15" s="334">
        <f t="shared" si="15"/>
        <v>825</v>
      </c>
      <c r="BV15" s="334">
        <f t="shared" si="16"/>
        <v>0</v>
      </c>
      <c r="BW15" s="334">
        <f t="shared" si="17"/>
        <v>0</v>
      </c>
      <c r="BX15" s="39"/>
      <c r="BY15" s="39"/>
      <c r="BZ15" s="39">
        <v>2</v>
      </c>
      <c r="CA15" s="39">
        <f t="shared" ref="CA15:CA78" si="41">IFERROR(ROUND(IF(AJ15=100%,2031,1/AJ15*10+2021),0),"")</f>
        <v>2031</v>
      </c>
      <c r="CB15" s="39"/>
      <c r="CC15" s="39"/>
      <c r="CD15" s="39"/>
      <c r="CE15" s="39"/>
      <c r="CF15" s="39"/>
      <c r="CG15" s="39"/>
      <c r="CH15" s="39"/>
      <c r="CI15" s="39"/>
      <c r="CJ15" s="39"/>
      <c r="CK15" s="39"/>
    </row>
    <row r="16" spans="1:89" s="193" customFormat="1" ht="36">
      <c r="A16" s="375" t="s">
        <v>2503</v>
      </c>
      <c r="B16" s="21" t="str">
        <f t="shared" si="18"/>
        <v xml:space="preserve">CI </v>
      </c>
      <c r="C16" s="21"/>
      <c r="D16" s="432">
        <v>2030173</v>
      </c>
      <c r="E16" s="439" t="s">
        <v>3626</v>
      </c>
      <c r="F16" s="439" t="s">
        <v>3654</v>
      </c>
      <c r="G16" s="273" t="s">
        <v>2902</v>
      </c>
      <c r="H16" s="500" t="s">
        <v>5054</v>
      </c>
      <c r="I16" s="262" t="s">
        <v>3492</v>
      </c>
      <c r="J16" s="262" t="s">
        <v>3525</v>
      </c>
      <c r="K16" s="263">
        <v>3024</v>
      </c>
      <c r="L16" s="263">
        <v>50000</v>
      </c>
      <c r="M16" s="263">
        <v>2000000</v>
      </c>
      <c r="N16" s="263">
        <v>10000000</v>
      </c>
      <c r="O16" s="263">
        <v>18002570</v>
      </c>
      <c r="P16" s="263">
        <v>5000000</v>
      </c>
      <c r="Q16" s="263">
        <v>0</v>
      </c>
      <c r="R16" s="263">
        <v>0</v>
      </c>
      <c r="S16" s="263">
        <v>0</v>
      </c>
      <c r="T16" s="263">
        <v>0</v>
      </c>
      <c r="U16" s="263">
        <f t="shared" si="3"/>
        <v>35055594</v>
      </c>
      <c r="V16" s="196" t="str">
        <f t="shared" si="4"/>
        <v>G/LOS</v>
      </c>
      <c r="W16" s="196" t="s">
        <v>1168</v>
      </c>
      <c r="X16" s="196" t="str">
        <f t="shared" si="5"/>
        <v>Y</v>
      </c>
      <c r="Y16" s="376">
        <f t="shared" si="6"/>
        <v>35055594</v>
      </c>
      <c r="Z16" s="198"/>
      <c r="AA16" s="376">
        <f t="shared" si="7"/>
        <v>35055594</v>
      </c>
      <c r="AB16" s="196" t="s">
        <v>1166</v>
      </c>
      <c r="AC16" s="196" t="s">
        <v>3624</v>
      </c>
      <c r="AD16" s="275">
        <v>0.25</v>
      </c>
      <c r="AE16" s="275">
        <v>0.75</v>
      </c>
      <c r="AF16" s="275">
        <v>0</v>
      </c>
      <c r="AG16" s="199">
        <v>0.25</v>
      </c>
      <c r="AH16" s="199">
        <v>0.25</v>
      </c>
      <c r="AI16" s="377">
        <f t="shared" si="8"/>
        <v>0.25</v>
      </c>
      <c r="AJ16" s="203">
        <v>1</v>
      </c>
      <c r="AK16" s="203">
        <f>1-AJ16</f>
        <v>0</v>
      </c>
      <c r="AL16" s="376">
        <f t="shared" si="9"/>
        <v>26291695.5</v>
      </c>
      <c r="AM16" s="376">
        <f t="shared" si="10"/>
        <v>8763898.5</v>
      </c>
      <c r="AN16" s="376">
        <f t="shared" si="11"/>
        <v>0</v>
      </c>
      <c r="AO16" s="378" t="s">
        <v>3607</v>
      </c>
      <c r="AP16" s="379" t="s">
        <v>2851</v>
      </c>
      <c r="AQ16" s="279" t="s">
        <v>4308</v>
      </c>
      <c r="AR16" s="287">
        <f t="shared" si="19"/>
        <v>756</v>
      </c>
      <c r="AS16" s="287">
        <f t="shared" si="20"/>
        <v>12500</v>
      </c>
      <c r="AT16" s="287">
        <f t="shared" si="21"/>
        <v>500000</v>
      </c>
      <c r="AU16" s="287">
        <f t="shared" si="22"/>
        <v>2500000</v>
      </c>
      <c r="AV16" s="287">
        <f t="shared" si="23"/>
        <v>4500642.5</v>
      </c>
      <c r="AW16" s="287">
        <f t="shared" si="24"/>
        <v>1250000</v>
      </c>
      <c r="AX16" s="287">
        <f t="shared" si="25"/>
        <v>0</v>
      </c>
      <c r="AY16" s="287">
        <f t="shared" si="26"/>
        <v>0</v>
      </c>
      <c r="AZ16" s="287">
        <f t="shared" si="27"/>
        <v>0</v>
      </c>
      <c r="BA16" s="287">
        <f t="shared" si="28"/>
        <v>0</v>
      </c>
      <c r="BB16" s="16"/>
      <c r="BC16" s="287">
        <f t="shared" si="29"/>
        <v>0</v>
      </c>
      <c r="BD16" s="287">
        <f t="shared" si="30"/>
        <v>0</v>
      </c>
      <c r="BE16" s="287">
        <f t="shared" si="31"/>
        <v>0</v>
      </c>
      <c r="BF16" s="287">
        <f t="shared" si="32"/>
        <v>0</v>
      </c>
      <c r="BG16" s="287">
        <f t="shared" si="33"/>
        <v>0</v>
      </c>
      <c r="BH16" s="287">
        <f t="shared" si="34"/>
        <v>0</v>
      </c>
      <c r="BI16" s="287">
        <f t="shared" si="35"/>
        <v>0</v>
      </c>
      <c r="BJ16" s="287">
        <f t="shared" si="36"/>
        <v>0</v>
      </c>
      <c r="BK16" s="287">
        <f t="shared" si="37"/>
        <v>0</v>
      </c>
      <c r="BL16" s="287">
        <f t="shared" si="38"/>
        <v>0</v>
      </c>
      <c r="BM16" s="16"/>
      <c r="BN16" s="287">
        <f t="shared" si="39"/>
        <v>8763898.5</v>
      </c>
      <c r="BO16" s="287">
        <f t="shared" si="40"/>
        <v>0</v>
      </c>
      <c r="BP16" s="430"/>
      <c r="BQ16" s="21"/>
      <c r="BR16" s="21"/>
      <c r="BS16" s="6"/>
      <c r="BT16" s="194">
        <f t="shared" si="14"/>
        <v>8763898.5</v>
      </c>
      <c r="BU16" s="194">
        <f t="shared" si="15"/>
        <v>8763898.5</v>
      </c>
      <c r="BV16" s="194">
        <f t="shared" si="16"/>
        <v>0</v>
      </c>
      <c r="BW16" s="194">
        <f t="shared" si="17"/>
        <v>0</v>
      </c>
      <c r="BX16" s="6"/>
      <c r="BY16" s="627"/>
      <c r="BZ16" s="39">
        <v>3</v>
      </c>
      <c r="CA16" s="39">
        <f t="shared" si="41"/>
        <v>2031</v>
      </c>
      <c r="CB16" s="6"/>
      <c r="CC16" s="39"/>
      <c r="CD16" s="39"/>
      <c r="CE16" s="39"/>
      <c r="CF16" s="39"/>
      <c r="CG16" s="39"/>
      <c r="CH16" s="39"/>
      <c r="CI16" s="39"/>
      <c r="CJ16" s="39"/>
      <c r="CK16" s="39"/>
    </row>
    <row r="17" spans="1:89" s="193" customFormat="1" ht="36">
      <c r="A17" s="375" t="s">
        <v>2503</v>
      </c>
      <c r="B17" s="21" t="str">
        <f t="shared" si="18"/>
        <v xml:space="preserve">CI </v>
      </c>
      <c r="C17" s="21"/>
      <c r="D17" s="432">
        <v>3101101</v>
      </c>
      <c r="E17" s="439" t="s">
        <v>3626</v>
      </c>
      <c r="F17" s="439" t="s">
        <v>3703</v>
      </c>
      <c r="G17" s="273" t="s">
        <v>3332</v>
      </c>
      <c r="H17" s="516" t="s">
        <v>5184</v>
      </c>
      <c r="I17" s="262" t="s">
        <v>3492</v>
      </c>
      <c r="J17" s="262" t="s">
        <v>3526</v>
      </c>
      <c r="K17" s="263">
        <v>1500000</v>
      </c>
      <c r="L17" s="263">
        <v>1296525</v>
      </c>
      <c r="M17" s="263">
        <v>0</v>
      </c>
      <c r="N17" s="263">
        <v>0</v>
      </c>
      <c r="O17" s="263">
        <v>0</v>
      </c>
      <c r="P17" s="263">
        <v>0</v>
      </c>
      <c r="Q17" s="263">
        <v>0</v>
      </c>
      <c r="R17" s="263">
        <v>0</v>
      </c>
      <c r="S17" s="263">
        <v>0</v>
      </c>
      <c r="T17" s="263">
        <v>0</v>
      </c>
      <c r="U17" s="263">
        <f t="shared" si="3"/>
        <v>2796525</v>
      </c>
      <c r="V17" s="196" t="str">
        <f t="shared" si="4"/>
        <v>G/LOS</v>
      </c>
      <c r="W17" s="196" t="s">
        <v>1168</v>
      </c>
      <c r="X17" s="196" t="str">
        <f t="shared" si="5"/>
        <v>Y</v>
      </c>
      <c r="Y17" s="376">
        <f t="shared" si="6"/>
        <v>2796525</v>
      </c>
      <c r="Z17" s="198"/>
      <c r="AA17" s="376">
        <f t="shared" si="7"/>
        <v>2796525</v>
      </c>
      <c r="AB17" s="196" t="s">
        <v>1166</v>
      </c>
      <c r="AC17" s="196" t="s">
        <v>1168</v>
      </c>
      <c r="AD17" s="275">
        <v>0.15</v>
      </c>
      <c r="AE17" s="275">
        <v>0.85</v>
      </c>
      <c r="AF17" s="275">
        <v>0</v>
      </c>
      <c r="AG17" s="199">
        <v>0.12</v>
      </c>
      <c r="AH17" s="199">
        <v>0.12</v>
      </c>
      <c r="AI17" s="377">
        <f t="shared" si="8"/>
        <v>0.12</v>
      </c>
      <c r="AJ17" s="203">
        <v>1</v>
      </c>
      <c r="AK17" s="203">
        <v>0</v>
      </c>
      <c r="AL17" s="376">
        <f t="shared" si="9"/>
        <v>2460942</v>
      </c>
      <c r="AM17" s="376">
        <f t="shared" si="10"/>
        <v>335583</v>
      </c>
      <c r="AN17" s="376">
        <f t="shared" si="11"/>
        <v>0</v>
      </c>
      <c r="AO17" s="378" t="s">
        <v>3607</v>
      </c>
      <c r="AP17" s="379" t="s">
        <v>2852</v>
      </c>
      <c r="AQ17" s="279" t="s">
        <v>4308</v>
      </c>
      <c r="AR17" s="287">
        <f t="shared" si="19"/>
        <v>180000</v>
      </c>
      <c r="AS17" s="287">
        <f t="shared" si="20"/>
        <v>155583</v>
      </c>
      <c r="AT17" s="287">
        <f t="shared" si="21"/>
        <v>0</v>
      </c>
      <c r="AU17" s="287">
        <f t="shared" si="22"/>
        <v>0</v>
      </c>
      <c r="AV17" s="287">
        <f t="shared" si="23"/>
        <v>0</v>
      </c>
      <c r="AW17" s="287">
        <f t="shared" si="24"/>
        <v>0</v>
      </c>
      <c r="AX17" s="287">
        <f t="shared" si="25"/>
        <v>0</v>
      </c>
      <c r="AY17" s="287">
        <f t="shared" si="26"/>
        <v>0</v>
      </c>
      <c r="AZ17" s="287">
        <f t="shared" si="27"/>
        <v>0</v>
      </c>
      <c r="BA17" s="287">
        <f t="shared" si="28"/>
        <v>0</v>
      </c>
      <c r="BB17" s="16"/>
      <c r="BC17" s="287">
        <f t="shared" si="29"/>
        <v>0</v>
      </c>
      <c r="BD17" s="287">
        <f t="shared" si="30"/>
        <v>0</v>
      </c>
      <c r="BE17" s="287">
        <f t="shared" si="31"/>
        <v>0</v>
      </c>
      <c r="BF17" s="287">
        <f t="shared" si="32"/>
        <v>0</v>
      </c>
      <c r="BG17" s="287">
        <f t="shared" si="33"/>
        <v>0</v>
      </c>
      <c r="BH17" s="287">
        <f t="shared" si="34"/>
        <v>0</v>
      </c>
      <c r="BI17" s="287">
        <f t="shared" si="35"/>
        <v>0</v>
      </c>
      <c r="BJ17" s="287">
        <f t="shared" si="36"/>
        <v>0</v>
      </c>
      <c r="BK17" s="287">
        <f t="shared" si="37"/>
        <v>0</v>
      </c>
      <c r="BL17" s="287">
        <f t="shared" si="38"/>
        <v>0</v>
      </c>
      <c r="BM17" s="16"/>
      <c r="BN17" s="287">
        <f t="shared" si="39"/>
        <v>335583</v>
      </c>
      <c r="BO17" s="287">
        <f t="shared" si="40"/>
        <v>0</v>
      </c>
      <c r="BP17" s="430"/>
      <c r="BQ17" s="21"/>
      <c r="BR17" s="21"/>
      <c r="BS17" s="6"/>
      <c r="BT17" s="194">
        <f t="shared" si="14"/>
        <v>335583</v>
      </c>
      <c r="BU17" s="194">
        <f t="shared" si="15"/>
        <v>335583</v>
      </c>
      <c r="BV17" s="194">
        <f t="shared" si="16"/>
        <v>0</v>
      </c>
      <c r="BW17" s="194">
        <f t="shared" si="17"/>
        <v>0</v>
      </c>
      <c r="BX17" s="6"/>
      <c r="BY17" s="6"/>
      <c r="BZ17" s="39">
        <v>4</v>
      </c>
      <c r="CA17" s="39">
        <f t="shared" si="41"/>
        <v>2031</v>
      </c>
      <c r="CB17" s="6"/>
      <c r="CC17" s="39"/>
      <c r="CD17" s="39"/>
      <c r="CE17" s="39"/>
      <c r="CF17" s="39"/>
      <c r="CG17" s="39"/>
      <c r="CH17" s="39"/>
      <c r="CI17" s="39"/>
      <c r="CJ17" s="39"/>
      <c r="CK17" s="39"/>
    </row>
    <row r="18" spans="1:89" s="193" customFormat="1" ht="36">
      <c r="A18" s="375" t="s">
        <v>2502</v>
      </c>
      <c r="B18" s="21" t="str">
        <f t="shared" si="18"/>
        <v xml:space="preserve">CI </v>
      </c>
      <c r="C18" s="21"/>
      <c r="D18" s="432">
        <v>3201502</v>
      </c>
      <c r="E18" s="439" t="s">
        <v>3626</v>
      </c>
      <c r="F18" s="439" t="s">
        <v>5070</v>
      </c>
      <c r="G18" s="273" t="s">
        <v>4408</v>
      </c>
      <c r="H18" s="500" t="s">
        <v>5051</v>
      </c>
      <c r="I18" s="262" t="s">
        <v>3492</v>
      </c>
      <c r="J18" s="262" t="s">
        <v>3504</v>
      </c>
      <c r="K18" s="263">
        <v>0</v>
      </c>
      <c r="L18" s="263">
        <v>0</v>
      </c>
      <c r="M18" s="263">
        <v>50000</v>
      </c>
      <c r="N18" s="263">
        <v>200000</v>
      </c>
      <c r="O18" s="263">
        <v>0</v>
      </c>
      <c r="P18" s="263">
        <v>0</v>
      </c>
      <c r="Q18" s="263">
        <v>0</v>
      </c>
      <c r="R18" s="263">
        <v>0</v>
      </c>
      <c r="S18" s="263">
        <v>0</v>
      </c>
      <c r="T18" s="263">
        <v>0</v>
      </c>
      <c r="U18" s="263">
        <f t="shared" si="3"/>
        <v>250000</v>
      </c>
      <c r="V18" s="196" t="str">
        <f t="shared" si="4"/>
        <v>G/LOS</v>
      </c>
      <c r="W18" s="196" t="s">
        <v>1168</v>
      </c>
      <c r="X18" s="196" t="str">
        <f t="shared" si="5"/>
        <v>Y</v>
      </c>
      <c r="Y18" s="376">
        <f t="shared" si="6"/>
        <v>250000</v>
      </c>
      <c r="Z18" s="198"/>
      <c r="AA18" s="376">
        <f t="shared" si="7"/>
        <v>250000</v>
      </c>
      <c r="AB18" s="196" t="s">
        <v>1166</v>
      </c>
      <c r="AC18" s="196" t="s">
        <v>1168</v>
      </c>
      <c r="AD18" s="275">
        <v>0.875</v>
      </c>
      <c r="AE18" s="275">
        <f>1-AD18</f>
        <v>0.125</v>
      </c>
      <c r="AF18" s="275">
        <v>0</v>
      </c>
      <c r="AG18" s="199">
        <v>0.75</v>
      </c>
      <c r="AH18" s="199">
        <v>1</v>
      </c>
      <c r="AI18" s="377">
        <f t="shared" si="8"/>
        <v>0.875</v>
      </c>
      <c r="AJ18" s="203">
        <v>1</v>
      </c>
      <c r="AK18" s="203">
        <f t="shared" ref="AK18:AK30" si="42">1-AJ18</f>
        <v>0</v>
      </c>
      <c r="AL18" s="376">
        <f t="shared" si="9"/>
        <v>31250</v>
      </c>
      <c r="AM18" s="376">
        <f t="shared" si="10"/>
        <v>218750</v>
      </c>
      <c r="AN18" s="376">
        <f t="shared" si="11"/>
        <v>0</v>
      </c>
      <c r="AO18" s="378" t="s">
        <v>3607</v>
      </c>
      <c r="AP18" s="379" t="s">
        <v>2855</v>
      </c>
      <c r="AQ18" s="279"/>
      <c r="AR18" s="287">
        <f t="shared" si="19"/>
        <v>0</v>
      </c>
      <c r="AS18" s="287">
        <f t="shared" si="20"/>
        <v>0</v>
      </c>
      <c r="AT18" s="287">
        <f t="shared" si="21"/>
        <v>43750</v>
      </c>
      <c r="AU18" s="287">
        <f t="shared" si="22"/>
        <v>175000</v>
      </c>
      <c r="AV18" s="287">
        <f t="shared" si="23"/>
        <v>0</v>
      </c>
      <c r="AW18" s="287">
        <f t="shared" si="24"/>
        <v>0</v>
      </c>
      <c r="AX18" s="287">
        <f t="shared" si="25"/>
        <v>0</v>
      </c>
      <c r="AY18" s="287">
        <f t="shared" si="26"/>
        <v>0</v>
      </c>
      <c r="AZ18" s="287">
        <f t="shared" si="27"/>
        <v>0</v>
      </c>
      <c r="BA18" s="287">
        <f t="shared" si="28"/>
        <v>0</v>
      </c>
      <c r="BB18" s="16"/>
      <c r="BC18" s="287">
        <f t="shared" si="29"/>
        <v>0</v>
      </c>
      <c r="BD18" s="287">
        <f t="shared" si="30"/>
        <v>0</v>
      </c>
      <c r="BE18" s="287">
        <f t="shared" si="31"/>
        <v>0</v>
      </c>
      <c r="BF18" s="287">
        <f t="shared" si="32"/>
        <v>0</v>
      </c>
      <c r="BG18" s="287">
        <f t="shared" si="33"/>
        <v>0</v>
      </c>
      <c r="BH18" s="287">
        <f t="shared" si="34"/>
        <v>0</v>
      </c>
      <c r="BI18" s="287">
        <f t="shared" si="35"/>
        <v>0</v>
      </c>
      <c r="BJ18" s="287">
        <f t="shared" si="36"/>
        <v>0</v>
      </c>
      <c r="BK18" s="287">
        <f t="shared" si="37"/>
        <v>0</v>
      </c>
      <c r="BL18" s="287">
        <f t="shared" si="38"/>
        <v>0</v>
      </c>
      <c r="BM18" s="16"/>
      <c r="BN18" s="287">
        <f t="shared" si="39"/>
        <v>218750</v>
      </c>
      <c r="BO18" s="287">
        <f t="shared" si="40"/>
        <v>0</v>
      </c>
      <c r="BP18" s="430"/>
      <c r="BQ18" s="21"/>
      <c r="BR18" s="21"/>
      <c r="BS18" s="6"/>
      <c r="BT18" s="194">
        <f t="shared" si="14"/>
        <v>218750</v>
      </c>
      <c r="BU18" s="194">
        <f t="shared" si="15"/>
        <v>218750</v>
      </c>
      <c r="BV18" s="194">
        <f t="shared" si="16"/>
        <v>0</v>
      </c>
      <c r="BW18" s="194">
        <f t="shared" si="17"/>
        <v>0</v>
      </c>
      <c r="BX18" s="6"/>
      <c r="BY18" s="6"/>
      <c r="BZ18" s="39">
        <v>5</v>
      </c>
      <c r="CA18" s="39">
        <f t="shared" si="41"/>
        <v>2031</v>
      </c>
      <c r="CB18" s="6"/>
      <c r="CC18" s="39"/>
      <c r="CD18" s="39"/>
      <c r="CE18" s="39"/>
      <c r="CF18" s="39"/>
      <c r="CG18" s="39"/>
      <c r="CH18" s="39"/>
      <c r="CI18" s="39"/>
      <c r="CJ18" s="39"/>
      <c r="CK18" s="39"/>
    </row>
    <row r="19" spans="1:89" s="193" customFormat="1" ht="36">
      <c r="A19" s="375" t="s">
        <v>2506</v>
      </c>
      <c r="B19" s="21" t="str">
        <f t="shared" si="18"/>
        <v xml:space="preserve">CI </v>
      </c>
      <c r="C19" s="21"/>
      <c r="D19" s="432">
        <v>3201504</v>
      </c>
      <c r="E19" s="439" t="s">
        <v>3626</v>
      </c>
      <c r="F19" s="439" t="s">
        <v>5138</v>
      </c>
      <c r="G19" s="273" t="s">
        <v>4277</v>
      </c>
      <c r="H19" s="500" t="s">
        <v>5137</v>
      </c>
      <c r="I19" s="262" t="s">
        <v>3492</v>
      </c>
      <c r="J19" s="262" t="s">
        <v>3507</v>
      </c>
      <c r="K19" s="263">
        <v>262000</v>
      </c>
      <c r="L19" s="263">
        <v>0</v>
      </c>
      <c r="M19" s="263">
        <v>0</v>
      </c>
      <c r="N19" s="263">
        <v>0</v>
      </c>
      <c r="O19" s="263">
        <v>0</v>
      </c>
      <c r="P19" s="263">
        <v>0</v>
      </c>
      <c r="Q19" s="263">
        <v>0</v>
      </c>
      <c r="R19" s="263">
        <v>0</v>
      </c>
      <c r="S19" s="263">
        <v>0</v>
      </c>
      <c r="T19" s="263">
        <v>0</v>
      </c>
      <c r="U19" s="263">
        <f t="shared" si="3"/>
        <v>262000</v>
      </c>
      <c r="V19" s="196" t="str">
        <f t="shared" si="4"/>
        <v>G/LOS/R</v>
      </c>
      <c r="W19" s="196" t="s">
        <v>1168</v>
      </c>
      <c r="X19" s="196" t="str">
        <f t="shared" si="5"/>
        <v>Y</v>
      </c>
      <c r="Y19" s="376">
        <f t="shared" si="6"/>
        <v>262000</v>
      </c>
      <c r="Z19" s="198"/>
      <c r="AA19" s="376">
        <f t="shared" si="7"/>
        <v>262000</v>
      </c>
      <c r="AB19" s="196" t="s">
        <v>1166</v>
      </c>
      <c r="AC19" s="196" t="s">
        <v>1168</v>
      </c>
      <c r="AD19" s="275">
        <v>0.75</v>
      </c>
      <c r="AE19" s="275">
        <v>0.25</v>
      </c>
      <c r="AF19" s="275">
        <v>0.15</v>
      </c>
      <c r="AG19" s="442">
        <v>0.5</v>
      </c>
      <c r="AH19" s="442">
        <v>0.75</v>
      </c>
      <c r="AI19" s="377">
        <f t="shared" si="8"/>
        <v>0.625</v>
      </c>
      <c r="AJ19" s="203">
        <v>1</v>
      </c>
      <c r="AK19" s="203">
        <f t="shared" si="42"/>
        <v>0</v>
      </c>
      <c r="AL19" s="376">
        <f t="shared" si="9"/>
        <v>98250</v>
      </c>
      <c r="AM19" s="376">
        <f t="shared" si="10"/>
        <v>163750</v>
      </c>
      <c r="AN19" s="376">
        <f t="shared" si="11"/>
        <v>0</v>
      </c>
      <c r="AO19" s="378" t="s">
        <v>3608</v>
      </c>
      <c r="AP19" s="379" t="s">
        <v>2856</v>
      </c>
      <c r="AQ19" s="279" t="s">
        <v>4287</v>
      </c>
      <c r="AR19" s="287">
        <f t="shared" si="19"/>
        <v>163750</v>
      </c>
      <c r="AS19" s="287">
        <f t="shared" si="20"/>
        <v>0</v>
      </c>
      <c r="AT19" s="287">
        <f t="shared" si="21"/>
        <v>0</v>
      </c>
      <c r="AU19" s="287">
        <f t="shared" si="22"/>
        <v>0</v>
      </c>
      <c r="AV19" s="287">
        <f t="shared" si="23"/>
        <v>0</v>
      </c>
      <c r="AW19" s="287">
        <f t="shared" si="24"/>
        <v>0</v>
      </c>
      <c r="AX19" s="287">
        <f t="shared" si="25"/>
        <v>0</v>
      </c>
      <c r="AY19" s="287">
        <f t="shared" si="26"/>
        <v>0</v>
      </c>
      <c r="AZ19" s="287">
        <f t="shared" si="27"/>
        <v>0</v>
      </c>
      <c r="BA19" s="287">
        <f t="shared" si="28"/>
        <v>0</v>
      </c>
      <c r="BB19" s="16"/>
      <c r="BC19" s="287">
        <f t="shared" si="29"/>
        <v>0</v>
      </c>
      <c r="BD19" s="287">
        <f t="shared" si="30"/>
        <v>0</v>
      </c>
      <c r="BE19" s="287">
        <f t="shared" si="31"/>
        <v>0</v>
      </c>
      <c r="BF19" s="287">
        <f t="shared" si="32"/>
        <v>0</v>
      </c>
      <c r="BG19" s="287">
        <f t="shared" si="33"/>
        <v>0</v>
      </c>
      <c r="BH19" s="287">
        <f t="shared" si="34"/>
        <v>0</v>
      </c>
      <c r="BI19" s="287">
        <f t="shared" si="35"/>
        <v>0</v>
      </c>
      <c r="BJ19" s="287">
        <f t="shared" si="36"/>
        <v>0</v>
      </c>
      <c r="BK19" s="287">
        <f t="shared" si="37"/>
        <v>0</v>
      </c>
      <c r="BL19" s="287">
        <f t="shared" si="38"/>
        <v>0</v>
      </c>
      <c r="BM19" s="16"/>
      <c r="BN19" s="287">
        <f t="shared" si="39"/>
        <v>163750</v>
      </c>
      <c r="BO19" s="287">
        <f t="shared" si="40"/>
        <v>0</v>
      </c>
      <c r="BP19" s="430"/>
      <c r="BQ19" s="21"/>
      <c r="BR19" s="21"/>
      <c r="BS19" s="6"/>
      <c r="BT19" s="194">
        <f t="shared" si="14"/>
        <v>163750</v>
      </c>
      <c r="BU19" s="194">
        <f t="shared" si="15"/>
        <v>163750</v>
      </c>
      <c r="BV19" s="194">
        <f t="shared" si="16"/>
        <v>0</v>
      </c>
      <c r="BW19" s="194">
        <f t="shared" si="17"/>
        <v>0</v>
      </c>
      <c r="BX19" s="6"/>
      <c r="BY19" s="6"/>
      <c r="BZ19" s="39">
        <v>6</v>
      </c>
      <c r="CA19" s="39">
        <f t="shared" si="41"/>
        <v>2031</v>
      </c>
      <c r="CB19" s="6"/>
      <c r="CC19" s="39"/>
      <c r="CD19" s="39"/>
      <c r="CE19" s="39"/>
      <c r="CF19" s="39"/>
      <c r="CG19" s="39"/>
      <c r="CH19" s="39"/>
      <c r="CI19" s="39"/>
      <c r="CJ19" s="39"/>
      <c r="CK19" s="39"/>
    </row>
    <row r="20" spans="1:89" s="193" customFormat="1" ht="36">
      <c r="A20" s="375" t="s">
        <v>2506</v>
      </c>
      <c r="B20" s="21" t="str">
        <f t="shared" si="18"/>
        <v xml:space="preserve">CI </v>
      </c>
      <c r="C20" s="21"/>
      <c r="D20" s="432">
        <v>3201504</v>
      </c>
      <c r="E20" s="439" t="s">
        <v>3626</v>
      </c>
      <c r="F20" s="439" t="s">
        <v>5134</v>
      </c>
      <c r="G20" s="273" t="s">
        <v>4296</v>
      </c>
      <c r="H20" s="500" t="s">
        <v>5133</v>
      </c>
      <c r="I20" s="262" t="s">
        <v>3492</v>
      </c>
      <c r="J20" s="262" t="s">
        <v>3507</v>
      </c>
      <c r="K20" s="263">
        <v>250000</v>
      </c>
      <c r="L20" s="263">
        <v>0</v>
      </c>
      <c r="M20" s="263">
        <v>0</v>
      </c>
      <c r="N20" s="263">
        <v>0</v>
      </c>
      <c r="O20" s="263">
        <v>0</v>
      </c>
      <c r="P20" s="263">
        <v>0</v>
      </c>
      <c r="Q20" s="263">
        <v>0</v>
      </c>
      <c r="R20" s="263">
        <v>0</v>
      </c>
      <c r="S20" s="263">
        <v>0</v>
      </c>
      <c r="T20" s="263">
        <v>0</v>
      </c>
      <c r="U20" s="263">
        <f t="shared" si="3"/>
        <v>250000</v>
      </c>
      <c r="V20" s="196" t="str">
        <f t="shared" si="4"/>
        <v>G/LOS</v>
      </c>
      <c r="W20" s="196" t="s">
        <v>1168</v>
      </c>
      <c r="X20" s="196" t="str">
        <f t="shared" si="5"/>
        <v>Y</v>
      </c>
      <c r="Y20" s="376">
        <f t="shared" si="6"/>
        <v>250000</v>
      </c>
      <c r="Z20" s="198"/>
      <c r="AA20" s="376">
        <f t="shared" si="7"/>
        <v>250000</v>
      </c>
      <c r="AB20" s="196" t="s">
        <v>1166</v>
      </c>
      <c r="AC20" s="196" t="s">
        <v>1168</v>
      </c>
      <c r="AD20" s="275">
        <v>0.75</v>
      </c>
      <c r="AE20" s="275">
        <v>0.25</v>
      </c>
      <c r="AF20" s="275">
        <v>0</v>
      </c>
      <c r="AG20" s="442">
        <v>0.5</v>
      </c>
      <c r="AH20" s="442">
        <v>0.75</v>
      </c>
      <c r="AI20" s="377">
        <f t="shared" si="8"/>
        <v>0.625</v>
      </c>
      <c r="AJ20" s="203">
        <v>1</v>
      </c>
      <c r="AK20" s="203">
        <f t="shared" si="42"/>
        <v>0</v>
      </c>
      <c r="AL20" s="376">
        <f t="shared" si="9"/>
        <v>93750</v>
      </c>
      <c r="AM20" s="376">
        <f t="shared" si="10"/>
        <v>156250</v>
      </c>
      <c r="AN20" s="376">
        <f t="shared" si="11"/>
        <v>0</v>
      </c>
      <c r="AO20" s="378" t="s">
        <v>3608</v>
      </c>
      <c r="AP20" s="379" t="s">
        <v>2856</v>
      </c>
      <c r="AQ20" s="279" t="s">
        <v>4287</v>
      </c>
      <c r="AR20" s="287">
        <f t="shared" si="19"/>
        <v>156250</v>
      </c>
      <c r="AS20" s="287">
        <f t="shared" si="20"/>
        <v>0</v>
      </c>
      <c r="AT20" s="287">
        <f t="shared" si="21"/>
        <v>0</v>
      </c>
      <c r="AU20" s="287">
        <f t="shared" si="22"/>
        <v>0</v>
      </c>
      <c r="AV20" s="287">
        <f t="shared" si="23"/>
        <v>0</v>
      </c>
      <c r="AW20" s="287">
        <f t="shared" si="24"/>
        <v>0</v>
      </c>
      <c r="AX20" s="287">
        <f t="shared" si="25"/>
        <v>0</v>
      </c>
      <c r="AY20" s="287">
        <f t="shared" si="26"/>
        <v>0</v>
      </c>
      <c r="AZ20" s="287">
        <f t="shared" si="27"/>
        <v>0</v>
      </c>
      <c r="BA20" s="287">
        <f t="shared" si="28"/>
        <v>0</v>
      </c>
      <c r="BB20" s="16"/>
      <c r="BC20" s="287">
        <f t="shared" si="29"/>
        <v>0</v>
      </c>
      <c r="BD20" s="287">
        <f t="shared" si="30"/>
        <v>0</v>
      </c>
      <c r="BE20" s="287">
        <f t="shared" si="31"/>
        <v>0</v>
      </c>
      <c r="BF20" s="287">
        <f t="shared" si="32"/>
        <v>0</v>
      </c>
      <c r="BG20" s="287">
        <f t="shared" si="33"/>
        <v>0</v>
      </c>
      <c r="BH20" s="287">
        <f t="shared" si="34"/>
        <v>0</v>
      </c>
      <c r="BI20" s="287">
        <f t="shared" si="35"/>
        <v>0</v>
      </c>
      <c r="BJ20" s="287">
        <f t="shared" si="36"/>
        <v>0</v>
      </c>
      <c r="BK20" s="287">
        <f t="shared" si="37"/>
        <v>0</v>
      </c>
      <c r="BL20" s="287">
        <f t="shared" si="38"/>
        <v>0</v>
      </c>
      <c r="BM20" s="16"/>
      <c r="BN20" s="287">
        <f t="shared" si="39"/>
        <v>156250</v>
      </c>
      <c r="BO20" s="287">
        <f t="shared" si="40"/>
        <v>0</v>
      </c>
      <c r="BP20" s="430"/>
      <c r="BQ20" s="21"/>
      <c r="BR20" s="21"/>
      <c r="BS20" s="6"/>
      <c r="BT20" s="194">
        <f t="shared" si="14"/>
        <v>156250</v>
      </c>
      <c r="BU20" s="194">
        <f t="shared" si="15"/>
        <v>156250</v>
      </c>
      <c r="BV20" s="194">
        <f t="shared" si="16"/>
        <v>0</v>
      </c>
      <c r="BW20" s="194">
        <f t="shared" si="17"/>
        <v>0</v>
      </c>
      <c r="BX20" s="6"/>
      <c r="BY20" s="6"/>
      <c r="BZ20" s="39">
        <v>7</v>
      </c>
      <c r="CA20" s="39">
        <f t="shared" si="41"/>
        <v>2031</v>
      </c>
      <c r="CB20" s="6"/>
      <c r="CC20" s="39"/>
      <c r="CD20" s="39"/>
      <c r="CE20" s="39"/>
      <c r="CF20" s="39"/>
      <c r="CG20" s="39"/>
      <c r="CH20" s="39"/>
      <c r="CI20" s="39"/>
      <c r="CJ20" s="39"/>
      <c r="CK20" s="39"/>
    </row>
    <row r="21" spans="1:89" s="193" customFormat="1" ht="24">
      <c r="A21" s="375" t="s">
        <v>2503</v>
      </c>
      <c r="B21" s="21" t="str">
        <f t="shared" si="18"/>
        <v xml:space="preserve">CI </v>
      </c>
      <c r="C21" s="21"/>
      <c r="D21" s="432">
        <v>3200658</v>
      </c>
      <c r="E21" s="439" t="s">
        <v>3626</v>
      </c>
      <c r="F21" s="439" t="s">
        <v>3452</v>
      </c>
      <c r="G21" s="273" t="s">
        <v>4319</v>
      </c>
      <c r="H21" s="500" t="s">
        <v>4489</v>
      </c>
      <c r="I21" s="262" t="s">
        <v>3493</v>
      </c>
      <c r="J21" s="262" t="s">
        <v>3504</v>
      </c>
      <c r="K21" s="263">
        <v>0</v>
      </c>
      <c r="L21" s="263">
        <v>0</v>
      </c>
      <c r="M21" s="263">
        <v>5600000</v>
      </c>
      <c r="N21" s="263">
        <v>4850000</v>
      </c>
      <c r="O21" s="263">
        <v>4850000</v>
      </c>
      <c r="P21" s="263">
        <v>2000000</v>
      </c>
      <c r="Q21" s="263">
        <v>0</v>
      </c>
      <c r="R21" s="263">
        <v>0</v>
      </c>
      <c r="S21" s="263">
        <v>0</v>
      </c>
      <c r="T21" s="263">
        <v>0</v>
      </c>
      <c r="U21" s="263">
        <f t="shared" si="3"/>
        <v>17300000</v>
      </c>
      <c r="V21" s="196" t="str">
        <f t="shared" si="4"/>
        <v>G/LOS</v>
      </c>
      <c r="W21" s="196" t="s">
        <v>1168</v>
      </c>
      <c r="X21" s="196" t="str">
        <f t="shared" si="5"/>
        <v>Y</v>
      </c>
      <c r="Y21" s="376">
        <f t="shared" si="6"/>
        <v>17300000</v>
      </c>
      <c r="Z21" s="198"/>
      <c r="AA21" s="376">
        <f t="shared" si="7"/>
        <v>17300000</v>
      </c>
      <c r="AB21" s="196" t="s">
        <v>1166</v>
      </c>
      <c r="AC21" s="196" t="s">
        <v>1168</v>
      </c>
      <c r="AD21" s="275">
        <v>0.72499999999999998</v>
      </c>
      <c r="AE21" s="275">
        <v>0.27500000000000002</v>
      </c>
      <c r="AF21" s="275">
        <v>0</v>
      </c>
      <c r="AG21" s="199">
        <v>0.3</v>
      </c>
      <c r="AH21" s="199">
        <v>0.3</v>
      </c>
      <c r="AI21" s="377">
        <f t="shared" si="8"/>
        <v>0.3</v>
      </c>
      <c r="AJ21" s="203">
        <v>1</v>
      </c>
      <c r="AK21" s="203">
        <f t="shared" si="42"/>
        <v>0</v>
      </c>
      <c r="AL21" s="376">
        <f t="shared" si="9"/>
        <v>12110000</v>
      </c>
      <c r="AM21" s="376">
        <f t="shared" si="10"/>
        <v>5190000</v>
      </c>
      <c r="AN21" s="376">
        <f t="shared" si="11"/>
        <v>0</v>
      </c>
      <c r="AO21" s="378" t="s">
        <v>3607</v>
      </c>
      <c r="AP21" s="379" t="s">
        <v>2857</v>
      </c>
      <c r="AQ21" s="279" t="s">
        <v>4308</v>
      </c>
      <c r="AR21" s="287">
        <f t="shared" si="19"/>
        <v>0</v>
      </c>
      <c r="AS21" s="287">
        <f t="shared" si="20"/>
        <v>0</v>
      </c>
      <c r="AT21" s="287">
        <f t="shared" si="21"/>
        <v>1680000</v>
      </c>
      <c r="AU21" s="287">
        <f t="shared" si="22"/>
        <v>1455000</v>
      </c>
      <c r="AV21" s="287">
        <f t="shared" si="23"/>
        <v>1455000</v>
      </c>
      <c r="AW21" s="287">
        <f t="shared" si="24"/>
        <v>600000</v>
      </c>
      <c r="AX21" s="287">
        <f t="shared" si="25"/>
        <v>0</v>
      </c>
      <c r="AY21" s="287">
        <f t="shared" si="26"/>
        <v>0</v>
      </c>
      <c r="AZ21" s="287">
        <f t="shared" si="27"/>
        <v>0</v>
      </c>
      <c r="BA21" s="287">
        <f t="shared" si="28"/>
        <v>0</v>
      </c>
      <c r="BB21" s="16"/>
      <c r="BC21" s="287">
        <f t="shared" si="29"/>
        <v>0</v>
      </c>
      <c r="BD21" s="287">
        <f t="shared" si="30"/>
        <v>0</v>
      </c>
      <c r="BE21" s="287">
        <f t="shared" si="31"/>
        <v>0</v>
      </c>
      <c r="BF21" s="287">
        <f t="shared" si="32"/>
        <v>0</v>
      </c>
      <c r="BG21" s="287">
        <f t="shared" si="33"/>
        <v>0</v>
      </c>
      <c r="BH21" s="287">
        <f t="shared" si="34"/>
        <v>0</v>
      </c>
      <c r="BI21" s="287">
        <f t="shared" si="35"/>
        <v>0</v>
      </c>
      <c r="BJ21" s="287">
        <f t="shared" si="36"/>
        <v>0</v>
      </c>
      <c r="BK21" s="287">
        <f t="shared" si="37"/>
        <v>0</v>
      </c>
      <c r="BL21" s="287">
        <f t="shared" si="38"/>
        <v>0</v>
      </c>
      <c r="BM21" s="16"/>
      <c r="BN21" s="287">
        <f t="shared" si="39"/>
        <v>5190000</v>
      </c>
      <c r="BO21" s="287">
        <f t="shared" si="40"/>
        <v>0</v>
      </c>
      <c r="BP21" s="430"/>
      <c r="BQ21" s="21"/>
      <c r="BR21" s="21"/>
      <c r="BS21" s="6"/>
      <c r="BT21" s="194">
        <f t="shared" si="14"/>
        <v>5190000</v>
      </c>
      <c r="BU21" s="194">
        <f t="shared" si="15"/>
        <v>5190000</v>
      </c>
      <c r="BV21" s="194">
        <f t="shared" si="16"/>
        <v>0</v>
      </c>
      <c r="BW21" s="194">
        <f t="shared" si="17"/>
        <v>0</v>
      </c>
      <c r="BX21" s="6"/>
      <c r="BY21" s="627"/>
      <c r="BZ21" s="39">
        <v>8</v>
      </c>
      <c r="CA21" s="39">
        <f t="shared" si="41"/>
        <v>2031</v>
      </c>
      <c r="CB21" s="6"/>
      <c r="CC21" s="39"/>
      <c r="CD21" s="39"/>
      <c r="CE21" s="39"/>
      <c r="CF21" s="39"/>
      <c r="CG21" s="39"/>
      <c r="CH21" s="39"/>
      <c r="CI21" s="39"/>
      <c r="CJ21" s="39"/>
      <c r="CK21" s="39"/>
    </row>
    <row r="22" spans="1:89" s="193" customFormat="1" ht="84">
      <c r="A22" s="375" t="s">
        <v>2503</v>
      </c>
      <c r="B22" s="21" t="str">
        <f t="shared" si="18"/>
        <v xml:space="preserve">CI </v>
      </c>
      <c r="C22" s="21"/>
      <c r="D22" s="432">
        <v>3200671</v>
      </c>
      <c r="E22" s="439" t="s">
        <v>3626</v>
      </c>
      <c r="F22" s="439" t="s">
        <v>3734</v>
      </c>
      <c r="G22" s="273" t="s">
        <v>4309</v>
      </c>
      <c r="H22" s="500" t="s">
        <v>5166</v>
      </c>
      <c r="I22" s="262" t="s">
        <v>3492</v>
      </c>
      <c r="J22" s="262" t="s">
        <v>3509</v>
      </c>
      <c r="K22" s="263">
        <v>549399</v>
      </c>
      <c r="L22" s="263">
        <v>0</v>
      </c>
      <c r="M22" s="263">
        <v>0</v>
      </c>
      <c r="N22" s="263">
        <v>0</v>
      </c>
      <c r="O22" s="263">
        <v>0</v>
      </c>
      <c r="P22" s="263">
        <v>0</v>
      </c>
      <c r="Q22" s="263">
        <v>0</v>
      </c>
      <c r="R22" s="263">
        <v>0</v>
      </c>
      <c r="S22" s="263">
        <v>0</v>
      </c>
      <c r="T22" s="263">
        <v>0</v>
      </c>
      <c r="U22" s="263">
        <f t="shared" si="3"/>
        <v>549399</v>
      </c>
      <c r="V22" s="196" t="str">
        <f t="shared" si="4"/>
        <v>G/LOS</v>
      </c>
      <c r="W22" s="196" t="s">
        <v>1168</v>
      </c>
      <c r="X22" s="196" t="str">
        <f t="shared" si="5"/>
        <v>Y</v>
      </c>
      <c r="Y22" s="376">
        <f t="shared" si="6"/>
        <v>549399</v>
      </c>
      <c r="Z22" s="198"/>
      <c r="AA22" s="376">
        <f t="shared" si="7"/>
        <v>549399</v>
      </c>
      <c r="AB22" s="196" t="s">
        <v>1166</v>
      </c>
      <c r="AC22" s="196" t="s">
        <v>1168</v>
      </c>
      <c r="AD22" s="275">
        <v>0.53990745965772691</v>
      </c>
      <c r="AE22" s="275">
        <v>0.46009254034227304</v>
      </c>
      <c r="AF22" s="275">
        <v>0</v>
      </c>
      <c r="AG22" s="199">
        <v>0.54</v>
      </c>
      <c r="AH22" s="199">
        <v>0.54</v>
      </c>
      <c r="AI22" s="377">
        <f t="shared" si="8"/>
        <v>0.54</v>
      </c>
      <c r="AJ22" s="203">
        <v>1</v>
      </c>
      <c r="AK22" s="203">
        <f t="shared" si="42"/>
        <v>0</v>
      </c>
      <c r="AL22" s="376">
        <f t="shared" si="9"/>
        <v>252723.53999999998</v>
      </c>
      <c r="AM22" s="376">
        <f t="shared" si="10"/>
        <v>296675.46000000002</v>
      </c>
      <c r="AN22" s="376">
        <f t="shared" si="11"/>
        <v>0</v>
      </c>
      <c r="AO22" s="378" t="s">
        <v>3607</v>
      </c>
      <c r="AP22" s="379" t="s">
        <v>2858</v>
      </c>
      <c r="AQ22" s="279"/>
      <c r="AR22" s="287">
        <f t="shared" si="19"/>
        <v>296675.46000000002</v>
      </c>
      <c r="AS22" s="287">
        <f t="shared" si="20"/>
        <v>0</v>
      </c>
      <c r="AT22" s="287">
        <f t="shared" si="21"/>
        <v>0</v>
      </c>
      <c r="AU22" s="287">
        <f t="shared" si="22"/>
        <v>0</v>
      </c>
      <c r="AV22" s="287">
        <f t="shared" si="23"/>
        <v>0</v>
      </c>
      <c r="AW22" s="287">
        <f t="shared" si="24"/>
        <v>0</v>
      </c>
      <c r="AX22" s="287">
        <f t="shared" si="25"/>
        <v>0</v>
      </c>
      <c r="AY22" s="287">
        <f t="shared" si="26"/>
        <v>0</v>
      </c>
      <c r="AZ22" s="287">
        <f t="shared" si="27"/>
        <v>0</v>
      </c>
      <c r="BA22" s="287">
        <f t="shared" si="28"/>
        <v>0</v>
      </c>
      <c r="BB22" s="16"/>
      <c r="BC22" s="287">
        <f t="shared" si="29"/>
        <v>0</v>
      </c>
      <c r="BD22" s="287">
        <f t="shared" si="30"/>
        <v>0</v>
      </c>
      <c r="BE22" s="287">
        <f t="shared" si="31"/>
        <v>0</v>
      </c>
      <c r="BF22" s="287">
        <f t="shared" si="32"/>
        <v>0</v>
      </c>
      <c r="BG22" s="287">
        <f t="shared" si="33"/>
        <v>0</v>
      </c>
      <c r="BH22" s="287">
        <f t="shared" si="34"/>
        <v>0</v>
      </c>
      <c r="BI22" s="287">
        <f t="shared" si="35"/>
        <v>0</v>
      </c>
      <c r="BJ22" s="287">
        <f t="shared" si="36"/>
        <v>0</v>
      </c>
      <c r="BK22" s="287">
        <f t="shared" si="37"/>
        <v>0</v>
      </c>
      <c r="BL22" s="287">
        <f t="shared" si="38"/>
        <v>0</v>
      </c>
      <c r="BM22" s="16"/>
      <c r="BN22" s="287">
        <f t="shared" si="39"/>
        <v>296675.46000000002</v>
      </c>
      <c r="BO22" s="287">
        <f t="shared" si="40"/>
        <v>0</v>
      </c>
      <c r="BP22" s="430"/>
      <c r="BQ22" s="21"/>
      <c r="BR22" s="21"/>
      <c r="BS22" s="6"/>
      <c r="BT22" s="194">
        <f t="shared" si="14"/>
        <v>296675.46000000002</v>
      </c>
      <c r="BU22" s="194">
        <f t="shared" si="15"/>
        <v>296675.46000000002</v>
      </c>
      <c r="BV22" s="194">
        <f t="shared" si="16"/>
        <v>0</v>
      </c>
      <c r="BW22" s="194">
        <f t="shared" si="17"/>
        <v>0</v>
      </c>
      <c r="BX22" s="6"/>
      <c r="BY22" s="627"/>
      <c r="BZ22" s="39">
        <v>9</v>
      </c>
      <c r="CA22" s="39">
        <f t="shared" si="41"/>
        <v>2031</v>
      </c>
      <c r="CB22" s="6"/>
      <c r="CC22" s="39"/>
      <c r="CD22" s="39"/>
      <c r="CE22" s="39"/>
      <c r="CF22" s="39"/>
      <c r="CG22" s="39"/>
      <c r="CH22" s="39"/>
      <c r="CI22" s="39"/>
      <c r="CJ22" s="39"/>
      <c r="CK22" s="39"/>
    </row>
    <row r="23" spans="1:89" s="514" customFormat="1" ht="24">
      <c r="A23" s="375" t="s">
        <v>2503</v>
      </c>
      <c r="B23" s="21" t="str">
        <f t="shared" si="18"/>
        <v xml:space="preserve">CI </v>
      </c>
      <c r="C23" s="21"/>
      <c r="D23" s="432">
        <v>3200792</v>
      </c>
      <c r="E23" s="439" t="s">
        <v>3626</v>
      </c>
      <c r="F23" s="439" t="s">
        <v>3738</v>
      </c>
      <c r="G23" s="273" t="s">
        <v>3390</v>
      </c>
      <c r="H23" s="500" t="s">
        <v>5327</v>
      </c>
      <c r="I23" s="262" t="s">
        <v>3492</v>
      </c>
      <c r="J23" s="262" t="s">
        <v>3517</v>
      </c>
      <c r="K23" s="263">
        <v>100000</v>
      </c>
      <c r="L23" s="263">
        <v>1050000</v>
      </c>
      <c r="M23" s="263">
        <v>3884346</v>
      </c>
      <c r="N23" s="263">
        <v>0</v>
      </c>
      <c r="O23" s="263">
        <v>0</v>
      </c>
      <c r="P23" s="263">
        <v>0</v>
      </c>
      <c r="Q23" s="263">
        <v>0</v>
      </c>
      <c r="R23" s="263">
        <v>0</v>
      </c>
      <c r="S23" s="263">
        <v>0</v>
      </c>
      <c r="T23" s="263">
        <v>0</v>
      </c>
      <c r="U23" s="263">
        <f t="shared" si="3"/>
        <v>5034346</v>
      </c>
      <c r="V23" s="196" t="str">
        <f t="shared" si="4"/>
        <v>G/LOS</v>
      </c>
      <c r="W23" s="196" t="s">
        <v>1168</v>
      </c>
      <c r="X23" s="196" t="s">
        <v>5452</v>
      </c>
      <c r="Y23" s="376">
        <f t="shared" si="6"/>
        <v>5034346</v>
      </c>
      <c r="Z23" s="198"/>
      <c r="AA23" s="376">
        <f t="shared" si="7"/>
        <v>5034346</v>
      </c>
      <c r="AB23" s="196" t="s">
        <v>1166</v>
      </c>
      <c r="AC23" s="196" t="s">
        <v>1168</v>
      </c>
      <c r="AD23" s="275">
        <v>0.5</v>
      </c>
      <c r="AE23" s="275">
        <v>0.5</v>
      </c>
      <c r="AF23" s="275">
        <v>0</v>
      </c>
      <c r="AG23" s="199">
        <v>0.23</v>
      </c>
      <c r="AH23" s="199">
        <v>0.23</v>
      </c>
      <c r="AI23" s="377">
        <f t="shared" si="8"/>
        <v>0.23</v>
      </c>
      <c r="AJ23" s="203">
        <v>1</v>
      </c>
      <c r="AK23" s="203">
        <f t="shared" si="42"/>
        <v>0</v>
      </c>
      <c r="AL23" s="376">
        <f t="shared" si="9"/>
        <v>3876446.42</v>
      </c>
      <c r="AM23" s="376">
        <f t="shared" si="10"/>
        <v>1157899.58</v>
      </c>
      <c r="AN23" s="376">
        <f t="shared" si="11"/>
        <v>0</v>
      </c>
      <c r="AO23" s="378" t="s">
        <v>3607</v>
      </c>
      <c r="AP23" s="379" t="s">
        <v>2858</v>
      </c>
      <c r="AQ23" s="279"/>
      <c r="AR23" s="287">
        <f t="shared" si="19"/>
        <v>23000</v>
      </c>
      <c r="AS23" s="287">
        <f t="shared" si="20"/>
        <v>241500</v>
      </c>
      <c r="AT23" s="287">
        <f t="shared" si="21"/>
        <v>893399.58000000007</v>
      </c>
      <c r="AU23" s="287">
        <f t="shared" si="22"/>
        <v>0</v>
      </c>
      <c r="AV23" s="287">
        <f t="shared" si="23"/>
        <v>0</v>
      </c>
      <c r="AW23" s="287">
        <f t="shared" si="24"/>
        <v>0</v>
      </c>
      <c r="AX23" s="287">
        <f t="shared" si="25"/>
        <v>0</v>
      </c>
      <c r="AY23" s="287">
        <f t="shared" si="26"/>
        <v>0</v>
      </c>
      <c r="AZ23" s="287">
        <f t="shared" si="27"/>
        <v>0</v>
      </c>
      <c r="BA23" s="287">
        <f t="shared" si="28"/>
        <v>0</v>
      </c>
      <c r="BB23" s="16"/>
      <c r="BC23" s="287">
        <f t="shared" si="29"/>
        <v>0</v>
      </c>
      <c r="BD23" s="287">
        <f t="shared" si="30"/>
        <v>0</v>
      </c>
      <c r="BE23" s="287">
        <f t="shared" si="31"/>
        <v>0</v>
      </c>
      <c r="BF23" s="287">
        <f t="shared" si="32"/>
        <v>0</v>
      </c>
      <c r="BG23" s="287">
        <f t="shared" si="33"/>
        <v>0</v>
      </c>
      <c r="BH23" s="287">
        <f t="shared" si="34"/>
        <v>0</v>
      </c>
      <c r="BI23" s="287">
        <f t="shared" si="35"/>
        <v>0</v>
      </c>
      <c r="BJ23" s="287">
        <f t="shared" si="36"/>
        <v>0</v>
      </c>
      <c r="BK23" s="287">
        <f t="shared" si="37"/>
        <v>0</v>
      </c>
      <c r="BL23" s="287">
        <f t="shared" si="38"/>
        <v>0</v>
      </c>
      <c r="BM23" s="16"/>
      <c r="BN23" s="287">
        <f t="shared" si="39"/>
        <v>1157899.58</v>
      </c>
      <c r="BO23" s="287">
        <f t="shared" si="40"/>
        <v>0</v>
      </c>
      <c r="BP23" s="430"/>
      <c r="BQ23" s="21"/>
      <c r="BR23" s="21"/>
      <c r="BS23" s="6"/>
      <c r="BT23" s="194">
        <f t="shared" si="14"/>
        <v>1157899.58</v>
      </c>
      <c r="BU23" s="194">
        <f t="shared" si="15"/>
        <v>1157899.58</v>
      </c>
      <c r="BV23" s="194">
        <f t="shared" si="16"/>
        <v>0</v>
      </c>
      <c r="BW23" s="194">
        <f t="shared" si="17"/>
        <v>0</v>
      </c>
      <c r="BX23" s="6"/>
      <c r="BY23" s="627"/>
      <c r="BZ23" s="39">
        <v>10</v>
      </c>
      <c r="CA23" s="39">
        <f t="shared" si="41"/>
        <v>2031</v>
      </c>
      <c r="CB23" s="6"/>
      <c r="CC23" s="39"/>
      <c r="CD23" s="39"/>
      <c r="CE23" s="39"/>
      <c r="CF23" s="39"/>
      <c r="CG23" s="39"/>
      <c r="CH23" s="39"/>
      <c r="CI23" s="39"/>
      <c r="CJ23" s="39"/>
      <c r="CK23" s="39"/>
    </row>
    <row r="24" spans="1:89" s="193" customFormat="1" ht="36">
      <c r="A24" s="375" t="s">
        <v>2506</v>
      </c>
      <c r="B24" s="21" t="str">
        <f t="shared" si="18"/>
        <v xml:space="preserve">CI </v>
      </c>
      <c r="C24" s="21"/>
      <c r="D24" s="432">
        <v>3201504</v>
      </c>
      <c r="E24" s="439" t="s">
        <v>3626</v>
      </c>
      <c r="F24" s="439" t="s">
        <v>5132</v>
      </c>
      <c r="G24" s="273" t="s">
        <v>4294</v>
      </c>
      <c r="H24" s="500" t="s">
        <v>5131</v>
      </c>
      <c r="I24" s="262" t="s">
        <v>3492</v>
      </c>
      <c r="J24" s="262" t="s">
        <v>3515</v>
      </c>
      <c r="K24" s="263">
        <v>230000</v>
      </c>
      <c r="L24" s="263">
        <v>300000</v>
      </c>
      <c r="M24" s="263">
        <v>1400000</v>
      </c>
      <c r="N24" s="263">
        <v>0</v>
      </c>
      <c r="O24" s="263">
        <v>0</v>
      </c>
      <c r="P24" s="263">
        <v>0</v>
      </c>
      <c r="Q24" s="263">
        <v>0</v>
      </c>
      <c r="R24" s="263">
        <v>0</v>
      </c>
      <c r="S24" s="263">
        <v>0</v>
      </c>
      <c r="T24" s="263">
        <v>0</v>
      </c>
      <c r="U24" s="263">
        <f t="shared" si="3"/>
        <v>1930000</v>
      </c>
      <c r="V24" s="196" t="str">
        <f t="shared" si="4"/>
        <v>G/LOS</v>
      </c>
      <c r="W24" s="196" t="s">
        <v>1168</v>
      </c>
      <c r="X24" s="196" t="str">
        <f t="shared" si="5"/>
        <v>Y</v>
      </c>
      <c r="Y24" s="376">
        <f t="shared" si="6"/>
        <v>1930000</v>
      </c>
      <c r="Z24" s="198"/>
      <c r="AA24" s="376">
        <f t="shared" si="7"/>
        <v>1930000</v>
      </c>
      <c r="AB24" s="196" t="s">
        <v>1166</v>
      </c>
      <c r="AC24" s="196" t="s">
        <v>1168</v>
      </c>
      <c r="AD24" s="275">
        <v>0.60450391903865008</v>
      </c>
      <c r="AE24" s="275">
        <v>0.39549608096134992</v>
      </c>
      <c r="AF24" s="275">
        <v>0</v>
      </c>
      <c r="AG24" s="442">
        <v>0.5</v>
      </c>
      <c r="AH24" s="442">
        <v>0.7</v>
      </c>
      <c r="AI24" s="377">
        <f t="shared" si="8"/>
        <v>0.6</v>
      </c>
      <c r="AJ24" s="203">
        <v>1</v>
      </c>
      <c r="AK24" s="203">
        <f t="shared" si="42"/>
        <v>0</v>
      </c>
      <c r="AL24" s="376">
        <f t="shared" si="9"/>
        <v>772000</v>
      </c>
      <c r="AM24" s="376">
        <f t="shared" si="10"/>
        <v>1158000</v>
      </c>
      <c r="AN24" s="376">
        <f t="shared" si="11"/>
        <v>0</v>
      </c>
      <c r="AO24" s="378" t="s">
        <v>3608</v>
      </c>
      <c r="AP24" s="379" t="s">
        <v>2859</v>
      </c>
      <c r="AQ24" s="279" t="s">
        <v>4287</v>
      </c>
      <c r="AR24" s="287">
        <f t="shared" si="19"/>
        <v>138000</v>
      </c>
      <c r="AS24" s="287">
        <f t="shared" si="20"/>
        <v>180000</v>
      </c>
      <c r="AT24" s="287">
        <f t="shared" si="21"/>
        <v>840000</v>
      </c>
      <c r="AU24" s="287">
        <f t="shared" si="22"/>
        <v>0</v>
      </c>
      <c r="AV24" s="287">
        <f t="shared" si="23"/>
        <v>0</v>
      </c>
      <c r="AW24" s="287">
        <f t="shared" si="24"/>
        <v>0</v>
      </c>
      <c r="AX24" s="287">
        <f t="shared" si="25"/>
        <v>0</v>
      </c>
      <c r="AY24" s="287">
        <f t="shared" si="26"/>
        <v>0</v>
      </c>
      <c r="AZ24" s="287">
        <f t="shared" si="27"/>
        <v>0</v>
      </c>
      <c r="BA24" s="287">
        <f t="shared" si="28"/>
        <v>0</v>
      </c>
      <c r="BB24" s="16"/>
      <c r="BC24" s="287">
        <f t="shared" si="29"/>
        <v>0</v>
      </c>
      <c r="BD24" s="287">
        <f t="shared" si="30"/>
        <v>0</v>
      </c>
      <c r="BE24" s="287">
        <f t="shared" si="31"/>
        <v>0</v>
      </c>
      <c r="BF24" s="287">
        <f t="shared" si="32"/>
        <v>0</v>
      </c>
      <c r="BG24" s="287">
        <f t="shared" si="33"/>
        <v>0</v>
      </c>
      <c r="BH24" s="287">
        <f t="shared" si="34"/>
        <v>0</v>
      </c>
      <c r="BI24" s="287">
        <f t="shared" si="35"/>
        <v>0</v>
      </c>
      <c r="BJ24" s="287">
        <f t="shared" si="36"/>
        <v>0</v>
      </c>
      <c r="BK24" s="287">
        <f t="shared" si="37"/>
        <v>0</v>
      </c>
      <c r="BL24" s="287">
        <f t="shared" si="38"/>
        <v>0</v>
      </c>
      <c r="BM24" s="16"/>
      <c r="BN24" s="287">
        <f t="shared" si="39"/>
        <v>1158000</v>
      </c>
      <c r="BO24" s="287">
        <f t="shared" si="40"/>
        <v>0</v>
      </c>
      <c r="BP24" s="430"/>
      <c r="BQ24" s="21"/>
      <c r="BR24" s="21"/>
      <c r="BS24" s="6"/>
      <c r="BT24" s="194">
        <f t="shared" si="14"/>
        <v>1158000</v>
      </c>
      <c r="BU24" s="194">
        <f t="shared" si="15"/>
        <v>1158000</v>
      </c>
      <c r="BV24" s="194">
        <f t="shared" si="16"/>
        <v>0</v>
      </c>
      <c r="BW24" s="194">
        <f t="shared" si="17"/>
        <v>0</v>
      </c>
      <c r="BX24" s="6"/>
      <c r="BY24" s="6"/>
      <c r="BZ24" s="39">
        <v>11</v>
      </c>
      <c r="CA24" s="39">
        <f t="shared" si="41"/>
        <v>2031</v>
      </c>
      <c r="CB24" s="6"/>
      <c r="CC24" s="39"/>
      <c r="CD24" s="39"/>
      <c r="CE24" s="39"/>
      <c r="CF24" s="39"/>
      <c r="CG24" s="39"/>
      <c r="CH24" s="39"/>
      <c r="CI24" s="39"/>
      <c r="CJ24" s="39"/>
      <c r="CK24" s="39"/>
    </row>
    <row r="25" spans="1:89" s="193" customFormat="1" ht="60">
      <c r="A25" s="375" t="s">
        <v>2506</v>
      </c>
      <c r="B25" s="21" t="str">
        <f t="shared" si="18"/>
        <v xml:space="preserve">CI </v>
      </c>
      <c r="C25" s="21"/>
      <c r="D25" s="432">
        <v>3201504</v>
      </c>
      <c r="E25" s="439" t="s">
        <v>3626</v>
      </c>
      <c r="F25" s="439" t="s">
        <v>5179</v>
      </c>
      <c r="G25" s="273" t="s">
        <v>4279</v>
      </c>
      <c r="H25" s="500" t="s">
        <v>5178</v>
      </c>
      <c r="I25" s="262" t="s">
        <v>3492</v>
      </c>
      <c r="J25" s="262" t="s">
        <v>3518</v>
      </c>
      <c r="K25" s="263">
        <v>1220000</v>
      </c>
      <c r="L25" s="263">
        <v>160000</v>
      </c>
      <c r="M25" s="263">
        <v>0</v>
      </c>
      <c r="N25" s="263">
        <v>0</v>
      </c>
      <c r="O25" s="263">
        <v>0</v>
      </c>
      <c r="P25" s="263">
        <v>0</v>
      </c>
      <c r="Q25" s="263">
        <v>0</v>
      </c>
      <c r="R25" s="263">
        <v>0</v>
      </c>
      <c r="S25" s="263">
        <v>0</v>
      </c>
      <c r="T25" s="263">
        <v>0</v>
      </c>
      <c r="U25" s="263">
        <f t="shared" si="3"/>
        <v>1380000</v>
      </c>
      <c r="V25" s="196" t="str">
        <f t="shared" si="4"/>
        <v>G/LOS</v>
      </c>
      <c r="W25" s="196" t="s">
        <v>1168</v>
      </c>
      <c r="X25" s="196" t="str">
        <f t="shared" si="5"/>
        <v>Y</v>
      </c>
      <c r="Y25" s="376">
        <f t="shared" si="6"/>
        <v>1380000</v>
      </c>
      <c r="Z25" s="198"/>
      <c r="AA25" s="376">
        <f t="shared" si="7"/>
        <v>1380000</v>
      </c>
      <c r="AB25" s="196" t="s">
        <v>1166</v>
      </c>
      <c r="AC25" s="196" t="s">
        <v>1168</v>
      </c>
      <c r="AD25" s="275">
        <v>0.75</v>
      </c>
      <c r="AE25" s="275">
        <v>0.25</v>
      </c>
      <c r="AF25" s="275">
        <v>0</v>
      </c>
      <c r="AG25" s="442">
        <v>0.75</v>
      </c>
      <c r="AH25" s="442">
        <v>0.75</v>
      </c>
      <c r="AI25" s="377">
        <f t="shared" si="8"/>
        <v>0.75</v>
      </c>
      <c r="AJ25" s="203">
        <v>1</v>
      </c>
      <c r="AK25" s="203">
        <f t="shared" si="42"/>
        <v>0</v>
      </c>
      <c r="AL25" s="376">
        <f t="shared" si="9"/>
        <v>345000</v>
      </c>
      <c r="AM25" s="376">
        <f t="shared" si="10"/>
        <v>1035000</v>
      </c>
      <c r="AN25" s="376">
        <f t="shared" si="11"/>
        <v>0</v>
      </c>
      <c r="AO25" s="378" t="s">
        <v>3608</v>
      </c>
      <c r="AP25" s="379" t="s">
        <v>2859</v>
      </c>
      <c r="AQ25" s="279" t="s">
        <v>4287</v>
      </c>
      <c r="AR25" s="287">
        <f t="shared" si="19"/>
        <v>915000</v>
      </c>
      <c r="AS25" s="287">
        <f t="shared" si="20"/>
        <v>120000</v>
      </c>
      <c r="AT25" s="287">
        <f t="shared" si="21"/>
        <v>0</v>
      </c>
      <c r="AU25" s="287">
        <f t="shared" si="22"/>
        <v>0</v>
      </c>
      <c r="AV25" s="287">
        <f t="shared" si="23"/>
        <v>0</v>
      </c>
      <c r="AW25" s="287">
        <f t="shared" si="24"/>
        <v>0</v>
      </c>
      <c r="AX25" s="287">
        <f t="shared" si="25"/>
        <v>0</v>
      </c>
      <c r="AY25" s="287">
        <f t="shared" si="26"/>
        <v>0</v>
      </c>
      <c r="AZ25" s="287">
        <f t="shared" si="27"/>
        <v>0</v>
      </c>
      <c r="BA25" s="287">
        <f t="shared" si="28"/>
        <v>0</v>
      </c>
      <c r="BB25" s="16"/>
      <c r="BC25" s="287">
        <f t="shared" si="29"/>
        <v>0</v>
      </c>
      <c r="BD25" s="287">
        <f t="shared" si="30"/>
        <v>0</v>
      </c>
      <c r="BE25" s="287">
        <f t="shared" si="31"/>
        <v>0</v>
      </c>
      <c r="BF25" s="287">
        <f t="shared" si="32"/>
        <v>0</v>
      </c>
      <c r="BG25" s="287">
        <f t="shared" si="33"/>
        <v>0</v>
      </c>
      <c r="BH25" s="287">
        <f t="shared" si="34"/>
        <v>0</v>
      </c>
      <c r="BI25" s="287">
        <f t="shared" si="35"/>
        <v>0</v>
      </c>
      <c r="BJ25" s="287">
        <f t="shared" si="36"/>
        <v>0</v>
      </c>
      <c r="BK25" s="287">
        <f t="shared" si="37"/>
        <v>0</v>
      </c>
      <c r="BL25" s="287">
        <f t="shared" si="38"/>
        <v>0</v>
      </c>
      <c r="BM25" s="16"/>
      <c r="BN25" s="287">
        <f t="shared" si="39"/>
        <v>1035000</v>
      </c>
      <c r="BO25" s="287">
        <f t="shared" si="40"/>
        <v>0</v>
      </c>
      <c r="BP25" s="430"/>
      <c r="BQ25" s="21"/>
      <c r="BR25" s="21"/>
      <c r="BS25" s="6"/>
      <c r="BT25" s="194">
        <f t="shared" si="14"/>
        <v>1035000</v>
      </c>
      <c r="BU25" s="194">
        <f t="shared" si="15"/>
        <v>1035000</v>
      </c>
      <c r="BV25" s="194">
        <f t="shared" si="16"/>
        <v>0</v>
      </c>
      <c r="BW25" s="194">
        <f t="shared" si="17"/>
        <v>0</v>
      </c>
      <c r="BX25" s="6"/>
      <c r="BY25" s="6"/>
      <c r="BZ25" s="39">
        <v>12</v>
      </c>
      <c r="CA25" s="39">
        <f t="shared" si="41"/>
        <v>2031</v>
      </c>
      <c r="CB25" s="6"/>
      <c r="CC25" s="39"/>
      <c r="CD25" s="39"/>
      <c r="CE25" s="39"/>
      <c r="CF25" s="39"/>
      <c r="CG25" s="39"/>
      <c r="CH25" s="39"/>
      <c r="CI25" s="39"/>
      <c r="CJ25" s="39"/>
      <c r="CK25" s="39"/>
    </row>
    <row r="26" spans="1:89" s="514" customFormat="1" ht="48">
      <c r="A26" s="375" t="s">
        <v>2503</v>
      </c>
      <c r="B26" s="21" t="str">
        <f t="shared" si="18"/>
        <v xml:space="preserve">CI </v>
      </c>
      <c r="C26" s="21"/>
      <c r="D26" s="432">
        <v>3201438</v>
      </c>
      <c r="E26" s="439" t="s">
        <v>3626</v>
      </c>
      <c r="F26" s="439" t="s">
        <v>3765</v>
      </c>
      <c r="G26" s="273" t="s">
        <v>4312</v>
      </c>
      <c r="H26" s="500" t="s">
        <v>5059</v>
      </c>
      <c r="I26" s="262" t="s">
        <v>3492</v>
      </c>
      <c r="J26" s="262" t="s">
        <v>3522</v>
      </c>
      <c r="K26" s="263">
        <v>30000</v>
      </c>
      <c r="L26" s="263">
        <v>200000</v>
      </c>
      <c r="M26" s="263">
        <v>1000000</v>
      </c>
      <c r="N26" s="263">
        <v>1457069</v>
      </c>
      <c r="O26" s="263">
        <v>0</v>
      </c>
      <c r="P26" s="263">
        <v>0</v>
      </c>
      <c r="Q26" s="263">
        <v>0</v>
      </c>
      <c r="R26" s="263">
        <v>0</v>
      </c>
      <c r="S26" s="263">
        <v>0</v>
      </c>
      <c r="T26" s="263">
        <v>0</v>
      </c>
      <c r="U26" s="263">
        <f t="shared" si="3"/>
        <v>2687069</v>
      </c>
      <c r="V26" s="196" t="str">
        <f t="shared" si="4"/>
        <v>G/LOS</v>
      </c>
      <c r="W26" s="196" t="s">
        <v>1168</v>
      </c>
      <c r="X26" s="196" t="str">
        <f t="shared" si="5"/>
        <v>Y</v>
      </c>
      <c r="Y26" s="376">
        <f t="shared" si="6"/>
        <v>2687069</v>
      </c>
      <c r="Z26" s="198"/>
      <c r="AA26" s="376">
        <f t="shared" si="7"/>
        <v>2687069</v>
      </c>
      <c r="AB26" s="196" t="s">
        <v>1166</v>
      </c>
      <c r="AC26" s="196" t="s">
        <v>1168</v>
      </c>
      <c r="AD26" s="275">
        <v>0.75</v>
      </c>
      <c r="AE26" s="275">
        <v>0.25</v>
      </c>
      <c r="AF26" s="275">
        <v>0</v>
      </c>
      <c r="AG26" s="199">
        <v>0.75</v>
      </c>
      <c r="AH26" s="199">
        <v>0.25</v>
      </c>
      <c r="AI26" s="377">
        <f t="shared" si="8"/>
        <v>0.5</v>
      </c>
      <c r="AJ26" s="203">
        <v>1</v>
      </c>
      <c r="AK26" s="203">
        <f t="shared" si="42"/>
        <v>0</v>
      </c>
      <c r="AL26" s="376">
        <f t="shared" si="9"/>
        <v>1343534.5</v>
      </c>
      <c r="AM26" s="376">
        <f t="shared" si="10"/>
        <v>1343534.5</v>
      </c>
      <c r="AN26" s="376">
        <f t="shared" si="11"/>
        <v>0</v>
      </c>
      <c r="AO26" s="378" t="s">
        <v>3607</v>
      </c>
      <c r="AP26" s="379" t="s">
        <v>2860</v>
      </c>
      <c r="AQ26" s="279"/>
      <c r="AR26" s="287">
        <f t="shared" si="19"/>
        <v>15000</v>
      </c>
      <c r="AS26" s="287">
        <f t="shared" si="20"/>
        <v>100000</v>
      </c>
      <c r="AT26" s="287">
        <f t="shared" si="21"/>
        <v>500000</v>
      </c>
      <c r="AU26" s="287">
        <f t="shared" si="22"/>
        <v>728534.5</v>
      </c>
      <c r="AV26" s="287">
        <f t="shared" si="23"/>
        <v>0</v>
      </c>
      <c r="AW26" s="287">
        <f t="shared" si="24"/>
        <v>0</v>
      </c>
      <c r="AX26" s="287">
        <f t="shared" si="25"/>
        <v>0</v>
      </c>
      <c r="AY26" s="287">
        <f t="shared" si="26"/>
        <v>0</v>
      </c>
      <c r="AZ26" s="287">
        <f t="shared" si="27"/>
        <v>0</v>
      </c>
      <c r="BA26" s="287">
        <f t="shared" si="28"/>
        <v>0</v>
      </c>
      <c r="BB26" s="16"/>
      <c r="BC26" s="287">
        <f t="shared" si="29"/>
        <v>0</v>
      </c>
      <c r="BD26" s="287">
        <f t="shared" si="30"/>
        <v>0</v>
      </c>
      <c r="BE26" s="287">
        <f t="shared" si="31"/>
        <v>0</v>
      </c>
      <c r="BF26" s="287">
        <f t="shared" si="32"/>
        <v>0</v>
      </c>
      <c r="BG26" s="287">
        <f t="shared" si="33"/>
        <v>0</v>
      </c>
      <c r="BH26" s="287">
        <f t="shared" si="34"/>
        <v>0</v>
      </c>
      <c r="BI26" s="287">
        <f t="shared" si="35"/>
        <v>0</v>
      </c>
      <c r="BJ26" s="287">
        <f t="shared" si="36"/>
        <v>0</v>
      </c>
      <c r="BK26" s="287">
        <f t="shared" si="37"/>
        <v>0</v>
      </c>
      <c r="BL26" s="287">
        <f t="shared" si="38"/>
        <v>0</v>
      </c>
      <c r="BM26" s="16"/>
      <c r="BN26" s="287">
        <f t="shared" si="39"/>
        <v>1343534.5</v>
      </c>
      <c r="BO26" s="287">
        <f t="shared" si="40"/>
        <v>0</v>
      </c>
      <c r="BP26" s="430"/>
      <c r="BQ26" s="21"/>
      <c r="BR26" s="21"/>
      <c r="BS26" s="6"/>
      <c r="BT26" s="194">
        <f t="shared" si="14"/>
        <v>1343534.5</v>
      </c>
      <c r="BU26" s="194">
        <f t="shared" si="15"/>
        <v>1343534.5</v>
      </c>
      <c r="BV26" s="194">
        <f t="shared" si="16"/>
        <v>0</v>
      </c>
      <c r="BW26" s="194">
        <f t="shared" si="17"/>
        <v>0</v>
      </c>
      <c r="BX26" s="6"/>
      <c r="BY26" s="627"/>
      <c r="BZ26" s="39">
        <v>13</v>
      </c>
      <c r="CA26" s="39">
        <f t="shared" si="41"/>
        <v>2031</v>
      </c>
      <c r="CB26" s="6"/>
      <c r="CC26" s="39"/>
      <c r="CD26" s="39"/>
      <c r="CE26" s="39"/>
      <c r="CF26" s="39"/>
      <c r="CG26" s="39"/>
      <c r="CH26" s="39"/>
      <c r="CI26" s="39"/>
      <c r="CJ26" s="39"/>
      <c r="CK26" s="39"/>
    </row>
    <row r="27" spans="1:89" s="193" customFormat="1" ht="48">
      <c r="A27" s="375" t="s">
        <v>2502</v>
      </c>
      <c r="B27" s="21" t="str">
        <f t="shared" si="18"/>
        <v xml:space="preserve">CI </v>
      </c>
      <c r="C27" s="21"/>
      <c r="D27" s="432">
        <v>3201502</v>
      </c>
      <c r="E27" s="439" t="s">
        <v>3626</v>
      </c>
      <c r="F27" s="439" t="s">
        <v>5080</v>
      </c>
      <c r="G27" s="273" t="s">
        <v>4250</v>
      </c>
      <c r="H27" s="500" t="s">
        <v>5064</v>
      </c>
      <c r="I27" s="262" t="s">
        <v>3492</v>
      </c>
      <c r="J27" s="262"/>
      <c r="K27" s="263">
        <v>50000</v>
      </c>
      <c r="L27" s="263">
        <v>0</v>
      </c>
      <c r="M27" s="263">
        <v>0</v>
      </c>
      <c r="N27" s="263">
        <v>0</v>
      </c>
      <c r="O27" s="263">
        <v>0</v>
      </c>
      <c r="P27" s="263">
        <v>0</v>
      </c>
      <c r="Q27" s="263">
        <v>0</v>
      </c>
      <c r="R27" s="263">
        <v>0</v>
      </c>
      <c r="S27" s="263">
        <v>0</v>
      </c>
      <c r="T27" s="263">
        <v>0</v>
      </c>
      <c r="U27" s="263">
        <f t="shared" si="3"/>
        <v>50000</v>
      </c>
      <c r="V27" s="196" t="str">
        <f t="shared" si="4"/>
        <v>G/LOS</v>
      </c>
      <c r="W27" s="196" t="s">
        <v>1168</v>
      </c>
      <c r="X27" s="196" t="str">
        <f t="shared" si="5"/>
        <v>Y</v>
      </c>
      <c r="Y27" s="376">
        <f t="shared" si="6"/>
        <v>50000</v>
      </c>
      <c r="Z27" s="198"/>
      <c r="AA27" s="376">
        <f t="shared" si="7"/>
        <v>50000</v>
      </c>
      <c r="AB27" s="196" t="s">
        <v>1166</v>
      </c>
      <c r="AC27" s="196" t="s">
        <v>1168</v>
      </c>
      <c r="AD27" s="275">
        <v>0.75</v>
      </c>
      <c r="AE27" s="275">
        <v>0.25</v>
      </c>
      <c r="AF27" s="275">
        <v>0</v>
      </c>
      <c r="AG27" s="199">
        <v>0.75</v>
      </c>
      <c r="AH27" s="199">
        <v>0.75</v>
      </c>
      <c r="AI27" s="377">
        <f t="shared" si="8"/>
        <v>0.75</v>
      </c>
      <c r="AJ27" s="203">
        <v>1</v>
      </c>
      <c r="AK27" s="203">
        <f t="shared" si="42"/>
        <v>0</v>
      </c>
      <c r="AL27" s="376">
        <f t="shared" si="9"/>
        <v>12500</v>
      </c>
      <c r="AM27" s="376">
        <f t="shared" si="10"/>
        <v>37500</v>
      </c>
      <c r="AN27" s="376">
        <f t="shared" si="11"/>
        <v>0</v>
      </c>
      <c r="AO27" s="378" t="s">
        <v>3607</v>
      </c>
      <c r="AP27" s="379" t="s">
        <v>2860</v>
      </c>
      <c r="AQ27" s="279"/>
      <c r="AR27" s="287">
        <f t="shared" si="19"/>
        <v>37500</v>
      </c>
      <c r="AS27" s="287">
        <f t="shared" si="20"/>
        <v>0</v>
      </c>
      <c r="AT27" s="287">
        <f t="shared" si="21"/>
        <v>0</v>
      </c>
      <c r="AU27" s="287">
        <f t="shared" si="22"/>
        <v>0</v>
      </c>
      <c r="AV27" s="287">
        <f t="shared" si="23"/>
        <v>0</v>
      </c>
      <c r="AW27" s="287">
        <f t="shared" si="24"/>
        <v>0</v>
      </c>
      <c r="AX27" s="287">
        <f t="shared" si="25"/>
        <v>0</v>
      </c>
      <c r="AY27" s="287">
        <f t="shared" si="26"/>
        <v>0</v>
      </c>
      <c r="AZ27" s="287">
        <f t="shared" si="27"/>
        <v>0</v>
      </c>
      <c r="BA27" s="287">
        <f t="shared" si="28"/>
        <v>0</v>
      </c>
      <c r="BB27" s="16"/>
      <c r="BC27" s="287">
        <f t="shared" si="29"/>
        <v>0</v>
      </c>
      <c r="BD27" s="287">
        <f t="shared" si="30"/>
        <v>0</v>
      </c>
      <c r="BE27" s="287">
        <f t="shared" si="31"/>
        <v>0</v>
      </c>
      <c r="BF27" s="287">
        <f t="shared" si="32"/>
        <v>0</v>
      </c>
      <c r="BG27" s="287">
        <f t="shared" si="33"/>
        <v>0</v>
      </c>
      <c r="BH27" s="287">
        <f t="shared" si="34"/>
        <v>0</v>
      </c>
      <c r="BI27" s="287">
        <f t="shared" si="35"/>
        <v>0</v>
      </c>
      <c r="BJ27" s="287">
        <f t="shared" si="36"/>
        <v>0</v>
      </c>
      <c r="BK27" s="287">
        <f t="shared" si="37"/>
        <v>0</v>
      </c>
      <c r="BL27" s="287">
        <f t="shared" si="38"/>
        <v>0</v>
      </c>
      <c r="BM27" s="16"/>
      <c r="BN27" s="287">
        <f t="shared" si="39"/>
        <v>37500</v>
      </c>
      <c r="BO27" s="287">
        <f t="shared" si="40"/>
        <v>0</v>
      </c>
      <c r="BP27" s="430"/>
      <c r="BQ27" s="21"/>
      <c r="BR27" s="21"/>
      <c r="BS27" s="6"/>
      <c r="BT27" s="194">
        <f t="shared" si="14"/>
        <v>37500</v>
      </c>
      <c r="BU27" s="194">
        <f t="shared" si="15"/>
        <v>37500</v>
      </c>
      <c r="BV27" s="194">
        <f t="shared" si="16"/>
        <v>0</v>
      </c>
      <c r="BW27" s="194">
        <f t="shared" si="17"/>
        <v>0</v>
      </c>
      <c r="BX27" s="6"/>
      <c r="BY27" s="6"/>
      <c r="BZ27" s="39">
        <v>14</v>
      </c>
      <c r="CA27" s="39">
        <f t="shared" si="41"/>
        <v>2031</v>
      </c>
      <c r="CB27" s="6"/>
      <c r="CC27" s="39"/>
      <c r="CD27" s="39"/>
      <c r="CE27" s="39"/>
      <c r="CF27" s="39"/>
      <c r="CG27" s="39"/>
      <c r="CH27" s="39"/>
      <c r="CI27" s="39"/>
      <c r="CJ27" s="39"/>
      <c r="CK27" s="39"/>
    </row>
    <row r="28" spans="1:89" s="193" customFormat="1" ht="36">
      <c r="A28" s="375" t="s">
        <v>2502</v>
      </c>
      <c r="B28" s="21" t="str">
        <f t="shared" si="18"/>
        <v xml:space="preserve">CI </v>
      </c>
      <c r="C28" s="21"/>
      <c r="D28" s="432">
        <v>3201502</v>
      </c>
      <c r="E28" s="439" t="s">
        <v>3626</v>
      </c>
      <c r="F28" s="439" t="s">
        <v>5076</v>
      </c>
      <c r="G28" s="273" t="s">
        <v>4252</v>
      </c>
      <c r="H28" s="500" t="s">
        <v>5061</v>
      </c>
      <c r="I28" s="262" t="s">
        <v>3492</v>
      </c>
      <c r="J28" s="262"/>
      <c r="K28" s="263">
        <v>38000</v>
      </c>
      <c r="L28" s="263">
        <v>0</v>
      </c>
      <c r="M28" s="263">
        <v>0</v>
      </c>
      <c r="N28" s="263">
        <v>0</v>
      </c>
      <c r="O28" s="263">
        <v>0</v>
      </c>
      <c r="P28" s="263">
        <v>0</v>
      </c>
      <c r="Q28" s="263">
        <v>0</v>
      </c>
      <c r="R28" s="263">
        <v>0</v>
      </c>
      <c r="S28" s="263">
        <v>0</v>
      </c>
      <c r="T28" s="263">
        <v>0</v>
      </c>
      <c r="U28" s="263">
        <v>38000</v>
      </c>
      <c r="V28" s="196" t="str">
        <f t="shared" si="4"/>
        <v>G/LOS</v>
      </c>
      <c r="W28" s="196" t="s">
        <v>1168</v>
      </c>
      <c r="X28" s="196" t="str">
        <f t="shared" si="5"/>
        <v>Y</v>
      </c>
      <c r="Y28" s="376">
        <f t="shared" si="6"/>
        <v>38000</v>
      </c>
      <c r="Z28" s="198"/>
      <c r="AA28" s="376">
        <f t="shared" si="7"/>
        <v>38000</v>
      </c>
      <c r="AB28" s="196" t="s">
        <v>1166</v>
      </c>
      <c r="AC28" s="196" t="s">
        <v>1168</v>
      </c>
      <c r="AD28" s="275">
        <v>0.75</v>
      </c>
      <c r="AE28" s="275">
        <v>0.25</v>
      </c>
      <c r="AF28" s="275">
        <v>0</v>
      </c>
      <c r="AG28" s="199">
        <v>0.75</v>
      </c>
      <c r="AH28" s="199">
        <v>0.75</v>
      </c>
      <c r="AI28" s="377">
        <f t="shared" si="8"/>
        <v>0.75</v>
      </c>
      <c r="AJ28" s="203">
        <v>1</v>
      </c>
      <c r="AK28" s="203">
        <f t="shared" si="42"/>
        <v>0</v>
      </c>
      <c r="AL28" s="376">
        <f t="shared" si="9"/>
        <v>9500</v>
      </c>
      <c r="AM28" s="376">
        <f t="shared" si="10"/>
        <v>28500</v>
      </c>
      <c r="AN28" s="376">
        <f t="shared" si="11"/>
        <v>0</v>
      </c>
      <c r="AO28" s="378" t="s">
        <v>3607</v>
      </c>
      <c r="AP28" s="379" t="s">
        <v>2860</v>
      </c>
      <c r="AQ28" s="279"/>
      <c r="AR28" s="287">
        <f t="shared" si="19"/>
        <v>28500</v>
      </c>
      <c r="AS28" s="287">
        <f t="shared" si="20"/>
        <v>0</v>
      </c>
      <c r="AT28" s="287">
        <f t="shared" si="21"/>
        <v>0</v>
      </c>
      <c r="AU28" s="287">
        <f t="shared" si="22"/>
        <v>0</v>
      </c>
      <c r="AV28" s="287">
        <f t="shared" si="23"/>
        <v>0</v>
      </c>
      <c r="AW28" s="287">
        <f t="shared" si="24"/>
        <v>0</v>
      </c>
      <c r="AX28" s="287">
        <f t="shared" si="25"/>
        <v>0</v>
      </c>
      <c r="AY28" s="287">
        <f t="shared" si="26"/>
        <v>0</v>
      </c>
      <c r="AZ28" s="287">
        <f t="shared" si="27"/>
        <v>0</v>
      </c>
      <c r="BA28" s="287">
        <f t="shared" si="28"/>
        <v>0</v>
      </c>
      <c r="BB28" s="16"/>
      <c r="BC28" s="287">
        <f t="shared" si="29"/>
        <v>0</v>
      </c>
      <c r="BD28" s="287">
        <f t="shared" si="30"/>
        <v>0</v>
      </c>
      <c r="BE28" s="287">
        <f t="shared" si="31"/>
        <v>0</v>
      </c>
      <c r="BF28" s="287">
        <f t="shared" si="32"/>
        <v>0</v>
      </c>
      <c r="BG28" s="287">
        <f t="shared" si="33"/>
        <v>0</v>
      </c>
      <c r="BH28" s="287">
        <f t="shared" si="34"/>
        <v>0</v>
      </c>
      <c r="BI28" s="287">
        <f t="shared" si="35"/>
        <v>0</v>
      </c>
      <c r="BJ28" s="287">
        <f t="shared" si="36"/>
        <v>0</v>
      </c>
      <c r="BK28" s="287">
        <f t="shared" si="37"/>
        <v>0</v>
      </c>
      <c r="BL28" s="287">
        <f t="shared" si="38"/>
        <v>0</v>
      </c>
      <c r="BM28" s="16"/>
      <c r="BN28" s="287">
        <f t="shared" si="39"/>
        <v>28500</v>
      </c>
      <c r="BO28" s="287">
        <f t="shared" si="40"/>
        <v>0</v>
      </c>
      <c r="BP28" s="430"/>
      <c r="BQ28" s="21"/>
      <c r="BR28" s="21"/>
      <c r="BS28" s="6"/>
      <c r="BT28" s="194">
        <f t="shared" si="14"/>
        <v>28500</v>
      </c>
      <c r="BU28" s="194">
        <f t="shared" si="15"/>
        <v>28500</v>
      </c>
      <c r="BV28" s="194">
        <f t="shared" si="16"/>
        <v>0</v>
      </c>
      <c r="BW28" s="194">
        <f t="shared" si="17"/>
        <v>0</v>
      </c>
      <c r="BX28" s="6"/>
      <c r="BY28" s="6"/>
      <c r="BZ28" s="39">
        <v>15</v>
      </c>
      <c r="CA28" s="39">
        <f t="shared" si="41"/>
        <v>2031</v>
      </c>
      <c r="CB28" s="6"/>
      <c r="CC28" s="39"/>
      <c r="CD28" s="39"/>
      <c r="CE28" s="39"/>
      <c r="CF28" s="39"/>
      <c r="CG28" s="39"/>
      <c r="CH28" s="39"/>
      <c r="CI28" s="39"/>
      <c r="CJ28" s="39"/>
      <c r="CK28" s="39"/>
    </row>
    <row r="29" spans="1:89" s="514" customFormat="1" ht="48">
      <c r="A29" s="375" t="s">
        <v>2503</v>
      </c>
      <c r="B29" s="21" t="str">
        <f t="shared" si="18"/>
        <v xml:space="preserve">CI </v>
      </c>
      <c r="C29" s="21"/>
      <c r="D29" s="432">
        <v>3200831</v>
      </c>
      <c r="E29" s="439" t="s">
        <v>3626</v>
      </c>
      <c r="F29" s="439" t="s">
        <v>3739</v>
      </c>
      <c r="G29" s="273" t="s">
        <v>4310</v>
      </c>
      <c r="H29" s="500" t="s">
        <v>5117</v>
      </c>
      <c r="I29" s="262" t="s">
        <v>3492</v>
      </c>
      <c r="J29" s="262" t="s">
        <v>3521</v>
      </c>
      <c r="K29" s="263">
        <v>150000</v>
      </c>
      <c r="L29" s="263">
        <v>1900000</v>
      </c>
      <c r="M29" s="263">
        <v>1592850</v>
      </c>
      <c r="N29" s="263">
        <v>0</v>
      </c>
      <c r="O29" s="263">
        <v>0</v>
      </c>
      <c r="P29" s="263">
        <v>0</v>
      </c>
      <c r="Q29" s="263">
        <v>0</v>
      </c>
      <c r="R29" s="263">
        <v>0</v>
      </c>
      <c r="S29" s="263">
        <v>0</v>
      </c>
      <c r="T29" s="263">
        <v>0</v>
      </c>
      <c r="U29" s="263">
        <f t="shared" ref="U29:U92" si="43">SUM(K29:T29)</f>
        <v>3642850</v>
      </c>
      <c r="V29" s="196" t="str">
        <f t="shared" si="4"/>
        <v>G/LOS</v>
      </c>
      <c r="W29" s="196" t="s">
        <v>1168</v>
      </c>
      <c r="X29" s="196" t="str">
        <f t="shared" si="5"/>
        <v>Y</v>
      </c>
      <c r="Y29" s="376">
        <f t="shared" si="6"/>
        <v>3642850</v>
      </c>
      <c r="Z29" s="198"/>
      <c r="AA29" s="376">
        <f t="shared" si="7"/>
        <v>3642850</v>
      </c>
      <c r="AB29" s="196" t="s">
        <v>1166</v>
      </c>
      <c r="AC29" s="196" t="s">
        <v>1168</v>
      </c>
      <c r="AD29" s="275">
        <v>0.4</v>
      </c>
      <c r="AE29" s="275">
        <v>0.6</v>
      </c>
      <c r="AF29" s="275">
        <v>0</v>
      </c>
      <c r="AG29" s="199">
        <v>0.35</v>
      </c>
      <c r="AH29" s="199">
        <v>0.35</v>
      </c>
      <c r="AI29" s="377">
        <f t="shared" si="8"/>
        <v>0.35</v>
      </c>
      <c r="AJ29" s="203">
        <v>1</v>
      </c>
      <c r="AK29" s="203">
        <f t="shared" si="42"/>
        <v>0</v>
      </c>
      <c r="AL29" s="376">
        <f t="shared" si="9"/>
        <v>2367852.5</v>
      </c>
      <c r="AM29" s="376">
        <f t="shared" si="10"/>
        <v>1274997.5</v>
      </c>
      <c r="AN29" s="376">
        <f t="shared" si="11"/>
        <v>0</v>
      </c>
      <c r="AO29" s="378" t="s">
        <v>3607</v>
      </c>
      <c r="AP29" s="379" t="s">
        <v>2861</v>
      </c>
      <c r="AQ29" s="279"/>
      <c r="AR29" s="287">
        <f t="shared" si="19"/>
        <v>52500</v>
      </c>
      <c r="AS29" s="287">
        <f t="shared" si="20"/>
        <v>665000</v>
      </c>
      <c r="AT29" s="287">
        <f t="shared" si="21"/>
        <v>557497.5</v>
      </c>
      <c r="AU29" s="287">
        <f t="shared" si="22"/>
        <v>0</v>
      </c>
      <c r="AV29" s="287">
        <f t="shared" si="23"/>
        <v>0</v>
      </c>
      <c r="AW29" s="287">
        <f t="shared" si="24"/>
        <v>0</v>
      </c>
      <c r="AX29" s="287">
        <f t="shared" si="25"/>
        <v>0</v>
      </c>
      <c r="AY29" s="287">
        <f t="shared" si="26"/>
        <v>0</v>
      </c>
      <c r="AZ29" s="287">
        <f t="shared" si="27"/>
        <v>0</v>
      </c>
      <c r="BA29" s="287">
        <f t="shared" si="28"/>
        <v>0</v>
      </c>
      <c r="BB29" s="16"/>
      <c r="BC29" s="287">
        <f t="shared" si="29"/>
        <v>0</v>
      </c>
      <c r="BD29" s="287">
        <f t="shared" si="30"/>
        <v>0</v>
      </c>
      <c r="BE29" s="287">
        <f t="shared" si="31"/>
        <v>0</v>
      </c>
      <c r="BF29" s="287">
        <f t="shared" si="32"/>
        <v>0</v>
      </c>
      <c r="BG29" s="287">
        <f t="shared" si="33"/>
        <v>0</v>
      </c>
      <c r="BH29" s="287">
        <f t="shared" si="34"/>
        <v>0</v>
      </c>
      <c r="BI29" s="287">
        <f t="shared" si="35"/>
        <v>0</v>
      </c>
      <c r="BJ29" s="287">
        <f t="shared" si="36"/>
        <v>0</v>
      </c>
      <c r="BK29" s="287">
        <f t="shared" si="37"/>
        <v>0</v>
      </c>
      <c r="BL29" s="287">
        <f t="shared" si="38"/>
        <v>0</v>
      </c>
      <c r="BM29" s="16"/>
      <c r="BN29" s="287">
        <f t="shared" si="39"/>
        <v>1274997.5</v>
      </c>
      <c r="BO29" s="287">
        <f t="shared" si="40"/>
        <v>0</v>
      </c>
      <c r="BP29" s="430"/>
      <c r="BQ29" s="21"/>
      <c r="BR29" s="21"/>
      <c r="BS29" s="6"/>
      <c r="BT29" s="194">
        <f t="shared" si="14"/>
        <v>1274997.5</v>
      </c>
      <c r="BU29" s="194">
        <f t="shared" si="15"/>
        <v>1274997.5</v>
      </c>
      <c r="BV29" s="194">
        <f t="shared" si="16"/>
        <v>0</v>
      </c>
      <c r="BW29" s="194">
        <f t="shared" si="17"/>
        <v>0</v>
      </c>
      <c r="BX29" s="6"/>
      <c r="BY29" s="6"/>
      <c r="BZ29" s="39">
        <v>16</v>
      </c>
      <c r="CA29" s="39">
        <f t="shared" si="41"/>
        <v>2031</v>
      </c>
      <c r="CB29" s="6"/>
      <c r="CC29" s="39"/>
      <c r="CD29" s="39"/>
      <c r="CE29" s="39"/>
      <c r="CF29" s="39"/>
      <c r="CG29" s="39"/>
      <c r="CH29" s="39"/>
      <c r="CI29" s="39"/>
      <c r="CJ29" s="39"/>
      <c r="CK29" s="39"/>
    </row>
    <row r="30" spans="1:89" s="193" customFormat="1" ht="36">
      <c r="A30" s="375" t="s">
        <v>2502</v>
      </c>
      <c r="B30" s="21" t="str">
        <f t="shared" si="18"/>
        <v xml:space="preserve">CI </v>
      </c>
      <c r="C30" s="21"/>
      <c r="D30" s="432">
        <v>3201502</v>
      </c>
      <c r="E30" s="439" t="s">
        <v>3626</v>
      </c>
      <c r="F30" s="439" t="s">
        <v>5123</v>
      </c>
      <c r="G30" s="273" t="s">
        <v>4253</v>
      </c>
      <c r="H30" s="500" t="s">
        <v>5122</v>
      </c>
      <c r="I30" s="262" t="s">
        <v>3492</v>
      </c>
      <c r="J30" s="262"/>
      <c r="K30" s="263">
        <v>200000</v>
      </c>
      <c r="L30" s="263">
        <v>100000</v>
      </c>
      <c r="M30" s="263">
        <v>360000</v>
      </c>
      <c r="N30" s="263">
        <v>0</v>
      </c>
      <c r="O30" s="263">
        <v>0</v>
      </c>
      <c r="P30" s="263">
        <v>0</v>
      </c>
      <c r="Q30" s="263">
        <v>0</v>
      </c>
      <c r="R30" s="263">
        <v>0</v>
      </c>
      <c r="S30" s="263">
        <v>0</v>
      </c>
      <c r="T30" s="263">
        <v>0</v>
      </c>
      <c r="U30" s="263">
        <f t="shared" si="43"/>
        <v>660000</v>
      </c>
      <c r="V30" s="196" t="str">
        <f t="shared" si="4"/>
        <v>G/LOS</v>
      </c>
      <c r="W30" s="196" t="s">
        <v>1168</v>
      </c>
      <c r="X30" s="196" t="str">
        <f t="shared" si="5"/>
        <v>Y</v>
      </c>
      <c r="Y30" s="376">
        <f t="shared" si="6"/>
        <v>660000</v>
      </c>
      <c r="Z30" s="198"/>
      <c r="AA30" s="376">
        <f t="shared" si="7"/>
        <v>660000</v>
      </c>
      <c r="AB30" s="196" t="s">
        <v>1166</v>
      </c>
      <c r="AC30" s="196" t="s">
        <v>1168</v>
      </c>
      <c r="AD30" s="275">
        <v>0.875</v>
      </c>
      <c r="AE30" s="275">
        <f>1-AD30</f>
        <v>0.125</v>
      </c>
      <c r="AF30" s="275">
        <v>0</v>
      </c>
      <c r="AG30" s="199">
        <v>0.75</v>
      </c>
      <c r="AH30" s="199">
        <v>1</v>
      </c>
      <c r="AI30" s="377">
        <f t="shared" si="8"/>
        <v>0.875</v>
      </c>
      <c r="AJ30" s="203">
        <v>1</v>
      </c>
      <c r="AK30" s="203">
        <f t="shared" si="42"/>
        <v>0</v>
      </c>
      <c r="AL30" s="376">
        <f t="shared" si="9"/>
        <v>82500</v>
      </c>
      <c r="AM30" s="376">
        <f t="shared" si="10"/>
        <v>577500</v>
      </c>
      <c r="AN30" s="376">
        <f t="shared" si="11"/>
        <v>0</v>
      </c>
      <c r="AO30" s="378" t="s">
        <v>3607</v>
      </c>
      <c r="AP30" s="379" t="s">
        <v>2866</v>
      </c>
      <c r="AQ30" s="279"/>
      <c r="AR30" s="287">
        <f t="shared" si="19"/>
        <v>175000</v>
      </c>
      <c r="AS30" s="287">
        <f t="shared" si="20"/>
        <v>87500</v>
      </c>
      <c r="AT30" s="287">
        <f t="shared" si="21"/>
        <v>315000</v>
      </c>
      <c r="AU30" s="287">
        <f t="shared" si="22"/>
        <v>0</v>
      </c>
      <c r="AV30" s="287">
        <f t="shared" si="23"/>
        <v>0</v>
      </c>
      <c r="AW30" s="287">
        <f t="shared" si="24"/>
        <v>0</v>
      </c>
      <c r="AX30" s="287">
        <f t="shared" si="25"/>
        <v>0</v>
      </c>
      <c r="AY30" s="287">
        <f t="shared" si="26"/>
        <v>0</v>
      </c>
      <c r="AZ30" s="287">
        <f t="shared" si="27"/>
        <v>0</v>
      </c>
      <c r="BA30" s="287">
        <f t="shared" si="28"/>
        <v>0</v>
      </c>
      <c r="BB30" s="16"/>
      <c r="BC30" s="287">
        <f t="shared" si="29"/>
        <v>0</v>
      </c>
      <c r="BD30" s="287">
        <f t="shared" si="30"/>
        <v>0</v>
      </c>
      <c r="BE30" s="287">
        <f t="shared" si="31"/>
        <v>0</v>
      </c>
      <c r="BF30" s="287">
        <f t="shared" si="32"/>
        <v>0</v>
      </c>
      <c r="BG30" s="287">
        <f t="shared" si="33"/>
        <v>0</v>
      </c>
      <c r="BH30" s="287">
        <f t="shared" si="34"/>
        <v>0</v>
      </c>
      <c r="BI30" s="287">
        <f t="shared" si="35"/>
        <v>0</v>
      </c>
      <c r="BJ30" s="287">
        <f t="shared" si="36"/>
        <v>0</v>
      </c>
      <c r="BK30" s="287">
        <f t="shared" si="37"/>
        <v>0</v>
      </c>
      <c r="BL30" s="287">
        <f t="shared" si="38"/>
        <v>0</v>
      </c>
      <c r="BM30" s="16"/>
      <c r="BN30" s="287">
        <f t="shared" si="39"/>
        <v>577500</v>
      </c>
      <c r="BO30" s="287">
        <f t="shared" si="40"/>
        <v>0</v>
      </c>
      <c r="BP30" s="430"/>
      <c r="BQ30" s="21"/>
      <c r="BR30" s="21"/>
      <c r="BS30" s="6"/>
      <c r="BT30" s="194">
        <f t="shared" si="14"/>
        <v>577500</v>
      </c>
      <c r="BU30" s="194">
        <f t="shared" si="15"/>
        <v>577500</v>
      </c>
      <c r="BV30" s="194">
        <f t="shared" si="16"/>
        <v>0</v>
      </c>
      <c r="BW30" s="194">
        <f t="shared" si="17"/>
        <v>0</v>
      </c>
      <c r="BX30" s="6"/>
      <c r="BY30" s="6"/>
      <c r="BZ30" s="39">
        <v>17</v>
      </c>
      <c r="CA30" s="39">
        <f t="shared" si="41"/>
        <v>2031</v>
      </c>
      <c r="CB30" s="6"/>
      <c r="CC30" s="39"/>
      <c r="CD30" s="39"/>
      <c r="CE30" s="39"/>
      <c r="CF30" s="39"/>
      <c r="CG30" s="39"/>
      <c r="CH30" s="39"/>
      <c r="CI30" s="39"/>
      <c r="CJ30" s="39"/>
      <c r="CK30" s="39"/>
    </row>
    <row r="31" spans="1:89" s="193" customFormat="1" ht="48">
      <c r="A31" s="375" t="s">
        <v>2503</v>
      </c>
      <c r="B31" s="21" t="str">
        <f t="shared" si="18"/>
        <v xml:space="preserve">CI </v>
      </c>
      <c r="C31" s="21"/>
      <c r="D31" s="432">
        <v>2010165</v>
      </c>
      <c r="E31" s="439" t="s">
        <v>3626</v>
      </c>
      <c r="F31" s="439" t="s">
        <v>3644</v>
      </c>
      <c r="G31" s="273" t="s">
        <v>2893</v>
      </c>
      <c r="H31" s="500" t="s">
        <v>5036</v>
      </c>
      <c r="I31" s="262" t="s">
        <v>3492</v>
      </c>
      <c r="J31" s="262" t="s">
        <v>3512</v>
      </c>
      <c r="K31" s="263">
        <v>15901097</v>
      </c>
      <c r="L31" s="263">
        <v>0</v>
      </c>
      <c r="M31" s="263">
        <v>0</v>
      </c>
      <c r="N31" s="263">
        <v>0</v>
      </c>
      <c r="O31" s="263">
        <v>0</v>
      </c>
      <c r="P31" s="263">
        <v>0</v>
      </c>
      <c r="Q31" s="263">
        <v>0</v>
      </c>
      <c r="R31" s="263">
        <v>0</v>
      </c>
      <c r="S31" s="263">
        <v>0</v>
      </c>
      <c r="T31" s="263">
        <v>0</v>
      </c>
      <c r="U31" s="263">
        <f t="shared" si="43"/>
        <v>15901097</v>
      </c>
      <c r="V31" s="196" t="str">
        <f t="shared" si="4"/>
        <v>G/LOS</v>
      </c>
      <c r="W31" s="196" t="s">
        <v>1168</v>
      </c>
      <c r="X31" s="196" t="str">
        <f t="shared" si="5"/>
        <v>Y</v>
      </c>
      <c r="Y31" s="376">
        <f t="shared" si="6"/>
        <v>15901097</v>
      </c>
      <c r="Z31" s="198"/>
      <c r="AA31" s="376">
        <f t="shared" si="7"/>
        <v>15901097</v>
      </c>
      <c r="AB31" s="196" t="s">
        <v>1166</v>
      </c>
      <c r="AC31" s="196" t="s">
        <v>3624</v>
      </c>
      <c r="AD31" s="275">
        <v>0.68</v>
      </c>
      <c r="AE31" s="275">
        <f>1-AD31</f>
        <v>0.31999999999999995</v>
      </c>
      <c r="AF31" s="275">
        <v>0</v>
      </c>
      <c r="AG31" s="199">
        <v>0.5</v>
      </c>
      <c r="AH31" s="199">
        <v>0.8</v>
      </c>
      <c r="AI31" s="377">
        <f t="shared" si="8"/>
        <v>0.65</v>
      </c>
      <c r="AJ31" s="203">
        <v>1</v>
      </c>
      <c r="AK31" s="203">
        <f>100%-AJ31</f>
        <v>0</v>
      </c>
      <c r="AL31" s="376">
        <f t="shared" si="9"/>
        <v>5565383.9499999993</v>
      </c>
      <c r="AM31" s="376">
        <f t="shared" si="10"/>
        <v>10335713.050000001</v>
      </c>
      <c r="AN31" s="376">
        <f t="shared" si="11"/>
        <v>0</v>
      </c>
      <c r="AO31" s="378" t="s">
        <v>3607</v>
      </c>
      <c r="AP31" s="379" t="s">
        <v>2848</v>
      </c>
      <c r="AQ31" s="279" t="s">
        <v>4308</v>
      </c>
      <c r="AR31" s="287">
        <f t="shared" si="19"/>
        <v>10335713.050000001</v>
      </c>
      <c r="AS31" s="287">
        <f t="shared" si="20"/>
        <v>0</v>
      </c>
      <c r="AT31" s="287">
        <f t="shared" si="21"/>
        <v>0</v>
      </c>
      <c r="AU31" s="287">
        <f t="shared" si="22"/>
        <v>0</v>
      </c>
      <c r="AV31" s="287">
        <f t="shared" si="23"/>
        <v>0</v>
      </c>
      <c r="AW31" s="287">
        <f t="shared" si="24"/>
        <v>0</v>
      </c>
      <c r="AX31" s="287">
        <f t="shared" si="25"/>
        <v>0</v>
      </c>
      <c r="AY31" s="287">
        <f t="shared" si="26"/>
        <v>0</v>
      </c>
      <c r="AZ31" s="287">
        <f t="shared" si="27"/>
        <v>0</v>
      </c>
      <c r="BA31" s="287">
        <f t="shared" si="28"/>
        <v>0</v>
      </c>
      <c r="BB31" s="16"/>
      <c r="BC31" s="287">
        <f t="shared" si="29"/>
        <v>0</v>
      </c>
      <c r="BD31" s="287">
        <f t="shared" si="30"/>
        <v>0</v>
      </c>
      <c r="BE31" s="287">
        <f t="shared" si="31"/>
        <v>0</v>
      </c>
      <c r="BF31" s="287">
        <f t="shared" si="32"/>
        <v>0</v>
      </c>
      <c r="BG31" s="287">
        <f t="shared" si="33"/>
        <v>0</v>
      </c>
      <c r="BH31" s="287">
        <f t="shared" si="34"/>
        <v>0</v>
      </c>
      <c r="BI31" s="287">
        <f t="shared" si="35"/>
        <v>0</v>
      </c>
      <c r="BJ31" s="287">
        <f t="shared" si="36"/>
        <v>0</v>
      </c>
      <c r="BK31" s="287">
        <f t="shared" si="37"/>
        <v>0</v>
      </c>
      <c r="BL31" s="287">
        <f t="shared" si="38"/>
        <v>0</v>
      </c>
      <c r="BM31" s="16"/>
      <c r="BN31" s="287">
        <f t="shared" si="39"/>
        <v>10335713.050000001</v>
      </c>
      <c r="BO31" s="287">
        <f t="shared" si="40"/>
        <v>0</v>
      </c>
      <c r="BP31" s="430"/>
      <c r="BQ31" s="21"/>
      <c r="BR31" s="21"/>
      <c r="BS31" s="6"/>
      <c r="BT31" s="194">
        <f t="shared" si="14"/>
        <v>10335713.050000001</v>
      </c>
      <c r="BU31" s="194">
        <f t="shared" si="15"/>
        <v>10335713.050000001</v>
      </c>
      <c r="BV31" s="194">
        <f t="shared" si="16"/>
        <v>0</v>
      </c>
      <c r="BW31" s="194">
        <f t="shared" si="17"/>
        <v>0</v>
      </c>
      <c r="BX31" s="6"/>
      <c r="BY31" s="627" t="s">
        <v>5329</v>
      </c>
      <c r="BZ31" s="39">
        <v>18</v>
      </c>
      <c r="CA31" s="39">
        <f t="shared" si="41"/>
        <v>2031</v>
      </c>
      <c r="CB31" s="6"/>
      <c r="CC31" s="39"/>
      <c r="CD31" s="39"/>
      <c r="CE31" s="39"/>
      <c r="CF31" s="39"/>
      <c r="CG31" s="39"/>
      <c r="CH31" s="39"/>
      <c r="CI31" s="39"/>
      <c r="CJ31" s="39"/>
      <c r="CK31" s="39"/>
    </row>
    <row r="32" spans="1:89" s="193" customFormat="1" ht="24">
      <c r="A32" s="375" t="s">
        <v>2502</v>
      </c>
      <c r="B32" s="21" t="str">
        <f t="shared" si="18"/>
        <v xml:space="preserve">CI </v>
      </c>
      <c r="C32" s="21"/>
      <c r="D32" s="432">
        <v>3201501</v>
      </c>
      <c r="E32" s="439" t="s">
        <v>3626</v>
      </c>
      <c r="F32" s="439" t="s">
        <v>5192</v>
      </c>
      <c r="G32" s="273" t="s">
        <v>4490</v>
      </c>
      <c r="H32" s="500" t="s">
        <v>5191</v>
      </c>
      <c r="I32" s="262" t="s">
        <v>3492</v>
      </c>
      <c r="J32" s="262"/>
      <c r="K32" s="263">
        <v>50000</v>
      </c>
      <c r="L32" s="263">
        <v>520000</v>
      </c>
      <c r="M32" s="263">
        <v>0</v>
      </c>
      <c r="N32" s="263">
        <v>0</v>
      </c>
      <c r="O32" s="263">
        <v>0</v>
      </c>
      <c r="P32" s="263">
        <v>0</v>
      </c>
      <c r="Q32" s="263">
        <v>0</v>
      </c>
      <c r="R32" s="263">
        <v>0</v>
      </c>
      <c r="S32" s="263">
        <v>0</v>
      </c>
      <c r="T32" s="263">
        <v>0</v>
      </c>
      <c r="U32" s="263">
        <f t="shared" si="43"/>
        <v>570000</v>
      </c>
      <c r="V32" s="196" t="str">
        <f t="shared" si="4"/>
        <v>G/LOS</v>
      </c>
      <c r="W32" s="196" t="s">
        <v>1168</v>
      </c>
      <c r="X32" s="196" t="str">
        <f t="shared" si="5"/>
        <v>Y</v>
      </c>
      <c r="Y32" s="376">
        <f t="shared" si="6"/>
        <v>570000</v>
      </c>
      <c r="Z32" s="198"/>
      <c r="AA32" s="376">
        <f t="shared" si="7"/>
        <v>570000</v>
      </c>
      <c r="AB32" s="196" t="s">
        <v>1166</v>
      </c>
      <c r="AC32" s="196" t="s">
        <v>1168</v>
      </c>
      <c r="AD32" s="275">
        <v>0.75</v>
      </c>
      <c r="AE32" s="275">
        <v>0.25</v>
      </c>
      <c r="AF32" s="275">
        <v>0</v>
      </c>
      <c r="AG32" s="199">
        <v>0.75</v>
      </c>
      <c r="AH32" s="199">
        <v>1</v>
      </c>
      <c r="AI32" s="381">
        <f t="shared" si="8"/>
        <v>0.875</v>
      </c>
      <c r="AJ32" s="203">
        <v>1</v>
      </c>
      <c r="AK32" s="203">
        <f>1-AJ32</f>
        <v>0</v>
      </c>
      <c r="AL32" s="376">
        <f t="shared" si="9"/>
        <v>71250</v>
      </c>
      <c r="AM32" s="376">
        <f t="shared" si="10"/>
        <v>498750</v>
      </c>
      <c r="AN32" s="376">
        <f t="shared" si="11"/>
        <v>0</v>
      </c>
      <c r="AO32" s="378" t="s">
        <v>3607</v>
      </c>
      <c r="AP32" s="379" t="s">
        <v>2848</v>
      </c>
      <c r="AQ32" s="279"/>
      <c r="AR32" s="287">
        <f t="shared" si="19"/>
        <v>43750</v>
      </c>
      <c r="AS32" s="287">
        <f t="shared" si="20"/>
        <v>455000</v>
      </c>
      <c r="AT32" s="287">
        <f t="shared" si="21"/>
        <v>0</v>
      </c>
      <c r="AU32" s="287">
        <f t="shared" si="22"/>
        <v>0</v>
      </c>
      <c r="AV32" s="287">
        <f t="shared" si="23"/>
        <v>0</v>
      </c>
      <c r="AW32" s="287">
        <f t="shared" si="24"/>
        <v>0</v>
      </c>
      <c r="AX32" s="287">
        <f t="shared" si="25"/>
        <v>0</v>
      </c>
      <c r="AY32" s="287">
        <f t="shared" si="26"/>
        <v>0</v>
      </c>
      <c r="AZ32" s="287">
        <f t="shared" si="27"/>
        <v>0</v>
      </c>
      <c r="BA32" s="287">
        <f t="shared" si="28"/>
        <v>0</v>
      </c>
      <c r="BB32" s="16"/>
      <c r="BC32" s="287">
        <f t="shared" si="29"/>
        <v>0</v>
      </c>
      <c r="BD32" s="287">
        <f t="shared" si="30"/>
        <v>0</v>
      </c>
      <c r="BE32" s="287">
        <f t="shared" si="31"/>
        <v>0</v>
      </c>
      <c r="BF32" s="287">
        <f t="shared" si="32"/>
        <v>0</v>
      </c>
      <c r="BG32" s="287">
        <f t="shared" si="33"/>
        <v>0</v>
      </c>
      <c r="BH32" s="287">
        <f t="shared" si="34"/>
        <v>0</v>
      </c>
      <c r="BI32" s="287">
        <f t="shared" si="35"/>
        <v>0</v>
      </c>
      <c r="BJ32" s="287">
        <f t="shared" si="36"/>
        <v>0</v>
      </c>
      <c r="BK32" s="287">
        <f t="shared" si="37"/>
        <v>0</v>
      </c>
      <c r="BL32" s="287">
        <f t="shared" si="38"/>
        <v>0</v>
      </c>
      <c r="BM32" s="16"/>
      <c r="BN32" s="287">
        <f t="shared" si="39"/>
        <v>498750</v>
      </c>
      <c r="BO32" s="287">
        <f t="shared" si="40"/>
        <v>0</v>
      </c>
      <c r="BP32" s="430"/>
      <c r="BQ32" s="21"/>
      <c r="BR32" s="21"/>
      <c r="BS32" s="6"/>
      <c r="BT32" s="194">
        <f t="shared" si="14"/>
        <v>498750</v>
      </c>
      <c r="BU32" s="194">
        <f t="shared" si="15"/>
        <v>498750</v>
      </c>
      <c r="BV32" s="194">
        <f t="shared" si="16"/>
        <v>0</v>
      </c>
      <c r="BW32" s="194">
        <f t="shared" si="17"/>
        <v>0</v>
      </c>
      <c r="BX32" s="6"/>
      <c r="BY32" s="6"/>
      <c r="BZ32" s="39">
        <v>19</v>
      </c>
      <c r="CA32" s="39">
        <f t="shared" si="41"/>
        <v>2031</v>
      </c>
      <c r="CB32" s="6"/>
      <c r="CC32" s="39"/>
      <c r="CD32" s="39"/>
      <c r="CE32" s="39"/>
      <c r="CF32" s="39"/>
      <c r="CG32" s="39"/>
      <c r="CH32" s="39"/>
      <c r="CI32" s="39"/>
      <c r="CJ32" s="39"/>
      <c r="CK32" s="39"/>
    </row>
    <row r="33" spans="1:89" s="193" customFormat="1" ht="24">
      <c r="A33" s="375" t="s">
        <v>2507</v>
      </c>
      <c r="B33" s="21" t="str">
        <f t="shared" si="18"/>
        <v xml:space="preserve">CI </v>
      </c>
      <c r="C33" s="21"/>
      <c r="D33" s="432">
        <v>3201504</v>
      </c>
      <c r="E33" s="439" t="s">
        <v>3626</v>
      </c>
      <c r="F33" s="439" t="s">
        <v>5186</v>
      </c>
      <c r="G33" s="273" t="s">
        <v>4291</v>
      </c>
      <c r="H33" s="500" t="s">
        <v>5185</v>
      </c>
      <c r="I33" s="262" t="s">
        <v>3492</v>
      </c>
      <c r="J33" s="262" t="s">
        <v>3526</v>
      </c>
      <c r="K33" s="263">
        <v>1570000</v>
      </c>
      <c r="L33" s="263">
        <v>0</v>
      </c>
      <c r="M33" s="263">
        <v>0</v>
      </c>
      <c r="N33" s="263">
        <v>0</v>
      </c>
      <c r="O33" s="263">
        <v>0</v>
      </c>
      <c r="P33" s="263">
        <v>0</v>
      </c>
      <c r="Q33" s="263">
        <v>0</v>
      </c>
      <c r="R33" s="263">
        <v>0</v>
      </c>
      <c r="S33" s="263">
        <v>0</v>
      </c>
      <c r="T33" s="263">
        <v>0</v>
      </c>
      <c r="U33" s="263">
        <f t="shared" si="43"/>
        <v>1570000</v>
      </c>
      <c r="V33" s="196" t="str">
        <f t="shared" si="4"/>
        <v>G/LOS</v>
      </c>
      <c r="W33" s="196" t="s">
        <v>1168</v>
      </c>
      <c r="X33" s="196" t="str">
        <f t="shared" si="5"/>
        <v>Y</v>
      </c>
      <c r="Y33" s="376">
        <f t="shared" si="6"/>
        <v>1570000</v>
      </c>
      <c r="Z33" s="198"/>
      <c r="AA33" s="376">
        <f t="shared" si="7"/>
        <v>1570000</v>
      </c>
      <c r="AB33" s="196" t="s">
        <v>1166</v>
      </c>
      <c r="AC33" s="196" t="s">
        <v>1168</v>
      </c>
      <c r="AD33" s="275">
        <v>0.53850541638035354</v>
      </c>
      <c r="AE33" s="275">
        <v>0.46149458361964635</v>
      </c>
      <c r="AF33" s="275">
        <v>0</v>
      </c>
      <c r="AG33" s="442">
        <v>0.55000000000000004</v>
      </c>
      <c r="AH33" s="442">
        <v>0.5</v>
      </c>
      <c r="AI33" s="377">
        <f t="shared" si="8"/>
        <v>0.52500000000000002</v>
      </c>
      <c r="AJ33" s="203">
        <v>1</v>
      </c>
      <c r="AK33" s="203">
        <f>1-AJ33</f>
        <v>0</v>
      </c>
      <c r="AL33" s="376">
        <f t="shared" si="9"/>
        <v>745750</v>
      </c>
      <c r="AM33" s="376">
        <f t="shared" si="10"/>
        <v>824250</v>
      </c>
      <c r="AN33" s="376">
        <f t="shared" si="11"/>
        <v>0</v>
      </c>
      <c r="AO33" s="378" t="s">
        <v>3608</v>
      </c>
      <c r="AP33" s="379" t="s">
        <v>2848</v>
      </c>
      <c r="AQ33" s="279" t="s">
        <v>4287</v>
      </c>
      <c r="AR33" s="287">
        <f t="shared" si="19"/>
        <v>824250</v>
      </c>
      <c r="AS33" s="287">
        <f t="shared" si="20"/>
        <v>0</v>
      </c>
      <c r="AT33" s="287">
        <f t="shared" si="21"/>
        <v>0</v>
      </c>
      <c r="AU33" s="287">
        <f t="shared" si="22"/>
        <v>0</v>
      </c>
      <c r="AV33" s="287">
        <f t="shared" si="23"/>
        <v>0</v>
      </c>
      <c r="AW33" s="287">
        <f t="shared" si="24"/>
        <v>0</v>
      </c>
      <c r="AX33" s="287">
        <f t="shared" si="25"/>
        <v>0</v>
      </c>
      <c r="AY33" s="287">
        <f t="shared" si="26"/>
        <v>0</v>
      </c>
      <c r="AZ33" s="287">
        <f t="shared" si="27"/>
        <v>0</v>
      </c>
      <c r="BA33" s="287">
        <f t="shared" si="28"/>
        <v>0</v>
      </c>
      <c r="BB33" s="16"/>
      <c r="BC33" s="287">
        <f t="shared" si="29"/>
        <v>0</v>
      </c>
      <c r="BD33" s="287">
        <f t="shared" si="30"/>
        <v>0</v>
      </c>
      <c r="BE33" s="287">
        <f t="shared" si="31"/>
        <v>0</v>
      </c>
      <c r="BF33" s="287">
        <f t="shared" si="32"/>
        <v>0</v>
      </c>
      <c r="BG33" s="287">
        <f t="shared" si="33"/>
        <v>0</v>
      </c>
      <c r="BH33" s="287">
        <f t="shared" si="34"/>
        <v>0</v>
      </c>
      <c r="BI33" s="287">
        <f t="shared" si="35"/>
        <v>0</v>
      </c>
      <c r="BJ33" s="287">
        <f t="shared" si="36"/>
        <v>0</v>
      </c>
      <c r="BK33" s="287">
        <f t="shared" si="37"/>
        <v>0</v>
      </c>
      <c r="BL33" s="287">
        <f t="shared" si="38"/>
        <v>0</v>
      </c>
      <c r="BM33" s="16"/>
      <c r="BN33" s="287">
        <f t="shared" si="39"/>
        <v>824250</v>
      </c>
      <c r="BO33" s="287">
        <f t="shared" si="40"/>
        <v>0</v>
      </c>
      <c r="BP33" s="430"/>
      <c r="BQ33" s="21"/>
      <c r="BR33" s="21"/>
      <c r="BS33" s="6"/>
      <c r="BT33" s="194">
        <f t="shared" si="14"/>
        <v>824250</v>
      </c>
      <c r="BU33" s="194">
        <f t="shared" si="15"/>
        <v>824250</v>
      </c>
      <c r="BV33" s="194">
        <f t="shared" si="16"/>
        <v>0</v>
      </c>
      <c r="BW33" s="194">
        <f t="shared" si="17"/>
        <v>0</v>
      </c>
      <c r="BX33" s="6"/>
      <c r="BY33" s="6"/>
      <c r="BZ33" s="39">
        <v>20</v>
      </c>
      <c r="CA33" s="39">
        <f t="shared" si="41"/>
        <v>2031</v>
      </c>
      <c r="CB33" s="6"/>
      <c r="CC33" s="39"/>
      <c r="CD33" s="39"/>
      <c r="CE33" s="39"/>
      <c r="CF33" s="39"/>
      <c r="CG33" s="39"/>
      <c r="CH33" s="39"/>
      <c r="CI33" s="39"/>
      <c r="CJ33" s="39"/>
      <c r="CK33" s="39"/>
    </row>
    <row r="34" spans="1:89" s="193" customFormat="1">
      <c r="A34" s="195"/>
      <c r="B34" s="21" t="str">
        <f t="shared" si="18"/>
        <v>N/A</v>
      </c>
      <c r="C34" s="21"/>
      <c r="D34" s="432">
        <v>2000014</v>
      </c>
      <c r="E34" s="439" t="s">
        <v>3626</v>
      </c>
      <c r="F34" s="439" t="s">
        <v>3642</v>
      </c>
      <c r="G34" s="273" t="s">
        <v>3397</v>
      </c>
      <c r="H34" s="358"/>
      <c r="I34" s="262" t="s">
        <v>3492</v>
      </c>
      <c r="J34" s="262" t="s">
        <v>3504</v>
      </c>
      <c r="K34" s="263">
        <v>58414</v>
      </c>
      <c r="L34" s="263">
        <v>0</v>
      </c>
      <c r="M34" s="263">
        <v>0</v>
      </c>
      <c r="N34" s="263">
        <v>0</v>
      </c>
      <c r="O34" s="263">
        <v>0</v>
      </c>
      <c r="P34" s="263">
        <v>0</v>
      </c>
      <c r="Q34" s="263">
        <v>0</v>
      </c>
      <c r="R34" s="263">
        <v>0</v>
      </c>
      <c r="S34" s="263">
        <v>0</v>
      </c>
      <c r="T34" s="263">
        <v>0</v>
      </c>
      <c r="U34" s="263">
        <f t="shared" si="43"/>
        <v>58414</v>
      </c>
      <c r="V34" s="196" t="str">
        <f t="shared" si="4"/>
        <v>LOS</v>
      </c>
      <c r="W34" s="196" t="s">
        <v>1168</v>
      </c>
      <c r="X34" s="196" t="str">
        <f t="shared" si="5"/>
        <v>N</v>
      </c>
      <c r="Y34" s="197">
        <f t="shared" si="6"/>
        <v>58414</v>
      </c>
      <c r="Z34" s="198"/>
      <c r="AA34" s="197">
        <f t="shared" si="7"/>
        <v>58414</v>
      </c>
      <c r="AB34" s="196"/>
      <c r="AC34" s="196"/>
      <c r="AD34" s="275">
        <v>0</v>
      </c>
      <c r="AE34" s="275">
        <v>1</v>
      </c>
      <c r="AF34" s="275">
        <v>0</v>
      </c>
      <c r="AG34" s="199"/>
      <c r="AH34" s="199"/>
      <c r="AI34" s="377">
        <f t="shared" si="8"/>
        <v>0</v>
      </c>
      <c r="AJ34" s="203"/>
      <c r="AK34" s="203"/>
      <c r="AL34" s="197">
        <f t="shared" si="9"/>
        <v>58414</v>
      </c>
      <c r="AM34" s="197">
        <f t="shared" si="10"/>
        <v>0</v>
      </c>
      <c r="AN34" s="197">
        <f t="shared" si="11"/>
        <v>0</v>
      </c>
      <c r="AO34" s="202"/>
      <c r="AP34" s="161" t="s">
        <v>3900</v>
      </c>
      <c r="AQ34" s="279"/>
      <c r="AR34" s="287">
        <f t="shared" si="19"/>
        <v>0</v>
      </c>
      <c r="AS34" s="287">
        <f t="shared" si="20"/>
        <v>0</v>
      </c>
      <c r="AT34" s="287">
        <f t="shared" si="21"/>
        <v>0</v>
      </c>
      <c r="AU34" s="287">
        <f t="shared" si="22"/>
        <v>0</v>
      </c>
      <c r="AV34" s="287">
        <f t="shared" si="23"/>
        <v>0</v>
      </c>
      <c r="AW34" s="287">
        <f t="shared" si="24"/>
        <v>0</v>
      </c>
      <c r="AX34" s="287">
        <f t="shared" si="25"/>
        <v>0</v>
      </c>
      <c r="AY34" s="287">
        <f t="shared" si="26"/>
        <v>0</v>
      </c>
      <c r="AZ34" s="287">
        <f t="shared" si="27"/>
        <v>0</v>
      </c>
      <c r="BA34" s="287">
        <f t="shared" si="28"/>
        <v>0</v>
      </c>
      <c r="BB34" s="16"/>
      <c r="BC34" s="287">
        <f t="shared" si="29"/>
        <v>0</v>
      </c>
      <c r="BD34" s="287">
        <f t="shared" si="30"/>
        <v>0</v>
      </c>
      <c r="BE34" s="287">
        <f t="shared" si="31"/>
        <v>0</v>
      </c>
      <c r="BF34" s="287">
        <f t="shared" si="32"/>
        <v>0</v>
      </c>
      <c r="BG34" s="287">
        <f t="shared" si="33"/>
        <v>0</v>
      </c>
      <c r="BH34" s="287">
        <f t="shared" si="34"/>
        <v>0</v>
      </c>
      <c r="BI34" s="287">
        <f t="shared" si="35"/>
        <v>0</v>
      </c>
      <c r="BJ34" s="287">
        <f t="shared" si="36"/>
        <v>0</v>
      </c>
      <c r="BK34" s="287">
        <f t="shared" si="37"/>
        <v>0</v>
      </c>
      <c r="BL34" s="287">
        <f t="shared" si="38"/>
        <v>0</v>
      </c>
      <c r="BM34" s="16"/>
      <c r="BN34" s="287">
        <f t="shared" si="39"/>
        <v>0</v>
      </c>
      <c r="BO34" s="287">
        <f t="shared" si="40"/>
        <v>0</v>
      </c>
      <c r="BP34" s="430"/>
      <c r="BQ34" s="21"/>
      <c r="BR34" s="21"/>
      <c r="BS34" s="39"/>
      <c r="BT34" s="39"/>
      <c r="BU34" s="334">
        <v>273000</v>
      </c>
      <c r="BV34" s="334">
        <v>0</v>
      </c>
      <c r="BW34" s="39"/>
      <c r="BX34" s="39"/>
      <c r="BY34" s="39"/>
      <c r="BZ34" s="39">
        <v>21</v>
      </c>
      <c r="CA34" s="39" t="str">
        <f t="shared" si="41"/>
        <v/>
      </c>
      <c r="CB34" s="39"/>
      <c r="CC34" s="39"/>
      <c r="CD34" s="39"/>
      <c r="CE34" s="39"/>
      <c r="CF34" s="39"/>
      <c r="CG34" s="39"/>
      <c r="CH34" s="39"/>
      <c r="CI34" s="39"/>
      <c r="CJ34" s="39"/>
      <c r="CK34" s="39"/>
    </row>
    <row r="35" spans="1:89" s="193" customFormat="1">
      <c r="A35" s="195"/>
      <c r="B35" s="21" t="str">
        <f t="shared" si="18"/>
        <v>N/A</v>
      </c>
      <c r="C35" s="21"/>
      <c r="D35" s="432">
        <v>2010100</v>
      </c>
      <c r="E35" s="439" t="s">
        <v>3626</v>
      </c>
      <c r="F35" s="439" t="s">
        <v>3643</v>
      </c>
      <c r="G35" s="273" t="s">
        <v>3378</v>
      </c>
      <c r="H35" s="358"/>
      <c r="I35" s="262" t="s">
        <v>3492</v>
      </c>
      <c r="J35" s="262" t="s">
        <v>3520</v>
      </c>
      <c r="K35" s="263">
        <v>201221</v>
      </c>
      <c r="L35" s="263">
        <v>0</v>
      </c>
      <c r="M35" s="263">
        <v>0</v>
      </c>
      <c r="N35" s="263">
        <v>0</v>
      </c>
      <c r="O35" s="263">
        <v>0</v>
      </c>
      <c r="P35" s="263">
        <v>0</v>
      </c>
      <c r="Q35" s="263">
        <v>0</v>
      </c>
      <c r="R35" s="263">
        <v>0</v>
      </c>
      <c r="S35" s="263">
        <v>0</v>
      </c>
      <c r="T35" s="263">
        <v>0</v>
      </c>
      <c r="U35" s="263">
        <f t="shared" si="43"/>
        <v>201221</v>
      </c>
      <c r="V35" s="196" t="str">
        <f t="shared" si="4"/>
        <v>G/LOS</v>
      </c>
      <c r="W35" s="196" t="s">
        <v>1168</v>
      </c>
      <c r="X35" s="196" t="str">
        <f t="shared" si="5"/>
        <v>Y</v>
      </c>
      <c r="Y35" s="197">
        <f t="shared" si="6"/>
        <v>201221</v>
      </c>
      <c r="Z35" s="198"/>
      <c r="AA35" s="197">
        <f t="shared" si="7"/>
        <v>201221</v>
      </c>
      <c r="AB35" s="196" t="s">
        <v>1168</v>
      </c>
      <c r="AC35" s="196"/>
      <c r="AD35" s="275">
        <v>0.76464214797379837</v>
      </c>
      <c r="AE35" s="275">
        <v>0.23535785202620169</v>
      </c>
      <c r="AF35" s="275">
        <v>0</v>
      </c>
      <c r="AG35" s="199"/>
      <c r="AH35" s="199"/>
      <c r="AI35" s="377">
        <f t="shared" si="8"/>
        <v>0</v>
      </c>
      <c r="AJ35" s="203"/>
      <c r="AK35" s="203"/>
      <c r="AL35" s="197">
        <f t="shared" si="9"/>
        <v>201221</v>
      </c>
      <c r="AM35" s="197">
        <f t="shared" si="10"/>
        <v>0</v>
      </c>
      <c r="AN35" s="197">
        <f t="shared" si="11"/>
        <v>0</v>
      </c>
      <c r="AO35" s="202"/>
      <c r="AP35" s="161" t="s">
        <v>3900</v>
      </c>
      <c r="AQ35" s="279"/>
      <c r="AR35" s="287">
        <f t="shared" si="19"/>
        <v>0</v>
      </c>
      <c r="AS35" s="287">
        <f t="shared" si="20"/>
        <v>0</v>
      </c>
      <c r="AT35" s="287">
        <f t="shared" si="21"/>
        <v>0</v>
      </c>
      <c r="AU35" s="287">
        <f t="shared" si="22"/>
        <v>0</v>
      </c>
      <c r="AV35" s="287">
        <f t="shared" si="23"/>
        <v>0</v>
      </c>
      <c r="AW35" s="287">
        <f t="shared" si="24"/>
        <v>0</v>
      </c>
      <c r="AX35" s="287">
        <f t="shared" si="25"/>
        <v>0</v>
      </c>
      <c r="AY35" s="287">
        <f t="shared" si="26"/>
        <v>0</v>
      </c>
      <c r="AZ35" s="287">
        <f t="shared" si="27"/>
        <v>0</v>
      </c>
      <c r="BA35" s="287">
        <f t="shared" si="28"/>
        <v>0</v>
      </c>
      <c r="BB35" s="16"/>
      <c r="BC35" s="287">
        <f t="shared" si="29"/>
        <v>0</v>
      </c>
      <c r="BD35" s="287">
        <f t="shared" si="30"/>
        <v>0</v>
      </c>
      <c r="BE35" s="287">
        <f t="shared" si="31"/>
        <v>0</v>
      </c>
      <c r="BF35" s="287">
        <f t="shared" si="32"/>
        <v>0</v>
      </c>
      <c r="BG35" s="287">
        <f t="shared" si="33"/>
        <v>0</v>
      </c>
      <c r="BH35" s="287">
        <f t="shared" si="34"/>
        <v>0</v>
      </c>
      <c r="BI35" s="287">
        <f t="shared" si="35"/>
        <v>0</v>
      </c>
      <c r="BJ35" s="287">
        <f t="shared" si="36"/>
        <v>0</v>
      </c>
      <c r="BK35" s="287">
        <f t="shared" si="37"/>
        <v>0</v>
      </c>
      <c r="BL35" s="287">
        <f t="shared" si="38"/>
        <v>0</v>
      </c>
      <c r="BM35" s="16"/>
      <c r="BN35" s="287">
        <f t="shared" si="39"/>
        <v>0</v>
      </c>
      <c r="BO35" s="287">
        <f t="shared" si="40"/>
        <v>0</v>
      </c>
      <c r="BP35" s="430"/>
      <c r="BQ35" s="21"/>
      <c r="BR35" s="21"/>
      <c r="BS35" s="39"/>
      <c r="BT35" s="39"/>
      <c r="BU35" s="334">
        <v>379000</v>
      </c>
      <c r="BV35" s="334">
        <v>0</v>
      </c>
      <c r="BW35" s="39"/>
      <c r="BX35" s="39"/>
      <c r="BY35" s="39"/>
      <c r="BZ35" s="39">
        <v>22</v>
      </c>
      <c r="CA35" s="39" t="str">
        <f t="shared" si="41"/>
        <v/>
      </c>
      <c r="CB35" s="39"/>
      <c r="CC35" s="39"/>
      <c r="CD35" s="39"/>
      <c r="CE35" s="39"/>
      <c r="CF35" s="39"/>
      <c r="CG35" s="39"/>
      <c r="CH35" s="39"/>
      <c r="CI35" s="39"/>
      <c r="CJ35" s="39"/>
      <c r="CK35" s="39"/>
    </row>
    <row r="36" spans="1:89" s="193" customFormat="1">
      <c r="A36" s="195"/>
      <c r="B36" s="21" t="str">
        <f t="shared" si="18"/>
        <v>N/A</v>
      </c>
      <c r="C36" s="21"/>
      <c r="D36" s="432">
        <v>2010166</v>
      </c>
      <c r="E36" s="439" t="s">
        <v>3626</v>
      </c>
      <c r="F36" s="439" t="s">
        <v>3645</v>
      </c>
      <c r="G36" s="273" t="s">
        <v>3411</v>
      </c>
      <c r="H36" s="358"/>
      <c r="I36" s="262" t="s">
        <v>3492</v>
      </c>
      <c r="J36" s="262" t="s">
        <v>3512</v>
      </c>
      <c r="K36" s="263">
        <v>30000</v>
      </c>
      <c r="L36" s="263">
        <v>156425</v>
      </c>
      <c r="M36" s="263">
        <v>0</v>
      </c>
      <c r="N36" s="263">
        <v>0</v>
      </c>
      <c r="O36" s="263">
        <v>0</v>
      </c>
      <c r="P36" s="263">
        <v>0</v>
      </c>
      <c r="Q36" s="263">
        <v>0</v>
      </c>
      <c r="R36" s="263">
        <v>0</v>
      </c>
      <c r="S36" s="263">
        <v>0</v>
      </c>
      <c r="T36" s="263">
        <v>0</v>
      </c>
      <c r="U36" s="263">
        <f t="shared" si="43"/>
        <v>186425</v>
      </c>
      <c r="V36" s="196" t="str">
        <f t="shared" si="4"/>
        <v>LOS/R</v>
      </c>
      <c r="W36" s="196" t="s">
        <v>1168</v>
      </c>
      <c r="X36" s="196" t="str">
        <f t="shared" si="5"/>
        <v>N</v>
      </c>
      <c r="Y36" s="197">
        <f t="shared" si="6"/>
        <v>186425</v>
      </c>
      <c r="Z36" s="198"/>
      <c r="AA36" s="197">
        <f t="shared" si="7"/>
        <v>186425</v>
      </c>
      <c r="AB36" s="196"/>
      <c r="AC36" s="196"/>
      <c r="AD36" s="275">
        <v>0</v>
      </c>
      <c r="AE36" s="275">
        <v>0.5</v>
      </c>
      <c r="AF36" s="275">
        <v>0.5</v>
      </c>
      <c r="AG36" s="199"/>
      <c r="AH36" s="199"/>
      <c r="AI36" s="377">
        <f t="shared" si="8"/>
        <v>0</v>
      </c>
      <c r="AJ36" s="203"/>
      <c r="AK36" s="203"/>
      <c r="AL36" s="197">
        <f t="shared" si="9"/>
        <v>186425</v>
      </c>
      <c r="AM36" s="197">
        <f t="shared" si="10"/>
        <v>0</v>
      </c>
      <c r="AN36" s="197">
        <f t="shared" si="11"/>
        <v>0</v>
      </c>
      <c r="AO36" s="202"/>
      <c r="AP36" s="161" t="s">
        <v>3900</v>
      </c>
      <c r="AQ36" s="279"/>
      <c r="AR36" s="287">
        <f t="shared" si="19"/>
        <v>0</v>
      </c>
      <c r="AS36" s="287">
        <f t="shared" si="20"/>
        <v>0</v>
      </c>
      <c r="AT36" s="287">
        <f t="shared" si="21"/>
        <v>0</v>
      </c>
      <c r="AU36" s="287">
        <f t="shared" si="22"/>
        <v>0</v>
      </c>
      <c r="AV36" s="287">
        <f t="shared" si="23"/>
        <v>0</v>
      </c>
      <c r="AW36" s="287">
        <f t="shared" si="24"/>
        <v>0</v>
      </c>
      <c r="AX36" s="287">
        <f t="shared" si="25"/>
        <v>0</v>
      </c>
      <c r="AY36" s="287">
        <f t="shared" si="26"/>
        <v>0</v>
      </c>
      <c r="AZ36" s="287">
        <f t="shared" si="27"/>
        <v>0</v>
      </c>
      <c r="BA36" s="287">
        <f t="shared" si="28"/>
        <v>0</v>
      </c>
      <c r="BB36" s="16"/>
      <c r="BC36" s="287">
        <f t="shared" si="29"/>
        <v>0</v>
      </c>
      <c r="BD36" s="287">
        <f t="shared" si="30"/>
        <v>0</v>
      </c>
      <c r="BE36" s="287">
        <f t="shared" si="31"/>
        <v>0</v>
      </c>
      <c r="BF36" s="287">
        <f t="shared" si="32"/>
        <v>0</v>
      </c>
      <c r="BG36" s="287">
        <f t="shared" si="33"/>
        <v>0</v>
      </c>
      <c r="BH36" s="287">
        <f t="shared" si="34"/>
        <v>0</v>
      </c>
      <c r="BI36" s="287">
        <f t="shared" si="35"/>
        <v>0</v>
      </c>
      <c r="BJ36" s="287">
        <f t="shared" si="36"/>
        <v>0</v>
      </c>
      <c r="BK36" s="287">
        <f t="shared" si="37"/>
        <v>0</v>
      </c>
      <c r="BL36" s="287">
        <f t="shared" si="38"/>
        <v>0</v>
      </c>
      <c r="BM36" s="16"/>
      <c r="BN36" s="287">
        <f t="shared" si="39"/>
        <v>0</v>
      </c>
      <c r="BO36" s="287">
        <f t="shared" si="40"/>
        <v>0</v>
      </c>
      <c r="BP36" s="430"/>
      <c r="BQ36" s="21"/>
      <c r="BR36" s="21"/>
      <c r="BS36" s="39"/>
      <c r="BT36" s="39"/>
      <c r="BU36" s="334">
        <v>1447250</v>
      </c>
      <c r="BV36" s="334">
        <v>0</v>
      </c>
      <c r="BW36" s="39"/>
      <c r="BX36" s="39"/>
      <c r="BY36" s="39"/>
      <c r="BZ36" s="39">
        <v>23</v>
      </c>
      <c r="CA36" s="39" t="str">
        <f t="shared" si="41"/>
        <v/>
      </c>
      <c r="CB36" s="39"/>
      <c r="CC36" s="39"/>
      <c r="CD36" s="39"/>
      <c r="CE36" s="39"/>
      <c r="CF36" s="39"/>
      <c r="CG36" s="39"/>
      <c r="CH36" s="39"/>
      <c r="CI36" s="39"/>
      <c r="CJ36" s="39"/>
      <c r="CK36" s="39"/>
    </row>
    <row r="37" spans="1:89" s="193" customFormat="1">
      <c r="A37" s="195"/>
      <c r="B37" s="21" t="str">
        <f t="shared" si="18"/>
        <v>N/A</v>
      </c>
      <c r="C37" s="21"/>
      <c r="D37" s="432">
        <v>2010200</v>
      </c>
      <c r="E37" s="439" t="s">
        <v>3626</v>
      </c>
      <c r="F37" s="439" t="s">
        <v>3647</v>
      </c>
      <c r="G37" s="273" t="s">
        <v>3406</v>
      </c>
      <c r="H37" s="358"/>
      <c r="I37" s="262" t="s">
        <v>3492</v>
      </c>
      <c r="J37" s="262" t="s">
        <v>3523</v>
      </c>
      <c r="K37" s="263">
        <v>18000</v>
      </c>
      <c r="L37" s="263">
        <v>20000</v>
      </c>
      <c r="M37" s="263">
        <v>20000</v>
      </c>
      <c r="N37" s="263">
        <v>10000</v>
      </c>
      <c r="O37" s="263">
        <v>0</v>
      </c>
      <c r="P37" s="263">
        <v>0</v>
      </c>
      <c r="Q37" s="263">
        <v>0</v>
      </c>
      <c r="R37" s="263">
        <v>0</v>
      </c>
      <c r="S37" s="263">
        <v>0</v>
      </c>
      <c r="T37" s="263">
        <v>0</v>
      </c>
      <c r="U37" s="263">
        <f t="shared" si="43"/>
        <v>68000</v>
      </c>
      <c r="V37" s="196" t="str">
        <f t="shared" si="4"/>
        <v>LOS</v>
      </c>
      <c r="W37" s="196" t="s">
        <v>1168</v>
      </c>
      <c r="X37" s="196" t="str">
        <f t="shared" si="5"/>
        <v>N</v>
      </c>
      <c r="Y37" s="197">
        <f t="shared" si="6"/>
        <v>68000</v>
      </c>
      <c r="Z37" s="198"/>
      <c r="AA37" s="197">
        <f t="shared" si="7"/>
        <v>68000</v>
      </c>
      <c r="AB37" s="196"/>
      <c r="AC37" s="196"/>
      <c r="AD37" s="275">
        <v>0</v>
      </c>
      <c r="AE37" s="275">
        <v>1</v>
      </c>
      <c r="AF37" s="275">
        <v>0</v>
      </c>
      <c r="AG37" s="199"/>
      <c r="AH37" s="199"/>
      <c r="AI37" s="377">
        <f t="shared" si="8"/>
        <v>0</v>
      </c>
      <c r="AJ37" s="203"/>
      <c r="AK37" s="203"/>
      <c r="AL37" s="197">
        <f t="shared" si="9"/>
        <v>68000</v>
      </c>
      <c r="AM37" s="197">
        <f t="shared" si="10"/>
        <v>0</v>
      </c>
      <c r="AN37" s="197">
        <f t="shared" si="11"/>
        <v>0</v>
      </c>
      <c r="AO37" s="202"/>
      <c r="AP37" s="161" t="s">
        <v>3900</v>
      </c>
      <c r="AQ37" s="279"/>
      <c r="AR37" s="287">
        <f t="shared" si="19"/>
        <v>0</v>
      </c>
      <c r="AS37" s="287">
        <f t="shared" si="20"/>
        <v>0</v>
      </c>
      <c r="AT37" s="287">
        <f t="shared" si="21"/>
        <v>0</v>
      </c>
      <c r="AU37" s="287">
        <f t="shared" si="22"/>
        <v>0</v>
      </c>
      <c r="AV37" s="287">
        <f t="shared" si="23"/>
        <v>0</v>
      </c>
      <c r="AW37" s="287">
        <f t="shared" si="24"/>
        <v>0</v>
      </c>
      <c r="AX37" s="287">
        <f t="shared" si="25"/>
        <v>0</v>
      </c>
      <c r="AY37" s="287">
        <f t="shared" si="26"/>
        <v>0</v>
      </c>
      <c r="AZ37" s="287">
        <f t="shared" si="27"/>
        <v>0</v>
      </c>
      <c r="BA37" s="287">
        <f t="shared" si="28"/>
        <v>0</v>
      </c>
      <c r="BB37" s="16"/>
      <c r="BC37" s="287">
        <f t="shared" si="29"/>
        <v>0</v>
      </c>
      <c r="BD37" s="287">
        <f t="shared" si="30"/>
        <v>0</v>
      </c>
      <c r="BE37" s="287">
        <f t="shared" si="31"/>
        <v>0</v>
      </c>
      <c r="BF37" s="287">
        <f t="shared" si="32"/>
        <v>0</v>
      </c>
      <c r="BG37" s="287">
        <f t="shared" si="33"/>
        <v>0</v>
      </c>
      <c r="BH37" s="287">
        <f t="shared" si="34"/>
        <v>0</v>
      </c>
      <c r="BI37" s="287">
        <f t="shared" si="35"/>
        <v>0</v>
      </c>
      <c r="BJ37" s="287">
        <f t="shared" si="36"/>
        <v>0</v>
      </c>
      <c r="BK37" s="287">
        <f t="shared" si="37"/>
        <v>0</v>
      </c>
      <c r="BL37" s="287">
        <f t="shared" si="38"/>
        <v>0</v>
      </c>
      <c r="BM37" s="16"/>
      <c r="BN37" s="287">
        <f t="shared" si="39"/>
        <v>0</v>
      </c>
      <c r="BO37" s="287">
        <f t="shared" si="40"/>
        <v>0</v>
      </c>
      <c r="BP37" s="430"/>
      <c r="BQ37" s="21"/>
      <c r="BR37" s="21"/>
      <c r="BS37" s="39"/>
      <c r="BT37" s="39"/>
      <c r="BU37" s="334">
        <v>6410493</v>
      </c>
      <c r="BV37" s="334">
        <v>3157406.9999999995</v>
      </c>
      <c r="BW37" s="39"/>
      <c r="BX37" s="39"/>
      <c r="BY37" s="39"/>
      <c r="BZ37" s="39">
        <v>24</v>
      </c>
      <c r="CA37" s="39" t="str">
        <f t="shared" si="41"/>
        <v/>
      </c>
      <c r="CB37" s="39"/>
      <c r="CC37" s="39"/>
      <c r="CD37" s="39"/>
      <c r="CE37" s="39"/>
      <c r="CF37" s="39"/>
      <c r="CG37" s="39"/>
      <c r="CH37" s="39"/>
      <c r="CI37" s="39"/>
      <c r="CJ37" s="39"/>
      <c r="CK37" s="39"/>
    </row>
    <row r="38" spans="1:89" s="193" customFormat="1">
      <c r="A38" s="195"/>
      <c r="B38" s="21" t="str">
        <f t="shared" si="18"/>
        <v>N/A</v>
      </c>
      <c r="C38" s="21"/>
      <c r="D38" s="432">
        <v>2010200</v>
      </c>
      <c r="E38" s="439" t="s">
        <v>3626</v>
      </c>
      <c r="F38" s="439" t="s">
        <v>3646</v>
      </c>
      <c r="G38" s="273" t="s">
        <v>3408</v>
      </c>
      <c r="H38" s="358"/>
      <c r="I38" s="262" t="s">
        <v>3492</v>
      </c>
      <c r="J38" s="262" t="s">
        <v>3522</v>
      </c>
      <c r="K38" s="263">
        <v>10000</v>
      </c>
      <c r="L38" s="263">
        <v>12000</v>
      </c>
      <c r="M38" s="263">
        <v>16000</v>
      </c>
      <c r="N38" s="263">
        <v>0</v>
      </c>
      <c r="O38" s="263">
        <v>0</v>
      </c>
      <c r="P38" s="263">
        <v>0</v>
      </c>
      <c r="Q38" s="263">
        <v>0</v>
      </c>
      <c r="R38" s="263">
        <v>0</v>
      </c>
      <c r="S38" s="263">
        <v>0</v>
      </c>
      <c r="T38" s="263">
        <v>0</v>
      </c>
      <c r="U38" s="263">
        <f t="shared" si="43"/>
        <v>38000</v>
      </c>
      <c r="V38" s="196" t="str">
        <f t="shared" si="4"/>
        <v>LOS</v>
      </c>
      <c r="W38" s="196" t="s">
        <v>1168</v>
      </c>
      <c r="X38" s="196" t="str">
        <f t="shared" si="5"/>
        <v>N</v>
      </c>
      <c r="Y38" s="197">
        <f t="shared" si="6"/>
        <v>38000</v>
      </c>
      <c r="Z38" s="198"/>
      <c r="AA38" s="197">
        <f t="shared" si="7"/>
        <v>38000</v>
      </c>
      <c r="AB38" s="196"/>
      <c r="AC38" s="196"/>
      <c r="AD38" s="275">
        <v>0</v>
      </c>
      <c r="AE38" s="275">
        <v>1</v>
      </c>
      <c r="AF38" s="275">
        <v>0</v>
      </c>
      <c r="AG38" s="199"/>
      <c r="AH38" s="199"/>
      <c r="AI38" s="377">
        <f t="shared" si="8"/>
        <v>0</v>
      </c>
      <c r="AJ38" s="203"/>
      <c r="AK38" s="203"/>
      <c r="AL38" s="197">
        <f t="shared" si="9"/>
        <v>38000</v>
      </c>
      <c r="AM38" s="197">
        <f t="shared" si="10"/>
        <v>0</v>
      </c>
      <c r="AN38" s="197">
        <f t="shared" si="11"/>
        <v>0</v>
      </c>
      <c r="AO38" s="202"/>
      <c r="AP38" s="161" t="s">
        <v>3900</v>
      </c>
      <c r="AQ38" s="279"/>
      <c r="AR38" s="287">
        <f t="shared" si="19"/>
        <v>0</v>
      </c>
      <c r="AS38" s="287">
        <f t="shared" si="20"/>
        <v>0</v>
      </c>
      <c r="AT38" s="287">
        <f t="shared" si="21"/>
        <v>0</v>
      </c>
      <c r="AU38" s="287">
        <f t="shared" si="22"/>
        <v>0</v>
      </c>
      <c r="AV38" s="287">
        <f t="shared" si="23"/>
        <v>0</v>
      </c>
      <c r="AW38" s="287">
        <f t="shared" si="24"/>
        <v>0</v>
      </c>
      <c r="AX38" s="287">
        <f t="shared" si="25"/>
        <v>0</v>
      </c>
      <c r="AY38" s="287">
        <f t="shared" si="26"/>
        <v>0</v>
      </c>
      <c r="AZ38" s="287">
        <f t="shared" si="27"/>
        <v>0</v>
      </c>
      <c r="BA38" s="287">
        <f t="shared" si="28"/>
        <v>0</v>
      </c>
      <c r="BB38" s="16"/>
      <c r="BC38" s="287">
        <f t="shared" si="29"/>
        <v>0</v>
      </c>
      <c r="BD38" s="287">
        <f t="shared" si="30"/>
        <v>0</v>
      </c>
      <c r="BE38" s="287">
        <f t="shared" si="31"/>
        <v>0</v>
      </c>
      <c r="BF38" s="287">
        <f t="shared" si="32"/>
        <v>0</v>
      </c>
      <c r="BG38" s="287">
        <f t="shared" si="33"/>
        <v>0</v>
      </c>
      <c r="BH38" s="287">
        <f t="shared" si="34"/>
        <v>0</v>
      </c>
      <c r="BI38" s="287">
        <f t="shared" si="35"/>
        <v>0</v>
      </c>
      <c r="BJ38" s="287">
        <f t="shared" si="36"/>
        <v>0</v>
      </c>
      <c r="BK38" s="287">
        <f t="shared" si="37"/>
        <v>0</v>
      </c>
      <c r="BL38" s="287">
        <f t="shared" si="38"/>
        <v>0</v>
      </c>
      <c r="BM38" s="16"/>
      <c r="BN38" s="287">
        <f t="shared" si="39"/>
        <v>0</v>
      </c>
      <c r="BO38" s="287">
        <f t="shared" si="40"/>
        <v>0</v>
      </c>
      <c r="BP38" s="430"/>
      <c r="BQ38" s="21"/>
      <c r="BR38" s="21"/>
      <c r="BS38" s="39"/>
      <c r="BT38" s="39"/>
      <c r="BU38" s="334">
        <v>19360</v>
      </c>
      <c r="BV38" s="334">
        <v>0</v>
      </c>
      <c r="BW38" s="39"/>
      <c r="BX38" s="39"/>
      <c r="BY38" s="39"/>
      <c r="BZ38" s="39">
        <v>25</v>
      </c>
      <c r="CA38" s="39" t="str">
        <f t="shared" si="41"/>
        <v/>
      </c>
      <c r="CB38" s="39"/>
      <c r="CC38" s="39"/>
      <c r="CD38" s="39"/>
      <c r="CE38" s="39"/>
      <c r="CF38" s="39"/>
      <c r="CG38" s="39"/>
      <c r="CH38" s="39"/>
      <c r="CI38" s="39"/>
      <c r="CJ38" s="39"/>
      <c r="CK38" s="39"/>
    </row>
    <row r="39" spans="1:89" s="193" customFormat="1">
      <c r="A39" s="195"/>
      <c r="B39" s="21" t="str">
        <f t="shared" si="18"/>
        <v>N/A</v>
      </c>
      <c r="C39" s="21"/>
      <c r="D39" s="432">
        <v>2010200</v>
      </c>
      <c r="E39" s="439" t="s">
        <v>3626</v>
      </c>
      <c r="F39" s="439" t="s">
        <v>3648</v>
      </c>
      <c r="G39" s="273" t="s">
        <v>3407</v>
      </c>
      <c r="H39" s="358"/>
      <c r="I39" s="262" t="s">
        <v>3492</v>
      </c>
      <c r="J39" s="262" t="s">
        <v>3521</v>
      </c>
      <c r="K39" s="263">
        <v>15000</v>
      </c>
      <c r="L39" s="263">
        <v>15000</v>
      </c>
      <c r="M39" s="263">
        <v>20000</v>
      </c>
      <c r="N39" s="263">
        <v>20000</v>
      </c>
      <c r="O39" s="263">
        <v>15000</v>
      </c>
      <c r="P39" s="263">
        <v>0</v>
      </c>
      <c r="Q39" s="263">
        <v>0</v>
      </c>
      <c r="R39" s="263">
        <v>0</v>
      </c>
      <c r="S39" s="263">
        <v>0</v>
      </c>
      <c r="T39" s="263">
        <v>0</v>
      </c>
      <c r="U39" s="263">
        <f t="shared" si="43"/>
        <v>85000</v>
      </c>
      <c r="V39" s="196" t="str">
        <f t="shared" si="4"/>
        <v>LOS</v>
      </c>
      <c r="W39" s="196" t="s">
        <v>1168</v>
      </c>
      <c r="X39" s="196" t="str">
        <f t="shared" si="5"/>
        <v>N</v>
      </c>
      <c r="Y39" s="197">
        <f t="shared" si="6"/>
        <v>85000</v>
      </c>
      <c r="Z39" s="198"/>
      <c r="AA39" s="197">
        <f t="shared" si="7"/>
        <v>85000</v>
      </c>
      <c r="AB39" s="196"/>
      <c r="AC39" s="196"/>
      <c r="AD39" s="275">
        <v>0</v>
      </c>
      <c r="AE39" s="275">
        <v>1</v>
      </c>
      <c r="AF39" s="275">
        <v>0</v>
      </c>
      <c r="AG39" s="199"/>
      <c r="AH39" s="199"/>
      <c r="AI39" s="377">
        <f t="shared" si="8"/>
        <v>0</v>
      </c>
      <c r="AJ39" s="203"/>
      <c r="AK39" s="203"/>
      <c r="AL39" s="197">
        <f t="shared" si="9"/>
        <v>85000</v>
      </c>
      <c r="AM39" s="197">
        <f t="shared" si="10"/>
        <v>0</v>
      </c>
      <c r="AN39" s="197">
        <f t="shared" si="11"/>
        <v>0</v>
      </c>
      <c r="AO39" s="202"/>
      <c r="AP39" s="161" t="s">
        <v>3900</v>
      </c>
      <c r="AQ39" s="279"/>
      <c r="AR39" s="287">
        <f t="shared" si="19"/>
        <v>0</v>
      </c>
      <c r="AS39" s="287">
        <f t="shared" si="20"/>
        <v>0</v>
      </c>
      <c r="AT39" s="287">
        <f t="shared" si="21"/>
        <v>0</v>
      </c>
      <c r="AU39" s="287">
        <f t="shared" si="22"/>
        <v>0</v>
      </c>
      <c r="AV39" s="287">
        <f t="shared" si="23"/>
        <v>0</v>
      </c>
      <c r="AW39" s="287">
        <f t="shared" si="24"/>
        <v>0</v>
      </c>
      <c r="AX39" s="287">
        <f t="shared" si="25"/>
        <v>0</v>
      </c>
      <c r="AY39" s="287">
        <f t="shared" si="26"/>
        <v>0</v>
      </c>
      <c r="AZ39" s="287">
        <f t="shared" si="27"/>
        <v>0</v>
      </c>
      <c r="BA39" s="287">
        <f t="shared" si="28"/>
        <v>0</v>
      </c>
      <c r="BB39" s="16"/>
      <c r="BC39" s="287">
        <f t="shared" si="29"/>
        <v>0</v>
      </c>
      <c r="BD39" s="287">
        <f t="shared" si="30"/>
        <v>0</v>
      </c>
      <c r="BE39" s="287">
        <f t="shared" si="31"/>
        <v>0</v>
      </c>
      <c r="BF39" s="287">
        <f t="shared" si="32"/>
        <v>0</v>
      </c>
      <c r="BG39" s="287">
        <f t="shared" si="33"/>
        <v>0</v>
      </c>
      <c r="BH39" s="287">
        <f t="shared" si="34"/>
        <v>0</v>
      </c>
      <c r="BI39" s="287">
        <f t="shared" si="35"/>
        <v>0</v>
      </c>
      <c r="BJ39" s="287">
        <f t="shared" si="36"/>
        <v>0</v>
      </c>
      <c r="BK39" s="287">
        <f t="shared" si="37"/>
        <v>0</v>
      </c>
      <c r="BL39" s="287">
        <f t="shared" si="38"/>
        <v>0</v>
      </c>
      <c r="BM39" s="16"/>
      <c r="BN39" s="287">
        <f t="shared" si="39"/>
        <v>0</v>
      </c>
      <c r="BO39" s="287">
        <f t="shared" si="40"/>
        <v>0</v>
      </c>
      <c r="BP39" s="430"/>
      <c r="BQ39" s="21"/>
      <c r="BR39" s="21"/>
      <c r="BS39" s="39"/>
      <c r="BT39" s="39"/>
      <c r="BU39" s="334">
        <v>2640</v>
      </c>
      <c r="BV39" s="334">
        <v>0</v>
      </c>
      <c r="BW39" s="39"/>
      <c r="BX39" s="39"/>
      <c r="BY39" s="39"/>
      <c r="BZ39" s="39">
        <v>26</v>
      </c>
      <c r="CA39" s="39" t="str">
        <f t="shared" si="41"/>
        <v/>
      </c>
      <c r="CB39" s="39"/>
      <c r="CC39" s="39"/>
      <c r="CD39" s="39"/>
      <c r="CE39" s="39"/>
      <c r="CF39" s="39"/>
      <c r="CG39" s="39"/>
      <c r="CH39" s="39"/>
      <c r="CI39" s="39"/>
      <c r="CJ39" s="39"/>
      <c r="CK39" s="39"/>
    </row>
    <row r="40" spans="1:89" s="193" customFormat="1">
      <c r="A40" s="195"/>
      <c r="B40" s="21" t="str">
        <f t="shared" si="18"/>
        <v>N/A</v>
      </c>
      <c r="C40" s="21"/>
      <c r="D40" s="432">
        <v>2010416</v>
      </c>
      <c r="E40" s="439" t="s">
        <v>3626</v>
      </c>
      <c r="F40" s="439" t="s">
        <v>3649</v>
      </c>
      <c r="G40" s="273" t="s">
        <v>3306</v>
      </c>
      <c r="H40" s="358"/>
      <c r="I40" s="262" t="s">
        <v>3492</v>
      </c>
      <c r="J40" s="262" t="s">
        <v>3504</v>
      </c>
      <c r="K40" s="263">
        <v>3162570</v>
      </c>
      <c r="L40" s="263">
        <v>3677938</v>
      </c>
      <c r="M40" s="263">
        <v>4152419</v>
      </c>
      <c r="N40" s="263">
        <v>3400308</v>
      </c>
      <c r="O40" s="263">
        <v>3723952</v>
      </c>
      <c r="P40" s="263">
        <v>4865747</v>
      </c>
      <c r="Q40" s="263">
        <v>5112286</v>
      </c>
      <c r="R40" s="263">
        <v>0</v>
      </c>
      <c r="S40" s="263">
        <v>0</v>
      </c>
      <c r="T40" s="263">
        <v>0</v>
      </c>
      <c r="U40" s="263">
        <f t="shared" si="43"/>
        <v>28095220</v>
      </c>
      <c r="V40" s="196" t="str">
        <f t="shared" si="4"/>
        <v>R</v>
      </c>
      <c r="W40" s="196" t="s">
        <v>1168</v>
      </c>
      <c r="X40" s="196" t="str">
        <f t="shared" si="5"/>
        <v>N</v>
      </c>
      <c r="Y40" s="197">
        <f t="shared" si="6"/>
        <v>28095220</v>
      </c>
      <c r="Z40" s="198"/>
      <c r="AA40" s="197">
        <f t="shared" si="7"/>
        <v>28095220</v>
      </c>
      <c r="AB40" s="196"/>
      <c r="AC40" s="196"/>
      <c r="AD40" s="275">
        <v>0</v>
      </c>
      <c r="AE40" s="275">
        <v>0</v>
      </c>
      <c r="AF40" s="275">
        <v>1</v>
      </c>
      <c r="AG40" s="199"/>
      <c r="AH40" s="199"/>
      <c r="AI40" s="377">
        <f t="shared" si="8"/>
        <v>0</v>
      </c>
      <c r="AJ40" s="203"/>
      <c r="AK40" s="203"/>
      <c r="AL40" s="197">
        <f t="shared" si="9"/>
        <v>28095220</v>
      </c>
      <c r="AM40" s="197">
        <f t="shared" si="10"/>
        <v>0</v>
      </c>
      <c r="AN40" s="197">
        <f t="shared" si="11"/>
        <v>0</v>
      </c>
      <c r="AO40" s="202"/>
      <c r="AP40" s="161" t="s">
        <v>3900</v>
      </c>
      <c r="AQ40" s="279"/>
      <c r="AR40" s="287">
        <f t="shared" si="19"/>
        <v>0</v>
      </c>
      <c r="AS40" s="287">
        <f t="shared" si="20"/>
        <v>0</v>
      </c>
      <c r="AT40" s="287">
        <f t="shared" si="21"/>
        <v>0</v>
      </c>
      <c r="AU40" s="287">
        <f t="shared" si="22"/>
        <v>0</v>
      </c>
      <c r="AV40" s="287">
        <f t="shared" si="23"/>
        <v>0</v>
      </c>
      <c r="AW40" s="287">
        <f t="shared" si="24"/>
        <v>0</v>
      </c>
      <c r="AX40" s="287">
        <f t="shared" si="25"/>
        <v>0</v>
      </c>
      <c r="AY40" s="287">
        <f t="shared" si="26"/>
        <v>0</v>
      </c>
      <c r="AZ40" s="287">
        <f t="shared" si="27"/>
        <v>0</v>
      </c>
      <c r="BA40" s="287">
        <f t="shared" si="28"/>
        <v>0</v>
      </c>
      <c r="BB40" s="16"/>
      <c r="BC40" s="287">
        <f t="shared" si="29"/>
        <v>0</v>
      </c>
      <c r="BD40" s="287">
        <f t="shared" si="30"/>
        <v>0</v>
      </c>
      <c r="BE40" s="287">
        <f t="shared" si="31"/>
        <v>0</v>
      </c>
      <c r="BF40" s="287">
        <f t="shared" si="32"/>
        <v>0</v>
      </c>
      <c r="BG40" s="287">
        <f t="shared" si="33"/>
        <v>0</v>
      </c>
      <c r="BH40" s="287">
        <f t="shared" si="34"/>
        <v>0</v>
      </c>
      <c r="BI40" s="287">
        <f t="shared" si="35"/>
        <v>0</v>
      </c>
      <c r="BJ40" s="287">
        <f t="shared" si="36"/>
        <v>0</v>
      </c>
      <c r="BK40" s="287">
        <f t="shared" si="37"/>
        <v>0</v>
      </c>
      <c r="BL40" s="287">
        <f t="shared" si="38"/>
        <v>0</v>
      </c>
      <c r="BM40" s="16"/>
      <c r="BN40" s="287">
        <f t="shared" si="39"/>
        <v>0</v>
      </c>
      <c r="BO40" s="287">
        <f t="shared" si="40"/>
        <v>0</v>
      </c>
      <c r="BP40" s="430"/>
      <c r="BQ40" s="21"/>
      <c r="BR40" s="21"/>
      <c r="BS40" s="39"/>
      <c r="BT40" s="39"/>
      <c r="BU40" s="334">
        <v>176600.05000000002</v>
      </c>
      <c r="BV40" s="334">
        <v>0</v>
      </c>
      <c r="BW40" s="39"/>
      <c r="BX40" s="39"/>
      <c r="BY40" s="39"/>
      <c r="BZ40" s="39">
        <v>27</v>
      </c>
      <c r="CA40" s="39" t="str">
        <f t="shared" si="41"/>
        <v/>
      </c>
      <c r="CB40" s="39"/>
      <c r="CC40" s="39"/>
      <c r="CD40" s="39"/>
      <c r="CE40" s="39"/>
      <c r="CF40" s="39"/>
      <c r="CG40" s="39"/>
      <c r="CH40" s="39"/>
      <c r="CI40" s="39"/>
      <c r="CJ40" s="39"/>
      <c r="CK40" s="39"/>
    </row>
    <row r="41" spans="1:89" s="193" customFormat="1">
      <c r="A41" s="195"/>
      <c r="B41" s="21" t="str">
        <f t="shared" si="18"/>
        <v>N/A</v>
      </c>
      <c r="C41" s="21"/>
      <c r="D41" s="432">
        <v>2010417</v>
      </c>
      <c r="E41" s="439" t="s">
        <v>3626</v>
      </c>
      <c r="F41" s="439" t="s">
        <v>3650</v>
      </c>
      <c r="G41" s="273" t="s">
        <v>3259</v>
      </c>
      <c r="H41" s="358"/>
      <c r="I41" s="262" t="s">
        <v>3493</v>
      </c>
      <c r="J41" s="262" t="s">
        <v>3504</v>
      </c>
      <c r="K41" s="263">
        <v>10865902</v>
      </c>
      <c r="L41" s="263">
        <v>2700000</v>
      </c>
      <c r="M41" s="263">
        <v>5800000</v>
      </c>
      <c r="N41" s="263">
        <v>7200000</v>
      </c>
      <c r="O41" s="263">
        <v>1400000</v>
      </c>
      <c r="P41" s="263">
        <v>5400000</v>
      </c>
      <c r="Q41" s="263">
        <v>6800000</v>
      </c>
      <c r="R41" s="263">
        <v>0</v>
      </c>
      <c r="S41" s="263">
        <v>0</v>
      </c>
      <c r="T41" s="263">
        <v>0</v>
      </c>
      <c r="U41" s="263">
        <f t="shared" si="43"/>
        <v>40165902</v>
      </c>
      <c r="V41" s="196" t="str">
        <f t="shared" si="4"/>
        <v>LOS</v>
      </c>
      <c r="W41" s="196" t="s">
        <v>1168</v>
      </c>
      <c r="X41" s="196" t="str">
        <f t="shared" si="5"/>
        <v>N</v>
      </c>
      <c r="Y41" s="197">
        <f t="shared" si="6"/>
        <v>40165902</v>
      </c>
      <c r="Z41" s="198"/>
      <c r="AA41" s="197">
        <f t="shared" si="7"/>
        <v>40165902</v>
      </c>
      <c r="AB41" s="196"/>
      <c r="AC41" s="196"/>
      <c r="AD41" s="275">
        <v>0</v>
      </c>
      <c r="AE41" s="275">
        <v>1</v>
      </c>
      <c r="AF41" s="275">
        <v>0</v>
      </c>
      <c r="AG41" s="199"/>
      <c r="AH41" s="199"/>
      <c r="AI41" s="377">
        <f t="shared" si="8"/>
        <v>0</v>
      </c>
      <c r="AJ41" s="203"/>
      <c r="AK41" s="203"/>
      <c r="AL41" s="197">
        <f t="shared" si="9"/>
        <v>40165902</v>
      </c>
      <c r="AM41" s="197">
        <f t="shared" si="10"/>
        <v>0</v>
      </c>
      <c r="AN41" s="197">
        <f t="shared" si="11"/>
        <v>0</v>
      </c>
      <c r="AO41" s="202"/>
      <c r="AP41" s="161" t="s">
        <v>3900</v>
      </c>
      <c r="AQ41" s="279"/>
      <c r="AR41" s="287">
        <f t="shared" si="19"/>
        <v>0</v>
      </c>
      <c r="AS41" s="287">
        <f t="shared" si="20"/>
        <v>0</v>
      </c>
      <c r="AT41" s="287">
        <f t="shared" si="21"/>
        <v>0</v>
      </c>
      <c r="AU41" s="287">
        <f t="shared" si="22"/>
        <v>0</v>
      </c>
      <c r="AV41" s="287">
        <f t="shared" si="23"/>
        <v>0</v>
      </c>
      <c r="AW41" s="287">
        <f t="shared" si="24"/>
        <v>0</v>
      </c>
      <c r="AX41" s="287">
        <f t="shared" si="25"/>
        <v>0</v>
      </c>
      <c r="AY41" s="287">
        <f t="shared" si="26"/>
        <v>0</v>
      </c>
      <c r="AZ41" s="287">
        <f t="shared" si="27"/>
        <v>0</v>
      </c>
      <c r="BA41" s="287">
        <f t="shared" si="28"/>
        <v>0</v>
      </c>
      <c r="BB41" s="16"/>
      <c r="BC41" s="287">
        <f t="shared" si="29"/>
        <v>0</v>
      </c>
      <c r="BD41" s="287">
        <f t="shared" si="30"/>
        <v>0</v>
      </c>
      <c r="BE41" s="287">
        <f t="shared" si="31"/>
        <v>0</v>
      </c>
      <c r="BF41" s="287">
        <f t="shared" si="32"/>
        <v>0</v>
      </c>
      <c r="BG41" s="287">
        <f t="shared" si="33"/>
        <v>0</v>
      </c>
      <c r="BH41" s="287">
        <f t="shared" si="34"/>
        <v>0</v>
      </c>
      <c r="BI41" s="287">
        <f t="shared" si="35"/>
        <v>0</v>
      </c>
      <c r="BJ41" s="287">
        <f t="shared" si="36"/>
        <v>0</v>
      </c>
      <c r="BK41" s="287">
        <f t="shared" si="37"/>
        <v>0</v>
      </c>
      <c r="BL41" s="287">
        <f t="shared" si="38"/>
        <v>0</v>
      </c>
      <c r="BM41" s="16"/>
      <c r="BN41" s="287">
        <f t="shared" si="39"/>
        <v>0</v>
      </c>
      <c r="BO41" s="287">
        <f t="shared" si="40"/>
        <v>0</v>
      </c>
      <c r="BP41" s="430"/>
      <c r="BQ41" s="21"/>
      <c r="BR41" s="21"/>
      <c r="BS41" s="39"/>
      <c r="BT41" s="39"/>
      <c r="BU41" s="334">
        <v>1234790.7324999999</v>
      </c>
      <c r="BV41" s="334">
        <v>0</v>
      </c>
      <c r="BW41" s="39"/>
      <c r="BX41" s="39"/>
      <c r="BY41" s="39"/>
      <c r="BZ41" s="39">
        <v>28</v>
      </c>
      <c r="CA41" s="39" t="str">
        <f t="shared" si="41"/>
        <v/>
      </c>
      <c r="CB41" s="39"/>
      <c r="CC41" s="39"/>
      <c r="CD41" s="39"/>
      <c r="CE41" s="39"/>
      <c r="CF41" s="39"/>
      <c r="CG41" s="39"/>
      <c r="CH41" s="39"/>
      <c r="CI41" s="39"/>
      <c r="CJ41" s="39"/>
      <c r="CK41" s="39"/>
    </row>
    <row r="42" spans="1:89" s="193" customFormat="1">
      <c r="A42" s="195"/>
      <c r="B42" s="21" t="str">
        <f t="shared" si="18"/>
        <v>N/A</v>
      </c>
      <c r="C42" s="21"/>
      <c r="D42" s="432">
        <v>2010419</v>
      </c>
      <c r="E42" s="439" t="s">
        <v>3626</v>
      </c>
      <c r="F42" s="439" t="s">
        <v>3651</v>
      </c>
      <c r="G42" s="273" t="s">
        <v>3314</v>
      </c>
      <c r="H42" s="358"/>
      <c r="I42" s="262" t="s">
        <v>3493</v>
      </c>
      <c r="J42" s="262" t="s">
        <v>3504</v>
      </c>
      <c r="K42" s="263">
        <v>2434098</v>
      </c>
      <c r="L42" s="263">
        <v>0</v>
      </c>
      <c r="M42" s="263">
        <v>0</v>
      </c>
      <c r="N42" s="263">
        <v>0</v>
      </c>
      <c r="O42" s="263">
        <v>0</v>
      </c>
      <c r="P42" s="263">
        <v>0</v>
      </c>
      <c r="Q42" s="263">
        <v>0</v>
      </c>
      <c r="R42" s="263">
        <v>0</v>
      </c>
      <c r="S42" s="263">
        <v>0</v>
      </c>
      <c r="T42" s="263">
        <v>0</v>
      </c>
      <c r="U42" s="263">
        <f t="shared" si="43"/>
        <v>2434098</v>
      </c>
      <c r="V42" s="196" t="str">
        <f t="shared" si="4"/>
        <v>LOS/R</v>
      </c>
      <c r="W42" s="196" t="s">
        <v>1168</v>
      </c>
      <c r="X42" s="196" t="str">
        <f t="shared" si="5"/>
        <v>N</v>
      </c>
      <c r="Y42" s="197">
        <f t="shared" si="6"/>
        <v>2434098</v>
      </c>
      <c r="Z42" s="198"/>
      <c r="AA42" s="197">
        <f t="shared" si="7"/>
        <v>2434098</v>
      </c>
      <c r="AB42" s="196"/>
      <c r="AC42" s="196"/>
      <c r="AD42" s="275">
        <v>0</v>
      </c>
      <c r="AE42" s="275">
        <v>0.5</v>
      </c>
      <c r="AF42" s="275">
        <v>0.5</v>
      </c>
      <c r="AG42" s="199"/>
      <c r="AH42" s="199"/>
      <c r="AI42" s="377">
        <f t="shared" si="8"/>
        <v>0</v>
      </c>
      <c r="AJ42" s="203"/>
      <c r="AK42" s="203"/>
      <c r="AL42" s="197">
        <f t="shared" si="9"/>
        <v>2434098</v>
      </c>
      <c r="AM42" s="197">
        <f t="shared" si="10"/>
        <v>0</v>
      </c>
      <c r="AN42" s="197">
        <f t="shared" si="11"/>
        <v>0</v>
      </c>
      <c r="AO42" s="202"/>
      <c r="AP42" s="161" t="s">
        <v>3900</v>
      </c>
      <c r="AQ42" s="279"/>
      <c r="AR42" s="287">
        <f t="shared" si="19"/>
        <v>0</v>
      </c>
      <c r="AS42" s="287">
        <f t="shared" si="20"/>
        <v>0</v>
      </c>
      <c r="AT42" s="287">
        <f t="shared" si="21"/>
        <v>0</v>
      </c>
      <c r="AU42" s="287">
        <f t="shared" si="22"/>
        <v>0</v>
      </c>
      <c r="AV42" s="287">
        <f t="shared" si="23"/>
        <v>0</v>
      </c>
      <c r="AW42" s="287">
        <f t="shared" si="24"/>
        <v>0</v>
      </c>
      <c r="AX42" s="287">
        <f t="shared" si="25"/>
        <v>0</v>
      </c>
      <c r="AY42" s="287">
        <f t="shared" si="26"/>
        <v>0</v>
      </c>
      <c r="AZ42" s="287">
        <f t="shared" si="27"/>
        <v>0</v>
      </c>
      <c r="BA42" s="287">
        <f t="shared" si="28"/>
        <v>0</v>
      </c>
      <c r="BB42" s="16"/>
      <c r="BC42" s="287">
        <f t="shared" si="29"/>
        <v>0</v>
      </c>
      <c r="BD42" s="287">
        <f t="shared" si="30"/>
        <v>0</v>
      </c>
      <c r="BE42" s="287">
        <f t="shared" si="31"/>
        <v>0</v>
      </c>
      <c r="BF42" s="287">
        <f t="shared" si="32"/>
        <v>0</v>
      </c>
      <c r="BG42" s="287">
        <f t="shared" si="33"/>
        <v>0</v>
      </c>
      <c r="BH42" s="287">
        <f t="shared" si="34"/>
        <v>0</v>
      </c>
      <c r="BI42" s="287">
        <f t="shared" si="35"/>
        <v>0</v>
      </c>
      <c r="BJ42" s="287">
        <f t="shared" si="36"/>
        <v>0</v>
      </c>
      <c r="BK42" s="287">
        <f t="shared" si="37"/>
        <v>0</v>
      </c>
      <c r="BL42" s="287">
        <f t="shared" si="38"/>
        <v>0</v>
      </c>
      <c r="BM42" s="16"/>
      <c r="BN42" s="287">
        <f t="shared" si="39"/>
        <v>0</v>
      </c>
      <c r="BO42" s="287">
        <f t="shared" si="40"/>
        <v>0</v>
      </c>
      <c r="BP42" s="430"/>
      <c r="BQ42" s="21"/>
      <c r="BR42" s="21"/>
      <c r="BS42" s="39"/>
      <c r="BT42" s="39"/>
      <c r="BU42" s="334">
        <v>4101563.7749999999</v>
      </c>
      <c r="BV42" s="334">
        <v>0</v>
      </c>
      <c r="BW42" s="39"/>
      <c r="BX42" s="39"/>
      <c r="BY42" s="39"/>
      <c r="BZ42" s="39">
        <v>29</v>
      </c>
      <c r="CA42" s="39" t="str">
        <f t="shared" si="41"/>
        <v/>
      </c>
      <c r="CB42" s="39"/>
      <c r="CC42" s="39"/>
      <c r="CD42" s="39"/>
      <c r="CE42" s="39"/>
      <c r="CF42" s="39"/>
      <c r="CG42" s="39"/>
      <c r="CH42" s="39"/>
      <c r="CI42" s="39"/>
      <c r="CJ42" s="39"/>
      <c r="CK42" s="39"/>
    </row>
    <row r="43" spans="1:89" s="193" customFormat="1">
      <c r="A43" s="195"/>
      <c r="B43" s="21" t="str">
        <f t="shared" si="18"/>
        <v>N/A</v>
      </c>
      <c r="C43" s="21"/>
      <c r="D43" s="432">
        <v>2020013</v>
      </c>
      <c r="E43" s="439" t="s">
        <v>3626</v>
      </c>
      <c r="F43" s="439" t="s">
        <v>3652</v>
      </c>
      <c r="G43" s="273" t="s">
        <v>3377</v>
      </c>
      <c r="H43" s="358"/>
      <c r="I43" s="262" t="s">
        <v>3495</v>
      </c>
      <c r="J43" s="262" t="s">
        <v>3504</v>
      </c>
      <c r="K43" s="263">
        <v>218808</v>
      </c>
      <c r="L43" s="263">
        <v>686980</v>
      </c>
      <c r="M43" s="263">
        <v>308345</v>
      </c>
      <c r="N43" s="263">
        <v>218212</v>
      </c>
      <c r="O43" s="263">
        <v>248036</v>
      </c>
      <c r="P43" s="263">
        <v>300838</v>
      </c>
      <c r="Q43" s="263">
        <v>265405</v>
      </c>
      <c r="R43" s="263">
        <v>295687</v>
      </c>
      <c r="S43" s="263">
        <v>265405</v>
      </c>
      <c r="T43" s="263">
        <v>271323</v>
      </c>
      <c r="U43" s="263">
        <f t="shared" si="43"/>
        <v>3079039</v>
      </c>
      <c r="V43" s="196" t="str">
        <f t="shared" si="4"/>
        <v>LOS</v>
      </c>
      <c r="W43" s="196" t="s">
        <v>1168</v>
      </c>
      <c r="X43" s="196" t="str">
        <f t="shared" si="5"/>
        <v>N</v>
      </c>
      <c r="Y43" s="197">
        <f t="shared" si="6"/>
        <v>3079039</v>
      </c>
      <c r="Z43" s="198"/>
      <c r="AA43" s="197">
        <f t="shared" si="7"/>
        <v>3079039</v>
      </c>
      <c r="AB43" s="196"/>
      <c r="AC43" s="196"/>
      <c r="AD43" s="275">
        <v>0</v>
      </c>
      <c r="AE43" s="275">
        <v>1</v>
      </c>
      <c r="AF43" s="275">
        <v>0</v>
      </c>
      <c r="AG43" s="199"/>
      <c r="AH43" s="199"/>
      <c r="AI43" s="377">
        <f t="shared" si="8"/>
        <v>0</v>
      </c>
      <c r="AJ43" s="203"/>
      <c r="AK43" s="203"/>
      <c r="AL43" s="197">
        <f t="shared" si="9"/>
        <v>3079039</v>
      </c>
      <c r="AM43" s="197">
        <f t="shared" si="10"/>
        <v>0</v>
      </c>
      <c r="AN43" s="197">
        <f t="shared" si="11"/>
        <v>0</v>
      </c>
      <c r="AO43" s="202"/>
      <c r="AP43" s="161" t="s">
        <v>3900</v>
      </c>
      <c r="AQ43" s="279"/>
      <c r="AR43" s="287">
        <f t="shared" si="19"/>
        <v>0</v>
      </c>
      <c r="AS43" s="287">
        <f t="shared" si="20"/>
        <v>0</v>
      </c>
      <c r="AT43" s="287">
        <f t="shared" si="21"/>
        <v>0</v>
      </c>
      <c r="AU43" s="287">
        <f t="shared" si="22"/>
        <v>0</v>
      </c>
      <c r="AV43" s="287">
        <f t="shared" si="23"/>
        <v>0</v>
      </c>
      <c r="AW43" s="287">
        <f t="shared" si="24"/>
        <v>0</v>
      </c>
      <c r="AX43" s="287">
        <f t="shared" si="25"/>
        <v>0</v>
      </c>
      <c r="AY43" s="287">
        <f t="shared" si="26"/>
        <v>0</v>
      </c>
      <c r="AZ43" s="287">
        <f t="shared" si="27"/>
        <v>0</v>
      </c>
      <c r="BA43" s="287">
        <f t="shared" si="28"/>
        <v>0</v>
      </c>
      <c r="BB43" s="16"/>
      <c r="BC43" s="287">
        <f t="shared" si="29"/>
        <v>0</v>
      </c>
      <c r="BD43" s="287">
        <f t="shared" si="30"/>
        <v>0</v>
      </c>
      <c r="BE43" s="287">
        <f t="shared" si="31"/>
        <v>0</v>
      </c>
      <c r="BF43" s="287">
        <f t="shared" si="32"/>
        <v>0</v>
      </c>
      <c r="BG43" s="287">
        <f t="shared" si="33"/>
        <v>0</v>
      </c>
      <c r="BH43" s="287">
        <f t="shared" si="34"/>
        <v>0</v>
      </c>
      <c r="BI43" s="287">
        <f t="shared" si="35"/>
        <v>0</v>
      </c>
      <c r="BJ43" s="287">
        <f t="shared" si="36"/>
        <v>0</v>
      </c>
      <c r="BK43" s="287">
        <f t="shared" si="37"/>
        <v>0</v>
      </c>
      <c r="BL43" s="287">
        <f t="shared" si="38"/>
        <v>0</v>
      </c>
      <c r="BM43" s="16"/>
      <c r="BN43" s="287">
        <f t="shared" si="39"/>
        <v>0</v>
      </c>
      <c r="BO43" s="287">
        <f t="shared" si="40"/>
        <v>0</v>
      </c>
      <c r="BP43" s="430"/>
      <c r="BQ43" s="21"/>
      <c r="BR43" s="21"/>
      <c r="BS43" s="39"/>
      <c r="BT43" s="39"/>
      <c r="BU43" s="334">
        <v>899500</v>
      </c>
      <c r="BV43" s="334">
        <v>0</v>
      </c>
      <c r="BW43" s="39"/>
      <c r="BX43" s="39"/>
      <c r="BY43" s="39"/>
      <c r="BZ43" s="39">
        <v>30</v>
      </c>
      <c r="CA43" s="39" t="str">
        <f t="shared" si="41"/>
        <v/>
      </c>
      <c r="CB43" s="39"/>
      <c r="CC43" s="39"/>
      <c r="CD43" s="39"/>
      <c r="CE43" s="39"/>
      <c r="CF43" s="39"/>
      <c r="CG43" s="39"/>
      <c r="CH43" s="39"/>
      <c r="CI43" s="39"/>
      <c r="CJ43" s="39"/>
      <c r="CK43" s="39"/>
    </row>
    <row r="44" spans="1:89" s="193" customFormat="1">
      <c r="A44" s="195"/>
      <c r="B44" s="21" t="str">
        <f t="shared" si="18"/>
        <v>N/A</v>
      </c>
      <c r="C44" s="21"/>
      <c r="D44" s="432">
        <v>2030001</v>
      </c>
      <c r="E44" s="439" t="s">
        <v>3626</v>
      </c>
      <c r="F44" s="439" t="s">
        <v>3653</v>
      </c>
      <c r="G44" s="273" t="s">
        <v>3354</v>
      </c>
      <c r="H44" s="358"/>
      <c r="I44" s="262" t="s">
        <v>3497</v>
      </c>
      <c r="J44" s="262" t="s">
        <v>3504</v>
      </c>
      <c r="K44" s="263">
        <v>424201.84</v>
      </c>
      <c r="L44" s="263">
        <v>103426.89</v>
      </c>
      <c r="M44" s="263">
        <v>105825.18</v>
      </c>
      <c r="N44" s="263">
        <v>103631.97</v>
      </c>
      <c r="O44" s="263">
        <v>109165.32</v>
      </c>
      <c r="P44" s="263">
        <v>631747.26</v>
      </c>
      <c r="Q44" s="263">
        <v>146619.82999999999</v>
      </c>
      <c r="R44" s="263">
        <v>160536.42000000001</v>
      </c>
      <c r="S44" s="263">
        <v>167790.15</v>
      </c>
      <c r="T44" s="263">
        <v>167855.13</v>
      </c>
      <c r="U44" s="263">
        <f t="shared" si="43"/>
        <v>2120799.9899999998</v>
      </c>
      <c r="V44" s="196" t="str">
        <f t="shared" si="4"/>
        <v>R</v>
      </c>
      <c r="W44" s="196" t="s">
        <v>1168</v>
      </c>
      <c r="X44" s="196" t="str">
        <f t="shared" si="5"/>
        <v>N</v>
      </c>
      <c r="Y44" s="197">
        <f t="shared" si="6"/>
        <v>2120799.9899999998</v>
      </c>
      <c r="Z44" s="198"/>
      <c r="AA44" s="197">
        <f t="shared" si="7"/>
        <v>2120799.9899999998</v>
      </c>
      <c r="AB44" s="196"/>
      <c r="AC44" s="196"/>
      <c r="AD44" s="275">
        <v>0</v>
      </c>
      <c r="AE44" s="275">
        <v>0</v>
      </c>
      <c r="AF44" s="275">
        <v>1</v>
      </c>
      <c r="AG44" s="442"/>
      <c r="AH44" s="442"/>
      <c r="AI44" s="200">
        <f t="shared" si="8"/>
        <v>0</v>
      </c>
      <c r="AJ44" s="203"/>
      <c r="AK44" s="203"/>
      <c r="AL44" s="197">
        <f t="shared" si="9"/>
        <v>2120799.9899999998</v>
      </c>
      <c r="AM44" s="197">
        <f t="shared" si="10"/>
        <v>0</v>
      </c>
      <c r="AN44" s="197">
        <f t="shared" si="11"/>
        <v>0</v>
      </c>
      <c r="AO44" s="202"/>
      <c r="AP44" s="161" t="s">
        <v>3900</v>
      </c>
      <c r="AQ44" s="279"/>
      <c r="AR44" s="287">
        <f t="shared" si="19"/>
        <v>0</v>
      </c>
      <c r="AS44" s="287">
        <f t="shared" si="20"/>
        <v>0</v>
      </c>
      <c r="AT44" s="287">
        <f t="shared" si="21"/>
        <v>0</v>
      </c>
      <c r="AU44" s="287">
        <f t="shared" si="22"/>
        <v>0</v>
      </c>
      <c r="AV44" s="287">
        <f t="shared" si="23"/>
        <v>0</v>
      </c>
      <c r="AW44" s="287">
        <f t="shared" si="24"/>
        <v>0</v>
      </c>
      <c r="AX44" s="287">
        <f t="shared" si="25"/>
        <v>0</v>
      </c>
      <c r="AY44" s="287">
        <f t="shared" si="26"/>
        <v>0</v>
      </c>
      <c r="AZ44" s="287">
        <f t="shared" si="27"/>
        <v>0</v>
      </c>
      <c r="BA44" s="287">
        <f t="shared" si="28"/>
        <v>0</v>
      </c>
      <c r="BB44" s="16"/>
      <c r="BC44" s="287">
        <f t="shared" si="29"/>
        <v>0</v>
      </c>
      <c r="BD44" s="287">
        <f t="shared" si="30"/>
        <v>0</v>
      </c>
      <c r="BE44" s="287">
        <f t="shared" si="31"/>
        <v>0</v>
      </c>
      <c r="BF44" s="287">
        <f t="shared" si="32"/>
        <v>0</v>
      </c>
      <c r="BG44" s="287">
        <f t="shared" si="33"/>
        <v>0</v>
      </c>
      <c r="BH44" s="287">
        <f t="shared" si="34"/>
        <v>0</v>
      </c>
      <c r="BI44" s="287">
        <f t="shared" si="35"/>
        <v>0</v>
      </c>
      <c r="BJ44" s="287">
        <f t="shared" si="36"/>
        <v>0</v>
      </c>
      <c r="BK44" s="287">
        <f t="shared" si="37"/>
        <v>0</v>
      </c>
      <c r="BL44" s="287">
        <f t="shared" si="38"/>
        <v>0</v>
      </c>
      <c r="BM44" s="16"/>
      <c r="BN44" s="287">
        <f t="shared" si="39"/>
        <v>0</v>
      </c>
      <c r="BO44" s="287">
        <f t="shared" si="40"/>
        <v>0</v>
      </c>
      <c r="BP44" s="430"/>
      <c r="BQ44" s="21"/>
      <c r="BR44" s="21"/>
      <c r="BS44" s="39"/>
      <c r="BT44" s="39"/>
      <c r="BU44" s="39"/>
      <c r="BV44" s="39"/>
      <c r="BW44" s="39"/>
      <c r="BX44" s="39"/>
      <c r="BY44" s="39"/>
      <c r="BZ44" s="39">
        <v>31</v>
      </c>
      <c r="CA44" s="39" t="str">
        <f t="shared" si="41"/>
        <v/>
      </c>
      <c r="CB44" s="39"/>
      <c r="CC44" s="39"/>
      <c r="CD44" s="39"/>
      <c r="CE44" s="39"/>
      <c r="CF44" s="39"/>
      <c r="CG44" s="39"/>
      <c r="CH44" s="39"/>
      <c r="CI44" s="39"/>
      <c r="CJ44" s="39"/>
      <c r="CK44" s="39"/>
    </row>
    <row r="45" spans="1:89" s="193" customFormat="1">
      <c r="A45" s="195"/>
      <c r="B45" s="21" t="str">
        <f t="shared" si="18"/>
        <v>N/A</v>
      </c>
      <c r="C45" s="21"/>
      <c r="D45" s="432">
        <v>2030202</v>
      </c>
      <c r="E45" s="439" t="s">
        <v>3626</v>
      </c>
      <c r="F45" s="439" t="s">
        <v>3655</v>
      </c>
      <c r="G45" s="273" t="s">
        <v>3261</v>
      </c>
      <c r="H45" s="358"/>
      <c r="I45" s="262" t="s">
        <v>3497</v>
      </c>
      <c r="J45" s="262" t="s">
        <v>3504</v>
      </c>
      <c r="K45" s="263">
        <v>9809511.9299999997</v>
      </c>
      <c r="L45" s="263">
        <v>11995015.85</v>
      </c>
      <c r="M45" s="263">
        <v>11877277.77</v>
      </c>
      <c r="N45" s="263">
        <v>10995529.220000001</v>
      </c>
      <c r="O45" s="263">
        <v>11431743.09</v>
      </c>
      <c r="P45" s="263">
        <v>15191618.59</v>
      </c>
      <c r="Q45" s="263">
        <v>15640175.82</v>
      </c>
      <c r="R45" s="263">
        <v>17124681.039999999</v>
      </c>
      <c r="S45" s="263">
        <v>17898447.949999999</v>
      </c>
      <c r="T45" s="263">
        <v>17905379.329999998</v>
      </c>
      <c r="U45" s="263">
        <f t="shared" si="43"/>
        <v>139869380.59</v>
      </c>
      <c r="V45" s="196" t="str">
        <f t="shared" si="4"/>
        <v>R</v>
      </c>
      <c r="W45" s="196" t="s">
        <v>1168</v>
      </c>
      <c r="X45" s="196" t="str">
        <f t="shared" si="5"/>
        <v>N</v>
      </c>
      <c r="Y45" s="197">
        <f t="shared" si="6"/>
        <v>139869380.59</v>
      </c>
      <c r="Z45" s="198"/>
      <c r="AA45" s="197">
        <f t="shared" si="7"/>
        <v>139869380.59</v>
      </c>
      <c r="AB45" s="196"/>
      <c r="AC45" s="196"/>
      <c r="AD45" s="275">
        <v>0</v>
      </c>
      <c r="AE45" s="275">
        <v>0</v>
      </c>
      <c r="AF45" s="275">
        <v>1</v>
      </c>
      <c r="AG45" s="442"/>
      <c r="AH45" s="442"/>
      <c r="AI45" s="200">
        <f t="shared" si="8"/>
        <v>0</v>
      </c>
      <c r="AJ45" s="203"/>
      <c r="AK45" s="203"/>
      <c r="AL45" s="197">
        <f t="shared" si="9"/>
        <v>139869380.59</v>
      </c>
      <c r="AM45" s="197">
        <f t="shared" si="10"/>
        <v>0</v>
      </c>
      <c r="AN45" s="197">
        <f t="shared" si="11"/>
        <v>0</v>
      </c>
      <c r="AO45" s="202"/>
      <c r="AP45" s="161" t="s">
        <v>3900</v>
      </c>
      <c r="AQ45" s="279"/>
      <c r="AR45" s="287">
        <f t="shared" si="19"/>
        <v>0</v>
      </c>
      <c r="AS45" s="287">
        <f t="shared" si="20"/>
        <v>0</v>
      </c>
      <c r="AT45" s="287">
        <f t="shared" si="21"/>
        <v>0</v>
      </c>
      <c r="AU45" s="287">
        <f t="shared" si="22"/>
        <v>0</v>
      </c>
      <c r="AV45" s="287">
        <f t="shared" si="23"/>
        <v>0</v>
      </c>
      <c r="AW45" s="287">
        <f t="shared" si="24"/>
        <v>0</v>
      </c>
      <c r="AX45" s="287">
        <f t="shared" si="25"/>
        <v>0</v>
      </c>
      <c r="AY45" s="287">
        <f t="shared" si="26"/>
        <v>0</v>
      </c>
      <c r="AZ45" s="287">
        <f t="shared" si="27"/>
        <v>0</v>
      </c>
      <c r="BA45" s="287">
        <f t="shared" si="28"/>
        <v>0</v>
      </c>
      <c r="BB45" s="16"/>
      <c r="BC45" s="287">
        <f t="shared" si="29"/>
        <v>0</v>
      </c>
      <c r="BD45" s="287">
        <f t="shared" si="30"/>
        <v>0</v>
      </c>
      <c r="BE45" s="287">
        <f t="shared" si="31"/>
        <v>0</v>
      </c>
      <c r="BF45" s="287">
        <f t="shared" si="32"/>
        <v>0</v>
      </c>
      <c r="BG45" s="287">
        <f t="shared" si="33"/>
        <v>0</v>
      </c>
      <c r="BH45" s="287">
        <f t="shared" si="34"/>
        <v>0</v>
      </c>
      <c r="BI45" s="287">
        <f t="shared" si="35"/>
        <v>0</v>
      </c>
      <c r="BJ45" s="287">
        <f t="shared" si="36"/>
        <v>0</v>
      </c>
      <c r="BK45" s="287">
        <f t="shared" si="37"/>
        <v>0</v>
      </c>
      <c r="BL45" s="287">
        <f t="shared" si="38"/>
        <v>0</v>
      </c>
      <c r="BM45" s="16"/>
      <c r="BN45" s="287">
        <f t="shared" si="39"/>
        <v>0</v>
      </c>
      <c r="BO45" s="287">
        <f t="shared" si="40"/>
        <v>0</v>
      </c>
      <c r="BP45" s="430"/>
      <c r="BQ45" s="21"/>
      <c r="BR45" s="21"/>
      <c r="BS45" s="39"/>
      <c r="BT45" s="39"/>
      <c r="BU45" s="39"/>
      <c r="BV45" s="39"/>
      <c r="BW45" s="39"/>
      <c r="BX45" s="39"/>
      <c r="BY45" s="39"/>
      <c r="BZ45" s="39">
        <v>32</v>
      </c>
      <c r="CA45" s="39" t="str">
        <f t="shared" si="41"/>
        <v/>
      </c>
      <c r="CB45" s="39"/>
      <c r="CC45" s="39"/>
      <c r="CD45" s="39"/>
      <c r="CE45" s="39"/>
      <c r="CF45" s="39"/>
      <c r="CG45" s="39"/>
      <c r="CH45" s="39"/>
      <c r="CI45" s="39"/>
      <c r="CJ45" s="39"/>
      <c r="CK45" s="39"/>
    </row>
    <row r="46" spans="1:89" s="193" customFormat="1">
      <c r="A46" s="195"/>
      <c r="B46" s="21" t="str">
        <f t="shared" si="18"/>
        <v>N/A</v>
      </c>
      <c r="C46" s="21"/>
      <c r="D46" s="432">
        <v>2030301</v>
      </c>
      <c r="E46" s="439" t="s">
        <v>3626</v>
      </c>
      <c r="F46" s="439" t="s">
        <v>3657</v>
      </c>
      <c r="G46" s="273" t="s">
        <v>3389</v>
      </c>
      <c r="H46" s="358"/>
      <c r="I46" s="262" t="s">
        <v>3497</v>
      </c>
      <c r="J46" s="262" t="s">
        <v>3504</v>
      </c>
      <c r="K46" s="263">
        <v>103693.75</v>
      </c>
      <c r="L46" s="263">
        <v>113769.57</v>
      </c>
      <c r="M46" s="263">
        <v>116407.6</v>
      </c>
      <c r="N46" s="263">
        <v>113994.83</v>
      </c>
      <c r="O46" s="263">
        <v>120081.76</v>
      </c>
      <c r="P46" s="263">
        <v>154427.23000000001</v>
      </c>
      <c r="Q46" s="263">
        <v>161281.71</v>
      </c>
      <c r="R46" s="263">
        <v>176589.94</v>
      </c>
      <c r="S46" s="263">
        <v>184569.04</v>
      </c>
      <c r="T46" s="263">
        <v>184640.52</v>
      </c>
      <c r="U46" s="263">
        <f t="shared" si="43"/>
        <v>1429455.95</v>
      </c>
      <c r="V46" s="196" t="str">
        <f t="shared" si="4"/>
        <v>LOS/R</v>
      </c>
      <c r="W46" s="196" t="s">
        <v>1168</v>
      </c>
      <c r="X46" s="196" t="str">
        <f t="shared" ref="X46:X77" si="44">IF(LEFT(V46,1)="G","Y","N")</f>
        <v>N</v>
      </c>
      <c r="Y46" s="197">
        <f t="shared" si="6"/>
        <v>1429455.95</v>
      </c>
      <c r="Z46" s="198"/>
      <c r="AA46" s="197">
        <f t="shared" si="7"/>
        <v>1429455.95</v>
      </c>
      <c r="AB46" s="196"/>
      <c r="AC46" s="196"/>
      <c r="AD46" s="275">
        <v>0</v>
      </c>
      <c r="AE46" s="275">
        <v>0.61983371163723022</v>
      </c>
      <c r="AF46" s="275">
        <v>0.38016628836276967</v>
      </c>
      <c r="AG46" s="442"/>
      <c r="AH46" s="442"/>
      <c r="AI46" s="200">
        <f t="shared" si="8"/>
        <v>0</v>
      </c>
      <c r="AJ46" s="203"/>
      <c r="AK46" s="203"/>
      <c r="AL46" s="197">
        <f t="shared" si="9"/>
        <v>1429455.95</v>
      </c>
      <c r="AM46" s="197">
        <f t="shared" si="10"/>
        <v>0</v>
      </c>
      <c r="AN46" s="197">
        <f t="shared" si="11"/>
        <v>0</v>
      </c>
      <c r="AO46" s="202"/>
      <c r="AP46" s="161" t="s">
        <v>3900</v>
      </c>
      <c r="AQ46" s="279"/>
      <c r="AR46" s="287">
        <f t="shared" si="19"/>
        <v>0</v>
      </c>
      <c r="AS46" s="287">
        <f t="shared" si="20"/>
        <v>0</v>
      </c>
      <c r="AT46" s="287">
        <f t="shared" si="21"/>
        <v>0</v>
      </c>
      <c r="AU46" s="287">
        <f t="shared" si="22"/>
        <v>0</v>
      </c>
      <c r="AV46" s="287">
        <f t="shared" si="23"/>
        <v>0</v>
      </c>
      <c r="AW46" s="287">
        <f t="shared" si="24"/>
        <v>0</v>
      </c>
      <c r="AX46" s="287">
        <f t="shared" si="25"/>
        <v>0</v>
      </c>
      <c r="AY46" s="287">
        <f t="shared" si="26"/>
        <v>0</v>
      </c>
      <c r="AZ46" s="287">
        <f t="shared" si="27"/>
        <v>0</v>
      </c>
      <c r="BA46" s="287">
        <f t="shared" si="28"/>
        <v>0</v>
      </c>
      <c r="BB46" s="16"/>
      <c r="BC46" s="287">
        <f t="shared" si="29"/>
        <v>0</v>
      </c>
      <c r="BD46" s="287">
        <f t="shared" si="30"/>
        <v>0</v>
      </c>
      <c r="BE46" s="287">
        <f t="shared" si="31"/>
        <v>0</v>
      </c>
      <c r="BF46" s="287">
        <f t="shared" si="32"/>
        <v>0</v>
      </c>
      <c r="BG46" s="287">
        <f t="shared" si="33"/>
        <v>0</v>
      </c>
      <c r="BH46" s="287">
        <f t="shared" si="34"/>
        <v>0</v>
      </c>
      <c r="BI46" s="287">
        <f t="shared" si="35"/>
        <v>0</v>
      </c>
      <c r="BJ46" s="287">
        <f t="shared" si="36"/>
        <v>0</v>
      </c>
      <c r="BK46" s="287">
        <f t="shared" si="37"/>
        <v>0</v>
      </c>
      <c r="BL46" s="287">
        <f t="shared" si="38"/>
        <v>0</v>
      </c>
      <c r="BM46" s="16"/>
      <c r="BN46" s="287">
        <f t="shared" si="39"/>
        <v>0</v>
      </c>
      <c r="BO46" s="287">
        <f t="shared" si="40"/>
        <v>0</v>
      </c>
      <c r="BP46" s="430"/>
      <c r="BQ46" s="21"/>
      <c r="BR46" s="21"/>
      <c r="BS46" s="39"/>
      <c r="BT46" s="39"/>
      <c r="BU46" s="39"/>
      <c r="BV46" s="39"/>
      <c r="BW46" s="39"/>
      <c r="BX46" s="39"/>
      <c r="BY46" s="39"/>
      <c r="BZ46" s="39">
        <v>33</v>
      </c>
      <c r="CA46" s="39" t="str">
        <f t="shared" si="41"/>
        <v/>
      </c>
      <c r="CB46" s="39"/>
      <c r="CC46" s="39"/>
      <c r="CD46" s="39"/>
      <c r="CE46" s="39"/>
      <c r="CF46" s="39"/>
      <c r="CG46" s="39"/>
      <c r="CH46" s="39"/>
      <c r="CI46" s="39"/>
      <c r="CJ46" s="39"/>
      <c r="CK46" s="39"/>
    </row>
    <row r="47" spans="1:89" s="193" customFormat="1">
      <c r="A47" s="195"/>
      <c r="B47" s="21" t="str">
        <f t="shared" si="18"/>
        <v>N/A</v>
      </c>
      <c r="C47" s="21"/>
      <c r="D47" s="432">
        <v>2030303</v>
      </c>
      <c r="E47" s="439" t="s">
        <v>3626</v>
      </c>
      <c r="F47" s="439" t="s">
        <v>3658</v>
      </c>
      <c r="G47" s="273" t="s">
        <v>3370</v>
      </c>
      <c r="H47" s="358"/>
      <c r="I47" s="262" t="s">
        <v>3497</v>
      </c>
      <c r="J47" s="262" t="s">
        <v>3504</v>
      </c>
      <c r="K47" s="263">
        <v>312819.12</v>
      </c>
      <c r="L47" s="263">
        <v>2771834.15</v>
      </c>
      <c r="M47" s="263">
        <v>456998.67</v>
      </c>
      <c r="N47" s="263">
        <v>343894.4</v>
      </c>
      <c r="O47" s="263">
        <v>1962235.83</v>
      </c>
      <c r="P47" s="263">
        <v>465870.15</v>
      </c>
      <c r="Q47" s="263">
        <v>3929405.1</v>
      </c>
      <c r="R47" s="263">
        <v>4302369.09</v>
      </c>
      <c r="S47" s="263">
        <v>4496768.68</v>
      </c>
      <c r="T47" s="263">
        <v>4498510.0999999996</v>
      </c>
      <c r="U47" s="263">
        <f t="shared" si="43"/>
        <v>23540705.289999999</v>
      </c>
      <c r="V47" s="196" t="str">
        <f t="shared" si="4"/>
        <v>R</v>
      </c>
      <c r="W47" s="196" t="s">
        <v>1168</v>
      </c>
      <c r="X47" s="196" t="str">
        <f t="shared" si="44"/>
        <v>N</v>
      </c>
      <c r="Y47" s="197">
        <f t="shared" si="6"/>
        <v>23540705.289999999</v>
      </c>
      <c r="Z47" s="198"/>
      <c r="AA47" s="197">
        <f t="shared" si="7"/>
        <v>23540705.289999999</v>
      </c>
      <c r="AB47" s="196"/>
      <c r="AC47" s="196"/>
      <c r="AD47" s="275">
        <v>0</v>
      </c>
      <c r="AE47" s="275">
        <v>0</v>
      </c>
      <c r="AF47" s="275">
        <v>1</v>
      </c>
      <c r="AG47" s="442"/>
      <c r="AH47" s="442"/>
      <c r="AI47" s="200">
        <f t="shared" si="8"/>
        <v>0</v>
      </c>
      <c r="AJ47" s="203"/>
      <c r="AK47" s="203"/>
      <c r="AL47" s="197">
        <f t="shared" si="9"/>
        <v>23540705.289999999</v>
      </c>
      <c r="AM47" s="197">
        <f t="shared" si="10"/>
        <v>0</v>
      </c>
      <c r="AN47" s="197">
        <f t="shared" si="11"/>
        <v>0</v>
      </c>
      <c r="AO47" s="202"/>
      <c r="AP47" s="161" t="s">
        <v>3900</v>
      </c>
      <c r="AQ47" s="279"/>
      <c r="AR47" s="287">
        <f t="shared" si="19"/>
        <v>0</v>
      </c>
      <c r="AS47" s="287">
        <f t="shared" si="20"/>
        <v>0</v>
      </c>
      <c r="AT47" s="287">
        <f t="shared" si="21"/>
        <v>0</v>
      </c>
      <c r="AU47" s="287">
        <f t="shared" si="22"/>
        <v>0</v>
      </c>
      <c r="AV47" s="287">
        <f t="shared" si="23"/>
        <v>0</v>
      </c>
      <c r="AW47" s="287">
        <f t="shared" si="24"/>
        <v>0</v>
      </c>
      <c r="AX47" s="287">
        <f t="shared" si="25"/>
        <v>0</v>
      </c>
      <c r="AY47" s="287">
        <f t="shared" si="26"/>
        <v>0</v>
      </c>
      <c r="AZ47" s="287">
        <f t="shared" si="27"/>
        <v>0</v>
      </c>
      <c r="BA47" s="287">
        <f t="shared" si="28"/>
        <v>0</v>
      </c>
      <c r="BB47" s="16"/>
      <c r="BC47" s="287">
        <f t="shared" si="29"/>
        <v>0</v>
      </c>
      <c r="BD47" s="287">
        <f t="shared" si="30"/>
        <v>0</v>
      </c>
      <c r="BE47" s="287">
        <f t="shared" si="31"/>
        <v>0</v>
      </c>
      <c r="BF47" s="287">
        <f t="shared" si="32"/>
        <v>0</v>
      </c>
      <c r="BG47" s="287">
        <f t="shared" si="33"/>
        <v>0</v>
      </c>
      <c r="BH47" s="287">
        <f t="shared" si="34"/>
        <v>0</v>
      </c>
      <c r="BI47" s="287">
        <f t="shared" si="35"/>
        <v>0</v>
      </c>
      <c r="BJ47" s="287">
        <f t="shared" si="36"/>
        <v>0</v>
      </c>
      <c r="BK47" s="287">
        <f t="shared" si="37"/>
        <v>0</v>
      </c>
      <c r="BL47" s="287">
        <f t="shared" si="38"/>
        <v>0</v>
      </c>
      <c r="BM47" s="16"/>
      <c r="BN47" s="287">
        <f t="shared" si="39"/>
        <v>0</v>
      </c>
      <c r="BO47" s="287">
        <f t="shared" si="40"/>
        <v>0</v>
      </c>
      <c r="BP47" s="430"/>
      <c r="BQ47" s="21"/>
      <c r="BR47" s="21"/>
      <c r="BS47" s="39"/>
      <c r="BT47" s="39"/>
      <c r="BU47" s="39"/>
      <c r="BV47" s="39"/>
      <c r="BW47" s="39"/>
      <c r="BX47" s="39"/>
      <c r="BY47" s="39"/>
      <c r="BZ47" s="39">
        <v>34</v>
      </c>
      <c r="CA47" s="39" t="str">
        <f t="shared" si="41"/>
        <v/>
      </c>
      <c r="CB47" s="39"/>
      <c r="CC47" s="39"/>
      <c r="CD47" s="39"/>
      <c r="CE47" s="39"/>
      <c r="CF47" s="39"/>
      <c r="CG47" s="39"/>
      <c r="CH47" s="39"/>
      <c r="CI47" s="39"/>
      <c r="CJ47" s="39"/>
      <c r="CK47" s="39"/>
    </row>
    <row r="48" spans="1:89" s="193" customFormat="1">
      <c r="A48" s="195"/>
      <c r="B48" s="21" t="str">
        <f t="shared" si="18"/>
        <v>N/A</v>
      </c>
      <c r="C48" s="21"/>
      <c r="D48" s="432">
        <v>2030400</v>
      </c>
      <c r="E48" s="439" t="s">
        <v>3626</v>
      </c>
      <c r="F48" s="439" t="s">
        <v>3659</v>
      </c>
      <c r="G48" s="273" t="s">
        <v>3425</v>
      </c>
      <c r="H48" s="358"/>
      <c r="I48" s="262" t="s">
        <v>3497</v>
      </c>
      <c r="J48" s="262" t="s">
        <v>3504</v>
      </c>
      <c r="K48" s="263">
        <v>0</v>
      </c>
      <c r="L48" s="263">
        <v>0</v>
      </c>
      <c r="M48" s="263">
        <v>634950.15</v>
      </c>
      <c r="N48" s="263">
        <v>0</v>
      </c>
      <c r="O48" s="263">
        <v>0</v>
      </c>
      <c r="P48" s="263">
        <v>0</v>
      </c>
      <c r="Q48" s="263">
        <v>0</v>
      </c>
      <c r="R48" s="263">
        <v>0</v>
      </c>
      <c r="S48" s="263">
        <v>0</v>
      </c>
      <c r="T48" s="263">
        <v>0</v>
      </c>
      <c r="U48" s="263">
        <f t="shared" si="43"/>
        <v>634950.15</v>
      </c>
      <c r="V48" s="196" t="str">
        <f t="shared" si="4"/>
        <v>R</v>
      </c>
      <c r="W48" s="196" t="s">
        <v>1168</v>
      </c>
      <c r="X48" s="196" t="str">
        <f t="shared" si="44"/>
        <v>N</v>
      </c>
      <c r="Y48" s="197">
        <f t="shared" si="6"/>
        <v>634950.15</v>
      </c>
      <c r="Z48" s="198"/>
      <c r="AA48" s="197">
        <f t="shared" si="7"/>
        <v>634950.15</v>
      </c>
      <c r="AB48" s="196"/>
      <c r="AC48" s="196"/>
      <c r="AD48" s="275">
        <v>0</v>
      </c>
      <c r="AE48" s="275">
        <v>0</v>
      </c>
      <c r="AF48" s="275">
        <v>1</v>
      </c>
      <c r="AG48" s="442"/>
      <c r="AH48" s="442"/>
      <c r="AI48" s="200">
        <f t="shared" si="8"/>
        <v>0</v>
      </c>
      <c r="AJ48" s="203"/>
      <c r="AK48" s="203"/>
      <c r="AL48" s="197">
        <f t="shared" si="9"/>
        <v>634950.15</v>
      </c>
      <c r="AM48" s="197">
        <f t="shared" si="10"/>
        <v>0</v>
      </c>
      <c r="AN48" s="197">
        <f t="shared" si="11"/>
        <v>0</v>
      </c>
      <c r="AO48" s="202"/>
      <c r="AP48" s="161" t="s">
        <v>3900</v>
      </c>
      <c r="AQ48" s="279"/>
      <c r="AR48" s="287">
        <f t="shared" si="19"/>
        <v>0</v>
      </c>
      <c r="AS48" s="287">
        <f t="shared" si="20"/>
        <v>0</v>
      </c>
      <c r="AT48" s="287">
        <f t="shared" si="21"/>
        <v>0</v>
      </c>
      <c r="AU48" s="287">
        <f t="shared" si="22"/>
        <v>0</v>
      </c>
      <c r="AV48" s="287">
        <f t="shared" si="23"/>
        <v>0</v>
      </c>
      <c r="AW48" s="287">
        <f t="shared" si="24"/>
        <v>0</v>
      </c>
      <c r="AX48" s="287">
        <f t="shared" si="25"/>
        <v>0</v>
      </c>
      <c r="AY48" s="287">
        <f t="shared" si="26"/>
        <v>0</v>
      </c>
      <c r="AZ48" s="287">
        <f t="shared" si="27"/>
        <v>0</v>
      </c>
      <c r="BA48" s="287">
        <f t="shared" si="28"/>
        <v>0</v>
      </c>
      <c r="BB48" s="16"/>
      <c r="BC48" s="287">
        <f t="shared" si="29"/>
        <v>0</v>
      </c>
      <c r="BD48" s="287">
        <f t="shared" si="30"/>
        <v>0</v>
      </c>
      <c r="BE48" s="287">
        <f t="shared" si="31"/>
        <v>0</v>
      </c>
      <c r="BF48" s="287">
        <f t="shared" si="32"/>
        <v>0</v>
      </c>
      <c r="BG48" s="287">
        <f t="shared" si="33"/>
        <v>0</v>
      </c>
      <c r="BH48" s="287">
        <f t="shared" si="34"/>
        <v>0</v>
      </c>
      <c r="BI48" s="287">
        <f t="shared" si="35"/>
        <v>0</v>
      </c>
      <c r="BJ48" s="287">
        <f t="shared" si="36"/>
        <v>0</v>
      </c>
      <c r="BK48" s="287">
        <f t="shared" si="37"/>
        <v>0</v>
      </c>
      <c r="BL48" s="287">
        <f t="shared" si="38"/>
        <v>0</v>
      </c>
      <c r="BM48" s="16"/>
      <c r="BN48" s="287">
        <f t="shared" si="39"/>
        <v>0</v>
      </c>
      <c r="BO48" s="287">
        <f t="shared" si="40"/>
        <v>0</v>
      </c>
      <c r="BP48" s="430"/>
      <c r="BQ48" s="21"/>
      <c r="BR48" s="21"/>
      <c r="BS48" s="39"/>
      <c r="BT48" s="39"/>
      <c r="BU48" s="39"/>
      <c r="BV48" s="39"/>
      <c r="BW48" s="39"/>
      <c r="BX48" s="39"/>
      <c r="BY48" s="39"/>
      <c r="BZ48" s="39">
        <v>35</v>
      </c>
      <c r="CA48" s="39" t="str">
        <f t="shared" si="41"/>
        <v/>
      </c>
      <c r="CB48" s="39"/>
      <c r="CC48" s="39"/>
      <c r="CD48" s="39"/>
      <c r="CE48" s="39"/>
      <c r="CF48" s="39"/>
      <c r="CG48" s="39"/>
      <c r="CH48" s="39"/>
      <c r="CI48" s="39"/>
      <c r="CJ48" s="39"/>
      <c r="CK48" s="39"/>
    </row>
    <row r="49" spans="1:89" s="193" customFormat="1">
      <c r="A49" s="195"/>
      <c r="B49" s="21" t="str">
        <f t="shared" si="18"/>
        <v>N/A</v>
      </c>
      <c r="C49" s="21"/>
      <c r="D49" s="432">
        <v>2100000</v>
      </c>
      <c r="E49" s="439" t="s">
        <v>3626</v>
      </c>
      <c r="F49" s="439" t="s">
        <v>3660</v>
      </c>
      <c r="G49" s="273" t="s">
        <v>3321</v>
      </c>
      <c r="H49" s="358"/>
      <c r="I49" s="262" t="s">
        <v>3497</v>
      </c>
      <c r="J49" s="262" t="s">
        <v>3504</v>
      </c>
      <c r="K49" s="263">
        <v>2117431.5299999998</v>
      </c>
      <c r="L49" s="263">
        <v>2395348.0299999998</v>
      </c>
      <c r="M49" s="263">
        <v>2700000</v>
      </c>
      <c r="N49" s="263">
        <v>2700000</v>
      </c>
      <c r="O49" s="263">
        <v>2700000</v>
      </c>
      <c r="P49" s="263">
        <v>2700000</v>
      </c>
      <c r="Q49" s="263">
        <v>2700000</v>
      </c>
      <c r="R49" s="263">
        <v>2700000</v>
      </c>
      <c r="S49" s="263">
        <v>2700000</v>
      </c>
      <c r="T49" s="263">
        <v>2700000</v>
      </c>
      <c r="U49" s="263">
        <f t="shared" si="43"/>
        <v>26112779.559999999</v>
      </c>
      <c r="V49" s="196" t="str">
        <f t="shared" si="4"/>
        <v>G</v>
      </c>
      <c r="W49" s="196" t="s">
        <v>1168</v>
      </c>
      <c r="X49" s="196" t="str">
        <f t="shared" si="44"/>
        <v>Y</v>
      </c>
      <c r="Y49" s="197">
        <f t="shared" si="6"/>
        <v>26112779.559999999</v>
      </c>
      <c r="Z49" s="198"/>
      <c r="AA49" s="197">
        <f t="shared" si="7"/>
        <v>26112779.559999999</v>
      </c>
      <c r="AB49" s="196" t="s">
        <v>1168</v>
      </c>
      <c r="AC49" s="196"/>
      <c r="AD49" s="275">
        <v>1</v>
      </c>
      <c r="AE49" s="275">
        <v>0</v>
      </c>
      <c r="AF49" s="275">
        <v>0</v>
      </c>
      <c r="AG49" s="442"/>
      <c r="AH49" s="442"/>
      <c r="AI49" s="200">
        <f t="shared" si="8"/>
        <v>0</v>
      </c>
      <c r="AJ49" s="203"/>
      <c r="AK49" s="203"/>
      <c r="AL49" s="197">
        <f t="shared" si="9"/>
        <v>26112779.559999999</v>
      </c>
      <c r="AM49" s="197">
        <f t="shared" si="10"/>
        <v>0</v>
      </c>
      <c r="AN49" s="197">
        <f t="shared" si="11"/>
        <v>0</v>
      </c>
      <c r="AO49" s="202"/>
      <c r="AP49" s="161" t="s">
        <v>3900</v>
      </c>
      <c r="AQ49" s="279"/>
      <c r="AR49" s="287">
        <f t="shared" si="19"/>
        <v>0</v>
      </c>
      <c r="AS49" s="287">
        <f t="shared" si="20"/>
        <v>0</v>
      </c>
      <c r="AT49" s="287">
        <f t="shared" si="21"/>
        <v>0</v>
      </c>
      <c r="AU49" s="287">
        <f t="shared" si="22"/>
        <v>0</v>
      </c>
      <c r="AV49" s="287">
        <f t="shared" si="23"/>
        <v>0</v>
      </c>
      <c r="AW49" s="287">
        <f t="shared" si="24"/>
        <v>0</v>
      </c>
      <c r="AX49" s="287">
        <f t="shared" si="25"/>
        <v>0</v>
      </c>
      <c r="AY49" s="287">
        <f t="shared" si="26"/>
        <v>0</v>
      </c>
      <c r="AZ49" s="287">
        <f t="shared" si="27"/>
        <v>0</v>
      </c>
      <c r="BA49" s="287">
        <f t="shared" si="28"/>
        <v>0</v>
      </c>
      <c r="BB49" s="16"/>
      <c r="BC49" s="287">
        <f t="shared" si="29"/>
        <v>0</v>
      </c>
      <c r="BD49" s="287">
        <f t="shared" si="30"/>
        <v>0</v>
      </c>
      <c r="BE49" s="287">
        <f t="shared" si="31"/>
        <v>0</v>
      </c>
      <c r="BF49" s="287">
        <f t="shared" si="32"/>
        <v>0</v>
      </c>
      <c r="BG49" s="287">
        <f t="shared" si="33"/>
        <v>0</v>
      </c>
      <c r="BH49" s="287">
        <f t="shared" si="34"/>
        <v>0</v>
      </c>
      <c r="BI49" s="287">
        <f t="shared" si="35"/>
        <v>0</v>
      </c>
      <c r="BJ49" s="287">
        <f t="shared" si="36"/>
        <v>0</v>
      </c>
      <c r="BK49" s="287">
        <f t="shared" si="37"/>
        <v>0</v>
      </c>
      <c r="BL49" s="287">
        <f t="shared" si="38"/>
        <v>0</v>
      </c>
      <c r="BM49" s="16"/>
      <c r="BN49" s="287">
        <f t="shared" si="39"/>
        <v>0</v>
      </c>
      <c r="BO49" s="287">
        <f t="shared" si="40"/>
        <v>0</v>
      </c>
      <c r="BP49" s="430"/>
      <c r="BQ49" s="21"/>
      <c r="BR49" s="21"/>
      <c r="BS49" s="39"/>
      <c r="BT49" s="39"/>
      <c r="BU49" s="39"/>
      <c r="BV49" s="39"/>
      <c r="BW49" s="39"/>
      <c r="BX49" s="39"/>
      <c r="BY49" s="39"/>
      <c r="BZ49" s="39">
        <v>36</v>
      </c>
      <c r="CA49" s="39" t="str">
        <f t="shared" si="41"/>
        <v/>
      </c>
      <c r="CB49" s="39"/>
      <c r="CC49" s="39"/>
      <c r="CD49" s="39"/>
      <c r="CE49" s="39"/>
      <c r="CF49" s="39"/>
      <c r="CG49" s="39"/>
      <c r="CH49" s="39"/>
      <c r="CI49" s="39"/>
      <c r="CJ49" s="39"/>
      <c r="CK49" s="39"/>
    </row>
    <row r="50" spans="1:89" s="193" customFormat="1">
      <c r="A50" s="195"/>
      <c r="B50" s="21" t="str">
        <f t="shared" si="18"/>
        <v>N/A</v>
      </c>
      <c r="C50" s="21"/>
      <c r="D50" s="432">
        <v>2100001</v>
      </c>
      <c r="E50" s="439" t="s">
        <v>3626</v>
      </c>
      <c r="F50" s="439" t="s">
        <v>3661</v>
      </c>
      <c r="G50" s="273" t="s">
        <v>3375</v>
      </c>
      <c r="H50" s="358"/>
      <c r="I50" s="262" t="s">
        <v>3497</v>
      </c>
      <c r="J50" s="262" t="s">
        <v>3504</v>
      </c>
      <c r="K50" s="263">
        <v>257037.39</v>
      </c>
      <c r="L50" s="263">
        <v>268260.86</v>
      </c>
      <c r="M50" s="263">
        <v>297058.77</v>
      </c>
      <c r="N50" s="263">
        <v>290901.34999999998</v>
      </c>
      <c r="O50" s="263">
        <v>306434.06</v>
      </c>
      <c r="P50" s="263">
        <v>394079.47</v>
      </c>
      <c r="Q50" s="263">
        <v>411571.78</v>
      </c>
      <c r="R50" s="263">
        <v>450636.59</v>
      </c>
      <c r="S50" s="263">
        <v>470998.29</v>
      </c>
      <c r="T50" s="263">
        <v>471180.69</v>
      </c>
      <c r="U50" s="263">
        <f t="shared" si="43"/>
        <v>3618159.25</v>
      </c>
      <c r="V50" s="196" t="str">
        <f t="shared" si="4"/>
        <v>R</v>
      </c>
      <c r="W50" s="196" t="s">
        <v>1168</v>
      </c>
      <c r="X50" s="196" t="str">
        <f t="shared" si="44"/>
        <v>N</v>
      </c>
      <c r="Y50" s="197">
        <f t="shared" si="6"/>
        <v>3618159.25</v>
      </c>
      <c r="Z50" s="198"/>
      <c r="AA50" s="197">
        <f t="shared" si="7"/>
        <v>3618159.25</v>
      </c>
      <c r="AB50" s="196"/>
      <c r="AC50" s="196"/>
      <c r="AD50" s="275">
        <v>0</v>
      </c>
      <c r="AE50" s="275">
        <v>0</v>
      </c>
      <c r="AF50" s="275">
        <v>1</v>
      </c>
      <c r="AG50" s="442"/>
      <c r="AH50" s="442"/>
      <c r="AI50" s="200">
        <f t="shared" si="8"/>
        <v>0</v>
      </c>
      <c r="AJ50" s="203"/>
      <c r="AK50" s="203"/>
      <c r="AL50" s="197">
        <f t="shared" si="9"/>
        <v>3618159.25</v>
      </c>
      <c r="AM50" s="197">
        <f t="shared" si="10"/>
        <v>0</v>
      </c>
      <c r="AN50" s="197">
        <f t="shared" si="11"/>
        <v>0</v>
      </c>
      <c r="AO50" s="202"/>
      <c r="AP50" s="161" t="s">
        <v>3900</v>
      </c>
      <c r="AQ50" s="279"/>
      <c r="AR50" s="287">
        <f t="shared" si="19"/>
        <v>0</v>
      </c>
      <c r="AS50" s="287">
        <f t="shared" si="20"/>
        <v>0</v>
      </c>
      <c r="AT50" s="287">
        <f t="shared" si="21"/>
        <v>0</v>
      </c>
      <c r="AU50" s="287">
        <f t="shared" si="22"/>
        <v>0</v>
      </c>
      <c r="AV50" s="287">
        <f t="shared" si="23"/>
        <v>0</v>
      </c>
      <c r="AW50" s="287">
        <f t="shared" si="24"/>
        <v>0</v>
      </c>
      <c r="AX50" s="287">
        <f t="shared" si="25"/>
        <v>0</v>
      </c>
      <c r="AY50" s="287">
        <f t="shared" si="26"/>
        <v>0</v>
      </c>
      <c r="AZ50" s="287">
        <f t="shared" si="27"/>
        <v>0</v>
      </c>
      <c r="BA50" s="287">
        <f t="shared" si="28"/>
        <v>0</v>
      </c>
      <c r="BB50" s="16"/>
      <c r="BC50" s="287">
        <f t="shared" si="29"/>
        <v>0</v>
      </c>
      <c r="BD50" s="287">
        <f t="shared" si="30"/>
        <v>0</v>
      </c>
      <c r="BE50" s="287">
        <f t="shared" si="31"/>
        <v>0</v>
      </c>
      <c r="BF50" s="287">
        <f t="shared" si="32"/>
        <v>0</v>
      </c>
      <c r="BG50" s="287">
        <f t="shared" si="33"/>
        <v>0</v>
      </c>
      <c r="BH50" s="287">
        <f t="shared" si="34"/>
        <v>0</v>
      </c>
      <c r="BI50" s="287">
        <f t="shared" si="35"/>
        <v>0</v>
      </c>
      <c r="BJ50" s="287">
        <f t="shared" si="36"/>
        <v>0</v>
      </c>
      <c r="BK50" s="287">
        <f t="shared" si="37"/>
        <v>0</v>
      </c>
      <c r="BL50" s="287">
        <f t="shared" si="38"/>
        <v>0</v>
      </c>
      <c r="BM50" s="16"/>
      <c r="BN50" s="287">
        <f t="shared" si="39"/>
        <v>0</v>
      </c>
      <c r="BO50" s="287">
        <f t="shared" si="40"/>
        <v>0</v>
      </c>
      <c r="BP50" s="430"/>
      <c r="BQ50" s="21"/>
      <c r="BR50" s="21"/>
      <c r="BS50" s="39"/>
      <c r="BT50" s="39"/>
      <c r="BU50" s="39"/>
      <c r="BV50" s="39"/>
      <c r="BW50" s="39"/>
      <c r="BX50" s="39"/>
      <c r="BY50" s="39"/>
      <c r="BZ50" s="39">
        <v>37</v>
      </c>
      <c r="CA50" s="39" t="str">
        <f t="shared" si="41"/>
        <v/>
      </c>
      <c r="CB50" s="39"/>
      <c r="CC50" s="39"/>
      <c r="CD50" s="39"/>
      <c r="CE50" s="39"/>
      <c r="CF50" s="39"/>
      <c r="CG50" s="39"/>
      <c r="CH50" s="39"/>
      <c r="CI50" s="39"/>
      <c r="CJ50" s="39"/>
      <c r="CK50" s="39"/>
    </row>
    <row r="51" spans="1:89" s="193" customFormat="1">
      <c r="A51" s="195"/>
      <c r="B51" s="21" t="str">
        <f t="shared" si="18"/>
        <v>N/A</v>
      </c>
      <c r="C51" s="21"/>
      <c r="D51" s="432">
        <v>2100004</v>
      </c>
      <c r="E51" s="439" t="s">
        <v>3626</v>
      </c>
      <c r="F51" s="439" t="s">
        <v>3662</v>
      </c>
      <c r="G51" s="273" t="s">
        <v>3398</v>
      </c>
      <c r="H51" s="358"/>
      <c r="I51" s="262" t="s">
        <v>3496</v>
      </c>
      <c r="J51" s="262" t="s">
        <v>3504</v>
      </c>
      <c r="K51" s="263">
        <v>55411.78</v>
      </c>
      <c r="L51" s="263">
        <v>57073.31</v>
      </c>
      <c r="M51" s="263">
        <v>58843.14</v>
      </c>
      <c r="N51" s="263">
        <v>60726.96</v>
      </c>
      <c r="O51" s="263">
        <v>61941.5</v>
      </c>
      <c r="P51" s="263">
        <v>63180.33</v>
      </c>
      <c r="Q51" s="263">
        <v>64443.94</v>
      </c>
      <c r="R51" s="263">
        <v>65732.820000000007</v>
      </c>
      <c r="S51" s="263">
        <v>67047.48</v>
      </c>
      <c r="T51" s="263">
        <v>68388.429999999993</v>
      </c>
      <c r="U51" s="263">
        <f t="shared" si="43"/>
        <v>622789.68999999994</v>
      </c>
      <c r="V51" s="196" t="str">
        <f t="shared" si="4"/>
        <v>R</v>
      </c>
      <c r="W51" s="196" t="s">
        <v>1168</v>
      </c>
      <c r="X51" s="196" t="str">
        <f t="shared" si="44"/>
        <v>N</v>
      </c>
      <c r="Y51" s="197">
        <f t="shared" si="6"/>
        <v>622789.68999999994</v>
      </c>
      <c r="Z51" s="198"/>
      <c r="AA51" s="197">
        <f t="shared" si="7"/>
        <v>622789.68999999994</v>
      </c>
      <c r="AB51" s="196"/>
      <c r="AC51" s="196"/>
      <c r="AD51" s="275">
        <v>0</v>
      </c>
      <c r="AE51" s="275">
        <v>0</v>
      </c>
      <c r="AF51" s="275">
        <v>1</v>
      </c>
      <c r="AG51" s="199"/>
      <c r="AH51" s="199"/>
      <c r="AI51" s="377">
        <f t="shared" si="8"/>
        <v>0</v>
      </c>
      <c r="AJ51" s="203"/>
      <c r="AK51" s="203"/>
      <c r="AL51" s="197">
        <f t="shared" si="9"/>
        <v>622789.68999999994</v>
      </c>
      <c r="AM51" s="197">
        <f t="shared" si="10"/>
        <v>0</v>
      </c>
      <c r="AN51" s="197">
        <f t="shared" si="11"/>
        <v>0</v>
      </c>
      <c r="AO51" s="202"/>
      <c r="AP51" s="161" t="s">
        <v>3900</v>
      </c>
      <c r="AQ51" s="279"/>
      <c r="AR51" s="287">
        <f t="shared" si="19"/>
        <v>0</v>
      </c>
      <c r="AS51" s="287">
        <f t="shared" si="20"/>
        <v>0</v>
      </c>
      <c r="AT51" s="287">
        <f t="shared" si="21"/>
        <v>0</v>
      </c>
      <c r="AU51" s="287">
        <f t="shared" si="22"/>
        <v>0</v>
      </c>
      <c r="AV51" s="287">
        <f t="shared" si="23"/>
        <v>0</v>
      </c>
      <c r="AW51" s="287">
        <f t="shared" si="24"/>
        <v>0</v>
      </c>
      <c r="AX51" s="287">
        <f t="shared" si="25"/>
        <v>0</v>
      </c>
      <c r="AY51" s="287">
        <f t="shared" si="26"/>
        <v>0</v>
      </c>
      <c r="AZ51" s="287">
        <f t="shared" si="27"/>
        <v>0</v>
      </c>
      <c r="BA51" s="287">
        <f t="shared" si="28"/>
        <v>0</v>
      </c>
      <c r="BB51" s="16"/>
      <c r="BC51" s="287">
        <f t="shared" si="29"/>
        <v>0</v>
      </c>
      <c r="BD51" s="287">
        <f t="shared" si="30"/>
        <v>0</v>
      </c>
      <c r="BE51" s="287">
        <f t="shared" si="31"/>
        <v>0</v>
      </c>
      <c r="BF51" s="287">
        <f t="shared" si="32"/>
        <v>0</v>
      </c>
      <c r="BG51" s="287">
        <f t="shared" si="33"/>
        <v>0</v>
      </c>
      <c r="BH51" s="287">
        <f t="shared" si="34"/>
        <v>0</v>
      </c>
      <c r="BI51" s="287">
        <f t="shared" si="35"/>
        <v>0</v>
      </c>
      <c r="BJ51" s="287">
        <f t="shared" si="36"/>
        <v>0</v>
      </c>
      <c r="BK51" s="287">
        <f t="shared" si="37"/>
        <v>0</v>
      </c>
      <c r="BL51" s="287">
        <f t="shared" si="38"/>
        <v>0</v>
      </c>
      <c r="BM51" s="16"/>
      <c r="BN51" s="287">
        <f t="shared" si="39"/>
        <v>0</v>
      </c>
      <c r="BO51" s="287">
        <f t="shared" si="40"/>
        <v>0</v>
      </c>
      <c r="BP51" s="430"/>
      <c r="BQ51" s="21"/>
      <c r="BR51" s="21"/>
      <c r="BS51" s="39"/>
      <c r="BT51" s="39"/>
      <c r="BU51" s="334">
        <v>6498900</v>
      </c>
      <c r="BV51" s="334">
        <v>0</v>
      </c>
      <c r="BW51" s="39"/>
      <c r="BX51" s="39"/>
      <c r="BY51" s="39"/>
      <c r="BZ51" s="39">
        <v>38</v>
      </c>
      <c r="CA51" s="39" t="str">
        <f t="shared" si="41"/>
        <v/>
      </c>
      <c r="CB51" s="39"/>
      <c r="CC51" s="39"/>
      <c r="CD51" s="39"/>
      <c r="CE51" s="39"/>
      <c r="CF51" s="39"/>
      <c r="CG51" s="39"/>
      <c r="CH51" s="39"/>
      <c r="CI51" s="39"/>
      <c r="CJ51" s="39"/>
      <c r="CK51" s="39"/>
    </row>
    <row r="52" spans="1:89" s="193" customFormat="1">
      <c r="A52" s="195"/>
      <c r="B52" s="21" t="str">
        <f t="shared" si="18"/>
        <v>N/A</v>
      </c>
      <c r="C52" s="21"/>
      <c r="D52" s="432">
        <v>2100013</v>
      </c>
      <c r="E52" s="439" t="s">
        <v>3626</v>
      </c>
      <c r="F52" s="439" t="s">
        <v>3663</v>
      </c>
      <c r="G52" s="273" t="s">
        <v>3383</v>
      </c>
      <c r="H52" s="358"/>
      <c r="I52" s="262" t="s">
        <v>3497</v>
      </c>
      <c r="J52" s="262" t="s">
        <v>3504</v>
      </c>
      <c r="K52" s="263">
        <v>171304.01</v>
      </c>
      <c r="L52" s="263">
        <v>182829.92</v>
      </c>
      <c r="M52" s="263">
        <v>0</v>
      </c>
      <c r="N52" s="263">
        <v>0</v>
      </c>
      <c r="O52" s="263">
        <v>0</v>
      </c>
      <c r="P52" s="263">
        <v>0</v>
      </c>
      <c r="Q52" s="263">
        <v>0</v>
      </c>
      <c r="R52" s="263">
        <v>0</v>
      </c>
      <c r="S52" s="263">
        <v>0</v>
      </c>
      <c r="T52" s="263">
        <v>0</v>
      </c>
      <c r="U52" s="263">
        <f t="shared" si="43"/>
        <v>354133.93000000005</v>
      </c>
      <c r="V52" s="196" t="str">
        <f t="shared" si="4"/>
        <v>LOS/R</v>
      </c>
      <c r="W52" s="196" t="s">
        <v>1168</v>
      </c>
      <c r="X52" s="196" t="str">
        <f t="shared" si="44"/>
        <v>N</v>
      </c>
      <c r="Y52" s="197">
        <f t="shared" si="6"/>
        <v>354133.93000000005</v>
      </c>
      <c r="Z52" s="198"/>
      <c r="AA52" s="197">
        <f t="shared" si="7"/>
        <v>354133.93000000005</v>
      </c>
      <c r="AB52" s="196"/>
      <c r="AC52" s="196"/>
      <c r="AD52" s="275">
        <v>0</v>
      </c>
      <c r="AE52" s="275">
        <v>0.61766253801563931</v>
      </c>
      <c r="AF52" s="275">
        <v>0.38233746198436064</v>
      </c>
      <c r="AG52" s="442"/>
      <c r="AH52" s="442"/>
      <c r="AI52" s="200">
        <f t="shared" si="8"/>
        <v>0</v>
      </c>
      <c r="AJ52" s="203"/>
      <c r="AK52" s="203"/>
      <c r="AL52" s="197">
        <f t="shared" si="9"/>
        <v>354133.93000000005</v>
      </c>
      <c r="AM52" s="197">
        <f t="shared" si="10"/>
        <v>0</v>
      </c>
      <c r="AN52" s="197">
        <f t="shared" si="11"/>
        <v>0</v>
      </c>
      <c r="AO52" s="202"/>
      <c r="AP52" s="161" t="s">
        <v>3900</v>
      </c>
      <c r="AQ52" s="279"/>
      <c r="AR52" s="287">
        <f t="shared" si="19"/>
        <v>0</v>
      </c>
      <c r="AS52" s="287">
        <f t="shared" si="20"/>
        <v>0</v>
      </c>
      <c r="AT52" s="287">
        <f t="shared" si="21"/>
        <v>0</v>
      </c>
      <c r="AU52" s="287">
        <f t="shared" si="22"/>
        <v>0</v>
      </c>
      <c r="AV52" s="287">
        <f t="shared" si="23"/>
        <v>0</v>
      </c>
      <c r="AW52" s="287">
        <f t="shared" si="24"/>
        <v>0</v>
      </c>
      <c r="AX52" s="287">
        <f t="shared" si="25"/>
        <v>0</v>
      </c>
      <c r="AY52" s="287">
        <f t="shared" si="26"/>
        <v>0</v>
      </c>
      <c r="AZ52" s="287">
        <f t="shared" si="27"/>
        <v>0</v>
      </c>
      <c r="BA52" s="287">
        <f t="shared" si="28"/>
        <v>0</v>
      </c>
      <c r="BB52" s="16"/>
      <c r="BC52" s="287">
        <f t="shared" si="29"/>
        <v>0</v>
      </c>
      <c r="BD52" s="287">
        <f t="shared" si="30"/>
        <v>0</v>
      </c>
      <c r="BE52" s="287">
        <f t="shared" si="31"/>
        <v>0</v>
      </c>
      <c r="BF52" s="287">
        <f t="shared" si="32"/>
        <v>0</v>
      </c>
      <c r="BG52" s="287">
        <f t="shared" si="33"/>
        <v>0</v>
      </c>
      <c r="BH52" s="287">
        <f t="shared" si="34"/>
        <v>0</v>
      </c>
      <c r="BI52" s="287">
        <f t="shared" si="35"/>
        <v>0</v>
      </c>
      <c r="BJ52" s="287">
        <f t="shared" si="36"/>
        <v>0</v>
      </c>
      <c r="BK52" s="287">
        <f t="shared" si="37"/>
        <v>0</v>
      </c>
      <c r="BL52" s="287">
        <f t="shared" si="38"/>
        <v>0</v>
      </c>
      <c r="BM52" s="16"/>
      <c r="BN52" s="287">
        <f t="shared" si="39"/>
        <v>0</v>
      </c>
      <c r="BO52" s="287">
        <f t="shared" si="40"/>
        <v>0</v>
      </c>
      <c r="BP52" s="430"/>
      <c r="BQ52" s="21"/>
      <c r="BR52" s="21"/>
      <c r="BS52" s="39"/>
      <c r="BT52" s="39"/>
      <c r="BU52" s="39"/>
      <c r="BV52" s="39"/>
      <c r="BW52" s="39"/>
      <c r="BX52" s="39"/>
      <c r="BY52" s="39"/>
      <c r="BZ52" s="39">
        <v>39</v>
      </c>
      <c r="CA52" s="39" t="str">
        <f t="shared" si="41"/>
        <v/>
      </c>
      <c r="CB52" s="39"/>
      <c r="CC52" s="39"/>
      <c r="CD52" s="39"/>
      <c r="CE52" s="39"/>
      <c r="CF52" s="39"/>
      <c r="CG52" s="39"/>
      <c r="CH52" s="39"/>
      <c r="CI52" s="39"/>
      <c r="CJ52" s="39"/>
      <c r="CK52" s="39"/>
    </row>
    <row r="53" spans="1:89" s="193" customFormat="1">
      <c r="A53" s="195"/>
      <c r="B53" s="21" t="str">
        <f t="shared" si="18"/>
        <v>N/A</v>
      </c>
      <c r="C53" s="21"/>
      <c r="D53" s="432">
        <v>2110005</v>
      </c>
      <c r="E53" s="439" t="s">
        <v>3626</v>
      </c>
      <c r="F53" s="439" t="s">
        <v>3664</v>
      </c>
      <c r="G53" s="273" t="s">
        <v>3396</v>
      </c>
      <c r="H53" s="358"/>
      <c r="I53" s="262" t="s">
        <v>3497</v>
      </c>
      <c r="J53" s="262" t="s">
        <v>3504</v>
      </c>
      <c r="K53" s="263">
        <v>59327.72</v>
      </c>
      <c r="L53" s="263">
        <v>65092.02</v>
      </c>
      <c r="M53" s="263">
        <v>66601.48</v>
      </c>
      <c r="N53" s="263">
        <v>65220.89</v>
      </c>
      <c r="O53" s="263">
        <v>68703.47</v>
      </c>
      <c r="P53" s="263">
        <v>88354.89</v>
      </c>
      <c r="Q53" s="263">
        <v>92276.18</v>
      </c>
      <c r="R53" s="263">
        <v>101034.68</v>
      </c>
      <c r="S53" s="263">
        <v>105599.86</v>
      </c>
      <c r="T53" s="263">
        <v>105640.75</v>
      </c>
      <c r="U53" s="263">
        <f t="shared" si="43"/>
        <v>817851.94</v>
      </c>
      <c r="V53" s="196" t="str">
        <f t="shared" si="4"/>
        <v>R</v>
      </c>
      <c r="W53" s="196" t="s">
        <v>1168</v>
      </c>
      <c r="X53" s="196" t="str">
        <f t="shared" si="44"/>
        <v>N</v>
      </c>
      <c r="Y53" s="197">
        <f t="shared" si="6"/>
        <v>817851.94</v>
      </c>
      <c r="Z53" s="198"/>
      <c r="AA53" s="197">
        <f t="shared" si="7"/>
        <v>817851.94</v>
      </c>
      <c r="AB53" s="196"/>
      <c r="AC53" s="196"/>
      <c r="AD53" s="275">
        <v>0</v>
      </c>
      <c r="AE53" s="275">
        <v>0</v>
      </c>
      <c r="AF53" s="275">
        <v>1</v>
      </c>
      <c r="AG53" s="442"/>
      <c r="AH53" s="442"/>
      <c r="AI53" s="200">
        <f t="shared" si="8"/>
        <v>0</v>
      </c>
      <c r="AJ53" s="203"/>
      <c r="AK53" s="203"/>
      <c r="AL53" s="197">
        <f t="shared" si="9"/>
        <v>817851.94</v>
      </c>
      <c r="AM53" s="197">
        <f t="shared" si="10"/>
        <v>0</v>
      </c>
      <c r="AN53" s="197">
        <f t="shared" si="11"/>
        <v>0</v>
      </c>
      <c r="AO53" s="202"/>
      <c r="AP53" s="161" t="s">
        <v>3900</v>
      </c>
      <c r="AQ53" s="279"/>
      <c r="AR53" s="287">
        <f t="shared" si="19"/>
        <v>0</v>
      </c>
      <c r="AS53" s="287">
        <f t="shared" si="20"/>
        <v>0</v>
      </c>
      <c r="AT53" s="287">
        <f t="shared" si="21"/>
        <v>0</v>
      </c>
      <c r="AU53" s="287">
        <f t="shared" si="22"/>
        <v>0</v>
      </c>
      <c r="AV53" s="287">
        <f t="shared" si="23"/>
        <v>0</v>
      </c>
      <c r="AW53" s="287">
        <f t="shared" si="24"/>
        <v>0</v>
      </c>
      <c r="AX53" s="287">
        <f t="shared" si="25"/>
        <v>0</v>
      </c>
      <c r="AY53" s="287">
        <f t="shared" si="26"/>
        <v>0</v>
      </c>
      <c r="AZ53" s="287">
        <f t="shared" si="27"/>
        <v>0</v>
      </c>
      <c r="BA53" s="287">
        <f t="shared" si="28"/>
        <v>0</v>
      </c>
      <c r="BB53" s="16"/>
      <c r="BC53" s="287">
        <f t="shared" si="29"/>
        <v>0</v>
      </c>
      <c r="BD53" s="287">
        <f t="shared" si="30"/>
        <v>0</v>
      </c>
      <c r="BE53" s="287">
        <f t="shared" si="31"/>
        <v>0</v>
      </c>
      <c r="BF53" s="287">
        <f t="shared" si="32"/>
        <v>0</v>
      </c>
      <c r="BG53" s="287">
        <f t="shared" si="33"/>
        <v>0</v>
      </c>
      <c r="BH53" s="287">
        <f t="shared" si="34"/>
        <v>0</v>
      </c>
      <c r="BI53" s="287">
        <f t="shared" si="35"/>
        <v>0</v>
      </c>
      <c r="BJ53" s="287">
        <f t="shared" si="36"/>
        <v>0</v>
      </c>
      <c r="BK53" s="287">
        <f t="shared" si="37"/>
        <v>0</v>
      </c>
      <c r="BL53" s="287">
        <f t="shared" si="38"/>
        <v>0</v>
      </c>
      <c r="BM53" s="16"/>
      <c r="BN53" s="287">
        <f t="shared" si="39"/>
        <v>0</v>
      </c>
      <c r="BO53" s="287">
        <f t="shared" si="40"/>
        <v>0</v>
      </c>
      <c r="BP53" s="430"/>
      <c r="BQ53" s="21"/>
      <c r="BR53" s="21"/>
      <c r="BS53" s="39"/>
      <c r="BT53" s="39"/>
      <c r="BU53" s="39"/>
      <c r="BV53" s="39"/>
      <c r="BW53" s="39"/>
      <c r="BX53" s="39"/>
      <c r="BY53" s="39"/>
      <c r="BZ53" s="39">
        <v>40</v>
      </c>
      <c r="CA53" s="39" t="str">
        <f t="shared" si="41"/>
        <v/>
      </c>
      <c r="CB53" s="39"/>
      <c r="CC53" s="39"/>
      <c r="CD53" s="39"/>
      <c r="CE53" s="39"/>
      <c r="CF53" s="39"/>
      <c r="CG53" s="39"/>
      <c r="CH53" s="39"/>
      <c r="CI53" s="39"/>
      <c r="CJ53" s="39"/>
      <c r="CK53" s="39"/>
    </row>
    <row r="54" spans="1:89" s="193" customFormat="1">
      <c r="A54" s="195"/>
      <c r="B54" s="21" t="str">
        <f t="shared" si="18"/>
        <v>N/A</v>
      </c>
      <c r="C54" s="21"/>
      <c r="D54" s="432">
        <v>2120011</v>
      </c>
      <c r="E54" s="439" t="s">
        <v>3626</v>
      </c>
      <c r="F54" s="439" t="s">
        <v>2499</v>
      </c>
      <c r="G54" s="273" t="s">
        <v>3558</v>
      </c>
      <c r="H54" s="358"/>
      <c r="I54" s="262" t="s">
        <v>3530</v>
      </c>
      <c r="J54" s="262" t="s">
        <v>3504</v>
      </c>
      <c r="K54" s="263">
        <v>300000</v>
      </c>
      <c r="L54" s="263">
        <v>300000</v>
      </c>
      <c r="M54" s="263">
        <v>300000</v>
      </c>
      <c r="N54" s="263">
        <v>330000</v>
      </c>
      <c r="O54" s="263">
        <v>330000</v>
      </c>
      <c r="P54" s="263">
        <v>330000</v>
      </c>
      <c r="Q54" s="263">
        <v>360000</v>
      </c>
      <c r="R54" s="263">
        <v>360000</v>
      </c>
      <c r="S54" s="263">
        <v>360000</v>
      </c>
      <c r="T54" s="263">
        <v>360000</v>
      </c>
      <c r="U54" s="263">
        <f t="shared" si="43"/>
        <v>3330000</v>
      </c>
      <c r="V54" s="196" t="str">
        <f t="shared" si="4"/>
        <v>LOS</v>
      </c>
      <c r="W54" s="196" t="s">
        <v>1168</v>
      </c>
      <c r="X54" s="196" t="str">
        <f t="shared" si="44"/>
        <v>N</v>
      </c>
      <c r="Y54" s="197">
        <f t="shared" si="6"/>
        <v>3330000</v>
      </c>
      <c r="Z54" s="198"/>
      <c r="AA54" s="197">
        <f t="shared" si="7"/>
        <v>3330000</v>
      </c>
      <c r="AB54" s="196"/>
      <c r="AC54" s="196"/>
      <c r="AD54" s="275">
        <v>0</v>
      </c>
      <c r="AE54" s="275">
        <v>1</v>
      </c>
      <c r="AF54" s="275">
        <v>0</v>
      </c>
      <c r="AG54" s="442"/>
      <c r="AH54" s="442"/>
      <c r="AI54" s="200">
        <f t="shared" si="8"/>
        <v>0</v>
      </c>
      <c r="AJ54" s="203"/>
      <c r="AK54" s="203"/>
      <c r="AL54" s="197">
        <f t="shared" si="9"/>
        <v>3330000</v>
      </c>
      <c r="AM54" s="197">
        <f t="shared" si="10"/>
        <v>0</v>
      </c>
      <c r="AN54" s="197">
        <f t="shared" si="11"/>
        <v>0</v>
      </c>
      <c r="AO54" s="202"/>
      <c r="AP54" s="161" t="s">
        <v>3900</v>
      </c>
      <c r="AQ54" s="279"/>
      <c r="AR54" s="287">
        <f t="shared" si="19"/>
        <v>0</v>
      </c>
      <c r="AS54" s="287">
        <f t="shared" si="20"/>
        <v>0</v>
      </c>
      <c r="AT54" s="287">
        <f t="shared" si="21"/>
        <v>0</v>
      </c>
      <c r="AU54" s="287">
        <f t="shared" si="22"/>
        <v>0</v>
      </c>
      <c r="AV54" s="287">
        <f t="shared" si="23"/>
        <v>0</v>
      </c>
      <c r="AW54" s="287">
        <f t="shared" si="24"/>
        <v>0</v>
      </c>
      <c r="AX54" s="287">
        <f t="shared" si="25"/>
        <v>0</v>
      </c>
      <c r="AY54" s="287">
        <f t="shared" si="26"/>
        <v>0</v>
      </c>
      <c r="AZ54" s="287">
        <f t="shared" si="27"/>
        <v>0</v>
      </c>
      <c r="BA54" s="287">
        <f t="shared" si="28"/>
        <v>0</v>
      </c>
      <c r="BB54" s="16"/>
      <c r="BC54" s="287">
        <f t="shared" si="29"/>
        <v>0</v>
      </c>
      <c r="BD54" s="287">
        <f t="shared" si="30"/>
        <v>0</v>
      </c>
      <c r="BE54" s="287">
        <f t="shared" si="31"/>
        <v>0</v>
      </c>
      <c r="BF54" s="287">
        <f t="shared" si="32"/>
        <v>0</v>
      </c>
      <c r="BG54" s="287">
        <f t="shared" si="33"/>
        <v>0</v>
      </c>
      <c r="BH54" s="287">
        <f t="shared" si="34"/>
        <v>0</v>
      </c>
      <c r="BI54" s="287">
        <f t="shared" si="35"/>
        <v>0</v>
      </c>
      <c r="BJ54" s="287">
        <f t="shared" si="36"/>
        <v>0</v>
      </c>
      <c r="BK54" s="287">
        <f t="shared" si="37"/>
        <v>0</v>
      </c>
      <c r="BL54" s="287">
        <f t="shared" si="38"/>
        <v>0</v>
      </c>
      <c r="BM54" s="16"/>
      <c r="BN54" s="287">
        <f t="shared" si="39"/>
        <v>0</v>
      </c>
      <c r="BO54" s="287">
        <f t="shared" si="40"/>
        <v>0</v>
      </c>
      <c r="BP54" s="430"/>
      <c r="BQ54" s="21"/>
      <c r="BR54" s="21"/>
      <c r="BS54" s="39"/>
      <c r="BT54" s="39"/>
      <c r="BU54" s="39"/>
      <c r="BV54" s="39"/>
      <c r="BW54" s="39"/>
      <c r="BX54" s="39"/>
      <c r="BY54" s="39"/>
      <c r="BZ54" s="39">
        <v>41</v>
      </c>
      <c r="CA54" s="39" t="str">
        <f t="shared" si="41"/>
        <v/>
      </c>
      <c r="CB54" s="39"/>
      <c r="CC54" s="39"/>
      <c r="CD54" s="39"/>
      <c r="CE54" s="39"/>
      <c r="CF54" s="39"/>
      <c r="CG54" s="39"/>
      <c r="CH54" s="39"/>
      <c r="CI54" s="39"/>
      <c r="CJ54" s="39"/>
      <c r="CK54" s="39"/>
    </row>
    <row r="55" spans="1:89" s="193" customFormat="1">
      <c r="A55" s="195"/>
      <c r="B55" s="21" t="str">
        <f t="shared" si="18"/>
        <v>N/A</v>
      </c>
      <c r="C55" s="21"/>
      <c r="D55" s="432">
        <v>2120013</v>
      </c>
      <c r="E55" s="439" t="s">
        <v>3626</v>
      </c>
      <c r="F55" s="439" t="s">
        <v>2499</v>
      </c>
      <c r="G55" s="273" t="s">
        <v>3559</v>
      </c>
      <c r="H55" s="358"/>
      <c r="I55" s="262" t="s">
        <v>3530</v>
      </c>
      <c r="J55" s="262" t="s">
        <v>3504</v>
      </c>
      <c r="K55" s="263">
        <v>312999.96000000002</v>
      </c>
      <c r="L55" s="263">
        <v>310000</v>
      </c>
      <c r="M55" s="263">
        <v>335000</v>
      </c>
      <c r="N55" s="263">
        <v>375428</v>
      </c>
      <c r="O55" s="263">
        <v>339259</v>
      </c>
      <c r="P55" s="263">
        <v>339260</v>
      </c>
      <c r="Q55" s="263">
        <v>339259</v>
      </c>
      <c r="R55" s="263">
        <v>300000</v>
      </c>
      <c r="S55" s="263">
        <v>300000</v>
      </c>
      <c r="T55" s="263">
        <v>300000</v>
      </c>
      <c r="U55" s="263">
        <f t="shared" si="43"/>
        <v>3251205.96</v>
      </c>
      <c r="V55" s="196" t="str">
        <f t="shared" si="4"/>
        <v>G</v>
      </c>
      <c r="W55" s="196" t="s">
        <v>1168</v>
      </c>
      <c r="X55" s="196" t="str">
        <f t="shared" si="44"/>
        <v>Y</v>
      </c>
      <c r="Y55" s="197">
        <f t="shared" si="6"/>
        <v>3251205.96</v>
      </c>
      <c r="Z55" s="198"/>
      <c r="AA55" s="197">
        <f t="shared" si="7"/>
        <v>3251205.96</v>
      </c>
      <c r="AB55" s="196" t="s">
        <v>1168</v>
      </c>
      <c r="AC55" s="196"/>
      <c r="AD55" s="275">
        <v>1</v>
      </c>
      <c r="AE55" s="275">
        <v>0</v>
      </c>
      <c r="AF55" s="275">
        <v>0</v>
      </c>
      <c r="AG55" s="442"/>
      <c r="AH55" s="442"/>
      <c r="AI55" s="200">
        <f t="shared" si="8"/>
        <v>0</v>
      </c>
      <c r="AJ55" s="203"/>
      <c r="AK55" s="203"/>
      <c r="AL55" s="197">
        <f t="shared" si="9"/>
        <v>3251205.96</v>
      </c>
      <c r="AM55" s="197">
        <f t="shared" si="10"/>
        <v>0</v>
      </c>
      <c r="AN55" s="197">
        <f t="shared" si="11"/>
        <v>0</v>
      </c>
      <c r="AO55" s="202"/>
      <c r="AP55" s="161" t="s">
        <v>3900</v>
      </c>
      <c r="AQ55" s="279"/>
      <c r="AR55" s="287">
        <f t="shared" si="19"/>
        <v>0</v>
      </c>
      <c r="AS55" s="287">
        <f t="shared" si="20"/>
        <v>0</v>
      </c>
      <c r="AT55" s="287">
        <f t="shared" si="21"/>
        <v>0</v>
      </c>
      <c r="AU55" s="287">
        <f t="shared" si="22"/>
        <v>0</v>
      </c>
      <c r="AV55" s="287">
        <f t="shared" si="23"/>
        <v>0</v>
      </c>
      <c r="AW55" s="287">
        <f t="shared" si="24"/>
        <v>0</v>
      </c>
      <c r="AX55" s="287">
        <f t="shared" si="25"/>
        <v>0</v>
      </c>
      <c r="AY55" s="287">
        <f t="shared" si="26"/>
        <v>0</v>
      </c>
      <c r="AZ55" s="287">
        <f t="shared" si="27"/>
        <v>0</v>
      </c>
      <c r="BA55" s="287">
        <f t="shared" si="28"/>
        <v>0</v>
      </c>
      <c r="BB55" s="16"/>
      <c r="BC55" s="287">
        <f t="shared" si="29"/>
        <v>0</v>
      </c>
      <c r="BD55" s="287">
        <f t="shared" si="30"/>
        <v>0</v>
      </c>
      <c r="BE55" s="287">
        <f t="shared" si="31"/>
        <v>0</v>
      </c>
      <c r="BF55" s="287">
        <f t="shared" si="32"/>
        <v>0</v>
      </c>
      <c r="BG55" s="287">
        <f t="shared" si="33"/>
        <v>0</v>
      </c>
      <c r="BH55" s="287">
        <f t="shared" si="34"/>
        <v>0</v>
      </c>
      <c r="BI55" s="287">
        <f t="shared" si="35"/>
        <v>0</v>
      </c>
      <c r="BJ55" s="287">
        <f t="shared" si="36"/>
        <v>0</v>
      </c>
      <c r="BK55" s="287">
        <f t="shared" si="37"/>
        <v>0</v>
      </c>
      <c r="BL55" s="287">
        <f t="shared" si="38"/>
        <v>0</v>
      </c>
      <c r="BM55" s="16"/>
      <c r="BN55" s="287">
        <f t="shared" si="39"/>
        <v>0</v>
      </c>
      <c r="BO55" s="287">
        <f t="shared" si="40"/>
        <v>0</v>
      </c>
      <c r="BP55" s="430"/>
      <c r="BQ55" s="21"/>
      <c r="BR55" s="21"/>
      <c r="BS55" s="39"/>
      <c r="BT55" s="39"/>
      <c r="BU55" s="39"/>
      <c r="BV55" s="39"/>
      <c r="BW55" s="39"/>
      <c r="BX55" s="39"/>
      <c r="BY55" s="39"/>
      <c r="BZ55" s="39">
        <v>42</v>
      </c>
      <c r="CA55" s="39" t="str">
        <f t="shared" si="41"/>
        <v/>
      </c>
      <c r="CB55" s="39"/>
      <c r="CC55" s="39"/>
      <c r="CD55" s="39"/>
      <c r="CE55" s="39"/>
      <c r="CF55" s="39"/>
      <c r="CG55" s="39"/>
      <c r="CH55" s="39"/>
      <c r="CI55" s="39"/>
      <c r="CJ55" s="39"/>
      <c r="CK55" s="39"/>
    </row>
    <row r="56" spans="1:89" s="193" customFormat="1">
      <c r="A56" s="195"/>
      <c r="B56" s="21" t="str">
        <f t="shared" si="18"/>
        <v>N/A</v>
      </c>
      <c r="C56" s="21"/>
      <c r="D56" s="432">
        <v>2130104</v>
      </c>
      <c r="E56" s="439" t="s">
        <v>3626</v>
      </c>
      <c r="F56" s="439" t="s">
        <v>3665</v>
      </c>
      <c r="G56" s="273" t="s">
        <v>3315</v>
      </c>
      <c r="H56" s="358"/>
      <c r="I56" s="262" t="s">
        <v>3500</v>
      </c>
      <c r="J56" s="262" t="s">
        <v>3504</v>
      </c>
      <c r="K56" s="263">
        <v>2379569</v>
      </c>
      <c r="L56" s="263">
        <v>2188077</v>
      </c>
      <c r="M56" s="263">
        <v>2402409</v>
      </c>
      <c r="N56" s="263">
        <v>4551742</v>
      </c>
      <c r="O56" s="263">
        <v>3447409</v>
      </c>
      <c r="P56" s="263">
        <v>6967185</v>
      </c>
      <c r="Q56" s="263">
        <v>6655445</v>
      </c>
      <c r="R56" s="263">
        <v>6762553.9000000004</v>
      </c>
      <c r="S56" s="263">
        <v>6871804.9800000004</v>
      </c>
      <c r="T56" s="263">
        <v>6983241.0800000001</v>
      </c>
      <c r="U56" s="263">
        <f t="shared" si="43"/>
        <v>49209435.959999993</v>
      </c>
      <c r="V56" s="196" t="str">
        <f t="shared" si="4"/>
        <v>R</v>
      </c>
      <c r="W56" s="196" t="s">
        <v>1168</v>
      </c>
      <c r="X56" s="196" t="str">
        <f t="shared" si="44"/>
        <v>N</v>
      </c>
      <c r="Y56" s="197">
        <f t="shared" si="6"/>
        <v>49209435.959999993</v>
      </c>
      <c r="Z56" s="198"/>
      <c r="AA56" s="197">
        <f t="shared" si="7"/>
        <v>49209435.959999993</v>
      </c>
      <c r="AB56" s="196"/>
      <c r="AC56" s="196"/>
      <c r="AD56" s="275">
        <v>0</v>
      </c>
      <c r="AE56" s="275">
        <v>0</v>
      </c>
      <c r="AF56" s="275">
        <v>1</v>
      </c>
      <c r="AG56" s="199"/>
      <c r="AH56" s="199"/>
      <c r="AI56" s="377">
        <f t="shared" si="8"/>
        <v>0</v>
      </c>
      <c r="AJ56" s="203"/>
      <c r="AK56" s="203"/>
      <c r="AL56" s="197">
        <f t="shared" si="9"/>
        <v>49209435.959999993</v>
      </c>
      <c r="AM56" s="197">
        <f t="shared" si="10"/>
        <v>0</v>
      </c>
      <c r="AN56" s="197">
        <f t="shared" si="11"/>
        <v>0</v>
      </c>
      <c r="AO56" s="202"/>
      <c r="AP56" s="161" t="s">
        <v>3900</v>
      </c>
      <c r="AQ56" s="279"/>
      <c r="AR56" s="287">
        <f t="shared" si="19"/>
        <v>0</v>
      </c>
      <c r="AS56" s="287">
        <f t="shared" si="20"/>
        <v>0</v>
      </c>
      <c r="AT56" s="287">
        <f t="shared" si="21"/>
        <v>0</v>
      </c>
      <c r="AU56" s="287">
        <f t="shared" si="22"/>
        <v>0</v>
      </c>
      <c r="AV56" s="287">
        <f t="shared" si="23"/>
        <v>0</v>
      </c>
      <c r="AW56" s="287">
        <f t="shared" si="24"/>
        <v>0</v>
      </c>
      <c r="AX56" s="287">
        <f t="shared" si="25"/>
        <v>0</v>
      </c>
      <c r="AY56" s="287">
        <f t="shared" si="26"/>
        <v>0</v>
      </c>
      <c r="AZ56" s="287">
        <f t="shared" si="27"/>
        <v>0</v>
      </c>
      <c r="BA56" s="287">
        <f t="shared" si="28"/>
        <v>0</v>
      </c>
      <c r="BB56" s="16"/>
      <c r="BC56" s="287">
        <f t="shared" si="29"/>
        <v>0</v>
      </c>
      <c r="BD56" s="287">
        <f t="shared" si="30"/>
        <v>0</v>
      </c>
      <c r="BE56" s="287">
        <f t="shared" si="31"/>
        <v>0</v>
      </c>
      <c r="BF56" s="287">
        <f t="shared" si="32"/>
        <v>0</v>
      </c>
      <c r="BG56" s="287">
        <f t="shared" si="33"/>
        <v>0</v>
      </c>
      <c r="BH56" s="287">
        <f t="shared" si="34"/>
        <v>0</v>
      </c>
      <c r="BI56" s="287">
        <f t="shared" si="35"/>
        <v>0</v>
      </c>
      <c r="BJ56" s="287">
        <f t="shared" si="36"/>
        <v>0</v>
      </c>
      <c r="BK56" s="287">
        <f t="shared" si="37"/>
        <v>0</v>
      </c>
      <c r="BL56" s="287">
        <f t="shared" si="38"/>
        <v>0</v>
      </c>
      <c r="BM56" s="16"/>
      <c r="BN56" s="287">
        <f t="shared" si="39"/>
        <v>0</v>
      </c>
      <c r="BO56" s="287">
        <f t="shared" si="40"/>
        <v>0</v>
      </c>
      <c r="BP56" s="430"/>
      <c r="BQ56" s="21"/>
      <c r="BR56" s="21"/>
      <c r="BS56" s="39"/>
      <c r="BT56" s="39"/>
      <c r="BU56" s="334">
        <v>1124800</v>
      </c>
      <c r="BV56" s="334">
        <v>0</v>
      </c>
      <c r="BW56" s="39"/>
      <c r="BX56" s="39"/>
      <c r="BY56" s="39"/>
      <c r="BZ56" s="39">
        <v>43</v>
      </c>
      <c r="CA56" s="39" t="str">
        <f t="shared" si="41"/>
        <v/>
      </c>
      <c r="CB56" s="39"/>
      <c r="CC56" s="39"/>
      <c r="CD56" s="39"/>
      <c r="CE56" s="39"/>
      <c r="CF56" s="39"/>
      <c r="CG56" s="39"/>
      <c r="CH56" s="39"/>
      <c r="CI56" s="39"/>
      <c r="CJ56" s="39"/>
      <c r="CK56" s="39"/>
    </row>
    <row r="57" spans="1:89" s="193" customFormat="1">
      <c r="A57" s="195"/>
      <c r="B57" s="21" t="str">
        <f t="shared" si="18"/>
        <v>N/A</v>
      </c>
      <c r="C57" s="21"/>
      <c r="D57" s="432">
        <v>2140139</v>
      </c>
      <c r="E57" s="439" t="s">
        <v>3626</v>
      </c>
      <c r="F57" s="439" t="s">
        <v>3669</v>
      </c>
      <c r="G57" s="273" t="s">
        <v>3410</v>
      </c>
      <c r="H57" s="358"/>
      <c r="I57" s="262" t="s">
        <v>3492</v>
      </c>
      <c r="J57" s="262" t="s">
        <v>3517</v>
      </c>
      <c r="K57" s="263">
        <v>350000</v>
      </c>
      <c r="L57" s="263">
        <v>500000</v>
      </c>
      <c r="M57" s="263">
        <v>18000000</v>
      </c>
      <c r="N57" s="263">
        <v>1000000</v>
      </c>
      <c r="O57" s="263">
        <v>1000000</v>
      </c>
      <c r="P57" s="263">
        <v>3000000</v>
      </c>
      <c r="Q57" s="263">
        <v>15000000</v>
      </c>
      <c r="R57" s="263">
        <v>25000000</v>
      </c>
      <c r="S57" s="263">
        <v>35150000</v>
      </c>
      <c r="T57" s="263">
        <v>5000000</v>
      </c>
      <c r="U57" s="263">
        <f t="shared" si="43"/>
        <v>104000000</v>
      </c>
      <c r="V57" s="196" t="str">
        <f t="shared" si="4"/>
        <v>G/LOS</v>
      </c>
      <c r="W57" s="196" t="s">
        <v>1168</v>
      </c>
      <c r="X57" s="196" t="str">
        <f t="shared" si="44"/>
        <v>Y</v>
      </c>
      <c r="Y57" s="197">
        <f t="shared" si="6"/>
        <v>104000000</v>
      </c>
      <c r="Z57" s="198"/>
      <c r="AA57" s="197">
        <f t="shared" si="7"/>
        <v>104000000</v>
      </c>
      <c r="AB57" s="196" t="s">
        <v>1168</v>
      </c>
      <c r="AC57" s="196"/>
      <c r="AD57" s="275">
        <v>0.92366901427112857</v>
      </c>
      <c r="AE57" s="275">
        <v>7.6330985728871453E-2</v>
      </c>
      <c r="AF57" s="275">
        <v>0</v>
      </c>
      <c r="AG57" s="199"/>
      <c r="AH57" s="199"/>
      <c r="AI57" s="377">
        <f t="shared" si="8"/>
        <v>0</v>
      </c>
      <c r="AJ57" s="203"/>
      <c r="AK57" s="203"/>
      <c r="AL57" s="197">
        <f t="shared" si="9"/>
        <v>104000000</v>
      </c>
      <c r="AM57" s="197">
        <f t="shared" si="10"/>
        <v>0</v>
      </c>
      <c r="AN57" s="197">
        <f t="shared" si="11"/>
        <v>0</v>
      </c>
      <c r="AO57" s="202"/>
      <c r="AP57" s="161" t="s">
        <v>3900</v>
      </c>
      <c r="AQ57" s="279"/>
      <c r="AR57" s="287">
        <f t="shared" si="19"/>
        <v>0</v>
      </c>
      <c r="AS57" s="287">
        <f t="shared" si="20"/>
        <v>0</v>
      </c>
      <c r="AT57" s="287">
        <f t="shared" si="21"/>
        <v>0</v>
      </c>
      <c r="AU57" s="287">
        <f t="shared" si="22"/>
        <v>0</v>
      </c>
      <c r="AV57" s="287">
        <f t="shared" si="23"/>
        <v>0</v>
      </c>
      <c r="AW57" s="287">
        <f t="shared" si="24"/>
        <v>0</v>
      </c>
      <c r="AX57" s="287">
        <f t="shared" si="25"/>
        <v>0</v>
      </c>
      <c r="AY57" s="287">
        <f t="shared" si="26"/>
        <v>0</v>
      </c>
      <c r="AZ57" s="287">
        <f t="shared" si="27"/>
        <v>0</v>
      </c>
      <c r="BA57" s="287">
        <f t="shared" si="28"/>
        <v>0</v>
      </c>
      <c r="BB57" s="16"/>
      <c r="BC57" s="287">
        <f t="shared" si="29"/>
        <v>0</v>
      </c>
      <c r="BD57" s="287">
        <f t="shared" si="30"/>
        <v>0</v>
      </c>
      <c r="BE57" s="287">
        <f t="shared" si="31"/>
        <v>0</v>
      </c>
      <c r="BF57" s="287">
        <f t="shared" si="32"/>
        <v>0</v>
      </c>
      <c r="BG57" s="287">
        <f t="shared" si="33"/>
        <v>0</v>
      </c>
      <c r="BH57" s="287">
        <f t="shared" si="34"/>
        <v>0</v>
      </c>
      <c r="BI57" s="287">
        <f t="shared" si="35"/>
        <v>0</v>
      </c>
      <c r="BJ57" s="287">
        <f t="shared" si="36"/>
        <v>0</v>
      </c>
      <c r="BK57" s="287">
        <f t="shared" si="37"/>
        <v>0</v>
      </c>
      <c r="BL57" s="287">
        <f t="shared" si="38"/>
        <v>0</v>
      </c>
      <c r="BM57" s="16"/>
      <c r="BN57" s="287">
        <f t="shared" si="39"/>
        <v>0</v>
      </c>
      <c r="BO57" s="287">
        <f t="shared" si="40"/>
        <v>0</v>
      </c>
      <c r="BP57" s="430"/>
      <c r="BQ57" s="21"/>
      <c r="BR57" s="21"/>
      <c r="BS57" s="39"/>
      <c r="BT57" s="39"/>
      <c r="BU57" s="334">
        <v>11766600</v>
      </c>
      <c r="BV57" s="334">
        <v>0</v>
      </c>
      <c r="BW57" s="39"/>
      <c r="BX57" s="39"/>
      <c r="BY57" s="39"/>
      <c r="BZ57" s="39">
        <v>44</v>
      </c>
      <c r="CA57" s="39" t="str">
        <f t="shared" si="41"/>
        <v/>
      </c>
      <c r="CB57" s="39"/>
      <c r="CC57" s="39"/>
      <c r="CD57" s="39"/>
      <c r="CE57" s="39"/>
      <c r="CF57" s="39"/>
      <c r="CG57" s="39"/>
      <c r="CH57" s="39"/>
      <c r="CI57" s="39"/>
      <c r="CJ57" s="39"/>
      <c r="CK57" s="39"/>
    </row>
    <row r="58" spans="1:89" s="193" customFormat="1">
      <c r="A58" s="195"/>
      <c r="B58" s="21" t="str">
        <f t="shared" si="18"/>
        <v>N/A</v>
      </c>
      <c r="C58" s="21"/>
      <c r="D58" s="432">
        <v>2150001</v>
      </c>
      <c r="E58" s="439" t="s">
        <v>3626</v>
      </c>
      <c r="F58" s="439" t="s">
        <v>2499</v>
      </c>
      <c r="G58" s="273" t="s">
        <v>3565</v>
      </c>
      <c r="H58" s="358"/>
      <c r="I58" s="262" t="s">
        <v>3530</v>
      </c>
      <c r="J58" s="262" t="s">
        <v>3504</v>
      </c>
      <c r="K58" s="263">
        <v>41175999.960000001</v>
      </c>
      <c r="L58" s="263">
        <v>18666360</v>
      </c>
      <c r="M58" s="263">
        <v>15711280</v>
      </c>
      <c r="N58" s="263">
        <v>15581000</v>
      </c>
      <c r="O58" s="263">
        <v>11550000</v>
      </c>
      <c r="P58" s="263">
        <v>17005000</v>
      </c>
      <c r="Q58" s="263">
        <v>11203000</v>
      </c>
      <c r="R58" s="263">
        <v>11546000</v>
      </c>
      <c r="S58" s="263">
        <v>3512000</v>
      </c>
      <c r="T58" s="263">
        <v>6396000</v>
      </c>
      <c r="U58" s="263">
        <f t="shared" si="43"/>
        <v>152346639.96000001</v>
      </c>
      <c r="V58" s="196" t="str">
        <f t="shared" si="4"/>
        <v>R</v>
      </c>
      <c r="W58" s="196" t="s">
        <v>1168</v>
      </c>
      <c r="X58" s="196" t="str">
        <f t="shared" si="44"/>
        <v>N</v>
      </c>
      <c r="Y58" s="197">
        <f t="shared" si="6"/>
        <v>152346639.96000001</v>
      </c>
      <c r="Z58" s="198"/>
      <c r="AA58" s="197">
        <f t="shared" si="7"/>
        <v>152346639.96000001</v>
      </c>
      <c r="AB58" s="196"/>
      <c r="AC58" s="196"/>
      <c r="AD58" s="275">
        <v>0</v>
      </c>
      <c r="AE58" s="275">
        <v>0</v>
      </c>
      <c r="AF58" s="275">
        <v>1</v>
      </c>
      <c r="AG58" s="199"/>
      <c r="AH58" s="199"/>
      <c r="AI58" s="200">
        <f t="shared" si="8"/>
        <v>0</v>
      </c>
      <c r="AJ58" s="203"/>
      <c r="AK58" s="203"/>
      <c r="AL58" s="197">
        <f t="shared" si="9"/>
        <v>152346639.96000001</v>
      </c>
      <c r="AM58" s="197">
        <f t="shared" si="10"/>
        <v>0</v>
      </c>
      <c r="AN58" s="197">
        <f t="shared" si="11"/>
        <v>0</v>
      </c>
      <c r="AO58" s="202"/>
      <c r="AP58" s="161" t="s">
        <v>3900</v>
      </c>
      <c r="AQ58" s="279"/>
      <c r="AR58" s="287">
        <f t="shared" si="19"/>
        <v>0</v>
      </c>
      <c r="AS58" s="287">
        <f t="shared" si="20"/>
        <v>0</v>
      </c>
      <c r="AT58" s="287">
        <f t="shared" si="21"/>
        <v>0</v>
      </c>
      <c r="AU58" s="287">
        <f t="shared" si="22"/>
        <v>0</v>
      </c>
      <c r="AV58" s="287">
        <f t="shared" si="23"/>
        <v>0</v>
      </c>
      <c r="AW58" s="287">
        <f t="shared" si="24"/>
        <v>0</v>
      </c>
      <c r="AX58" s="287">
        <f t="shared" si="25"/>
        <v>0</v>
      </c>
      <c r="AY58" s="287">
        <f t="shared" si="26"/>
        <v>0</v>
      </c>
      <c r="AZ58" s="287">
        <f t="shared" si="27"/>
        <v>0</v>
      </c>
      <c r="BA58" s="287">
        <f t="shared" si="28"/>
        <v>0</v>
      </c>
      <c r="BB58" s="16"/>
      <c r="BC58" s="287">
        <f t="shared" si="29"/>
        <v>0</v>
      </c>
      <c r="BD58" s="287">
        <f t="shared" si="30"/>
        <v>0</v>
      </c>
      <c r="BE58" s="287">
        <f t="shared" si="31"/>
        <v>0</v>
      </c>
      <c r="BF58" s="287">
        <f t="shared" si="32"/>
        <v>0</v>
      </c>
      <c r="BG58" s="287">
        <f t="shared" si="33"/>
        <v>0</v>
      </c>
      <c r="BH58" s="287">
        <f t="shared" si="34"/>
        <v>0</v>
      </c>
      <c r="BI58" s="287">
        <f t="shared" si="35"/>
        <v>0</v>
      </c>
      <c r="BJ58" s="287">
        <f t="shared" si="36"/>
        <v>0</v>
      </c>
      <c r="BK58" s="287">
        <f t="shared" si="37"/>
        <v>0</v>
      </c>
      <c r="BL58" s="287">
        <f t="shared" si="38"/>
        <v>0</v>
      </c>
      <c r="BM58" s="16"/>
      <c r="BN58" s="287">
        <f t="shared" si="39"/>
        <v>0</v>
      </c>
      <c r="BO58" s="287">
        <f t="shared" si="40"/>
        <v>0</v>
      </c>
      <c r="BP58" s="430"/>
      <c r="BQ58" s="21"/>
      <c r="BR58" s="21"/>
      <c r="BS58" s="39"/>
      <c r="BT58" s="39"/>
      <c r="BU58" s="39"/>
      <c r="BV58" s="39"/>
      <c r="BW58" s="39"/>
      <c r="BX58" s="39"/>
      <c r="BY58" s="39"/>
      <c r="BZ58" s="39">
        <v>45</v>
      </c>
      <c r="CA58" s="39" t="str">
        <f t="shared" si="41"/>
        <v/>
      </c>
      <c r="CB58" s="39"/>
      <c r="CC58" s="39"/>
      <c r="CD58" s="39"/>
      <c r="CE58" s="39"/>
      <c r="CF58" s="39"/>
      <c r="CG58" s="39"/>
      <c r="CH58" s="39"/>
      <c r="CI58" s="39"/>
      <c r="CJ58" s="39"/>
      <c r="CK58" s="39"/>
    </row>
    <row r="59" spans="1:89" s="193" customFormat="1">
      <c r="A59" s="195"/>
      <c r="B59" s="21" t="str">
        <f t="shared" si="18"/>
        <v>N/A</v>
      </c>
      <c r="C59" s="21"/>
      <c r="D59" s="432">
        <v>2210204</v>
      </c>
      <c r="E59" s="439" t="s">
        <v>3626</v>
      </c>
      <c r="F59" s="439" t="s">
        <v>3670</v>
      </c>
      <c r="G59" s="273" t="s">
        <v>3286</v>
      </c>
      <c r="H59" s="358"/>
      <c r="I59" s="262" t="s">
        <v>3491</v>
      </c>
      <c r="J59" s="262" t="s">
        <v>3523</v>
      </c>
      <c r="K59" s="263">
        <v>7406622</v>
      </c>
      <c r="L59" s="263">
        <v>0</v>
      </c>
      <c r="M59" s="263">
        <v>0</v>
      </c>
      <c r="N59" s="263">
        <v>0</v>
      </c>
      <c r="O59" s="263">
        <v>0</v>
      </c>
      <c r="P59" s="263">
        <v>0</v>
      </c>
      <c r="Q59" s="263">
        <v>0</v>
      </c>
      <c r="R59" s="263">
        <v>0</v>
      </c>
      <c r="S59" s="263">
        <v>0</v>
      </c>
      <c r="T59" s="263">
        <v>0</v>
      </c>
      <c r="U59" s="263">
        <f t="shared" si="43"/>
        <v>7406622</v>
      </c>
      <c r="V59" s="196" t="str">
        <f t="shared" si="4"/>
        <v>R</v>
      </c>
      <c r="W59" s="196" t="s">
        <v>1168</v>
      </c>
      <c r="X59" s="196" t="str">
        <f t="shared" si="44"/>
        <v>N</v>
      </c>
      <c r="Y59" s="197">
        <f t="shared" si="6"/>
        <v>7406622</v>
      </c>
      <c r="Z59" s="198"/>
      <c r="AA59" s="197">
        <f t="shared" si="7"/>
        <v>7406622</v>
      </c>
      <c r="AB59" s="196"/>
      <c r="AC59" s="196"/>
      <c r="AD59" s="275">
        <v>0</v>
      </c>
      <c r="AE59" s="275">
        <v>0</v>
      </c>
      <c r="AF59" s="275">
        <v>1</v>
      </c>
      <c r="AG59" s="442"/>
      <c r="AH59" s="442"/>
      <c r="AI59" s="200">
        <f t="shared" si="8"/>
        <v>0</v>
      </c>
      <c r="AJ59" s="203"/>
      <c r="AK59" s="203"/>
      <c r="AL59" s="197">
        <f t="shared" si="9"/>
        <v>7406622</v>
      </c>
      <c r="AM59" s="197">
        <f t="shared" si="10"/>
        <v>0</v>
      </c>
      <c r="AN59" s="197">
        <f t="shared" si="11"/>
        <v>0</v>
      </c>
      <c r="AO59" s="202"/>
      <c r="AP59" s="161" t="s">
        <v>3900</v>
      </c>
      <c r="AQ59" s="279"/>
      <c r="AR59" s="287">
        <f t="shared" si="19"/>
        <v>0</v>
      </c>
      <c r="AS59" s="287">
        <f t="shared" si="20"/>
        <v>0</v>
      </c>
      <c r="AT59" s="287">
        <f t="shared" si="21"/>
        <v>0</v>
      </c>
      <c r="AU59" s="287">
        <f t="shared" si="22"/>
        <v>0</v>
      </c>
      <c r="AV59" s="287">
        <f t="shared" si="23"/>
        <v>0</v>
      </c>
      <c r="AW59" s="287">
        <f t="shared" si="24"/>
        <v>0</v>
      </c>
      <c r="AX59" s="287">
        <f t="shared" si="25"/>
        <v>0</v>
      </c>
      <c r="AY59" s="287">
        <f t="shared" si="26"/>
        <v>0</v>
      </c>
      <c r="AZ59" s="287">
        <f t="shared" si="27"/>
        <v>0</v>
      </c>
      <c r="BA59" s="287">
        <f t="shared" si="28"/>
        <v>0</v>
      </c>
      <c r="BB59" s="16"/>
      <c r="BC59" s="287">
        <f t="shared" si="29"/>
        <v>0</v>
      </c>
      <c r="BD59" s="287">
        <f t="shared" si="30"/>
        <v>0</v>
      </c>
      <c r="BE59" s="287">
        <f t="shared" si="31"/>
        <v>0</v>
      </c>
      <c r="BF59" s="287">
        <f t="shared" si="32"/>
        <v>0</v>
      </c>
      <c r="BG59" s="287">
        <f t="shared" si="33"/>
        <v>0</v>
      </c>
      <c r="BH59" s="287">
        <f t="shared" si="34"/>
        <v>0</v>
      </c>
      <c r="BI59" s="287">
        <f t="shared" si="35"/>
        <v>0</v>
      </c>
      <c r="BJ59" s="287">
        <f t="shared" si="36"/>
        <v>0</v>
      </c>
      <c r="BK59" s="287">
        <f t="shared" si="37"/>
        <v>0</v>
      </c>
      <c r="BL59" s="287">
        <f t="shared" si="38"/>
        <v>0</v>
      </c>
      <c r="BM59" s="16"/>
      <c r="BN59" s="287">
        <f t="shared" si="39"/>
        <v>0</v>
      </c>
      <c r="BO59" s="287">
        <f t="shared" si="40"/>
        <v>0</v>
      </c>
      <c r="BP59" s="430"/>
      <c r="BQ59" s="21"/>
      <c r="BR59" s="21"/>
      <c r="BS59" s="39"/>
      <c r="BT59" s="39"/>
      <c r="BU59" s="39"/>
      <c r="BV59" s="39"/>
      <c r="BW59" s="39"/>
      <c r="BX59" s="39"/>
      <c r="BY59" s="39"/>
      <c r="BZ59" s="39">
        <v>46</v>
      </c>
      <c r="CA59" s="39" t="str">
        <f t="shared" si="41"/>
        <v/>
      </c>
      <c r="CB59" s="39"/>
      <c r="CC59" s="39"/>
      <c r="CD59" s="39"/>
      <c r="CE59" s="39"/>
      <c r="CF59" s="39"/>
      <c r="CG59" s="39"/>
      <c r="CH59" s="39"/>
      <c r="CI59" s="39"/>
      <c r="CJ59" s="39"/>
      <c r="CK59" s="39"/>
    </row>
    <row r="60" spans="1:89" s="193" customFormat="1">
      <c r="A60" s="195"/>
      <c r="B60" s="21" t="str">
        <f t="shared" si="18"/>
        <v>N/A</v>
      </c>
      <c r="C60" s="21"/>
      <c r="D60" s="432">
        <v>2210204</v>
      </c>
      <c r="E60" s="439" t="s">
        <v>3626</v>
      </c>
      <c r="F60" s="439" t="s">
        <v>3671</v>
      </c>
      <c r="G60" s="273" t="s">
        <v>3285</v>
      </c>
      <c r="H60" s="358"/>
      <c r="I60" s="262" t="s">
        <v>3492</v>
      </c>
      <c r="J60" s="262" t="s">
        <v>3504</v>
      </c>
      <c r="K60" s="263">
        <v>0</v>
      </c>
      <c r="L60" s="263">
        <v>0</v>
      </c>
      <c r="M60" s="263">
        <v>0</v>
      </c>
      <c r="N60" s="263">
        <v>0</v>
      </c>
      <c r="O60" s="263">
        <v>0</v>
      </c>
      <c r="P60" s="263">
        <v>17100000</v>
      </c>
      <c r="Q60" s="263">
        <v>20807866</v>
      </c>
      <c r="R60" s="263">
        <v>20709075</v>
      </c>
      <c r="S60" s="263">
        <v>18125936</v>
      </c>
      <c r="T60" s="263">
        <v>19000000</v>
      </c>
      <c r="U60" s="263">
        <f t="shared" si="43"/>
        <v>95742877</v>
      </c>
      <c r="V60" s="196" t="str">
        <f t="shared" si="4"/>
        <v>R</v>
      </c>
      <c r="W60" s="196" t="s">
        <v>1168</v>
      </c>
      <c r="X60" s="196" t="str">
        <f t="shared" si="44"/>
        <v>N</v>
      </c>
      <c r="Y60" s="197">
        <f t="shared" si="6"/>
        <v>95742877</v>
      </c>
      <c r="Z60" s="198"/>
      <c r="AA60" s="197">
        <f t="shared" si="7"/>
        <v>95742877</v>
      </c>
      <c r="AB60" s="196"/>
      <c r="AC60" s="196"/>
      <c r="AD60" s="275">
        <v>0</v>
      </c>
      <c r="AE60" s="275">
        <v>0</v>
      </c>
      <c r="AF60" s="275">
        <v>1</v>
      </c>
      <c r="AG60" s="199"/>
      <c r="AH60" s="199"/>
      <c r="AI60" s="377">
        <f t="shared" si="8"/>
        <v>0</v>
      </c>
      <c r="AJ60" s="203"/>
      <c r="AK60" s="203"/>
      <c r="AL60" s="197">
        <f t="shared" si="9"/>
        <v>95742877</v>
      </c>
      <c r="AM60" s="197">
        <f t="shared" si="10"/>
        <v>0</v>
      </c>
      <c r="AN60" s="197">
        <f t="shared" si="11"/>
        <v>0</v>
      </c>
      <c r="AO60" s="202"/>
      <c r="AP60" s="161" t="s">
        <v>3900</v>
      </c>
      <c r="AQ60" s="279"/>
      <c r="AR60" s="287">
        <f t="shared" si="19"/>
        <v>0</v>
      </c>
      <c r="AS60" s="287">
        <f t="shared" si="20"/>
        <v>0</v>
      </c>
      <c r="AT60" s="287">
        <f t="shared" si="21"/>
        <v>0</v>
      </c>
      <c r="AU60" s="287">
        <f t="shared" si="22"/>
        <v>0</v>
      </c>
      <c r="AV60" s="287">
        <f t="shared" si="23"/>
        <v>0</v>
      </c>
      <c r="AW60" s="287">
        <f t="shared" si="24"/>
        <v>0</v>
      </c>
      <c r="AX60" s="287">
        <f t="shared" si="25"/>
        <v>0</v>
      </c>
      <c r="AY60" s="287">
        <f t="shared" si="26"/>
        <v>0</v>
      </c>
      <c r="AZ60" s="287">
        <f t="shared" si="27"/>
        <v>0</v>
      </c>
      <c r="BA60" s="287">
        <f t="shared" si="28"/>
        <v>0</v>
      </c>
      <c r="BB60" s="16"/>
      <c r="BC60" s="287">
        <f t="shared" si="29"/>
        <v>0</v>
      </c>
      <c r="BD60" s="287">
        <f t="shared" si="30"/>
        <v>0</v>
      </c>
      <c r="BE60" s="287">
        <f t="shared" si="31"/>
        <v>0</v>
      </c>
      <c r="BF60" s="287">
        <f t="shared" si="32"/>
        <v>0</v>
      </c>
      <c r="BG60" s="287">
        <f t="shared" si="33"/>
        <v>0</v>
      </c>
      <c r="BH60" s="287">
        <f t="shared" si="34"/>
        <v>0</v>
      </c>
      <c r="BI60" s="287">
        <f t="shared" si="35"/>
        <v>0</v>
      </c>
      <c r="BJ60" s="287">
        <f t="shared" si="36"/>
        <v>0</v>
      </c>
      <c r="BK60" s="287">
        <f t="shared" si="37"/>
        <v>0</v>
      </c>
      <c r="BL60" s="287">
        <f t="shared" si="38"/>
        <v>0</v>
      </c>
      <c r="BM60" s="16"/>
      <c r="BN60" s="287">
        <f t="shared" si="39"/>
        <v>0</v>
      </c>
      <c r="BO60" s="287">
        <f t="shared" si="40"/>
        <v>0</v>
      </c>
      <c r="BP60" s="430"/>
      <c r="BQ60" s="21"/>
      <c r="BR60" s="21"/>
      <c r="BS60" s="39"/>
      <c r="BT60" s="39"/>
      <c r="BU60" s="334">
        <v>2490500</v>
      </c>
      <c r="BV60" s="334">
        <v>0</v>
      </c>
      <c r="BW60" s="39"/>
      <c r="BX60" s="39"/>
      <c r="BY60" s="39"/>
      <c r="BZ60" s="39">
        <v>47</v>
      </c>
      <c r="CA60" s="39" t="str">
        <f t="shared" si="41"/>
        <v/>
      </c>
      <c r="CB60" s="39"/>
      <c r="CC60" s="39"/>
      <c r="CD60" s="39"/>
      <c r="CE60" s="39"/>
      <c r="CF60" s="39"/>
      <c r="CG60" s="39"/>
      <c r="CH60" s="39"/>
      <c r="CI60" s="39"/>
      <c r="CJ60" s="39"/>
      <c r="CK60" s="39"/>
    </row>
    <row r="61" spans="1:89" s="281" customFormat="1">
      <c r="A61" s="195"/>
      <c r="B61" s="21" t="str">
        <f t="shared" si="18"/>
        <v>N/A</v>
      </c>
      <c r="C61" s="21"/>
      <c r="D61" s="432">
        <v>2210204</v>
      </c>
      <c r="E61" s="439" t="s">
        <v>3626</v>
      </c>
      <c r="F61" s="439" t="s">
        <v>3672</v>
      </c>
      <c r="G61" s="273" t="s">
        <v>3287</v>
      </c>
      <c r="H61" s="358"/>
      <c r="I61" s="262" t="s">
        <v>3491</v>
      </c>
      <c r="J61" s="262" t="s">
        <v>3519</v>
      </c>
      <c r="K61" s="263">
        <v>0</v>
      </c>
      <c r="L61" s="263">
        <v>950001</v>
      </c>
      <c r="M61" s="263">
        <v>950000</v>
      </c>
      <c r="N61" s="263">
        <v>950000</v>
      </c>
      <c r="O61" s="263">
        <v>950000</v>
      </c>
      <c r="P61" s="263">
        <v>416879</v>
      </c>
      <c r="Q61" s="263">
        <v>0</v>
      </c>
      <c r="R61" s="263">
        <v>0</v>
      </c>
      <c r="S61" s="263">
        <v>0</v>
      </c>
      <c r="T61" s="263">
        <v>0</v>
      </c>
      <c r="U61" s="263">
        <f t="shared" si="43"/>
        <v>4216880</v>
      </c>
      <c r="V61" s="196" t="str">
        <f t="shared" si="4"/>
        <v>R</v>
      </c>
      <c r="W61" s="196" t="s">
        <v>1168</v>
      </c>
      <c r="X61" s="196" t="str">
        <f t="shared" si="44"/>
        <v>N</v>
      </c>
      <c r="Y61" s="197">
        <f t="shared" si="6"/>
        <v>4216880</v>
      </c>
      <c r="Z61" s="198"/>
      <c r="AA61" s="197">
        <f t="shared" si="7"/>
        <v>4216880</v>
      </c>
      <c r="AB61" s="443"/>
      <c r="AC61" s="196"/>
      <c r="AD61" s="275">
        <v>0</v>
      </c>
      <c r="AE61" s="275">
        <v>0</v>
      </c>
      <c r="AF61" s="275">
        <v>1</v>
      </c>
      <c r="AG61" s="442"/>
      <c r="AH61" s="442"/>
      <c r="AI61" s="200">
        <f t="shared" si="8"/>
        <v>0</v>
      </c>
      <c r="AJ61" s="203"/>
      <c r="AK61" s="203"/>
      <c r="AL61" s="197">
        <f t="shared" si="9"/>
        <v>4216880</v>
      </c>
      <c r="AM61" s="197">
        <f t="shared" si="10"/>
        <v>0</v>
      </c>
      <c r="AN61" s="197">
        <f t="shared" si="11"/>
        <v>0</v>
      </c>
      <c r="AO61" s="202"/>
      <c r="AP61" s="161" t="s">
        <v>3900</v>
      </c>
      <c r="AQ61" s="279"/>
      <c r="AR61" s="287">
        <f t="shared" si="19"/>
        <v>0</v>
      </c>
      <c r="AS61" s="287">
        <f t="shared" si="20"/>
        <v>0</v>
      </c>
      <c r="AT61" s="287">
        <f t="shared" si="21"/>
        <v>0</v>
      </c>
      <c r="AU61" s="287">
        <f t="shared" si="22"/>
        <v>0</v>
      </c>
      <c r="AV61" s="287">
        <f t="shared" si="23"/>
        <v>0</v>
      </c>
      <c r="AW61" s="287">
        <f t="shared" si="24"/>
        <v>0</v>
      </c>
      <c r="AX61" s="287">
        <f t="shared" si="25"/>
        <v>0</v>
      </c>
      <c r="AY61" s="287">
        <f t="shared" si="26"/>
        <v>0</v>
      </c>
      <c r="AZ61" s="287">
        <f t="shared" si="27"/>
        <v>0</v>
      </c>
      <c r="BA61" s="287">
        <f t="shared" si="28"/>
        <v>0</v>
      </c>
      <c r="BB61" s="16"/>
      <c r="BC61" s="287">
        <f t="shared" si="29"/>
        <v>0</v>
      </c>
      <c r="BD61" s="287">
        <f t="shared" si="30"/>
        <v>0</v>
      </c>
      <c r="BE61" s="287">
        <f t="shared" si="31"/>
        <v>0</v>
      </c>
      <c r="BF61" s="287">
        <f t="shared" si="32"/>
        <v>0</v>
      </c>
      <c r="BG61" s="287">
        <f t="shared" si="33"/>
        <v>0</v>
      </c>
      <c r="BH61" s="287">
        <f t="shared" si="34"/>
        <v>0</v>
      </c>
      <c r="BI61" s="287">
        <f t="shared" si="35"/>
        <v>0</v>
      </c>
      <c r="BJ61" s="287">
        <f t="shared" si="36"/>
        <v>0</v>
      </c>
      <c r="BK61" s="287">
        <f t="shared" si="37"/>
        <v>0</v>
      </c>
      <c r="BL61" s="287">
        <f t="shared" si="38"/>
        <v>0</v>
      </c>
      <c r="BM61" s="16"/>
      <c r="BN61" s="287">
        <f t="shared" si="39"/>
        <v>0</v>
      </c>
      <c r="BO61" s="287">
        <f t="shared" si="40"/>
        <v>0</v>
      </c>
      <c r="BP61" s="430"/>
      <c r="BQ61" s="21"/>
      <c r="BR61" s="21"/>
      <c r="BS61" s="39"/>
      <c r="BT61" s="39"/>
      <c r="BU61" s="39"/>
      <c r="BV61" s="39"/>
      <c r="BW61" s="39"/>
      <c r="BX61" s="39"/>
      <c r="BY61" s="39"/>
      <c r="BZ61" s="39">
        <v>48</v>
      </c>
      <c r="CA61" s="39" t="str">
        <f t="shared" si="41"/>
        <v/>
      </c>
      <c r="CB61" s="39"/>
      <c r="CC61" s="39"/>
      <c r="CD61" s="39"/>
      <c r="CE61" s="39"/>
      <c r="CF61" s="39"/>
      <c r="CG61" s="39"/>
      <c r="CH61" s="39"/>
      <c r="CI61" s="39"/>
      <c r="CJ61" s="39"/>
      <c r="CK61" s="39"/>
    </row>
    <row r="62" spans="1:89" s="281" customFormat="1">
      <c r="A62" s="195"/>
      <c r="B62" s="21" t="str">
        <f t="shared" si="18"/>
        <v>N/A</v>
      </c>
      <c r="C62" s="21"/>
      <c r="D62" s="432">
        <v>2310001</v>
      </c>
      <c r="E62" s="439" t="s">
        <v>3626</v>
      </c>
      <c r="F62" s="439" t="s">
        <v>3673</v>
      </c>
      <c r="G62" s="273" t="s">
        <v>3395</v>
      </c>
      <c r="H62" s="358"/>
      <c r="I62" s="262" t="s">
        <v>3499</v>
      </c>
      <c r="J62" s="262" t="s">
        <v>3504</v>
      </c>
      <c r="K62" s="263">
        <v>62309</v>
      </c>
      <c r="L62" s="263">
        <v>64880</v>
      </c>
      <c r="M62" s="263">
        <v>66892</v>
      </c>
      <c r="N62" s="263">
        <v>69032</v>
      </c>
      <c r="O62" s="263">
        <v>71242</v>
      </c>
      <c r="P62" s="263">
        <v>73521</v>
      </c>
      <c r="Q62" s="263">
        <v>75873</v>
      </c>
      <c r="R62" s="263">
        <v>78248.14</v>
      </c>
      <c r="S62" s="263">
        <v>80697.62</v>
      </c>
      <c r="T62" s="263">
        <v>83223.789999999994</v>
      </c>
      <c r="U62" s="263">
        <f t="shared" si="43"/>
        <v>725918.55</v>
      </c>
      <c r="V62" s="196" t="str">
        <f t="shared" si="4"/>
        <v>R</v>
      </c>
      <c r="W62" s="196" t="s">
        <v>1168</v>
      </c>
      <c r="X62" s="196" t="str">
        <f t="shared" si="44"/>
        <v>N</v>
      </c>
      <c r="Y62" s="197">
        <f t="shared" si="6"/>
        <v>725918.55</v>
      </c>
      <c r="Z62" s="198"/>
      <c r="AA62" s="197">
        <f t="shared" si="7"/>
        <v>725918.55</v>
      </c>
      <c r="AB62" s="196"/>
      <c r="AC62" s="196"/>
      <c r="AD62" s="275">
        <v>0</v>
      </c>
      <c r="AE62" s="275">
        <v>0</v>
      </c>
      <c r="AF62" s="275">
        <v>1</v>
      </c>
      <c r="AG62" s="442"/>
      <c r="AH62" s="442"/>
      <c r="AI62" s="200">
        <f t="shared" si="8"/>
        <v>0</v>
      </c>
      <c r="AJ62" s="203"/>
      <c r="AK62" s="203"/>
      <c r="AL62" s="197">
        <f t="shared" si="9"/>
        <v>725918.55</v>
      </c>
      <c r="AM62" s="197">
        <f t="shared" si="10"/>
        <v>0</v>
      </c>
      <c r="AN62" s="197">
        <f t="shared" si="11"/>
        <v>0</v>
      </c>
      <c r="AO62" s="202"/>
      <c r="AP62" s="161" t="s">
        <v>3900</v>
      </c>
      <c r="AQ62" s="279"/>
      <c r="AR62" s="287">
        <f t="shared" si="19"/>
        <v>0</v>
      </c>
      <c r="AS62" s="287">
        <f t="shared" si="20"/>
        <v>0</v>
      </c>
      <c r="AT62" s="287">
        <f t="shared" si="21"/>
        <v>0</v>
      </c>
      <c r="AU62" s="287">
        <f t="shared" si="22"/>
        <v>0</v>
      </c>
      <c r="AV62" s="287">
        <f t="shared" si="23"/>
        <v>0</v>
      </c>
      <c r="AW62" s="287">
        <f t="shared" si="24"/>
        <v>0</v>
      </c>
      <c r="AX62" s="287">
        <f t="shared" si="25"/>
        <v>0</v>
      </c>
      <c r="AY62" s="287">
        <f t="shared" si="26"/>
        <v>0</v>
      </c>
      <c r="AZ62" s="287">
        <f t="shared" si="27"/>
        <v>0</v>
      </c>
      <c r="BA62" s="287">
        <f t="shared" si="28"/>
        <v>0</v>
      </c>
      <c r="BB62" s="16"/>
      <c r="BC62" s="287">
        <f t="shared" si="29"/>
        <v>0</v>
      </c>
      <c r="BD62" s="287">
        <f t="shared" si="30"/>
        <v>0</v>
      </c>
      <c r="BE62" s="287">
        <f t="shared" si="31"/>
        <v>0</v>
      </c>
      <c r="BF62" s="287">
        <f t="shared" si="32"/>
        <v>0</v>
      </c>
      <c r="BG62" s="287">
        <f t="shared" si="33"/>
        <v>0</v>
      </c>
      <c r="BH62" s="287">
        <f t="shared" si="34"/>
        <v>0</v>
      </c>
      <c r="BI62" s="287">
        <f t="shared" si="35"/>
        <v>0</v>
      </c>
      <c r="BJ62" s="287">
        <f t="shared" si="36"/>
        <v>0</v>
      </c>
      <c r="BK62" s="287">
        <f t="shared" si="37"/>
        <v>0</v>
      </c>
      <c r="BL62" s="287">
        <f t="shared" si="38"/>
        <v>0</v>
      </c>
      <c r="BM62" s="16"/>
      <c r="BN62" s="287">
        <f t="shared" si="39"/>
        <v>0</v>
      </c>
      <c r="BO62" s="287">
        <f t="shared" si="40"/>
        <v>0</v>
      </c>
      <c r="BP62" s="430"/>
      <c r="BQ62" s="21"/>
      <c r="BR62" s="21"/>
      <c r="BS62" s="39"/>
      <c r="BT62" s="39"/>
      <c r="BU62" s="39"/>
      <c r="BV62" s="39"/>
      <c r="BW62" s="39"/>
      <c r="BX62" s="39"/>
      <c r="BY62" s="39"/>
      <c r="BZ62" s="39">
        <v>49</v>
      </c>
      <c r="CA62" s="39" t="str">
        <f t="shared" si="41"/>
        <v/>
      </c>
      <c r="CB62" s="39"/>
      <c r="CC62" s="39"/>
      <c r="CD62" s="39"/>
      <c r="CE62" s="39"/>
      <c r="CF62" s="39"/>
      <c r="CG62" s="39"/>
      <c r="CH62" s="39"/>
      <c r="CI62" s="39"/>
      <c r="CJ62" s="39"/>
      <c r="CK62" s="39"/>
    </row>
    <row r="63" spans="1:89" s="193" customFormat="1">
      <c r="A63" s="195"/>
      <c r="B63" s="21" t="str">
        <f t="shared" si="18"/>
        <v>N/A</v>
      </c>
      <c r="C63" s="21"/>
      <c r="D63" s="432">
        <v>2310004</v>
      </c>
      <c r="E63" s="439" t="s">
        <v>3626</v>
      </c>
      <c r="F63" s="439" t="s">
        <v>3674</v>
      </c>
      <c r="G63" s="273" t="s">
        <v>3338</v>
      </c>
      <c r="H63" s="358"/>
      <c r="I63" s="262" t="s">
        <v>3498</v>
      </c>
      <c r="J63" s="262" t="s">
        <v>3504</v>
      </c>
      <c r="K63" s="263">
        <v>1000000</v>
      </c>
      <c r="L63" s="263">
        <v>1000000</v>
      </c>
      <c r="M63" s="263">
        <v>1000000</v>
      </c>
      <c r="N63" s="263">
        <v>1000000</v>
      </c>
      <c r="O63" s="263">
        <v>1000000</v>
      </c>
      <c r="P63" s="263">
        <v>1000000</v>
      </c>
      <c r="Q63" s="263">
        <v>1000000</v>
      </c>
      <c r="R63" s="263">
        <v>1000000</v>
      </c>
      <c r="S63" s="263">
        <v>1000000</v>
      </c>
      <c r="T63" s="263">
        <v>1000000</v>
      </c>
      <c r="U63" s="263">
        <f t="shared" si="43"/>
        <v>10000000</v>
      </c>
      <c r="V63" s="196" t="str">
        <f t="shared" si="4"/>
        <v>LOS</v>
      </c>
      <c r="W63" s="196" t="s">
        <v>1168</v>
      </c>
      <c r="X63" s="196" t="str">
        <f t="shared" si="44"/>
        <v>N</v>
      </c>
      <c r="Y63" s="197">
        <f t="shared" si="6"/>
        <v>10000000</v>
      </c>
      <c r="Z63" s="198"/>
      <c r="AA63" s="197">
        <f t="shared" si="7"/>
        <v>10000000</v>
      </c>
      <c r="AB63" s="196"/>
      <c r="AC63" s="196"/>
      <c r="AD63" s="275">
        <v>0</v>
      </c>
      <c r="AE63" s="275">
        <v>1</v>
      </c>
      <c r="AF63" s="275">
        <v>0</v>
      </c>
      <c r="AG63" s="442"/>
      <c r="AH63" s="442"/>
      <c r="AI63" s="200">
        <f t="shared" si="8"/>
        <v>0</v>
      </c>
      <c r="AJ63" s="203"/>
      <c r="AK63" s="203"/>
      <c r="AL63" s="197">
        <f t="shared" si="9"/>
        <v>10000000</v>
      </c>
      <c r="AM63" s="197">
        <f t="shared" si="10"/>
        <v>0</v>
      </c>
      <c r="AN63" s="197">
        <f t="shared" si="11"/>
        <v>0</v>
      </c>
      <c r="AO63" s="202"/>
      <c r="AP63" s="161" t="s">
        <v>3900</v>
      </c>
      <c r="AQ63" s="279"/>
      <c r="AR63" s="287">
        <f t="shared" si="19"/>
        <v>0</v>
      </c>
      <c r="AS63" s="287">
        <f t="shared" si="20"/>
        <v>0</v>
      </c>
      <c r="AT63" s="287">
        <f t="shared" si="21"/>
        <v>0</v>
      </c>
      <c r="AU63" s="287">
        <f t="shared" si="22"/>
        <v>0</v>
      </c>
      <c r="AV63" s="287">
        <f t="shared" si="23"/>
        <v>0</v>
      </c>
      <c r="AW63" s="287">
        <f t="shared" si="24"/>
        <v>0</v>
      </c>
      <c r="AX63" s="287">
        <f t="shared" si="25"/>
        <v>0</v>
      </c>
      <c r="AY63" s="287">
        <f t="shared" si="26"/>
        <v>0</v>
      </c>
      <c r="AZ63" s="287">
        <f t="shared" si="27"/>
        <v>0</v>
      </c>
      <c r="BA63" s="287">
        <f t="shared" si="28"/>
        <v>0</v>
      </c>
      <c r="BB63" s="16"/>
      <c r="BC63" s="287">
        <f t="shared" si="29"/>
        <v>0</v>
      </c>
      <c r="BD63" s="287">
        <f t="shared" si="30"/>
        <v>0</v>
      </c>
      <c r="BE63" s="287">
        <f t="shared" si="31"/>
        <v>0</v>
      </c>
      <c r="BF63" s="287">
        <f t="shared" si="32"/>
        <v>0</v>
      </c>
      <c r="BG63" s="287">
        <f t="shared" si="33"/>
        <v>0</v>
      </c>
      <c r="BH63" s="287">
        <f t="shared" si="34"/>
        <v>0</v>
      </c>
      <c r="BI63" s="287">
        <f t="shared" si="35"/>
        <v>0</v>
      </c>
      <c r="BJ63" s="287">
        <f t="shared" si="36"/>
        <v>0</v>
      </c>
      <c r="BK63" s="287">
        <f t="shared" si="37"/>
        <v>0</v>
      </c>
      <c r="BL63" s="287">
        <f t="shared" si="38"/>
        <v>0</v>
      </c>
      <c r="BM63" s="16"/>
      <c r="BN63" s="287">
        <f t="shared" si="39"/>
        <v>0</v>
      </c>
      <c r="BO63" s="287">
        <f t="shared" si="40"/>
        <v>0</v>
      </c>
      <c r="BP63" s="430"/>
      <c r="BQ63" s="21"/>
      <c r="BR63" s="21"/>
      <c r="BS63" s="39"/>
      <c r="BT63" s="39"/>
      <c r="BU63" s="39"/>
      <c r="BV63" s="39"/>
      <c r="BW63" s="39"/>
      <c r="BX63" s="39"/>
      <c r="BY63" s="39"/>
      <c r="BZ63" s="39">
        <v>50</v>
      </c>
      <c r="CA63" s="39" t="str">
        <f t="shared" si="41"/>
        <v/>
      </c>
      <c r="CB63" s="39"/>
      <c r="CC63" s="39"/>
      <c r="CD63" s="39"/>
      <c r="CE63" s="39"/>
      <c r="CF63" s="39"/>
      <c r="CG63" s="39"/>
      <c r="CH63" s="39"/>
      <c r="CI63" s="39"/>
      <c r="CJ63" s="39"/>
      <c r="CK63" s="39"/>
    </row>
    <row r="64" spans="1:89" s="193" customFormat="1">
      <c r="A64" s="195"/>
      <c r="B64" s="21" t="str">
        <f t="shared" si="18"/>
        <v>N/A</v>
      </c>
      <c r="C64" s="21"/>
      <c r="D64" s="432">
        <v>2310115</v>
      </c>
      <c r="E64" s="439" t="s">
        <v>3906</v>
      </c>
      <c r="F64" s="439" t="s">
        <v>3675</v>
      </c>
      <c r="G64" s="273" t="s">
        <v>3199</v>
      </c>
      <c r="H64" s="358"/>
      <c r="I64" s="262" t="s">
        <v>3493</v>
      </c>
      <c r="J64" s="262" t="s">
        <v>3504</v>
      </c>
      <c r="K64" s="263">
        <v>54750000</v>
      </c>
      <c r="L64" s="263">
        <v>28100000</v>
      </c>
      <c r="M64" s="263">
        <v>14300000</v>
      </c>
      <c r="N64" s="263">
        <v>5400000</v>
      </c>
      <c r="O64" s="263">
        <v>15100000</v>
      </c>
      <c r="P64" s="263">
        <v>1300000</v>
      </c>
      <c r="Q64" s="263">
        <v>700000</v>
      </c>
      <c r="R64" s="263">
        <v>700000</v>
      </c>
      <c r="S64" s="263">
        <v>1300000</v>
      </c>
      <c r="T64" s="263">
        <v>700000</v>
      </c>
      <c r="U64" s="263">
        <f t="shared" si="43"/>
        <v>122350000</v>
      </c>
      <c r="V64" s="196" t="str">
        <f t="shared" si="4"/>
        <v>G/LOS</v>
      </c>
      <c r="W64" s="196" t="s">
        <v>1168</v>
      </c>
      <c r="X64" s="196" t="str">
        <f t="shared" si="44"/>
        <v>Y</v>
      </c>
      <c r="Y64" s="197">
        <f t="shared" si="6"/>
        <v>122350000</v>
      </c>
      <c r="Z64" s="198"/>
      <c r="AA64" s="197">
        <f t="shared" si="7"/>
        <v>122350000</v>
      </c>
      <c r="AB64" s="196" t="s">
        <v>1168</v>
      </c>
      <c r="AC64" s="196"/>
      <c r="AD64" s="275">
        <v>0.1</v>
      </c>
      <c r="AE64" s="275">
        <v>0.9</v>
      </c>
      <c r="AF64" s="275">
        <v>0</v>
      </c>
      <c r="AG64" s="199"/>
      <c r="AH64" s="199"/>
      <c r="AI64" s="377">
        <f t="shared" si="8"/>
        <v>0</v>
      </c>
      <c r="AJ64" s="203"/>
      <c r="AK64" s="203"/>
      <c r="AL64" s="197">
        <f t="shared" si="9"/>
        <v>122350000</v>
      </c>
      <c r="AM64" s="197">
        <f t="shared" si="10"/>
        <v>0</v>
      </c>
      <c r="AN64" s="197">
        <f t="shared" si="11"/>
        <v>0</v>
      </c>
      <c r="AO64" s="202"/>
      <c r="AP64" s="161" t="s">
        <v>3900</v>
      </c>
      <c r="AQ64" s="279"/>
      <c r="AR64" s="287">
        <f t="shared" si="19"/>
        <v>0</v>
      </c>
      <c r="AS64" s="287">
        <f t="shared" si="20"/>
        <v>0</v>
      </c>
      <c r="AT64" s="287">
        <f t="shared" si="21"/>
        <v>0</v>
      </c>
      <c r="AU64" s="287">
        <f t="shared" si="22"/>
        <v>0</v>
      </c>
      <c r="AV64" s="287">
        <f t="shared" si="23"/>
        <v>0</v>
      </c>
      <c r="AW64" s="287">
        <f t="shared" si="24"/>
        <v>0</v>
      </c>
      <c r="AX64" s="287">
        <f t="shared" si="25"/>
        <v>0</v>
      </c>
      <c r="AY64" s="287">
        <f t="shared" si="26"/>
        <v>0</v>
      </c>
      <c r="AZ64" s="287">
        <f t="shared" si="27"/>
        <v>0</v>
      </c>
      <c r="BA64" s="287">
        <f t="shared" si="28"/>
        <v>0</v>
      </c>
      <c r="BB64" s="16"/>
      <c r="BC64" s="287">
        <f t="shared" si="29"/>
        <v>0</v>
      </c>
      <c r="BD64" s="287">
        <f t="shared" si="30"/>
        <v>0</v>
      </c>
      <c r="BE64" s="287">
        <f t="shared" si="31"/>
        <v>0</v>
      </c>
      <c r="BF64" s="287">
        <f t="shared" si="32"/>
        <v>0</v>
      </c>
      <c r="BG64" s="287">
        <f t="shared" si="33"/>
        <v>0</v>
      </c>
      <c r="BH64" s="287">
        <f t="shared" si="34"/>
        <v>0</v>
      </c>
      <c r="BI64" s="287">
        <f t="shared" si="35"/>
        <v>0</v>
      </c>
      <c r="BJ64" s="287">
        <f t="shared" si="36"/>
        <v>0</v>
      </c>
      <c r="BK64" s="287">
        <f t="shared" si="37"/>
        <v>0</v>
      </c>
      <c r="BL64" s="287">
        <f t="shared" si="38"/>
        <v>0</v>
      </c>
      <c r="BM64" s="16"/>
      <c r="BN64" s="287">
        <f t="shared" si="39"/>
        <v>0</v>
      </c>
      <c r="BO64" s="287">
        <f t="shared" si="40"/>
        <v>0</v>
      </c>
      <c r="BP64" s="430"/>
      <c r="BQ64" s="21"/>
      <c r="BR64" s="21"/>
      <c r="BS64" s="39"/>
      <c r="BT64" s="39"/>
      <c r="BU64" s="334">
        <v>1124800</v>
      </c>
      <c r="BV64" s="334">
        <v>0</v>
      </c>
      <c r="BW64" s="39"/>
      <c r="BX64" s="39"/>
      <c r="BY64" s="39"/>
      <c r="BZ64" s="39">
        <v>51</v>
      </c>
      <c r="CA64" s="39" t="str">
        <f t="shared" si="41"/>
        <v/>
      </c>
      <c r="CB64" s="39"/>
      <c r="CC64" s="39"/>
      <c r="CD64" s="39"/>
      <c r="CE64" s="39"/>
      <c r="CF64" s="39"/>
      <c r="CG64" s="39"/>
      <c r="CH64" s="39"/>
      <c r="CI64" s="39"/>
      <c r="CJ64" s="39"/>
      <c r="CK64" s="39"/>
    </row>
    <row r="65" spans="1:89" s="193" customFormat="1">
      <c r="A65" s="195"/>
      <c r="B65" s="21" t="str">
        <f t="shared" si="18"/>
        <v>N/A</v>
      </c>
      <c r="C65" s="21"/>
      <c r="D65" s="432">
        <v>2310116</v>
      </c>
      <c r="E65" s="439" t="s">
        <v>3626</v>
      </c>
      <c r="F65" s="439" t="s">
        <v>3676</v>
      </c>
      <c r="G65" s="273" t="s">
        <v>3419</v>
      </c>
      <c r="H65" s="358"/>
      <c r="I65" s="262" t="s">
        <v>3491</v>
      </c>
      <c r="J65" s="262" t="s">
        <v>3504</v>
      </c>
      <c r="K65" s="263">
        <v>0</v>
      </c>
      <c r="L65" s="263">
        <v>0</v>
      </c>
      <c r="M65" s="263">
        <v>0</v>
      </c>
      <c r="N65" s="263">
        <v>3500000</v>
      </c>
      <c r="O65" s="263">
        <v>5000000</v>
      </c>
      <c r="P65" s="263">
        <v>500000</v>
      </c>
      <c r="Q65" s="263">
        <v>0</v>
      </c>
      <c r="R65" s="263">
        <v>0</v>
      </c>
      <c r="S65" s="263">
        <v>0</v>
      </c>
      <c r="T65" s="263">
        <v>0</v>
      </c>
      <c r="U65" s="263">
        <f t="shared" si="43"/>
        <v>9000000</v>
      </c>
      <c r="V65" s="196" t="str">
        <f t="shared" si="4"/>
        <v>G/LOS</v>
      </c>
      <c r="W65" s="196" t="s">
        <v>1168</v>
      </c>
      <c r="X65" s="196" t="str">
        <f t="shared" si="44"/>
        <v>Y</v>
      </c>
      <c r="Y65" s="197">
        <f t="shared" si="6"/>
        <v>9000000</v>
      </c>
      <c r="Z65" s="198"/>
      <c r="AA65" s="197">
        <f t="shared" si="7"/>
        <v>9000000</v>
      </c>
      <c r="AB65" s="443" t="s">
        <v>1168</v>
      </c>
      <c r="AC65" s="196"/>
      <c r="AD65" s="275">
        <v>0.5</v>
      </c>
      <c r="AE65" s="275">
        <v>0.5</v>
      </c>
      <c r="AF65" s="275">
        <v>0</v>
      </c>
      <c r="AG65" s="442"/>
      <c r="AH65" s="442"/>
      <c r="AI65" s="200">
        <f t="shared" si="8"/>
        <v>0</v>
      </c>
      <c r="AJ65" s="203"/>
      <c r="AK65" s="203"/>
      <c r="AL65" s="197">
        <f t="shared" si="9"/>
        <v>9000000</v>
      </c>
      <c r="AM65" s="197">
        <f t="shared" si="10"/>
        <v>0</v>
      </c>
      <c r="AN65" s="197">
        <f t="shared" si="11"/>
        <v>0</v>
      </c>
      <c r="AO65" s="202"/>
      <c r="AP65" s="161" t="s">
        <v>3900</v>
      </c>
      <c r="AQ65" s="279"/>
      <c r="AR65" s="287">
        <f t="shared" si="19"/>
        <v>0</v>
      </c>
      <c r="AS65" s="287">
        <f t="shared" si="20"/>
        <v>0</v>
      </c>
      <c r="AT65" s="287">
        <f t="shared" si="21"/>
        <v>0</v>
      </c>
      <c r="AU65" s="287">
        <f t="shared" si="22"/>
        <v>0</v>
      </c>
      <c r="AV65" s="287">
        <f t="shared" si="23"/>
        <v>0</v>
      </c>
      <c r="AW65" s="287">
        <f t="shared" si="24"/>
        <v>0</v>
      </c>
      <c r="AX65" s="287">
        <f t="shared" si="25"/>
        <v>0</v>
      </c>
      <c r="AY65" s="287">
        <f t="shared" si="26"/>
        <v>0</v>
      </c>
      <c r="AZ65" s="287">
        <f t="shared" si="27"/>
        <v>0</v>
      </c>
      <c r="BA65" s="287">
        <f t="shared" si="28"/>
        <v>0</v>
      </c>
      <c r="BB65" s="16"/>
      <c r="BC65" s="287">
        <f t="shared" si="29"/>
        <v>0</v>
      </c>
      <c r="BD65" s="287">
        <f t="shared" si="30"/>
        <v>0</v>
      </c>
      <c r="BE65" s="287">
        <f t="shared" si="31"/>
        <v>0</v>
      </c>
      <c r="BF65" s="287">
        <f t="shared" si="32"/>
        <v>0</v>
      </c>
      <c r="BG65" s="287">
        <f t="shared" si="33"/>
        <v>0</v>
      </c>
      <c r="BH65" s="287">
        <f t="shared" si="34"/>
        <v>0</v>
      </c>
      <c r="BI65" s="287">
        <f t="shared" si="35"/>
        <v>0</v>
      </c>
      <c r="BJ65" s="287">
        <f t="shared" si="36"/>
        <v>0</v>
      </c>
      <c r="BK65" s="287">
        <f t="shared" si="37"/>
        <v>0</v>
      </c>
      <c r="BL65" s="287">
        <f t="shared" si="38"/>
        <v>0</v>
      </c>
      <c r="BM65" s="16"/>
      <c r="BN65" s="287">
        <f t="shared" si="39"/>
        <v>0</v>
      </c>
      <c r="BO65" s="287">
        <f t="shared" si="40"/>
        <v>0</v>
      </c>
      <c r="BP65" s="430"/>
      <c r="BQ65" s="21"/>
      <c r="BR65" s="21"/>
      <c r="BS65" s="39"/>
      <c r="BT65" s="39"/>
      <c r="BU65" s="39"/>
      <c r="BV65" s="39"/>
      <c r="BW65" s="39"/>
      <c r="BX65" s="39"/>
      <c r="BY65" s="39"/>
      <c r="BZ65" s="39">
        <v>52</v>
      </c>
      <c r="CA65" s="39" t="str">
        <f t="shared" si="41"/>
        <v/>
      </c>
      <c r="CB65" s="39"/>
      <c r="CC65" s="39"/>
      <c r="CD65" s="39"/>
      <c r="CE65" s="39"/>
      <c r="CF65" s="39"/>
      <c r="CG65" s="39"/>
      <c r="CH65" s="39"/>
      <c r="CI65" s="39"/>
      <c r="CJ65" s="39"/>
      <c r="CK65" s="39"/>
    </row>
    <row r="66" spans="1:89" s="193" customFormat="1">
      <c r="A66" s="195"/>
      <c r="B66" s="21" t="str">
        <f t="shared" si="18"/>
        <v>N/A</v>
      </c>
      <c r="C66" s="21"/>
      <c r="D66" s="432">
        <v>2310128</v>
      </c>
      <c r="E66" s="439" t="s">
        <v>3626</v>
      </c>
      <c r="F66" s="439" t="s">
        <v>2499</v>
      </c>
      <c r="G66" s="273" t="s">
        <v>3587</v>
      </c>
      <c r="H66" s="358"/>
      <c r="I66" s="262" t="s">
        <v>3531</v>
      </c>
      <c r="J66" s="262" t="s">
        <v>3504</v>
      </c>
      <c r="K66" s="263">
        <v>0</v>
      </c>
      <c r="L66" s="263">
        <v>500000</v>
      </c>
      <c r="M66" s="263">
        <v>0</v>
      </c>
      <c r="N66" s="263">
        <v>0</v>
      </c>
      <c r="O66" s="263">
        <v>0</v>
      </c>
      <c r="P66" s="263">
        <v>0</v>
      </c>
      <c r="Q66" s="263">
        <v>0</v>
      </c>
      <c r="R66" s="263">
        <v>0</v>
      </c>
      <c r="S66" s="263">
        <v>0</v>
      </c>
      <c r="T66" s="263">
        <v>0</v>
      </c>
      <c r="U66" s="263">
        <f t="shared" si="43"/>
        <v>500000</v>
      </c>
      <c r="V66" s="196" t="str">
        <f t="shared" si="4"/>
        <v>LOS</v>
      </c>
      <c r="W66" s="196" t="s">
        <v>1168</v>
      </c>
      <c r="X66" s="196" t="str">
        <f t="shared" si="44"/>
        <v>N</v>
      </c>
      <c r="Y66" s="197">
        <f t="shared" si="6"/>
        <v>500000</v>
      </c>
      <c r="Z66" s="198"/>
      <c r="AA66" s="197">
        <f t="shared" si="7"/>
        <v>500000</v>
      </c>
      <c r="AB66" s="196"/>
      <c r="AC66" s="196"/>
      <c r="AD66" s="275">
        <v>0</v>
      </c>
      <c r="AE66" s="275">
        <v>1</v>
      </c>
      <c r="AF66" s="275">
        <v>0</v>
      </c>
      <c r="AG66" s="442"/>
      <c r="AH66" s="442"/>
      <c r="AI66" s="200">
        <f t="shared" si="8"/>
        <v>0</v>
      </c>
      <c r="AJ66" s="203"/>
      <c r="AK66" s="203"/>
      <c r="AL66" s="197">
        <f t="shared" si="9"/>
        <v>500000</v>
      </c>
      <c r="AM66" s="197">
        <f t="shared" si="10"/>
        <v>0</v>
      </c>
      <c r="AN66" s="197">
        <f t="shared" si="11"/>
        <v>0</v>
      </c>
      <c r="AO66" s="202"/>
      <c r="AP66" s="161" t="s">
        <v>3900</v>
      </c>
      <c r="AQ66" s="279"/>
      <c r="AR66" s="287">
        <f t="shared" si="19"/>
        <v>0</v>
      </c>
      <c r="AS66" s="287">
        <f t="shared" si="20"/>
        <v>0</v>
      </c>
      <c r="AT66" s="287">
        <f t="shared" si="21"/>
        <v>0</v>
      </c>
      <c r="AU66" s="287">
        <f t="shared" si="22"/>
        <v>0</v>
      </c>
      <c r="AV66" s="287">
        <f t="shared" si="23"/>
        <v>0</v>
      </c>
      <c r="AW66" s="287">
        <f t="shared" si="24"/>
        <v>0</v>
      </c>
      <c r="AX66" s="287">
        <f t="shared" si="25"/>
        <v>0</v>
      </c>
      <c r="AY66" s="287">
        <f t="shared" si="26"/>
        <v>0</v>
      </c>
      <c r="AZ66" s="287">
        <f t="shared" si="27"/>
        <v>0</v>
      </c>
      <c r="BA66" s="287">
        <f t="shared" si="28"/>
        <v>0</v>
      </c>
      <c r="BB66" s="16"/>
      <c r="BC66" s="287">
        <f t="shared" si="29"/>
        <v>0</v>
      </c>
      <c r="BD66" s="287">
        <f t="shared" si="30"/>
        <v>0</v>
      </c>
      <c r="BE66" s="287">
        <f t="shared" si="31"/>
        <v>0</v>
      </c>
      <c r="BF66" s="287">
        <f t="shared" si="32"/>
        <v>0</v>
      </c>
      <c r="BG66" s="287">
        <f t="shared" si="33"/>
        <v>0</v>
      </c>
      <c r="BH66" s="287">
        <f t="shared" si="34"/>
        <v>0</v>
      </c>
      <c r="BI66" s="287">
        <f t="shared" si="35"/>
        <v>0</v>
      </c>
      <c r="BJ66" s="287">
        <f t="shared" si="36"/>
        <v>0</v>
      </c>
      <c r="BK66" s="287">
        <f t="shared" si="37"/>
        <v>0</v>
      </c>
      <c r="BL66" s="287">
        <f t="shared" si="38"/>
        <v>0</v>
      </c>
      <c r="BM66" s="16"/>
      <c r="BN66" s="287">
        <f t="shared" si="39"/>
        <v>0</v>
      </c>
      <c r="BO66" s="287">
        <f t="shared" si="40"/>
        <v>0</v>
      </c>
      <c r="BP66" s="430"/>
      <c r="BQ66" s="21"/>
      <c r="BR66" s="21"/>
      <c r="BS66" s="39"/>
      <c r="BT66" s="39"/>
      <c r="BU66" s="39"/>
      <c r="BV66" s="39"/>
      <c r="BW66" s="39"/>
      <c r="BX66" s="39"/>
      <c r="BY66" s="39"/>
      <c r="BZ66" s="39">
        <v>53</v>
      </c>
      <c r="CA66" s="39" t="str">
        <f t="shared" si="41"/>
        <v/>
      </c>
      <c r="CB66" s="39"/>
      <c r="CC66" s="39"/>
      <c r="CD66" s="39"/>
      <c r="CE66" s="39"/>
      <c r="CF66" s="39"/>
      <c r="CG66" s="39"/>
      <c r="CH66" s="39"/>
      <c r="CI66" s="39"/>
      <c r="CJ66" s="39"/>
      <c r="CK66" s="39"/>
    </row>
    <row r="67" spans="1:89" s="193" customFormat="1">
      <c r="A67" s="195"/>
      <c r="B67" s="21" t="str">
        <f t="shared" si="18"/>
        <v>N/A</v>
      </c>
      <c r="C67" s="21"/>
      <c r="D67" s="432">
        <v>2310129</v>
      </c>
      <c r="E67" s="439" t="s">
        <v>3626</v>
      </c>
      <c r="F67" s="439" t="s">
        <v>3677</v>
      </c>
      <c r="G67" s="273" t="s">
        <v>2892</v>
      </c>
      <c r="H67" s="358"/>
      <c r="I67" s="262" t="s">
        <v>3491</v>
      </c>
      <c r="J67" s="262" t="s">
        <v>3504</v>
      </c>
      <c r="K67" s="263">
        <v>0</v>
      </c>
      <c r="L67" s="263">
        <v>0</v>
      </c>
      <c r="M67" s="263">
        <v>0</v>
      </c>
      <c r="N67" s="263">
        <v>0</v>
      </c>
      <c r="O67" s="263">
        <v>0</v>
      </c>
      <c r="P67" s="263">
        <v>2280000</v>
      </c>
      <c r="Q67" s="263">
        <v>0</v>
      </c>
      <c r="R67" s="263">
        <v>0</v>
      </c>
      <c r="S67" s="263">
        <v>0</v>
      </c>
      <c r="T67" s="263">
        <v>0</v>
      </c>
      <c r="U67" s="263">
        <f t="shared" si="43"/>
        <v>2280000</v>
      </c>
      <c r="V67" s="196" t="str">
        <f t="shared" si="4"/>
        <v>G</v>
      </c>
      <c r="W67" s="196" t="s">
        <v>1168</v>
      </c>
      <c r="X67" s="196" t="str">
        <f t="shared" si="44"/>
        <v>Y</v>
      </c>
      <c r="Y67" s="197">
        <f t="shared" si="6"/>
        <v>2280000</v>
      </c>
      <c r="Z67" s="198"/>
      <c r="AA67" s="197">
        <f t="shared" si="7"/>
        <v>2280000</v>
      </c>
      <c r="AB67" s="443" t="s">
        <v>1168</v>
      </c>
      <c r="AC67" s="196"/>
      <c r="AD67" s="275">
        <v>1</v>
      </c>
      <c r="AE67" s="275">
        <v>0</v>
      </c>
      <c r="AF67" s="275">
        <v>0</v>
      </c>
      <c r="AG67" s="442"/>
      <c r="AH67" s="442"/>
      <c r="AI67" s="200">
        <f t="shared" si="8"/>
        <v>0</v>
      </c>
      <c r="AJ67" s="203"/>
      <c r="AK67" s="203"/>
      <c r="AL67" s="197">
        <f t="shared" si="9"/>
        <v>2280000</v>
      </c>
      <c r="AM67" s="197">
        <f t="shared" si="10"/>
        <v>0</v>
      </c>
      <c r="AN67" s="197">
        <f t="shared" si="11"/>
        <v>0</v>
      </c>
      <c r="AO67" s="202"/>
      <c r="AP67" s="161" t="s">
        <v>3900</v>
      </c>
      <c r="AQ67" s="279"/>
      <c r="AR67" s="287">
        <f t="shared" si="19"/>
        <v>0</v>
      </c>
      <c r="AS67" s="287">
        <f t="shared" si="20"/>
        <v>0</v>
      </c>
      <c r="AT67" s="287">
        <f t="shared" si="21"/>
        <v>0</v>
      </c>
      <c r="AU67" s="287">
        <f t="shared" si="22"/>
        <v>0</v>
      </c>
      <c r="AV67" s="287">
        <f t="shared" si="23"/>
        <v>0</v>
      </c>
      <c r="AW67" s="287">
        <f t="shared" si="24"/>
        <v>0</v>
      </c>
      <c r="AX67" s="287">
        <f t="shared" si="25"/>
        <v>0</v>
      </c>
      <c r="AY67" s="287">
        <f t="shared" si="26"/>
        <v>0</v>
      </c>
      <c r="AZ67" s="287">
        <f t="shared" si="27"/>
        <v>0</v>
      </c>
      <c r="BA67" s="287">
        <f t="shared" si="28"/>
        <v>0</v>
      </c>
      <c r="BB67" s="16"/>
      <c r="BC67" s="287">
        <f t="shared" si="29"/>
        <v>0</v>
      </c>
      <c r="BD67" s="287">
        <f t="shared" si="30"/>
        <v>0</v>
      </c>
      <c r="BE67" s="287">
        <f t="shared" si="31"/>
        <v>0</v>
      </c>
      <c r="BF67" s="287">
        <f t="shared" si="32"/>
        <v>0</v>
      </c>
      <c r="BG67" s="287">
        <f t="shared" si="33"/>
        <v>0</v>
      </c>
      <c r="BH67" s="287">
        <f t="shared" si="34"/>
        <v>0</v>
      </c>
      <c r="BI67" s="287">
        <f t="shared" si="35"/>
        <v>0</v>
      </c>
      <c r="BJ67" s="287">
        <f t="shared" si="36"/>
        <v>0</v>
      </c>
      <c r="BK67" s="287">
        <f t="shared" si="37"/>
        <v>0</v>
      </c>
      <c r="BL67" s="287">
        <f t="shared" si="38"/>
        <v>0</v>
      </c>
      <c r="BM67" s="16"/>
      <c r="BN67" s="287">
        <f t="shared" si="39"/>
        <v>0</v>
      </c>
      <c r="BO67" s="287">
        <f t="shared" si="40"/>
        <v>0</v>
      </c>
      <c r="BP67" s="432"/>
      <c r="BQ67" s="21"/>
      <c r="BR67" s="21"/>
      <c r="BS67" s="39"/>
      <c r="BT67" s="39"/>
      <c r="BU67" s="39"/>
      <c r="BV67" s="39"/>
      <c r="BW67" s="39"/>
      <c r="BX67" s="39"/>
      <c r="BY67" s="39"/>
      <c r="BZ67" s="39">
        <v>54</v>
      </c>
      <c r="CA67" s="39" t="str">
        <f t="shared" si="41"/>
        <v/>
      </c>
      <c r="CB67" s="39"/>
      <c r="CC67" s="39"/>
      <c r="CD67" s="39"/>
      <c r="CE67" s="39"/>
      <c r="CF67" s="39"/>
      <c r="CG67" s="39"/>
      <c r="CH67" s="39"/>
      <c r="CI67" s="39"/>
      <c r="CJ67" s="39"/>
      <c r="CK67" s="39"/>
    </row>
    <row r="68" spans="1:89" s="193" customFormat="1">
      <c r="A68" s="195"/>
      <c r="B68" s="21" t="str">
        <f t="shared" si="18"/>
        <v>N/A</v>
      </c>
      <c r="C68" s="21"/>
      <c r="D68" s="432">
        <v>2312406</v>
      </c>
      <c r="E68" s="439" t="s">
        <v>3626</v>
      </c>
      <c r="F68" s="439" t="s">
        <v>3679</v>
      </c>
      <c r="G68" s="273" t="s">
        <v>3369</v>
      </c>
      <c r="H68" s="358"/>
      <c r="I68" s="262" t="s">
        <v>3497</v>
      </c>
      <c r="J68" s="262" t="s">
        <v>3504</v>
      </c>
      <c r="K68" s="263">
        <v>329934.96000000002</v>
      </c>
      <c r="L68" s="263">
        <v>361993.19</v>
      </c>
      <c r="M68" s="263">
        <v>370387.66</v>
      </c>
      <c r="N68" s="263">
        <v>362710.18</v>
      </c>
      <c r="O68" s="263">
        <v>382078.18</v>
      </c>
      <c r="P68" s="263">
        <v>491359.46</v>
      </c>
      <c r="Q68" s="263">
        <v>513168.86</v>
      </c>
      <c r="R68" s="263">
        <v>398111.04</v>
      </c>
      <c r="S68" s="263">
        <v>411244.17</v>
      </c>
      <c r="T68" s="263">
        <v>419315.03</v>
      </c>
      <c r="U68" s="263">
        <f t="shared" si="43"/>
        <v>4040302.7299999995</v>
      </c>
      <c r="V68" s="196" t="str">
        <f t="shared" si="4"/>
        <v>G/LOS</v>
      </c>
      <c r="W68" s="196" t="s">
        <v>1168</v>
      </c>
      <c r="X68" s="196" t="str">
        <f t="shared" si="44"/>
        <v>Y</v>
      </c>
      <c r="Y68" s="197">
        <f t="shared" si="6"/>
        <v>4040302.7299999995</v>
      </c>
      <c r="Z68" s="198"/>
      <c r="AA68" s="197">
        <f t="shared" si="7"/>
        <v>4040302.7299999995</v>
      </c>
      <c r="AB68" s="196" t="s">
        <v>1168</v>
      </c>
      <c r="AC68" s="196"/>
      <c r="AD68" s="275">
        <v>0.57600145607960218</v>
      </c>
      <c r="AE68" s="275">
        <v>0.42399854392039793</v>
      </c>
      <c r="AF68" s="275">
        <v>0</v>
      </c>
      <c r="AG68" s="442"/>
      <c r="AH68" s="442"/>
      <c r="AI68" s="200">
        <f t="shared" si="8"/>
        <v>0</v>
      </c>
      <c r="AJ68" s="203"/>
      <c r="AK68" s="203"/>
      <c r="AL68" s="197">
        <f t="shared" si="9"/>
        <v>4040302.7299999995</v>
      </c>
      <c r="AM68" s="197">
        <f t="shared" si="10"/>
        <v>0</v>
      </c>
      <c r="AN68" s="197">
        <f t="shared" si="11"/>
        <v>0</v>
      </c>
      <c r="AO68" s="202"/>
      <c r="AP68" s="161" t="s">
        <v>3900</v>
      </c>
      <c r="AQ68" s="279"/>
      <c r="AR68" s="287">
        <f t="shared" si="19"/>
        <v>0</v>
      </c>
      <c r="AS68" s="287">
        <f t="shared" si="20"/>
        <v>0</v>
      </c>
      <c r="AT68" s="287">
        <f t="shared" si="21"/>
        <v>0</v>
      </c>
      <c r="AU68" s="287">
        <f t="shared" si="22"/>
        <v>0</v>
      </c>
      <c r="AV68" s="287">
        <f t="shared" si="23"/>
        <v>0</v>
      </c>
      <c r="AW68" s="287">
        <f t="shared" si="24"/>
        <v>0</v>
      </c>
      <c r="AX68" s="287">
        <f t="shared" si="25"/>
        <v>0</v>
      </c>
      <c r="AY68" s="287">
        <f t="shared" si="26"/>
        <v>0</v>
      </c>
      <c r="AZ68" s="287">
        <f t="shared" si="27"/>
        <v>0</v>
      </c>
      <c r="BA68" s="287">
        <f t="shared" si="28"/>
        <v>0</v>
      </c>
      <c r="BB68" s="16"/>
      <c r="BC68" s="287">
        <f t="shared" si="29"/>
        <v>0</v>
      </c>
      <c r="BD68" s="287">
        <f t="shared" si="30"/>
        <v>0</v>
      </c>
      <c r="BE68" s="287">
        <f t="shared" si="31"/>
        <v>0</v>
      </c>
      <c r="BF68" s="287">
        <f t="shared" si="32"/>
        <v>0</v>
      </c>
      <c r="BG68" s="287">
        <f t="shared" si="33"/>
        <v>0</v>
      </c>
      <c r="BH68" s="287">
        <f t="shared" si="34"/>
        <v>0</v>
      </c>
      <c r="BI68" s="287">
        <f t="shared" si="35"/>
        <v>0</v>
      </c>
      <c r="BJ68" s="287">
        <f t="shared" si="36"/>
        <v>0</v>
      </c>
      <c r="BK68" s="287">
        <f t="shared" si="37"/>
        <v>0</v>
      </c>
      <c r="BL68" s="287">
        <f t="shared" si="38"/>
        <v>0</v>
      </c>
      <c r="BM68" s="16"/>
      <c r="BN68" s="287">
        <f t="shared" si="39"/>
        <v>0</v>
      </c>
      <c r="BO68" s="287">
        <f t="shared" si="40"/>
        <v>0</v>
      </c>
      <c r="BP68" s="432"/>
      <c r="BQ68" s="21"/>
      <c r="BR68" s="21"/>
      <c r="BS68" s="39"/>
      <c r="BT68" s="39"/>
      <c r="BU68" s="39"/>
      <c r="BV68" s="39"/>
      <c r="BW68" s="39"/>
      <c r="BX68" s="39"/>
      <c r="BY68" s="39"/>
      <c r="BZ68" s="39">
        <v>55</v>
      </c>
      <c r="CA68" s="39" t="str">
        <f t="shared" si="41"/>
        <v/>
      </c>
      <c r="CB68" s="39"/>
      <c r="CC68" s="39"/>
      <c r="CD68" s="39"/>
      <c r="CE68" s="39"/>
      <c r="CF68" s="39"/>
      <c r="CG68" s="39"/>
      <c r="CH68" s="39"/>
      <c r="CI68" s="39"/>
      <c r="CJ68" s="39"/>
      <c r="CK68" s="39"/>
    </row>
    <row r="69" spans="1:89" s="193" customFormat="1">
      <c r="A69" s="195"/>
      <c r="B69" s="21" t="str">
        <f t="shared" si="18"/>
        <v>N/A</v>
      </c>
      <c r="C69" s="21"/>
      <c r="D69" s="432">
        <v>2440012</v>
      </c>
      <c r="E69" s="439" t="s">
        <v>3626</v>
      </c>
      <c r="F69" s="439" t="s">
        <v>3680</v>
      </c>
      <c r="G69" s="273" t="s">
        <v>3394</v>
      </c>
      <c r="H69" s="358"/>
      <c r="I69" s="262" t="s">
        <v>3491</v>
      </c>
      <c r="J69" s="262" t="s">
        <v>3504</v>
      </c>
      <c r="K69" s="263">
        <v>63966.96</v>
      </c>
      <c r="L69" s="263">
        <v>65821</v>
      </c>
      <c r="M69" s="263">
        <v>67795</v>
      </c>
      <c r="N69" s="263">
        <v>69897</v>
      </c>
      <c r="O69" s="263">
        <v>0</v>
      </c>
      <c r="P69" s="263">
        <v>0</v>
      </c>
      <c r="Q69" s="263">
        <v>0</v>
      </c>
      <c r="R69" s="263">
        <v>0</v>
      </c>
      <c r="S69" s="263">
        <v>0</v>
      </c>
      <c r="T69" s="263">
        <v>0</v>
      </c>
      <c r="U69" s="263">
        <f t="shared" si="43"/>
        <v>267479.95999999996</v>
      </c>
      <c r="V69" s="196" t="str">
        <f t="shared" si="4"/>
        <v>R</v>
      </c>
      <c r="W69" s="196" t="s">
        <v>1168</v>
      </c>
      <c r="X69" s="196" t="str">
        <f t="shared" si="44"/>
        <v>N</v>
      </c>
      <c r="Y69" s="197">
        <f t="shared" si="6"/>
        <v>267479.95999999996</v>
      </c>
      <c r="Z69" s="198"/>
      <c r="AA69" s="197">
        <f t="shared" si="7"/>
        <v>267479.95999999996</v>
      </c>
      <c r="AB69" s="196"/>
      <c r="AC69" s="196"/>
      <c r="AD69" s="275">
        <v>0</v>
      </c>
      <c r="AE69" s="275">
        <v>0</v>
      </c>
      <c r="AF69" s="275">
        <v>1</v>
      </c>
      <c r="AG69" s="442"/>
      <c r="AH69" s="442"/>
      <c r="AI69" s="200">
        <f t="shared" si="8"/>
        <v>0</v>
      </c>
      <c r="AJ69" s="203"/>
      <c r="AK69" s="203"/>
      <c r="AL69" s="197">
        <f t="shared" si="9"/>
        <v>267479.95999999996</v>
      </c>
      <c r="AM69" s="197">
        <f t="shared" si="10"/>
        <v>0</v>
      </c>
      <c r="AN69" s="197">
        <f t="shared" si="11"/>
        <v>0</v>
      </c>
      <c r="AO69" s="202"/>
      <c r="AP69" s="161" t="s">
        <v>3900</v>
      </c>
      <c r="AQ69" s="279"/>
      <c r="AR69" s="287">
        <f t="shared" si="19"/>
        <v>0</v>
      </c>
      <c r="AS69" s="287">
        <f t="shared" si="20"/>
        <v>0</v>
      </c>
      <c r="AT69" s="287">
        <f t="shared" si="21"/>
        <v>0</v>
      </c>
      <c r="AU69" s="287">
        <f t="shared" si="22"/>
        <v>0</v>
      </c>
      <c r="AV69" s="287">
        <f t="shared" si="23"/>
        <v>0</v>
      </c>
      <c r="AW69" s="287">
        <f t="shared" si="24"/>
        <v>0</v>
      </c>
      <c r="AX69" s="287">
        <f t="shared" si="25"/>
        <v>0</v>
      </c>
      <c r="AY69" s="287">
        <f t="shared" si="26"/>
        <v>0</v>
      </c>
      <c r="AZ69" s="287">
        <f t="shared" si="27"/>
        <v>0</v>
      </c>
      <c r="BA69" s="287">
        <f t="shared" si="28"/>
        <v>0</v>
      </c>
      <c r="BB69" s="16"/>
      <c r="BC69" s="287">
        <f t="shared" si="29"/>
        <v>0</v>
      </c>
      <c r="BD69" s="287">
        <f t="shared" si="30"/>
        <v>0</v>
      </c>
      <c r="BE69" s="287">
        <f t="shared" si="31"/>
        <v>0</v>
      </c>
      <c r="BF69" s="287">
        <f t="shared" si="32"/>
        <v>0</v>
      </c>
      <c r="BG69" s="287">
        <f t="shared" si="33"/>
        <v>0</v>
      </c>
      <c r="BH69" s="287">
        <f t="shared" si="34"/>
        <v>0</v>
      </c>
      <c r="BI69" s="287">
        <f t="shared" si="35"/>
        <v>0</v>
      </c>
      <c r="BJ69" s="287">
        <f t="shared" si="36"/>
        <v>0</v>
      </c>
      <c r="BK69" s="287">
        <f t="shared" si="37"/>
        <v>0</v>
      </c>
      <c r="BL69" s="287">
        <f t="shared" si="38"/>
        <v>0</v>
      </c>
      <c r="BM69" s="16"/>
      <c r="BN69" s="287">
        <f t="shared" si="39"/>
        <v>0</v>
      </c>
      <c r="BO69" s="287">
        <f t="shared" si="40"/>
        <v>0</v>
      </c>
      <c r="BP69" s="432"/>
      <c r="BQ69" s="21"/>
      <c r="BR69" s="21"/>
      <c r="BS69" s="39"/>
      <c r="BT69" s="39"/>
      <c r="BU69" s="39"/>
      <c r="BV69" s="39"/>
      <c r="BW69" s="39"/>
      <c r="BX69" s="39"/>
      <c r="BY69" s="39"/>
      <c r="BZ69" s="39">
        <v>56</v>
      </c>
      <c r="CA69" s="39" t="str">
        <f t="shared" si="41"/>
        <v/>
      </c>
      <c r="CB69" s="39"/>
      <c r="CC69" s="39"/>
      <c r="CD69" s="39"/>
      <c r="CE69" s="39"/>
      <c r="CF69" s="39"/>
      <c r="CG69" s="39"/>
      <c r="CH69" s="39"/>
      <c r="CI69" s="39"/>
      <c r="CJ69" s="39"/>
      <c r="CK69" s="39"/>
    </row>
    <row r="70" spans="1:89" s="193" customFormat="1">
      <c r="A70" s="195"/>
      <c r="B70" s="21" t="str">
        <f t="shared" si="18"/>
        <v>N/A</v>
      </c>
      <c r="C70" s="21"/>
      <c r="D70" s="432">
        <v>2500004</v>
      </c>
      <c r="E70" s="439" t="s">
        <v>3626</v>
      </c>
      <c r="F70" s="439" t="s">
        <v>3681</v>
      </c>
      <c r="G70" s="273" t="s">
        <v>3409</v>
      </c>
      <c r="H70" s="358"/>
      <c r="I70" s="262" t="s">
        <v>3491</v>
      </c>
      <c r="J70" s="262" t="s">
        <v>3504</v>
      </c>
      <c r="K70" s="263">
        <v>31650.959999999999</v>
      </c>
      <c r="L70" s="263">
        <v>28371</v>
      </c>
      <c r="M70" s="263">
        <v>29223</v>
      </c>
      <c r="N70" s="263">
        <v>30128</v>
      </c>
      <c r="O70" s="263">
        <v>0</v>
      </c>
      <c r="P70" s="263">
        <v>0</v>
      </c>
      <c r="Q70" s="263">
        <v>0</v>
      </c>
      <c r="R70" s="263">
        <v>0</v>
      </c>
      <c r="S70" s="263">
        <v>0</v>
      </c>
      <c r="T70" s="263">
        <v>0</v>
      </c>
      <c r="U70" s="263">
        <f t="shared" si="43"/>
        <v>119372.95999999999</v>
      </c>
      <c r="V70" s="196" t="str">
        <f t="shared" si="4"/>
        <v>R</v>
      </c>
      <c r="W70" s="196" t="s">
        <v>1168</v>
      </c>
      <c r="X70" s="196" t="str">
        <f t="shared" si="44"/>
        <v>N</v>
      </c>
      <c r="Y70" s="197">
        <f t="shared" si="6"/>
        <v>119372.95999999999</v>
      </c>
      <c r="Z70" s="198"/>
      <c r="AA70" s="197">
        <f t="shared" si="7"/>
        <v>119372.95999999999</v>
      </c>
      <c r="AB70" s="196"/>
      <c r="AC70" s="196"/>
      <c r="AD70" s="275">
        <v>0</v>
      </c>
      <c r="AE70" s="275">
        <v>0</v>
      </c>
      <c r="AF70" s="275">
        <v>1</v>
      </c>
      <c r="AG70" s="442"/>
      <c r="AH70" s="442"/>
      <c r="AI70" s="200">
        <f t="shared" si="8"/>
        <v>0</v>
      </c>
      <c r="AJ70" s="203"/>
      <c r="AK70" s="203"/>
      <c r="AL70" s="197">
        <f t="shared" si="9"/>
        <v>119372.95999999999</v>
      </c>
      <c r="AM70" s="197">
        <f t="shared" si="10"/>
        <v>0</v>
      </c>
      <c r="AN70" s="197">
        <f t="shared" si="11"/>
        <v>0</v>
      </c>
      <c r="AO70" s="202"/>
      <c r="AP70" s="161" t="s">
        <v>3900</v>
      </c>
      <c r="AQ70" s="279"/>
      <c r="AR70" s="287">
        <f t="shared" si="19"/>
        <v>0</v>
      </c>
      <c r="AS70" s="287">
        <f t="shared" si="20"/>
        <v>0</v>
      </c>
      <c r="AT70" s="287">
        <f t="shared" si="21"/>
        <v>0</v>
      </c>
      <c r="AU70" s="287">
        <f t="shared" si="22"/>
        <v>0</v>
      </c>
      <c r="AV70" s="287">
        <f t="shared" si="23"/>
        <v>0</v>
      </c>
      <c r="AW70" s="287">
        <f t="shared" si="24"/>
        <v>0</v>
      </c>
      <c r="AX70" s="287">
        <f t="shared" si="25"/>
        <v>0</v>
      </c>
      <c r="AY70" s="287">
        <f t="shared" si="26"/>
        <v>0</v>
      </c>
      <c r="AZ70" s="287">
        <f t="shared" si="27"/>
        <v>0</v>
      </c>
      <c r="BA70" s="287">
        <f t="shared" si="28"/>
        <v>0</v>
      </c>
      <c r="BB70" s="16"/>
      <c r="BC70" s="287">
        <f t="shared" si="29"/>
        <v>0</v>
      </c>
      <c r="BD70" s="287">
        <f t="shared" si="30"/>
        <v>0</v>
      </c>
      <c r="BE70" s="287">
        <f t="shared" si="31"/>
        <v>0</v>
      </c>
      <c r="BF70" s="287">
        <f t="shared" si="32"/>
        <v>0</v>
      </c>
      <c r="BG70" s="287">
        <f t="shared" si="33"/>
        <v>0</v>
      </c>
      <c r="BH70" s="287">
        <f t="shared" si="34"/>
        <v>0</v>
      </c>
      <c r="BI70" s="287">
        <f t="shared" si="35"/>
        <v>0</v>
      </c>
      <c r="BJ70" s="287">
        <f t="shared" si="36"/>
        <v>0</v>
      </c>
      <c r="BK70" s="287">
        <f t="shared" si="37"/>
        <v>0</v>
      </c>
      <c r="BL70" s="287">
        <f t="shared" si="38"/>
        <v>0</v>
      </c>
      <c r="BM70" s="16"/>
      <c r="BN70" s="287">
        <f t="shared" si="39"/>
        <v>0</v>
      </c>
      <c r="BO70" s="287">
        <f t="shared" si="40"/>
        <v>0</v>
      </c>
      <c r="BP70" s="432"/>
      <c r="BQ70" s="21"/>
      <c r="BR70" s="21"/>
      <c r="BS70" s="39"/>
      <c r="BT70" s="39"/>
      <c r="BU70" s="39"/>
      <c r="BV70" s="39"/>
      <c r="BW70" s="39"/>
      <c r="BX70" s="39"/>
      <c r="BY70" s="39"/>
      <c r="BZ70" s="39">
        <v>57</v>
      </c>
      <c r="CA70" s="39" t="str">
        <f t="shared" si="41"/>
        <v/>
      </c>
      <c r="CB70" s="39"/>
      <c r="CC70" s="39"/>
      <c r="CD70" s="39"/>
      <c r="CE70" s="39"/>
      <c r="CF70" s="39"/>
      <c r="CG70" s="39"/>
      <c r="CH70" s="39"/>
      <c r="CI70" s="39"/>
      <c r="CJ70" s="39"/>
      <c r="CK70" s="39"/>
    </row>
    <row r="71" spans="1:89" s="193" customFormat="1">
      <c r="A71" s="195"/>
      <c r="B71" s="21" t="str">
        <f t="shared" si="18"/>
        <v>N/A</v>
      </c>
      <c r="C71" s="21"/>
      <c r="D71" s="432">
        <v>2500006</v>
      </c>
      <c r="E71" s="439" t="s">
        <v>3626</v>
      </c>
      <c r="F71" s="439" t="s">
        <v>3682</v>
      </c>
      <c r="G71" s="273" t="s">
        <v>3393</v>
      </c>
      <c r="H71" s="358"/>
      <c r="I71" s="262" t="s">
        <v>3491</v>
      </c>
      <c r="J71" s="262" t="s">
        <v>3504</v>
      </c>
      <c r="K71" s="263">
        <v>66321</v>
      </c>
      <c r="L71" s="263">
        <v>56743</v>
      </c>
      <c r="M71" s="263">
        <v>58446</v>
      </c>
      <c r="N71" s="263">
        <v>60258</v>
      </c>
      <c r="O71" s="263">
        <v>0</v>
      </c>
      <c r="P71" s="263">
        <v>0</v>
      </c>
      <c r="Q71" s="263">
        <v>0</v>
      </c>
      <c r="R71" s="263">
        <v>0</v>
      </c>
      <c r="S71" s="263">
        <v>0</v>
      </c>
      <c r="T71" s="263">
        <v>0</v>
      </c>
      <c r="U71" s="263">
        <f t="shared" si="43"/>
        <v>241768</v>
      </c>
      <c r="V71" s="196" t="str">
        <f t="shared" si="4"/>
        <v>R</v>
      </c>
      <c r="W71" s="196" t="s">
        <v>1168</v>
      </c>
      <c r="X71" s="196" t="str">
        <f t="shared" si="44"/>
        <v>N</v>
      </c>
      <c r="Y71" s="197">
        <f t="shared" si="6"/>
        <v>241768</v>
      </c>
      <c r="Z71" s="198"/>
      <c r="AA71" s="197">
        <f t="shared" si="7"/>
        <v>241768</v>
      </c>
      <c r="AB71" s="196"/>
      <c r="AC71" s="196"/>
      <c r="AD71" s="275">
        <v>0</v>
      </c>
      <c r="AE71" s="275">
        <v>0</v>
      </c>
      <c r="AF71" s="275">
        <v>1</v>
      </c>
      <c r="AG71" s="442"/>
      <c r="AH71" s="442"/>
      <c r="AI71" s="200">
        <f t="shared" si="8"/>
        <v>0</v>
      </c>
      <c r="AJ71" s="203"/>
      <c r="AK71" s="203"/>
      <c r="AL71" s="197">
        <f t="shared" si="9"/>
        <v>241768</v>
      </c>
      <c r="AM71" s="197">
        <f t="shared" si="10"/>
        <v>0</v>
      </c>
      <c r="AN71" s="197">
        <f t="shared" si="11"/>
        <v>0</v>
      </c>
      <c r="AO71" s="202"/>
      <c r="AP71" s="161" t="s">
        <v>3900</v>
      </c>
      <c r="AQ71" s="279"/>
      <c r="AR71" s="287">
        <f t="shared" si="19"/>
        <v>0</v>
      </c>
      <c r="AS71" s="287">
        <f t="shared" si="20"/>
        <v>0</v>
      </c>
      <c r="AT71" s="287">
        <f t="shared" si="21"/>
        <v>0</v>
      </c>
      <c r="AU71" s="287">
        <f t="shared" si="22"/>
        <v>0</v>
      </c>
      <c r="AV71" s="287">
        <f t="shared" si="23"/>
        <v>0</v>
      </c>
      <c r="AW71" s="287">
        <f t="shared" si="24"/>
        <v>0</v>
      </c>
      <c r="AX71" s="287">
        <f t="shared" si="25"/>
        <v>0</v>
      </c>
      <c r="AY71" s="287">
        <f t="shared" si="26"/>
        <v>0</v>
      </c>
      <c r="AZ71" s="287">
        <f t="shared" si="27"/>
        <v>0</v>
      </c>
      <c r="BA71" s="287">
        <f t="shared" si="28"/>
        <v>0</v>
      </c>
      <c r="BB71" s="16"/>
      <c r="BC71" s="287">
        <f t="shared" si="29"/>
        <v>0</v>
      </c>
      <c r="BD71" s="287">
        <f t="shared" si="30"/>
        <v>0</v>
      </c>
      <c r="BE71" s="287">
        <f t="shared" si="31"/>
        <v>0</v>
      </c>
      <c r="BF71" s="287">
        <f t="shared" si="32"/>
        <v>0</v>
      </c>
      <c r="BG71" s="287">
        <f t="shared" si="33"/>
        <v>0</v>
      </c>
      <c r="BH71" s="287">
        <f t="shared" si="34"/>
        <v>0</v>
      </c>
      <c r="BI71" s="287">
        <f t="shared" si="35"/>
        <v>0</v>
      </c>
      <c r="BJ71" s="287">
        <f t="shared" si="36"/>
        <v>0</v>
      </c>
      <c r="BK71" s="287">
        <f t="shared" si="37"/>
        <v>0</v>
      </c>
      <c r="BL71" s="287">
        <f t="shared" si="38"/>
        <v>0</v>
      </c>
      <c r="BM71" s="16"/>
      <c r="BN71" s="287">
        <f t="shared" si="39"/>
        <v>0</v>
      </c>
      <c r="BO71" s="287">
        <f t="shared" si="40"/>
        <v>0</v>
      </c>
      <c r="BP71" s="432"/>
      <c r="BQ71" s="21"/>
      <c r="BR71" s="21"/>
      <c r="BS71" s="39"/>
      <c r="BT71" s="39"/>
      <c r="BU71" s="39"/>
      <c r="BV71" s="39"/>
      <c r="BW71" s="39"/>
      <c r="BX71" s="39"/>
      <c r="BY71" s="39"/>
      <c r="BZ71" s="39">
        <v>58</v>
      </c>
      <c r="CA71" s="39" t="str">
        <f t="shared" si="41"/>
        <v/>
      </c>
      <c r="CB71" s="39"/>
      <c r="CC71" s="39"/>
      <c r="CD71" s="39"/>
      <c r="CE71" s="39"/>
      <c r="CF71" s="39"/>
      <c r="CG71" s="39"/>
      <c r="CH71" s="39"/>
      <c r="CI71" s="39"/>
      <c r="CJ71" s="39"/>
      <c r="CK71" s="39"/>
    </row>
    <row r="72" spans="1:89" s="193" customFormat="1">
      <c r="A72" s="195"/>
      <c r="B72" s="21" t="str">
        <f t="shared" si="18"/>
        <v>N/A</v>
      </c>
      <c r="C72" s="21"/>
      <c r="D72" s="432">
        <v>2500007</v>
      </c>
      <c r="E72" s="439" t="s">
        <v>3626</v>
      </c>
      <c r="F72" s="439" t="s">
        <v>3683</v>
      </c>
      <c r="G72" s="273" t="s">
        <v>3392</v>
      </c>
      <c r="H72" s="358"/>
      <c r="I72" s="262" t="s">
        <v>3491</v>
      </c>
      <c r="J72" s="262" t="s">
        <v>3504</v>
      </c>
      <c r="K72" s="263">
        <v>74304.960000000006</v>
      </c>
      <c r="L72" s="263">
        <v>56743</v>
      </c>
      <c r="M72" s="263">
        <v>58446</v>
      </c>
      <c r="N72" s="263">
        <v>60258</v>
      </c>
      <c r="O72" s="263">
        <v>16802</v>
      </c>
      <c r="P72" s="263">
        <v>0</v>
      </c>
      <c r="Q72" s="263">
        <v>0</v>
      </c>
      <c r="R72" s="263">
        <v>0</v>
      </c>
      <c r="S72" s="263">
        <v>0</v>
      </c>
      <c r="T72" s="263">
        <v>0</v>
      </c>
      <c r="U72" s="263">
        <f t="shared" si="43"/>
        <v>266553.96000000002</v>
      </c>
      <c r="V72" s="196" t="str">
        <f t="shared" si="4"/>
        <v>R</v>
      </c>
      <c r="W72" s="196" t="s">
        <v>1168</v>
      </c>
      <c r="X72" s="196" t="str">
        <f t="shared" si="44"/>
        <v>N</v>
      </c>
      <c r="Y72" s="197">
        <f t="shared" si="6"/>
        <v>266553.96000000002</v>
      </c>
      <c r="Z72" s="198"/>
      <c r="AA72" s="197">
        <f t="shared" si="7"/>
        <v>266553.96000000002</v>
      </c>
      <c r="AB72" s="196"/>
      <c r="AC72" s="196"/>
      <c r="AD72" s="275">
        <v>0</v>
      </c>
      <c r="AE72" s="275">
        <v>0</v>
      </c>
      <c r="AF72" s="275">
        <v>1</v>
      </c>
      <c r="AG72" s="442"/>
      <c r="AH72" s="442"/>
      <c r="AI72" s="200">
        <f t="shared" si="8"/>
        <v>0</v>
      </c>
      <c r="AJ72" s="203"/>
      <c r="AK72" s="203"/>
      <c r="AL72" s="197">
        <f t="shared" si="9"/>
        <v>266553.96000000002</v>
      </c>
      <c r="AM72" s="197">
        <f t="shared" si="10"/>
        <v>0</v>
      </c>
      <c r="AN72" s="197">
        <f t="shared" si="11"/>
        <v>0</v>
      </c>
      <c r="AO72" s="202"/>
      <c r="AP72" s="161" t="s">
        <v>3900</v>
      </c>
      <c r="AQ72" s="279"/>
      <c r="AR72" s="287">
        <f t="shared" si="19"/>
        <v>0</v>
      </c>
      <c r="AS72" s="287">
        <f t="shared" si="20"/>
        <v>0</v>
      </c>
      <c r="AT72" s="287">
        <f t="shared" si="21"/>
        <v>0</v>
      </c>
      <c r="AU72" s="287">
        <f t="shared" si="22"/>
        <v>0</v>
      </c>
      <c r="AV72" s="287">
        <f t="shared" si="23"/>
        <v>0</v>
      </c>
      <c r="AW72" s="287">
        <f t="shared" si="24"/>
        <v>0</v>
      </c>
      <c r="AX72" s="287">
        <f t="shared" si="25"/>
        <v>0</v>
      </c>
      <c r="AY72" s="287">
        <f t="shared" si="26"/>
        <v>0</v>
      </c>
      <c r="AZ72" s="287">
        <f t="shared" si="27"/>
        <v>0</v>
      </c>
      <c r="BA72" s="287">
        <f t="shared" si="28"/>
        <v>0</v>
      </c>
      <c r="BB72" s="16"/>
      <c r="BC72" s="287">
        <f t="shared" si="29"/>
        <v>0</v>
      </c>
      <c r="BD72" s="287">
        <f t="shared" si="30"/>
        <v>0</v>
      </c>
      <c r="BE72" s="287">
        <f t="shared" si="31"/>
        <v>0</v>
      </c>
      <c r="BF72" s="287">
        <f t="shared" si="32"/>
        <v>0</v>
      </c>
      <c r="BG72" s="287">
        <f t="shared" si="33"/>
        <v>0</v>
      </c>
      <c r="BH72" s="287">
        <f t="shared" si="34"/>
        <v>0</v>
      </c>
      <c r="BI72" s="287">
        <f t="shared" si="35"/>
        <v>0</v>
      </c>
      <c r="BJ72" s="287">
        <f t="shared" si="36"/>
        <v>0</v>
      </c>
      <c r="BK72" s="287">
        <f t="shared" si="37"/>
        <v>0</v>
      </c>
      <c r="BL72" s="287">
        <f t="shared" si="38"/>
        <v>0</v>
      </c>
      <c r="BM72" s="16"/>
      <c r="BN72" s="287">
        <f t="shared" si="39"/>
        <v>0</v>
      </c>
      <c r="BO72" s="287">
        <f t="shared" si="40"/>
        <v>0</v>
      </c>
      <c r="BP72" s="432"/>
      <c r="BQ72" s="21"/>
      <c r="BR72" s="21"/>
      <c r="BS72" s="39"/>
      <c r="BT72" s="39"/>
      <c r="BU72" s="39"/>
      <c r="BV72" s="39"/>
      <c r="BW72" s="39"/>
      <c r="BX72" s="39"/>
      <c r="BY72" s="39"/>
      <c r="BZ72" s="39">
        <v>59</v>
      </c>
      <c r="CA72" s="39" t="str">
        <f t="shared" si="41"/>
        <v/>
      </c>
      <c r="CB72" s="39"/>
      <c r="CC72" s="39"/>
      <c r="CD72" s="39"/>
      <c r="CE72" s="39"/>
      <c r="CF72" s="39"/>
      <c r="CG72" s="39"/>
      <c r="CH72" s="39"/>
      <c r="CI72" s="39"/>
      <c r="CJ72" s="39"/>
      <c r="CK72" s="39"/>
    </row>
    <row r="73" spans="1:89" s="193" customFormat="1">
      <c r="A73" s="195"/>
      <c r="B73" s="21" t="str">
        <f t="shared" si="18"/>
        <v>N/A</v>
      </c>
      <c r="C73" s="21"/>
      <c r="D73" s="432">
        <v>2500018</v>
      </c>
      <c r="E73" s="439" t="s">
        <v>3626</v>
      </c>
      <c r="F73" s="439" t="s">
        <v>3684</v>
      </c>
      <c r="G73" s="273" t="s">
        <v>3386</v>
      </c>
      <c r="H73" s="358"/>
      <c r="I73" s="262" t="s">
        <v>3491</v>
      </c>
      <c r="J73" s="262" t="s">
        <v>3504</v>
      </c>
      <c r="K73" s="263">
        <v>126867</v>
      </c>
      <c r="L73" s="263">
        <v>0</v>
      </c>
      <c r="M73" s="263">
        <v>0</v>
      </c>
      <c r="N73" s="263">
        <v>0</v>
      </c>
      <c r="O73" s="263">
        <v>0</v>
      </c>
      <c r="P73" s="263">
        <v>0</v>
      </c>
      <c r="Q73" s="263">
        <v>0</v>
      </c>
      <c r="R73" s="263">
        <v>0</v>
      </c>
      <c r="S73" s="263">
        <v>0</v>
      </c>
      <c r="T73" s="263">
        <v>0</v>
      </c>
      <c r="U73" s="263">
        <f t="shared" si="43"/>
        <v>126867</v>
      </c>
      <c r="V73" s="196" t="str">
        <f t="shared" si="4"/>
        <v>R</v>
      </c>
      <c r="W73" s="196" t="s">
        <v>1168</v>
      </c>
      <c r="X73" s="196" t="str">
        <f t="shared" si="44"/>
        <v>N</v>
      </c>
      <c r="Y73" s="197">
        <f t="shared" si="6"/>
        <v>126867</v>
      </c>
      <c r="Z73" s="198"/>
      <c r="AA73" s="197">
        <f t="shared" si="7"/>
        <v>126867</v>
      </c>
      <c r="AB73" s="196"/>
      <c r="AC73" s="196"/>
      <c r="AD73" s="275">
        <v>0</v>
      </c>
      <c r="AE73" s="275">
        <v>0</v>
      </c>
      <c r="AF73" s="275">
        <v>1</v>
      </c>
      <c r="AG73" s="442"/>
      <c r="AH73" s="442"/>
      <c r="AI73" s="200">
        <f t="shared" si="8"/>
        <v>0</v>
      </c>
      <c r="AJ73" s="203"/>
      <c r="AK73" s="203"/>
      <c r="AL73" s="197">
        <f t="shared" si="9"/>
        <v>126867</v>
      </c>
      <c r="AM73" s="197">
        <f t="shared" si="10"/>
        <v>0</v>
      </c>
      <c r="AN73" s="197">
        <f t="shared" si="11"/>
        <v>0</v>
      </c>
      <c r="AO73" s="202"/>
      <c r="AP73" s="161" t="s">
        <v>3900</v>
      </c>
      <c r="AQ73" s="279"/>
      <c r="AR73" s="287">
        <f t="shared" si="19"/>
        <v>0</v>
      </c>
      <c r="AS73" s="287">
        <f t="shared" si="20"/>
        <v>0</v>
      </c>
      <c r="AT73" s="287">
        <f t="shared" si="21"/>
        <v>0</v>
      </c>
      <c r="AU73" s="287">
        <f t="shared" si="22"/>
        <v>0</v>
      </c>
      <c r="AV73" s="287">
        <f t="shared" si="23"/>
        <v>0</v>
      </c>
      <c r="AW73" s="287">
        <f t="shared" si="24"/>
        <v>0</v>
      </c>
      <c r="AX73" s="287">
        <f t="shared" si="25"/>
        <v>0</v>
      </c>
      <c r="AY73" s="287">
        <f t="shared" si="26"/>
        <v>0</v>
      </c>
      <c r="AZ73" s="287">
        <f t="shared" si="27"/>
        <v>0</v>
      </c>
      <c r="BA73" s="287">
        <f t="shared" si="28"/>
        <v>0</v>
      </c>
      <c r="BB73" s="16"/>
      <c r="BC73" s="287">
        <f t="shared" si="29"/>
        <v>0</v>
      </c>
      <c r="BD73" s="287">
        <f t="shared" si="30"/>
        <v>0</v>
      </c>
      <c r="BE73" s="287">
        <f t="shared" si="31"/>
        <v>0</v>
      </c>
      <c r="BF73" s="287">
        <f t="shared" si="32"/>
        <v>0</v>
      </c>
      <c r="BG73" s="287">
        <f t="shared" si="33"/>
        <v>0</v>
      </c>
      <c r="BH73" s="287">
        <f t="shared" si="34"/>
        <v>0</v>
      </c>
      <c r="BI73" s="287">
        <f t="shared" si="35"/>
        <v>0</v>
      </c>
      <c r="BJ73" s="287">
        <f t="shared" si="36"/>
        <v>0</v>
      </c>
      <c r="BK73" s="287">
        <f t="shared" si="37"/>
        <v>0</v>
      </c>
      <c r="BL73" s="287">
        <f t="shared" si="38"/>
        <v>0</v>
      </c>
      <c r="BM73" s="16"/>
      <c r="BN73" s="287">
        <f t="shared" si="39"/>
        <v>0</v>
      </c>
      <c r="BO73" s="287">
        <f t="shared" si="40"/>
        <v>0</v>
      </c>
      <c r="BP73" s="432"/>
      <c r="BQ73" s="21"/>
      <c r="BR73" s="21"/>
      <c r="BS73" s="39"/>
      <c r="BT73" s="39"/>
      <c r="BU73" s="39"/>
      <c r="BV73" s="39"/>
      <c r="BW73" s="39"/>
      <c r="BX73" s="39"/>
      <c r="BY73" s="39"/>
      <c r="BZ73" s="39">
        <v>60</v>
      </c>
      <c r="CA73" s="39" t="str">
        <f t="shared" si="41"/>
        <v/>
      </c>
      <c r="CB73" s="39"/>
      <c r="CC73" s="39"/>
      <c r="CD73" s="39"/>
      <c r="CE73" s="39"/>
      <c r="CF73" s="39"/>
      <c r="CG73" s="39"/>
      <c r="CH73" s="39"/>
      <c r="CI73" s="39"/>
      <c r="CJ73" s="39"/>
      <c r="CK73" s="39"/>
    </row>
    <row r="74" spans="1:89" s="193" customFormat="1">
      <c r="A74" s="195"/>
      <c r="B74" s="21" t="str">
        <f t="shared" si="18"/>
        <v>N/A</v>
      </c>
      <c r="C74" s="21"/>
      <c r="D74" s="432">
        <v>2500019</v>
      </c>
      <c r="E74" s="439" t="s">
        <v>3626</v>
      </c>
      <c r="F74" s="439" t="s">
        <v>3685</v>
      </c>
      <c r="G74" s="273" t="s">
        <v>3382</v>
      </c>
      <c r="H74" s="358"/>
      <c r="I74" s="262" t="s">
        <v>3491</v>
      </c>
      <c r="J74" s="262" t="s">
        <v>3504</v>
      </c>
      <c r="K74" s="263">
        <v>186000</v>
      </c>
      <c r="L74" s="263">
        <v>0</v>
      </c>
      <c r="M74" s="263">
        <v>0</v>
      </c>
      <c r="N74" s="263">
        <v>0</v>
      </c>
      <c r="O74" s="263">
        <v>0</v>
      </c>
      <c r="P74" s="263">
        <v>0</v>
      </c>
      <c r="Q74" s="263">
        <v>0</v>
      </c>
      <c r="R74" s="263">
        <v>0</v>
      </c>
      <c r="S74" s="263">
        <v>0</v>
      </c>
      <c r="T74" s="263">
        <v>0</v>
      </c>
      <c r="U74" s="263">
        <f t="shared" si="43"/>
        <v>186000</v>
      </c>
      <c r="V74" s="196" t="str">
        <f t="shared" si="4"/>
        <v>R</v>
      </c>
      <c r="W74" s="196" t="s">
        <v>1168</v>
      </c>
      <c r="X74" s="196" t="str">
        <f t="shared" si="44"/>
        <v>N</v>
      </c>
      <c r="Y74" s="197">
        <f t="shared" si="6"/>
        <v>186000</v>
      </c>
      <c r="Z74" s="198"/>
      <c r="AA74" s="197">
        <f t="shared" si="7"/>
        <v>186000</v>
      </c>
      <c r="AB74" s="196"/>
      <c r="AC74" s="196"/>
      <c r="AD74" s="275">
        <v>0</v>
      </c>
      <c r="AE74" s="275">
        <v>0</v>
      </c>
      <c r="AF74" s="275">
        <v>1</v>
      </c>
      <c r="AG74" s="442"/>
      <c r="AH74" s="442"/>
      <c r="AI74" s="200">
        <f t="shared" si="8"/>
        <v>0</v>
      </c>
      <c r="AJ74" s="203"/>
      <c r="AK74" s="203"/>
      <c r="AL74" s="197">
        <f t="shared" si="9"/>
        <v>186000</v>
      </c>
      <c r="AM74" s="197">
        <f t="shared" si="10"/>
        <v>0</v>
      </c>
      <c r="AN74" s="197">
        <f t="shared" si="11"/>
        <v>0</v>
      </c>
      <c r="AO74" s="202"/>
      <c r="AP74" s="161" t="s">
        <v>3900</v>
      </c>
      <c r="AQ74" s="279"/>
      <c r="AR74" s="287">
        <f t="shared" si="19"/>
        <v>0</v>
      </c>
      <c r="AS74" s="287">
        <f t="shared" si="20"/>
        <v>0</v>
      </c>
      <c r="AT74" s="287">
        <f t="shared" si="21"/>
        <v>0</v>
      </c>
      <c r="AU74" s="287">
        <f t="shared" si="22"/>
        <v>0</v>
      </c>
      <c r="AV74" s="287">
        <f t="shared" si="23"/>
        <v>0</v>
      </c>
      <c r="AW74" s="287">
        <f t="shared" si="24"/>
        <v>0</v>
      </c>
      <c r="AX74" s="287">
        <f t="shared" si="25"/>
        <v>0</v>
      </c>
      <c r="AY74" s="287">
        <f t="shared" si="26"/>
        <v>0</v>
      </c>
      <c r="AZ74" s="287">
        <f t="shared" si="27"/>
        <v>0</v>
      </c>
      <c r="BA74" s="287">
        <f t="shared" si="28"/>
        <v>0</v>
      </c>
      <c r="BB74" s="16"/>
      <c r="BC74" s="287">
        <f t="shared" si="29"/>
        <v>0</v>
      </c>
      <c r="BD74" s="287">
        <f t="shared" si="30"/>
        <v>0</v>
      </c>
      <c r="BE74" s="287">
        <f t="shared" si="31"/>
        <v>0</v>
      </c>
      <c r="BF74" s="287">
        <f t="shared" si="32"/>
        <v>0</v>
      </c>
      <c r="BG74" s="287">
        <f t="shared" si="33"/>
        <v>0</v>
      </c>
      <c r="BH74" s="287">
        <f t="shared" si="34"/>
        <v>0</v>
      </c>
      <c r="BI74" s="287">
        <f t="shared" si="35"/>
        <v>0</v>
      </c>
      <c r="BJ74" s="287">
        <f t="shared" si="36"/>
        <v>0</v>
      </c>
      <c r="BK74" s="287">
        <f t="shared" si="37"/>
        <v>0</v>
      </c>
      <c r="BL74" s="287">
        <f t="shared" si="38"/>
        <v>0</v>
      </c>
      <c r="BM74" s="16"/>
      <c r="BN74" s="287">
        <f t="shared" si="39"/>
        <v>0</v>
      </c>
      <c r="BO74" s="287">
        <f t="shared" si="40"/>
        <v>0</v>
      </c>
      <c r="BP74" s="432"/>
      <c r="BQ74" s="21"/>
      <c r="BR74" s="21"/>
      <c r="BS74" s="39"/>
      <c r="BT74" s="39"/>
      <c r="BU74" s="39"/>
      <c r="BV74" s="39"/>
      <c r="BW74" s="39"/>
      <c r="BX74" s="39"/>
      <c r="BY74" s="39"/>
      <c r="BZ74" s="39">
        <v>61</v>
      </c>
      <c r="CA74" s="39" t="str">
        <f t="shared" si="41"/>
        <v/>
      </c>
      <c r="CB74" s="39"/>
      <c r="CC74" s="39"/>
      <c r="CD74" s="39"/>
      <c r="CE74" s="39"/>
      <c r="CF74" s="39"/>
      <c r="CG74" s="39"/>
      <c r="CH74" s="39"/>
      <c r="CI74" s="39"/>
      <c r="CJ74" s="39"/>
      <c r="CK74" s="39"/>
    </row>
    <row r="75" spans="1:89" s="193" customFormat="1">
      <c r="A75" s="195"/>
      <c r="B75" s="21" t="str">
        <f t="shared" si="18"/>
        <v>N/A</v>
      </c>
      <c r="C75" s="21"/>
      <c r="D75" s="432">
        <v>2500020</v>
      </c>
      <c r="E75" s="439" t="s">
        <v>3626</v>
      </c>
      <c r="F75" s="439" t="s">
        <v>3686</v>
      </c>
      <c r="G75" s="273" t="s">
        <v>3399</v>
      </c>
      <c r="H75" s="358"/>
      <c r="I75" s="262" t="s">
        <v>3491</v>
      </c>
      <c r="J75" s="262" t="s">
        <v>3504</v>
      </c>
      <c r="K75" s="263">
        <v>50000.04</v>
      </c>
      <c r="L75" s="263">
        <v>0</v>
      </c>
      <c r="M75" s="263">
        <v>0</v>
      </c>
      <c r="N75" s="263">
        <v>0</v>
      </c>
      <c r="O75" s="263">
        <v>0</v>
      </c>
      <c r="P75" s="263">
        <v>0</v>
      </c>
      <c r="Q75" s="263">
        <v>0</v>
      </c>
      <c r="R75" s="263">
        <v>0</v>
      </c>
      <c r="S75" s="263">
        <v>0</v>
      </c>
      <c r="T75" s="263">
        <v>0</v>
      </c>
      <c r="U75" s="263">
        <f t="shared" si="43"/>
        <v>50000.04</v>
      </c>
      <c r="V75" s="196" t="str">
        <f t="shared" si="4"/>
        <v>R</v>
      </c>
      <c r="W75" s="196" t="s">
        <v>1168</v>
      </c>
      <c r="X75" s="196" t="str">
        <f t="shared" si="44"/>
        <v>N</v>
      </c>
      <c r="Y75" s="197">
        <f t="shared" si="6"/>
        <v>50000.04</v>
      </c>
      <c r="Z75" s="198"/>
      <c r="AA75" s="197">
        <f t="shared" si="7"/>
        <v>50000.04</v>
      </c>
      <c r="AB75" s="196"/>
      <c r="AC75" s="196"/>
      <c r="AD75" s="275">
        <v>0</v>
      </c>
      <c r="AE75" s="275">
        <v>0</v>
      </c>
      <c r="AF75" s="275">
        <v>1</v>
      </c>
      <c r="AG75" s="442"/>
      <c r="AH75" s="442"/>
      <c r="AI75" s="200">
        <f t="shared" si="8"/>
        <v>0</v>
      </c>
      <c r="AJ75" s="203"/>
      <c r="AK75" s="203"/>
      <c r="AL75" s="197">
        <f t="shared" si="9"/>
        <v>50000.04</v>
      </c>
      <c r="AM75" s="197">
        <f t="shared" si="10"/>
        <v>0</v>
      </c>
      <c r="AN75" s="197">
        <f t="shared" si="11"/>
        <v>0</v>
      </c>
      <c r="AO75" s="202"/>
      <c r="AP75" s="161" t="s">
        <v>3900</v>
      </c>
      <c r="AQ75" s="279"/>
      <c r="AR75" s="287">
        <f t="shared" si="19"/>
        <v>0</v>
      </c>
      <c r="AS75" s="287">
        <f t="shared" si="20"/>
        <v>0</v>
      </c>
      <c r="AT75" s="287">
        <f t="shared" si="21"/>
        <v>0</v>
      </c>
      <c r="AU75" s="287">
        <f t="shared" si="22"/>
        <v>0</v>
      </c>
      <c r="AV75" s="287">
        <f t="shared" si="23"/>
        <v>0</v>
      </c>
      <c r="AW75" s="287">
        <f t="shared" si="24"/>
        <v>0</v>
      </c>
      <c r="AX75" s="287">
        <f t="shared" si="25"/>
        <v>0</v>
      </c>
      <c r="AY75" s="287">
        <f t="shared" si="26"/>
        <v>0</v>
      </c>
      <c r="AZ75" s="287">
        <f t="shared" si="27"/>
        <v>0</v>
      </c>
      <c r="BA75" s="287">
        <f t="shared" si="28"/>
        <v>0</v>
      </c>
      <c r="BB75" s="16"/>
      <c r="BC75" s="287">
        <f t="shared" si="29"/>
        <v>0</v>
      </c>
      <c r="BD75" s="287">
        <f t="shared" si="30"/>
        <v>0</v>
      </c>
      <c r="BE75" s="287">
        <f t="shared" si="31"/>
        <v>0</v>
      </c>
      <c r="BF75" s="287">
        <f t="shared" si="32"/>
        <v>0</v>
      </c>
      <c r="BG75" s="287">
        <f t="shared" si="33"/>
        <v>0</v>
      </c>
      <c r="BH75" s="287">
        <f t="shared" si="34"/>
        <v>0</v>
      </c>
      <c r="BI75" s="287">
        <f t="shared" si="35"/>
        <v>0</v>
      </c>
      <c r="BJ75" s="287">
        <f t="shared" si="36"/>
        <v>0</v>
      </c>
      <c r="BK75" s="287">
        <f t="shared" si="37"/>
        <v>0</v>
      </c>
      <c r="BL75" s="287">
        <f t="shared" si="38"/>
        <v>0</v>
      </c>
      <c r="BM75" s="16"/>
      <c r="BN75" s="287">
        <f t="shared" si="39"/>
        <v>0</v>
      </c>
      <c r="BO75" s="287">
        <f t="shared" si="40"/>
        <v>0</v>
      </c>
      <c r="BP75" s="432"/>
      <c r="BQ75" s="21"/>
      <c r="BR75" s="21"/>
      <c r="BS75" s="39"/>
      <c r="BT75" s="39"/>
      <c r="BU75" s="39"/>
      <c r="BV75" s="39"/>
      <c r="BW75" s="39"/>
      <c r="BX75" s="39"/>
      <c r="BY75" s="39"/>
      <c r="BZ75" s="39">
        <v>62</v>
      </c>
      <c r="CA75" s="39" t="str">
        <f t="shared" si="41"/>
        <v/>
      </c>
      <c r="CB75" s="39"/>
      <c r="CC75" s="39"/>
      <c r="CD75" s="39"/>
      <c r="CE75" s="39"/>
      <c r="CF75" s="39"/>
      <c r="CG75" s="39"/>
      <c r="CH75" s="39"/>
      <c r="CI75" s="39"/>
      <c r="CJ75" s="39"/>
      <c r="CK75" s="39"/>
    </row>
    <row r="76" spans="1:89" s="193" customFormat="1">
      <c r="A76" s="195"/>
      <c r="B76" s="21" t="str">
        <f t="shared" si="18"/>
        <v>N/A</v>
      </c>
      <c r="C76" s="21"/>
      <c r="D76" s="432">
        <v>2500028</v>
      </c>
      <c r="E76" s="439" t="s">
        <v>3626</v>
      </c>
      <c r="F76" s="439" t="s">
        <v>3687</v>
      </c>
      <c r="G76" s="273" t="s">
        <v>3432</v>
      </c>
      <c r="H76" s="358"/>
      <c r="I76" s="262" t="s">
        <v>3491</v>
      </c>
      <c r="J76" s="262" t="s">
        <v>3504</v>
      </c>
      <c r="K76" s="263">
        <v>0</v>
      </c>
      <c r="L76" s="263">
        <v>0</v>
      </c>
      <c r="M76" s="263">
        <v>0</v>
      </c>
      <c r="N76" s="263">
        <v>0</v>
      </c>
      <c r="O76" s="263">
        <v>0</v>
      </c>
      <c r="P76" s="263">
        <v>0</v>
      </c>
      <c r="Q76" s="263">
        <v>8589804</v>
      </c>
      <c r="R76" s="263">
        <v>0</v>
      </c>
      <c r="S76" s="263">
        <v>0</v>
      </c>
      <c r="T76" s="263">
        <v>0</v>
      </c>
      <c r="U76" s="263">
        <f t="shared" si="43"/>
        <v>8589804</v>
      </c>
      <c r="V76" s="196" t="str">
        <f t="shared" si="4"/>
        <v>LOS</v>
      </c>
      <c r="W76" s="196" t="s">
        <v>1168</v>
      </c>
      <c r="X76" s="196" t="str">
        <f t="shared" si="44"/>
        <v>N</v>
      </c>
      <c r="Y76" s="197">
        <f t="shared" si="6"/>
        <v>8589804</v>
      </c>
      <c r="Z76" s="198"/>
      <c r="AA76" s="197">
        <f t="shared" si="7"/>
        <v>8589804</v>
      </c>
      <c r="AB76" s="196"/>
      <c r="AC76" s="196"/>
      <c r="AD76" s="275">
        <v>0</v>
      </c>
      <c r="AE76" s="275">
        <v>1</v>
      </c>
      <c r="AF76" s="275">
        <v>0</v>
      </c>
      <c r="AG76" s="442"/>
      <c r="AH76" s="442"/>
      <c r="AI76" s="200">
        <f t="shared" si="8"/>
        <v>0</v>
      </c>
      <c r="AJ76" s="203"/>
      <c r="AK76" s="203"/>
      <c r="AL76" s="197">
        <f t="shared" si="9"/>
        <v>8589804</v>
      </c>
      <c r="AM76" s="197">
        <f t="shared" si="10"/>
        <v>0</v>
      </c>
      <c r="AN76" s="197">
        <f t="shared" si="11"/>
        <v>0</v>
      </c>
      <c r="AO76" s="202"/>
      <c r="AP76" s="161" t="s">
        <v>3900</v>
      </c>
      <c r="AQ76" s="279"/>
      <c r="AR76" s="287">
        <f t="shared" si="19"/>
        <v>0</v>
      </c>
      <c r="AS76" s="287">
        <f t="shared" si="20"/>
        <v>0</v>
      </c>
      <c r="AT76" s="287">
        <f t="shared" si="21"/>
        <v>0</v>
      </c>
      <c r="AU76" s="287">
        <f t="shared" si="22"/>
        <v>0</v>
      </c>
      <c r="AV76" s="287">
        <f t="shared" si="23"/>
        <v>0</v>
      </c>
      <c r="AW76" s="287">
        <f t="shared" si="24"/>
        <v>0</v>
      </c>
      <c r="AX76" s="287">
        <f t="shared" si="25"/>
        <v>0</v>
      </c>
      <c r="AY76" s="287">
        <f t="shared" si="26"/>
        <v>0</v>
      </c>
      <c r="AZ76" s="287">
        <f t="shared" si="27"/>
        <v>0</v>
      </c>
      <c r="BA76" s="287">
        <f t="shared" si="28"/>
        <v>0</v>
      </c>
      <c r="BB76" s="16"/>
      <c r="BC76" s="287">
        <f t="shared" si="29"/>
        <v>0</v>
      </c>
      <c r="BD76" s="287">
        <f t="shared" si="30"/>
        <v>0</v>
      </c>
      <c r="BE76" s="287">
        <f t="shared" si="31"/>
        <v>0</v>
      </c>
      <c r="BF76" s="287">
        <f t="shared" si="32"/>
        <v>0</v>
      </c>
      <c r="BG76" s="287">
        <f t="shared" si="33"/>
        <v>0</v>
      </c>
      <c r="BH76" s="287">
        <f t="shared" si="34"/>
        <v>0</v>
      </c>
      <c r="BI76" s="287">
        <f t="shared" si="35"/>
        <v>0</v>
      </c>
      <c r="BJ76" s="287">
        <f t="shared" si="36"/>
        <v>0</v>
      </c>
      <c r="BK76" s="287">
        <f t="shared" si="37"/>
        <v>0</v>
      </c>
      <c r="BL76" s="287">
        <f t="shared" si="38"/>
        <v>0</v>
      </c>
      <c r="BM76" s="16"/>
      <c r="BN76" s="287">
        <f t="shared" si="39"/>
        <v>0</v>
      </c>
      <c r="BO76" s="287">
        <f t="shared" si="40"/>
        <v>0</v>
      </c>
      <c r="BP76" s="432"/>
      <c r="BQ76" s="21"/>
      <c r="BR76" s="21"/>
      <c r="BS76" s="39"/>
      <c r="BT76" s="39"/>
      <c r="BU76" s="39"/>
      <c r="BV76" s="39"/>
      <c r="BW76" s="39"/>
      <c r="BX76" s="39"/>
      <c r="BY76" s="39"/>
      <c r="BZ76" s="39">
        <v>63</v>
      </c>
      <c r="CA76" s="39" t="str">
        <f t="shared" si="41"/>
        <v/>
      </c>
      <c r="CB76" s="39"/>
      <c r="CC76" s="39"/>
      <c r="CD76" s="39"/>
      <c r="CE76" s="39"/>
      <c r="CF76" s="39"/>
      <c r="CG76" s="39"/>
      <c r="CH76" s="39"/>
      <c r="CI76" s="39"/>
      <c r="CJ76" s="39"/>
      <c r="CK76" s="39"/>
    </row>
    <row r="77" spans="1:89" s="193" customFormat="1">
      <c r="A77" s="195"/>
      <c r="B77" s="21" t="str">
        <f t="shared" si="18"/>
        <v>N/A</v>
      </c>
      <c r="C77" s="21"/>
      <c r="D77" s="432">
        <v>2700185</v>
      </c>
      <c r="E77" s="439" t="s">
        <v>3626</v>
      </c>
      <c r="F77" s="439" t="s">
        <v>3459</v>
      </c>
      <c r="G77" s="273" t="s">
        <v>3280</v>
      </c>
      <c r="H77" s="358"/>
      <c r="I77" s="262" t="s">
        <v>3491</v>
      </c>
      <c r="J77" s="262" t="s">
        <v>3504</v>
      </c>
      <c r="K77" s="263">
        <v>5955039.96</v>
      </c>
      <c r="L77" s="263">
        <v>9085440</v>
      </c>
      <c r="M77" s="263">
        <v>4456192</v>
      </c>
      <c r="N77" s="263">
        <v>2294938.88</v>
      </c>
      <c r="O77" s="263">
        <v>0</v>
      </c>
      <c r="P77" s="263">
        <v>0</v>
      </c>
      <c r="Q77" s="263">
        <v>0</v>
      </c>
      <c r="R77" s="263">
        <v>0</v>
      </c>
      <c r="S77" s="263">
        <v>0</v>
      </c>
      <c r="T77" s="263">
        <v>0</v>
      </c>
      <c r="U77" s="263">
        <f t="shared" si="43"/>
        <v>21791610.84</v>
      </c>
      <c r="V77" s="196" t="str">
        <f t="shared" si="4"/>
        <v>G/LOS/R</v>
      </c>
      <c r="W77" s="196" t="s">
        <v>1168</v>
      </c>
      <c r="X77" s="196" t="str">
        <f t="shared" si="44"/>
        <v>Y</v>
      </c>
      <c r="Y77" s="197">
        <f t="shared" si="6"/>
        <v>21791610.84</v>
      </c>
      <c r="Z77" s="198"/>
      <c r="AA77" s="197">
        <f t="shared" si="7"/>
        <v>21791610.84</v>
      </c>
      <c r="AB77" s="196" t="s">
        <v>1168</v>
      </c>
      <c r="AC77" s="196"/>
      <c r="AD77" s="275">
        <v>0.5</v>
      </c>
      <c r="AE77" s="275">
        <v>0.2</v>
      </c>
      <c r="AF77" s="275">
        <v>0.3</v>
      </c>
      <c r="AG77" s="442"/>
      <c r="AH77" s="442"/>
      <c r="AI77" s="200">
        <f t="shared" si="8"/>
        <v>0</v>
      </c>
      <c r="AJ77" s="203"/>
      <c r="AK77" s="203"/>
      <c r="AL77" s="197">
        <f t="shared" si="9"/>
        <v>21791610.84</v>
      </c>
      <c r="AM77" s="197">
        <f t="shared" si="10"/>
        <v>0</v>
      </c>
      <c r="AN77" s="197">
        <f t="shared" si="11"/>
        <v>0</v>
      </c>
      <c r="AO77" s="202"/>
      <c r="AP77" s="161" t="s">
        <v>3900</v>
      </c>
      <c r="AQ77" s="279"/>
      <c r="AR77" s="287">
        <f t="shared" si="19"/>
        <v>0</v>
      </c>
      <c r="AS77" s="287">
        <f t="shared" si="20"/>
        <v>0</v>
      </c>
      <c r="AT77" s="287">
        <f t="shared" si="21"/>
        <v>0</v>
      </c>
      <c r="AU77" s="287">
        <f t="shared" si="22"/>
        <v>0</v>
      </c>
      <c r="AV77" s="287">
        <f t="shared" si="23"/>
        <v>0</v>
      </c>
      <c r="AW77" s="287">
        <f t="shared" si="24"/>
        <v>0</v>
      </c>
      <c r="AX77" s="287">
        <f t="shared" si="25"/>
        <v>0</v>
      </c>
      <c r="AY77" s="287">
        <f t="shared" si="26"/>
        <v>0</v>
      </c>
      <c r="AZ77" s="287">
        <f t="shared" si="27"/>
        <v>0</v>
      </c>
      <c r="BA77" s="287">
        <f t="shared" si="28"/>
        <v>0</v>
      </c>
      <c r="BB77" s="16"/>
      <c r="BC77" s="287">
        <f t="shared" si="29"/>
        <v>0</v>
      </c>
      <c r="BD77" s="287">
        <f t="shared" si="30"/>
        <v>0</v>
      </c>
      <c r="BE77" s="287">
        <f t="shared" si="31"/>
        <v>0</v>
      </c>
      <c r="BF77" s="287">
        <f t="shared" si="32"/>
        <v>0</v>
      </c>
      <c r="BG77" s="287">
        <f t="shared" si="33"/>
        <v>0</v>
      </c>
      <c r="BH77" s="287">
        <f t="shared" si="34"/>
        <v>0</v>
      </c>
      <c r="BI77" s="287">
        <f t="shared" si="35"/>
        <v>0</v>
      </c>
      <c r="BJ77" s="287">
        <f t="shared" si="36"/>
        <v>0</v>
      </c>
      <c r="BK77" s="287">
        <f t="shared" si="37"/>
        <v>0</v>
      </c>
      <c r="BL77" s="287">
        <f t="shared" si="38"/>
        <v>0</v>
      </c>
      <c r="BM77" s="16"/>
      <c r="BN77" s="287">
        <f t="shared" si="39"/>
        <v>0</v>
      </c>
      <c r="BO77" s="287">
        <f t="shared" si="40"/>
        <v>0</v>
      </c>
      <c r="BP77" s="432"/>
      <c r="BQ77" s="21"/>
      <c r="BR77" s="21"/>
      <c r="BS77" s="39"/>
      <c r="BT77" s="39"/>
      <c r="BU77" s="39"/>
      <c r="BV77" s="39"/>
      <c r="BW77" s="39"/>
      <c r="BX77" s="39"/>
      <c r="BY77" s="39"/>
      <c r="BZ77" s="39">
        <v>64</v>
      </c>
      <c r="CA77" s="39" t="str">
        <f t="shared" si="41"/>
        <v/>
      </c>
      <c r="CB77" s="39"/>
      <c r="CC77" s="39"/>
      <c r="CD77" s="39"/>
      <c r="CE77" s="39"/>
      <c r="CF77" s="39"/>
      <c r="CG77" s="39"/>
      <c r="CH77" s="39"/>
      <c r="CI77" s="39"/>
      <c r="CJ77" s="39"/>
      <c r="CK77" s="39"/>
    </row>
    <row r="78" spans="1:89" s="193" customFormat="1">
      <c r="A78" s="195"/>
      <c r="B78" s="21" t="str">
        <f t="shared" ref="B78:B141" si="45">LEFT(AP78,3)</f>
        <v>N/A</v>
      </c>
      <c r="C78" s="21"/>
      <c r="D78" s="432">
        <v>2700185</v>
      </c>
      <c r="E78" s="439" t="s">
        <v>3626</v>
      </c>
      <c r="F78" s="439" t="s">
        <v>3462</v>
      </c>
      <c r="G78" s="273" t="s">
        <v>3283</v>
      </c>
      <c r="H78" s="358"/>
      <c r="I78" s="262" t="s">
        <v>3491</v>
      </c>
      <c r="J78" s="262" t="s">
        <v>3504</v>
      </c>
      <c r="K78" s="263">
        <v>119600.04</v>
      </c>
      <c r="L78" s="263">
        <v>0</v>
      </c>
      <c r="M78" s="263">
        <v>0</v>
      </c>
      <c r="N78" s="263">
        <v>0</v>
      </c>
      <c r="O78" s="263">
        <v>0</v>
      </c>
      <c r="P78" s="263">
        <v>0</v>
      </c>
      <c r="Q78" s="263">
        <v>0</v>
      </c>
      <c r="R78" s="263">
        <v>0</v>
      </c>
      <c r="S78" s="263">
        <v>0</v>
      </c>
      <c r="T78" s="263">
        <v>0</v>
      </c>
      <c r="U78" s="263">
        <f t="shared" si="43"/>
        <v>119600.04</v>
      </c>
      <c r="V78" s="196" t="str">
        <f t="shared" ref="V78:V141" si="46">IF(AND(AD78&gt;0,AE78&gt;0,AF78&gt;0),"G/LOS/R",IF(AND(AD78&gt;0,AE78&gt;0),"G/LOS",IF(AND(AD78&gt;0,AF78&gt;0),"G/R",IF(AND(AE78&gt;0,AF78&gt;0),"LOS/R",IF(AD78&gt;0,"G",IF(AE78&gt;0,"LOS",IF(AF78&gt;0,"R","CHECK")))))))</f>
        <v>G</v>
      </c>
      <c r="W78" s="196" t="s">
        <v>1168</v>
      </c>
      <c r="X78" s="196" t="str">
        <f t="shared" ref="X78:X109" si="47">IF(LEFT(V78,1)="G","Y","N")</f>
        <v>Y</v>
      </c>
      <c r="Y78" s="197">
        <f t="shared" ref="Y78:Y141" si="48">SUM(K78:T78)</f>
        <v>119600.04</v>
      </c>
      <c r="Z78" s="198"/>
      <c r="AA78" s="197">
        <f t="shared" ref="AA78:AA141" si="49">Y78-Z78</f>
        <v>119600.04</v>
      </c>
      <c r="AB78" s="196" t="s">
        <v>1168</v>
      </c>
      <c r="AC78" s="196"/>
      <c r="AD78" s="275">
        <v>1</v>
      </c>
      <c r="AE78" s="275">
        <v>0</v>
      </c>
      <c r="AF78" s="275">
        <v>0</v>
      </c>
      <c r="AG78" s="442"/>
      <c r="AH78" s="442"/>
      <c r="AI78" s="200">
        <f t="shared" ref="AI78:AI141" si="50">(AG78+AH78)/2</f>
        <v>0</v>
      </c>
      <c r="AJ78" s="203"/>
      <c r="AK78" s="203"/>
      <c r="AL78" s="197">
        <f t="shared" ref="AL78:AL141" si="51">(100%-AI78)*AA78</f>
        <v>119600.04</v>
      </c>
      <c r="AM78" s="197">
        <f t="shared" ref="AM78:AM141" si="52">AA78*AI78*AJ78</f>
        <v>0</v>
      </c>
      <c r="AN78" s="197">
        <f t="shared" ref="AN78:AN141" si="53">AA78*AI78*AK78</f>
        <v>0</v>
      </c>
      <c r="AO78" s="202"/>
      <c r="AP78" s="161" t="s">
        <v>3900</v>
      </c>
      <c r="AQ78" s="279"/>
      <c r="AR78" s="287">
        <f t="shared" si="19"/>
        <v>0</v>
      </c>
      <c r="AS78" s="287">
        <f t="shared" si="20"/>
        <v>0</v>
      </c>
      <c r="AT78" s="287">
        <f t="shared" si="21"/>
        <v>0</v>
      </c>
      <c r="AU78" s="287">
        <f t="shared" si="22"/>
        <v>0</v>
      </c>
      <c r="AV78" s="287">
        <f t="shared" si="23"/>
        <v>0</v>
      </c>
      <c r="AW78" s="287">
        <f t="shared" si="24"/>
        <v>0</v>
      </c>
      <c r="AX78" s="287">
        <f t="shared" si="25"/>
        <v>0</v>
      </c>
      <c r="AY78" s="287">
        <f t="shared" si="26"/>
        <v>0</v>
      </c>
      <c r="AZ78" s="287">
        <f t="shared" si="27"/>
        <v>0</v>
      </c>
      <c r="BA78" s="287">
        <f t="shared" si="28"/>
        <v>0</v>
      </c>
      <c r="BB78" s="16"/>
      <c r="BC78" s="287">
        <f t="shared" si="29"/>
        <v>0</v>
      </c>
      <c r="BD78" s="287">
        <f t="shared" si="30"/>
        <v>0</v>
      </c>
      <c r="BE78" s="287">
        <f t="shared" si="31"/>
        <v>0</v>
      </c>
      <c r="BF78" s="287">
        <f t="shared" si="32"/>
        <v>0</v>
      </c>
      <c r="BG78" s="287">
        <f t="shared" si="33"/>
        <v>0</v>
      </c>
      <c r="BH78" s="287">
        <f t="shared" si="34"/>
        <v>0</v>
      </c>
      <c r="BI78" s="287">
        <f t="shared" si="35"/>
        <v>0</v>
      </c>
      <c r="BJ78" s="287">
        <f t="shared" si="36"/>
        <v>0</v>
      </c>
      <c r="BK78" s="287">
        <f t="shared" si="37"/>
        <v>0</v>
      </c>
      <c r="BL78" s="287">
        <f t="shared" si="38"/>
        <v>0</v>
      </c>
      <c r="BM78" s="16"/>
      <c r="BN78" s="287">
        <f t="shared" si="39"/>
        <v>0</v>
      </c>
      <c r="BO78" s="287">
        <f t="shared" si="40"/>
        <v>0</v>
      </c>
      <c r="BP78" s="432"/>
      <c r="BQ78" s="21"/>
      <c r="BR78" s="21"/>
      <c r="BS78" s="39"/>
      <c r="BT78" s="39"/>
      <c r="BU78" s="39"/>
      <c r="BV78" s="39"/>
      <c r="BW78" s="39"/>
      <c r="BX78" s="39"/>
      <c r="BY78" s="39"/>
      <c r="BZ78" s="39">
        <v>65</v>
      </c>
      <c r="CA78" s="39" t="str">
        <f t="shared" si="41"/>
        <v/>
      </c>
      <c r="CB78" s="39"/>
      <c r="CC78" s="39"/>
      <c r="CD78" s="39"/>
      <c r="CE78" s="39"/>
      <c r="CF78" s="39"/>
      <c r="CG78" s="39"/>
      <c r="CH78" s="39"/>
      <c r="CI78" s="39"/>
      <c r="CJ78" s="39"/>
      <c r="CK78" s="39"/>
    </row>
    <row r="79" spans="1:89" s="193" customFormat="1">
      <c r="A79" s="195"/>
      <c r="B79" s="21" t="str">
        <f t="shared" si="45"/>
        <v>N/A</v>
      </c>
      <c r="C79" s="21"/>
      <c r="D79" s="432">
        <v>2700185</v>
      </c>
      <c r="E79" s="439" t="s">
        <v>3626</v>
      </c>
      <c r="F79" s="439" t="s">
        <v>3463</v>
      </c>
      <c r="G79" s="273" t="s">
        <v>3284</v>
      </c>
      <c r="H79" s="358"/>
      <c r="I79" s="262" t="s">
        <v>3491</v>
      </c>
      <c r="J79" s="262" t="s">
        <v>3504</v>
      </c>
      <c r="K79" s="263">
        <v>15600</v>
      </c>
      <c r="L79" s="263">
        <v>16224</v>
      </c>
      <c r="M79" s="263">
        <v>0</v>
      </c>
      <c r="N79" s="263">
        <v>0</v>
      </c>
      <c r="O79" s="263">
        <v>0</v>
      </c>
      <c r="P79" s="263">
        <v>0</v>
      </c>
      <c r="Q79" s="263">
        <v>0</v>
      </c>
      <c r="R79" s="263">
        <v>0</v>
      </c>
      <c r="S79" s="263">
        <v>0</v>
      </c>
      <c r="T79" s="263">
        <v>0</v>
      </c>
      <c r="U79" s="263">
        <f t="shared" si="43"/>
        <v>31824</v>
      </c>
      <c r="V79" s="196" t="str">
        <f t="shared" si="46"/>
        <v>G</v>
      </c>
      <c r="W79" s="196" t="s">
        <v>1168</v>
      </c>
      <c r="X79" s="196" t="str">
        <f t="shared" si="47"/>
        <v>Y</v>
      </c>
      <c r="Y79" s="197">
        <f t="shared" si="48"/>
        <v>31824</v>
      </c>
      <c r="Z79" s="198"/>
      <c r="AA79" s="197">
        <f t="shared" si="49"/>
        <v>31824</v>
      </c>
      <c r="AB79" s="196" t="s">
        <v>1168</v>
      </c>
      <c r="AC79" s="196"/>
      <c r="AD79" s="275">
        <v>1</v>
      </c>
      <c r="AE79" s="275">
        <v>0</v>
      </c>
      <c r="AF79" s="275">
        <v>0</v>
      </c>
      <c r="AG79" s="442"/>
      <c r="AH79" s="442"/>
      <c r="AI79" s="200">
        <f t="shared" si="50"/>
        <v>0</v>
      </c>
      <c r="AJ79" s="203"/>
      <c r="AK79" s="203"/>
      <c r="AL79" s="197">
        <f t="shared" si="51"/>
        <v>31824</v>
      </c>
      <c r="AM79" s="197">
        <f t="shared" si="52"/>
        <v>0</v>
      </c>
      <c r="AN79" s="197">
        <f t="shared" si="53"/>
        <v>0</v>
      </c>
      <c r="AO79" s="202"/>
      <c r="AP79" s="161" t="s">
        <v>3900</v>
      </c>
      <c r="AQ79" s="279"/>
      <c r="AR79" s="287">
        <f t="shared" ref="AR79:AR142" si="54">K79*$AI79*$AJ79</f>
        <v>0</v>
      </c>
      <c r="AS79" s="287">
        <f t="shared" ref="AS79:AS142" si="55">L79*$AI79*$AJ79</f>
        <v>0</v>
      </c>
      <c r="AT79" s="287">
        <f t="shared" ref="AT79:AT142" si="56">M79*$AI79*$AJ79</f>
        <v>0</v>
      </c>
      <c r="AU79" s="287">
        <f t="shared" ref="AU79:AU142" si="57">N79*$AI79*$AJ79</f>
        <v>0</v>
      </c>
      <c r="AV79" s="287">
        <f t="shared" ref="AV79:AV142" si="58">O79*$AI79*$AJ79</f>
        <v>0</v>
      </c>
      <c r="AW79" s="287">
        <f t="shared" ref="AW79:AW142" si="59">P79*$AI79*$AJ79</f>
        <v>0</v>
      </c>
      <c r="AX79" s="287">
        <f t="shared" ref="AX79:AX142" si="60">Q79*$AI79*$AJ79</f>
        <v>0</v>
      </c>
      <c r="AY79" s="287">
        <f t="shared" ref="AY79:AY142" si="61">R79*$AI79*$AJ79</f>
        <v>0</v>
      </c>
      <c r="AZ79" s="287">
        <f t="shared" ref="AZ79:AZ142" si="62">S79*$AI79*$AJ79</f>
        <v>0</v>
      </c>
      <c r="BA79" s="287">
        <f t="shared" ref="BA79:BA142" si="63">T79*$AI79*$AJ79</f>
        <v>0</v>
      </c>
      <c r="BB79" s="16"/>
      <c r="BC79" s="287">
        <f t="shared" ref="BC79:BC142" si="64">K79*$AI79*$AK79</f>
        <v>0</v>
      </c>
      <c r="BD79" s="287">
        <f t="shared" ref="BD79:BD142" si="65">L79*$AI79*$AK79</f>
        <v>0</v>
      </c>
      <c r="BE79" s="287">
        <f t="shared" ref="BE79:BE142" si="66">M79*$AI79*$AK79</f>
        <v>0</v>
      </c>
      <c r="BF79" s="287">
        <f t="shared" ref="BF79:BF142" si="67">N79*$AI79*$AK79</f>
        <v>0</v>
      </c>
      <c r="BG79" s="287">
        <f t="shared" ref="BG79:BG142" si="68">O79*$AI79*$AK79</f>
        <v>0</v>
      </c>
      <c r="BH79" s="287">
        <f t="shared" ref="BH79:BH142" si="69">P79*$AI79*$AK79</f>
        <v>0</v>
      </c>
      <c r="BI79" s="287">
        <f t="shared" ref="BI79:BI142" si="70">Q79*$AI79*$AK79</f>
        <v>0</v>
      </c>
      <c r="BJ79" s="287">
        <f t="shared" ref="BJ79:BJ142" si="71">R79*$AI79*$AK79</f>
        <v>0</v>
      </c>
      <c r="BK79" s="287">
        <f t="shared" ref="BK79:BK142" si="72">S79*$AI79*$AK79</f>
        <v>0</v>
      </c>
      <c r="BL79" s="287">
        <f t="shared" ref="BL79:BL142" si="73">T79*$AI79*$AK79</f>
        <v>0</v>
      </c>
      <c r="BM79" s="16"/>
      <c r="BN79" s="287">
        <f t="shared" ref="BN79:BN142" si="74">SUM(AR79:BA79)</f>
        <v>0</v>
      </c>
      <c r="BO79" s="287">
        <f t="shared" ref="BO79:BO142" si="75">SUM(BC79:BL79)</f>
        <v>0</v>
      </c>
      <c r="BP79" s="432"/>
      <c r="BQ79" s="21"/>
      <c r="BR79" s="21"/>
      <c r="BS79" s="39"/>
      <c r="BT79" s="39"/>
      <c r="BU79" s="39"/>
      <c r="BV79" s="39"/>
      <c r="BW79" s="39"/>
      <c r="BX79" s="39"/>
      <c r="BY79" s="39"/>
      <c r="BZ79" s="39">
        <v>66</v>
      </c>
      <c r="CA79" s="39" t="str">
        <f t="shared" ref="CA79:CA142" si="76">IFERROR(ROUND(IF(AJ79=100%,2031,1/AJ79*10+2021),0),"")</f>
        <v/>
      </c>
      <c r="CB79" s="39"/>
      <c r="CC79" s="39"/>
      <c r="CD79" s="39"/>
      <c r="CE79" s="39"/>
      <c r="CF79" s="39"/>
      <c r="CG79" s="39"/>
      <c r="CH79" s="39"/>
      <c r="CI79" s="39"/>
      <c r="CJ79" s="39"/>
      <c r="CK79" s="39"/>
    </row>
    <row r="80" spans="1:89" s="193" customFormat="1">
      <c r="A80" s="195"/>
      <c r="B80" s="21" t="str">
        <f t="shared" si="45"/>
        <v>N/A</v>
      </c>
      <c r="C80" s="21"/>
      <c r="D80" s="432">
        <v>2700185</v>
      </c>
      <c r="E80" s="439" t="s">
        <v>3626</v>
      </c>
      <c r="F80" s="439" t="s">
        <v>3460</v>
      </c>
      <c r="G80" s="273" t="s">
        <v>3281</v>
      </c>
      <c r="H80" s="358"/>
      <c r="I80" s="262" t="s">
        <v>3491</v>
      </c>
      <c r="J80" s="262" t="s">
        <v>3504</v>
      </c>
      <c r="K80" s="263">
        <v>702000</v>
      </c>
      <c r="L80" s="263">
        <v>1297920</v>
      </c>
      <c r="M80" s="263">
        <v>445619.20000000001</v>
      </c>
      <c r="N80" s="263">
        <v>0</v>
      </c>
      <c r="O80" s="263">
        <v>0</v>
      </c>
      <c r="P80" s="263">
        <v>0</v>
      </c>
      <c r="Q80" s="263">
        <v>0</v>
      </c>
      <c r="R80" s="263">
        <v>0</v>
      </c>
      <c r="S80" s="263">
        <v>0</v>
      </c>
      <c r="T80" s="263">
        <v>0</v>
      </c>
      <c r="U80" s="263">
        <f t="shared" si="43"/>
        <v>2445539.2000000002</v>
      </c>
      <c r="V80" s="196" t="str">
        <f t="shared" si="46"/>
        <v>G/LOS</v>
      </c>
      <c r="W80" s="196" t="s">
        <v>1168</v>
      </c>
      <c r="X80" s="196" t="str">
        <f t="shared" si="47"/>
        <v>Y</v>
      </c>
      <c r="Y80" s="197">
        <f t="shared" si="48"/>
        <v>2445539.2000000002</v>
      </c>
      <c r="Z80" s="198"/>
      <c r="AA80" s="197">
        <f t="shared" si="49"/>
        <v>2445539.2000000002</v>
      </c>
      <c r="AB80" s="196" t="s">
        <v>1168</v>
      </c>
      <c r="AC80" s="196"/>
      <c r="AD80" s="275">
        <v>0.6</v>
      </c>
      <c r="AE80" s="275">
        <v>0.4</v>
      </c>
      <c r="AF80" s="275">
        <v>0</v>
      </c>
      <c r="AG80" s="442"/>
      <c r="AH80" s="442"/>
      <c r="AI80" s="200">
        <f t="shared" si="50"/>
        <v>0</v>
      </c>
      <c r="AJ80" s="203"/>
      <c r="AK80" s="203"/>
      <c r="AL80" s="197">
        <f t="shared" si="51"/>
        <v>2445539.2000000002</v>
      </c>
      <c r="AM80" s="197">
        <f t="shared" si="52"/>
        <v>0</v>
      </c>
      <c r="AN80" s="197">
        <f t="shared" si="53"/>
        <v>0</v>
      </c>
      <c r="AO80" s="202"/>
      <c r="AP80" s="161" t="s">
        <v>3900</v>
      </c>
      <c r="AQ80" s="279"/>
      <c r="AR80" s="287">
        <f t="shared" si="54"/>
        <v>0</v>
      </c>
      <c r="AS80" s="287">
        <f t="shared" si="55"/>
        <v>0</v>
      </c>
      <c r="AT80" s="287">
        <f t="shared" si="56"/>
        <v>0</v>
      </c>
      <c r="AU80" s="287">
        <f t="shared" si="57"/>
        <v>0</v>
      </c>
      <c r="AV80" s="287">
        <f t="shared" si="58"/>
        <v>0</v>
      </c>
      <c r="AW80" s="287">
        <f t="shared" si="59"/>
        <v>0</v>
      </c>
      <c r="AX80" s="287">
        <f t="shared" si="60"/>
        <v>0</v>
      </c>
      <c r="AY80" s="287">
        <f t="shared" si="61"/>
        <v>0</v>
      </c>
      <c r="AZ80" s="287">
        <f t="shared" si="62"/>
        <v>0</v>
      </c>
      <c r="BA80" s="287">
        <f t="shared" si="63"/>
        <v>0</v>
      </c>
      <c r="BB80" s="16"/>
      <c r="BC80" s="287">
        <f t="shared" si="64"/>
        <v>0</v>
      </c>
      <c r="BD80" s="287">
        <f t="shared" si="65"/>
        <v>0</v>
      </c>
      <c r="BE80" s="287">
        <f t="shared" si="66"/>
        <v>0</v>
      </c>
      <c r="BF80" s="287">
        <f t="shared" si="67"/>
        <v>0</v>
      </c>
      <c r="BG80" s="287">
        <f t="shared" si="68"/>
        <v>0</v>
      </c>
      <c r="BH80" s="287">
        <f t="shared" si="69"/>
        <v>0</v>
      </c>
      <c r="BI80" s="287">
        <f t="shared" si="70"/>
        <v>0</v>
      </c>
      <c r="BJ80" s="287">
        <f t="shared" si="71"/>
        <v>0</v>
      </c>
      <c r="BK80" s="287">
        <f t="shared" si="72"/>
        <v>0</v>
      </c>
      <c r="BL80" s="287">
        <f t="shared" si="73"/>
        <v>0</v>
      </c>
      <c r="BM80" s="16"/>
      <c r="BN80" s="287">
        <f t="shared" si="74"/>
        <v>0</v>
      </c>
      <c r="BO80" s="287">
        <f t="shared" si="75"/>
        <v>0</v>
      </c>
      <c r="BP80" s="432"/>
      <c r="BQ80" s="21"/>
      <c r="BR80" s="21"/>
      <c r="BS80" s="39"/>
      <c r="BT80" s="39"/>
      <c r="BU80" s="39"/>
      <c r="BV80" s="39"/>
      <c r="BW80" s="39"/>
      <c r="BX80" s="39"/>
      <c r="BY80" s="39"/>
      <c r="BZ80" s="39">
        <v>67</v>
      </c>
      <c r="CA80" s="39" t="str">
        <f t="shared" si="76"/>
        <v/>
      </c>
      <c r="CB80" s="39"/>
      <c r="CC80" s="39"/>
      <c r="CD80" s="39"/>
      <c r="CE80" s="39"/>
      <c r="CF80" s="39"/>
      <c r="CG80" s="39"/>
      <c r="CH80" s="39"/>
      <c r="CI80" s="39"/>
      <c r="CJ80" s="39"/>
      <c r="CK80" s="39"/>
    </row>
    <row r="81" spans="1:89" s="193" customFormat="1">
      <c r="A81" s="195"/>
      <c r="B81" s="21" t="str">
        <f t="shared" si="45"/>
        <v>N/A</v>
      </c>
      <c r="C81" s="21"/>
      <c r="D81" s="432">
        <v>2700185</v>
      </c>
      <c r="E81" s="439" t="s">
        <v>3626</v>
      </c>
      <c r="F81" s="439" t="s">
        <v>3461</v>
      </c>
      <c r="G81" s="273" t="s">
        <v>3282</v>
      </c>
      <c r="H81" s="358"/>
      <c r="I81" s="262" t="s">
        <v>3491</v>
      </c>
      <c r="J81" s="262" t="s">
        <v>3504</v>
      </c>
      <c r="K81" s="263">
        <v>624000</v>
      </c>
      <c r="L81" s="263">
        <v>703040</v>
      </c>
      <c r="M81" s="263">
        <v>0</v>
      </c>
      <c r="N81" s="263">
        <v>0</v>
      </c>
      <c r="O81" s="263">
        <v>0</v>
      </c>
      <c r="P81" s="263">
        <v>0</v>
      </c>
      <c r="Q81" s="263">
        <v>0</v>
      </c>
      <c r="R81" s="263">
        <v>0</v>
      </c>
      <c r="S81" s="263">
        <v>0</v>
      </c>
      <c r="T81" s="263">
        <v>0</v>
      </c>
      <c r="U81" s="263">
        <f t="shared" si="43"/>
        <v>1327040</v>
      </c>
      <c r="V81" s="196" t="str">
        <f t="shared" si="46"/>
        <v>G/LOS</v>
      </c>
      <c r="W81" s="196" t="s">
        <v>1168</v>
      </c>
      <c r="X81" s="196" t="str">
        <f t="shared" si="47"/>
        <v>Y</v>
      </c>
      <c r="Y81" s="197">
        <f t="shared" si="48"/>
        <v>1327040</v>
      </c>
      <c r="Z81" s="198"/>
      <c r="AA81" s="197">
        <f t="shared" si="49"/>
        <v>1327040</v>
      </c>
      <c r="AB81" s="196" t="s">
        <v>1168</v>
      </c>
      <c r="AC81" s="196"/>
      <c r="AD81" s="275">
        <v>0.8</v>
      </c>
      <c r="AE81" s="275">
        <v>0.2</v>
      </c>
      <c r="AF81" s="275">
        <v>0</v>
      </c>
      <c r="AG81" s="442"/>
      <c r="AH81" s="442"/>
      <c r="AI81" s="200">
        <f t="shared" si="50"/>
        <v>0</v>
      </c>
      <c r="AJ81" s="203"/>
      <c r="AK81" s="203"/>
      <c r="AL81" s="197">
        <f t="shared" si="51"/>
        <v>1327040</v>
      </c>
      <c r="AM81" s="197">
        <f t="shared" si="52"/>
        <v>0</v>
      </c>
      <c r="AN81" s="197">
        <f t="shared" si="53"/>
        <v>0</v>
      </c>
      <c r="AO81" s="202"/>
      <c r="AP81" s="161" t="s">
        <v>3900</v>
      </c>
      <c r="AQ81" s="279"/>
      <c r="AR81" s="287">
        <f t="shared" si="54"/>
        <v>0</v>
      </c>
      <c r="AS81" s="287">
        <f t="shared" si="55"/>
        <v>0</v>
      </c>
      <c r="AT81" s="287">
        <f t="shared" si="56"/>
        <v>0</v>
      </c>
      <c r="AU81" s="287">
        <f t="shared" si="57"/>
        <v>0</v>
      </c>
      <c r="AV81" s="287">
        <f t="shared" si="58"/>
        <v>0</v>
      </c>
      <c r="AW81" s="287">
        <f t="shared" si="59"/>
        <v>0</v>
      </c>
      <c r="AX81" s="287">
        <f t="shared" si="60"/>
        <v>0</v>
      </c>
      <c r="AY81" s="287">
        <f t="shared" si="61"/>
        <v>0</v>
      </c>
      <c r="AZ81" s="287">
        <f t="shared" si="62"/>
        <v>0</v>
      </c>
      <c r="BA81" s="287">
        <f t="shared" si="63"/>
        <v>0</v>
      </c>
      <c r="BB81" s="16"/>
      <c r="BC81" s="287">
        <f t="shared" si="64"/>
        <v>0</v>
      </c>
      <c r="BD81" s="287">
        <f t="shared" si="65"/>
        <v>0</v>
      </c>
      <c r="BE81" s="287">
        <f t="shared" si="66"/>
        <v>0</v>
      </c>
      <c r="BF81" s="287">
        <f t="shared" si="67"/>
        <v>0</v>
      </c>
      <c r="BG81" s="287">
        <f t="shared" si="68"/>
        <v>0</v>
      </c>
      <c r="BH81" s="287">
        <f t="shared" si="69"/>
        <v>0</v>
      </c>
      <c r="BI81" s="287">
        <f t="shared" si="70"/>
        <v>0</v>
      </c>
      <c r="BJ81" s="287">
        <f t="shared" si="71"/>
        <v>0</v>
      </c>
      <c r="BK81" s="287">
        <f t="shared" si="72"/>
        <v>0</v>
      </c>
      <c r="BL81" s="287">
        <f t="shared" si="73"/>
        <v>0</v>
      </c>
      <c r="BM81" s="16"/>
      <c r="BN81" s="287">
        <f t="shared" si="74"/>
        <v>0</v>
      </c>
      <c r="BO81" s="287">
        <f t="shared" si="75"/>
        <v>0</v>
      </c>
      <c r="BP81" s="432"/>
      <c r="BQ81" s="21"/>
      <c r="BR81" s="21"/>
      <c r="BS81" s="39"/>
      <c r="BT81" s="39"/>
      <c r="BU81" s="39"/>
      <c r="BV81" s="39"/>
      <c r="BW81" s="39"/>
      <c r="BX81" s="39"/>
      <c r="BY81" s="39"/>
      <c r="BZ81" s="39">
        <v>68</v>
      </c>
      <c r="CA81" s="39" t="str">
        <f t="shared" si="76"/>
        <v/>
      </c>
      <c r="CB81" s="39"/>
      <c r="CC81" s="39"/>
      <c r="CD81" s="39"/>
      <c r="CE81" s="39"/>
      <c r="CF81" s="39"/>
      <c r="CG81" s="39"/>
      <c r="CH81" s="39"/>
      <c r="CI81" s="39"/>
      <c r="CJ81" s="39"/>
      <c r="CK81" s="39"/>
    </row>
    <row r="82" spans="1:89" s="193" customFormat="1">
      <c r="A82" s="195"/>
      <c r="B82" s="21" t="str">
        <f t="shared" si="45"/>
        <v>N/A</v>
      </c>
      <c r="C82" s="21"/>
      <c r="D82" s="432">
        <v>2820501</v>
      </c>
      <c r="E82" s="439" t="s">
        <v>3626</v>
      </c>
      <c r="F82" s="439" t="s">
        <v>3688</v>
      </c>
      <c r="G82" s="273" t="s">
        <v>3294</v>
      </c>
      <c r="H82" s="358"/>
      <c r="I82" s="262" t="s">
        <v>3491</v>
      </c>
      <c r="J82" s="262" t="s">
        <v>3508</v>
      </c>
      <c r="K82" s="263">
        <v>5622018</v>
      </c>
      <c r="L82" s="263">
        <v>0</v>
      </c>
      <c r="M82" s="263">
        <v>0</v>
      </c>
      <c r="N82" s="263">
        <v>0</v>
      </c>
      <c r="O82" s="263">
        <v>0</v>
      </c>
      <c r="P82" s="263">
        <v>0</v>
      </c>
      <c r="Q82" s="263">
        <v>0</v>
      </c>
      <c r="R82" s="263">
        <v>0</v>
      </c>
      <c r="S82" s="263">
        <v>0</v>
      </c>
      <c r="T82" s="263">
        <v>0</v>
      </c>
      <c r="U82" s="263">
        <f t="shared" si="43"/>
        <v>5622018</v>
      </c>
      <c r="V82" s="196" t="str">
        <f t="shared" si="46"/>
        <v>LOS</v>
      </c>
      <c r="W82" s="196" t="s">
        <v>1168</v>
      </c>
      <c r="X82" s="196" t="str">
        <f t="shared" si="47"/>
        <v>N</v>
      </c>
      <c r="Y82" s="197">
        <f t="shared" si="48"/>
        <v>5622018</v>
      </c>
      <c r="Z82" s="198"/>
      <c r="AA82" s="197">
        <f t="shared" si="49"/>
        <v>5622018</v>
      </c>
      <c r="AB82" s="196"/>
      <c r="AC82" s="196"/>
      <c r="AD82" s="275">
        <v>0</v>
      </c>
      <c r="AE82" s="275">
        <v>1</v>
      </c>
      <c r="AF82" s="275">
        <v>0</v>
      </c>
      <c r="AG82" s="442"/>
      <c r="AH82" s="442"/>
      <c r="AI82" s="200">
        <f t="shared" si="50"/>
        <v>0</v>
      </c>
      <c r="AJ82" s="203"/>
      <c r="AK82" s="203"/>
      <c r="AL82" s="197">
        <f t="shared" si="51"/>
        <v>5622018</v>
      </c>
      <c r="AM82" s="197">
        <f t="shared" si="52"/>
        <v>0</v>
      </c>
      <c r="AN82" s="197">
        <f t="shared" si="53"/>
        <v>0</v>
      </c>
      <c r="AO82" s="202"/>
      <c r="AP82" s="161" t="s">
        <v>3900</v>
      </c>
      <c r="AQ82" s="279"/>
      <c r="AR82" s="287">
        <f t="shared" si="54"/>
        <v>0</v>
      </c>
      <c r="AS82" s="287">
        <f t="shared" si="55"/>
        <v>0</v>
      </c>
      <c r="AT82" s="287">
        <f t="shared" si="56"/>
        <v>0</v>
      </c>
      <c r="AU82" s="287">
        <f t="shared" si="57"/>
        <v>0</v>
      </c>
      <c r="AV82" s="287">
        <f t="shared" si="58"/>
        <v>0</v>
      </c>
      <c r="AW82" s="287">
        <f t="shared" si="59"/>
        <v>0</v>
      </c>
      <c r="AX82" s="287">
        <f t="shared" si="60"/>
        <v>0</v>
      </c>
      <c r="AY82" s="287">
        <f t="shared" si="61"/>
        <v>0</v>
      </c>
      <c r="AZ82" s="287">
        <f t="shared" si="62"/>
        <v>0</v>
      </c>
      <c r="BA82" s="287">
        <f t="shared" si="63"/>
        <v>0</v>
      </c>
      <c r="BB82" s="16"/>
      <c r="BC82" s="287">
        <f t="shared" si="64"/>
        <v>0</v>
      </c>
      <c r="BD82" s="287">
        <f t="shared" si="65"/>
        <v>0</v>
      </c>
      <c r="BE82" s="287">
        <f t="shared" si="66"/>
        <v>0</v>
      </c>
      <c r="BF82" s="287">
        <f t="shared" si="67"/>
        <v>0</v>
      </c>
      <c r="BG82" s="287">
        <f t="shared" si="68"/>
        <v>0</v>
      </c>
      <c r="BH82" s="287">
        <f t="shared" si="69"/>
        <v>0</v>
      </c>
      <c r="BI82" s="287">
        <f t="shared" si="70"/>
        <v>0</v>
      </c>
      <c r="BJ82" s="287">
        <f t="shared" si="71"/>
        <v>0</v>
      </c>
      <c r="BK82" s="287">
        <f t="shared" si="72"/>
        <v>0</v>
      </c>
      <c r="BL82" s="287">
        <f t="shared" si="73"/>
        <v>0</v>
      </c>
      <c r="BM82" s="16"/>
      <c r="BN82" s="287">
        <f t="shared" si="74"/>
        <v>0</v>
      </c>
      <c r="BO82" s="287">
        <f t="shared" si="75"/>
        <v>0</v>
      </c>
      <c r="BP82" s="432"/>
      <c r="BQ82" s="21"/>
      <c r="BR82" s="21"/>
      <c r="BS82" s="39"/>
      <c r="BT82" s="39"/>
      <c r="BU82" s="39"/>
      <c r="BV82" s="39"/>
      <c r="BW82" s="39"/>
      <c r="BX82" s="39"/>
      <c r="BY82" s="39"/>
      <c r="BZ82" s="39">
        <v>69</v>
      </c>
      <c r="CA82" s="39" t="str">
        <f t="shared" si="76"/>
        <v/>
      </c>
      <c r="CB82" s="39"/>
      <c r="CC82" s="39"/>
      <c r="CD82" s="39"/>
      <c r="CE82" s="39"/>
      <c r="CF82" s="39"/>
      <c r="CG82" s="39"/>
      <c r="CH82" s="39"/>
      <c r="CI82" s="39"/>
      <c r="CJ82" s="39"/>
      <c r="CK82" s="39"/>
    </row>
    <row r="83" spans="1:89" s="193" customFormat="1">
      <c r="A83" s="195"/>
      <c r="B83" s="21" t="str">
        <f t="shared" si="45"/>
        <v>N/A</v>
      </c>
      <c r="C83" s="21"/>
      <c r="D83" s="432">
        <v>2900000</v>
      </c>
      <c r="E83" s="439" t="s">
        <v>3626</v>
      </c>
      <c r="F83" s="439" t="s">
        <v>3689</v>
      </c>
      <c r="G83" s="273" t="s">
        <v>3310</v>
      </c>
      <c r="H83" s="358"/>
      <c r="I83" s="262" t="s">
        <v>3493</v>
      </c>
      <c r="J83" s="262" t="s">
        <v>3504</v>
      </c>
      <c r="K83" s="263">
        <v>3000000</v>
      </c>
      <c r="L83" s="263">
        <v>3000000</v>
      </c>
      <c r="M83" s="263">
        <v>3000000</v>
      </c>
      <c r="N83" s="263">
        <v>3000000</v>
      </c>
      <c r="O83" s="263">
        <v>3000000</v>
      </c>
      <c r="P83" s="263">
        <v>3000000</v>
      </c>
      <c r="Q83" s="263">
        <v>3000000</v>
      </c>
      <c r="R83" s="263">
        <v>3000000</v>
      </c>
      <c r="S83" s="263">
        <v>3000000</v>
      </c>
      <c r="T83" s="263">
        <v>3000000</v>
      </c>
      <c r="U83" s="263">
        <f t="shared" si="43"/>
        <v>30000000</v>
      </c>
      <c r="V83" s="196" t="str">
        <f t="shared" si="46"/>
        <v>R</v>
      </c>
      <c r="W83" s="196" t="s">
        <v>1168</v>
      </c>
      <c r="X83" s="196" t="str">
        <f t="shared" si="47"/>
        <v>N</v>
      </c>
      <c r="Y83" s="197">
        <f t="shared" si="48"/>
        <v>30000000</v>
      </c>
      <c r="Z83" s="198"/>
      <c r="AA83" s="197">
        <f t="shared" si="49"/>
        <v>30000000</v>
      </c>
      <c r="AB83" s="196"/>
      <c r="AC83" s="196"/>
      <c r="AD83" s="275">
        <v>0</v>
      </c>
      <c r="AE83" s="275">
        <v>0</v>
      </c>
      <c r="AF83" s="275">
        <v>1</v>
      </c>
      <c r="AG83" s="199"/>
      <c r="AH83" s="199"/>
      <c r="AI83" s="377">
        <f t="shared" si="50"/>
        <v>0</v>
      </c>
      <c r="AJ83" s="203"/>
      <c r="AK83" s="203"/>
      <c r="AL83" s="197">
        <f t="shared" si="51"/>
        <v>30000000</v>
      </c>
      <c r="AM83" s="197">
        <f t="shared" si="52"/>
        <v>0</v>
      </c>
      <c r="AN83" s="197">
        <f t="shared" si="53"/>
        <v>0</v>
      </c>
      <c r="AO83" s="202"/>
      <c r="AP83" s="161" t="s">
        <v>3900</v>
      </c>
      <c r="AQ83" s="279"/>
      <c r="AR83" s="287">
        <f t="shared" si="54"/>
        <v>0</v>
      </c>
      <c r="AS83" s="287">
        <f t="shared" si="55"/>
        <v>0</v>
      </c>
      <c r="AT83" s="287">
        <f t="shared" si="56"/>
        <v>0</v>
      </c>
      <c r="AU83" s="287">
        <f t="shared" si="57"/>
        <v>0</v>
      </c>
      <c r="AV83" s="287">
        <f t="shared" si="58"/>
        <v>0</v>
      </c>
      <c r="AW83" s="287">
        <f t="shared" si="59"/>
        <v>0</v>
      </c>
      <c r="AX83" s="287">
        <f t="shared" si="60"/>
        <v>0</v>
      </c>
      <c r="AY83" s="287">
        <f t="shared" si="61"/>
        <v>0</v>
      </c>
      <c r="AZ83" s="287">
        <f t="shared" si="62"/>
        <v>0</v>
      </c>
      <c r="BA83" s="287">
        <f t="shared" si="63"/>
        <v>0</v>
      </c>
      <c r="BB83" s="16"/>
      <c r="BC83" s="287">
        <f t="shared" si="64"/>
        <v>0</v>
      </c>
      <c r="BD83" s="287">
        <f t="shared" si="65"/>
        <v>0</v>
      </c>
      <c r="BE83" s="287">
        <f t="shared" si="66"/>
        <v>0</v>
      </c>
      <c r="BF83" s="287">
        <f t="shared" si="67"/>
        <v>0</v>
      </c>
      <c r="BG83" s="287">
        <f t="shared" si="68"/>
        <v>0</v>
      </c>
      <c r="BH83" s="287">
        <f t="shared" si="69"/>
        <v>0</v>
      </c>
      <c r="BI83" s="287">
        <f t="shared" si="70"/>
        <v>0</v>
      </c>
      <c r="BJ83" s="287">
        <f t="shared" si="71"/>
        <v>0</v>
      </c>
      <c r="BK83" s="287">
        <f t="shared" si="72"/>
        <v>0</v>
      </c>
      <c r="BL83" s="287">
        <f t="shared" si="73"/>
        <v>0</v>
      </c>
      <c r="BM83" s="16"/>
      <c r="BN83" s="287">
        <f t="shared" si="74"/>
        <v>0</v>
      </c>
      <c r="BO83" s="287">
        <f t="shared" si="75"/>
        <v>0</v>
      </c>
      <c r="BP83" s="432"/>
      <c r="BQ83" s="21"/>
      <c r="BR83" s="21"/>
      <c r="BS83" s="39"/>
      <c r="BT83" s="39"/>
      <c r="BU83" s="334">
        <v>999000</v>
      </c>
      <c r="BV83" s="334">
        <v>0</v>
      </c>
      <c r="BW83" s="39"/>
      <c r="BX83" s="39"/>
      <c r="BY83" s="39"/>
      <c r="BZ83" s="39">
        <v>70</v>
      </c>
      <c r="CA83" s="39" t="str">
        <f t="shared" si="76"/>
        <v/>
      </c>
      <c r="CB83" s="39"/>
      <c r="CC83" s="39"/>
      <c r="CD83" s="39"/>
      <c r="CE83" s="39"/>
      <c r="CF83" s="39"/>
      <c r="CG83" s="39"/>
      <c r="CH83" s="39"/>
      <c r="CI83" s="39"/>
      <c r="CJ83" s="39"/>
      <c r="CK83" s="39"/>
    </row>
    <row r="84" spans="1:89" s="193" customFormat="1">
      <c r="A84" s="195"/>
      <c r="B84" s="21" t="str">
        <f t="shared" si="45"/>
        <v>N/A</v>
      </c>
      <c r="C84" s="21"/>
      <c r="D84" s="432">
        <v>2910202</v>
      </c>
      <c r="E84" s="439" t="s">
        <v>3626</v>
      </c>
      <c r="F84" s="439" t="s">
        <v>2499</v>
      </c>
      <c r="G84" s="273" t="s">
        <v>3576</v>
      </c>
      <c r="H84" s="358"/>
      <c r="I84" s="262" t="s">
        <v>3531</v>
      </c>
      <c r="J84" s="262" t="s">
        <v>3504</v>
      </c>
      <c r="K84" s="263">
        <v>478226.1</v>
      </c>
      <c r="L84" s="263">
        <v>500000</v>
      </c>
      <c r="M84" s="263">
        <v>500000</v>
      </c>
      <c r="N84" s="263">
        <v>500000</v>
      </c>
      <c r="O84" s="263">
        <v>500000</v>
      </c>
      <c r="P84" s="263">
        <v>500000</v>
      </c>
      <c r="Q84" s="263">
        <v>500000</v>
      </c>
      <c r="R84" s="263">
        <v>500000</v>
      </c>
      <c r="S84" s="263">
        <v>500000</v>
      </c>
      <c r="T84" s="263">
        <v>500000</v>
      </c>
      <c r="U84" s="263">
        <f t="shared" si="43"/>
        <v>4978226.0999999996</v>
      </c>
      <c r="V84" s="196" t="str">
        <f t="shared" si="46"/>
        <v>R</v>
      </c>
      <c r="W84" s="196" t="s">
        <v>1168</v>
      </c>
      <c r="X84" s="196" t="str">
        <f t="shared" si="47"/>
        <v>N</v>
      </c>
      <c r="Y84" s="197">
        <f t="shared" si="48"/>
        <v>4978226.0999999996</v>
      </c>
      <c r="Z84" s="198"/>
      <c r="AA84" s="197">
        <f t="shared" si="49"/>
        <v>4978226.0999999996</v>
      </c>
      <c r="AB84" s="196"/>
      <c r="AC84" s="196"/>
      <c r="AD84" s="275">
        <v>0</v>
      </c>
      <c r="AE84" s="275">
        <v>0</v>
      </c>
      <c r="AF84" s="275">
        <v>1</v>
      </c>
      <c r="AG84" s="442"/>
      <c r="AH84" s="442"/>
      <c r="AI84" s="200">
        <f t="shared" si="50"/>
        <v>0</v>
      </c>
      <c r="AJ84" s="203"/>
      <c r="AK84" s="203"/>
      <c r="AL84" s="197">
        <f t="shared" si="51"/>
        <v>4978226.0999999996</v>
      </c>
      <c r="AM84" s="197">
        <f t="shared" si="52"/>
        <v>0</v>
      </c>
      <c r="AN84" s="197">
        <f t="shared" si="53"/>
        <v>0</v>
      </c>
      <c r="AO84" s="202"/>
      <c r="AP84" s="161" t="s">
        <v>3900</v>
      </c>
      <c r="AQ84" s="279"/>
      <c r="AR84" s="287">
        <f t="shared" si="54"/>
        <v>0</v>
      </c>
      <c r="AS84" s="287">
        <f t="shared" si="55"/>
        <v>0</v>
      </c>
      <c r="AT84" s="287">
        <f t="shared" si="56"/>
        <v>0</v>
      </c>
      <c r="AU84" s="287">
        <f t="shared" si="57"/>
        <v>0</v>
      </c>
      <c r="AV84" s="287">
        <f t="shared" si="58"/>
        <v>0</v>
      </c>
      <c r="AW84" s="287">
        <f t="shared" si="59"/>
        <v>0</v>
      </c>
      <c r="AX84" s="287">
        <f t="shared" si="60"/>
        <v>0</v>
      </c>
      <c r="AY84" s="287">
        <f t="shared" si="61"/>
        <v>0</v>
      </c>
      <c r="AZ84" s="287">
        <f t="shared" si="62"/>
        <v>0</v>
      </c>
      <c r="BA84" s="287">
        <f t="shared" si="63"/>
        <v>0</v>
      </c>
      <c r="BB84" s="16"/>
      <c r="BC84" s="287">
        <f t="shared" si="64"/>
        <v>0</v>
      </c>
      <c r="BD84" s="287">
        <f t="shared" si="65"/>
        <v>0</v>
      </c>
      <c r="BE84" s="287">
        <f t="shared" si="66"/>
        <v>0</v>
      </c>
      <c r="BF84" s="287">
        <f t="shared" si="67"/>
        <v>0</v>
      </c>
      <c r="BG84" s="287">
        <f t="shared" si="68"/>
        <v>0</v>
      </c>
      <c r="BH84" s="287">
        <f t="shared" si="69"/>
        <v>0</v>
      </c>
      <c r="BI84" s="287">
        <f t="shared" si="70"/>
        <v>0</v>
      </c>
      <c r="BJ84" s="287">
        <f t="shared" si="71"/>
        <v>0</v>
      </c>
      <c r="BK84" s="287">
        <f t="shared" si="72"/>
        <v>0</v>
      </c>
      <c r="BL84" s="287">
        <f t="shared" si="73"/>
        <v>0</v>
      </c>
      <c r="BM84" s="16"/>
      <c r="BN84" s="287">
        <f t="shared" si="74"/>
        <v>0</v>
      </c>
      <c r="BO84" s="287">
        <f t="shared" si="75"/>
        <v>0</v>
      </c>
      <c r="BP84" s="432"/>
      <c r="BQ84" s="21"/>
      <c r="BR84" s="21"/>
      <c r="BS84" s="39"/>
      <c r="BT84" s="39"/>
      <c r="BU84" s="39"/>
      <c r="BV84" s="39"/>
      <c r="BW84" s="39"/>
      <c r="BX84" s="39"/>
      <c r="BY84" s="39"/>
      <c r="BZ84" s="39">
        <v>71</v>
      </c>
      <c r="CA84" s="39" t="str">
        <f t="shared" si="76"/>
        <v/>
      </c>
      <c r="CB84" s="39"/>
      <c r="CC84" s="39"/>
      <c r="CD84" s="39"/>
      <c r="CE84" s="39"/>
      <c r="CF84" s="39"/>
      <c r="CG84" s="39"/>
      <c r="CH84" s="39"/>
      <c r="CI84" s="39"/>
      <c r="CJ84" s="39"/>
      <c r="CK84" s="39"/>
    </row>
    <row r="85" spans="1:89" s="193" customFormat="1">
      <c r="A85" s="195"/>
      <c r="B85" s="21" t="str">
        <f t="shared" si="45"/>
        <v>N/A</v>
      </c>
      <c r="C85" s="21"/>
      <c r="D85" s="432">
        <v>3000001</v>
      </c>
      <c r="E85" s="439" t="s">
        <v>3626</v>
      </c>
      <c r="F85" s="439" t="s">
        <v>3690</v>
      </c>
      <c r="G85" s="273" t="s">
        <v>3384</v>
      </c>
      <c r="H85" s="358"/>
      <c r="I85" s="262" t="s">
        <v>3499</v>
      </c>
      <c r="J85" s="262" t="s">
        <v>3504</v>
      </c>
      <c r="K85" s="263">
        <v>136933</v>
      </c>
      <c r="L85" s="263">
        <v>140892</v>
      </c>
      <c r="M85" s="263">
        <v>145118</v>
      </c>
      <c r="N85" s="263">
        <v>149618</v>
      </c>
      <c r="O85" s="263">
        <v>154255</v>
      </c>
      <c r="P85" s="263">
        <v>159036</v>
      </c>
      <c r="Q85" s="263">
        <v>163966</v>
      </c>
      <c r="R85" s="263">
        <v>169098.81</v>
      </c>
      <c r="S85" s="263">
        <v>174392.29</v>
      </c>
      <c r="T85" s="263">
        <v>179851.48</v>
      </c>
      <c r="U85" s="263">
        <f t="shared" si="43"/>
        <v>1573160.58</v>
      </c>
      <c r="V85" s="196" t="str">
        <f t="shared" si="46"/>
        <v>R</v>
      </c>
      <c r="W85" s="196" t="s">
        <v>1168</v>
      </c>
      <c r="X85" s="196" t="str">
        <f t="shared" si="47"/>
        <v>N</v>
      </c>
      <c r="Y85" s="197">
        <f t="shared" si="48"/>
        <v>1573160.58</v>
      </c>
      <c r="Z85" s="198"/>
      <c r="AA85" s="197">
        <f t="shared" si="49"/>
        <v>1573160.58</v>
      </c>
      <c r="AB85" s="196"/>
      <c r="AC85" s="196"/>
      <c r="AD85" s="275">
        <v>0</v>
      </c>
      <c r="AE85" s="275">
        <v>0</v>
      </c>
      <c r="AF85" s="275">
        <v>1</v>
      </c>
      <c r="AG85" s="442"/>
      <c r="AH85" s="442"/>
      <c r="AI85" s="200">
        <f t="shared" si="50"/>
        <v>0</v>
      </c>
      <c r="AJ85" s="203"/>
      <c r="AK85" s="203"/>
      <c r="AL85" s="197">
        <f t="shared" si="51"/>
        <v>1573160.58</v>
      </c>
      <c r="AM85" s="197">
        <f t="shared" si="52"/>
        <v>0</v>
      </c>
      <c r="AN85" s="197">
        <f t="shared" si="53"/>
        <v>0</v>
      </c>
      <c r="AO85" s="202"/>
      <c r="AP85" s="161" t="s">
        <v>3900</v>
      </c>
      <c r="AQ85" s="279"/>
      <c r="AR85" s="287">
        <f t="shared" si="54"/>
        <v>0</v>
      </c>
      <c r="AS85" s="287">
        <f t="shared" si="55"/>
        <v>0</v>
      </c>
      <c r="AT85" s="287">
        <f t="shared" si="56"/>
        <v>0</v>
      </c>
      <c r="AU85" s="287">
        <f t="shared" si="57"/>
        <v>0</v>
      </c>
      <c r="AV85" s="287">
        <f t="shared" si="58"/>
        <v>0</v>
      </c>
      <c r="AW85" s="287">
        <f t="shared" si="59"/>
        <v>0</v>
      </c>
      <c r="AX85" s="287">
        <f t="shared" si="60"/>
        <v>0</v>
      </c>
      <c r="AY85" s="287">
        <f t="shared" si="61"/>
        <v>0</v>
      </c>
      <c r="AZ85" s="287">
        <f t="shared" si="62"/>
        <v>0</v>
      </c>
      <c r="BA85" s="287">
        <f t="shared" si="63"/>
        <v>0</v>
      </c>
      <c r="BB85" s="16"/>
      <c r="BC85" s="287">
        <f t="shared" si="64"/>
        <v>0</v>
      </c>
      <c r="BD85" s="287">
        <f t="shared" si="65"/>
        <v>0</v>
      </c>
      <c r="BE85" s="287">
        <f t="shared" si="66"/>
        <v>0</v>
      </c>
      <c r="BF85" s="287">
        <f t="shared" si="67"/>
        <v>0</v>
      </c>
      <c r="BG85" s="287">
        <f t="shared" si="68"/>
        <v>0</v>
      </c>
      <c r="BH85" s="287">
        <f t="shared" si="69"/>
        <v>0</v>
      </c>
      <c r="BI85" s="287">
        <f t="shared" si="70"/>
        <v>0</v>
      </c>
      <c r="BJ85" s="287">
        <f t="shared" si="71"/>
        <v>0</v>
      </c>
      <c r="BK85" s="287">
        <f t="shared" si="72"/>
        <v>0</v>
      </c>
      <c r="BL85" s="287">
        <f t="shared" si="73"/>
        <v>0</v>
      </c>
      <c r="BM85" s="16"/>
      <c r="BN85" s="287">
        <f t="shared" si="74"/>
        <v>0</v>
      </c>
      <c r="BO85" s="287">
        <f t="shared" si="75"/>
        <v>0</v>
      </c>
      <c r="BP85" s="432"/>
      <c r="BQ85" s="21"/>
      <c r="BR85" s="21"/>
      <c r="BS85" s="39"/>
      <c r="BT85" s="39"/>
      <c r="BU85" s="39"/>
      <c r="BV85" s="39"/>
      <c r="BW85" s="39"/>
      <c r="BX85" s="39"/>
      <c r="BY85" s="39"/>
      <c r="BZ85" s="39">
        <v>72</v>
      </c>
      <c r="CA85" s="39" t="str">
        <f t="shared" si="76"/>
        <v/>
      </c>
      <c r="CB85" s="39"/>
      <c r="CC85" s="39"/>
      <c r="CD85" s="39"/>
      <c r="CE85" s="39"/>
      <c r="CF85" s="39"/>
      <c r="CG85" s="39"/>
      <c r="CH85" s="39"/>
      <c r="CI85" s="39"/>
      <c r="CJ85" s="39"/>
      <c r="CK85" s="39"/>
    </row>
    <row r="86" spans="1:89" s="193" customFormat="1">
      <c r="A86" s="195"/>
      <c r="B86" s="21" t="str">
        <f t="shared" si="45"/>
        <v>N/A</v>
      </c>
      <c r="C86" s="21"/>
      <c r="D86" s="432">
        <v>3000002</v>
      </c>
      <c r="E86" s="439" t="s">
        <v>3626</v>
      </c>
      <c r="F86" s="439" t="s">
        <v>3467</v>
      </c>
      <c r="G86" s="273" t="s">
        <v>3298</v>
      </c>
      <c r="H86" s="358"/>
      <c r="I86" s="262" t="s">
        <v>3498</v>
      </c>
      <c r="J86" s="262" t="s">
        <v>3504</v>
      </c>
      <c r="K86" s="263">
        <v>3865300</v>
      </c>
      <c r="L86" s="263">
        <v>3300300</v>
      </c>
      <c r="M86" s="263">
        <v>2505300</v>
      </c>
      <c r="N86" s="263">
        <v>3258300</v>
      </c>
      <c r="O86" s="263">
        <v>3628300</v>
      </c>
      <c r="P86" s="263">
        <v>4095300</v>
      </c>
      <c r="Q86" s="263">
        <v>5483300</v>
      </c>
      <c r="R86" s="263">
        <v>5977000</v>
      </c>
      <c r="S86" s="263">
        <v>5943000</v>
      </c>
      <c r="T86" s="263">
        <v>4429000</v>
      </c>
      <c r="U86" s="263">
        <f t="shared" si="43"/>
        <v>42485100</v>
      </c>
      <c r="V86" s="196" t="str">
        <f t="shared" si="46"/>
        <v>R</v>
      </c>
      <c r="W86" s="196" t="s">
        <v>1168</v>
      </c>
      <c r="X86" s="196" t="str">
        <f t="shared" si="47"/>
        <v>N</v>
      </c>
      <c r="Y86" s="197">
        <f t="shared" si="48"/>
        <v>42485100</v>
      </c>
      <c r="Z86" s="198"/>
      <c r="AA86" s="197">
        <f t="shared" si="49"/>
        <v>42485100</v>
      </c>
      <c r="AB86" s="196"/>
      <c r="AC86" s="196"/>
      <c r="AD86" s="275">
        <v>0</v>
      </c>
      <c r="AE86" s="275">
        <v>0</v>
      </c>
      <c r="AF86" s="275">
        <v>1</v>
      </c>
      <c r="AG86" s="442"/>
      <c r="AH86" s="442"/>
      <c r="AI86" s="200">
        <f t="shared" si="50"/>
        <v>0</v>
      </c>
      <c r="AJ86" s="203"/>
      <c r="AK86" s="203"/>
      <c r="AL86" s="197">
        <f t="shared" si="51"/>
        <v>42485100</v>
      </c>
      <c r="AM86" s="197">
        <f t="shared" si="52"/>
        <v>0</v>
      </c>
      <c r="AN86" s="197">
        <f t="shared" si="53"/>
        <v>0</v>
      </c>
      <c r="AO86" s="202"/>
      <c r="AP86" s="161" t="s">
        <v>3900</v>
      </c>
      <c r="AQ86" s="279"/>
      <c r="AR86" s="287">
        <f t="shared" si="54"/>
        <v>0</v>
      </c>
      <c r="AS86" s="287">
        <f t="shared" si="55"/>
        <v>0</v>
      </c>
      <c r="AT86" s="287">
        <f t="shared" si="56"/>
        <v>0</v>
      </c>
      <c r="AU86" s="287">
        <f t="shared" si="57"/>
        <v>0</v>
      </c>
      <c r="AV86" s="287">
        <f t="shared" si="58"/>
        <v>0</v>
      </c>
      <c r="AW86" s="287">
        <f t="shared" si="59"/>
        <v>0</v>
      </c>
      <c r="AX86" s="287">
        <f t="shared" si="60"/>
        <v>0</v>
      </c>
      <c r="AY86" s="287">
        <f t="shared" si="61"/>
        <v>0</v>
      </c>
      <c r="AZ86" s="287">
        <f t="shared" si="62"/>
        <v>0</v>
      </c>
      <c r="BA86" s="287">
        <f t="shared" si="63"/>
        <v>0</v>
      </c>
      <c r="BB86" s="16"/>
      <c r="BC86" s="287">
        <f t="shared" si="64"/>
        <v>0</v>
      </c>
      <c r="BD86" s="287">
        <f t="shared" si="65"/>
        <v>0</v>
      </c>
      <c r="BE86" s="287">
        <f t="shared" si="66"/>
        <v>0</v>
      </c>
      <c r="BF86" s="287">
        <f t="shared" si="67"/>
        <v>0</v>
      </c>
      <c r="BG86" s="287">
        <f t="shared" si="68"/>
        <v>0</v>
      </c>
      <c r="BH86" s="287">
        <f t="shared" si="69"/>
        <v>0</v>
      </c>
      <c r="BI86" s="287">
        <f t="shared" si="70"/>
        <v>0</v>
      </c>
      <c r="BJ86" s="287">
        <f t="shared" si="71"/>
        <v>0</v>
      </c>
      <c r="BK86" s="287">
        <f t="shared" si="72"/>
        <v>0</v>
      </c>
      <c r="BL86" s="287">
        <f t="shared" si="73"/>
        <v>0</v>
      </c>
      <c r="BM86" s="16"/>
      <c r="BN86" s="287">
        <f t="shared" si="74"/>
        <v>0</v>
      </c>
      <c r="BO86" s="287">
        <f t="shared" si="75"/>
        <v>0</v>
      </c>
      <c r="BP86" s="432"/>
      <c r="BQ86" s="21"/>
      <c r="BR86" s="21"/>
      <c r="BS86" s="39"/>
      <c r="BT86" s="39"/>
      <c r="BU86" s="39"/>
      <c r="BV86" s="39"/>
      <c r="BW86" s="39"/>
      <c r="BX86" s="39"/>
      <c r="BY86" s="39"/>
      <c r="BZ86" s="39">
        <v>73</v>
      </c>
      <c r="CA86" s="39" t="str">
        <f t="shared" si="76"/>
        <v/>
      </c>
      <c r="CB86" s="39"/>
      <c r="CC86" s="39"/>
      <c r="CD86" s="39"/>
      <c r="CE86" s="39"/>
      <c r="CF86" s="39"/>
      <c r="CG86" s="39"/>
      <c r="CH86" s="39"/>
      <c r="CI86" s="39"/>
      <c r="CJ86" s="39"/>
      <c r="CK86" s="39"/>
    </row>
    <row r="87" spans="1:89" s="193" customFormat="1">
      <c r="A87" s="195"/>
      <c r="B87" s="21" t="str">
        <f t="shared" si="45"/>
        <v>N/A</v>
      </c>
      <c r="C87" s="21"/>
      <c r="D87" s="432">
        <v>3100604</v>
      </c>
      <c r="E87" s="439" t="s">
        <v>3626</v>
      </c>
      <c r="F87" s="439" t="s">
        <v>3691</v>
      </c>
      <c r="G87" s="273" t="s">
        <v>3322</v>
      </c>
      <c r="H87" s="358"/>
      <c r="I87" s="262" t="s">
        <v>3498</v>
      </c>
      <c r="J87" s="262" t="s">
        <v>3504</v>
      </c>
      <c r="K87" s="263">
        <v>1000000</v>
      </c>
      <c r="L87" s="263">
        <v>1000000</v>
      </c>
      <c r="M87" s="263">
        <v>0</v>
      </c>
      <c r="N87" s="263">
        <v>1000000</v>
      </c>
      <c r="O87" s="263">
        <v>1000000</v>
      </c>
      <c r="P87" s="263">
        <v>1000000</v>
      </c>
      <c r="Q87" s="263">
        <v>1000000</v>
      </c>
      <c r="R87" s="263">
        <v>1000000</v>
      </c>
      <c r="S87" s="263">
        <v>1000000</v>
      </c>
      <c r="T87" s="263">
        <v>1000000</v>
      </c>
      <c r="U87" s="263">
        <f t="shared" si="43"/>
        <v>9000000</v>
      </c>
      <c r="V87" s="196" t="str">
        <f t="shared" si="46"/>
        <v>R</v>
      </c>
      <c r="W87" s="196" t="s">
        <v>1168</v>
      </c>
      <c r="X87" s="196" t="str">
        <f t="shared" si="47"/>
        <v>N</v>
      </c>
      <c r="Y87" s="197">
        <f t="shared" si="48"/>
        <v>9000000</v>
      </c>
      <c r="Z87" s="198"/>
      <c r="AA87" s="197">
        <f t="shared" si="49"/>
        <v>9000000</v>
      </c>
      <c r="AB87" s="196"/>
      <c r="AC87" s="196"/>
      <c r="AD87" s="275">
        <v>0</v>
      </c>
      <c r="AE87" s="275">
        <v>0</v>
      </c>
      <c r="AF87" s="275">
        <v>1</v>
      </c>
      <c r="AG87" s="442"/>
      <c r="AH87" s="442"/>
      <c r="AI87" s="200">
        <f t="shared" si="50"/>
        <v>0</v>
      </c>
      <c r="AJ87" s="203"/>
      <c r="AK87" s="203"/>
      <c r="AL87" s="197">
        <f t="shared" si="51"/>
        <v>9000000</v>
      </c>
      <c r="AM87" s="197">
        <f t="shared" si="52"/>
        <v>0</v>
      </c>
      <c r="AN87" s="197">
        <f t="shared" si="53"/>
        <v>0</v>
      </c>
      <c r="AO87" s="202"/>
      <c r="AP87" s="161" t="s">
        <v>3900</v>
      </c>
      <c r="AQ87" s="279"/>
      <c r="AR87" s="287">
        <f t="shared" si="54"/>
        <v>0</v>
      </c>
      <c r="AS87" s="287">
        <f t="shared" si="55"/>
        <v>0</v>
      </c>
      <c r="AT87" s="287">
        <f t="shared" si="56"/>
        <v>0</v>
      </c>
      <c r="AU87" s="287">
        <f t="shared" si="57"/>
        <v>0</v>
      </c>
      <c r="AV87" s="287">
        <f t="shared" si="58"/>
        <v>0</v>
      </c>
      <c r="AW87" s="287">
        <f t="shared" si="59"/>
        <v>0</v>
      </c>
      <c r="AX87" s="287">
        <f t="shared" si="60"/>
        <v>0</v>
      </c>
      <c r="AY87" s="287">
        <f t="shared" si="61"/>
        <v>0</v>
      </c>
      <c r="AZ87" s="287">
        <f t="shared" si="62"/>
        <v>0</v>
      </c>
      <c r="BA87" s="287">
        <f t="shared" si="63"/>
        <v>0</v>
      </c>
      <c r="BB87" s="16"/>
      <c r="BC87" s="287">
        <f t="shared" si="64"/>
        <v>0</v>
      </c>
      <c r="BD87" s="287">
        <f t="shared" si="65"/>
        <v>0</v>
      </c>
      <c r="BE87" s="287">
        <f t="shared" si="66"/>
        <v>0</v>
      </c>
      <c r="BF87" s="287">
        <f t="shared" si="67"/>
        <v>0</v>
      </c>
      <c r="BG87" s="287">
        <f t="shared" si="68"/>
        <v>0</v>
      </c>
      <c r="BH87" s="287">
        <f t="shared" si="69"/>
        <v>0</v>
      </c>
      <c r="BI87" s="287">
        <f t="shared" si="70"/>
        <v>0</v>
      </c>
      <c r="BJ87" s="287">
        <f t="shared" si="71"/>
        <v>0</v>
      </c>
      <c r="BK87" s="287">
        <f t="shared" si="72"/>
        <v>0</v>
      </c>
      <c r="BL87" s="287">
        <f t="shared" si="73"/>
        <v>0</v>
      </c>
      <c r="BM87" s="16"/>
      <c r="BN87" s="287">
        <f t="shared" si="74"/>
        <v>0</v>
      </c>
      <c r="BO87" s="287">
        <f t="shared" si="75"/>
        <v>0</v>
      </c>
      <c r="BP87" s="432"/>
      <c r="BQ87" s="21"/>
      <c r="BR87" s="21"/>
      <c r="BS87" s="39"/>
      <c r="BT87" s="39"/>
      <c r="BU87" s="39"/>
      <c r="BV87" s="39"/>
      <c r="BW87" s="39"/>
      <c r="BX87" s="39"/>
      <c r="BY87" s="39"/>
      <c r="BZ87" s="39">
        <v>74</v>
      </c>
      <c r="CA87" s="39" t="str">
        <f t="shared" si="76"/>
        <v/>
      </c>
      <c r="CB87" s="39"/>
      <c r="CC87" s="39"/>
      <c r="CD87" s="39"/>
      <c r="CE87" s="39"/>
      <c r="CF87" s="39"/>
      <c r="CG87" s="39"/>
      <c r="CH87" s="39"/>
      <c r="CI87" s="39"/>
      <c r="CJ87" s="39"/>
      <c r="CK87" s="39"/>
    </row>
    <row r="88" spans="1:89" s="193" customFormat="1">
      <c r="A88" s="195"/>
      <c r="B88" s="21" t="str">
        <f t="shared" si="45"/>
        <v>N/A</v>
      </c>
      <c r="C88" s="21"/>
      <c r="D88" s="432">
        <v>3100604</v>
      </c>
      <c r="E88" s="439" t="s">
        <v>3626</v>
      </c>
      <c r="F88" s="439" t="s">
        <v>3693</v>
      </c>
      <c r="G88" s="273" t="s">
        <v>3324</v>
      </c>
      <c r="H88" s="358"/>
      <c r="I88" s="262" t="s">
        <v>3498</v>
      </c>
      <c r="J88" s="262" t="s">
        <v>3504</v>
      </c>
      <c r="K88" s="263">
        <v>112696</v>
      </c>
      <c r="L88" s="263">
        <v>122362</v>
      </c>
      <c r="M88" s="263">
        <v>45750</v>
      </c>
      <c r="N88" s="263">
        <v>100050</v>
      </c>
      <c r="O88" s="263">
        <v>101469</v>
      </c>
      <c r="P88" s="263">
        <v>99700</v>
      </c>
      <c r="Q88" s="263">
        <v>100000</v>
      </c>
      <c r="R88" s="263">
        <v>148300</v>
      </c>
      <c r="S88" s="263">
        <v>169881</v>
      </c>
      <c r="T88" s="263">
        <v>100000</v>
      </c>
      <c r="U88" s="263">
        <f t="shared" si="43"/>
        <v>1100208</v>
      </c>
      <c r="V88" s="196" t="str">
        <f t="shared" si="46"/>
        <v>R</v>
      </c>
      <c r="W88" s="196" t="s">
        <v>1168</v>
      </c>
      <c r="X88" s="196" t="str">
        <f t="shared" si="47"/>
        <v>N</v>
      </c>
      <c r="Y88" s="197">
        <f t="shared" si="48"/>
        <v>1100208</v>
      </c>
      <c r="Z88" s="198"/>
      <c r="AA88" s="197">
        <f t="shared" si="49"/>
        <v>1100208</v>
      </c>
      <c r="AB88" s="196"/>
      <c r="AC88" s="196"/>
      <c r="AD88" s="275">
        <v>0</v>
      </c>
      <c r="AE88" s="275">
        <v>0</v>
      </c>
      <c r="AF88" s="275">
        <v>1</v>
      </c>
      <c r="AG88" s="442"/>
      <c r="AH88" s="442"/>
      <c r="AI88" s="200">
        <f t="shared" si="50"/>
        <v>0</v>
      </c>
      <c r="AJ88" s="203"/>
      <c r="AK88" s="203"/>
      <c r="AL88" s="197">
        <f t="shared" si="51"/>
        <v>1100208</v>
      </c>
      <c r="AM88" s="197">
        <f t="shared" si="52"/>
        <v>0</v>
      </c>
      <c r="AN88" s="197">
        <f t="shared" si="53"/>
        <v>0</v>
      </c>
      <c r="AO88" s="202"/>
      <c r="AP88" s="161" t="s">
        <v>3900</v>
      </c>
      <c r="AQ88" s="279"/>
      <c r="AR88" s="287">
        <f t="shared" si="54"/>
        <v>0</v>
      </c>
      <c r="AS88" s="287">
        <f t="shared" si="55"/>
        <v>0</v>
      </c>
      <c r="AT88" s="287">
        <f t="shared" si="56"/>
        <v>0</v>
      </c>
      <c r="AU88" s="287">
        <f t="shared" si="57"/>
        <v>0</v>
      </c>
      <c r="AV88" s="287">
        <f t="shared" si="58"/>
        <v>0</v>
      </c>
      <c r="AW88" s="287">
        <f t="shared" si="59"/>
        <v>0</v>
      </c>
      <c r="AX88" s="287">
        <f t="shared" si="60"/>
        <v>0</v>
      </c>
      <c r="AY88" s="287">
        <f t="shared" si="61"/>
        <v>0</v>
      </c>
      <c r="AZ88" s="287">
        <f t="shared" si="62"/>
        <v>0</v>
      </c>
      <c r="BA88" s="287">
        <f t="shared" si="63"/>
        <v>0</v>
      </c>
      <c r="BB88" s="16"/>
      <c r="BC88" s="287">
        <f t="shared" si="64"/>
        <v>0</v>
      </c>
      <c r="BD88" s="287">
        <f t="shared" si="65"/>
        <v>0</v>
      </c>
      <c r="BE88" s="287">
        <f t="shared" si="66"/>
        <v>0</v>
      </c>
      <c r="BF88" s="287">
        <f t="shared" si="67"/>
        <v>0</v>
      </c>
      <c r="BG88" s="287">
        <f t="shared" si="68"/>
        <v>0</v>
      </c>
      <c r="BH88" s="287">
        <f t="shared" si="69"/>
        <v>0</v>
      </c>
      <c r="BI88" s="287">
        <f t="shared" si="70"/>
        <v>0</v>
      </c>
      <c r="BJ88" s="287">
        <f t="shared" si="71"/>
        <v>0</v>
      </c>
      <c r="BK88" s="287">
        <f t="shared" si="72"/>
        <v>0</v>
      </c>
      <c r="BL88" s="287">
        <f t="shared" si="73"/>
        <v>0</v>
      </c>
      <c r="BM88" s="16"/>
      <c r="BN88" s="287">
        <f t="shared" si="74"/>
        <v>0</v>
      </c>
      <c r="BO88" s="287">
        <f t="shared" si="75"/>
        <v>0</v>
      </c>
      <c r="BP88" s="432"/>
      <c r="BQ88" s="21"/>
      <c r="BR88" s="21"/>
      <c r="BS88" s="39"/>
      <c r="BT88" s="39"/>
      <c r="BU88" s="39"/>
      <c r="BV88" s="39"/>
      <c r="BW88" s="39"/>
      <c r="BX88" s="39"/>
      <c r="BY88" s="39"/>
      <c r="BZ88" s="39">
        <v>75</v>
      </c>
      <c r="CA88" s="39" t="str">
        <f t="shared" si="76"/>
        <v/>
      </c>
      <c r="CB88" s="39"/>
      <c r="CC88" s="39"/>
      <c r="CD88" s="39"/>
      <c r="CE88" s="39"/>
      <c r="CF88" s="39"/>
      <c r="CG88" s="39"/>
      <c r="CH88" s="39"/>
      <c r="CI88" s="39"/>
      <c r="CJ88" s="39"/>
      <c r="CK88" s="39"/>
    </row>
    <row r="89" spans="1:89" s="193" customFormat="1">
      <c r="A89" s="195"/>
      <c r="B89" s="21" t="str">
        <f t="shared" si="45"/>
        <v>N/A</v>
      </c>
      <c r="C89" s="21"/>
      <c r="D89" s="432">
        <v>3100604</v>
      </c>
      <c r="E89" s="439" t="s">
        <v>3626</v>
      </c>
      <c r="F89" s="439" t="s">
        <v>3692</v>
      </c>
      <c r="G89" s="273" t="s">
        <v>3323</v>
      </c>
      <c r="H89" s="358"/>
      <c r="I89" s="262" t="s">
        <v>3498</v>
      </c>
      <c r="J89" s="262" t="s">
        <v>3504</v>
      </c>
      <c r="K89" s="263">
        <v>800000</v>
      </c>
      <c r="L89" s="263">
        <v>800000</v>
      </c>
      <c r="M89" s="263">
        <v>300000</v>
      </c>
      <c r="N89" s="263">
        <v>800000</v>
      </c>
      <c r="O89" s="263">
        <v>800000</v>
      </c>
      <c r="P89" s="263">
        <v>800000</v>
      </c>
      <c r="Q89" s="263">
        <v>800000</v>
      </c>
      <c r="R89" s="263">
        <v>800000</v>
      </c>
      <c r="S89" s="263">
        <v>800000</v>
      </c>
      <c r="T89" s="263">
        <v>800000</v>
      </c>
      <c r="U89" s="263">
        <f t="shared" si="43"/>
        <v>7500000</v>
      </c>
      <c r="V89" s="196" t="str">
        <f t="shared" si="46"/>
        <v>R</v>
      </c>
      <c r="W89" s="196" t="s">
        <v>1168</v>
      </c>
      <c r="X89" s="196" t="str">
        <f t="shared" si="47"/>
        <v>N</v>
      </c>
      <c r="Y89" s="197">
        <f t="shared" si="48"/>
        <v>7500000</v>
      </c>
      <c r="Z89" s="198"/>
      <c r="AA89" s="197">
        <f t="shared" si="49"/>
        <v>7500000</v>
      </c>
      <c r="AB89" s="196"/>
      <c r="AC89" s="196"/>
      <c r="AD89" s="275">
        <v>0</v>
      </c>
      <c r="AE89" s="275">
        <v>0</v>
      </c>
      <c r="AF89" s="275">
        <v>1</v>
      </c>
      <c r="AG89" s="442"/>
      <c r="AH89" s="442"/>
      <c r="AI89" s="200">
        <f t="shared" si="50"/>
        <v>0</v>
      </c>
      <c r="AJ89" s="203"/>
      <c r="AK89" s="203"/>
      <c r="AL89" s="197">
        <f t="shared" si="51"/>
        <v>7500000</v>
      </c>
      <c r="AM89" s="197">
        <f t="shared" si="52"/>
        <v>0</v>
      </c>
      <c r="AN89" s="197">
        <f t="shared" si="53"/>
        <v>0</v>
      </c>
      <c r="AO89" s="202"/>
      <c r="AP89" s="161" t="s">
        <v>3900</v>
      </c>
      <c r="AQ89" s="279"/>
      <c r="AR89" s="287">
        <f t="shared" si="54"/>
        <v>0</v>
      </c>
      <c r="AS89" s="287">
        <f t="shared" si="55"/>
        <v>0</v>
      </c>
      <c r="AT89" s="287">
        <f t="shared" si="56"/>
        <v>0</v>
      </c>
      <c r="AU89" s="287">
        <f t="shared" si="57"/>
        <v>0</v>
      </c>
      <c r="AV89" s="287">
        <f t="shared" si="58"/>
        <v>0</v>
      </c>
      <c r="AW89" s="287">
        <f t="shared" si="59"/>
        <v>0</v>
      </c>
      <c r="AX89" s="287">
        <f t="shared" si="60"/>
        <v>0</v>
      </c>
      <c r="AY89" s="287">
        <f t="shared" si="61"/>
        <v>0</v>
      </c>
      <c r="AZ89" s="287">
        <f t="shared" si="62"/>
        <v>0</v>
      </c>
      <c r="BA89" s="287">
        <f t="shared" si="63"/>
        <v>0</v>
      </c>
      <c r="BB89" s="16"/>
      <c r="BC89" s="287">
        <f t="shared" si="64"/>
        <v>0</v>
      </c>
      <c r="BD89" s="287">
        <f t="shared" si="65"/>
        <v>0</v>
      </c>
      <c r="BE89" s="287">
        <f t="shared" si="66"/>
        <v>0</v>
      </c>
      <c r="BF89" s="287">
        <f t="shared" si="67"/>
        <v>0</v>
      </c>
      <c r="BG89" s="287">
        <f t="shared" si="68"/>
        <v>0</v>
      </c>
      <c r="BH89" s="287">
        <f t="shared" si="69"/>
        <v>0</v>
      </c>
      <c r="BI89" s="287">
        <f t="shared" si="70"/>
        <v>0</v>
      </c>
      <c r="BJ89" s="287">
        <f t="shared" si="71"/>
        <v>0</v>
      </c>
      <c r="BK89" s="287">
        <f t="shared" si="72"/>
        <v>0</v>
      </c>
      <c r="BL89" s="287">
        <f t="shared" si="73"/>
        <v>0</v>
      </c>
      <c r="BM89" s="16"/>
      <c r="BN89" s="287">
        <f t="shared" si="74"/>
        <v>0</v>
      </c>
      <c r="BO89" s="287">
        <f t="shared" si="75"/>
        <v>0</v>
      </c>
      <c r="BP89" s="432"/>
      <c r="BQ89" s="21"/>
      <c r="BR89" s="21"/>
      <c r="BS89" s="39"/>
      <c r="BT89" s="39"/>
      <c r="BU89" s="39"/>
      <c r="BV89" s="39"/>
      <c r="BW89" s="39"/>
      <c r="BX89" s="39"/>
      <c r="BY89" s="39"/>
      <c r="BZ89" s="39">
        <v>76</v>
      </c>
      <c r="CA89" s="39" t="str">
        <f t="shared" si="76"/>
        <v/>
      </c>
      <c r="CB89" s="39"/>
      <c r="CC89" s="39"/>
      <c r="CD89" s="39"/>
      <c r="CE89" s="39"/>
      <c r="CF89" s="39"/>
      <c r="CG89" s="39"/>
      <c r="CH89" s="39"/>
      <c r="CI89" s="39"/>
      <c r="CJ89" s="39"/>
      <c r="CK89" s="39"/>
    </row>
    <row r="90" spans="1:89" s="193" customFormat="1">
      <c r="A90" s="195"/>
      <c r="B90" s="21" t="str">
        <f t="shared" si="45"/>
        <v>N/A</v>
      </c>
      <c r="C90" s="21"/>
      <c r="D90" s="432">
        <v>3100701</v>
      </c>
      <c r="E90" s="439" t="s">
        <v>3626</v>
      </c>
      <c r="F90" s="439" t="s">
        <v>3694</v>
      </c>
      <c r="G90" s="273" t="s">
        <v>3231</v>
      </c>
      <c r="H90" s="358"/>
      <c r="I90" s="262" t="s">
        <v>3494</v>
      </c>
      <c r="J90" s="262" t="s">
        <v>3504</v>
      </c>
      <c r="K90" s="263">
        <v>19656719</v>
      </c>
      <c r="L90" s="263">
        <v>26997483</v>
      </c>
      <c r="M90" s="263">
        <v>20942088</v>
      </c>
      <c r="N90" s="263">
        <v>27406144</v>
      </c>
      <c r="O90" s="263">
        <v>27227477.399999999</v>
      </c>
      <c r="P90" s="263">
        <v>30016572.800000001</v>
      </c>
      <c r="Q90" s="263">
        <v>40196677.200000003</v>
      </c>
      <c r="R90" s="263">
        <v>43850713.899999999</v>
      </c>
      <c r="S90" s="263">
        <v>43674615.100000001</v>
      </c>
      <c r="T90" s="263">
        <v>32758202.399999999</v>
      </c>
      <c r="U90" s="263">
        <f t="shared" si="43"/>
        <v>312726692.80000001</v>
      </c>
      <c r="V90" s="196" t="str">
        <f t="shared" si="46"/>
        <v>R</v>
      </c>
      <c r="W90" s="196" t="s">
        <v>1168</v>
      </c>
      <c r="X90" s="196" t="str">
        <f t="shared" si="47"/>
        <v>N</v>
      </c>
      <c r="Y90" s="197">
        <f t="shared" si="48"/>
        <v>312726692.80000001</v>
      </c>
      <c r="Z90" s="198"/>
      <c r="AA90" s="197">
        <f t="shared" si="49"/>
        <v>312726692.80000001</v>
      </c>
      <c r="AB90" s="196"/>
      <c r="AC90" s="196"/>
      <c r="AD90" s="275">
        <v>0</v>
      </c>
      <c r="AE90" s="275">
        <v>0</v>
      </c>
      <c r="AF90" s="275">
        <v>1</v>
      </c>
      <c r="AG90" s="442"/>
      <c r="AH90" s="442"/>
      <c r="AI90" s="200">
        <f t="shared" si="50"/>
        <v>0</v>
      </c>
      <c r="AJ90" s="203"/>
      <c r="AK90" s="203"/>
      <c r="AL90" s="197">
        <f t="shared" si="51"/>
        <v>312726692.80000001</v>
      </c>
      <c r="AM90" s="197">
        <f t="shared" si="52"/>
        <v>0</v>
      </c>
      <c r="AN90" s="197">
        <f t="shared" si="53"/>
        <v>0</v>
      </c>
      <c r="AO90" s="202"/>
      <c r="AP90" s="161" t="s">
        <v>3900</v>
      </c>
      <c r="AQ90" s="279"/>
      <c r="AR90" s="287">
        <f t="shared" si="54"/>
        <v>0</v>
      </c>
      <c r="AS90" s="287">
        <f t="shared" si="55"/>
        <v>0</v>
      </c>
      <c r="AT90" s="287">
        <f t="shared" si="56"/>
        <v>0</v>
      </c>
      <c r="AU90" s="287">
        <f t="shared" si="57"/>
        <v>0</v>
      </c>
      <c r="AV90" s="287">
        <f t="shared" si="58"/>
        <v>0</v>
      </c>
      <c r="AW90" s="287">
        <f t="shared" si="59"/>
        <v>0</v>
      </c>
      <c r="AX90" s="287">
        <f t="shared" si="60"/>
        <v>0</v>
      </c>
      <c r="AY90" s="287">
        <f t="shared" si="61"/>
        <v>0</v>
      </c>
      <c r="AZ90" s="287">
        <f t="shared" si="62"/>
        <v>0</v>
      </c>
      <c r="BA90" s="287">
        <f t="shared" si="63"/>
        <v>0</v>
      </c>
      <c r="BB90" s="16"/>
      <c r="BC90" s="287">
        <f t="shared" si="64"/>
        <v>0</v>
      </c>
      <c r="BD90" s="287">
        <f t="shared" si="65"/>
        <v>0</v>
      </c>
      <c r="BE90" s="287">
        <f t="shared" si="66"/>
        <v>0</v>
      </c>
      <c r="BF90" s="287">
        <f t="shared" si="67"/>
        <v>0</v>
      </c>
      <c r="BG90" s="287">
        <f t="shared" si="68"/>
        <v>0</v>
      </c>
      <c r="BH90" s="287">
        <f t="shared" si="69"/>
        <v>0</v>
      </c>
      <c r="BI90" s="287">
        <f t="shared" si="70"/>
        <v>0</v>
      </c>
      <c r="BJ90" s="287">
        <f t="shared" si="71"/>
        <v>0</v>
      </c>
      <c r="BK90" s="287">
        <f t="shared" si="72"/>
        <v>0</v>
      </c>
      <c r="BL90" s="287">
        <f t="shared" si="73"/>
        <v>0</v>
      </c>
      <c r="BM90" s="16"/>
      <c r="BN90" s="287">
        <f t="shared" si="74"/>
        <v>0</v>
      </c>
      <c r="BO90" s="287">
        <f t="shared" si="75"/>
        <v>0</v>
      </c>
      <c r="BP90" s="432"/>
      <c r="BQ90" s="21"/>
      <c r="BR90" s="21"/>
      <c r="BS90" s="39"/>
      <c r="BT90" s="39"/>
      <c r="BU90" s="39"/>
      <c r="BV90" s="39"/>
      <c r="BW90" s="39"/>
      <c r="BX90" s="39"/>
      <c r="BY90" s="39"/>
      <c r="BZ90" s="39">
        <v>77</v>
      </c>
      <c r="CA90" s="39" t="str">
        <f t="shared" si="76"/>
        <v/>
      </c>
      <c r="CB90" s="39"/>
      <c r="CC90" s="39"/>
      <c r="CD90" s="39"/>
      <c r="CE90" s="39"/>
      <c r="CF90" s="39"/>
      <c r="CG90" s="39"/>
      <c r="CH90" s="39"/>
      <c r="CI90" s="39"/>
      <c r="CJ90" s="39"/>
      <c r="CK90" s="39"/>
    </row>
    <row r="91" spans="1:89" s="193" customFormat="1">
      <c r="A91" s="195"/>
      <c r="B91" s="21" t="str">
        <f t="shared" si="45"/>
        <v>N/A</v>
      </c>
      <c r="C91" s="21"/>
      <c r="D91" s="432">
        <v>3100804</v>
      </c>
      <c r="E91" s="439" t="s">
        <v>3626</v>
      </c>
      <c r="F91" s="439" t="s">
        <v>3695</v>
      </c>
      <c r="G91" s="273" t="s">
        <v>3344</v>
      </c>
      <c r="H91" s="358"/>
      <c r="I91" s="262" t="s">
        <v>3491</v>
      </c>
      <c r="J91" s="262" t="s">
        <v>3504</v>
      </c>
      <c r="K91" s="263">
        <v>849999.96</v>
      </c>
      <c r="L91" s="263">
        <v>850000</v>
      </c>
      <c r="M91" s="263">
        <v>850000</v>
      </c>
      <c r="N91" s="263">
        <v>850000</v>
      </c>
      <c r="O91" s="263">
        <v>850000</v>
      </c>
      <c r="P91" s="263">
        <v>850000</v>
      </c>
      <c r="Q91" s="263">
        <v>850000</v>
      </c>
      <c r="R91" s="263">
        <v>867000</v>
      </c>
      <c r="S91" s="263">
        <v>884340</v>
      </c>
      <c r="T91" s="263">
        <v>902026.8</v>
      </c>
      <c r="U91" s="263">
        <f t="shared" si="43"/>
        <v>8603366.7599999998</v>
      </c>
      <c r="V91" s="196" t="str">
        <f t="shared" si="46"/>
        <v>LOS</v>
      </c>
      <c r="W91" s="196" t="s">
        <v>1168</v>
      </c>
      <c r="X91" s="196" t="str">
        <f t="shared" si="47"/>
        <v>N</v>
      </c>
      <c r="Y91" s="197">
        <f t="shared" si="48"/>
        <v>8603366.7599999998</v>
      </c>
      <c r="Z91" s="198"/>
      <c r="AA91" s="197">
        <f t="shared" si="49"/>
        <v>8603366.7599999998</v>
      </c>
      <c r="AB91" s="196"/>
      <c r="AC91" s="196"/>
      <c r="AD91" s="275">
        <v>0</v>
      </c>
      <c r="AE91" s="275">
        <v>1</v>
      </c>
      <c r="AF91" s="275">
        <v>0</v>
      </c>
      <c r="AG91" s="442"/>
      <c r="AH91" s="442"/>
      <c r="AI91" s="200">
        <f t="shared" si="50"/>
        <v>0</v>
      </c>
      <c r="AJ91" s="203"/>
      <c r="AK91" s="203"/>
      <c r="AL91" s="197">
        <f t="shared" si="51"/>
        <v>8603366.7599999998</v>
      </c>
      <c r="AM91" s="197">
        <f t="shared" si="52"/>
        <v>0</v>
      </c>
      <c r="AN91" s="197">
        <f t="shared" si="53"/>
        <v>0</v>
      </c>
      <c r="AO91" s="202"/>
      <c r="AP91" s="161" t="s">
        <v>3900</v>
      </c>
      <c r="AQ91" s="279"/>
      <c r="AR91" s="287">
        <f t="shared" si="54"/>
        <v>0</v>
      </c>
      <c r="AS91" s="287">
        <f t="shared" si="55"/>
        <v>0</v>
      </c>
      <c r="AT91" s="287">
        <f t="shared" si="56"/>
        <v>0</v>
      </c>
      <c r="AU91" s="287">
        <f t="shared" si="57"/>
        <v>0</v>
      </c>
      <c r="AV91" s="287">
        <f t="shared" si="58"/>
        <v>0</v>
      </c>
      <c r="AW91" s="287">
        <f t="shared" si="59"/>
        <v>0</v>
      </c>
      <c r="AX91" s="287">
        <f t="shared" si="60"/>
        <v>0</v>
      </c>
      <c r="AY91" s="287">
        <f t="shared" si="61"/>
        <v>0</v>
      </c>
      <c r="AZ91" s="287">
        <f t="shared" si="62"/>
        <v>0</v>
      </c>
      <c r="BA91" s="287">
        <f t="shared" si="63"/>
        <v>0</v>
      </c>
      <c r="BB91" s="16"/>
      <c r="BC91" s="287">
        <f t="shared" si="64"/>
        <v>0</v>
      </c>
      <c r="BD91" s="287">
        <f t="shared" si="65"/>
        <v>0</v>
      </c>
      <c r="BE91" s="287">
        <f t="shared" si="66"/>
        <v>0</v>
      </c>
      <c r="BF91" s="287">
        <f t="shared" si="67"/>
        <v>0</v>
      </c>
      <c r="BG91" s="287">
        <f t="shared" si="68"/>
        <v>0</v>
      </c>
      <c r="BH91" s="287">
        <f t="shared" si="69"/>
        <v>0</v>
      </c>
      <c r="BI91" s="287">
        <f t="shared" si="70"/>
        <v>0</v>
      </c>
      <c r="BJ91" s="287">
        <f t="shared" si="71"/>
        <v>0</v>
      </c>
      <c r="BK91" s="287">
        <f t="shared" si="72"/>
        <v>0</v>
      </c>
      <c r="BL91" s="287">
        <f t="shared" si="73"/>
        <v>0</v>
      </c>
      <c r="BM91" s="16"/>
      <c r="BN91" s="287">
        <f t="shared" si="74"/>
        <v>0</v>
      </c>
      <c r="BO91" s="287">
        <f t="shared" si="75"/>
        <v>0</v>
      </c>
      <c r="BP91" s="432"/>
      <c r="BQ91" s="21"/>
      <c r="BR91" s="21"/>
      <c r="BS91" s="39"/>
      <c r="BT91" s="39"/>
      <c r="BU91" s="39"/>
      <c r="BV91" s="39"/>
      <c r="BW91" s="39"/>
      <c r="BX91" s="39"/>
      <c r="BY91" s="39"/>
      <c r="BZ91" s="39">
        <v>78</v>
      </c>
      <c r="CA91" s="39" t="str">
        <f t="shared" si="76"/>
        <v/>
      </c>
      <c r="CB91" s="39"/>
      <c r="CC91" s="39"/>
      <c r="CD91" s="39"/>
      <c r="CE91" s="39"/>
      <c r="CF91" s="39"/>
      <c r="CG91" s="39"/>
      <c r="CH91" s="39"/>
      <c r="CI91" s="39"/>
      <c r="CJ91" s="39"/>
      <c r="CK91" s="39"/>
    </row>
    <row r="92" spans="1:89" s="193" customFormat="1">
      <c r="A92" s="195"/>
      <c r="B92" s="21" t="str">
        <f t="shared" si="45"/>
        <v>N/A</v>
      </c>
      <c r="C92" s="21"/>
      <c r="D92" s="432">
        <v>3101032</v>
      </c>
      <c r="E92" s="439" t="s">
        <v>3626</v>
      </c>
      <c r="F92" s="439" t="s">
        <v>3699</v>
      </c>
      <c r="G92" s="273" t="s">
        <v>3232</v>
      </c>
      <c r="H92" s="358"/>
      <c r="I92" s="262" t="s">
        <v>3491</v>
      </c>
      <c r="J92" s="262" t="s">
        <v>3504</v>
      </c>
      <c r="K92" s="263">
        <v>14920944</v>
      </c>
      <c r="L92" s="263">
        <v>33254020</v>
      </c>
      <c r="M92" s="263">
        <v>35958256.600000001</v>
      </c>
      <c r="N92" s="263">
        <v>32540771.73</v>
      </c>
      <c r="O92" s="263">
        <v>40572386.25</v>
      </c>
      <c r="P92" s="263">
        <v>47381482.909999996</v>
      </c>
      <c r="Q92" s="263">
        <v>63085115.409999996</v>
      </c>
      <c r="R92" s="263">
        <v>60702115.340000004</v>
      </c>
      <c r="S92" s="263">
        <v>53680985.200000003</v>
      </c>
      <c r="T92" s="263">
        <v>55380265.43</v>
      </c>
      <c r="U92" s="263">
        <f t="shared" si="43"/>
        <v>437476342.87</v>
      </c>
      <c r="V92" s="196" t="str">
        <f t="shared" si="46"/>
        <v>G/LOS/R</v>
      </c>
      <c r="W92" s="196" t="s">
        <v>1168</v>
      </c>
      <c r="X92" s="196" t="str">
        <f t="shared" si="47"/>
        <v>Y</v>
      </c>
      <c r="Y92" s="197">
        <f t="shared" si="48"/>
        <v>437476342.87</v>
      </c>
      <c r="Z92" s="198"/>
      <c r="AA92" s="197">
        <f t="shared" si="49"/>
        <v>437476342.87</v>
      </c>
      <c r="AB92" s="196" t="s">
        <v>1168</v>
      </c>
      <c r="AC92" s="196"/>
      <c r="AD92" s="275">
        <v>0.1</v>
      </c>
      <c r="AE92" s="275">
        <v>0.8</v>
      </c>
      <c r="AF92" s="275">
        <v>0.1</v>
      </c>
      <c r="AG92" s="442"/>
      <c r="AH92" s="442"/>
      <c r="AI92" s="200">
        <f t="shared" si="50"/>
        <v>0</v>
      </c>
      <c r="AJ92" s="203"/>
      <c r="AK92" s="203"/>
      <c r="AL92" s="197">
        <f t="shared" si="51"/>
        <v>437476342.87</v>
      </c>
      <c r="AM92" s="197">
        <f t="shared" si="52"/>
        <v>0</v>
      </c>
      <c r="AN92" s="197">
        <f t="shared" si="53"/>
        <v>0</v>
      </c>
      <c r="AO92" s="202"/>
      <c r="AP92" s="161" t="s">
        <v>3900</v>
      </c>
      <c r="AQ92" s="279"/>
      <c r="AR92" s="287">
        <f t="shared" si="54"/>
        <v>0</v>
      </c>
      <c r="AS92" s="287">
        <f t="shared" si="55"/>
        <v>0</v>
      </c>
      <c r="AT92" s="287">
        <f t="shared" si="56"/>
        <v>0</v>
      </c>
      <c r="AU92" s="287">
        <f t="shared" si="57"/>
        <v>0</v>
      </c>
      <c r="AV92" s="287">
        <f t="shared" si="58"/>
        <v>0</v>
      </c>
      <c r="AW92" s="287">
        <f t="shared" si="59"/>
        <v>0</v>
      </c>
      <c r="AX92" s="287">
        <f t="shared" si="60"/>
        <v>0</v>
      </c>
      <c r="AY92" s="287">
        <f t="shared" si="61"/>
        <v>0</v>
      </c>
      <c r="AZ92" s="287">
        <f t="shared" si="62"/>
        <v>0</v>
      </c>
      <c r="BA92" s="287">
        <f t="shared" si="63"/>
        <v>0</v>
      </c>
      <c r="BB92" s="16"/>
      <c r="BC92" s="287">
        <f t="shared" si="64"/>
        <v>0</v>
      </c>
      <c r="BD92" s="287">
        <f t="shared" si="65"/>
        <v>0</v>
      </c>
      <c r="BE92" s="287">
        <f t="shared" si="66"/>
        <v>0</v>
      </c>
      <c r="BF92" s="287">
        <f t="shared" si="67"/>
        <v>0</v>
      </c>
      <c r="BG92" s="287">
        <f t="shared" si="68"/>
        <v>0</v>
      </c>
      <c r="BH92" s="287">
        <f t="shared" si="69"/>
        <v>0</v>
      </c>
      <c r="BI92" s="287">
        <f t="shared" si="70"/>
        <v>0</v>
      </c>
      <c r="BJ92" s="287">
        <f t="shared" si="71"/>
        <v>0</v>
      </c>
      <c r="BK92" s="287">
        <f t="shared" si="72"/>
        <v>0</v>
      </c>
      <c r="BL92" s="287">
        <f t="shared" si="73"/>
        <v>0</v>
      </c>
      <c r="BM92" s="16"/>
      <c r="BN92" s="287">
        <f t="shared" si="74"/>
        <v>0</v>
      </c>
      <c r="BO92" s="287">
        <f t="shared" si="75"/>
        <v>0</v>
      </c>
      <c r="BP92" s="432"/>
      <c r="BQ92" s="21"/>
      <c r="BR92" s="21"/>
      <c r="BS92" s="39"/>
      <c r="BT92" s="39"/>
      <c r="BU92" s="39"/>
      <c r="BV92" s="39"/>
      <c r="BW92" s="39"/>
      <c r="BX92" s="39"/>
      <c r="BY92" s="39"/>
      <c r="BZ92" s="39">
        <v>79</v>
      </c>
      <c r="CA92" s="39" t="str">
        <f t="shared" si="76"/>
        <v/>
      </c>
      <c r="CB92" s="39"/>
      <c r="CC92" s="39"/>
      <c r="CD92" s="39"/>
      <c r="CE92" s="39"/>
      <c r="CF92" s="39"/>
      <c r="CG92" s="39"/>
      <c r="CH92" s="39"/>
      <c r="CI92" s="39"/>
      <c r="CJ92" s="39"/>
      <c r="CK92" s="39"/>
    </row>
    <row r="93" spans="1:89" s="193" customFormat="1">
      <c r="A93" s="195"/>
      <c r="B93" s="21" t="str">
        <f t="shared" si="45"/>
        <v>N/A</v>
      </c>
      <c r="C93" s="21"/>
      <c r="D93" s="432">
        <v>3101097</v>
      </c>
      <c r="E93" s="439" t="s">
        <v>3626</v>
      </c>
      <c r="F93" s="439" t="s">
        <v>3702</v>
      </c>
      <c r="G93" s="273" t="s">
        <v>3347</v>
      </c>
      <c r="H93" s="358"/>
      <c r="I93" s="262" t="s">
        <v>3501</v>
      </c>
      <c r="J93" s="262" t="s">
        <v>3504</v>
      </c>
      <c r="K93" s="263">
        <v>605000</v>
      </c>
      <c r="L93" s="263">
        <v>630000</v>
      </c>
      <c r="M93" s="263">
        <v>650000</v>
      </c>
      <c r="N93" s="263">
        <v>675000</v>
      </c>
      <c r="O93" s="263">
        <v>695000</v>
      </c>
      <c r="P93" s="263">
        <v>715000</v>
      </c>
      <c r="Q93" s="263">
        <v>735000</v>
      </c>
      <c r="R93" s="263">
        <v>760000</v>
      </c>
      <c r="S93" s="263">
        <v>780000</v>
      </c>
      <c r="T93" s="263">
        <v>805000</v>
      </c>
      <c r="U93" s="263">
        <f t="shared" ref="U93:U156" si="77">SUM(K93:T93)</f>
        <v>7050000</v>
      </c>
      <c r="V93" s="196" t="str">
        <f t="shared" si="46"/>
        <v>R</v>
      </c>
      <c r="W93" s="196" t="s">
        <v>1168</v>
      </c>
      <c r="X93" s="196" t="str">
        <f t="shared" si="47"/>
        <v>N</v>
      </c>
      <c r="Y93" s="197">
        <f t="shared" si="48"/>
        <v>7050000</v>
      </c>
      <c r="Z93" s="198"/>
      <c r="AA93" s="197">
        <f t="shared" si="49"/>
        <v>7050000</v>
      </c>
      <c r="AB93" s="196"/>
      <c r="AC93" s="196"/>
      <c r="AD93" s="275">
        <v>0</v>
      </c>
      <c r="AE93" s="275">
        <v>0</v>
      </c>
      <c r="AF93" s="275">
        <v>1</v>
      </c>
      <c r="AG93" s="442"/>
      <c r="AH93" s="442"/>
      <c r="AI93" s="200">
        <f t="shared" si="50"/>
        <v>0</v>
      </c>
      <c r="AJ93" s="203"/>
      <c r="AK93" s="203"/>
      <c r="AL93" s="197">
        <f t="shared" si="51"/>
        <v>7050000</v>
      </c>
      <c r="AM93" s="197">
        <f t="shared" si="52"/>
        <v>0</v>
      </c>
      <c r="AN93" s="197">
        <f t="shared" si="53"/>
        <v>0</v>
      </c>
      <c r="AO93" s="202"/>
      <c r="AP93" s="161" t="s">
        <v>3900</v>
      </c>
      <c r="AQ93" s="279"/>
      <c r="AR93" s="287">
        <f t="shared" si="54"/>
        <v>0</v>
      </c>
      <c r="AS93" s="287">
        <f t="shared" si="55"/>
        <v>0</v>
      </c>
      <c r="AT93" s="287">
        <f t="shared" si="56"/>
        <v>0</v>
      </c>
      <c r="AU93" s="287">
        <f t="shared" si="57"/>
        <v>0</v>
      </c>
      <c r="AV93" s="287">
        <f t="shared" si="58"/>
        <v>0</v>
      </c>
      <c r="AW93" s="287">
        <f t="shared" si="59"/>
        <v>0</v>
      </c>
      <c r="AX93" s="287">
        <f t="shared" si="60"/>
        <v>0</v>
      </c>
      <c r="AY93" s="287">
        <f t="shared" si="61"/>
        <v>0</v>
      </c>
      <c r="AZ93" s="287">
        <f t="shared" si="62"/>
        <v>0</v>
      </c>
      <c r="BA93" s="287">
        <f t="shared" si="63"/>
        <v>0</v>
      </c>
      <c r="BB93" s="16"/>
      <c r="BC93" s="287">
        <f t="shared" si="64"/>
        <v>0</v>
      </c>
      <c r="BD93" s="287">
        <f t="shared" si="65"/>
        <v>0</v>
      </c>
      <c r="BE93" s="287">
        <f t="shared" si="66"/>
        <v>0</v>
      </c>
      <c r="BF93" s="287">
        <f t="shared" si="67"/>
        <v>0</v>
      </c>
      <c r="BG93" s="287">
        <f t="shared" si="68"/>
        <v>0</v>
      </c>
      <c r="BH93" s="287">
        <f t="shared" si="69"/>
        <v>0</v>
      </c>
      <c r="BI93" s="287">
        <f t="shared" si="70"/>
        <v>0</v>
      </c>
      <c r="BJ93" s="287">
        <f t="shared" si="71"/>
        <v>0</v>
      </c>
      <c r="BK93" s="287">
        <f t="shared" si="72"/>
        <v>0</v>
      </c>
      <c r="BL93" s="287">
        <f t="shared" si="73"/>
        <v>0</v>
      </c>
      <c r="BM93" s="16"/>
      <c r="BN93" s="287">
        <f t="shared" si="74"/>
        <v>0</v>
      </c>
      <c r="BO93" s="287">
        <f t="shared" si="75"/>
        <v>0</v>
      </c>
      <c r="BP93" s="432"/>
      <c r="BQ93" s="21"/>
      <c r="BR93" s="21"/>
      <c r="BS93" s="39"/>
      <c r="BT93" s="39"/>
      <c r="BU93" s="39"/>
      <c r="BV93" s="39"/>
      <c r="BW93" s="39"/>
      <c r="BX93" s="39"/>
      <c r="BY93" s="39"/>
      <c r="BZ93" s="39">
        <v>80</v>
      </c>
      <c r="CA93" s="39" t="str">
        <f t="shared" si="76"/>
        <v/>
      </c>
      <c r="CB93" s="39"/>
      <c r="CC93" s="39"/>
      <c r="CD93" s="39"/>
      <c r="CE93" s="39"/>
      <c r="CF93" s="39"/>
      <c r="CG93" s="39"/>
      <c r="CH93" s="39"/>
      <c r="CI93" s="39"/>
      <c r="CJ93" s="39"/>
      <c r="CK93" s="39"/>
    </row>
    <row r="94" spans="1:89" s="193" customFormat="1">
      <c r="A94" s="195"/>
      <c r="B94" s="21" t="str">
        <f t="shared" si="45"/>
        <v>N/A</v>
      </c>
      <c r="C94" s="21"/>
      <c r="D94" s="432">
        <v>3101103</v>
      </c>
      <c r="E94" s="439" t="s">
        <v>3626</v>
      </c>
      <c r="F94" s="439" t="s">
        <v>2499</v>
      </c>
      <c r="G94" s="273" t="s">
        <v>3596</v>
      </c>
      <c r="H94" s="358"/>
      <c r="I94" s="262" t="s">
        <v>3531</v>
      </c>
      <c r="J94" s="262" t="s">
        <v>3504</v>
      </c>
      <c r="K94" s="263">
        <v>600000</v>
      </c>
      <c r="L94" s="263">
        <v>500000</v>
      </c>
      <c r="M94" s="263">
        <v>500000</v>
      </c>
      <c r="N94" s="263">
        <v>500000</v>
      </c>
      <c r="O94" s="263">
        <v>500000</v>
      </c>
      <c r="P94" s="263">
        <v>500000</v>
      </c>
      <c r="Q94" s="263">
        <v>500000</v>
      </c>
      <c r="R94" s="263">
        <v>500000</v>
      </c>
      <c r="S94" s="263">
        <v>500000</v>
      </c>
      <c r="T94" s="263">
        <v>500000</v>
      </c>
      <c r="U94" s="263">
        <f t="shared" si="77"/>
        <v>5100000</v>
      </c>
      <c r="V94" s="196" t="str">
        <f t="shared" si="46"/>
        <v>R</v>
      </c>
      <c r="W94" s="196" t="s">
        <v>1168</v>
      </c>
      <c r="X94" s="196" t="str">
        <f t="shared" si="47"/>
        <v>N</v>
      </c>
      <c r="Y94" s="197">
        <f t="shared" si="48"/>
        <v>5100000</v>
      </c>
      <c r="Z94" s="198"/>
      <c r="AA94" s="197">
        <f t="shared" si="49"/>
        <v>5100000</v>
      </c>
      <c r="AB94" s="196"/>
      <c r="AC94" s="196"/>
      <c r="AD94" s="275">
        <v>0</v>
      </c>
      <c r="AE94" s="275">
        <v>0</v>
      </c>
      <c r="AF94" s="275">
        <v>1</v>
      </c>
      <c r="AG94" s="442"/>
      <c r="AH94" s="442"/>
      <c r="AI94" s="200">
        <f t="shared" si="50"/>
        <v>0</v>
      </c>
      <c r="AJ94" s="203"/>
      <c r="AK94" s="203"/>
      <c r="AL94" s="197">
        <f t="shared" si="51"/>
        <v>5100000</v>
      </c>
      <c r="AM94" s="197">
        <f t="shared" si="52"/>
        <v>0</v>
      </c>
      <c r="AN94" s="197">
        <f t="shared" si="53"/>
        <v>0</v>
      </c>
      <c r="AO94" s="202"/>
      <c r="AP94" s="161" t="s">
        <v>3900</v>
      </c>
      <c r="AQ94" s="279"/>
      <c r="AR94" s="287">
        <f t="shared" si="54"/>
        <v>0</v>
      </c>
      <c r="AS94" s="287">
        <f t="shared" si="55"/>
        <v>0</v>
      </c>
      <c r="AT94" s="287">
        <f t="shared" si="56"/>
        <v>0</v>
      </c>
      <c r="AU94" s="287">
        <f t="shared" si="57"/>
        <v>0</v>
      </c>
      <c r="AV94" s="287">
        <f t="shared" si="58"/>
        <v>0</v>
      </c>
      <c r="AW94" s="287">
        <f t="shared" si="59"/>
        <v>0</v>
      </c>
      <c r="AX94" s="287">
        <f t="shared" si="60"/>
        <v>0</v>
      </c>
      <c r="AY94" s="287">
        <f t="shared" si="61"/>
        <v>0</v>
      </c>
      <c r="AZ94" s="287">
        <f t="shared" si="62"/>
        <v>0</v>
      </c>
      <c r="BA94" s="287">
        <f t="shared" si="63"/>
        <v>0</v>
      </c>
      <c r="BB94" s="16"/>
      <c r="BC94" s="287">
        <f t="shared" si="64"/>
        <v>0</v>
      </c>
      <c r="BD94" s="287">
        <f t="shared" si="65"/>
        <v>0</v>
      </c>
      <c r="BE94" s="287">
        <f t="shared" si="66"/>
        <v>0</v>
      </c>
      <c r="BF94" s="287">
        <f t="shared" si="67"/>
        <v>0</v>
      </c>
      <c r="BG94" s="287">
        <f t="shared" si="68"/>
        <v>0</v>
      </c>
      <c r="BH94" s="287">
        <f t="shared" si="69"/>
        <v>0</v>
      </c>
      <c r="BI94" s="287">
        <f t="shared" si="70"/>
        <v>0</v>
      </c>
      <c r="BJ94" s="287">
        <f t="shared" si="71"/>
        <v>0</v>
      </c>
      <c r="BK94" s="287">
        <f t="shared" si="72"/>
        <v>0</v>
      </c>
      <c r="BL94" s="287">
        <f t="shared" si="73"/>
        <v>0</v>
      </c>
      <c r="BM94" s="16"/>
      <c r="BN94" s="287">
        <f t="shared" si="74"/>
        <v>0</v>
      </c>
      <c r="BO94" s="287">
        <f t="shared" si="75"/>
        <v>0</v>
      </c>
      <c r="BP94" s="432"/>
      <c r="BQ94" s="21"/>
      <c r="BR94" s="21"/>
      <c r="BS94" s="39"/>
      <c r="BT94" s="39"/>
      <c r="BU94" s="39"/>
      <c r="BV94" s="39"/>
      <c r="BW94" s="39"/>
      <c r="BX94" s="39"/>
      <c r="BY94" s="39"/>
      <c r="BZ94" s="39">
        <v>81</v>
      </c>
      <c r="CA94" s="39" t="str">
        <f t="shared" si="76"/>
        <v/>
      </c>
      <c r="CB94" s="39"/>
      <c r="CC94" s="39"/>
      <c r="CD94" s="39"/>
      <c r="CE94" s="39"/>
      <c r="CF94" s="39"/>
      <c r="CG94" s="39"/>
      <c r="CH94" s="39"/>
      <c r="CI94" s="39"/>
      <c r="CJ94" s="39"/>
      <c r="CK94" s="39"/>
    </row>
    <row r="95" spans="1:89" s="514" customFormat="1">
      <c r="A95" s="195"/>
      <c r="B95" s="21" t="str">
        <f t="shared" si="45"/>
        <v>N/A</v>
      </c>
      <c r="C95" s="21"/>
      <c r="D95" s="432">
        <v>3101104</v>
      </c>
      <c r="E95" s="439" t="s">
        <v>3626</v>
      </c>
      <c r="F95" s="439" t="s">
        <v>2499</v>
      </c>
      <c r="G95" s="273" t="s">
        <v>3581</v>
      </c>
      <c r="H95" s="358"/>
      <c r="I95" s="262" t="s">
        <v>3531</v>
      </c>
      <c r="J95" s="262" t="s">
        <v>3504</v>
      </c>
      <c r="K95" s="263">
        <v>0</v>
      </c>
      <c r="L95" s="263">
        <v>0</v>
      </c>
      <c r="M95" s="263">
        <v>0</v>
      </c>
      <c r="N95" s="263">
        <v>0</v>
      </c>
      <c r="O95" s="263">
        <v>0</v>
      </c>
      <c r="P95" s="263">
        <v>0</v>
      </c>
      <c r="Q95" s="263">
        <v>0</v>
      </c>
      <c r="R95" s="263">
        <v>6000000</v>
      </c>
      <c r="S95" s="263">
        <v>4080000</v>
      </c>
      <c r="T95" s="263">
        <v>4161600</v>
      </c>
      <c r="U95" s="263">
        <f t="shared" si="77"/>
        <v>14241600</v>
      </c>
      <c r="V95" s="196" t="str">
        <f t="shared" si="46"/>
        <v>G/LOS/R</v>
      </c>
      <c r="W95" s="196" t="s">
        <v>1168</v>
      </c>
      <c r="X95" s="196" t="str">
        <f t="shared" si="47"/>
        <v>Y</v>
      </c>
      <c r="Y95" s="197">
        <f t="shared" si="48"/>
        <v>14241600</v>
      </c>
      <c r="Z95" s="198"/>
      <c r="AA95" s="197">
        <f t="shared" si="49"/>
        <v>14241600</v>
      </c>
      <c r="AB95" s="196" t="s">
        <v>1168</v>
      </c>
      <c r="AC95" s="196"/>
      <c r="AD95" s="275">
        <v>0.33</v>
      </c>
      <c r="AE95" s="275">
        <v>0.34</v>
      </c>
      <c r="AF95" s="275">
        <v>0.33</v>
      </c>
      <c r="AG95" s="442"/>
      <c r="AH95" s="442"/>
      <c r="AI95" s="200">
        <f t="shared" si="50"/>
        <v>0</v>
      </c>
      <c r="AJ95" s="203"/>
      <c r="AK95" s="203"/>
      <c r="AL95" s="197">
        <f t="shared" si="51"/>
        <v>14241600</v>
      </c>
      <c r="AM95" s="197">
        <f t="shared" si="52"/>
        <v>0</v>
      </c>
      <c r="AN95" s="197">
        <f t="shared" si="53"/>
        <v>0</v>
      </c>
      <c r="AO95" s="202"/>
      <c r="AP95" s="161" t="s">
        <v>3900</v>
      </c>
      <c r="AQ95" s="279"/>
      <c r="AR95" s="287">
        <f t="shared" si="54"/>
        <v>0</v>
      </c>
      <c r="AS95" s="287">
        <f t="shared" si="55"/>
        <v>0</v>
      </c>
      <c r="AT95" s="287">
        <f t="shared" si="56"/>
        <v>0</v>
      </c>
      <c r="AU95" s="287">
        <f t="shared" si="57"/>
        <v>0</v>
      </c>
      <c r="AV95" s="287">
        <f t="shared" si="58"/>
        <v>0</v>
      </c>
      <c r="AW95" s="287">
        <f t="shared" si="59"/>
        <v>0</v>
      </c>
      <c r="AX95" s="287">
        <f t="shared" si="60"/>
        <v>0</v>
      </c>
      <c r="AY95" s="287">
        <f t="shared" si="61"/>
        <v>0</v>
      </c>
      <c r="AZ95" s="287">
        <f t="shared" si="62"/>
        <v>0</v>
      </c>
      <c r="BA95" s="287">
        <f t="shared" si="63"/>
        <v>0</v>
      </c>
      <c r="BB95" s="16"/>
      <c r="BC95" s="287">
        <f t="shared" si="64"/>
        <v>0</v>
      </c>
      <c r="BD95" s="287">
        <f t="shared" si="65"/>
        <v>0</v>
      </c>
      <c r="BE95" s="287">
        <f t="shared" si="66"/>
        <v>0</v>
      </c>
      <c r="BF95" s="287">
        <f t="shared" si="67"/>
        <v>0</v>
      </c>
      <c r="BG95" s="287">
        <f t="shared" si="68"/>
        <v>0</v>
      </c>
      <c r="BH95" s="287">
        <f t="shared" si="69"/>
        <v>0</v>
      </c>
      <c r="BI95" s="287">
        <f t="shared" si="70"/>
        <v>0</v>
      </c>
      <c r="BJ95" s="287">
        <f t="shared" si="71"/>
        <v>0</v>
      </c>
      <c r="BK95" s="287">
        <f t="shared" si="72"/>
        <v>0</v>
      </c>
      <c r="BL95" s="287">
        <f t="shared" si="73"/>
        <v>0</v>
      </c>
      <c r="BM95" s="16"/>
      <c r="BN95" s="287">
        <f t="shared" si="74"/>
        <v>0</v>
      </c>
      <c r="BO95" s="287">
        <f t="shared" si="75"/>
        <v>0</v>
      </c>
      <c r="BP95" s="432"/>
      <c r="BQ95" s="21"/>
      <c r="BR95" s="21"/>
      <c r="BS95" s="39"/>
      <c r="BT95" s="39"/>
      <c r="BU95" s="39"/>
      <c r="BV95" s="39"/>
      <c r="BW95" s="39"/>
      <c r="BX95" s="39"/>
      <c r="BY95" s="39"/>
      <c r="BZ95" s="39">
        <v>82</v>
      </c>
      <c r="CA95" s="39" t="str">
        <f t="shared" si="76"/>
        <v/>
      </c>
      <c r="CB95" s="39"/>
      <c r="CC95" s="39"/>
      <c r="CD95" s="39"/>
      <c r="CE95" s="39"/>
      <c r="CF95" s="39"/>
      <c r="CG95" s="39"/>
      <c r="CH95" s="39"/>
      <c r="CI95" s="39"/>
      <c r="CJ95" s="39"/>
      <c r="CK95" s="39"/>
    </row>
    <row r="96" spans="1:89" s="514" customFormat="1">
      <c r="A96" s="195"/>
      <c r="B96" s="21" t="str">
        <f t="shared" si="45"/>
        <v>N/A</v>
      </c>
      <c r="C96" s="21"/>
      <c r="D96" s="432">
        <v>3101105</v>
      </c>
      <c r="E96" s="439" t="s">
        <v>3626</v>
      </c>
      <c r="F96" s="439" t="s">
        <v>2499</v>
      </c>
      <c r="G96" s="273" t="s">
        <v>3585</v>
      </c>
      <c r="H96" s="358"/>
      <c r="I96" s="262" t="s">
        <v>3531</v>
      </c>
      <c r="J96" s="262" t="s">
        <v>3504</v>
      </c>
      <c r="K96" s="263">
        <v>3300000</v>
      </c>
      <c r="L96" s="263">
        <v>0</v>
      </c>
      <c r="M96" s="263">
        <v>0</v>
      </c>
      <c r="N96" s="263">
        <v>0</v>
      </c>
      <c r="O96" s="263">
        <v>0</v>
      </c>
      <c r="P96" s="263">
        <v>0</v>
      </c>
      <c r="Q96" s="263">
        <v>0</v>
      </c>
      <c r="R96" s="263">
        <v>0</v>
      </c>
      <c r="S96" s="263">
        <v>0</v>
      </c>
      <c r="T96" s="263">
        <v>0</v>
      </c>
      <c r="U96" s="263">
        <f t="shared" si="77"/>
        <v>3300000</v>
      </c>
      <c r="V96" s="196" t="str">
        <f t="shared" si="46"/>
        <v>G/LOS</v>
      </c>
      <c r="W96" s="196" t="s">
        <v>1168</v>
      </c>
      <c r="X96" s="196" t="str">
        <f t="shared" si="47"/>
        <v>Y</v>
      </c>
      <c r="Y96" s="197">
        <f t="shared" si="48"/>
        <v>3300000</v>
      </c>
      <c r="Z96" s="198"/>
      <c r="AA96" s="197">
        <f t="shared" si="49"/>
        <v>3300000</v>
      </c>
      <c r="AB96" s="196" t="s">
        <v>1168</v>
      </c>
      <c r="AC96" s="196"/>
      <c r="AD96" s="275">
        <v>0.65</v>
      </c>
      <c r="AE96" s="275">
        <v>0.35</v>
      </c>
      <c r="AF96" s="275">
        <v>0</v>
      </c>
      <c r="AG96" s="442"/>
      <c r="AH96" s="442"/>
      <c r="AI96" s="200">
        <f t="shared" si="50"/>
        <v>0</v>
      </c>
      <c r="AJ96" s="203"/>
      <c r="AK96" s="203"/>
      <c r="AL96" s="197">
        <f t="shared" si="51"/>
        <v>3300000</v>
      </c>
      <c r="AM96" s="197">
        <f t="shared" si="52"/>
        <v>0</v>
      </c>
      <c r="AN96" s="197">
        <f t="shared" si="53"/>
        <v>0</v>
      </c>
      <c r="AO96" s="202"/>
      <c r="AP96" s="161" t="s">
        <v>3900</v>
      </c>
      <c r="AQ96" s="279"/>
      <c r="AR96" s="287">
        <f t="shared" si="54"/>
        <v>0</v>
      </c>
      <c r="AS96" s="287">
        <f t="shared" si="55"/>
        <v>0</v>
      </c>
      <c r="AT96" s="287">
        <f t="shared" si="56"/>
        <v>0</v>
      </c>
      <c r="AU96" s="287">
        <f t="shared" si="57"/>
        <v>0</v>
      </c>
      <c r="AV96" s="287">
        <f t="shared" si="58"/>
        <v>0</v>
      </c>
      <c r="AW96" s="287">
        <f t="shared" si="59"/>
        <v>0</v>
      </c>
      <c r="AX96" s="287">
        <f t="shared" si="60"/>
        <v>0</v>
      </c>
      <c r="AY96" s="287">
        <f t="shared" si="61"/>
        <v>0</v>
      </c>
      <c r="AZ96" s="287">
        <f t="shared" si="62"/>
        <v>0</v>
      </c>
      <c r="BA96" s="287">
        <f t="shared" si="63"/>
        <v>0</v>
      </c>
      <c r="BB96" s="16"/>
      <c r="BC96" s="287">
        <f t="shared" si="64"/>
        <v>0</v>
      </c>
      <c r="BD96" s="287">
        <f t="shared" si="65"/>
        <v>0</v>
      </c>
      <c r="BE96" s="287">
        <f t="shared" si="66"/>
        <v>0</v>
      </c>
      <c r="BF96" s="287">
        <f t="shared" si="67"/>
        <v>0</v>
      </c>
      <c r="BG96" s="287">
        <f t="shared" si="68"/>
        <v>0</v>
      </c>
      <c r="BH96" s="287">
        <f t="shared" si="69"/>
        <v>0</v>
      </c>
      <c r="BI96" s="287">
        <f t="shared" si="70"/>
        <v>0</v>
      </c>
      <c r="BJ96" s="287">
        <f t="shared" si="71"/>
        <v>0</v>
      </c>
      <c r="BK96" s="287">
        <f t="shared" si="72"/>
        <v>0</v>
      </c>
      <c r="BL96" s="287">
        <f t="shared" si="73"/>
        <v>0</v>
      </c>
      <c r="BM96" s="16"/>
      <c r="BN96" s="287">
        <f t="shared" si="74"/>
        <v>0</v>
      </c>
      <c r="BO96" s="287">
        <f t="shared" si="75"/>
        <v>0</v>
      </c>
      <c r="BP96" s="432"/>
      <c r="BQ96" s="21"/>
      <c r="BR96" s="21"/>
      <c r="BS96" s="39"/>
      <c r="BT96" s="39"/>
      <c r="BU96" s="39"/>
      <c r="BV96" s="39"/>
      <c r="BW96" s="39"/>
      <c r="BX96" s="39"/>
      <c r="BY96" s="39"/>
      <c r="BZ96" s="39">
        <v>83</v>
      </c>
      <c r="CA96" s="39" t="str">
        <f t="shared" si="76"/>
        <v/>
      </c>
      <c r="CB96" s="39"/>
      <c r="CC96" s="39"/>
      <c r="CD96" s="39"/>
      <c r="CE96" s="39"/>
      <c r="CF96" s="39"/>
      <c r="CG96" s="39"/>
      <c r="CH96" s="39"/>
      <c r="CI96" s="39"/>
      <c r="CJ96" s="39"/>
      <c r="CK96" s="39"/>
    </row>
    <row r="97" spans="1:89" s="193" customFormat="1">
      <c r="A97" s="195"/>
      <c r="B97" s="21" t="str">
        <f t="shared" si="45"/>
        <v>N/A</v>
      </c>
      <c r="C97" s="21"/>
      <c r="D97" s="432">
        <v>3200102</v>
      </c>
      <c r="E97" s="439" t="s">
        <v>3626</v>
      </c>
      <c r="F97" s="439" t="s">
        <v>3705</v>
      </c>
      <c r="G97" s="273" t="s">
        <v>3376</v>
      </c>
      <c r="H97" s="358"/>
      <c r="I97" s="262" t="s">
        <v>3491</v>
      </c>
      <c r="J97" s="262" t="s">
        <v>3504</v>
      </c>
      <c r="K97" s="263">
        <v>249999.96</v>
      </c>
      <c r="L97" s="263">
        <v>500000</v>
      </c>
      <c r="M97" s="263">
        <v>1000000</v>
      </c>
      <c r="N97" s="263">
        <v>750000</v>
      </c>
      <c r="O97" s="263">
        <v>500000</v>
      </c>
      <c r="P97" s="263">
        <v>500000</v>
      </c>
      <c r="Q97" s="263">
        <v>500000</v>
      </c>
      <c r="R97" s="263">
        <v>0</v>
      </c>
      <c r="S97" s="263">
        <v>0</v>
      </c>
      <c r="T97" s="263">
        <v>0</v>
      </c>
      <c r="U97" s="263">
        <f t="shared" si="77"/>
        <v>3999999.96</v>
      </c>
      <c r="V97" s="196" t="str">
        <f t="shared" si="46"/>
        <v>G/LOS</v>
      </c>
      <c r="W97" s="196" t="s">
        <v>1168</v>
      </c>
      <c r="X97" s="196" t="str">
        <f t="shared" si="47"/>
        <v>Y</v>
      </c>
      <c r="Y97" s="197">
        <f t="shared" si="48"/>
        <v>3999999.96</v>
      </c>
      <c r="Z97" s="198"/>
      <c r="AA97" s="197">
        <f t="shared" si="49"/>
        <v>3999999.96</v>
      </c>
      <c r="AB97" s="196" t="s">
        <v>1168</v>
      </c>
      <c r="AC97" s="196"/>
      <c r="AD97" s="275">
        <v>0.5</v>
      </c>
      <c r="AE97" s="275">
        <v>0.5</v>
      </c>
      <c r="AF97" s="275">
        <v>0</v>
      </c>
      <c r="AG97" s="442"/>
      <c r="AH97" s="442"/>
      <c r="AI97" s="200">
        <f t="shared" si="50"/>
        <v>0</v>
      </c>
      <c r="AJ97" s="203"/>
      <c r="AK97" s="203"/>
      <c r="AL97" s="197">
        <f t="shared" si="51"/>
        <v>3999999.96</v>
      </c>
      <c r="AM97" s="197">
        <f t="shared" si="52"/>
        <v>0</v>
      </c>
      <c r="AN97" s="197">
        <f t="shared" si="53"/>
        <v>0</v>
      </c>
      <c r="AO97" s="202"/>
      <c r="AP97" s="161" t="s">
        <v>3900</v>
      </c>
      <c r="AQ97" s="279"/>
      <c r="AR97" s="287">
        <f t="shared" si="54"/>
        <v>0</v>
      </c>
      <c r="AS97" s="287">
        <f t="shared" si="55"/>
        <v>0</v>
      </c>
      <c r="AT97" s="287">
        <f t="shared" si="56"/>
        <v>0</v>
      </c>
      <c r="AU97" s="287">
        <f t="shared" si="57"/>
        <v>0</v>
      </c>
      <c r="AV97" s="287">
        <f t="shared" si="58"/>
        <v>0</v>
      </c>
      <c r="AW97" s="287">
        <f t="shared" si="59"/>
        <v>0</v>
      </c>
      <c r="AX97" s="287">
        <f t="shared" si="60"/>
        <v>0</v>
      </c>
      <c r="AY97" s="287">
        <f t="shared" si="61"/>
        <v>0</v>
      </c>
      <c r="AZ97" s="287">
        <f t="shared" si="62"/>
        <v>0</v>
      </c>
      <c r="BA97" s="287">
        <f t="shared" si="63"/>
        <v>0</v>
      </c>
      <c r="BB97" s="16"/>
      <c r="BC97" s="287">
        <f t="shared" si="64"/>
        <v>0</v>
      </c>
      <c r="BD97" s="287">
        <f t="shared" si="65"/>
        <v>0</v>
      </c>
      <c r="BE97" s="287">
        <f t="shared" si="66"/>
        <v>0</v>
      </c>
      <c r="BF97" s="287">
        <f t="shared" si="67"/>
        <v>0</v>
      </c>
      <c r="BG97" s="287">
        <f t="shared" si="68"/>
        <v>0</v>
      </c>
      <c r="BH97" s="287">
        <f t="shared" si="69"/>
        <v>0</v>
      </c>
      <c r="BI97" s="287">
        <f t="shared" si="70"/>
        <v>0</v>
      </c>
      <c r="BJ97" s="287">
        <f t="shared" si="71"/>
        <v>0</v>
      </c>
      <c r="BK97" s="287">
        <f t="shared" si="72"/>
        <v>0</v>
      </c>
      <c r="BL97" s="287">
        <f t="shared" si="73"/>
        <v>0</v>
      </c>
      <c r="BM97" s="16"/>
      <c r="BN97" s="287">
        <f t="shared" si="74"/>
        <v>0</v>
      </c>
      <c r="BO97" s="287">
        <f t="shared" si="75"/>
        <v>0</v>
      </c>
      <c r="BP97" s="432"/>
      <c r="BQ97" s="21"/>
      <c r="BR97" s="21"/>
      <c r="BS97" s="39"/>
      <c r="BT97" s="39"/>
      <c r="BU97" s="39"/>
      <c r="BV97" s="39"/>
      <c r="BW97" s="39"/>
      <c r="BX97" s="39"/>
      <c r="BY97" s="39"/>
      <c r="BZ97" s="39">
        <v>84</v>
      </c>
      <c r="CA97" s="39" t="str">
        <f t="shared" si="76"/>
        <v/>
      </c>
      <c r="CB97" s="39"/>
      <c r="CC97" s="39"/>
      <c r="CD97" s="39"/>
      <c r="CE97" s="39"/>
      <c r="CF97" s="39"/>
      <c r="CG97" s="39"/>
      <c r="CH97" s="39"/>
      <c r="CI97" s="39"/>
      <c r="CJ97" s="39"/>
      <c r="CK97" s="39"/>
    </row>
    <row r="98" spans="1:89" s="193" customFormat="1">
      <c r="A98" s="195"/>
      <c r="B98" s="21" t="str">
        <f t="shared" si="45"/>
        <v>N/A</v>
      </c>
      <c r="C98" s="21"/>
      <c r="D98" s="432">
        <v>3200111</v>
      </c>
      <c r="E98" s="439" t="s">
        <v>3626</v>
      </c>
      <c r="F98" s="439" t="s">
        <v>2499</v>
      </c>
      <c r="G98" s="273" t="s">
        <v>3574</v>
      </c>
      <c r="H98" s="358"/>
      <c r="I98" s="262" t="s">
        <v>3530</v>
      </c>
      <c r="J98" s="262" t="s">
        <v>3504</v>
      </c>
      <c r="K98" s="263">
        <v>309000</v>
      </c>
      <c r="L98" s="263">
        <v>318270</v>
      </c>
      <c r="M98" s="263">
        <v>327818.09999999998</v>
      </c>
      <c r="N98" s="263">
        <v>337652.64</v>
      </c>
      <c r="O98" s="263">
        <v>347782.22</v>
      </c>
      <c r="P98" s="263">
        <v>358215.69</v>
      </c>
      <c r="Q98" s="263">
        <v>368962.16</v>
      </c>
      <c r="R98" s="263">
        <v>380031.02</v>
      </c>
      <c r="S98" s="263">
        <v>391431.96</v>
      </c>
      <c r="T98" s="263">
        <v>403174.91</v>
      </c>
      <c r="U98" s="263">
        <f t="shared" si="77"/>
        <v>3542338.7</v>
      </c>
      <c r="V98" s="196" t="str">
        <f t="shared" si="46"/>
        <v>R</v>
      </c>
      <c r="W98" s="196" t="s">
        <v>1168</v>
      </c>
      <c r="X98" s="196" t="str">
        <f t="shared" si="47"/>
        <v>N</v>
      </c>
      <c r="Y98" s="197">
        <f t="shared" si="48"/>
        <v>3542338.7</v>
      </c>
      <c r="Z98" s="198"/>
      <c r="AA98" s="197">
        <f t="shared" si="49"/>
        <v>3542338.7</v>
      </c>
      <c r="AB98" s="196"/>
      <c r="AC98" s="196"/>
      <c r="AD98" s="275">
        <v>0</v>
      </c>
      <c r="AE98" s="275">
        <v>0</v>
      </c>
      <c r="AF98" s="275">
        <v>1</v>
      </c>
      <c r="AG98" s="199"/>
      <c r="AH98" s="199"/>
      <c r="AI98" s="200">
        <f t="shared" si="50"/>
        <v>0</v>
      </c>
      <c r="AJ98" s="203"/>
      <c r="AK98" s="203"/>
      <c r="AL98" s="197">
        <f t="shared" si="51"/>
        <v>3542338.7</v>
      </c>
      <c r="AM98" s="197">
        <f t="shared" si="52"/>
        <v>0</v>
      </c>
      <c r="AN98" s="197">
        <f t="shared" si="53"/>
        <v>0</v>
      </c>
      <c r="AO98" s="202"/>
      <c r="AP98" s="161" t="s">
        <v>3900</v>
      </c>
      <c r="AQ98" s="279"/>
      <c r="AR98" s="287">
        <f t="shared" si="54"/>
        <v>0</v>
      </c>
      <c r="AS98" s="287">
        <f t="shared" si="55"/>
        <v>0</v>
      </c>
      <c r="AT98" s="287">
        <f t="shared" si="56"/>
        <v>0</v>
      </c>
      <c r="AU98" s="287">
        <f t="shared" si="57"/>
        <v>0</v>
      </c>
      <c r="AV98" s="287">
        <f t="shared" si="58"/>
        <v>0</v>
      </c>
      <c r="AW98" s="287">
        <f t="shared" si="59"/>
        <v>0</v>
      </c>
      <c r="AX98" s="287">
        <f t="shared" si="60"/>
        <v>0</v>
      </c>
      <c r="AY98" s="287">
        <f t="shared" si="61"/>
        <v>0</v>
      </c>
      <c r="AZ98" s="287">
        <f t="shared" si="62"/>
        <v>0</v>
      </c>
      <c r="BA98" s="287">
        <f t="shared" si="63"/>
        <v>0</v>
      </c>
      <c r="BB98" s="16"/>
      <c r="BC98" s="287">
        <f t="shared" si="64"/>
        <v>0</v>
      </c>
      <c r="BD98" s="287">
        <f t="shared" si="65"/>
        <v>0</v>
      </c>
      <c r="BE98" s="287">
        <f t="shared" si="66"/>
        <v>0</v>
      </c>
      <c r="BF98" s="287">
        <f t="shared" si="67"/>
        <v>0</v>
      </c>
      <c r="BG98" s="287">
        <f t="shared" si="68"/>
        <v>0</v>
      </c>
      <c r="BH98" s="287">
        <f t="shared" si="69"/>
        <v>0</v>
      </c>
      <c r="BI98" s="287">
        <f t="shared" si="70"/>
        <v>0</v>
      </c>
      <c r="BJ98" s="287">
        <f t="shared" si="71"/>
        <v>0</v>
      </c>
      <c r="BK98" s="287">
        <f t="shared" si="72"/>
        <v>0</v>
      </c>
      <c r="BL98" s="287">
        <f t="shared" si="73"/>
        <v>0</v>
      </c>
      <c r="BM98" s="16"/>
      <c r="BN98" s="287">
        <f t="shared" si="74"/>
        <v>0</v>
      </c>
      <c r="BO98" s="287">
        <f t="shared" si="75"/>
        <v>0</v>
      </c>
      <c r="BP98" s="432"/>
      <c r="BQ98" s="21"/>
      <c r="BR98" s="21"/>
      <c r="BS98" s="39"/>
      <c r="BT98" s="39"/>
      <c r="BU98" s="39"/>
      <c r="BV98" s="39"/>
      <c r="BW98" s="39"/>
      <c r="BX98" s="39"/>
      <c r="BY98" s="39"/>
      <c r="BZ98" s="39">
        <v>85</v>
      </c>
      <c r="CA98" s="39" t="str">
        <f t="shared" si="76"/>
        <v/>
      </c>
      <c r="CB98" s="39"/>
      <c r="CC98" s="39"/>
      <c r="CD98" s="39"/>
      <c r="CE98" s="39"/>
      <c r="CF98" s="39"/>
      <c r="CG98" s="39"/>
      <c r="CH98" s="39"/>
      <c r="CI98" s="39"/>
      <c r="CJ98" s="39"/>
      <c r="CK98" s="39"/>
    </row>
    <row r="99" spans="1:89" s="193" customFormat="1">
      <c r="A99" s="195"/>
      <c r="B99" s="21" t="str">
        <f t="shared" si="45"/>
        <v>N/A</v>
      </c>
      <c r="C99" s="21"/>
      <c r="D99" s="432">
        <v>3200340</v>
      </c>
      <c r="E99" s="439" t="s">
        <v>3626</v>
      </c>
      <c r="F99" s="439" t="s">
        <v>3479</v>
      </c>
      <c r="G99" s="273" t="s">
        <v>3402</v>
      </c>
      <c r="H99" s="358"/>
      <c r="I99" s="262" t="s">
        <v>3492</v>
      </c>
      <c r="J99" s="262" t="s">
        <v>3526</v>
      </c>
      <c r="K99" s="263">
        <v>50000</v>
      </c>
      <c r="L99" s="263">
        <v>0</v>
      </c>
      <c r="M99" s="263">
        <v>0</v>
      </c>
      <c r="N99" s="263">
        <v>0</v>
      </c>
      <c r="O99" s="263">
        <v>0</v>
      </c>
      <c r="P99" s="263">
        <v>0</v>
      </c>
      <c r="Q99" s="263">
        <v>0</v>
      </c>
      <c r="R99" s="263">
        <v>0</v>
      </c>
      <c r="S99" s="263">
        <v>0</v>
      </c>
      <c r="T99" s="263">
        <v>0</v>
      </c>
      <c r="U99" s="263">
        <f t="shared" si="77"/>
        <v>50000</v>
      </c>
      <c r="V99" s="196" t="str">
        <f t="shared" si="46"/>
        <v>R</v>
      </c>
      <c r="W99" s="196" t="s">
        <v>1168</v>
      </c>
      <c r="X99" s="196" t="str">
        <f t="shared" si="47"/>
        <v>N</v>
      </c>
      <c r="Y99" s="197">
        <f t="shared" si="48"/>
        <v>50000</v>
      </c>
      <c r="Z99" s="198"/>
      <c r="AA99" s="197">
        <f t="shared" si="49"/>
        <v>50000</v>
      </c>
      <c r="AB99" s="196"/>
      <c r="AC99" s="196"/>
      <c r="AD99" s="275">
        <v>0</v>
      </c>
      <c r="AE99" s="275">
        <v>0</v>
      </c>
      <c r="AF99" s="275">
        <v>1</v>
      </c>
      <c r="AG99" s="199"/>
      <c r="AH99" s="199"/>
      <c r="AI99" s="377">
        <f t="shared" si="50"/>
        <v>0</v>
      </c>
      <c r="AJ99" s="203"/>
      <c r="AK99" s="203"/>
      <c r="AL99" s="197">
        <f t="shared" si="51"/>
        <v>50000</v>
      </c>
      <c r="AM99" s="197">
        <f t="shared" si="52"/>
        <v>0</v>
      </c>
      <c r="AN99" s="197">
        <f t="shared" si="53"/>
        <v>0</v>
      </c>
      <c r="AO99" s="202"/>
      <c r="AP99" s="161" t="s">
        <v>3900</v>
      </c>
      <c r="AQ99" s="279"/>
      <c r="AR99" s="287">
        <f t="shared" si="54"/>
        <v>0</v>
      </c>
      <c r="AS99" s="287">
        <f t="shared" si="55"/>
        <v>0</v>
      </c>
      <c r="AT99" s="287">
        <f t="shared" si="56"/>
        <v>0</v>
      </c>
      <c r="AU99" s="287">
        <f t="shared" si="57"/>
        <v>0</v>
      </c>
      <c r="AV99" s="287">
        <f t="shared" si="58"/>
        <v>0</v>
      </c>
      <c r="AW99" s="287">
        <f t="shared" si="59"/>
        <v>0</v>
      </c>
      <c r="AX99" s="287">
        <f t="shared" si="60"/>
        <v>0</v>
      </c>
      <c r="AY99" s="287">
        <f t="shared" si="61"/>
        <v>0</v>
      </c>
      <c r="AZ99" s="287">
        <f t="shared" si="62"/>
        <v>0</v>
      </c>
      <c r="BA99" s="287">
        <f t="shared" si="63"/>
        <v>0</v>
      </c>
      <c r="BB99" s="16"/>
      <c r="BC99" s="287">
        <f t="shared" si="64"/>
        <v>0</v>
      </c>
      <c r="BD99" s="287">
        <f t="shared" si="65"/>
        <v>0</v>
      </c>
      <c r="BE99" s="287">
        <f t="shared" si="66"/>
        <v>0</v>
      </c>
      <c r="BF99" s="287">
        <f t="shared" si="67"/>
        <v>0</v>
      </c>
      <c r="BG99" s="287">
        <f t="shared" si="68"/>
        <v>0</v>
      </c>
      <c r="BH99" s="287">
        <f t="shared" si="69"/>
        <v>0</v>
      </c>
      <c r="BI99" s="287">
        <f t="shared" si="70"/>
        <v>0</v>
      </c>
      <c r="BJ99" s="287">
        <f t="shared" si="71"/>
        <v>0</v>
      </c>
      <c r="BK99" s="287">
        <f t="shared" si="72"/>
        <v>0</v>
      </c>
      <c r="BL99" s="287">
        <f t="shared" si="73"/>
        <v>0</v>
      </c>
      <c r="BM99" s="16"/>
      <c r="BN99" s="287">
        <f t="shared" si="74"/>
        <v>0</v>
      </c>
      <c r="BO99" s="287">
        <f t="shared" si="75"/>
        <v>0</v>
      </c>
      <c r="BP99" s="432"/>
      <c r="BQ99" s="21"/>
      <c r="BR99" s="21"/>
      <c r="BS99" s="39"/>
      <c r="BT99" s="39"/>
      <c r="BU99" s="334">
        <v>16245</v>
      </c>
      <c r="BV99" s="334">
        <v>0</v>
      </c>
      <c r="BW99" s="39"/>
      <c r="BX99" s="39"/>
      <c r="BY99" s="39"/>
      <c r="BZ99" s="39">
        <v>86</v>
      </c>
      <c r="CA99" s="39" t="str">
        <f t="shared" si="76"/>
        <v/>
      </c>
      <c r="CB99" s="39"/>
      <c r="CC99" s="39"/>
      <c r="CD99" s="39"/>
      <c r="CE99" s="39"/>
      <c r="CF99" s="39"/>
      <c r="CG99" s="39"/>
      <c r="CH99" s="39"/>
      <c r="CI99" s="39"/>
      <c r="CJ99" s="39"/>
      <c r="CK99" s="39"/>
    </row>
    <row r="100" spans="1:89" s="193" customFormat="1">
      <c r="A100" s="195"/>
      <c r="B100" s="21" t="str">
        <f t="shared" si="45"/>
        <v>N/A</v>
      </c>
      <c r="C100" s="21"/>
      <c r="D100" s="432">
        <v>3200502</v>
      </c>
      <c r="E100" s="439" t="s">
        <v>3626</v>
      </c>
      <c r="F100" s="439" t="s">
        <v>3706</v>
      </c>
      <c r="G100" s="273" t="s">
        <v>3373</v>
      </c>
      <c r="H100" s="358"/>
      <c r="I100" s="262" t="s">
        <v>3492</v>
      </c>
      <c r="J100" s="262" t="s">
        <v>3514</v>
      </c>
      <c r="K100" s="263">
        <v>270000</v>
      </c>
      <c r="L100" s="263">
        <v>300000</v>
      </c>
      <c r="M100" s="263">
        <v>0</v>
      </c>
      <c r="N100" s="263">
        <v>0</v>
      </c>
      <c r="O100" s="263">
        <v>0</v>
      </c>
      <c r="P100" s="263">
        <v>0</v>
      </c>
      <c r="Q100" s="263">
        <v>0</v>
      </c>
      <c r="R100" s="263">
        <v>0</v>
      </c>
      <c r="S100" s="263">
        <v>0</v>
      </c>
      <c r="T100" s="263">
        <v>0</v>
      </c>
      <c r="U100" s="263">
        <f t="shared" si="77"/>
        <v>570000</v>
      </c>
      <c r="V100" s="196" t="str">
        <f t="shared" si="46"/>
        <v>LOS</v>
      </c>
      <c r="W100" s="196" t="s">
        <v>1168</v>
      </c>
      <c r="X100" s="196" t="str">
        <f t="shared" si="47"/>
        <v>N</v>
      </c>
      <c r="Y100" s="197">
        <f t="shared" si="48"/>
        <v>570000</v>
      </c>
      <c r="Z100" s="198"/>
      <c r="AA100" s="197">
        <f t="shared" si="49"/>
        <v>570000</v>
      </c>
      <c r="AB100" s="196"/>
      <c r="AC100" s="196"/>
      <c r="AD100" s="275">
        <v>0</v>
      </c>
      <c r="AE100" s="275">
        <v>1</v>
      </c>
      <c r="AF100" s="275">
        <v>0</v>
      </c>
      <c r="AG100" s="199"/>
      <c r="AH100" s="199"/>
      <c r="AI100" s="377">
        <f t="shared" si="50"/>
        <v>0</v>
      </c>
      <c r="AJ100" s="203"/>
      <c r="AK100" s="203"/>
      <c r="AL100" s="197">
        <f t="shared" si="51"/>
        <v>570000</v>
      </c>
      <c r="AM100" s="197">
        <f t="shared" si="52"/>
        <v>0</v>
      </c>
      <c r="AN100" s="197">
        <f t="shared" si="53"/>
        <v>0</v>
      </c>
      <c r="AO100" s="202"/>
      <c r="AP100" s="161" t="s">
        <v>3900</v>
      </c>
      <c r="AQ100" s="279"/>
      <c r="AR100" s="287">
        <f t="shared" si="54"/>
        <v>0</v>
      </c>
      <c r="AS100" s="287">
        <f t="shared" si="55"/>
        <v>0</v>
      </c>
      <c r="AT100" s="287">
        <f t="shared" si="56"/>
        <v>0</v>
      </c>
      <c r="AU100" s="287">
        <f t="shared" si="57"/>
        <v>0</v>
      </c>
      <c r="AV100" s="287">
        <f t="shared" si="58"/>
        <v>0</v>
      </c>
      <c r="AW100" s="287">
        <f t="shared" si="59"/>
        <v>0</v>
      </c>
      <c r="AX100" s="287">
        <f t="shared" si="60"/>
        <v>0</v>
      </c>
      <c r="AY100" s="287">
        <f t="shared" si="61"/>
        <v>0</v>
      </c>
      <c r="AZ100" s="287">
        <f t="shared" si="62"/>
        <v>0</v>
      </c>
      <c r="BA100" s="287">
        <f t="shared" si="63"/>
        <v>0</v>
      </c>
      <c r="BB100" s="16"/>
      <c r="BC100" s="287">
        <f t="shared" si="64"/>
        <v>0</v>
      </c>
      <c r="BD100" s="287">
        <f t="shared" si="65"/>
        <v>0</v>
      </c>
      <c r="BE100" s="287">
        <f t="shared" si="66"/>
        <v>0</v>
      </c>
      <c r="BF100" s="287">
        <f t="shared" si="67"/>
        <v>0</v>
      </c>
      <c r="BG100" s="287">
        <f t="shared" si="68"/>
        <v>0</v>
      </c>
      <c r="BH100" s="287">
        <f t="shared" si="69"/>
        <v>0</v>
      </c>
      <c r="BI100" s="287">
        <f t="shared" si="70"/>
        <v>0</v>
      </c>
      <c r="BJ100" s="287">
        <f t="shared" si="71"/>
        <v>0</v>
      </c>
      <c r="BK100" s="287">
        <f t="shared" si="72"/>
        <v>0</v>
      </c>
      <c r="BL100" s="287">
        <f t="shared" si="73"/>
        <v>0</v>
      </c>
      <c r="BM100" s="16"/>
      <c r="BN100" s="287">
        <f t="shared" si="74"/>
        <v>0</v>
      </c>
      <c r="BO100" s="287">
        <f t="shared" si="75"/>
        <v>0</v>
      </c>
      <c r="BP100" s="432"/>
      <c r="BQ100" s="21"/>
      <c r="BR100" s="21"/>
      <c r="BS100" s="39"/>
      <c r="BT100" s="39"/>
      <c r="BU100" s="334">
        <v>10630448.75</v>
      </c>
      <c r="BV100" s="334">
        <v>0</v>
      </c>
      <c r="BW100" s="39"/>
      <c r="BX100" s="39"/>
      <c r="BY100" s="39"/>
      <c r="BZ100" s="39">
        <v>87</v>
      </c>
      <c r="CA100" s="39" t="str">
        <f t="shared" si="76"/>
        <v/>
      </c>
      <c r="CB100" s="39"/>
      <c r="CC100" s="39"/>
      <c r="CD100" s="39"/>
      <c r="CE100" s="39"/>
      <c r="CF100" s="39"/>
      <c r="CG100" s="39"/>
      <c r="CH100" s="39"/>
      <c r="CI100" s="39"/>
      <c r="CJ100" s="39"/>
      <c r="CK100" s="39"/>
    </row>
    <row r="101" spans="1:89" s="193" customFormat="1">
      <c r="A101" s="195"/>
      <c r="B101" s="21" t="str">
        <f t="shared" si="45"/>
        <v>N/A</v>
      </c>
      <c r="C101" s="21"/>
      <c r="D101" s="432">
        <v>3200514</v>
      </c>
      <c r="E101" s="439" t="s">
        <v>3906</v>
      </c>
      <c r="F101" s="439" t="s">
        <v>3707</v>
      </c>
      <c r="G101" s="273" t="s">
        <v>3279</v>
      </c>
      <c r="H101" s="358"/>
      <c r="I101" s="262" t="s">
        <v>3493</v>
      </c>
      <c r="J101" s="262" t="s">
        <v>3504</v>
      </c>
      <c r="K101" s="263">
        <v>8519500</v>
      </c>
      <c r="L101" s="263">
        <v>7159000</v>
      </c>
      <c r="M101" s="263">
        <v>7366000</v>
      </c>
      <c r="N101" s="263">
        <v>5946269</v>
      </c>
      <c r="O101" s="263">
        <v>0</v>
      </c>
      <c r="P101" s="263">
        <v>0</v>
      </c>
      <c r="Q101" s="263">
        <v>0</v>
      </c>
      <c r="R101" s="263">
        <v>0</v>
      </c>
      <c r="S101" s="263">
        <v>0</v>
      </c>
      <c r="T101" s="263">
        <v>0</v>
      </c>
      <c r="U101" s="263">
        <f t="shared" si="77"/>
        <v>28990769</v>
      </c>
      <c r="V101" s="196" t="str">
        <f t="shared" si="46"/>
        <v>G/LOS</v>
      </c>
      <c r="W101" s="196" t="s">
        <v>1168</v>
      </c>
      <c r="X101" s="196" t="str">
        <f t="shared" si="47"/>
        <v>Y</v>
      </c>
      <c r="Y101" s="197">
        <f t="shared" si="48"/>
        <v>28990769</v>
      </c>
      <c r="Z101" s="198"/>
      <c r="AA101" s="197">
        <f t="shared" si="49"/>
        <v>28990769</v>
      </c>
      <c r="AB101" s="196" t="s">
        <v>1168</v>
      </c>
      <c r="AC101" s="196"/>
      <c r="AD101" s="275">
        <v>0.5</v>
      </c>
      <c r="AE101" s="275">
        <v>0.5</v>
      </c>
      <c r="AF101" s="275">
        <v>0</v>
      </c>
      <c r="AG101" s="199"/>
      <c r="AH101" s="199"/>
      <c r="AI101" s="377">
        <f t="shared" si="50"/>
        <v>0</v>
      </c>
      <c r="AJ101" s="203"/>
      <c r="AK101" s="203"/>
      <c r="AL101" s="197">
        <f t="shared" si="51"/>
        <v>28990769</v>
      </c>
      <c r="AM101" s="197">
        <f t="shared" si="52"/>
        <v>0</v>
      </c>
      <c r="AN101" s="197">
        <f t="shared" si="53"/>
        <v>0</v>
      </c>
      <c r="AO101" s="202"/>
      <c r="AP101" s="161" t="s">
        <v>3900</v>
      </c>
      <c r="AQ101" s="279"/>
      <c r="AR101" s="287">
        <f t="shared" si="54"/>
        <v>0</v>
      </c>
      <c r="AS101" s="287">
        <f t="shared" si="55"/>
        <v>0</v>
      </c>
      <c r="AT101" s="287">
        <f t="shared" si="56"/>
        <v>0</v>
      </c>
      <c r="AU101" s="287">
        <f t="shared" si="57"/>
        <v>0</v>
      </c>
      <c r="AV101" s="287">
        <f t="shared" si="58"/>
        <v>0</v>
      </c>
      <c r="AW101" s="287">
        <f t="shared" si="59"/>
        <v>0</v>
      </c>
      <c r="AX101" s="287">
        <f t="shared" si="60"/>
        <v>0</v>
      </c>
      <c r="AY101" s="287">
        <f t="shared" si="61"/>
        <v>0</v>
      </c>
      <c r="AZ101" s="287">
        <f t="shared" si="62"/>
        <v>0</v>
      </c>
      <c r="BA101" s="287">
        <f t="shared" si="63"/>
        <v>0</v>
      </c>
      <c r="BB101" s="16"/>
      <c r="BC101" s="287">
        <f t="shared" si="64"/>
        <v>0</v>
      </c>
      <c r="BD101" s="287">
        <f t="shared" si="65"/>
        <v>0</v>
      </c>
      <c r="BE101" s="287">
        <f t="shared" si="66"/>
        <v>0</v>
      </c>
      <c r="BF101" s="287">
        <f t="shared" si="67"/>
        <v>0</v>
      </c>
      <c r="BG101" s="287">
        <f t="shared" si="68"/>
        <v>0</v>
      </c>
      <c r="BH101" s="287">
        <f t="shared" si="69"/>
        <v>0</v>
      </c>
      <c r="BI101" s="287">
        <f t="shared" si="70"/>
        <v>0</v>
      </c>
      <c r="BJ101" s="287">
        <f t="shared" si="71"/>
        <v>0</v>
      </c>
      <c r="BK101" s="287">
        <f t="shared" si="72"/>
        <v>0</v>
      </c>
      <c r="BL101" s="287">
        <f t="shared" si="73"/>
        <v>0</v>
      </c>
      <c r="BM101" s="16"/>
      <c r="BN101" s="287">
        <f t="shared" si="74"/>
        <v>0</v>
      </c>
      <c r="BO101" s="287">
        <f t="shared" si="75"/>
        <v>0</v>
      </c>
      <c r="BP101" s="432"/>
      <c r="BQ101" s="21"/>
      <c r="BR101" s="21"/>
      <c r="BS101" s="39"/>
      <c r="BT101" s="39"/>
      <c r="BU101" s="334">
        <v>3075810</v>
      </c>
      <c r="BV101" s="334">
        <v>0</v>
      </c>
      <c r="BW101" s="39"/>
      <c r="BX101" s="39"/>
      <c r="BY101" s="39"/>
      <c r="BZ101" s="39">
        <v>88</v>
      </c>
      <c r="CA101" s="39" t="str">
        <f t="shared" si="76"/>
        <v/>
      </c>
      <c r="CB101" s="39"/>
      <c r="CC101" s="39"/>
      <c r="CD101" s="39"/>
      <c r="CE101" s="39"/>
      <c r="CF101" s="39"/>
      <c r="CG101" s="39"/>
      <c r="CH101" s="39"/>
      <c r="CI101" s="39"/>
      <c r="CJ101" s="39"/>
      <c r="CK101" s="39"/>
    </row>
    <row r="102" spans="1:89" s="193" customFormat="1">
      <c r="A102" s="195"/>
      <c r="B102" s="21" t="str">
        <f t="shared" si="45"/>
        <v>N/A</v>
      </c>
      <c r="C102" s="21"/>
      <c r="D102" s="432">
        <v>3200515</v>
      </c>
      <c r="E102" s="439" t="s">
        <v>3906</v>
      </c>
      <c r="F102" s="439" t="s">
        <v>3708</v>
      </c>
      <c r="G102" s="273" t="s">
        <v>3309</v>
      </c>
      <c r="H102" s="358"/>
      <c r="I102" s="262" t="s">
        <v>3493</v>
      </c>
      <c r="J102" s="262" t="s">
        <v>3504</v>
      </c>
      <c r="K102" s="263">
        <v>3100000</v>
      </c>
      <c r="L102" s="263">
        <v>0</v>
      </c>
      <c r="M102" s="263">
        <v>0</v>
      </c>
      <c r="N102" s="263">
        <v>0</v>
      </c>
      <c r="O102" s="263">
        <v>0</v>
      </c>
      <c r="P102" s="263">
        <v>0</v>
      </c>
      <c r="Q102" s="263">
        <v>0</v>
      </c>
      <c r="R102" s="263">
        <v>0</v>
      </c>
      <c r="S102" s="263">
        <v>0</v>
      </c>
      <c r="T102" s="263">
        <v>0</v>
      </c>
      <c r="U102" s="263">
        <f t="shared" si="77"/>
        <v>3100000</v>
      </c>
      <c r="V102" s="196" t="str">
        <f t="shared" si="46"/>
        <v>G/LOS/R</v>
      </c>
      <c r="W102" s="196" t="s">
        <v>1168</v>
      </c>
      <c r="X102" s="196" t="str">
        <f t="shared" si="47"/>
        <v>Y</v>
      </c>
      <c r="Y102" s="197">
        <f t="shared" si="48"/>
        <v>3100000</v>
      </c>
      <c r="Z102" s="198"/>
      <c r="AA102" s="197">
        <f t="shared" si="49"/>
        <v>3100000</v>
      </c>
      <c r="AB102" s="196" t="s">
        <v>1168</v>
      </c>
      <c r="AC102" s="196"/>
      <c r="AD102" s="275">
        <v>0.4</v>
      </c>
      <c r="AE102" s="275">
        <v>0.3</v>
      </c>
      <c r="AF102" s="275">
        <v>0.3</v>
      </c>
      <c r="AG102" s="199"/>
      <c r="AH102" s="199"/>
      <c r="AI102" s="377">
        <f t="shared" si="50"/>
        <v>0</v>
      </c>
      <c r="AJ102" s="203"/>
      <c r="AK102" s="203"/>
      <c r="AL102" s="197">
        <f t="shared" si="51"/>
        <v>3100000</v>
      </c>
      <c r="AM102" s="197">
        <f t="shared" si="52"/>
        <v>0</v>
      </c>
      <c r="AN102" s="197">
        <f t="shared" si="53"/>
        <v>0</v>
      </c>
      <c r="AO102" s="202"/>
      <c r="AP102" s="161" t="s">
        <v>3900</v>
      </c>
      <c r="AQ102" s="279"/>
      <c r="AR102" s="287">
        <f t="shared" si="54"/>
        <v>0</v>
      </c>
      <c r="AS102" s="287">
        <f t="shared" si="55"/>
        <v>0</v>
      </c>
      <c r="AT102" s="287">
        <f t="shared" si="56"/>
        <v>0</v>
      </c>
      <c r="AU102" s="287">
        <f t="shared" si="57"/>
        <v>0</v>
      </c>
      <c r="AV102" s="287">
        <f t="shared" si="58"/>
        <v>0</v>
      </c>
      <c r="AW102" s="287">
        <f t="shared" si="59"/>
        <v>0</v>
      </c>
      <c r="AX102" s="287">
        <f t="shared" si="60"/>
        <v>0</v>
      </c>
      <c r="AY102" s="287">
        <f t="shared" si="61"/>
        <v>0</v>
      </c>
      <c r="AZ102" s="287">
        <f t="shared" si="62"/>
        <v>0</v>
      </c>
      <c r="BA102" s="287">
        <f t="shared" si="63"/>
        <v>0</v>
      </c>
      <c r="BB102" s="16"/>
      <c r="BC102" s="287">
        <f t="shared" si="64"/>
        <v>0</v>
      </c>
      <c r="BD102" s="287">
        <f t="shared" si="65"/>
        <v>0</v>
      </c>
      <c r="BE102" s="287">
        <f t="shared" si="66"/>
        <v>0</v>
      </c>
      <c r="BF102" s="287">
        <f t="shared" si="67"/>
        <v>0</v>
      </c>
      <c r="BG102" s="287">
        <f t="shared" si="68"/>
        <v>0</v>
      </c>
      <c r="BH102" s="287">
        <f t="shared" si="69"/>
        <v>0</v>
      </c>
      <c r="BI102" s="287">
        <f t="shared" si="70"/>
        <v>0</v>
      </c>
      <c r="BJ102" s="287">
        <f t="shared" si="71"/>
        <v>0</v>
      </c>
      <c r="BK102" s="287">
        <f t="shared" si="72"/>
        <v>0</v>
      </c>
      <c r="BL102" s="287">
        <f t="shared" si="73"/>
        <v>0</v>
      </c>
      <c r="BM102" s="16"/>
      <c r="BN102" s="287">
        <f t="shared" si="74"/>
        <v>0</v>
      </c>
      <c r="BO102" s="287">
        <f t="shared" si="75"/>
        <v>0</v>
      </c>
      <c r="BP102" s="432"/>
      <c r="BQ102" s="21"/>
      <c r="BR102" s="21"/>
      <c r="BS102" s="39"/>
      <c r="BT102" s="39"/>
      <c r="BU102" s="334">
        <v>14430</v>
      </c>
      <c r="BV102" s="334">
        <v>0</v>
      </c>
      <c r="BW102" s="39"/>
      <c r="BX102" s="39"/>
      <c r="BY102" s="39"/>
      <c r="BZ102" s="39">
        <v>89</v>
      </c>
      <c r="CA102" s="39" t="str">
        <f t="shared" si="76"/>
        <v/>
      </c>
      <c r="CB102" s="39"/>
      <c r="CC102" s="39"/>
      <c r="CD102" s="39"/>
      <c r="CE102" s="39"/>
      <c r="CF102" s="39"/>
      <c r="CG102" s="39"/>
      <c r="CH102" s="39"/>
      <c r="CI102" s="39"/>
      <c r="CJ102" s="39"/>
      <c r="CK102" s="39"/>
    </row>
    <row r="103" spans="1:89" s="193" customFormat="1">
      <c r="A103" s="195"/>
      <c r="B103" s="21" t="str">
        <f t="shared" si="45"/>
        <v>N/A</v>
      </c>
      <c r="C103" s="21"/>
      <c r="D103" s="432">
        <v>3200519</v>
      </c>
      <c r="E103" s="439" t="s">
        <v>3906</v>
      </c>
      <c r="F103" s="439" t="s">
        <v>3709</v>
      </c>
      <c r="G103" s="273" t="s">
        <v>3371</v>
      </c>
      <c r="H103" s="358"/>
      <c r="I103" s="262" t="s">
        <v>3493</v>
      </c>
      <c r="J103" s="262" t="s">
        <v>3504</v>
      </c>
      <c r="K103" s="263">
        <v>301794.8</v>
      </c>
      <c r="L103" s="263">
        <v>301794.8</v>
      </c>
      <c r="M103" s="263">
        <v>301794.8</v>
      </c>
      <c r="N103" s="263">
        <v>301794.8</v>
      </c>
      <c r="O103" s="263">
        <v>301794.8</v>
      </c>
      <c r="P103" s="263">
        <v>0</v>
      </c>
      <c r="Q103" s="263">
        <v>0</v>
      </c>
      <c r="R103" s="263">
        <v>0</v>
      </c>
      <c r="S103" s="263">
        <v>0</v>
      </c>
      <c r="T103" s="263">
        <v>0</v>
      </c>
      <c r="U103" s="263">
        <f t="shared" si="77"/>
        <v>1508974</v>
      </c>
      <c r="V103" s="196" t="str">
        <f t="shared" si="46"/>
        <v>G/LOS</v>
      </c>
      <c r="W103" s="196" t="s">
        <v>1168</v>
      </c>
      <c r="X103" s="196" t="str">
        <f t="shared" si="47"/>
        <v>Y</v>
      </c>
      <c r="Y103" s="197">
        <f t="shared" si="48"/>
        <v>1508974</v>
      </c>
      <c r="Z103" s="198"/>
      <c r="AA103" s="197">
        <f t="shared" si="49"/>
        <v>1508974</v>
      </c>
      <c r="AB103" s="196" t="s">
        <v>1168</v>
      </c>
      <c r="AC103" s="196"/>
      <c r="AD103" s="275">
        <v>0.65</v>
      </c>
      <c r="AE103" s="275">
        <v>0.35</v>
      </c>
      <c r="AF103" s="275">
        <v>0</v>
      </c>
      <c r="AG103" s="199"/>
      <c r="AH103" s="199"/>
      <c r="AI103" s="377">
        <f t="shared" si="50"/>
        <v>0</v>
      </c>
      <c r="AJ103" s="203"/>
      <c r="AK103" s="203"/>
      <c r="AL103" s="197">
        <f t="shared" si="51"/>
        <v>1508974</v>
      </c>
      <c r="AM103" s="197">
        <f t="shared" si="52"/>
        <v>0</v>
      </c>
      <c r="AN103" s="197">
        <f t="shared" si="53"/>
        <v>0</v>
      </c>
      <c r="AO103" s="202"/>
      <c r="AP103" s="161" t="s">
        <v>3900</v>
      </c>
      <c r="AQ103" s="279"/>
      <c r="AR103" s="287">
        <f t="shared" si="54"/>
        <v>0</v>
      </c>
      <c r="AS103" s="287">
        <f t="shared" si="55"/>
        <v>0</v>
      </c>
      <c r="AT103" s="287">
        <f t="shared" si="56"/>
        <v>0</v>
      </c>
      <c r="AU103" s="287">
        <f t="shared" si="57"/>
        <v>0</v>
      </c>
      <c r="AV103" s="287">
        <f t="shared" si="58"/>
        <v>0</v>
      </c>
      <c r="AW103" s="287">
        <f t="shared" si="59"/>
        <v>0</v>
      </c>
      <c r="AX103" s="287">
        <f t="shared" si="60"/>
        <v>0</v>
      </c>
      <c r="AY103" s="287">
        <f t="shared" si="61"/>
        <v>0</v>
      </c>
      <c r="AZ103" s="287">
        <f t="shared" si="62"/>
        <v>0</v>
      </c>
      <c r="BA103" s="287">
        <f t="shared" si="63"/>
        <v>0</v>
      </c>
      <c r="BB103" s="16"/>
      <c r="BC103" s="287">
        <f t="shared" si="64"/>
        <v>0</v>
      </c>
      <c r="BD103" s="287">
        <f t="shared" si="65"/>
        <v>0</v>
      </c>
      <c r="BE103" s="287">
        <f t="shared" si="66"/>
        <v>0</v>
      </c>
      <c r="BF103" s="287">
        <f t="shared" si="67"/>
        <v>0</v>
      </c>
      <c r="BG103" s="287">
        <f t="shared" si="68"/>
        <v>0</v>
      </c>
      <c r="BH103" s="287">
        <f t="shared" si="69"/>
        <v>0</v>
      </c>
      <c r="BI103" s="287">
        <f t="shared" si="70"/>
        <v>0</v>
      </c>
      <c r="BJ103" s="287">
        <f t="shared" si="71"/>
        <v>0</v>
      </c>
      <c r="BK103" s="287">
        <f t="shared" si="72"/>
        <v>0</v>
      </c>
      <c r="BL103" s="287">
        <f t="shared" si="73"/>
        <v>0</v>
      </c>
      <c r="BM103" s="16"/>
      <c r="BN103" s="287">
        <f t="shared" si="74"/>
        <v>0</v>
      </c>
      <c r="BO103" s="287">
        <f t="shared" si="75"/>
        <v>0</v>
      </c>
      <c r="BP103" s="432"/>
      <c r="BQ103" s="21"/>
      <c r="BR103" s="21"/>
      <c r="BS103" s="39"/>
      <c r="BT103" s="39"/>
      <c r="BU103" s="334">
        <v>375000</v>
      </c>
      <c r="BV103" s="334">
        <v>0</v>
      </c>
      <c r="BW103" s="39"/>
      <c r="BX103" s="39"/>
      <c r="BY103" s="39"/>
      <c r="BZ103" s="39">
        <v>90</v>
      </c>
      <c r="CA103" s="39" t="str">
        <f t="shared" si="76"/>
        <v/>
      </c>
      <c r="CB103" s="39"/>
      <c r="CC103" s="39"/>
      <c r="CD103" s="39"/>
      <c r="CE103" s="39"/>
      <c r="CF103" s="39"/>
      <c r="CG103" s="39"/>
      <c r="CH103" s="39"/>
      <c r="CI103" s="39"/>
      <c r="CJ103" s="39"/>
      <c r="CK103" s="39"/>
    </row>
    <row r="104" spans="1:89" s="193" customFormat="1">
      <c r="A104" s="195"/>
      <c r="B104" s="21" t="str">
        <f t="shared" si="45"/>
        <v>N/A</v>
      </c>
      <c r="C104" s="21"/>
      <c r="D104" s="432">
        <v>3200531</v>
      </c>
      <c r="E104" s="439" t="s">
        <v>3626</v>
      </c>
      <c r="F104" s="439" t="s">
        <v>3710</v>
      </c>
      <c r="G104" s="273" t="s">
        <v>3320</v>
      </c>
      <c r="H104" s="358"/>
      <c r="I104" s="262" t="s">
        <v>3501</v>
      </c>
      <c r="J104" s="262" t="s">
        <v>3504</v>
      </c>
      <c r="K104" s="263">
        <v>2195000</v>
      </c>
      <c r="L104" s="263">
        <v>1870000</v>
      </c>
      <c r="M104" s="263">
        <v>2250000</v>
      </c>
      <c r="N104" s="263">
        <v>2625000</v>
      </c>
      <c r="O104" s="263">
        <v>4513160</v>
      </c>
      <c r="P104" s="263">
        <v>5737323.2000000002</v>
      </c>
      <c r="Q104" s="263">
        <v>5813684.8300000001</v>
      </c>
      <c r="R104" s="263">
        <v>7125829.2599999998</v>
      </c>
      <c r="S104" s="263">
        <v>5817545.8499999996</v>
      </c>
      <c r="T104" s="263">
        <v>3595000</v>
      </c>
      <c r="U104" s="263">
        <f t="shared" si="77"/>
        <v>41542543.140000001</v>
      </c>
      <c r="V104" s="196" t="str">
        <f t="shared" si="46"/>
        <v>LOS</v>
      </c>
      <c r="W104" s="196" t="s">
        <v>1168</v>
      </c>
      <c r="X104" s="196" t="str">
        <f t="shared" si="47"/>
        <v>N</v>
      </c>
      <c r="Y104" s="197">
        <f t="shared" si="48"/>
        <v>41542543.140000001</v>
      </c>
      <c r="Z104" s="198"/>
      <c r="AA104" s="197">
        <f t="shared" si="49"/>
        <v>41542543.140000001</v>
      </c>
      <c r="AB104" s="196"/>
      <c r="AC104" s="196"/>
      <c r="AD104" s="275">
        <v>0</v>
      </c>
      <c r="AE104" s="275">
        <v>1</v>
      </c>
      <c r="AF104" s="275">
        <v>0</v>
      </c>
      <c r="AG104" s="442"/>
      <c r="AH104" s="442"/>
      <c r="AI104" s="200">
        <f t="shared" si="50"/>
        <v>0</v>
      </c>
      <c r="AJ104" s="203"/>
      <c r="AK104" s="203"/>
      <c r="AL104" s="197">
        <f t="shared" si="51"/>
        <v>41542543.140000001</v>
      </c>
      <c r="AM104" s="197">
        <f t="shared" si="52"/>
        <v>0</v>
      </c>
      <c r="AN104" s="197">
        <f t="shared" si="53"/>
        <v>0</v>
      </c>
      <c r="AO104" s="202"/>
      <c r="AP104" s="161" t="s">
        <v>3900</v>
      </c>
      <c r="AQ104" s="279"/>
      <c r="AR104" s="287">
        <f t="shared" si="54"/>
        <v>0</v>
      </c>
      <c r="AS104" s="287">
        <f t="shared" si="55"/>
        <v>0</v>
      </c>
      <c r="AT104" s="287">
        <f t="shared" si="56"/>
        <v>0</v>
      </c>
      <c r="AU104" s="287">
        <f t="shared" si="57"/>
        <v>0</v>
      </c>
      <c r="AV104" s="287">
        <f t="shared" si="58"/>
        <v>0</v>
      </c>
      <c r="AW104" s="287">
        <f t="shared" si="59"/>
        <v>0</v>
      </c>
      <c r="AX104" s="287">
        <f t="shared" si="60"/>
        <v>0</v>
      </c>
      <c r="AY104" s="287">
        <f t="shared" si="61"/>
        <v>0</v>
      </c>
      <c r="AZ104" s="287">
        <f t="shared" si="62"/>
        <v>0</v>
      </c>
      <c r="BA104" s="287">
        <f t="shared" si="63"/>
        <v>0</v>
      </c>
      <c r="BB104" s="16"/>
      <c r="BC104" s="287">
        <f t="shared" si="64"/>
        <v>0</v>
      </c>
      <c r="BD104" s="287">
        <f t="shared" si="65"/>
        <v>0</v>
      </c>
      <c r="BE104" s="287">
        <f t="shared" si="66"/>
        <v>0</v>
      </c>
      <c r="BF104" s="287">
        <f t="shared" si="67"/>
        <v>0</v>
      </c>
      <c r="BG104" s="287">
        <f t="shared" si="68"/>
        <v>0</v>
      </c>
      <c r="BH104" s="287">
        <f t="shared" si="69"/>
        <v>0</v>
      </c>
      <c r="BI104" s="287">
        <f t="shared" si="70"/>
        <v>0</v>
      </c>
      <c r="BJ104" s="287">
        <f t="shared" si="71"/>
        <v>0</v>
      </c>
      <c r="BK104" s="287">
        <f t="shared" si="72"/>
        <v>0</v>
      </c>
      <c r="BL104" s="287">
        <f t="shared" si="73"/>
        <v>0</v>
      </c>
      <c r="BM104" s="16"/>
      <c r="BN104" s="287">
        <f t="shared" si="74"/>
        <v>0</v>
      </c>
      <c r="BO104" s="287">
        <f t="shared" si="75"/>
        <v>0</v>
      </c>
      <c r="BP104" s="432"/>
      <c r="BQ104" s="21"/>
      <c r="BR104" s="21"/>
      <c r="BS104" s="39"/>
      <c r="BT104" s="39"/>
      <c r="BU104" s="39"/>
      <c r="BV104" s="39"/>
      <c r="BW104" s="39"/>
      <c r="BX104" s="39"/>
      <c r="BY104" s="39"/>
      <c r="BZ104" s="39">
        <v>91</v>
      </c>
      <c r="CA104" s="39" t="str">
        <f t="shared" si="76"/>
        <v/>
      </c>
      <c r="CB104" s="39"/>
      <c r="CC104" s="39"/>
      <c r="CD104" s="39"/>
      <c r="CE104" s="39"/>
      <c r="CF104" s="39"/>
      <c r="CG104" s="39"/>
      <c r="CH104" s="39"/>
      <c r="CI104" s="39"/>
      <c r="CJ104" s="39"/>
      <c r="CK104" s="39"/>
    </row>
    <row r="105" spans="1:89" s="193" customFormat="1">
      <c r="A105" s="195"/>
      <c r="B105" s="21" t="str">
        <f t="shared" si="45"/>
        <v>N/A</v>
      </c>
      <c r="C105" s="21"/>
      <c r="D105" s="432">
        <v>3200543</v>
      </c>
      <c r="E105" s="439" t="s">
        <v>3626</v>
      </c>
      <c r="F105" s="439" t="s">
        <v>3716</v>
      </c>
      <c r="G105" s="273" t="s">
        <v>3359</v>
      </c>
      <c r="H105" s="358"/>
      <c r="I105" s="262" t="s">
        <v>3495</v>
      </c>
      <c r="J105" s="262" t="s">
        <v>3504</v>
      </c>
      <c r="K105" s="263">
        <v>85000</v>
      </c>
      <c r="L105" s="263">
        <v>10000</v>
      </c>
      <c r="M105" s="263">
        <v>10000</v>
      </c>
      <c r="N105" s="263">
        <v>10000</v>
      </c>
      <c r="O105" s="263">
        <v>10000</v>
      </c>
      <c r="P105" s="263">
        <v>10000</v>
      </c>
      <c r="Q105" s="263">
        <v>10000</v>
      </c>
      <c r="R105" s="263">
        <v>10000</v>
      </c>
      <c r="S105" s="263">
        <v>10000</v>
      </c>
      <c r="T105" s="263">
        <v>10000</v>
      </c>
      <c r="U105" s="263">
        <f t="shared" si="77"/>
        <v>175000</v>
      </c>
      <c r="V105" s="196" t="str">
        <f t="shared" si="46"/>
        <v>LOS</v>
      </c>
      <c r="W105" s="196" t="s">
        <v>1168</v>
      </c>
      <c r="X105" s="196" t="str">
        <f t="shared" si="47"/>
        <v>N</v>
      </c>
      <c r="Y105" s="197">
        <f t="shared" si="48"/>
        <v>175000</v>
      </c>
      <c r="Z105" s="198"/>
      <c r="AA105" s="197">
        <f t="shared" si="49"/>
        <v>175000</v>
      </c>
      <c r="AB105" s="196"/>
      <c r="AC105" s="196"/>
      <c r="AD105" s="275">
        <v>0</v>
      </c>
      <c r="AE105" s="275">
        <v>1</v>
      </c>
      <c r="AF105" s="275">
        <v>0</v>
      </c>
      <c r="AG105" s="199"/>
      <c r="AH105" s="199"/>
      <c r="AI105" s="377">
        <f t="shared" si="50"/>
        <v>0</v>
      </c>
      <c r="AJ105" s="203"/>
      <c r="AK105" s="203"/>
      <c r="AL105" s="197">
        <f t="shared" si="51"/>
        <v>175000</v>
      </c>
      <c r="AM105" s="197">
        <f t="shared" si="52"/>
        <v>0</v>
      </c>
      <c r="AN105" s="197">
        <f t="shared" si="53"/>
        <v>0</v>
      </c>
      <c r="AO105" s="202"/>
      <c r="AP105" s="161" t="s">
        <v>3900</v>
      </c>
      <c r="AQ105" s="279"/>
      <c r="AR105" s="287">
        <f t="shared" si="54"/>
        <v>0</v>
      </c>
      <c r="AS105" s="287">
        <f t="shared" si="55"/>
        <v>0</v>
      </c>
      <c r="AT105" s="287">
        <f t="shared" si="56"/>
        <v>0</v>
      </c>
      <c r="AU105" s="287">
        <f t="shared" si="57"/>
        <v>0</v>
      </c>
      <c r="AV105" s="287">
        <f t="shared" si="58"/>
        <v>0</v>
      </c>
      <c r="AW105" s="287">
        <f t="shared" si="59"/>
        <v>0</v>
      </c>
      <c r="AX105" s="287">
        <f t="shared" si="60"/>
        <v>0</v>
      </c>
      <c r="AY105" s="287">
        <f t="shared" si="61"/>
        <v>0</v>
      </c>
      <c r="AZ105" s="287">
        <f t="shared" si="62"/>
        <v>0</v>
      </c>
      <c r="BA105" s="287">
        <f t="shared" si="63"/>
        <v>0</v>
      </c>
      <c r="BB105" s="16"/>
      <c r="BC105" s="287">
        <f t="shared" si="64"/>
        <v>0</v>
      </c>
      <c r="BD105" s="287">
        <f t="shared" si="65"/>
        <v>0</v>
      </c>
      <c r="BE105" s="287">
        <f t="shared" si="66"/>
        <v>0</v>
      </c>
      <c r="BF105" s="287">
        <f t="shared" si="67"/>
        <v>0</v>
      </c>
      <c r="BG105" s="287">
        <f t="shared" si="68"/>
        <v>0</v>
      </c>
      <c r="BH105" s="287">
        <f t="shared" si="69"/>
        <v>0</v>
      </c>
      <c r="BI105" s="287">
        <f t="shared" si="70"/>
        <v>0</v>
      </c>
      <c r="BJ105" s="287">
        <f t="shared" si="71"/>
        <v>0</v>
      </c>
      <c r="BK105" s="287">
        <f t="shared" si="72"/>
        <v>0</v>
      </c>
      <c r="BL105" s="287">
        <f t="shared" si="73"/>
        <v>0</v>
      </c>
      <c r="BM105" s="16"/>
      <c r="BN105" s="287">
        <f t="shared" si="74"/>
        <v>0</v>
      </c>
      <c r="BO105" s="287">
        <f t="shared" si="75"/>
        <v>0</v>
      </c>
      <c r="BP105" s="432"/>
      <c r="BQ105" s="21"/>
      <c r="BR105" s="21"/>
      <c r="BS105" s="39"/>
      <c r="BT105" s="39"/>
      <c r="BU105" s="334">
        <v>1684436.25</v>
      </c>
      <c r="BV105" s="334">
        <v>0</v>
      </c>
      <c r="BW105" s="39"/>
      <c r="BX105" s="39"/>
      <c r="BY105" s="629"/>
      <c r="BZ105" s="39">
        <v>92</v>
      </c>
      <c r="CA105" s="39" t="str">
        <f t="shared" si="76"/>
        <v/>
      </c>
      <c r="CB105" s="39"/>
      <c r="CC105" s="39"/>
      <c r="CD105" s="39"/>
      <c r="CE105" s="39"/>
      <c r="CF105" s="39"/>
      <c r="CG105" s="39"/>
      <c r="CH105" s="39"/>
      <c r="CI105" s="39"/>
      <c r="CJ105" s="39"/>
      <c r="CK105" s="39"/>
    </row>
    <row r="106" spans="1:89" s="193" customFormat="1">
      <c r="A106" s="195"/>
      <c r="B106" s="21" t="str">
        <f t="shared" si="45"/>
        <v>N/A</v>
      </c>
      <c r="C106" s="21"/>
      <c r="D106" s="432">
        <v>3200543</v>
      </c>
      <c r="E106" s="439" t="s">
        <v>3626</v>
      </c>
      <c r="F106" s="439" t="s">
        <v>3715</v>
      </c>
      <c r="G106" s="273" t="s">
        <v>3361</v>
      </c>
      <c r="H106" s="358"/>
      <c r="I106" s="262" t="s">
        <v>3495</v>
      </c>
      <c r="J106" s="262" t="s">
        <v>3504</v>
      </c>
      <c r="K106" s="263">
        <v>15375</v>
      </c>
      <c r="L106" s="263">
        <v>45000</v>
      </c>
      <c r="M106" s="263">
        <v>19442</v>
      </c>
      <c r="N106" s="263">
        <v>173740</v>
      </c>
      <c r="O106" s="263">
        <v>15000</v>
      </c>
      <c r="P106" s="263">
        <v>15000</v>
      </c>
      <c r="Q106" s="263">
        <v>15000</v>
      </c>
      <c r="R106" s="263">
        <v>15000</v>
      </c>
      <c r="S106" s="263">
        <v>15000</v>
      </c>
      <c r="T106" s="263">
        <v>15000</v>
      </c>
      <c r="U106" s="263">
        <f t="shared" si="77"/>
        <v>343557</v>
      </c>
      <c r="V106" s="196" t="str">
        <f t="shared" si="46"/>
        <v>R</v>
      </c>
      <c r="W106" s="196" t="s">
        <v>1168</v>
      </c>
      <c r="X106" s="196" t="str">
        <f t="shared" si="47"/>
        <v>N</v>
      </c>
      <c r="Y106" s="197">
        <f t="shared" si="48"/>
        <v>343557</v>
      </c>
      <c r="Z106" s="198"/>
      <c r="AA106" s="197">
        <f t="shared" si="49"/>
        <v>343557</v>
      </c>
      <c r="AB106" s="196"/>
      <c r="AC106" s="196"/>
      <c r="AD106" s="275">
        <v>0</v>
      </c>
      <c r="AE106" s="275">
        <v>0</v>
      </c>
      <c r="AF106" s="275">
        <v>1</v>
      </c>
      <c r="AG106" s="199"/>
      <c r="AH106" s="199"/>
      <c r="AI106" s="377">
        <f t="shared" si="50"/>
        <v>0</v>
      </c>
      <c r="AJ106" s="203"/>
      <c r="AK106" s="203"/>
      <c r="AL106" s="197">
        <f t="shared" si="51"/>
        <v>343557</v>
      </c>
      <c r="AM106" s="197">
        <f t="shared" si="52"/>
        <v>0</v>
      </c>
      <c r="AN106" s="197">
        <f t="shared" si="53"/>
        <v>0</v>
      </c>
      <c r="AO106" s="202"/>
      <c r="AP106" s="161" t="s">
        <v>3900</v>
      </c>
      <c r="AQ106" s="279"/>
      <c r="AR106" s="287">
        <f t="shared" si="54"/>
        <v>0</v>
      </c>
      <c r="AS106" s="287">
        <f t="shared" si="55"/>
        <v>0</v>
      </c>
      <c r="AT106" s="287">
        <f t="shared" si="56"/>
        <v>0</v>
      </c>
      <c r="AU106" s="287">
        <f t="shared" si="57"/>
        <v>0</v>
      </c>
      <c r="AV106" s="287">
        <f t="shared" si="58"/>
        <v>0</v>
      </c>
      <c r="AW106" s="287">
        <f t="shared" si="59"/>
        <v>0</v>
      </c>
      <c r="AX106" s="287">
        <f t="shared" si="60"/>
        <v>0</v>
      </c>
      <c r="AY106" s="287">
        <f t="shared" si="61"/>
        <v>0</v>
      </c>
      <c r="AZ106" s="287">
        <f t="shared" si="62"/>
        <v>0</v>
      </c>
      <c r="BA106" s="287">
        <f t="shared" si="63"/>
        <v>0</v>
      </c>
      <c r="BB106" s="16"/>
      <c r="BC106" s="287">
        <f t="shared" si="64"/>
        <v>0</v>
      </c>
      <c r="BD106" s="287">
        <f t="shared" si="65"/>
        <v>0</v>
      </c>
      <c r="BE106" s="287">
        <f t="shared" si="66"/>
        <v>0</v>
      </c>
      <c r="BF106" s="287">
        <f t="shared" si="67"/>
        <v>0</v>
      </c>
      <c r="BG106" s="287">
        <f t="shared" si="68"/>
        <v>0</v>
      </c>
      <c r="BH106" s="287">
        <f t="shared" si="69"/>
        <v>0</v>
      </c>
      <c r="BI106" s="287">
        <f t="shared" si="70"/>
        <v>0</v>
      </c>
      <c r="BJ106" s="287">
        <f t="shared" si="71"/>
        <v>0</v>
      </c>
      <c r="BK106" s="287">
        <f t="shared" si="72"/>
        <v>0</v>
      </c>
      <c r="BL106" s="287">
        <f t="shared" si="73"/>
        <v>0</v>
      </c>
      <c r="BM106" s="16"/>
      <c r="BN106" s="287">
        <f t="shared" si="74"/>
        <v>0</v>
      </c>
      <c r="BO106" s="287">
        <f t="shared" si="75"/>
        <v>0</v>
      </c>
      <c r="BP106" s="432"/>
      <c r="BQ106" s="21"/>
      <c r="BR106" s="21"/>
      <c r="BS106" s="39"/>
      <c r="BT106" s="39"/>
      <c r="BU106" s="334">
        <v>43750</v>
      </c>
      <c r="BV106" s="334">
        <v>0</v>
      </c>
      <c r="BW106" s="39"/>
      <c r="BX106" s="39"/>
      <c r="BY106" s="39"/>
      <c r="BZ106" s="39">
        <v>93</v>
      </c>
      <c r="CA106" s="39" t="str">
        <f t="shared" si="76"/>
        <v/>
      </c>
      <c r="CB106" s="39"/>
      <c r="CC106" s="39"/>
      <c r="CD106" s="39"/>
      <c r="CE106" s="39"/>
      <c r="CF106" s="39"/>
      <c r="CG106" s="39"/>
      <c r="CH106" s="39"/>
      <c r="CI106" s="39"/>
      <c r="CJ106" s="39"/>
      <c r="CK106" s="39"/>
    </row>
    <row r="107" spans="1:89" s="193" customFormat="1">
      <c r="A107" s="195"/>
      <c r="B107" s="21" t="str">
        <f t="shared" si="45"/>
        <v>N/A</v>
      </c>
      <c r="C107" s="21"/>
      <c r="D107" s="432">
        <v>3200543</v>
      </c>
      <c r="E107" s="439" t="s">
        <v>3626</v>
      </c>
      <c r="F107" s="439" t="s">
        <v>3713</v>
      </c>
      <c r="G107" s="273" t="s">
        <v>3360</v>
      </c>
      <c r="H107" s="358"/>
      <c r="I107" s="262" t="s">
        <v>3495</v>
      </c>
      <c r="J107" s="262" t="s">
        <v>3504</v>
      </c>
      <c r="K107" s="263">
        <v>20000</v>
      </c>
      <c r="L107" s="263">
        <v>20000</v>
      </c>
      <c r="M107" s="263">
        <v>20000</v>
      </c>
      <c r="N107" s="263">
        <v>20000</v>
      </c>
      <c r="O107" s="263">
        <v>55631</v>
      </c>
      <c r="P107" s="263">
        <v>20000</v>
      </c>
      <c r="Q107" s="263">
        <v>20000</v>
      </c>
      <c r="R107" s="263">
        <v>20000</v>
      </c>
      <c r="S107" s="263">
        <v>20000</v>
      </c>
      <c r="T107" s="263">
        <v>66000</v>
      </c>
      <c r="U107" s="263">
        <f t="shared" si="77"/>
        <v>281631</v>
      </c>
      <c r="V107" s="196" t="str">
        <f t="shared" si="46"/>
        <v>LOS/R</v>
      </c>
      <c r="W107" s="196" t="s">
        <v>1168</v>
      </c>
      <c r="X107" s="196" t="str">
        <f t="shared" si="47"/>
        <v>N</v>
      </c>
      <c r="Y107" s="197">
        <f t="shared" si="48"/>
        <v>281631</v>
      </c>
      <c r="Z107" s="198"/>
      <c r="AA107" s="197">
        <f t="shared" si="49"/>
        <v>281631</v>
      </c>
      <c r="AB107" s="196"/>
      <c r="AC107" s="196"/>
      <c r="AD107" s="275">
        <v>0</v>
      </c>
      <c r="AE107" s="275">
        <v>0.89</v>
      </c>
      <c r="AF107" s="275">
        <v>0.11</v>
      </c>
      <c r="AG107" s="199"/>
      <c r="AH107" s="199"/>
      <c r="AI107" s="377">
        <f t="shared" si="50"/>
        <v>0</v>
      </c>
      <c r="AJ107" s="203"/>
      <c r="AK107" s="203"/>
      <c r="AL107" s="197">
        <f t="shared" si="51"/>
        <v>281631</v>
      </c>
      <c r="AM107" s="197">
        <f t="shared" si="52"/>
        <v>0</v>
      </c>
      <c r="AN107" s="197">
        <f t="shared" si="53"/>
        <v>0</v>
      </c>
      <c r="AO107" s="202"/>
      <c r="AP107" s="161" t="s">
        <v>3900</v>
      </c>
      <c r="AQ107" s="279"/>
      <c r="AR107" s="287">
        <f t="shared" si="54"/>
        <v>0</v>
      </c>
      <c r="AS107" s="287">
        <f t="shared" si="55"/>
        <v>0</v>
      </c>
      <c r="AT107" s="287">
        <f t="shared" si="56"/>
        <v>0</v>
      </c>
      <c r="AU107" s="287">
        <f t="shared" si="57"/>
        <v>0</v>
      </c>
      <c r="AV107" s="287">
        <f t="shared" si="58"/>
        <v>0</v>
      </c>
      <c r="AW107" s="287">
        <f t="shared" si="59"/>
        <v>0</v>
      </c>
      <c r="AX107" s="287">
        <f t="shared" si="60"/>
        <v>0</v>
      </c>
      <c r="AY107" s="287">
        <f t="shared" si="61"/>
        <v>0</v>
      </c>
      <c r="AZ107" s="287">
        <f t="shared" si="62"/>
        <v>0</v>
      </c>
      <c r="BA107" s="287">
        <f t="shared" si="63"/>
        <v>0</v>
      </c>
      <c r="BB107" s="16"/>
      <c r="BC107" s="287">
        <f t="shared" si="64"/>
        <v>0</v>
      </c>
      <c r="BD107" s="287">
        <f t="shared" si="65"/>
        <v>0</v>
      </c>
      <c r="BE107" s="287">
        <f t="shared" si="66"/>
        <v>0</v>
      </c>
      <c r="BF107" s="287">
        <f t="shared" si="67"/>
        <v>0</v>
      </c>
      <c r="BG107" s="287">
        <f t="shared" si="68"/>
        <v>0</v>
      </c>
      <c r="BH107" s="287">
        <f t="shared" si="69"/>
        <v>0</v>
      </c>
      <c r="BI107" s="287">
        <f t="shared" si="70"/>
        <v>0</v>
      </c>
      <c r="BJ107" s="287">
        <f t="shared" si="71"/>
        <v>0</v>
      </c>
      <c r="BK107" s="287">
        <f t="shared" si="72"/>
        <v>0</v>
      </c>
      <c r="BL107" s="287">
        <f t="shared" si="73"/>
        <v>0</v>
      </c>
      <c r="BM107" s="16"/>
      <c r="BN107" s="287">
        <f t="shared" si="74"/>
        <v>0</v>
      </c>
      <c r="BO107" s="287">
        <f t="shared" si="75"/>
        <v>0</v>
      </c>
      <c r="BP107" s="432"/>
      <c r="BQ107" s="21"/>
      <c r="BR107" s="21"/>
      <c r="BS107" s="39"/>
      <c r="BT107" s="39"/>
      <c r="BU107" s="334">
        <v>595000</v>
      </c>
      <c r="BV107" s="334">
        <v>0</v>
      </c>
      <c r="BW107" s="39"/>
      <c r="BX107" s="39"/>
      <c r="BY107" s="39"/>
      <c r="BZ107" s="39">
        <v>94</v>
      </c>
      <c r="CA107" s="39" t="str">
        <f t="shared" si="76"/>
        <v/>
      </c>
      <c r="CB107" s="39"/>
      <c r="CC107" s="39"/>
      <c r="CD107" s="39"/>
      <c r="CE107" s="39"/>
      <c r="CF107" s="39"/>
      <c r="CG107" s="39"/>
      <c r="CH107" s="39"/>
      <c r="CI107" s="39"/>
      <c r="CJ107" s="39"/>
      <c r="CK107" s="39"/>
    </row>
    <row r="108" spans="1:89" s="193" customFormat="1">
      <c r="A108" s="195"/>
      <c r="B108" s="21" t="str">
        <f t="shared" si="45"/>
        <v>N/A</v>
      </c>
      <c r="C108" s="21"/>
      <c r="D108" s="432">
        <v>3200543</v>
      </c>
      <c r="E108" s="439" t="s">
        <v>3626</v>
      </c>
      <c r="F108" s="439" t="s">
        <v>3714</v>
      </c>
      <c r="G108" s="273" t="s">
        <v>3362</v>
      </c>
      <c r="H108" s="358"/>
      <c r="I108" s="262" t="s">
        <v>3495</v>
      </c>
      <c r="J108" s="262" t="s">
        <v>3504</v>
      </c>
      <c r="K108" s="263">
        <v>0</v>
      </c>
      <c r="L108" s="263">
        <v>120000</v>
      </c>
      <c r="M108" s="263">
        <v>0</v>
      </c>
      <c r="N108" s="263">
        <v>0</v>
      </c>
      <c r="O108" s="263">
        <v>0</v>
      </c>
      <c r="P108" s="263">
        <v>0</v>
      </c>
      <c r="Q108" s="263">
        <v>0</v>
      </c>
      <c r="R108" s="263">
        <v>0</v>
      </c>
      <c r="S108" s="263">
        <v>0</v>
      </c>
      <c r="T108" s="263">
        <v>0</v>
      </c>
      <c r="U108" s="263">
        <f t="shared" si="77"/>
        <v>120000</v>
      </c>
      <c r="V108" s="196" t="str">
        <f t="shared" si="46"/>
        <v>LOS</v>
      </c>
      <c r="W108" s="196" t="s">
        <v>1168</v>
      </c>
      <c r="X108" s="196" t="str">
        <f t="shared" si="47"/>
        <v>N</v>
      </c>
      <c r="Y108" s="197">
        <f t="shared" si="48"/>
        <v>120000</v>
      </c>
      <c r="Z108" s="198"/>
      <c r="AA108" s="197">
        <f t="shared" si="49"/>
        <v>120000</v>
      </c>
      <c r="AB108" s="196"/>
      <c r="AC108" s="196"/>
      <c r="AD108" s="275">
        <v>0</v>
      </c>
      <c r="AE108" s="275">
        <v>1</v>
      </c>
      <c r="AF108" s="275">
        <v>0</v>
      </c>
      <c r="AG108" s="199"/>
      <c r="AH108" s="199"/>
      <c r="AI108" s="377">
        <f t="shared" si="50"/>
        <v>0</v>
      </c>
      <c r="AJ108" s="203"/>
      <c r="AK108" s="203"/>
      <c r="AL108" s="197">
        <f t="shared" si="51"/>
        <v>120000</v>
      </c>
      <c r="AM108" s="197">
        <f t="shared" si="52"/>
        <v>0</v>
      </c>
      <c r="AN108" s="197">
        <f t="shared" si="53"/>
        <v>0</v>
      </c>
      <c r="AO108" s="202"/>
      <c r="AP108" s="161" t="s">
        <v>3900</v>
      </c>
      <c r="AQ108" s="279"/>
      <c r="AR108" s="287">
        <f t="shared" si="54"/>
        <v>0</v>
      </c>
      <c r="AS108" s="287">
        <f t="shared" si="55"/>
        <v>0</v>
      </c>
      <c r="AT108" s="287">
        <f t="shared" si="56"/>
        <v>0</v>
      </c>
      <c r="AU108" s="287">
        <f t="shared" si="57"/>
        <v>0</v>
      </c>
      <c r="AV108" s="287">
        <f t="shared" si="58"/>
        <v>0</v>
      </c>
      <c r="AW108" s="287">
        <f t="shared" si="59"/>
        <v>0</v>
      </c>
      <c r="AX108" s="287">
        <f t="shared" si="60"/>
        <v>0</v>
      </c>
      <c r="AY108" s="287">
        <f t="shared" si="61"/>
        <v>0</v>
      </c>
      <c r="AZ108" s="287">
        <f t="shared" si="62"/>
        <v>0</v>
      </c>
      <c r="BA108" s="287">
        <f t="shared" si="63"/>
        <v>0</v>
      </c>
      <c r="BB108" s="16"/>
      <c r="BC108" s="287">
        <f t="shared" si="64"/>
        <v>0</v>
      </c>
      <c r="BD108" s="287">
        <f t="shared" si="65"/>
        <v>0</v>
      </c>
      <c r="BE108" s="287">
        <f t="shared" si="66"/>
        <v>0</v>
      </c>
      <c r="BF108" s="287">
        <f t="shared" si="67"/>
        <v>0</v>
      </c>
      <c r="BG108" s="287">
        <f t="shared" si="68"/>
        <v>0</v>
      </c>
      <c r="BH108" s="287">
        <f t="shared" si="69"/>
        <v>0</v>
      </c>
      <c r="BI108" s="287">
        <f t="shared" si="70"/>
        <v>0</v>
      </c>
      <c r="BJ108" s="287">
        <f t="shared" si="71"/>
        <v>0</v>
      </c>
      <c r="BK108" s="287">
        <f t="shared" si="72"/>
        <v>0</v>
      </c>
      <c r="BL108" s="287">
        <f t="shared" si="73"/>
        <v>0</v>
      </c>
      <c r="BM108" s="16"/>
      <c r="BN108" s="287">
        <f t="shared" si="74"/>
        <v>0</v>
      </c>
      <c r="BO108" s="287">
        <f t="shared" si="75"/>
        <v>0</v>
      </c>
      <c r="BP108" s="432"/>
      <c r="BQ108" s="21"/>
      <c r="BR108" s="21"/>
      <c r="BS108" s="39"/>
      <c r="BT108" s="39"/>
      <c r="BU108" s="334">
        <v>824799.92</v>
      </c>
      <c r="BV108" s="334">
        <v>0</v>
      </c>
      <c r="BW108" s="39"/>
      <c r="BX108" s="39"/>
      <c r="BY108" s="39"/>
      <c r="BZ108" s="39">
        <v>95</v>
      </c>
      <c r="CA108" s="39" t="str">
        <f t="shared" si="76"/>
        <v/>
      </c>
      <c r="CB108" s="39"/>
      <c r="CC108" s="39"/>
      <c r="CD108" s="39"/>
      <c r="CE108" s="39"/>
      <c r="CF108" s="39"/>
      <c r="CG108" s="39"/>
      <c r="CH108" s="39"/>
      <c r="CI108" s="39"/>
      <c r="CJ108" s="39"/>
      <c r="CK108" s="39"/>
    </row>
    <row r="109" spans="1:89" s="193" customFormat="1">
      <c r="A109" s="195"/>
      <c r="B109" s="21" t="str">
        <f t="shared" si="45"/>
        <v>N/A</v>
      </c>
      <c r="C109" s="21"/>
      <c r="D109" s="432">
        <v>3200543</v>
      </c>
      <c r="E109" s="439" t="s">
        <v>3626</v>
      </c>
      <c r="F109" s="439" t="s">
        <v>3712</v>
      </c>
      <c r="G109" s="273" t="s">
        <v>3358</v>
      </c>
      <c r="H109" s="358"/>
      <c r="I109" s="262" t="s">
        <v>3495</v>
      </c>
      <c r="J109" s="262" t="s">
        <v>3504</v>
      </c>
      <c r="K109" s="263">
        <v>0</v>
      </c>
      <c r="L109" s="263">
        <v>0</v>
      </c>
      <c r="M109" s="263">
        <v>0</v>
      </c>
      <c r="N109" s="263">
        <v>0</v>
      </c>
      <c r="O109" s="263">
        <v>0</v>
      </c>
      <c r="P109" s="263">
        <v>0</v>
      </c>
      <c r="Q109" s="263">
        <v>0</v>
      </c>
      <c r="R109" s="263">
        <v>0.04</v>
      </c>
      <c r="S109" s="263">
        <v>0.1</v>
      </c>
      <c r="T109" s="263">
        <v>0.38</v>
      </c>
      <c r="U109" s="263">
        <f t="shared" si="77"/>
        <v>0.52</v>
      </c>
      <c r="V109" s="196" t="str">
        <f t="shared" si="46"/>
        <v>LOS</v>
      </c>
      <c r="W109" s="196" t="s">
        <v>1168</v>
      </c>
      <c r="X109" s="196" t="str">
        <f t="shared" si="47"/>
        <v>N</v>
      </c>
      <c r="Y109" s="197">
        <f t="shared" si="48"/>
        <v>0.52</v>
      </c>
      <c r="Z109" s="198"/>
      <c r="AA109" s="197">
        <f t="shared" si="49"/>
        <v>0.52</v>
      </c>
      <c r="AB109" s="196"/>
      <c r="AC109" s="196"/>
      <c r="AD109" s="275">
        <v>0</v>
      </c>
      <c r="AE109" s="275">
        <v>1</v>
      </c>
      <c r="AF109" s="275">
        <v>0</v>
      </c>
      <c r="AG109" s="199"/>
      <c r="AH109" s="199"/>
      <c r="AI109" s="377">
        <f t="shared" si="50"/>
        <v>0</v>
      </c>
      <c r="AJ109" s="203"/>
      <c r="AK109" s="203"/>
      <c r="AL109" s="197">
        <f t="shared" si="51"/>
        <v>0.52</v>
      </c>
      <c r="AM109" s="197">
        <f t="shared" si="52"/>
        <v>0</v>
      </c>
      <c r="AN109" s="197">
        <f t="shared" si="53"/>
        <v>0</v>
      </c>
      <c r="AO109" s="202"/>
      <c r="AP109" s="161" t="s">
        <v>3900</v>
      </c>
      <c r="AQ109" s="279"/>
      <c r="AR109" s="287">
        <f t="shared" si="54"/>
        <v>0</v>
      </c>
      <c r="AS109" s="287">
        <f t="shared" si="55"/>
        <v>0</v>
      </c>
      <c r="AT109" s="287">
        <f t="shared" si="56"/>
        <v>0</v>
      </c>
      <c r="AU109" s="287">
        <f t="shared" si="57"/>
        <v>0</v>
      </c>
      <c r="AV109" s="287">
        <f t="shared" si="58"/>
        <v>0</v>
      </c>
      <c r="AW109" s="287">
        <f t="shared" si="59"/>
        <v>0</v>
      </c>
      <c r="AX109" s="287">
        <f t="shared" si="60"/>
        <v>0</v>
      </c>
      <c r="AY109" s="287">
        <f t="shared" si="61"/>
        <v>0</v>
      </c>
      <c r="AZ109" s="287">
        <f t="shared" si="62"/>
        <v>0</v>
      </c>
      <c r="BA109" s="287">
        <f t="shared" si="63"/>
        <v>0</v>
      </c>
      <c r="BB109" s="16"/>
      <c r="BC109" s="287">
        <f t="shared" si="64"/>
        <v>0</v>
      </c>
      <c r="BD109" s="287">
        <f t="shared" si="65"/>
        <v>0</v>
      </c>
      <c r="BE109" s="287">
        <f t="shared" si="66"/>
        <v>0</v>
      </c>
      <c r="BF109" s="287">
        <f t="shared" si="67"/>
        <v>0</v>
      </c>
      <c r="BG109" s="287">
        <f t="shared" si="68"/>
        <v>0</v>
      </c>
      <c r="BH109" s="287">
        <f t="shared" si="69"/>
        <v>0</v>
      </c>
      <c r="BI109" s="287">
        <f t="shared" si="70"/>
        <v>0</v>
      </c>
      <c r="BJ109" s="287">
        <f t="shared" si="71"/>
        <v>0</v>
      </c>
      <c r="BK109" s="287">
        <f t="shared" si="72"/>
        <v>0</v>
      </c>
      <c r="BL109" s="287">
        <f t="shared" si="73"/>
        <v>0</v>
      </c>
      <c r="BM109" s="16"/>
      <c r="BN109" s="287">
        <f t="shared" si="74"/>
        <v>0</v>
      </c>
      <c r="BO109" s="287">
        <f t="shared" si="75"/>
        <v>0</v>
      </c>
      <c r="BP109" s="432"/>
      <c r="BQ109" s="21"/>
      <c r="BR109" s="21"/>
      <c r="BS109" s="39"/>
      <c r="BT109" s="39"/>
      <c r="BU109" s="334">
        <v>970572.84480000008</v>
      </c>
      <c r="BV109" s="334">
        <v>0</v>
      </c>
      <c r="BW109" s="39"/>
      <c r="BX109" s="39"/>
      <c r="BY109" s="39"/>
      <c r="BZ109" s="39">
        <v>96</v>
      </c>
      <c r="CA109" s="39" t="str">
        <f t="shared" si="76"/>
        <v/>
      </c>
      <c r="CB109" s="39"/>
      <c r="CC109" s="39"/>
      <c r="CD109" s="39"/>
      <c r="CE109" s="39"/>
      <c r="CF109" s="39"/>
      <c r="CG109" s="39"/>
      <c r="CH109" s="39"/>
      <c r="CI109" s="39"/>
      <c r="CJ109" s="39"/>
      <c r="CK109" s="39"/>
    </row>
    <row r="110" spans="1:89" s="193" customFormat="1">
      <c r="A110" s="195"/>
      <c r="B110" s="21" t="str">
        <f t="shared" si="45"/>
        <v>N/A</v>
      </c>
      <c r="C110" s="21"/>
      <c r="D110" s="432">
        <v>3200543</v>
      </c>
      <c r="E110" s="439" t="s">
        <v>3626</v>
      </c>
      <c r="F110" s="439" t="s">
        <v>3722</v>
      </c>
      <c r="G110" s="273" t="s">
        <v>3364</v>
      </c>
      <c r="H110" s="358"/>
      <c r="I110" s="262" t="s">
        <v>3495</v>
      </c>
      <c r="J110" s="262" t="s">
        <v>3504</v>
      </c>
      <c r="K110" s="263">
        <v>20000</v>
      </c>
      <c r="L110" s="263">
        <v>20000</v>
      </c>
      <c r="M110" s="263">
        <v>20000</v>
      </c>
      <c r="N110" s="263">
        <v>20000</v>
      </c>
      <c r="O110" s="263">
        <v>20000</v>
      </c>
      <c r="P110" s="263">
        <v>20000</v>
      </c>
      <c r="Q110" s="263">
        <v>20000</v>
      </c>
      <c r="R110" s="263">
        <v>20000</v>
      </c>
      <c r="S110" s="263">
        <v>20000</v>
      </c>
      <c r="T110" s="263">
        <v>20000</v>
      </c>
      <c r="U110" s="263">
        <f t="shared" si="77"/>
        <v>200000</v>
      </c>
      <c r="V110" s="196" t="str">
        <f t="shared" si="46"/>
        <v>LOS</v>
      </c>
      <c r="W110" s="196" t="s">
        <v>1168</v>
      </c>
      <c r="X110" s="196" t="str">
        <f t="shared" ref="X110:X141" si="78">IF(LEFT(V110,1)="G","Y","N")</f>
        <v>N</v>
      </c>
      <c r="Y110" s="197">
        <f t="shared" si="48"/>
        <v>200000</v>
      </c>
      <c r="Z110" s="198"/>
      <c r="AA110" s="197">
        <f t="shared" si="49"/>
        <v>200000</v>
      </c>
      <c r="AB110" s="196"/>
      <c r="AC110" s="196"/>
      <c r="AD110" s="275">
        <v>0</v>
      </c>
      <c r="AE110" s="275">
        <v>1</v>
      </c>
      <c r="AF110" s="275">
        <v>0</v>
      </c>
      <c r="AG110" s="199"/>
      <c r="AH110" s="199"/>
      <c r="AI110" s="377">
        <f t="shared" si="50"/>
        <v>0</v>
      </c>
      <c r="AJ110" s="203"/>
      <c r="AK110" s="203"/>
      <c r="AL110" s="197">
        <f t="shared" si="51"/>
        <v>200000</v>
      </c>
      <c r="AM110" s="197">
        <f t="shared" si="52"/>
        <v>0</v>
      </c>
      <c r="AN110" s="197">
        <f t="shared" si="53"/>
        <v>0</v>
      </c>
      <c r="AO110" s="202"/>
      <c r="AP110" s="161" t="s">
        <v>3900</v>
      </c>
      <c r="AQ110" s="279"/>
      <c r="AR110" s="287">
        <f t="shared" si="54"/>
        <v>0</v>
      </c>
      <c r="AS110" s="287">
        <f t="shared" si="55"/>
        <v>0</v>
      </c>
      <c r="AT110" s="287">
        <f t="shared" si="56"/>
        <v>0</v>
      </c>
      <c r="AU110" s="287">
        <f t="shared" si="57"/>
        <v>0</v>
      </c>
      <c r="AV110" s="287">
        <f t="shared" si="58"/>
        <v>0</v>
      </c>
      <c r="AW110" s="287">
        <f t="shared" si="59"/>
        <v>0</v>
      </c>
      <c r="AX110" s="287">
        <f t="shared" si="60"/>
        <v>0</v>
      </c>
      <c r="AY110" s="287">
        <f t="shared" si="61"/>
        <v>0</v>
      </c>
      <c r="AZ110" s="287">
        <f t="shared" si="62"/>
        <v>0</v>
      </c>
      <c r="BA110" s="287">
        <f t="shared" si="63"/>
        <v>0</v>
      </c>
      <c r="BB110" s="16"/>
      <c r="BC110" s="287">
        <f t="shared" si="64"/>
        <v>0</v>
      </c>
      <c r="BD110" s="287">
        <f t="shared" si="65"/>
        <v>0</v>
      </c>
      <c r="BE110" s="287">
        <f t="shared" si="66"/>
        <v>0</v>
      </c>
      <c r="BF110" s="287">
        <f t="shared" si="67"/>
        <v>0</v>
      </c>
      <c r="BG110" s="287">
        <f t="shared" si="68"/>
        <v>0</v>
      </c>
      <c r="BH110" s="287">
        <f t="shared" si="69"/>
        <v>0</v>
      </c>
      <c r="BI110" s="287">
        <f t="shared" si="70"/>
        <v>0</v>
      </c>
      <c r="BJ110" s="287">
        <f t="shared" si="71"/>
        <v>0</v>
      </c>
      <c r="BK110" s="287">
        <f t="shared" si="72"/>
        <v>0</v>
      </c>
      <c r="BL110" s="287">
        <f t="shared" si="73"/>
        <v>0</v>
      </c>
      <c r="BM110" s="16"/>
      <c r="BN110" s="287">
        <f t="shared" si="74"/>
        <v>0</v>
      </c>
      <c r="BO110" s="287">
        <f t="shared" si="75"/>
        <v>0</v>
      </c>
      <c r="BP110" s="432"/>
      <c r="BQ110" s="21"/>
      <c r="BR110" s="21"/>
      <c r="BS110" s="39"/>
      <c r="BT110" s="39"/>
      <c r="BU110" s="334">
        <v>777100.5</v>
      </c>
      <c r="BV110" s="334">
        <v>0</v>
      </c>
      <c r="BW110" s="39"/>
      <c r="BX110" s="39"/>
      <c r="BY110" s="629"/>
      <c r="BZ110" s="39">
        <v>97</v>
      </c>
      <c r="CA110" s="39" t="str">
        <f t="shared" si="76"/>
        <v/>
      </c>
      <c r="CB110" s="39"/>
      <c r="CC110" s="39"/>
      <c r="CD110" s="39"/>
      <c r="CE110" s="39"/>
      <c r="CF110" s="39"/>
      <c r="CG110" s="39"/>
      <c r="CH110" s="39"/>
      <c r="CI110" s="39"/>
      <c r="CJ110" s="39"/>
      <c r="CK110" s="39"/>
    </row>
    <row r="111" spans="1:89" s="193" customFormat="1">
      <c r="A111" s="195"/>
      <c r="B111" s="21" t="str">
        <f t="shared" si="45"/>
        <v>N/A</v>
      </c>
      <c r="C111" s="21"/>
      <c r="D111" s="432">
        <v>3200543</v>
      </c>
      <c r="E111" s="439" t="s">
        <v>3626</v>
      </c>
      <c r="F111" s="439" t="s">
        <v>3711</v>
      </c>
      <c r="G111" s="273" t="s">
        <v>3357</v>
      </c>
      <c r="H111" s="358"/>
      <c r="I111" s="262" t="s">
        <v>3495</v>
      </c>
      <c r="J111" s="262" t="s">
        <v>3504</v>
      </c>
      <c r="K111" s="263">
        <v>139625</v>
      </c>
      <c r="L111" s="263">
        <v>60000</v>
      </c>
      <c r="M111" s="263">
        <v>60000</v>
      </c>
      <c r="N111" s="263">
        <v>60000</v>
      </c>
      <c r="O111" s="263">
        <v>50000</v>
      </c>
      <c r="P111" s="263">
        <v>60000</v>
      </c>
      <c r="Q111" s="263">
        <v>79781</v>
      </c>
      <c r="R111" s="263">
        <v>60000</v>
      </c>
      <c r="S111" s="263">
        <v>90993</v>
      </c>
      <c r="T111" s="263">
        <v>60000</v>
      </c>
      <c r="U111" s="263">
        <f t="shared" si="77"/>
        <v>720399</v>
      </c>
      <c r="V111" s="196" t="str">
        <f t="shared" si="46"/>
        <v>LOS</v>
      </c>
      <c r="W111" s="196" t="s">
        <v>1168</v>
      </c>
      <c r="X111" s="196" t="str">
        <f t="shared" si="78"/>
        <v>N</v>
      </c>
      <c r="Y111" s="197">
        <f t="shared" si="48"/>
        <v>720399</v>
      </c>
      <c r="Z111" s="198"/>
      <c r="AA111" s="197">
        <f t="shared" si="49"/>
        <v>720399</v>
      </c>
      <c r="AB111" s="196"/>
      <c r="AC111" s="196"/>
      <c r="AD111" s="275">
        <v>0</v>
      </c>
      <c r="AE111" s="275">
        <v>1</v>
      </c>
      <c r="AF111" s="275">
        <v>0</v>
      </c>
      <c r="AG111" s="199"/>
      <c r="AH111" s="199"/>
      <c r="AI111" s="377">
        <f t="shared" si="50"/>
        <v>0</v>
      </c>
      <c r="AJ111" s="203"/>
      <c r="AK111" s="203"/>
      <c r="AL111" s="197">
        <f t="shared" si="51"/>
        <v>720399</v>
      </c>
      <c r="AM111" s="197">
        <f t="shared" si="52"/>
        <v>0</v>
      </c>
      <c r="AN111" s="197">
        <f t="shared" si="53"/>
        <v>0</v>
      </c>
      <c r="AO111" s="202"/>
      <c r="AP111" s="161" t="s">
        <v>3900</v>
      </c>
      <c r="AQ111" s="279"/>
      <c r="AR111" s="287">
        <f t="shared" si="54"/>
        <v>0</v>
      </c>
      <c r="AS111" s="287">
        <f t="shared" si="55"/>
        <v>0</v>
      </c>
      <c r="AT111" s="287">
        <f t="shared" si="56"/>
        <v>0</v>
      </c>
      <c r="AU111" s="287">
        <f t="shared" si="57"/>
        <v>0</v>
      </c>
      <c r="AV111" s="287">
        <f t="shared" si="58"/>
        <v>0</v>
      </c>
      <c r="AW111" s="287">
        <f t="shared" si="59"/>
        <v>0</v>
      </c>
      <c r="AX111" s="287">
        <f t="shared" si="60"/>
        <v>0</v>
      </c>
      <c r="AY111" s="287">
        <f t="shared" si="61"/>
        <v>0</v>
      </c>
      <c r="AZ111" s="287">
        <f t="shared" si="62"/>
        <v>0</v>
      </c>
      <c r="BA111" s="287">
        <f t="shared" si="63"/>
        <v>0</v>
      </c>
      <c r="BB111" s="16"/>
      <c r="BC111" s="287">
        <f t="shared" si="64"/>
        <v>0</v>
      </c>
      <c r="BD111" s="287">
        <f t="shared" si="65"/>
        <v>0</v>
      </c>
      <c r="BE111" s="287">
        <f t="shared" si="66"/>
        <v>0</v>
      </c>
      <c r="BF111" s="287">
        <f t="shared" si="67"/>
        <v>0</v>
      </c>
      <c r="BG111" s="287">
        <f t="shared" si="68"/>
        <v>0</v>
      </c>
      <c r="BH111" s="287">
        <f t="shared" si="69"/>
        <v>0</v>
      </c>
      <c r="BI111" s="287">
        <f t="shared" si="70"/>
        <v>0</v>
      </c>
      <c r="BJ111" s="287">
        <f t="shared" si="71"/>
        <v>0</v>
      </c>
      <c r="BK111" s="287">
        <f t="shared" si="72"/>
        <v>0</v>
      </c>
      <c r="BL111" s="287">
        <f t="shared" si="73"/>
        <v>0</v>
      </c>
      <c r="BM111" s="16"/>
      <c r="BN111" s="287">
        <f t="shared" si="74"/>
        <v>0</v>
      </c>
      <c r="BO111" s="287">
        <f t="shared" si="75"/>
        <v>0</v>
      </c>
      <c r="BP111" s="432"/>
      <c r="BQ111" s="21"/>
      <c r="BR111" s="21"/>
      <c r="BS111" s="39"/>
      <c r="BT111" s="39"/>
      <c r="BU111" s="334">
        <v>2147885.48</v>
      </c>
      <c r="BV111" s="334">
        <v>0</v>
      </c>
      <c r="BW111" s="39"/>
      <c r="BX111" s="39"/>
      <c r="BY111" s="39"/>
      <c r="BZ111" s="39">
        <v>98</v>
      </c>
      <c r="CA111" s="39" t="str">
        <f t="shared" si="76"/>
        <v/>
      </c>
      <c r="CB111" s="39"/>
      <c r="CC111" s="39"/>
      <c r="CD111" s="39"/>
      <c r="CE111" s="39"/>
      <c r="CF111" s="39"/>
      <c r="CG111" s="39"/>
      <c r="CH111" s="39"/>
      <c r="CI111" s="39"/>
      <c r="CJ111" s="39"/>
      <c r="CK111" s="39"/>
    </row>
    <row r="112" spans="1:89" s="193" customFormat="1">
      <c r="A112" s="195"/>
      <c r="B112" s="21" t="str">
        <f t="shared" si="45"/>
        <v>N/A</v>
      </c>
      <c r="C112" s="21"/>
      <c r="D112" s="432">
        <v>3200543</v>
      </c>
      <c r="E112" s="439" t="s">
        <v>3626</v>
      </c>
      <c r="F112" s="439" t="s">
        <v>3718</v>
      </c>
      <c r="G112" s="273" t="s">
        <v>3367</v>
      </c>
      <c r="H112" s="358"/>
      <c r="I112" s="262" t="s">
        <v>3495</v>
      </c>
      <c r="J112" s="262" t="s">
        <v>3504</v>
      </c>
      <c r="K112" s="263">
        <v>0</v>
      </c>
      <c r="L112" s="263">
        <v>0</v>
      </c>
      <c r="M112" s="263">
        <v>10000</v>
      </c>
      <c r="N112" s="263">
        <v>0</v>
      </c>
      <c r="O112" s="263">
        <v>0</v>
      </c>
      <c r="P112" s="263">
        <v>10000</v>
      </c>
      <c r="Q112" s="263">
        <v>0</v>
      </c>
      <c r="R112" s="263">
        <v>0</v>
      </c>
      <c r="S112" s="263">
        <v>10000</v>
      </c>
      <c r="T112" s="263">
        <v>0</v>
      </c>
      <c r="U112" s="263">
        <f t="shared" si="77"/>
        <v>30000</v>
      </c>
      <c r="V112" s="196" t="str">
        <f t="shared" si="46"/>
        <v>LOS</v>
      </c>
      <c r="W112" s="196" t="s">
        <v>1168</v>
      </c>
      <c r="X112" s="196" t="str">
        <f t="shared" si="78"/>
        <v>N</v>
      </c>
      <c r="Y112" s="197">
        <f t="shared" si="48"/>
        <v>30000</v>
      </c>
      <c r="Z112" s="198"/>
      <c r="AA112" s="197">
        <f t="shared" si="49"/>
        <v>30000</v>
      </c>
      <c r="AB112" s="196"/>
      <c r="AC112" s="196"/>
      <c r="AD112" s="275">
        <v>0</v>
      </c>
      <c r="AE112" s="275">
        <v>1</v>
      </c>
      <c r="AF112" s="275">
        <v>0</v>
      </c>
      <c r="AG112" s="199"/>
      <c r="AH112" s="199"/>
      <c r="AI112" s="377">
        <f t="shared" si="50"/>
        <v>0</v>
      </c>
      <c r="AJ112" s="203"/>
      <c r="AK112" s="203"/>
      <c r="AL112" s="197">
        <f t="shared" si="51"/>
        <v>30000</v>
      </c>
      <c r="AM112" s="197">
        <f t="shared" si="52"/>
        <v>0</v>
      </c>
      <c r="AN112" s="197">
        <f t="shared" si="53"/>
        <v>0</v>
      </c>
      <c r="AO112" s="202"/>
      <c r="AP112" s="161" t="s">
        <v>3900</v>
      </c>
      <c r="AQ112" s="279"/>
      <c r="AR112" s="287">
        <f t="shared" si="54"/>
        <v>0</v>
      </c>
      <c r="AS112" s="287">
        <f t="shared" si="55"/>
        <v>0</v>
      </c>
      <c r="AT112" s="287">
        <f t="shared" si="56"/>
        <v>0</v>
      </c>
      <c r="AU112" s="287">
        <f t="shared" si="57"/>
        <v>0</v>
      </c>
      <c r="AV112" s="287">
        <f t="shared" si="58"/>
        <v>0</v>
      </c>
      <c r="AW112" s="287">
        <f t="shared" si="59"/>
        <v>0</v>
      </c>
      <c r="AX112" s="287">
        <f t="shared" si="60"/>
        <v>0</v>
      </c>
      <c r="AY112" s="287">
        <f t="shared" si="61"/>
        <v>0</v>
      </c>
      <c r="AZ112" s="287">
        <f t="shared" si="62"/>
        <v>0</v>
      </c>
      <c r="BA112" s="287">
        <f t="shared" si="63"/>
        <v>0</v>
      </c>
      <c r="BB112" s="16"/>
      <c r="BC112" s="287">
        <f t="shared" si="64"/>
        <v>0</v>
      </c>
      <c r="BD112" s="287">
        <f t="shared" si="65"/>
        <v>0</v>
      </c>
      <c r="BE112" s="287">
        <f t="shared" si="66"/>
        <v>0</v>
      </c>
      <c r="BF112" s="287">
        <f t="shared" si="67"/>
        <v>0</v>
      </c>
      <c r="BG112" s="287">
        <f t="shared" si="68"/>
        <v>0</v>
      </c>
      <c r="BH112" s="287">
        <f t="shared" si="69"/>
        <v>0</v>
      </c>
      <c r="BI112" s="287">
        <f t="shared" si="70"/>
        <v>0</v>
      </c>
      <c r="BJ112" s="287">
        <f t="shared" si="71"/>
        <v>0</v>
      </c>
      <c r="BK112" s="287">
        <f t="shared" si="72"/>
        <v>0</v>
      </c>
      <c r="BL112" s="287">
        <f t="shared" si="73"/>
        <v>0</v>
      </c>
      <c r="BM112" s="16"/>
      <c r="BN112" s="287">
        <f t="shared" si="74"/>
        <v>0</v>
      </c>
      <c r="BO112" s="287">
        <f t="shared" si="75"/>
        <v>0</v>
      </c>
      <c r="BP112" s="432"/>
      <c r="BQ112" s="21"/>
      <c r="BR112" s="21"/>
      <c r="BS112" s="39"/>
      <c r="BT112" s="39"/>
      <c r="BU112" s="334">
        <v>2550216</v>
      </c>
      <c r="BV112" s="334">
        <v>0</v>
      </c>
      <c r="BW112" s="39"/>
      <c r="BX112" s="39"/>
      <c r="BY112" s="39"/>
      <c r="BZ112" s="39">
        <v>99</v>
      </c>
      <c r="CA112" s="39" t="str">
        <f t="shared" si="76"/>
        <v/>
      </c>
      <c r="CB112" s="39"/>
      <c r="CC112" s="39"/>
      <c r="CD112" s="39"/>
      <c r="CE112" s="39"/>
      <c r="CF112" s="39"/>
      <c r="CG112" s="39"/>
      <c r="CH112" s="39"/>
      <c r="CI112" s="39"/>
      <c r="CJ112" s="39"/>
      <c r="CK112" s="39"/>
    </row>
    <row r="113" spans="1:89" s="193" customFormat="1">
      <c r="A113" s="195"/>
      <c r="B113" s="21" t="str">
        <f t="shared" si="45"/>
        <v>N/A</v>
      </c>
      <c r="C113" s="21"/>
      <c r="D113" s="432">
        <v>3200543</v>
      </c>
      <c r="E113" s="439" t="s">
        <v>3626</v>
      </c>
      <c r="F113" s="439" t="s">
        <v>3720</v>
      </c>
      <c r="G113" s="273" t="s">
        <v>3368</v>
      </c>
      <c r="H113" s="358"/>
      <c r="I113" s="262" t="s">
        <v>3495</v>
      </c>
      <c r="J113" s="262" t="s">
        <v>3504</v>
      </c>
      <c r="K113" s="263">
        <v>0</v>
      </c>
      <c r="L113" s="263">
        <v>20000</v>
      </c>
      <c r="M113" s="263">
        <v>0</v>
      </c>
      <c r="N113" s="263">
        <v>0</v>
      </c>
      <c r="O113" s="263">
        <v>0</v>
      </c>
      <c r="P113" s="263">
        <v>0</v>
      </c>
      <c r="Q113" s="263">
        <v>0</v>
      </c>
      <c r="R113" s="263">
        <v>0</v>
      </c>
      <c r="S113" s="263">
        <v>0</v>
      </c>
      <c r="T113" s="263">
        <v>0</v>
      </c>
      <c r="U113" s="263">
        <f t="shared" si="77"/>
        <v>20000</v>
      </c>
      <c r="V113" s="196" t="str">
        <f t="shared" si="46"/>
        <v>LOS</v>
      </c>
      <c r="W113" s="196" t="s">
        <v>1168</v>
      </c>
      <c r="X113" s="196" t="str">
        <f t="shared" si="78"/>
        <v>N</v>
      </c>
      <c r="Y113" s="197">
        <f t="shared" si="48"/>
        <v>20000</v>
      </c>
      <c r="Z113" s="198"/>
      <c r="AA113" s="197">
        <f t="shared" si="49"/>
        <v>20000</v>
      </c>
      <c r="AB113" s="196"/>
      <c r="AC113" s="196"/>
      <c r="AD113" s="275">
        <v>0</v>
      </c>
      <c r="AE113" s="275">
        <v>1</v>
      </c>
      <c r="AF113" s="275">
        <v>0</v>
      </c>
      <c r="AG113" s="199"/>
      <c r="AH113" s="199"/>
      <c r="AI113" s="377">
        <f t="shared" si="50"/>
        <v>0</v>
      </c>
      <c r="AJ113" s="203"/>
      <c r="AK113" s="203"/>
      <c r="AL113" s="197">
        <f t="shared" si="51"/>
        <v>20000</v>
      </c>
      <c r="AM113" s="197">
        <f t="shared" si="52"/>
        <v>0</v>
      </c>
      <c r="AN113" s="197">
        <f t="shared" si="53"/>
        <v>0</v>
      </c>
      <c r="AO113" s="202"/>
      <c r="AP113" s="161" t="s">
        <v>3900</v>
      </c>
      <c r="AQ113" s="279"/>
      <c r="AR113" s="287">
        <f t="shared" si="54"/>
        <v>0</v>
      </c>
      <c r="AS113" s="287">
        <f t="shared" si="55"/>
        <v>0</v>
      </c>
      <c r="AT113" s="287">
        <f t="shared" si="56"/>
        <v>0</v>
      </c>
      <c r="AU113" s="287">
        <f t="shared" si="57"/>
        <v>0</v>
      </c>
      <c r="AV113" s="287">
        <f t="shared" si="58"/>
        <v>0</v>
      </c>
      <c r="AW113" s="287">
        <f t="shared" si="59"/>
        <v>0</v>
      </c>
      <c r="AX113" s="287">
        <f t="shared" si="60"/>
        <v>0</v>
      </c>
      <c r="AY113" s="287">
        <f t="shared" si="61"/>
        <v>0</v>
      </c>
      <c r="AZ113" s="287">
        <f t="shared" si="62"/>
        <v>0</v>
      </c>
      <c r="BA113" s="287">
        <f t="shared" si="63"/>
        <v>0</v>
      </c>
      <c r="BB113" s="16"/>
      <c r="BC113" s="287">
        <f t="shared" si="64"/>
        <v>0</v>
      </c>
      <c r="BD113" s="287">
        <f t="shared" si="65"/>
        <v>0</v>
      </c>
      <c r="BE113" s="287">
        <f t="shared" si="66"/>
        <v>0</v>
      </c>
      <c r="BF113" s="287">
        <f t="shared" si="67"/>
        <v>0</v>
      </c>
      <c r="BG113" s="287">
        <f t="shared" si="68"/>
        <v>0</v>
      </c>
      <c r="BH113" s="287">
        <f t="shared" si="69"/>
        <v>0</v>
      </c>
      <c r="BI113" s="287">
        <f t="shared" si="70"/>
        <v>0</v>
      </c>
      <c r="BJ113" s="287">
        <f t="shared" si="71"/>
        <v>0</v>
      </c>
      <c r="BK113" s="287">
        <f t="shared" si="72"/>
        <v>0</v>
      </c>
      <c r="BL113" s="287">
        <f t="shared" si="73"/>
        <v>0</v>
      </c>
      <c r="BM113" s="16"/>
      <c r="BN113" s="287">
        <f t="shared" si="74"/>
        <v>0</v>
      </c>
      <c r="BO113" s="287">
        <f t="shared" si="75"/>
        <v>0</v>
      </c>
      <c r="BP113" s="432"/>
      <c r="BQ113" s="21"/>
      <c r="BR113" s="21"/>
      <c r="BS113" s="39"/>
      <c r="BT113" s="39"/>
      <c r="BU113" s="334">
        <v>563559.94999999995</v>
      </c>
      <c r="BV113" s="334">
        <v>0</v>
      </c>
      <c r="BW113" s="39"/>
      <c r="BX113" s="39"/>
      <c r="BY113" s="39"/>
      <c r="BZ113" s="39">
        <v>100</v>
      </c>
      <c r="CA113" s="39" t="str">
        <f t="shared" si="76"/>
        <v/>
      </c>
      <c r="CB113" s="39"/>
      <c r="CC113" s="39"/>
      <c r="CD113" s="39"/>
      <c r="CE113" s="39"/>
      <c r="CF113" s="39"/>
      <c r="CG113" s="39"/>
      <c r="CH113" s="39"/>
      <c r="CI113" s="39"/>
      <c r="CJ113" s="39"/>
      <c r="CK113" s="39"/>
    </row>
    <row r="114" spans="1:89" s="193" customFormat="1">
      <c r="A114" s="195"/>
      <c r="B114" s="21" t="str">
        <f t="shared" si="45"/>
        <v>N/A</v>
      </c>
      <c r="C114" s="21"/>
      <c r="D114" s="432">
        <v>3200543</v>
      </c>
      <c r="E114" s="439" t="s">
        <v>3626</v>
      </c>
      <c r="F114" s="439" t="s">
        <v>3721</v>
      </c>
      <c r="G114" s="273" t="s">
        <v>3366</v>
      </c>
      <c r="H114" s="358"/>
      <c r="I114" s="262" t="s">
        <v>3495</v>
      </c>
      <c r="J114" s="262" t="s">
        <v>3504</v>
      </c>
      <c r="K114" s="263">
        <v>10000</v>
      </c>
      <c r="L114" s="263">
        <v>0</v>
      </c>
      <c r="M114" s="263">
        <v>0</v>
      </c>
      <c r="N114" s="263">
        <v>0</v>
      </c>
      <c r="O114" s="263">
        <v>0</v>
      </c>
      <c r="P114" s="263">
        <v>0</v>
      </c>
      <c r="Q114" s="263">
        <v>0</v>
      </c>
      <c r="R114" s="263">
        <v>0</v>
      </c>
      <c r="S114" s="263">
        <v>0</v>
      </c>
      <c r="T114" s="263">
        <v>0</v>
      </c>
      <c r="U114" s="263">
        <f t="shared" si="77"/>
        <v>10000</v>
      </c>
      <c r="V114" s="196" t="str">
        <f t="shared" si="46"/>
        <v>LOS</v>
      </c>
      <c r="W114" s="196" t="s">
        <v>1168</v>
      </c>
      <c r="X114" s="196" t="str">
        <f t="shared" si="78"/>
        <v>N</v>
      </c>
      <c r="Y114" s="197">
        <f t="shared" si="48"/>
        <v>10000</v>
      </c>
      <c r="Z114" s="198"/>
      <c r="AA114" s="197">
        <f t="shared" si="49"/>
        <v>10000</v>
      </c>
      <c r="AB114" s="196"/>
      <c r="AC114" s="196"/>
      <c r="AD114" s="275">
        <v>0</v>
      </c>
      <c r="AE114" s="275">
        <v>1</v>
      </c>
      <c r="AF114" s="275">
        <v>0</v>
      </c>
      <c r="AG114" s="199"/>
      <c r="AH114" s="199"/>
      <c r="AI114" s="377">
        <f t="shared" si="50"/>
        <v>0</v>
      </c>
      <c r="AJ114" s="203"/>
      <c r="AK114" s="203"/>
      <c r="AL114" s="197">
        <f t="shared" si="51"/>
        <v>10000</v>
      </c>
      <c r="AM114" s="197">
        <f t="shared" si="52"/>
        <v>0</v>
      </c>
      <c r="AN114" s="197">
        <f t="shared" si="53"/>
        <v>0</v>
      </c>
      <c r="AO114" s="202"/>
      <c r="AP114" s="161" t="s">
        <v>3900</v>
      </c>
      <c r="AQ114" s="279"/>
      <c r="AR114" s="287">
        <f t="shared" si="54"/>
        <v>0</v>
      </c>
      <c r="AS114" s="287">
        <f t="shared" si="55"/>
        <v>0</v>
      </c>
      <c r="AT114" s="287">
        <f t="shared" si="56"/>
        <v>0</v>
      </c>
      <c r="AU114" s="287">
        <f t="shared" si="57"/>
        <v>0</v>
      </c>
      <c r="AV114" s="287">
        <f t="shared" si="58"/>
        <v>0</v>
      </c>
      <c r="AW114" s="287">
        <f t="shared" si="59"/>
        <v>0</v>
      </c>
      <c r="AX114" s="287">
        <f t="shared" si="60"/>
        <v>0</v>
      </c>
      <c r="AY114" s="287">
        <f t="shared" si="61"/>
        <v>0</v>
      </c>
      <c r="AZ114" s="287">
        <f t="shared" si="62"/>
        <v>0</v>
      </c>
      <c r="BA114" s="287">
        <f t="shared" si="63"/>
        <v>0</v>
      </c>
      <c r="BB114" s="16"/>
      <c r="BC114" s="287">
        <f t="shared" si="64"/>
        <v>0</v>
      </c>
      <c r="BD114" s="287">
        <f t="shared" si="65"/>
        <v>0</v>
      </c>
      <c r="BE114" s="287">
        <f t="shared" si="66"/>
        <v>0</v>
      </c>
      <c r="BF114" s="287">
        <f t="shared" si="67"/>
        <v>0</v>
      </c>
      <c r="BG114" s="287">
        <f t="shared" si="68"/>
        <v>0</v>
      </c>
      <c r="BH114" s="287">
        <f t="shared" si="69"/>
        <v>0</v>
      </c>
      <c r="BI114" s="287">
        <f t="shared" si="70"/>
        <v>0</v>
      </c>
      <c r="BJ114" s="287">
        <f t="shared" si="71"/>
        <v>0</v>
      </c>
      <c r="BK114" s="287">
        <f t="shared" si="72"/>
        <v>0</v>
      </c>
      <c r="BL114" s="287">
        <f t="shared" si="73"/>
        <v>0</v>
      </c>
      <c r="BM114" s="16"/>
      <c r="BN114" s="287">
        <f t="shared" si="74"/>
        <v>0</v>
      </c>
      <c r="BO114" s="287">
        <f t="shared" si="75"/>
        <v>0</v>
      </c>
      <c r="BP114" s="432"/>
      <c r="BQ114" s="21"/>
      <c r="BR114" s="21"/>
      <c r="BS114" s="39"/>
      <c r="BT114" s="39"/>
      <c r="BU114" s="334">
        <v>170311</v>
      </c>
      <c r="BV114" s="334">
        <v>0</v>
      </c>
      <c r="BW114" s="39"/>
      <c r="BX114" s="39"/>
      <c r="BY114" s="39"/>
      <c r="BZ114" s="39">
        <v>101</v>
      </c>
      <c r="CA114" s="39" t="str">
        <f t="shared" si="76"/>
        <v/>
      </c>
      <c r="CB114" s="39"/>
      <c r="CC114" s="39"/>
      <c r="CD114" s="39"/>
      <c r="CE114" s="39"/>
      <c r="CF114" s="39"/>
      <c r="CG114" s="39"/>
      <c r="CH114" s="39"/>
      <c r="CI114" s="39"/>
      <c r="CJ114" s="39"/>
      <c r="CK114" s="39"/>
    </row>
    <row r="115" spans="1:89" s="193" customFormat="1">
      <c r="A115" s="195"/>
      <c r="B115" s="21" t="str">
        <f t="shared" si="45"/>
        <v>N/A</v>
      </c>
      <c r="C115" s="21"/>
      <c r="D115" s="432">
        <v>3200543</v>
      </c>
      <c r="E115" s="439" t="s">
        <v>3626</v>
      </c>
      <c r="F115" s="439" t="s">
        <v>3719</v>
      </c>
      <c r="G115" s="273" t="s">
        <v>3363</v>
      </c>
      <c r="H115" s="358"/>
      <c r="I115" s="262" t="s">
        <v>3495</v>
      </c>
      <c r="J115" s="262" t="s">
        <v>3504</v>
      </c>
      <c r="K115" s="263">
        <v>25000</v>
      </c>
      <c r="L115" s="263">
        <v>0</v>
      </c>
      <c r="M115" s="263">
        <v>0</v>
      </c>
      <c r="N115" s="263">
        <v>0</v>
      </c>
      <c r="O115" s="263">
        <v>0</v>
      </c>
      <c r="P115" s="263">
        <v>0</v>
      </c>
      <c r="Q115" s="263">
        <v>0</v>
      </c>
      <c r="R115" s="263">
        <v>0</v>
      </c>
      <c r="S115" s="263">
        <v>0</v>
      </c>
      <c r="T115" s="263">
        <v>0</v>
      </c>
      <c r="U115" s="263">
        <f t="shared" si="77"/>
        <v>25000</v>
      </c>
      <c r="V115" s="196" t="str">
        <f t="shared" si="46"/>
        <v>LOS</v>
      </c>
      <c r="W115" s="196" t="s">
        <v>1168</v>
      </c>
      <c r="X115" s="196" t="str">
        <f t="shared" si="78"/>
        <v>N</v>
      </c>
      <c r="Y115" s="197">
        <f t="shared" si="48"/>
        <v>25000</v>
      </c>
      <c r="Z115" s="198"/>
      <c r="AA115" s="197">
        <f t="shared" si="49"/>
        <v>25000</v>
      </c>
      <c r="AB115" s="196"/>
      <c r="AC115" s="196"/>
      <c r="AD115" s="275">
        <v>0</v>
      </c>
      <c r="AE115" s="275">
        <v>1</v>
      </c>
      <c r="AF115" s="275">
        <v>0</v>
      </c>
      <c r="AG115" s="199"/>
      <c r="AH115" s="199"/>
      <c r="AI115" s="377">
        <f t="shared" si="50"/>
        <v>0</v>
      </c>
      <c r="AJ115" s="203"/>
      <c r="AK115" s="203"/>
      <c r="AL115" s="197">
        <f t="shared" si="51"/>
        <v>25000</v>
      </c>
      <c r="AM115" s="197">
        <f t="shared" si="52"/>
        <v>0</v>
      </c>
      <c r="AN115" s="197">
        <f t="shared" si="53"/>
        <v>0</v>
      </c>
      <c r="AO115" s="202"/>
      <c r="AP115" s="161" t="s">
        <v>3900</v>
      </c>
      <c r="AQ115" s="279"/>
      <c r="AR115" s="287">
        <f t="shared" si="54"/>
        <v>0</v>
      </c>
      <c r="AS115" s="287">
        <f t="shared" si="55"/>
        <v>0</v>
      </c>
      <c r="AT115" s="287">
        <f t="shared" si="56"/>
        <v>0</v>
      </c>
      <c r="AU115" s="287">
        <f t="shared" si="57"/>
        <v>0</v>
      </c>
      <c r="AV115" s="287">
        <f t="shared" si="58"/>
        <v>0</v>
      </c>
      <c r="AW115" s="287">
        <f t="shared" si="59"/>
        <v>0</v>
      </c>
      <c r="AX115" s="287">
        <f t="shared" si="60"/>
        <v>0</v>
      </c>
      <c r="AY115" s="287">
        <f t="shared" si="61"/>
        <v>0</v>
      </c>
      <c r="AZ115" s="287">
        <f t="shared" si="62"/>
        <v>0</v>
      </c>
      <c r="BA115" s="287">
        <f t="shared" si="63"/>
        <v>0</v>
      </c>
      <c r="BB115" s="16"/>
      <c r="BC115" s="287">
        <f t="shared" si="64"/>
        <v>0</v>
      </c>
      <c r="BD115" s="287">
        <f t="shared" si="65"/>
        <v>0</v>
      </c>
      <c r="BE115" s="287">
        <f t="shared" si="66"/>
        <v>0</v>
      </c>
      <c r="BF115" s="287">
        <f t="shared" si="67"/>
        <v>0</v>
      </c>
      <c r="BG115" s="287">
        <f t="shared" si="68"/>
        <v>0</v>
      </c>
      <c r="BH115" s="287">
        <f t="shared" si="69"/>
        <v>0</v>
      </c>
      <c r="BI115" s="287">
        <f t="shared" si="70"/>
        <v>0</v>
      </c>
      <c r="BJ115" s="287">
        <f t="shared" si="71"/>
        <v>0</v>
      </c>
      <c r="BK115" s="287">
        <f t="shared" si="72"/>
        <v>0</v>
      </c>
      <c r="BL115" s="287">
        <f t="shared" si="73"/>
        <v>0</v>
      </c>
      <c r="BM115" s="16"/>
      <c r="BN115" s="287">
        <f t="shared" si="74"/>
        <v>0</v>
      </c>
      <c r="BO115" s="287">
        <f t="shared" si="75"/>
        <v>0</v>
      </c>
      <c r="BP115" s="432"/>
      <c r="BQ115" s="21"/>
      <c r="BR115" s="21"/>
      <c r="BS115" s="39"/>
      <c r="BT115" s="39"/>
      <c r="BU115" s="334">
        <v>256410</v>
      </c>
      <c r="BV115" s="334">
        <v>0</v>
      </c>
      <c r="BW115" s="39"/>
      <c r="BX115" s="39"/>
      <c r="BY115" s="39"/>
      <c r="BZ115" s="39">
        <v>102</v>
      </c>
      <c r="CA115" s="39" t="str">
        <f t="shared" si="76"/>
        <v/>
      </c>
      <c r="CB115" s="39"/>
      <c r="CC115" s="39"/>
      <c r="CD115" s="39"/>
      <c r="CE115" s="39"/>
      <c r="CF115" s="39"/>
      <c r="CG115" s="39"/>
      <c r="CH115" s="39"/>
      <c r="CI115" s="39"/>
      <c r="CJ115" s="39"/>
      <c r="CK115" s="39"/>
    </row>
    <row r="116" spans="1:89" s="193" customFormat="1">
      <c r="A116" s="195"/>
      <c r="B116" s="21" t="str">
        <f t="shared" si="45"/>
        <v>N/A</v>
      </c>
      <c r="C116" s="21"/>
      <c r="D116" s="432">
        <v>3200543</v>
      </c>
      <c r="E116" s="439" t="s">
        <v>3626</v>
      </c>
      <c r="F116" s="439" t="s">
        <v>3717</v>
      </c>
      <c r="G116" s="273" t="s">
        <v>3365</v>
      </c>
      <c r="H116" s="358"/>
      <c r="I116" s="262" t="s">
        <v>3495</v>
      </c>
      <c r="J116" s="262" t="s">
        <v>3504</v>
      </c>
      <c r="K116" s="263">
        <v>20000</v>
      </c>
      <c r="L116" s="263">
        <v>0</v>
      </c>
      <c r="M116" s="263">
        <v>0</v>
      </c>
      <c r="N116" s="263">
        <v>0</v>
      </c>
      <c r="O116" s="263">
        <v>0</v>
      </c>
      <c r="P116" s="263">
        <v>0</v>
      </c>
      <c r="Q116" s="263">
        <v>0</v>
      </c>
      <c r="R116" s="263">
        <v>0</v>
      </c>
      <c r="S116" s="263">
        <v>0</v>
      </c>
      <c r="T116" s="263">
        <v>0</v>
      </c>
      <c r="U116" s="263">
        <f t="shared" si="77"/>
        <v>20000</v>
      </c>
      <c r="V116" s="196" t="str">
        <f t="shared" si="46"/>
        <v>LOS</v>
      </c>
      <c r="W116" s="196" t="s">
        <v>1168</v>
      </c>
      <c r="X116" s="196" t="str">
        <f t="shared" si="78"/>
        <v>N</v>
      </c>
      <c r="Y116" s="197">
        <f t="shared" si="48"/>
        <v>20000</v>
      </c>
      <c r="Z116" s="198"/>
      <c r="AA116" s="197">
        <f t="shared" si="49"/>
        <v>20000</v>
      </c>
      <c r="AB116" s="196"/>
      <c r="AC116" s="196"/>
      <c r="AD116" s="275">
        <v>0</v>
      </c>
      <c r="AE116" s="275">
        <v>1</v>
      </c>
      <c r="AF116" s="275">
        <v>0</v>
      </c>
      <c r="AG116" s="199"/>
      <c r="AH116" s="199"/>
      <c r="AI116" s="377">
        <f t="shared" si="50"/>
        <v>0</v>
      </c>
      <c r="AJ116" s="203"/>
      <c r="AK116" s="203"/>
      <c r="AL116" s="197">
        <f t="shared" si="51"/>
        <v>20000</v>
      </c>
      <c r="AM116" s="197">
        <f t="shared" si="52"/>
        <v>0</v>
      </c>
      <c r="AN116" s="197">
        <f t="shared" si="53"/>
        <v>0</v>
      </c>
      <c r="AO116" s="202"/>
      <c r="AP116" s="161" t="s">
        <v>3900</v>
      </c>
      <c r="AQ116" s="279"/>
      <c r="AR116" s="287">
        <f t="shared" si="54"/>
        <v>0</v>
      </c>
      <c r="AS116" s="287">
        <f t="shared" si="55"/>
        <v>0</v>
      </c>
      <c r="AT116" s="287">
        <f t="shared" si="56"/>
        <v>0</v>
      </c>
      <c r="AU116" s="287">
        <f t="shared" si="57"/>
        <v>0</v>
      </c>
      <c r="AV116" s="287">
        <f t="shared" si="58"/>
        <v>0</v>
      </c>
      <c r="AW116" s="287">
        <f t="shared" si="59"/>
        <v>0</v>
      </c>
      <c r="AX116" s="287">
        <f t="shared" si="60"/>
        <v>0</v>
      </c>
      <c r="AY116" s="287">
        <f t="shared" si="61"/>
        <v>0</v>
      </c>
      <c r="AZ116" s="287">
        <f t="shared" si="62"/>
        <v>0</v>
      </c>
      <c r="BA116" s="287">
        <f t="shared" si="63"/>
        <v>0</v>
      </c>
      <c r="BB116" s="16"/>
      <c r="BC116" s="287">
        <f t="shared" si="64"/>
        <v>0</v>
      </c>
      <c r="BD116" s="287">
        <f t="shared" si="65"/>
        <v>0</v>
      </c>
      <c r="BE116" s="287">
        <f t="shared" si="66"/>
        <v>0</v>
      </c>
      <c r="BF116" s="287">
        <f t="shared" si="67"/>
        <v>0</v>
      </c>
      <c r="BG116" s="287">
        <f t="shared" si="68"/>
        <v>0</v>
      </c>
      <c r="BH116" s="287">
        <f t="shared" si="69"/>
        <v>0</v>
      </c>
      <c r="BI116" s="287">
        <f t="shared" si="70"/>
        <v>0</v>
      </c>
      <c r="BJ116" s="287">
        <f t="shared" si="71"/>
        <v>0</v>
      </c>
      <c r="BK116" s="287">
        <f t="shared" si="72"/>
        <v>0</v>
      </c>
      <c r="BL116" s="287">
        <f t="shared" si="73"/>
        <v>0</v>
      </c>
      <c r="BM116" s="16"/>
      <c r="BN116" s="287">
        <f t="shared" si="74"/>
        <v>0</v>
      </c>
      <c r="BO116" s="287">
        <f t="shared" si="75"/>
        <v>0</v>
      </c>
      <c r="BP116" s="432"/>
      <c r="BQ116" s="21"/>
      <c r="BR116" s="21"/>
      <c r="BS116" s="39"/>
      <c r="BT116" s="39"/>
      <c r="BU116" s="334">
        <v>37000</v>
      </c>
      <c r="BV116" s="334">
        <v>0</v>
      </c>
      <c r="BW116" s="39"/>
      <c r="BX116" s="39"/>
      <c r="BY116" s="39"/>
      <c r="BZ116" s="39">
        <v>103</v>
      </c>
      <c r="CA116" s="39" t="str">
        <f t="shared" si="76"/>
        <v/>
      </c>
      <c r="CB116" s="39"/>
      <c r="CC116" s="39"/>
      <c r="CD116" s="39"/>
      <c r="CE116" s="39"/>
      <c r="CF116" s="39"/>
      <c r="CG116" s="39"/>
      <c r="CH116" s="39"/>
      <c r="CI116" s="39"/>
      <c r="CJ116" s="39"/>
      <c r="CK116" s="39"/>
    </row>
    <row r="117" spans="1:89" s="193" customFormat="1">
      <c r="A117" s="195"/>
      <c r="B117" s="21" t="str">
        <f t="shared" si="45"/>
        <v>N/A</v>
      </c>
      <c r="C117" s="21"/>
      <c r="D117" s="432">
        <v>3200589</v>
      </c>
      <c r="E117" s="439" t="s">
        <v>3626</v>
      </c>
      <c r="F117" s="439" t="s">
        <v>3723</v>
      </c>
      <c r="G117" s="273" t="s">
        <v>3318</v>
      </c>
      <c r="H117" s="358"/>
      <c r="I117" s="262" t="s">
        <v>3492</v>
      </c>
      <c r="J117" s="262" t="s">
        <v>3504</v>
      </c>
      <c r="K117" s="263">
        <v>2080000</v>
      </c>
      <c r="L117" s="263">
        <v>2290000</v>
      </c>
      <c r="M117" s="263">
        <v>0</v>
      </c>
      <c r="N117" s="263">
        <v>0</v>
      </c>
      <c r="O117" s="263">
        <v>0</v>
      </c>
      <c r="P117" s="263">
        <v>4475000</v>
      </c>
      <c r="Q117" s="263">
        <v>24540000</v>
      </c>
      <c r="R117" s="263">
        <v>26080000</v>
      </c>
      <c r="S117" s="263">
        <v>30000000</v>
      </c>
      <c r="T117" s="263">
        <v>20000000</v>
      </c>
      <c r="U117" s="263">
        <f t="shared" si="77"/>
        <v>109465000</v>
      </c>
      <c r="V117" s="196" t="str">
        <f t="shared" si="46"/>
        <v>LOS</v>
      </c>
      <c r="W117" s="196" t="s">
        <v>1168</v>
      </c>
      <c r="X117" s="196" t="str">
        <f t="shared" si="78"/>
        <v>N</v>
      </c>
      <c r="Y117" s="197">
        <f t="shared" si="48"/>
        <v>109465000</v>
      </c>
      <c r="Z117" s="198"/>
      <c r="AA117" s="197">
        <f t="shared" si="49"/>
        <v>109465000</v>
      </c>
      <c r="AB117" s="196"/>
      <c r="AC117" s="196"/>
      <c r="AD117" s="275">
        <v>0</v>
      </c>
      <c r="AE117" s="275">
        <v>1</v>
      </c>
      <c r="AF117" s="275">
        <v>0</v>
      </c>
      <c r="AG117" s="199"/>
      <c r="AH117" s="199"/>
      <c r="AI117" s="377">
        <f t="shared" si="50"/>
        <v>0</v>
      </c>
      <c r="AJ117" s="203"/>
      <c r="AK117" s="203"/>
      <c r="AL117" s="197">
        <f t="shared" si="51"/>
        <v>109465000</v>
      </c>
      <c r="AM117" s="197">
        <f t="shared" si="52"/>
        <v>0</v>
      </c>
      <c r="AN117" s="197">
        <f t="shared" si="53"/>
        <v>0</v>
      </c>
      <c r="AO117" s="202"/>
      <c r="AP117" s="161" t="s">
        <v>3900</v>
      </c>
      <c r="AQ117" s="279"/>
      <c r="AR117" s="287">
        <f t="shared" si="54"/>
        <v>0</v>
      </c>
      <c r="AS117" s="287">
        <f t="shared" si="55"/>
        <v>0</v>
      </c>
      <c r="AT117" s="287">
        <f t="shared" si="56"/>
        <v>0</v>
      </c>
      <c r="AU117" s="287">
        <f t="shared" si="57"/>
        <v>0</v>
      </c>
      <c r="AV117" s="287">
        <f t="shared" si="58"/>
        <v>0</v>
      </c>
      <c r="AW117" s="287">
        <f t="shared" si="59"/>
        <v>0</v>
      </c>
      <c r="AX117" s="287">
        <f t="shared" si="60"/>
        <v>0</v>
      </c>
      <c r="AY117" s="287">
        <f t="shared" si="61"/>
        <v>0</v>
      </c>
      <c r="AZ117" s="287">
        <f t="shared" si="62"/>
        <v>0</v>
      </c>
      <c r="BA117" s="287">
        <f t="shared" si="63"/>
        <v>0</v>
      </c>
      <c r="BB117" s="16"/>
      <c r="BC117" s="287">
        <f t="shared" si="64"/>
        <v>0</v>
      </c>
      <c r="BD117" s="287">
        <f t="shared" si="65"/>
        <v>0</v>
      </c>
      <c r="BE117" s="287">
        <f t="shared" si="66"/>
        <v>0</v>
      </c>
      <c r="BF117" s="287">
        <f t="shared" si="67"/>
        <v>0</v>
      </c>
      <c r="BG117" s="287">
        <f t="shared" si="68"/>
        <v>0</v>
      </c>
      <c r="BH117" s="287">
        <f t="shared" si="69"/>
        <v>0</v>
      </c>
      <c r="BI117" s="287">
        <f t="shared" si="70"/>
        <v>0</v>
      </c>
      <c r="BJ117" s="287">
        <f t="shared" si="71"/>
        <v>0</v>
      </c>
      <c r="BK117" s="287">
        <f t="shared" si="72"/>
        <v>0</v>
      </c>
      <c r="BL117" s="287">
        <f t="shared" si="73"/>
        <v>0</v>
      </c>
      <c r="BM117" s="16"/>
      <c r="BN117" s="287">
        <f t="shared" si="74"/>
        <v>0</v>
      </c>
      <c r="BO117" s="287">
        <f t="shared" si="75"/>
        <v>0</v>
      </c>
      <c r="BP117" s="432"/>
      <c r="BQ117" s="21"/>
      <c r="BR117" s="21"/>
      <c r="BS117" s="39"/>
      <c r="BT117" s="39"/>
      <c r="BU117" s="334">
        <v>55500</v>
      </c>
      <c r="BV117" s="334">
        <v>0</v>
      </c>
      <c r="BW117" s="39"/>
      <c r="BX117" s="39"/>
      <c r="BY117" s="39"/>
      <c r="BZ117" s="39">
        <v>104</v>
      </c>
      <c r="CA117" s="39" t="str">
        <f t="shared" si="76"/>
        <v/>
      </c>
      <c r="CB117" s="39"/>
      <c r="CC117" s="39"/>
      <c r="CD117" s="39"/>
      <c r="CE117" s="39"/>
      <c r="CF117" s="39"/>
      <c r="CG117" s="39"/>
      <c r="CH117" s="39"/>
      <c r="CI117" s="39"/>
      <c r="CJ117" s="39"/>
      <c r="CK117" s="39"/>
    </row>
    <row r="118" spans="1:89" s="193" customFormat="1">
      <c r="A118" s="195"/>
      <c r="B118" s="21" t="str">
        <f t="shared" si="45"/>
        <v>N/A</v>
      </c>
      <c r="C118" s="21"/>
      <c r="D118" s="432">
        <v>3200589</v>
      </c>
      <c r="E118" s="439" t="s">
        <v>3626</v>
      </c>
      <c r="F118" s="439" t="s">
        <v>3472</v>
      </c>
      <c r="G118" s="273" t="s">
        <v>3319</v>
      </c>
      <c r="H118" s="358"/>
      <c r="I118" s="262" t="s">
        <v>3492</v>
      </c>
      <c r="J118" s="262" t="s">
        <v>3504</v>
      </c>
      <c r="K118" s="263">
        <v>172000</v>
      </c>
      <c r="L118" s="263">
        <v>747050</v>
      </c>
      <c r="M118" s="263">
        <v>762300</v>
      </c>
      <c r="N118" s="263">
        <v>657250</v>
      </c>
      <c r="O118" s="263">
        <v>185250</v>
      </c>
      <c r="P118" s="263">
        <v>280500</v>
      </c>
      <c r="Q118" s="263">
        <v>0</v>
      </c>
      <c r="R118" s="263">
        <v>0</v>
      </c>
      <c r="S118" s="263">
        <v>0</v>
      </c>
      <c r="T118" s="263">
        <v>0</v>
      </c>
      <c r="U118" s="263">
        <f t="shared" si="77"/>
        <v>2804350</v>
      </c>
      <c r="V118" s="196" t="str">
        <f t="shared" si="46"/>
        <v>LOS</v>
      </c>
      <c r="W118" s="196" t="s">
        <v>1168</v>
      </c>
      <c r="X118" s="196" t="str">
        <f t="shared" si="78"/>
        <v>N</v>
      </c>
      <c r="Y118" s="197">
        <f t="shared" si="48"/>
        <v>2804350</v>
      </c>
      <c r="Z118" s="198"/>
      <c r="AA118" s="197">
        <f t="shared" si="49"/>
        <v>2804350</v>
      </c>
      <c r="AB118" s="196"/>
      <c r="AC118" s="196"/>
      <c r="AD118" s="275">
        <v>0</v>
      </c>
      <c r="AE118" s="275">
        <v>1</v>
      </c>
      <c r="AF118" s="275">
        <v>0</v>
      </c>
      <c r="AG118" s="199"/>
      <c r="AH118" s="199"/>
      <c r="AI118" s="377">
        <f t="shared" si="50"/>
        <v>0</v>
      </c>
      <c r="AJ118" s="203"/>
      <c r="AK118" s="203"/>
      <c r="AL118" s="197">
        <f t="shared" si="51"/>
        <v>2804350</v>
      </c>
      <c r="AM118" s="197">
        <f t="shared" si="52"/>
        <v>0</v>
      </c>
      <c r="AN118" s="197">
        <f t="shared" si="53"/>
        <v>0</v>
      </c>
      <c r="AO118" s="202"/>
      <c r="AP118" s="161" t="s">
        <v>3900</v>
      </c>
      <c r="AQ118" s="279"/>
      <c r="AR118" s="287">
        <f t="shared" si="54"/>
        <v>0</v>
      </c>
      <c r="AS118" s="287">
        <f t="shared" si="55"/>
        <v>0</v>
      </c>
      <c r="AT118" s="287">
        <f t="shared" si="56"/>
        <v>0</v>
      </c>
      <c r="AU118" s="287">
        <f t="shared" si="57"/>
        <v>0</v>
      </c>
      <c r="AV118" s="287">
        <f t="shared" si="58"/>
        <v>0</v>
      </c>
      <c r="AW118" s="287">
        <f t="shared" si="59"/>
        <v>0</v>
      </c>
      <c r="AX118" s="287">
        <f t="shared" si="60"/>
        <v>0</v>
      </c>
      <c r="AY118" s="287">
        <f t="shared" si="61"/>
        <v>0</v>
      </c>
      <c r="AZ118" s="287">
        <f t="shared" si="62"/>
        <v>0</v>
      </c>
      <c r="BA118" s="287">
        <f t="shared" si="63"/>
        <v>0</v>
      </c>
      <c r="BB118" s="16"/>
      <c r="BC118" s="287">
        <f t="shared" si="64"/>
        <v>0</v>
      </c>
      <c r="BD118" s="287">
        <f t="shared" si="65"/>
        <v>0</v>
      </c>
      <c r="BE118" s="287">
        <f t="shared" si="66"/>
        <v>0</v>
      </c>
      <c r="BF118" s="287">
        <f t="shared" si="67"/>
        <v>0</v>
      </c>
      <c r="BG118" s="287">
        <f t="shared" si="68"/>
        <v>0</v>
      </c>
      <c r="BH118" s="287">
        <f t="shared" si="69"/>
        <v>0</v>
      </c>
      <c r="BI118" s="287">
        <f t="shared" si="70"/>
        <v>0</v>
      </c>
      <c r="BJ118" s="287">
        <f t="shared" si="71"/>
        <v>0</v>
      </c>
      <c r="BK118" s="287">
        <f t="shared" si="72"/>
        <v>0</v>
      </c>
      <c r="BL118" s="287">
        <f t="shared" si="73"/>
        <v>0</v>
      </c>
      <c r="BM118" s="16"/>
      <c r="BN118" s="287">
        <f t="shared" si="74"/>
        <v>0</v>
      </c>
      <c r="BO118" s="287">
        <f t="shared" si="75"/>
        <v>0</v>
      </c>
      <c r="BP118" s="432"/>
      <c r="BQ118" s="21"/>
      <c r="BR118" s="21"/>
      <c r="BS118" s="39"/>
      <c r="BT118" s="39"/>
      <c r="BU118" s="334">
        <v>9379000</v>
      </c>
      <c r="BV118" s="334">
        <v>0</v>
      </c>
      <c r="BW118" s="39"/>
      <c r="BX118" s="39"/>
      <c r="BY118" s="39"/>
      <c r="BZ118" s="39">
        <v>105</v>
      </c>
      <c r="CA118" s="39" t="str">
        <f t="shared" si="76"/>
        <v/>
      </c>
      <c r="CB118" s="39"/>
      <c r="CC118" s="39"/>
      <c r="CD118" s="39"/>
      <c r="CE118" s="39"/>
      <c r="CF118" s="39"/>
      <c r="CG118" s="39"/>
      <c r="CH118" s="39"/>
      <c r="CI118" s="39"/>
      <c r="CJ118" s="39"/>
      <c r="CK118" s="39"/>
    </row>
    <row r="119" spans="1:89" s="193" customFormat="1">
      <c r="A119" s="195"/>
      <c r="B119" s="21" t="str">
        <f t="shared" si="45"/>
        <v>N/A</v>
      </c>
      <c r="C119" s="21"/>
      <c r="D119" s="432">
        <v>3200592</v>
      </c>
      <c r="E119" s="439" t="s">
        <v>3626</v>
      </c>
      <c r="F119" s="439" t="s">
        <v>3724</v>
      </c>
      <c r="G119" s="273" t="s">
        <v>3356</v>
      </c>
      <c r="H119" s="358"/>
      <c r="I119" s="262" t="s">
        <v>3492</v>
      </c>
      <c r="J119" s="262" t="s">
        <v>3504</v>
      </c>
      <c r="K119" s="263">
        <v>10000</v>
      </c>
      <c r="L119" s="263">
        <v>0</v>
      </c>
      <c r="M119" s="263">
        <v>0</v>
      </c>
      <c r="N119" s="263">
        <v>0</v>
      </c>
      <c r="O119" s="263">
        <v>0</v>
      </c>
      <c r="P119" s="263">
        <v>0</v>
      </c>
      <c r="Q119" s="263">
        <v>0</v>
      </c>
      <c r="R119" s="263">
        <v>0</v>
      </c>
      <c r="S119" s="263">
        <v>0</v>
      </c>
      <c r="T119" s="263">
        <v>0</v>
      </c>
      <c r="U119" s="263">
        <f t="shared" si="77"/>
        <v>10000</v>
      </c>
      <c r="V119" s="196" t="str">
        <f t="shared" si="46"/>
        <v>LOS</v>
      </c>
      <c r="W119" s="196" t="s">
        <v>1168</v>
      </c>
      <c r="X119" s="196" t="str">
        <f t="shared" si="78"/>
        <v>N</v>
      </c>
      <c r="Y119" s="197">
        <f t="shared" si="48"/>
        <v>10000</v>
      </c>
      <c r="Z119" s="198"/>
      <c r="AA119" s="197">
        <f t="shared" si="49"/>
        <v>10000</v>
      </c>
      <c r="AB119" s="196"/>
      <c r="AC119" s="196"/>
      <c r="AD119" s="275">
        <v>0</v>
      </c>
      <c r="AE119" s="275">
        <v>1</v>
      </c>
      <c r="AF119" s="275">
        <v>0</v>
      </c>
      <c r="AG119" s="199"/>
      <c r="AH119" s="199"/>
      <c r="AI119" s="377">
        <f t="shared" si="50"/>
        <v>0</v>
      </c>
      <c r="AJ119" s="203"/>
      <c r="AK119" s="203"/>
      <c r="AL119" s="197">
        <f t="shared" si="51"/>
        <v>10000</v>
      </c>
      <c r="AM119" s="197">
        <f t="shared" si="52"/>
        <v>0</v>
      </c>
      <c r="AN119" s="197">
        <f t="shared" si="53"/>
        <v>0</v>
      </c>
      <c r="AO119" s="202"/>
      <c r="AP119" s="161" t="s">
        <v>3900</v>
      </c>
      <c r="AQ119" s="279"/>
      <c r="AR119" s="287">
        <f t="shared" si="54"/>
        <v>0</v>
      </c>
      <c r="AS119" s="287">
        <f t="shared" si="55"/>
        <v>0</v>
      </c>
      <c r="AT119" s="287">
        <f t="shared" si="56"/>
        <v>0</v>
      </c>
      <c r="AU119" s="287">
        <f t="shared" si="57"/>
        <v>0</v>
      </c>
      <c r="AV119" s="287">
        <f t="shared" si="58"/>
        <v>0</v>
      </c>
      <c r="AW119" s="287">
        <f t="shared" si="59"/>
        <v>0</v>
      </c>
      <c r="AX119" s="287">
        <f t="shared" si="60"/>
        <v>0</v>
      </c>
      <c r="AY119" s="287">
        <f t="shared" si="61"/>
        <v>0</v>
      </c>
      <c r="AZ119" s="287">
        <f t="shared" si="62"/>
        <v>0</v>
      </c>
      <c r="BA119" s="287">
        <f t="shared" si="63"/>
        <v>0</v>
      </c>
      <c r="BB119" s="16"/>
      <c r="BC119" s="287">
        <f t="shared" si="64"/>
        <v>0</v>
      </c>
      <c r="BD119" s="287">
        <f t="shared" si="65"/>
        <v>0</v>
      </c>
      <c r="BE119" s="287">
        <f t="shared" si="66"/>
        <v>0</v>
      </c>
      <c r="BF119" s="287">
        <f t="shared" si="67"/>
        <v>0</v>
      </c>
      <c r="BG119" s="287">
        <f t="shared" si="68"/>
        <v>0</v>
      </c>
      <c r="BH119" s="287">
        <f t="shared" si="69"/>
        <v>0</v>
      </c>
      <c r="BI119" s="287">
        <f t="shared" si="70"/>
        <v>0</v>
      </c>
      <c r="BJ119" s="287">
        <f t="shared" si="71"/>
        <v>0</v>
      </c>
      <c r="BK119" s="287">
        <f t="shared" si="72"/>
        <v>0</v>
      </c>
      <c r="BL119" s="287">
        <f t="shared" si="73"/>
        <v>0</v>
      </c>
      <c r="BM119" s="16"/>
      <c r="BN119" s="287">
        <f t="shared" si="74"/>
        <v>0</v>
      </c>
      <c r="BO119" s="287">
        <f t="shared" si="75"/>
        <v>0</v>
      </c>
      <c r="BP119" s="432"/>
      <c r="BQ119" s="21"/>
      <c r="BR119" s="21"/>
      <c r="BS119" s="39"/>
      <c r="BT119" s="39"/>
      <c r="BU119" s="334">
        <v>71000</v>
      </c>
      <c r="BV119" s="334">
        <v>0</v>
      </c>
      <c r="BW119" s="39"/>
      <c r="BX119" s="39"/>
      <c r="BY119" s="39"/>
      <c r="BZ119" s="39">
        <v>106</v>
      </c>
      <c r="CA119" s="39" t="str">
        <f t="shared" si="76"/>
        <v/>
      </c>
      <c r="CB119" s="39"/>
      <c r="CC119" s="39"/>
      <c r="CD119" s="39"/>
      <c r="CE119" s="39"/>
      <c r="CF119" s="39"/>
      <c r="CG119" s="39"/>
      <c r="CH119" s="39"/>
      <c r="CI119" s="39"/>
      <c r="CJ119" s="39"/>
      <c r="CK119" s="39"/>
    </row>
    <row r="120" spans="1:89" s="193" customFormat="1">
      <c r="A120" s="195"/>
      <c r="B120" s="21" t="str">
        <f t="shared" si="45"/>
        <v>N/A</v>
      </c>
      <c r="C120" s="21"/>
      <c r="D120" s="432">
        <v>3200592</v>
      </c>
      <c r="E120" s="439" t="s">
        <v>3626</v>
      </c>
      <c r="F120" s="439" t="s">
        <v>3476</v>
      </c>
      <c r="G120" s="273" t="s">
        <v>3355</v>
      </c>
      <c r="H120" s="358"/>
      <c r="I120" s="262" t="s">
        <v>3492</v>
      </c>
      <c r="J120" s="262" t="s">
        <v>3504</v>
      </c>
      <c r="K120" s="263">
        <v>400000</v>
      </c>
      <c r="L120" s="263">
        <v>900000</v>
      </c>
      <c r="M120" s="263">
        <v>0</v>
      </c>
      <c r="N120" s="263">
        <v>0</v>
      </c>
      <c r="O120" s="263">
        <v>0</v>
      </c>
      <c r="P120" s="263">
        <v>0</v>
      </c>
      <c r="Q120" s="263">
        <v>0</v>
      </c>
      <c r="R120" s="263">
        <v>0</v>
      </c>
      <c r="S120" s="263">
        <v>0</v>
      </c>
      <c r="T120" s="263">
        <v>0</v>
      </c>
      <c r="U120" s="263">
        <f t="shared" si="77"/>
        <v>1300000</v>
      </c>
      <c r="V120" s="196" t="str">
        <f t="shared" si="46"/>
        <v>LOS</v>
      </c>
      <c r="W120" s="196" t="s">
        <v>1168</v>
      </c>
      <c r="X120" s="196" t="str">
        <f t="shared" si="78"/>
        <v>N</v>
      </c>
      <c r="Y120" s="197">
        <f t="shared" si="48"/>
        <v>1300000</v>
      </c>
      <c r="Z120" s="198"/>
      <c r="AA120" s="197">
        <f t="shared" si="49"/>
        <v>1300000</v>
      </c>
      <c r="AB120" s="196"/>
      <c r="AC120" s="196"/>
      <c r="AD120" s="275">
        <v>0</v>
      </c>
      <c r="AE120" s="275">
        <v>1</v>
      </c>
      <c r="AF120" s="275">
        <v>0</v>
      </c>
      <c r="AG120" s="199"/>
      <c r="AH120" s="199"/>
      <c r="AI120" s="377">
        <f t="shared" si="50"/>
        <v>0</v>
      </c>
      <c r="AJ120" s="203"/>
      <c r="AK120" s="203"/>
      <c r="AL120" s="197">
        <f t="shared" si="51"/>
        <v>1300000</v>
      </c>
      <c r="AM120" s="197">
        <f t="shared" si="52"/>
        <v>0</v>
      </c>
      <c r="AN120" s="197">
        <f t="shared" si="53"/>
        <v>0</v>
      </c>
      <c r="AO120" s="202"/>
      <c r="AP120" s="161" t="s">
        <v>3900</v>
      </c>
      <c r="AQ120" s="279"/>
      <c r="AR120" s="287">
        <f t="shared" si="54"/>
        <v>0</v>
      </c>
      <c r="AS120" s="287">
        <f t="shared" si="55"/>
        <v>0</v>
      </c>
      <c r="AT120" s="287">
        <f t="shared" si="56"/>
        <v>0</v>
      </c>
      <c r="AU120" s="287">
        <f t="shared" si="57"/>
        <v>0</v>
      </c>
      <c r="AV120" s="287">
        <f t="shared" si="58"/>
        <v>0</v>
      </c>
      <c r="AW120" s="287">
        <f t="shared" si="59"/>
        <v>0</v>
      </c>
      <c r="AX120" s="287">
        <f t="shared" si="60"/>
        <v>0</v>
      </c>
      <c r="AY120" s="287">
        <f t="shared" si="61"/>
        <v>0</v>
      </c>
      <c r="AZ120" s="287">
        <f t="shared" si="62"/>
        <v>0</v>
      </c>
      <c r="BA120" s="287">
        <f t="shared" si="63"/>
        <v>0</v>
      </c>
      <c r="BB120" s="16"/>
      <c r="BC120" s="287">
        <f t="shared" si="64"/>
        <v>0</v>
      </c>
      <c r="BD120" s="287">
        <f t="shared" si="65"/>
        <v>0</v>
      </c>
      <c r="BE120" s="287">
        <f t="shared" si="66"/>
        <v>0</v>
      </c>
      <c r="BF120" s="287">
        <f t="shared" si="67"/>
        <v>0</v>
      </c>
      <c r="BG120" s="287">
        <f t="shared" si="68"/>
        <v>0</v>
      </c>
      <c r="BH120" s="287">
        <f t="shared" si="69"/>
        <v>0</v>
      </c>
      <c r="BI120" s="287">
        <f t="shared" si="70"/>
        <v>0</v>
      </c>
      <c r="BJ120" s="287">
        <f t="shared" si="71"/>
        <v>0</v>
      </c>
      <c r="BK120" s="287">
        <f t="shared" si="72"/>
        <v>0</v>
      </c>
      <c r="BL120" s="287">
        <f t="shared" si="73"/>
        <v>0</v>
      </c>
      <c r="BM120" s="16"/>
      <c r="BN120" s="287">
        <f t="shared" si="74"/>
        <v>0</v>
      </c>
      <c r="BO120" s="287">
        <f t="shared" si="75"/>
        <v>0</v>
      </c>
      <c r="BP120" s="432"/>
      <c r="BQ120" s="21"/>
      <c r="BR120" s="21"/>
      <c r="BS120" s="39"/>
      <c r="BT120" s="39"/>
      <c r="BU120" s="334">
        <v>128000</v>
      </c>
      <c r="BV120" s="334">
        <v>0</v>
      </c>
      <c r="BW120" s="39"/>
      <c r="BX120" s="39"/>
      <c r="BY120" s="39"/>
      <c r="BZ120" s="39">
        <v>107</v>
      </c>
      <c r="CA120" s="39" t="str">
        <f t="shared" si="76"/>
        <v/>
      </c>
      <c r="CB120" s="39"/>
      <c r="CC120" s="39"/>
      <c r="CD120" s="39"/>
      <c r="CE120" s="39"/>
      <c r="CF120" s="39"/>
      <c r="CG120" s="39"/>
      <c r="CH120" s="39"/>
      <c r="CI120" s="39"/>
      <c r="CJ120" s="39"/>
      <c r="CK120" s="39"/>
    </row>
    <row r="121" spans="1:89" s="193" customFormat="1">
      <c r="A121" s="195"/>
      <c r="B121" s="21" t="str">
        <f t="shared" si="45"/>
        <v>N/A</v>
      </c>
      <c r="C121" s="21"/>
      <c r="D121" s="432">
        <v>3200593</v>
      </c>
      <c r="E121" s="439" t="s">
        <v>3626</v>
      </c>
      <c r="F121" s="439" t="s">
        <v>3726</v>
      </c>
      <c r="G121" s="273" t="s">
        <v>3234</v>
      </c>
      <c r="H121" s="358"/>
      <c r="I121" s="262" t="s">
        <v>3492</v>
      </c>
      <c r="J121" s="262" t="s">
        <v>3504</v>
      </c>
      <c r="K121" s="263">
        <v>2487350</v>
      </c>
      <c r="L121" s="263">
        <v>2810000</v>
      </c>
      <c r="M121" s="263">
        <v>470000</v>
      </c>
      <c r="N121" s="263">
        <v>330000</v>
      </c>
      <c r="O121" s="263">
        <v>340000</v>
      </c>
      <c r="P121" s="263">
        <v>4800000</v>
      </c>
      <c r="Q121" s="263">
        <v>5900000</v>
      </c>
      <c r="R121" s="263">
        <v>3000000</v>
      </c>
      <c r="S121" s="263">
        <v>3450000</v>
      </c>
      <c r="T121" s="263">
        <v>3600000</v>
      </c>
      <c r="U121" s="263">
        <f t="shared" si="77"/>
        <v>27187350</v>
      </c>
      <c r="V121" s="196" t="str">
        <f t="shared" si="46"/>
        <v>G</v>
      </c>
      <c r="W121" s="196" t="s">
        <v>1168</v>
      </c>
      <c r="X121" s="196" t="str">
        <f t="shared" si="78"/>
        <v>Y</v>
      </c>
      <c r="Y121" s="197">
        <f t="shared" si="48"/>
        <v>27187350</v>
      </c>
      <c r="Z121" s="198"/>
      <c r="AA121" s="197">
        <f t="shared" si="49"/>
        <v>27187350</v>
      </c>
      <c r="AB121" s="196" t="s">
        <v>1168</v>
      </c>
      <c r="AC121" s="196"/>
      <c r="AD121" s="275">
        <v>1</v>
      </c>
      <c r="AE121" s="275">
        <v>0</v>
      </c>
      <c r="AF121" s="275">
        <v>0</v>
      </c>
      <c r="AG121" s="199"/>
      <c r="AH121" s="199"/>
      <c r="AI121" s="377">
        <f t="shared" si="50"/>
        <v>0</v>
      </c>
      <c r="AJ121" s="203"/>
      <c r="AK121" s="203"/>
      <c r="AL121" s="197">
        <f t="shared" si="51"/>
        <v>27187350</v>
      </c>
      <c r="AM121" s="197">
        <f t="shared" si="52"/>
        <v>0</v>
      </c>
      <c r="AN121" s="197">
        <f t="shared" si="53"/>
        <v>0</v>
      </c>
      <c r="AO121" s="202"/>
      <c r="AP121" s="161" t="s">
        <v>3900</v>
      </c>
      <c r="AQ121" s="279"/>
      <c r="AR121" s="287">
        <f t="shared" si="54"/>
        <v>0</v>
      </c>
      <c r="AS121" s="287">
        <f t="shared" si="55"/>
        <v>0</v>
      </c>
      <c r="AT121" s="287">
        <f t="shared" si="56"/>
        <v>0</v>
      </c>
      <c r="AU121" s="287">
        <f t="shared" si="57"/>
        <v>0</v>
      </c>
      <c r="AV121" s="287">
        <f t="shared" si="58"/>
        <v>0</v>
      </c>
      <c r="AW121" s="287">
        <f t="shared" si="59"/>
        <v>0</v>
      </c>
      <c r="AX121" s="287">
        <f t="shared" si="60"/>
        <v>0</v>
      </c>
      <c r="AY121" s="287">
        <f t="shared" si="61"/>
        <v>0</v>
      </c>
      <c r="AZ121" s="287">
        <f t="shared" si="62"/>
        <v>0</v>
      </c>
      <c r="BA121" s="287">
        <f t="shared" si="63"/>
        <v>0</v>
      </c>
      <c r="BB121" s="16"/>
      <c r="BC121" s="287">
        <f t="shared" si="64"/>
        <v>0</v>
      </c>
      <c r="BD121" s="287">
        <f t="shared" si="65"/>
        <v>0</v>
      </c>
      <c r="BE121" s="287">
        <f t="shared" si="66"/>
        <v>0</v>
      </c>
      <c r="BF121" s="287">
        <f t="shared" si="67"/>
        <v>0</v>
      </c>
      <c r="BG121" s="287">
        <f t="shared" si="68"/>
        <v>0</v>
      </c>
      <c r="BH121" s="287">
        <f t="shared" si="69"/>
        <v>0</v>
      </c>
      <c r="BI121" s="287">
        <f t="shared" si="70"/>
        <v>0</v>
      </c>
      <c r="BJ121" s="287">
        <f t="shared" si="71"/>
        <v>0</v>
      </c>
      <c r="BK121" s="287">
        <f t="shared" si="72"/>
        <v>0</v>
      </c>
      <c r="BL121" s="287">
        <f t="shared" si="73"/>
        <v>0</v>
      </c>
      <c r="BM121" s="16"/>
      <c r="BN121" s="287">
        <f t="shared" si="74"/>
        <v>0</v>
      </c>
      <c r="BO121" s="287">
        <f t="shared" si="75"/>
        <v>0</v>
      </c>
      <c r="BP121" s="432"/>
      <c r="BQ121" s="21"/>
      <c r="BR121" s="21"/>
      <c r="BS121" s="39"/>
      <c r="BT121" s="39"/>
      <c r="BU121" s="334">
        <v>13000</v>
      </c>
      <c r="BV121" s="334">
        <v>0</v>
      </c>
      <c r="BW121" s="39"/>
      <c r="BX121" s="39"/>
      <c r="BY121" s="39"/>
      <c r="BZ121" s="39">
        <v>108</v>
      </c>
      <c r="CA121" s="39" t="str">
        <f t="shared" si="76"/>
        <v/>
      </c>
      <c r="CB121" s="39"/>
      <c r="CC121" s="39"/>
      <c r="CD121" s="39"/>
      <c r="CE121" s="39"/>
      <c r="CF121" s="39"/>
      <c r="CG121" s="39"/>
      <c r="CH121" s="39"/>
      <c r="CI121" s="39"/>
      <c r="CJ121" s="39"/>
      <c r="CK121" s="39"/>
    </row>
    <row r="122" spans="1:89" s="193" customFormat="1">
      <c r="A122" s="195"/>
      <c r="B122" s="21" t="str">
        <f t="shared" si="45"/>
        <v>N/A</v>
      </c>
      <c r="C122" s="21"/>
      <c r="D122" s="432">
        <v>3200593</v>
      </c>
      <c r="E122" s="439" t="s">
        <v>3626</v>
      </c>
      <c r="F122" s="439" t="s">
        <v>3725</v>
      </c>
      <c r="G122" s="273" t="s">
        <v>3233</v>
      </c>
      <c r="H122" s="358"/>
      <c r="I122" s="262" t="s">
        <v>3492</v>
      </c>
      <c r="J122" s="262" t="s">
        <v>3504</v>
      </c>
      <c r="K122" s="263">
        <v>13000000</v>
      </c>
      <c r="L122" s="263">
        <v>1823229</v>
      </c>
      <c r="M122" s="263">
        <v>10000000</v>
      </c>
      <c r="N122" s="263">
        <v>0</v>
      </c>
      <c r="O122" s="263">
        <v>0</v>
      </c>
      <c r="P122" s="263">
        <v>0</v>
      </c>
      <c r="Q122" s="263">
        <v>0</v>
      </c>
      <c r="R122" s="263">
        <v>0</v>
      </c>
      <c r="S122" s="263">
        <v>0</v>
      </c>
      <c r="T122" s="263">
        <v>0</v>
      </c>
      <c r="U122" s="263">
        <f t="shared" si="77"/>
        <v>24823229</v>
      </c>
      <c r="V122" s="196" t="str">
        <f t="shared" si="46"/>
        <v>G</v>
      </c>
      <c r="W122" s="196" t="s">
        <v>1168</v>
      </c>
      <c r="X122" s="196" t="str">
        <f t="shared" si="78"/>
        <v>Y</v>
      </c>
      <c r="Y122" s="197">
        <f t="shared" si="48"/>
        <v>24823229</v>
      </c>
      <c r="Z122" s="198"/>
      <c r="AA122" s="197">
        <f t="shared" si="49"/>
        <v>24823229</v>
      </c>
      <c r="AB122" s="196" t="s">
        <v>1168</v>
      </c>
      <c r="AC122" s="196"/>
      <c r="AD122" s="275">
        <v>1</v>
      </c>
      <c r="AE122" s="275">
        <v>0</v>
      </c>
      <c r="AF122" s="275">
        <v>0</v>
      </c>
      <c r="AG122" s="199"/>
      <c r="AH122" s="199"/>
      <c r="AI122" s="377">
        <f t="shared" si="50"/>
        <v>0</v>
      </c>
      <c r="AJ122" s="203"/>
      <c r="AK122" s="203"/>
      <c r="AL122" s="197">
        <f t="shared" si="51"/>
        <v>24823229</v>
      </c>
      <c r="AM122" s="197">
        <f t="shared" si="52"/>
        <v>0</v>
      </c>
      <c r="AN122" s="197">
        <f t="shared" si="53"/>
        <v>0</v>
      </c>
      <c r="AO122" s="202"/>
      <c r="AP122" s="161" t="s">
        <v>3900</v>
      </c>
      <c r="AQ122" s="279"/>
      <c r="AR122" s="287">
        <f t="shared" si="54"/>
        <v>0</v>
      </c>
      <c r="AS122" s="287">
        <f t="shared" si="55"/>
        <v>0</v>
      </c>
      <c r="AT122" s="287">
        <f t="shared" si="56"/>
        <v>0</v>
      </c>
      <c r="AU122" s="287">
        <f t="shared" si="57"/>
        <v>0</v>
      </c>
      <c r="AV122" s="287">
        <f t="shared" si="58"/>
        <v>0</v>
      </c>
      <c r="AW122" s="287">
        <f t="shared" si="59"/>
        <v>0</v>
      </c>
      <c r="AX122" s="287">
        <f t="shared" si="60"/>
        <v>0</v>
      </c>
      <c r="AY122" s="287">
        <f t="shared" si="61"/>
        <v>0</v>
      </c>
      <c r="AZ122" s="287">
        <f t="shared" si="62"/>
        <v>0</v>
      </c>
      <c r="BA122" s="287">
        <f t="shared" si="63"/>
        <v>0</v>
      </c>
      <c r="BB122" s="16"/>
      <c r="BC122" s="287">
        <f t="shared" si="64"/>
        <v>0</v>
      </c>
      <c r="BD122" s="287">
        <f t="shared" si="65"/>
        <v>0</v>
      </c>
      <c r="BE122" s="287">
        <f t="shared" si="66"/>
        <v>0</v>
      </c>
      <c r="BF122" s="287">
        <f t="shared" si="67"/>
        <v>0</v>
      </c>
      <c r="BG122" s="287">
        <f t="shared" si="68"/>
        <v>0</v>
      </c>
      <c r="BH122" s="287">
        <f t="shared" si="69"/>
        <v>0</v>
      </c>
      <c r="BI122" s="287">
        <f t="shared" si="70"/>
        <v>0</v>
      </c>
      <c r="BJ122" s="287">
        <f t="shared" si="71"/>
        <v>0</v>
      </c>
      <c r="BK122" s="287">
        <f t="shared" si="72"/>
        <v>0</v>
      </c>
      <c r="BL122" s="287">
        <f t="shared" si="73"/>
        <v>0</v>
      </c>
      <c r="BM122" s="16"/>
      <c r="BN122" s="287">
        <f t="shared" si="74"/>
        <v>0</v>
      </c>
      <c r="BO122" s="287">
        <f t="shared" si="75"/>
        <v>0</v>
      </c>
      <c r="BP122" s="432"/>
      <c r="BQ122" s="21"/>
      <c r="BR122" s="21"/>
      <c r="BS122" s="39"/>
      <c r="BT122" s="39"/>
      <c r="BU122" s="334">
        <v>12400</v>
      </c>
      <c r="BV122" s="334">
        <v>0</v>
      </c>
      <c r="BW122" s="39"/>
      <c r="BX122" s="39"/>
      <c r="BY122" s="39"/>
      <c r="BZ122" s="39">
        <v>109</v>
      </c>
      <c r="CA122" s="39" t="str">
        <f t="shared" si="76"/>
        <v/>
      </c>
      <c r="CB122" s="39"/>
      <c r="CC122" s="39"/>
      <c r="CD122" s="39"/>
      <c r="CE122" s="39"/>
      <c r="CF122" s="39"/>
      <c r="CG122" s="39"/>
      <c r="CH122" s="39"/>
      <c r="CI122" s="39"/>
      <c r="CJ122" s="39"/>
      <c r="CK122" s="39"/>
    </row>
    <row r="123" spans="1:89" s="193" customFormat="1">
      <c r="A123" s="195"/>
      <c r="B123" s="21" t="str">
        <f t="shared" si="45"/>
        <v>N/A</v>
      </c>
      <c r="C123" s="21"/>
      <c r="D123" s="432">
        <v>3200599</v>
      </c>
      <c r="E123" s="439" t="s">
        <v>3626</v>
      </c>
      <c r="F123" s="439" t="s">
        <v>3727</v>
      </c>
      <c r="G123" s="273" t="s">
        <v>3297</v>
      </c>
      <c r="H123" s="358"/>
      <c r="I123" s="262" t="s">
        <v>3491</v>
      </c>
      <c r="J123" s="262" t="s">
        <v>3504</v>
      </c>
      <c r="K123" s="263">
        <v>4274000.04</v>
      </c>
      <c r="L123" s="263">
        <v>139931</v>
      </c>
      <c r="M123" s="263">
        <v>0</v>
      </c>
      <c r="N123" s="263">
        <v>0</v>
      </c>
      <c r="O123" s="263">
        <v>0</v>
      </c>
      <c r="P123" s="263">
        <v>0</v>
      </c>
      <c r="Q123" s="263">
        <v>0</v>
      </c>
      <c r="R123" s="263">
        <v>0</v>
      </c>
      <c r="S123" s="263">
        <v>0</v>
      </c>
      <c r="T123" s="263">
        <v>0</v>
      </c>
      <c r="U123" s="263">
        <f t="shared" si="77"/>
        <v>4413931.04</v>
      </c>
      <c r="V123" s="196" t="str">
        <f t="shared" si="46"/>
        <v>LOS</v>
      </c>
      <c r="W123" s="196" t="s">
        <v>1168</v>
      </c>
      <c r="X123" s="196" t="str">
        <f t="shared" si="78"/>
        <v>N</v>
      </c>
      <c r="Y123" s="197">
        <f t="shared" si="48"/>
        <v>4413931.04</v>
      </c>
      <c r="Z123" s="198"/>
      <c r="AA123" s="197">
        <f t="shared" si="49"/>
        <v>4413931.04</v>
      </c>
      <c r="AB123" s="196"/>
      <c r="AC123" s="196"/>
      <c r="AD123" s="275">
        <v>0</v>
      </c>
      <c r="AE123" s="275">
        <v>1</v>
      </c>
      <c r="AF123" s="275">
        <v>0</v>
      </c>
      <c r="AG123" s="442"/>
      <c r="AH123" s="442"/>
      <c r="AI123" s="200">
        <f t="shared" si="50"/>
        <v>0</v>
      </c>
      <c r="AJ123" s="203"/>
      <c r="AK123" s="203"/>
      <c r="AL123" s="197">
        <f t="shared" si="51"/>
        <v>4413931.04</v>
      </c>
      <c r="AM123" s="197">
        <f t="shared" si="52"/>
        <v>0</v>
      </c>
      <c r="AN123" s="197">
        <f t="shared" si="53"/>
        <v>0</v>
      </c>
      <c r="AO123" s="202"/>
      <c r="AP123" s="161" t="s">
        <v>3900</v>
      </c>
      <c r="AQ123" s="279"/>
      <c r="AR123" s="287">
        <f t="shared" si="54"/>
        <v>0</v>
      </c>
      <c r="AS123" s="287">
        <f t="shared" si="55"/>
        <v>0</v>
      </c>
      <c r="AT123" s="287">
        <f t="shared" si="56"/>
        <v>0</v>
      </c>
      <c r="AU123" s="287">
        <f t="shared" si="57"/>
        <v>0</v>
      </c>
      <c r="AV123" s="287">
        <f t="shared" si="58"/>
        <v>0</v>
      </c>
      <c r="AW123" s="287">
        <f t="shared" si="59"/>
        <v>0</v>
      </c>
      <c r="AX123" s="287">
        <f t="shared" si="60"/>
        <v>0</v>
      </c>
      <c r="AY123" s="287">
        <f t="shared" si="61"/>
        <v>0</v>
      </c>
      <c r="AZ123" s="287">
        <f t="shared" si="62"/>
        <v>0</v>
      </c>
      <c r="BA123" s="287">
        <f t="shared" si="63"/>
        <v>0</v>
      </c>
      <c r="BB123" s="16"/>
      <c r="BC123" s="287">
        <f t="shared" si="64"/>
        <v>0</v>
      </c>
      <c r="BD123" s="287">
        <f t="shared" si="65"/>
        <v>0</v>
      </c>
      <c r="BE123" s="287">
        <f t="shared" si="66"/>
        <v>0</v>
      </c>
      <c r="BF123" s="287">
        <f t="shared" si="67"/>
        <v>0</v>
      </c>
      <c r="BG123" s="287">
        <f t="shared" si="68"/>
        <v>0</v>
      </c>
      <c r="BH123" s="287">
        <f t="shared" si="69"/>
        <v>0</v>
      </c>
      <c r="BI123" s="287">
        <f t="shared" si="70"/>
        <v>0</v>
      </c>
      <c r="BJ123" s="287">
        <f t="shared" si="71"/>
        <v>0</v>
      </c>
      <c r="BK123" s="287">
        <f t="shared" si="72"/>
        <v>0</v>
      </c>
      <c r="BL123" s="287">
        <f t="shared" si="73"/>
        <v>0</v>
      </c>
      <c r="BM123" s="16"/>
      <c r="BN123" s="287">
        <f t="shared" si="74"/>
        <v>0</v>
      </c>
      <c r="BO123" s="287">
        <f t="shared" si="75"/>
        <v>0</v>
      </c>
      <c r="BP123" s="432"/>
      <c r="BQ123" s="21"/>
      <c r="BR123" s="21"/>
      <c r="BS123" s="39"/>
      <c r="BT123" s="39"/>
      <c r="BU123" s="39"/>
      <c r="BV123" s="39"/>
      <c r="BW123" s="39"/>
      <c r="BX123" s="39"/>
      <c r="BY123" s="39"/>
      <c r="BZ123" s="39">
        <v>110</v>
      </c>
      <c r="CA123" s="39" t="str">
        <f t="shared" si="76"/>
        <v/>
      </c>
      <c r="CB123" s="39"/>
      <c r="CC123" s="39"/>
      <c r="CD123" s="39"/>
      <c r="CE123" s="39"/>
      <c r="CF123" s="39"/>
      <c r="CG123" s="39"/>
      <c r="CH123" s="39"/>
      <c r="CI123" s="39"/>
      <c r="CJ123" s="39"/>
      <c r="CK123" s="39"/>
    </row>
    <row r="124" spans="1:89" s="193" customFormat="1">
      <c r="A124" s="195"/>
      <c r="B124" s="21" t="str">
        <f t="shared" si="45"/>
        <v>N/A</v>
      </c>
      <c r="C124" s="21"/>
      <c r="D124" s="432">
        <v>3200655</v>
      </c>
      <c r="E124" s="439" t="s">
        <v>3626</v>
      </c>
      <c r="F124" s="439" t="s">
        <v>3729</v>
      </c>
      <c r="G124" s="273" t="s">
        <v>3333</v>
      </c>
      <c r="H124" s="358"/>
      <c r="I124" s="262" t="s">
        <v>3491</v>
      </c>
      <c r="J124" s="262" t="s">
        <v>3504</v>
      </c>
      <c r="K124" s="263">
        <v>1355000.04</v>
      </c>
      <c r="L124" s="263">
        <v>4210000</v>
      </c>
      <c r="M124" s="263">
        <v>7259000</v>
      </c>
      <c r="N124" s="263">
        <v>1684000</v>
      </c>
      <c r="O124" s="263">
        <v>0</v>
      </c>
      <c r="P124" s="263">
        <v>0</v>
      </c>
      <c r="Q124" s="263">
        <v>0</v>
      </c>
      <c r="R124" s="263">
        <v>0</v>
      </c>
      <c r="S124" s="263">
        <v>0</v>
      </c>
      <c r="T124" s="263">
        <v>0</v>
      </c>
      <c r="U124" s="263">
        <f t="shared" si="77"/>
        <v>14508000.039999999</v>
      </c>
      <c r="V124" s="196" t="str">
        <f t="shared" si="46"/>
        <v>G/LOS</v>
      </c>
      <c r="W124" s="196" t="s">
        <v>1168</v>
      </c>
      <c r="X124" s="196" t="str">
        <f t="shared" si="78"/>
        <v>Y</v>
      </c>
      <c r="Y124" s="197">
        <f t="shared" si="48"/>
        <v>14508000.039999999</v>
      </c>
      <c r="Z124" s="198"/>
      <c r="AA124" s="197">
        <f t="shared" si="49"/>
        <v>14508000.039999999</v>
      </c>
      <c r="AB124" s="196" t="s">
        <v>1168</v>
      </c>
      <c r="AC124" s="196"/>
      <c r="AD124" s="275">
        <v>0.5</v>
      </c>
      <c r="AE124" s="275">
        <v>0.5</v>
      </c>
      <c r="AF124" s="275">
        <v>0</v>
      </c>
      <c r="AG124" s="442"/>
      <c r="AH124" s="442"/>
      <c r="AI124" s="200">
        <f t="shared" si="50"/>
        <v>0</v>
      </c>
      <c r="AJ124" s="203"/>
      <c r="AK124" s="203"/>
      <c r="AL124" s="197">
        <f t="shared" si="51"/>
        <v>14508000.039999999</v>
      </c>
      <c r="AM124" s="197">
        <f t="shared" si="52"/>
        <v>0</v>
      </c>
      <c r="AN124" s="197">
        <f t="shared" si="53"/>
        <v>0</v>
      </c>
      <c r="AO124" s="202"/>
      <c r="AP124" s="161" t="s">
        <v>3900</v>
      </c>
      <c r="AQ124" s="279"/>
      <c r="AR124" s="287">
        <f t="shared" si="54"/>
        <v>0</v>
      </c>
      <c r="AS124" s="287">
        <f t="shared" si="55"/>
        <v>0</v>
      </c>
      <c r="AT124" s="287">
        <f t="shared" si="56"/>
        <v>0</v>
      </c>
      <c r="AU124" s="287">
        <f t="shared" si="57"/>
        <v>0</v>
      </c>
      <c r="AV124" s="287">
        <f t="shared" si="58"/>
        <v>0</v>
      </c>
      <c r="AW124" s="287">
        <f t="shared" si="59"/>
        <v>0</v>
      </c>
      <c r="AX124" s="287">
        <f t="shared" si="60"/>
        <v>0</v>
      </c>
      <c r="AY124" s="287">
        <f t="shared" si="61"/>
        <v>0</v>
      </c>
      <c r="AZ124" s="287">
        <f t="shared" si="62"/>
        <v>0</v>
      </c>
      <c r="BA124" s="287">
        <f t="shared" si="63"/>
        <v>0</v>
      </c>
      <c r="BB124" s="16"/>
      <c r="BC124" s="287">
        <f t="shared" si="64"/>
        <v>0</v>
      </c>
      <c r="BD124" s="287">
        <f t="shared" si="65"/>
        <v>0</v>
      </c>
      <c r="BE124" s="287">
        <f t="shared" si="66"/>
        <v>0</v>
      </c>
      <c r="BF124" s="287">
        <f t="shared" si="67"/>
        <v>0</v>
      </c>
      <c r="BG124" s="287">
        <f t="shared" si="68"/>
        <v>0</v>
      </c>
      <c r="BH124" s="287">
        <f t="shared" si="69"/>
        <v>0</v>
      </c>
      <c r="BI124" s="287">
        <f t="shared" si="70"/>
        <v>0</v>
      </c>
      <c r="BJ124" s="287">
        <f t="shared" si="71"/>
        <v>0</v>
      </c>
      <c r="BK124" s="287">
        <f t="shared" si="72"/>
        <v>0</v>
      </c>
      <c r="BL124" s="287">
        <f t="shared" si="73"/>
        <v>0</v>
      </c>
      <c r="BM124" s="16"/>
      <c r="BN124" s="287">
        <f t="shared" si="74"/>
        <v>0</v>
      </c>
      <c r="BO124" s="287">
        <f t="shared" si="75"/>
        <v>0</v>
      </c>
      <c r="BP124" s="432"/>
      <c r="BQ124" s="21"/>
      <c r="BR124" s="21"/>
      <c r="BS124" s="39"/>
      <c r="BT124" s="39"/>
      <c r="BU124" s="39"/>
      <c r="BV124" s="39"/>
      <c r="BW124" s="39"/>
      <c r="BX124" s="39"/>
      <c r="BY124" s="39"/>
      <c r="BZ124" s="39">
        <v>111</v>
      </c>
      <c r="CA124" s="39" t="str">
        <f t="shared" si="76"/>
        <v/>
      </c>
      <c r="CB124" s="39"/>
      <c r="CC124" s="39"/>
      <c r="CD124" s="39"/>
      <c r="CE124" s="39"/>
      <c r="CF124" s="39"/>
      <c r="CG124" s="39"/>
      <c r="CH124" s="39"/>
      <c r="CI124" s="39"/>
      <c r="CJ124" s="39"/>
      <c r="CK124" s="39"/>
    </row>
    <row r="125" spans="1:89" s="193" customFormat="1">
      <c r="A125" s="195"/>
      <c r="B125" s="21" t="str">
        <f t="shared" si="45"/>
        <v>N/A</v>
      </c>
      <c r="C125" s="21"/>
      <c r="D125" s="432">
        <v>3200658</v>
      </c>
      <c r="E125" s="439" t="s">
        <v>3906</v>
      </c>
      <c r="F125" s="439" t="s">
        <v>3730</v>
      </c>
      <c r="G125" s="273" t="s">
        <v>3202</v>
      </c>
      <c r="H125" s="358"/>
      <c r="I125" s="262" t="s">
        <v>3493</v>
      </c>
      <c r="J125" s="262" t="s">
        <v>3504</v>
      </c>
      <c r="K125" s="263">
        <v>3900000</v>
      </c>
      <c r="L125" s="263">
        <v>13700000</v>
      </c>
      <c r="M125" s="263">
        <v>12458333.33</v>
      </c>
      <c r="N125" s="263">
        <v>9841666.6699999999</v>
      </c>
      <c r="O125" s="263">
        <v>12355555.560000001</v>
      </c>
      <c r="P125" s="263">
        <v>8044444.4400000004</v>
      </c>
      <c r="Q125" s="263">
        <v>0</v>
      </c>
      <c r="R125" s="263">
        <v>0</v>
      </c>
      <c r="S125" s="263">
        <v>0</v>
      </c>
      <c r="T125" s="263">
        <v>0</v>
      </c>
      <c r="U125" s="263">
        <f t="shared" si="77"/>
        <v>60300000</v>
      </c>
      <c r="V125" s="196" t="str">
        <f t="shared" si="46"/>
        <v>G</v>
      </c>
      <c r="W125" s="196" t="s">
        <v>1168</v>
      </c>
      <c r="X125" s="196" t="str">
        <f t="shared" si="78"/>
        <v>Y</v>
      </c>
      <c r="Y125" s="197">
        <f t="shared" si="48"/>
        <v>60300000</v>
      </c>
      <c r="Z125" s="198"/>
      <c r="AA125" s="197">
        <f t="shared" si="49"/>
        <v>60300000</v>
      </c>
      <c r="AB125" s="196" t="s">
        <v>1168</v>
      </c>
      <c r="AC125" s="196"/>
      <c r="AD125" s="275">
        <v>1</v>
      </c>
      <c r="AE125" s="275">
        <v>0</v>
      </c>
      <c r="AF125" s="275">
        <v>0</v>
      </c>
      <c r="AG125" s="199"/>
      <c r="AH125" s="199"/>
      <c r="AI125" s="377">
        <f t="shared" si="50"/>
        <v>0</v>
      </c>
      <c r="AJ125" s="203"/>
      <c r="AK125" s="203"/>
      <c r="AL125" s="197">
        <f t="shared" si="51"/>
        <v>60300000</v>
      </c>
      <c r="AM125" s="197">
        <f t="shared" si="52"/>
        <v>0</v>
      </c>
      <c r="AN125" s="197">
        <f t="shared" si="53"/>
        <v>0</v>
      </c>
      <c r="AO125" s="202"/>
      <c r="AP125" s="161" t="s">
        <v>3900</v>
      </c>
      <c r="AQ125" s="279"/>
      <c r="AR125" s="287">
        <f t="shared" si="54"/>
        <v>0</v>
      </c>
      <c r="AS125" s="287">
        <f t="shared" si="55"/>
        <v>0</v>
      </c>
      <c r="AT125" s="287">
        <f t="shared" si="56"/>
        <v>0</v>
      </c>
      <c r="AU125" s="287">
        <f t="shared" si="57"/>
        <v>0</v>
      </c>
      <c r="AV125" s="287">
        <f t="shared" si="58"/>
        <v>0</v>
      </c>
      <c r="AW125" s="287">
        <f t="shared" si="59"/>
        <v>0</v>
      </c>
      <c r="AX125" s="287">
        <f t="shared" si="60"/>
        <v>0</v>
      </c>
      <c r="AY125" s="287">
        <f t="shared" si="61"/>
        <v>0</v>
      </c>
      <c r="AZ125" s="287">
        <f t="shared" si="62"/>
        <v>0</v>
      </c>
      <c r="BA125" s="287">
        <f t="shared" si="63"/>
        <v>0</v>
      </c>
      <c r="BB125" s="16"/>
      <c r="BC125" s="287">
        <f t="shared" si="64"/>
        <v>0</v>
      </c>
      <c r="BD125" s="287">
        <f t="shared" si="65"/>
        <v>0</v>
      </c>
      <c r="BE125" s="287">
        <f t="shared" si="66"/>
        <v>0</v>
      </c>
      <c r="BF125" s="287">
        <f t="shared" si="67"/>
        <v>0</v>
      </c>
      <c r="BG125" s="287">
        <f t="shared" si="68"/>
        <v>0</v>
      </c>
      <c r="BH125" s="287">
        <f t="shared" si="69"/>
        <v>0</v>
      </c>
      <c r="BI125" s="287">
        <f t="shared" si="70"/>
        <v>0</v>
      </c>
      <c r="BJ125" s="287">
        <f t="shared" si="71"/>
        <v>0</v>
      </c>
      <c r="BK125" s="287">
        <f t="shared" si="72"/>
        <v>0</v>
      </c>
      <c r="BL125" s="287">
        <f t="shared" si="73"/>
        <v>0</v>
      </c>
      <c r="BM125" s="16"/>
      <c r="BN125" s="287">
        <f t="shared" si="74"/>
        <v>0</v>
      </c>
      <c r="BO125" s="287">
        <f t="shared" si="75"/>
        <v>0</v>
      </c>
      <c r="BP125" s="432"/>
      <c r="BQ125" s="21"/>
      <c r="BR125" s="21"/>
      <c r="BS125" s="39"/>
      <c r="BT125" s="39"/>
      <c r="BU125" s="334">
        <v>358200</v>
      </c>
      <c r="BV125" s="334">
        <v>0</v>
      </c>
      <c r="BW125" s="39"/>
      <c r="BX125" s="39"/>
      <c r="BY125" s="39"/>
      <c r="BZ125" s="39">
        <v>112</v>
      </c>
      <c r="CA125" s="39" t="str">
        <f t="shared" si="76"/>
        <v/>
      </c>
      <c r="CB125" s="39"/>
      <c r="CC125" s="39"/>
      <c r="CD125" s="39"/>
      <c r="CE125" s="39"/>
      <c r="CF125" s="39"/>
      <c r="CG125" s="39"/>
      <c r="CH125" s="39"/>
      <c r="CI125" s="39"/>
      <c r="CJ125" s="39"/>
      <c r="CK125" s="39"/>
    </row>
    <row r="126" spans="1:89" s="193" customFormat="1">
      <c r="A126" s="195"/>
      <c r="B126" s="21" t="str">
        <f t="shared" si="45"/>
        <v>N/A</v>
      </c>
      <c r="C126" s="21"/>
      <c r="D126" s="432">
        <v>3200658</v>
      </c>
      <c r="E126" s="439" t="s">
        <v>3906</v>
      </c>
      <c r="F126" s="439" t="s">
        <v>3451</v>
      </c>
      <c r="G126" s="273" t="s">
        <v>3201</v>
      </c>
      <c r="H126" s="358"/>
      <c r="I126" s="262" t="s">
        <v>3493</v>
      </c>
      <c r="J126" s="262" t="s">
        <v>3504</v>
      </c>
      <c r="K126" s="263">
        <v>8000000</v>
      </c>
      <c r="L126" s="263">
        <v>3425000</v>
      </c>
      <c r="M126" s="263">
        <v>6358166.6699999999</v>
      </c>
      <c r="N126" s="263">
        <v>13077166.67</v>
      </c>
      <c r="O126" s="263">
        <v>13077166.67</v>
      </c>
      <c r="P126" s="263">
        <v>5027500</v>
      </c>
      <c r="Q126" s="263">
        <v>4907500</v>
      </c>
      <c r="R126" s="263">
        <v>2407500</v>
      </c>
      <c r="S126" s="263">
        <v>400000</v>
      </c>
      <c r="T126" s="263">
        <v>400000</v>
      </c>
      <c r="U126" s="263">
        <f t="shared" si="77"/>
        <v>57080000.010000005</v>
      </c>
      <c r="V126" s="196" t="str">
        <f t="shared" si="46"/>
        <v>G</v>
      </c>
      <c r="W126" s="196" t="s">
        <v>1168</v>
      </c>
      <c r="X126" s="196" t="str">
        <f t="shared" si="78"/>
        <v>Y</v>
      </c>
      <c r="Y126" s="197">
        <f t="shared" si="48"/>
        <v>57080000.010000005</v>
      </c>
      <c r="Z126" s="198"/>
      <c r="AA126" s="197">
        <f t="shared" si="49"/>
        <v>57080000.010000005</v>
      </c>
      <c r="AB126" s="196" t="s">
        <v>1168</v>
      </c>
      <c r="AC126" s="196"/>
      <c r="AD126" s="275">
        <v>1</v>
      </c>
      <c r="AE126" s="275">
        <v>0</v>
      </c>
      <c r="AF126" s="275">
        <v>0</v>
      </c>
      <c r="AG126" s="199"/>
      <c r="AH126" s="199"/>
      <c r="AI126" s="377">
        <f t="shared" si="50"/>
        <v>0</v>
      </c>
      <c r="AJ126" s="203"/>
      <c r="AK126" s="203"/>
      <c r="AL126" s="197">
        <f t="shared" si="51"/>
        <v>57080000.010000005</v>
      </c>
      <c r="AM126" s="197">
        <f t="shared" si="52"/>
        <v>0</v>
      </c>
      <c r="AN126" s="197">
        <f t="shared" si="53"/>
        <v>0</v>
      </c>
      <c r="AO126" s="202"/>
      <c r="AP126" s="161" t="s">
        <v>3900</v>
      </c>
      <c r="AQ126" s="279"/>
      <c r="AR126" s="287">
        <f t="shared" si="54"/>
        <v>0</v>
      </c>
      <c r="AS126" s="287">
        <f t="shared" si="55"/>
        <v>0</v>
      </c>
      <c r="AT126" s="287">
        <f t="shared" si="56"/>
        <v>0</v>
      </c>
      <c r="AU126" s="287">
        <f t="shared" si="57"/>
        <v>0</v>
      </c>
      <c r="AV126" s="287">
        <f t="shared" si="58"/>
        <v>0</v>
      </c>
      <c r="AW126" s="287">
        <f t="shared" si="59"/>
        <v>0</v>
      </c>
      <c r="AX126" s="287">
        <f t="shared" si="60"/>
        <v>0</v>
      </c>
      <c r="AY126" s="287">
        <f t="shared" si="61"/>
        <v>0</v>
      </c>
      <c r="AZ126" s="287">
        <f t="shared" si="62"/>
        <v>0</v>
      </c>
      <c r="BA126" s="287">
        <f t="shared" si="63"/>
        <v>0</v>
      </c>
      <c r="BB126" s="16"/>
      <c r="BC126" s="287">
        <f t="shared" si="64"/>
        <v>0</v>
      </c>
      <c r="BD126" s="287">
        <f t="shared" si="65"/>
        <v>0</v>
      </c>
      <c r="BE126" s="287">
        <f t="shared" si="66"/>
        <v>0</v>
      </c>
      <c r="BF126" s="287">
        <f t="shared" si="67"/>
        <v>0</v>
      </c>
      <c r="BG126" s="287">
        <f t="shared" si="68"/>
        <v>0</v>
      </c>
      <c r="BH126" s="287">
        <f t="shared" si="69"/>
        <v>0</v>
      </c>
      <c r="BI126" s="287">
        <f t="shared" si="70"/>
        <v>0</v>
      </c>
      <c r="BJ126" s="287">
        <f t="shared" si="71"/>
        <v>0</v>
      </c>
      <c r="BK126" s="287">
        <f t="shared" si="72"/>
        <v>0</v>
      </c>
      <c r="BL126" s="287">
        <f t="shared" si="73"/>
        <v>0</v>
      </c>
      <c r="BM126" s="16"/>
      <c r="BN126" s="287">
        <f t="shared" si="74"/>
        <v>0</v>
      </c>
      <c r="BO126" s="287">
        <f t="shared" si="75"/>
        <v>0</v>
      </c>
      <c r="BP126" s="432"/>
      <c r="BQ126" s="21"/>
      <c r="BR126" s="21"/>
      <c r="BS126" s="39"/>
      <c r="BT126" s="39"/>
      <c r="BU126" s="334">
        <v>4500000</v>
      </c>
      <c r="BV126" s="334">
        <v>0</v>
      </c>
      <c r="BW126" s="39"/>
      <c r="BX126" s="39"/>
      <c r="BY126" s="39"/>
      <c r="BZ126" s="39">
        <v>113</v>
      </c>
      <c r="CA126" s="39" t="str">
        <f t="shared" si="76"/>
        <v/>
      </c>
      <c r="CB126" s="39"/>
      <c r="CC126" s="39"/>
      <c r="CD126" s="39"/>
      <c r="CE126" s="39"/>
      <c r="CF126" s="39"/>
      <c r="CG126" s="39"/>
      <c r="CH126" s="39"/>
      <c r="CI126" s="39"/>
      <c r="CJ126" s="39"/>
      <c r="CK126" s="39"/>
    </row>
    <row r="127" spans="1:89" s="193" customFormat="1">
      <c r="A127" s="195"/>
      <c r="B127" s="21" t="str">
        <f t="shared" si="45"/>
        <v>N/A</v>
      </c>
      <c r="C127" s="21"/>
      <c r="D127" s="432">
        <v>3200658</v>
      </c>
      <c r="E127" s="439" t="s">
        <v>3906</v>
      </c>
      <c r="F127" s="439" t="s">
        <v>3456</v>
      </c>
      <c r="G127" s="273" t="s">
        <v>3206</v>
      </c>
      <c r="H127" s="358"/>
      <c r="I127" s="262" t="s">
        <v>3493</v>
      </c>
      <c r="J127" s="262" t="s">
        <v>3504</v>
      </c>
      <c r="K127" s="263">
        <v>0</v>
      </c>
      <c r="L127" s="263">
        <v>0</v>
      </c>
      <c r="M127" s="263">
        <v>3000000</v>
      </c>
      <c r="N127" s="263">
        <v>12000000</v>
      </c>
      <c r="O127" s="263">
        <v>10000000</v>
      </c>
      <c r="P127" s="263">
        <v>10000000</v>
      </c>
      <c r="Q127" s="263">
        <v>10000000</v>
      </c>
      <c r="R127" s="263">
        <v>15000000</v>
      </c>
      <c r="S127" s="263">
        <v>20000000</v>
      </c>
      <c r="T127" s="263">
        <v>20000000</v>
      </c>
      <c r="U127" s="263">
        <f t="shared" si="77"/>
        <v>100000000</v>
      </c>
      <c r="V127" s="196" t="str">
        <f t="shared" si="46"/>
        <v>G</v>
      </c>
      <c r="W127" s="196" t="s">
        <v>1168</v>
      </c>
      <c r="X127" s="196" t="str">
        <f t="shared" si="78"/>
        <v>Y</v>
      </c>
      <c r="Y127" s="197">
        <f t="shared" si="48"/>
        <v>100000000</v>
      </c>
      <c r="Z127" s="198"/>
      <c r="AA127" s="197">
        <f t="shared" si="49"/>
        <v>100000000</v>
      </c>
      <c r="AB127" s="196" t="s">
        <v>1168</v>
      </c>
      <c r="AC127" s="196"/>
      <c r="AD127" s="275">
        <v>1</v>
      </c>
      <c r="AE127" s="275">
        <v>0</v>
      </c>
      <c r="AF127" s="275">
        <v>0</v>
      </c>
      <c r="AG127" s="199"/>
      <c r="AH127" s="199"/>
      <c r="AI127" s="377">
        <f t="shared" si="50"/>
        <v>0</v>
      </c>
      <c r="AJ127" s="203"/>
      <c r="AK127" s="203"/>
      <c r="AL127" s="197">
        <f t="shared" si="51"/>
        <v>100000000</v>
      </c>
      <c r="AM127" s="197">
        <f t="shared" si="52"/>
        <v>0</v>
      </c>
      <c r="AN127" s="197">
        <f t="shared" si="53"/>
        <v>0</v>
      </c>
      <c r="AO127" s="202"/>
      <c r="AP127" s="161" t="s">
        <v>3900</v>
      </c>
      <c r="AQ127" s="279"/>
      <c r="AR127" s="287">
        <f t="shared" si="54"/>
        <v>0</v>
      </c>
      <c r="AS127" s="287">
        <f t="shared" si="55"/>
        <v>0</v>
      </c>
      <c r="AT127" s="287">
        <f t="shared" si="56"/>
        <v>0</v>
      </c>
      <c r="AU127" s="287">
        <f t="shared" si="57"/>
        <v>0</v>
      </c>
      <c r="AV127" s="287">
        <f t="shared" si="58"/>
        <v>0</v>
      </c>
      <c r="AW127" s="287">
        <f t="shared" si="59"/>
        <v>0</v>
      </c>
      <c r="AX127" s="287">
        <f t="shared" si="60"/>
        <v>0</v>
      </c>
      <c r="AY127" s="287">
        <f t="shared" si="61"/>
        <v>0</v>
      </c>
      <c r="AZ127" s="287">
        <f t="shared" si="62"/>
        <v>0</v>
      </c>
      <c r="BA127" s="287">
        <f t="shared" si="63"/>
        <v>0</v>
      </c>
      <c r="BB127" s="16"/>
      <c r="BC127" s="287">
        <f t="shared" si="64"/>
        <v>0</v>
      </c>
      <c r="BD127" s="287">
        <f t="shared" si="65"/>
        <v>0</v>
      </c>
      <c r="BE127" s="287">
        <f t="shared" si="66"/>
        <v>0</v>
      </c>
      <c r="BF127" s="287">
        <f t="shared" si="67"/>
        <v>0</v>
      </c>
      <c r="BG127" s="287">
        <f t="shared" si="68"/>
        <v>0</v>
      </c>
      <c r="BH127" s="287">
        <f t="shared" si="69"/>
        <v>0</v>
      </c>
      <c r="BI127" s="287">
        <f t="shared" si="70"/>
        <v>0</v>
      </c>
      <c r="BJ127" s="287">
        <f t="shared" si="71"/>
        <v>0</v>
      </c>
      <c r="BK127" s="287">
        <f t="shared" si="72"/>
        <v>0</v>
      </c>
      <c r="BL127" s="287">
        <f t="shared" si="73"/>
        <v>0</v>
      </c>
      <c r="BM127" s="16"/>
      <c r="BN127" s="287">
        <f t="shared" si="74"/>
        <v>0</v>
      </c>
      <c r="BO127" s="287">
        <f t="shared" si="75"/>
        <v>0</v>
      </c>
      <c r="BP127" s="432"/>
      <c r="BQ127" s="21"/>
      <c r="BR127" s="21"/>
      <c r="BS127" s="39"/>
      <c r="BT127" s="39"/>
      <c r="BU127" s="334">
        <v>7629370.6680000005</v>
      </c>
      <c r="BV127" s="334">
        <v>3757749.7319999998</v>
      </c>
      <c r="BW127" s="39"/>
      <c r="BX127" s="39"/>
      <c r="BY127" s="39"/>
      <c r="BZ127" s="39">
        <v>114</v>
      </c>
      <c r="CA127" s="39" t="str">
        <f t="shared" si="76"/>
        <v/>
      </c>
      <c r="CB127" s="39"/>
      <c r="CC127" s="39"/>
      <c r="CD127" s="39"/>
      <c r="CE127" s="39"/>
      <c r="CF127" s="39"/>
      <c r="CG127" s="39"/>
      <c r="CH127" s="39"/>
      <c r="CI127" s="39"/>
      <c r="CJ127" s="39"/>
      <c r="CK127" s="39"/>
    </row>
    <row r="128" spans="1:89" s="193" customFormat="1">
      <c r="A128" s="195"/>
      <c r="B128" s="21" t="str">
        <f t="shared" si="45"/>
        <v>N/A</v>
      </c>
      <c r="C128" s="21"/>
      <c r="D128" s="432">
        <v>3200658</v>
      </c>
      <c r="E128" s="439" t="s">
        <v>3906</v>
      </c>
      <c r="F128" s="439" t="s">
        <v>3455</v>
      </c>
      <c r="G128" s="273" t="s">
        <v>3205</v>
      </c>
      <c r="H128" s="358"/>
      <c r="I128" s="262" t="s">
        <v>3493</v>
      </c>
      <c r="J128" s="262" t="s">
        <v>3504</v>
      </c>
      <c r="K128" s="263">
        <v>300000</v>
      </c>
      <c r="L128" s="263">
        <v>500000</v>
      </c>
      <c r="M128" s="263">
        <v>3850000</v>
      </c>
      <c r="N128" s="263">
        <v>3850000</v>
      </c>
      <c r="O128" s="263">
        <v>0</v>
      </c>
      <c r="P128" s="263">
        <v>0</v>
      </c>
      <c r="Q128" s="263">
        <v>0</v>
      </c>
      <c r="R128" s="263">
        <v>0</v>
      </c>
      <c r="S128" s="263">
        <v>0</v>
      </c>
      <c r="T128" s="263">
        <v>0</v>
      </c>
      <c r="U128" s="263">
        <f t="shared" si="77"/>
        <v>8500000</v>
      </c>
      <c r="V128" s="196" t="str">
        <f t="shared" si="46"/>
        <v>G</v>
      </c>
      <c r="W128" s="196" t="s">
        <v>1168</v>
      </c>
      <c r="X128" s="196" t="str">
        <f t="shared" si="78"/>
        <v>Y</v>
      </c>
      <c r="Y128" s="197">
        <f t="shared" si="48"/>
        <v>8500000</v>
      </c>
      <c r="Z128" s="198"/>
      <c r="AA128" s="197">
        <f t="shared" si="49"/>
        <v>8500000</v>
      </c>
      <c r="AB128" s="196" t="s">
        <v>1168</v>
      </c>
      <c r="AC128" s="196"/>
      <c r="AD128" s="275">
        <v>1</v>
      </c>
      <c r="AE128" s="275">
        <v>0</v>
      </c>
      <c r="AF128" s="275">
        <v>0</v>
      </c>
      <c r="AG128" s="199"/>
      <c r="AH128" s="199"/>
      <c r="AI128" s="377">
        <f t="shared" si="50"/>
        <v>0</v>
      </c>
      <c r="AJ128" s="203"/>
      <c r="AK128" s="203"/>
      <c r="AL128" s="197">
        <f t="shared" si="51"/>
        <v>8500000</v>
      </c>
      <c r="AM128" s="197">
        <f t="shared" si="52"/>
        <v>0</v>
      </c>
      <c r="AN128" s="197">
        <f t="shared" si="53"/>
        <v>0</v>
      </c>
      <c r="AO128" s="202"/>
      <c r="AP128" s="161" t="s">
        <v>3900</v>
      </c>
      <c r="AQ128" s="279"/>
      <c r="AR128" s="287">
        <f t="shared" si="54"/>
        <v>0</v>
      </c>
      <c r="AS128" s="287">
        <f t="shared" si="55"/>
        <v>0</v>
      </c>
      <c r="AT128" s="287">
        <f t="shared" si="56"/>
        <v>0</v>
      </c>
      <c r="AU128" s="287">
        <f t="shared" si="57"/>
        <v>0</v>
      </c>
      <c r="AV128" s="287">
        <f t="shared" si="58"/>
        <v>0</v>
      </c>
      <c r="AW128" s="287">
        <f t="shared" si="59"/>
        <v>0</v>
      </c>
      <c r="AX128" s="287">
        <f t="shared" si="60"/>
        <v>0</v>
      </c>
      <c r="AY128" s="287">
        <f t="shared" si="61"/>
        <v>0</v>
      </c>
      <c r="AZ128" s="287">
        <f t="shared" si="62"/>
        <v>0</v>
      </c>
      <c r="BA128" s="287">
        <f t="shared" si="63"/>
        <v>0</v>
      </c>
      <c r="BB128" s="16"/>
      <c r="BC128" s="287">
        <f t="shared" si="64"/>
        <v>0</v>
      </c>
      <c r="BD128" s="287">
        <f t="shared" si="65"/>
        <v>0</v>
      </c>
      <c r="BE128" s="287">
        <f t="shared" si="66"/>
        <v>0</v>
      </c>
      <c r="BF128" s="287">
        <f t="shared" si="67"/>
        <v>0</v>
      </c>
      <c r="BG128" s="287">
        <f t="shared" si="68"/>
        <v>0</v>
      </c>
      <c r="BH128" s="287">
        <f t="shared" si="69"/>
        <v>0</v>
      </c>
      <c r="BI128" s="287">
        <f t="shared" si="70"/>
        <v>0</v>
      </c>
      <c r="BJ128" s="287">
        <f t="shared" si="71"/>
        <v>0</v>
      </c>
      <c r="BK128" s="287">
        <f t="shared" si="72"/>
        <v>0</v>
      </c>
      <c r="BL128" s="287">
        <f t="shared" si="73"/>
        <v>0</v>
      </c>
      <c r="BM128" s="16"/>
      <c r="BN128" s="287">
        <f t="shared" si="74"/>
        <v>0</v>
      </c>
      <c r="BO128" s="287">
        <f t="shared" si="75"/>
        <v>0</v>
      </c>
      <c r="BP128" s="432"/>
      <c r="BQ128" s="21"/>
      <c r="BR128" s="21"/>
      <c r="BS128" s="39"/>
      <c r="BT128" s="39"/>
      <c r="BU128" s="334">
        <v>111000</v>
      </c>
      <c r="BV128" s="334">
        <v>0</v>
      </c>
      <c r="BW128" s="39"/>
      <c r="BX128" s="39"/>
      <c r="BY128" s="39"/>
      <c r="BZ128" s="39">
        <v>115</v>
      </c>
      <c r="CA128" s="39" t="str">
        <f t="shared" si="76"/>
        <v/>
      </c>
      <c r="CB128" s="39"/>
      <c r="CC128" s="39"/>
      <c r="CD128" s="39"/>
      <c r="CE128" s="39"/>
      <c r="CF128" s="39"/>
      <c r="CG128" s="39"/>
      <c r="CH128" s="39"/>
      <c r="CI128" s="39"/>
      <c r="CJ128" s="39"/>
      <c r="CK128" s="39"/>
    </row>
    <row r="129" spans="1:89" s="193" customFormat="1">
      <c r="A129" s="195"/>
      <c r="B129" s="21" t="str">
        <f t="shared" si="45"/>
        <v>N/A</v>
      </c>
      <c r="C129" s="21"/>
      <c r="D129" s="432">
        <v>3200658</v>
      </c>
      <c r="E129" s="439" t="s">
        <v>3906</v>
      </c>
      <c r="F129" s="439" t="s">
        <v>3453</v>
      </c>
      <c r="G129" s="273" t="s">
        <v>3203</v>
      </c>
      <c r="H129" s="358"/>
      <c r="I129" s="262" t="s">
        <v>3493</v>
      </c>
      <c r="J129" s="262" t="s">
        <v>3504</v>
      </c>
      <c r="K129" s="263">
        <v>2700000</v>
      </c>
      <c r="L129" s="263">
        <v>4300000</v>
      </c>
      <c r="M129" s="263">
        <v>1400000</v>
      </c>
      <c r="N129" s="263">
        <v>7000000</v>
      </c>
      <c r="O129" s="263">
        <v>0</v>
      </c>
      <c r="P129" s="263">
        <v>0</v>
      </c>
      <c r="Q129" s="263">
        <v>0</v>
      </c>
      <c r="R129" s="263">
        <v>0</v>
      </c>
      <c r="S129" s="263">
        <v>0</v>
      </c>
      <c r="T129" s="263">
        <v>0</v>
      </c>
      <c r="U129" s="263">
        <f t="shared" si="77"/>
        <v>15400000</v>
      </c>
      <c r="V129" s="196" t="str">
        <f t="shared" si="46"/>
        <v>G</v>
      </c>
      <c r="W129" s="196" t="s">
        <v>1168</v>
      </c>
      <c r="X129" s="196" t="str">
        <f t="shared" si="78"/>
        <v>Y</v>
      </c>
      <c r="Y129" s="197">
        <f t="shared" si="48"/>
        <v>15400000</v>
      </c>
      <c r="Z129" s="198"/>
      <c r="AA129" s="197">
        <f t="shared" si="49"/>
        <v>15400000</v>
      </c>
      <c r="AB129" s="196" t="s">
        <v>1168</v>
      </c>
      <c r="AC129" s="196"/>
      <c r="AD129" s="275">
        <v>1</v>
      </c>
      <c r="AE129" s="275">
        <v>0</v>
      </c>
      <c r="AF129" s="275">
        <v>0</v>
      </c>
      <c r="AG129" s="199"/>
      <c r="AH129" s="199"/>
      <c r="AI129" s="377">
        <f t="shared" si="50"/>
        <v>0</v>
      </c>
      <c r="AJ129" s="203"/>
      <c r="AK129" s="203"/>
      <c r="AL129" s="197">
        <f t="shared" si="51"/>
        <v>15400000</v>
      </c>
      <c r="AM129" s="197">
        <f t="shared" si="52"/>
        <v>0</v>
      </c>
      <c r="AN129" s="197">
        <f t="shared" si="53"/>
        <v>0</v>
      </c>
      <c r="AO129" s="202"/>
      <c r="AP129" s="161" t="s">
        <v>3900</v>
      </c>
      <c r="AQ129" s="279"/>
      <c r="AR129" s="287">
        <f t="shared" si="54"/>
        <v>0</v>
      </c>
      <c r="AS129" s="287">
        <f t="shared" si="55"/>
        <v>0</v>
      </c>
      <c r="AT129" s="287">
        <f t="shared" si="56"/>
        <v>0</v>
      </c>
      <c r="AU129" s="287">
        <f t="shared" si="57"/>
        <v>0</v>
      </c>
      <c r="AV129" s="287">
        <f t="shared" si="58"/>
        <v>0</v>
      </c>
      <c r="AW129" s="287">
        <f t="shared" si="59"/>
        <v>0</v>
      </c>
      <c r="AX129" s="287">
        <f t="shared" si="60"/>
        <v>0</v>
      </c>
      <c r="AY129" s="287">
        <f t="shared" si="61"/>
        <v>0</v>
      </c>
      <c r="AZ129" s="287">
        <f t="shared" si="62"/>
        <v>0</v>
      </c>
      <c r="BA129" s="287">
        <f t="shared" si="63"/>
        <v>0</v>
      </c>
      <c r="BB129" s="16"/>
      <c r="BC129" s="287">
        <f t="shared" si="64"/>
        <v>0</v>
      </c>
      <c r="BD129" s="287">
        <f t="shared" si="65"/>
        <v>0</v>
      </c>
      <c r="BE129" s="287">
        <f t="shared" si="66"/>
        <v>0</v>
      </c>
      <c r="BF129" s="287">
        <f t="shared" si="67"/>
        <v>0</v>
      </c>
      <c r="BG129" s="287">
        <f t="shared" si="68"/>
        <v>0</v>
      </c>
      <c r="BH129" s="287">
        <f t="shared" si="69"/>
        <v>0</v>
      </c>
      <c r="BI129" s="287">
        <f t="shared" si="70"/>
        <v>0</v>
      </c>
      <c r="BJ129" s="287">
        <f t="shared" si="71"/>
        <v>0</v>
      </c>
      <c r="BK129" s="287">
        <f t="shared" si="72"/>
        <v>0</v>
      </c>
      <c r="BL129" s="287">
        <f t="shared" si="73"/>
        <v>0</v>
      </c>
      <c r="BM129" s="16"/>
      <c r="BN129" s="287">
        <f t="shared" si="74"/>
        <v>0</v>
      </c>
      <c r="BO129" s="287">
        <f t="shared" si="75"/>
        <v>0</v>
      </c>
      <c r="BP129" s="432"/>
      <c r="BQ129" s="21"/>
      <c r="BR129" s="21"/>
      <c r="BS129" s="39"/>
      <c r="BT129" s="39"/>
      <c r="BU129" s="334">
        <v>158700</v>
      </c>
      <c r="BV129" s="334">
        <v>0</v>
      </c>
      <c r="BW129" s="39"/>
      <c r="BX129" s="39"/>
      <c r="BY129" s="39"/>
      <c r="BZ129" s="39">
        <v>116</v>
      </c>
      <c r="CA129" s="39" t="str">
        <f t="shared" si="76"/>
        <v/>
      </c>
      <c r="CB129" s="39"/>
      <c r="CC129" s="39"/>
      <c r="CD129" s="39"/>
      <c r="CE129" s="39"/>
      <c r="CF129" s="39"/>
      <c r="CG129" s="39"/>
      <c r="CH129" s="39"/>
      <c r="CI129" s="39"/>
      <c r="CJ129" s="39"/>
      <c r="CK129" s="39"/>
    </row>
    <row r="130" spans="1:89" s="193" customFormat="1">
      <c r="A130" s="195"/>
      <c r="B130" s="21" t="str">
        <f t="shared" si="45"/>
        <v>N/A</v>
      </c>
      <c r="C130" s="21"/>
      <c r="D130" s="432">
        <v>3200658</v>
      </c>
      <c r="E130" s="439" t="s">
        <v>3906</v>
      </c>
      <c r="F130" s="439" t="s">
        <v>3454</v>
      </c>
      <c r="G130" s="273" t="s">
        <v>3204</v>
      </c>
      <c r="H130" s="358"/>
      <c r="I130" s="262" t="s">
        <v>3493</v>
      </c>
      <c r="J130" s="262" t="s">
        <v>3504</v>
      </c>
      <c r="K130" s="263">
        <v>800000</v>
      </c>
      <c r="L130" s="263">
        <v>3000000</v>
      </c>
      <c r="M130" s="263">
        <v>800000</v>
      </c>
      <c r="N130" s="263">
        <v>5000000</v>
      </c>
      <c r="O130" s="263">
        <v>6000000</v>
      </c>
      <c r="P130" s="263">
        <v>4000000</v>
      </c>
      <c r="Q130" s="263">
        <v>0</v>
      </c>
      <c r="R130" s="263">
        <v>0</v>
      </c>
      <c r="S130" s="263">
        <v>0</v>
      </c>
      <c r="T130" s="263">
        <v>0</v>
      </c>
      <c r="U130" s="263">
        <f t="shared" si="77"/>
        <v>19600000</v>
      </c>
      <c r="V130" s="196" t="str">
        <f t="shared" si="46"/>
        <v>G</v>
      </c>
      <c r="W130" s="196" t="s">
        <v>1168</v>
      </c>
      <c r="X130" s="196" t="str">
        <f t="shared" si="78"/>
        <v>Y</v>
      </c>
      <c r="Y130" s="197">
        <f t="shared" si="48"/>
        <v>19600000</v>
      </c>
      <c r="Z130" s="198"/>
      <c r="AA130" s="197">
        <f t="shared" si="49"/>
        <v>19600000</v>
      </c>
      <c r="AB130" s="196" t="s">
        <v>1168</v>
      </c>
      <c r="AC130" s="196"/>
      <c r="AD130" s="275">
        <v>1</v>
      </c>
      <c r="AE130" s="275">
        <v>0</v>
      </c>
      <c r="AF130" s="275">
        <v>0</v>
      </c>
      <c r="AG130" s="199"/>
      <c r="AH130" s="199"/>
      <c r="AI130" s="377">
        <f t="shared" si="50"/>
        <v>0</v>
      </c>
      <c r="AJ130" s="203"/>
      <c r="AK130" s="203"/>
      <c r="AL130" s="197">
        <f t="shared" si="51"/>
        <v>19600000</v>
      </c>
      <c r="AM130" s="197">
        <f t="shared" si="52"/>
        <v>0</v>
      </c>
      <c r="AN130" s="197">
        <f t="shared" si="53"/>
        <v>0</v>
      </c>
      <c r="AO130" s="202"/>
      <c r="AP130" s="161" t="s">
        <v>3900</v>
      </c>
      <c r="AQ130" s="279"/>
      <c r="AR130" s="287">
        <f t="shared" si="54"/>
        <v>0</v>
      </c>
      <c r="AS130" s="287">
        <f t="shared" si="55"/>
        <v>0</v>
      </c>
      <c r="AT130" s="287">
        <f t="shared" si="56"/>
        <v>0</v>
      </c>
      <c r="AU130" s="287">
        <f t="shared" si="57"/>
        <v>0</v>
      </c>
      <c r="AV130" s="287">
        <f t="shared" si="58"/>
        <v>0</v>
      </c>
      <c r="AW130" s="287">
        <f t="shared" si="59"/>
        <v>0</v>
      </c>
      <c r="AX130" s="287">
        <f t="shared" si="60"/>
        <v>0</v>
      </c>
      <c r="AY130" s="287">
        <f t="shared" si="61"/>
        <v>0</v>
      </c>
      <c r="AZ130" s="287">
        <f t="shared" si="62"/>
        <v>0</v>
      </c>
      <c r="BA130" s="287">
        <f t="shared" si="63"/>
        <v>0</v>
      </c>
      <c r="BB130" s="16"/>
      <c r="BC130" s="287">
        <f t="shared" si="64"/>
        <v>0</v>
      </c>
      <c r="BD130" s="287">
        <f t="shared" si="65"/>
        <v>0</v>
      </c>
      <c r="BE130" s="287">
        <f t="shared" si="66"/>
        <v>0</v>
      </c>
      <c r="BF130" s="287">
        <f t="shared" si="67"/>
        <v>0</v>
      </c>
      <c r="BG130" s="287">
        <f t="shared" si="68"/>
        <v>0</v>
      </c>
      <c r="BH130" s="287">
        <f t="shared" si="69"/>
        <v>0</v>
      </c>
      <c r="BI130" s="287">
        <f t="shared" si="70"/>
        <v>0</v>
      </c>
      <c r="BJ130" s="287">
        <f t="shared" si="71"/>
        <v>0</v>
      </c>
      <c r="BK130" s="287">
        <f t="shared" si="72"/>
        <v>0</v>
      </c>
      <c r="BL130" s="287">
        <f t="shared" si="73"/>
        <v>0</v>
      </c>
      <c r="BM130" s="16"/>
      <c r="BN130" s="287">
        <f t="shared" si="74"/>
        <v>0</v>
      </c>
      <c r="BO130" s="287">
        <f t="shared" si="75"/>
        <v>0</v>
      </c>
      <c r="BP130" s="432"/>
      <c r="BQ130" s="21"/>
      <c r="BR130" s="21"/>
      <c r="BS130" s="39"/>
      <c r="BT130" s="39"/>
      <c r="BU130" s="334">
        <v>2000</v>
      </c>
      <c r="BV130" s="334">
        <v>0</v>
      </c>
      <c r="BW130" s="39"/>
      <c r="BX130" s="39"/>
      <c r="BY130" s="39"/>
      <c r="BZ130" s="39">
        <v>117</v>
      </c>
      <c r="CA130" s="39" t="str">
        <f t="shared" si="76"/>
        <v/>
      </c>
      <c r="CB130" s="39"/>
      <c r="CC130" s="39"/>
      <c r="CD130" s="39"/>
      <c r="CE130" s="39"/>
      <c r="CF130" s="39"/>
      <c r="CG130" s="39"/>
      <c r="CH130" s="39"/>
      <c r="CI130" s="39"/>
      <c r="CJ130" s="39"/>
      <c r="CK130" s="39"/>
    </row>
    <row r="131" spans="1:89" s="193" customFormat="1">
      <c r="A131" s="195"/>
      <c r="B131" s="21" t="str">
        <f t="shared" si="45"/>
        <v>N/A</v>
      </c>
      <c r="C131" s="21"/>
      <c r="D131" s="432">
        <v>3200658</v>
      </c>
      <c r="E131" s="439" t="s">
        <v>3906</v>
      </c>
      <c r="F131" s="439" t="s">
        <v>3450</v>
      </c>
      <c r="G131" s="273" t="s">
        <v>3200</v>
      </c>
      <c r="H131" s="358"/>
      <c r="I131" s="262" t="s">
        <v>3493</v>
      </c>
      <c r="J131" s="262" t="s">
        <v>3504</v>
      </c>
      <c r="K131" s="263">
        <v>16849640</v>
      </c>
      <c r="L131" s="263">
        <v>8424820</v>
      </c>
      <c r="M131" s="263">
        <v>0</v>
      </c>
      <c r="N131" s="263">
        <v>5209000</v>
      </c>
      <c r="O131" s="263">
        <v>0</v>
      </c>
      <c r="P131" s="263">
        <v>0</v>
      </c>
      <c r="Q131" s="263">
        <v>0</v>
      </c>
      <c r="R131" s="263">
        <v>0</v>
      </c>
      <c r="S131" s="263">
        <v>0</v>
      </c>
      <c r="T131" s="263">
        <v>0</v>
      </c>
      <c r="U131" s="263">
        <f t="shared" si="77"/>
        <v>30483460</v>
      </c>
      <c r="V131" s="196" t="str">
        <f t="shared" si="46"/>
        <v>G</v>
      </c>
      <c r="W131" s="196" t="s">
        <v>1168</v>
      </c>
      <c r="X131" s="196" t="str">
        <f t="shared" si="78"/>
        <v>Y</v>
      </c>
      <c r="Y131" s="197">
        <f t="shared" si="48"/>
        <v>30483460</v>
      </c>
      <c r="Z131" s="198"/>
      <c r="AA131" s="197">
        <f t="shared" si="49"/>
        <v>30483460</v>
      </c>
      <c r="AB131" s="196" t="s">
        <v>1168</v>
      </c>
      <c r="AC131" s="196"/>
      <c r="AD131" s="275">
        <v>1</v>
      </c>
      <c r="AE131" s="275">
        <v>0</v>
      </c>
      <c r="AF131" s="275">
        <v>0</v>
      </c>
      <c r="AG131" s="199"/>
      <c r="AH131" s="199"/>
      <c r="AI131" s="377">
        <f t="shared" si="50"/>
        <v>0</v>
      </c>
      <c r="AJ131" s="203"/>
      <c r="AK131" s="203"/>
      <c r="AL131" s="197">
        <f t="shared" si="51"/>
        <v>30483460</v>
      </c>
      <c r="AM131" s="197">
        <f t="shared" si="52"/>
        <v>0</v>
      </c>
      <c r="AN131" s="197">
        <f t="shared" si="53"/>
        <v>0</v>
      </c>
      <c r="AO131" s="202"/>
      <c r="AP131" s="161" t="s">
        <v>3900</v>
      </c>
      <c r="AQ131" s="279"/>
      <c r="AR131" s="287">
        <f t="shared" si="54"/>
        <v>0</v>
      </c>
      <c r="AS131" s="287">
        <f t="shared" si="55"/>
        <v>0</v>
      </c>
      <c r="AT131" s="287">
        <f t="shared" si="56"/>
        <v>0</v>
      </c>
      <c r="AU131" s="287">
        <f t="shared" si="57"/>
        <v>0</v>
      </c>
      <c r="AV131" s="287">
        <f t="shared" si="58"/>
        <v>0</v>
      </c>
      <c r="AW131" s="287">
        <f t="shared" si="59"/>
        <v>0</v>
      </c>
      <c r="AX131" s="287">
        <f t="shared" si="60"/>
        <v>0</v>
      </c>
      <c r="AY131" s="287">
        <f t="shared" si="61"/>
        <v>0</v>
      </c>
      <c r="AZ131" s="287">
        <f t="shared" si="62"/>
        <v>0</v>
      </c>
      <c r="BA131" s="287">
        <f t="shared" si="63"/>
        <v>0</v>
      </c>
      <c r="BB131" s="16"/>
      <c r="BC131" s="287">
        <f t="shared" si="64"/>
        <v>0</v>
      </c>
      <c r="BD131" s="287">
        <f t="shared" si="65"/>
        <v>0</v>
      </c>
      <c r="BE131" s="287">
        <f t="shared" si="66"/>
        <v>0</v>
      </c>
      <c r="BF131" s="287">
        <f t="shared" si="67"/>
        <v>0</v>
      </c>
      <c r="BG131" s="287">
        <f t="shared" si="68"/>
        <v>0</v>
      </c>
      <c r="BH131" s="287">
        <f t="shared" si="69"/>
        <v>0</v>
      </c>
      <c r="BI131" s="287">
        <f t="shared" si="70"/>
        <v>0</v>
      </c>
      <c r="BJ131" s="287">
        <f t="shared" si="71"/>
        <v>0</v>
      </c>
      <c r="BK131" s="287">
        <f t="shared" si="72"/>
        <v>0</v>
      </c>
      <c r="BL131" s="287">
        <f t="shared" si="73"/>
        <v>0</v>
      </c>
      <c r="BM131" s="16"/>
      <c r="BN131" s="287">
        <f t="shared" si="74"/>
        <v>0</v>
      </c>
      <c r="BO131" s="287">
        <f t="shared" si="75"/>
        <v>0</v>
      </c>
      <c r="BP131" s="432"/>
      <c r="BQ131" s="21"/>
      <c r="BR131" s="21"/>
      <c r="BS131" s="39"/>
      <c r="BT131" s="39"/>
      <c r="BU131" s="334">
        <v>3000</v>
      </c>
      <c r="BV131" s="334">
        <v>0</v>
      </c>
      <c r="BW131" s="39"/>
      <c r="BX131" s="39"/>
      <c r="BY131" s="39"/>
      <c r="BZ131" s="39">
        <v>118</v>
      </c>
      <c r="CA131" s="39" t="str">
        <f t="shared" si="76"/>
        <v/>
      </c>
      <c r="CB131" s="39"/>
      <c r="CC131" s="39"/>
      <c r="CD131" s="39"/>
      <c r="CE131" s="39"/>
      <c r="CF131" s="39"/>
      <c r="CG131" s="39"/>
      <c r="CH131" s="39"/>
      <c r="CI131" s="39"/>
      <c r="CJ131" s="39"/>
      <c r="CK131" s="39"/>
    </row>
    <row r="132" spans="1:89" s="193" customFormat="1">
      <c r="A132" s="195"/>
      <c r="B132" s="21" t="str">
        <f t="shared" si="45"/>
        <v>N/A</v>
      </c>
      <c r="C132" s="21"/>
      <c r="D132" s="432">
        <v>3200659</v>
      </c>
      <c r="E132" s="439" t="s">
        <v>3626</v>
      </c>
      <c r="F132" s="439" t="s">
        <v>3731</v>
      </c>
      <c r="G132" s="273" t="s">
        <v>3427</v>
      </c>
      <c r="H132" s="358"/>
      <c r="I132" s="262" t="s">
        <v>3491</v>
      </c>
      <c r="J132" s="262" t="s">
        <v>3504</v>
      </c>
      <c r="K132" s="263">
        <v>0</v>
      </c>
      <c r="L132" s="263">
        <v>0</v>
      </c>
      <c r="M132" s="263">
        <v>0</v>
      </c>
      <c r="N132" s="263">
        <v>0</v>
      </c>
      <c r="O132" s="263">
        <v>700000</v>
      </c>
      <c r="P132" s="263">
        <v>4500000</v>
      </c>
      <c r="Q132" s="263">
        <v>8979030</v>
      </c>
      <c r="R132" s="263">
        <v>0</v>
      </c>
      <c r="S132" s="263">
        <v>0</v>
      </c>
      <c r="T132" s="263">
        <v>0</v>
      </c>
      <c r="U132" s="263">
        <f t="shared" si="77"/>
        <v>14179030</v>
      </c>
      <c r="V132" s="196" t="str">
        <f t="shared" si="46"/>
        <v>G/LOS</v>
      </c>
      <c r="W132" s="196" t="s">
        <v>1168</v>
      </c>
      <c r="X132" s="196" t="str">
        <f t="shared" si="78"/>
        <v>Y</v>
      </c>
      <c r="Y132" s="197">
        <f t="shared" si="48"/>
        <v>14179030</v>
      </c>
      <c r="Z132" s="198"/>
      <c r="AA132" s="197">
        <f t="shared" si="49"/>
        <v>14179030</v>
      </c>
      <c r="AB132" s="196" t="s">
        <v>1168</v>
      </c>
      <c r="AC132" s="196"/>
      <c r="AD132" s="275">
        <v>0.5</v>
      </c>
      <c r="AE132" s="275">
        <v>0.5</v>
      </c>
      <c r="AF132" s="275">
        <v>0</v>
      </c>
      <c r="AG132" s="442"/>
      <c r="AH132" s="442"/>
      <c r="AI132" s="200">
        <f t="shared" si="50"/>
        <v>0</v>
      </c>
      <c r="AJ132" s="203"/>
      <c r="AK132" s="203"/>
      <c r="AL132" s="197">
        <f t="shared" si="51"/>
        <v>14179030</v>
      </c>
      <c r="AM132" s="197">
        <f t="shared" si="52"/>
        <v>0</v>
      </c>
      <c r="AN132" s="197">
        <f t="shared" si="53"/>
        <v>0</v>
      </c>
      <c r="AO132" s="202"/>
      <c r="AP132" s="161" t="s">
        <v>3900</v>
      </c>
      <c r="AQ132" s="279"/>
      <c r="AR132" s="287">
        <f t="shared" si="54"/>
        <v>0</v>
      </c>
      <c r="AS132" s="287">
        <f t="shared" si="55"/>
        <v>0</v>
      </c>
      <c r="AT132" s="287">
        <f t="shared" si="56"/>
        <v>0</v>
      </c>
      <c r="AU132" s="287">
        <f t="shared" si="57"/>
        <v>0</v>
      </c>
      <c r="AV132" s="287">
        <f t="shared" si="58"/>
        <v>0</v>
      </c>
      <c r="AW132" s="287">
        <f t="shared" si="59"/>
        <v>0</v>
      </c>
      <c r="AX132" s="287">
        <f t="shared" si="60"/>
        <v>0</v>
      </c>
      <c r="AY132" s="287">
        <f t="shared" si="61"/>
        <v>0</v>
      </c>
      <c r="AZ132" s="287">
        <f t="shared" si="62"/>
        <v>0</v>
      </c>
      <c r="BA132" s="287">
        <f t="shared" si="63"/>
        <v>0</v>
      </c>
      <c r="BB132" s="16"/>
      <c r="BC132" s="287">
        <f t="shared" si="64"/>
        <v>0</v>
      </c>
      <c r="BD132" s="287">
        <f t="shared" si="65"/>
        <v>0</v>
      </c>
      <c r="BE132" s="287">
        <f t="shared" si="66"/>
        <v>0</v>
      </c>
      <c r="BF132" s="287">
        <f t="shared" si="67"/>
        <v>0</v>
      </c>
      <c r="BG132" s="287">
        <f t="shared" si="68"/>
        <v>0</v>
      </c>
      <c r="BH132" s="287">
        <f t="shared" si="69"/>
        <v>0</v>
      </c>
      <c r="BI132" s="287">
        <f t="shared" si="70"/>
        <v>0</v>
      </c>
      <c r="BJ132" s="287">
        <f t="shared" si="71"/>
        <v>0</v>
      </c>
      <c r="BK132" s="287">
        <f t="shared" si="72"/>
        <v>0</v>
      </c>
      <c r="BL132" s="287">
        <f t="shared" si="73"/>
        <v>0</v>
      </c>
      <c r="BM132" s="16"/>
      <c r="BN132" s="287">
        <f t="shared" si="74"/>
        <v>0</v>
      </c>
      <c r="BO132" s="287">
        <f t="shared" si="75"/>
        <v>0</v>
      </c>
      <c r="BP132" s="432"/>
      <c r="BQ132" s="21"/>
      <c r="BR132" s="21"/>
      <c r="BS132" s="39"/>
      <c r="BT132" s="39"/>
      <c r="BU132" s="39"/>
      <c r="BV132" s="39"/>
      <c r="BW132" s="39"/>
      <c r="BX132" s="39"/>
      <c r="BY132" s="39"/>
      <c r="BZ132" s="39">
        <v>119</v>
      </c>
      <c r="CA132" s="39" t="str">
        <f t="shared" si="76"/>
        <v/>
      </c>
      <c r="CB132" s="39"/>
      <c r="CC132" s="39"/>
      <c r="CD132" s="39"/>
      <c r="CE132" s="39"/>
      <c r="CF132" s="39"/>
      <c r="CG132" s="39"/>
      <c r="CH132" s="39"/>
      <c r="CI132" s="39"/>
      <c r="CJ132" s="39"/>
      <c r="CK132" s="39"/>
    </row>
    <row r="133" spans="1:89" s="193" customFormat="1">
      <c r="A133" s="195"/>
      <c r="B133" s="21" t="str">
        <f t="shared" si="45"/>
        <v>N/A</v>
      </c>
      <c r="C133" s="21"/>
      <c r="D133" s="432">
        <v>3200661</v>
      </c>
      <c r="E133" s="439" t="s">
        <v>3626</v>
      </c>
      <c r="F133" s="439" t="s">
        <v>3732</v>
      </c>
      <c r="G133" s="273" t="s">
        <v>3327</v>
      </c>
      <c r="H133" s="358"/>
      <c r="I133" s="262" t="s">
        <v>3491</v>
      </c>
      <c r="J133" s="262" t="s">
        <v>3504</v>
      </c>
      <c r="K133" s="263">
        <v>1674000</v>
      </c>
      <c r="L133" s="263">
        <v>3660000</v>
      </c>
      <c r="M133" s="263">
        <v>1030000</v>
      </c>
      <c r="N133" s="263">
        <v>6050000</v>
      </c>
      <c r="O133" s="263">
        <v>3000000</v>
      </c>
      <c r="P133" s="263">
        <v>0</v>
      </c>
      <c r="Q133" s="263">
        <v>0</v>
      </c>
      <c r="R133" s="263">
        <v>0</v>
      </c>
      <c r="S133" s="263">
        <v>0</v>
      </c>
      <c r="T133" s="263">
        <v>0</v>
      </c>
      <c r="U133" s="263">
        <f t="shared" si="77"/>
        <v>15414000</v>
      </c>
      <c r="V133" s="196" t="str">
        <f t="shared" si="46"/>
        <v>G/LOS</v>
      </c>
      <c r="W133" s="196" t="s">
        <v>1168</v>
      </c>
      <c r="X133" s="196" t="str">
        <f t="shared" si="78"/>
        <v>Y</v>
      </c>
      <c r="Y133" s="197">
        <f t="shared" si="48"/>
        <v>15414000</v>
      </c>
      <c r="Z133" s="198"/>
      <c r="AA133" s="197">
        <f t="shared" si="49"/>
        <v>15414000</v>
      </c>
      <c r="AB133" s="196" t="s">
        <v>1168</v>
      </c>
      <c r="AC133" s="196"/>
      <c r="AD133" s="275">
        <v>0.5</v>
      </c>
      <c r="AE133" s="275">
        <v>0.5</v>
      </c>
      <c r="AF133" s="275">
        <v>0</v>
      </c>
      <c r="AG133" s="442"/>
      <c r="AH133" s="442"/>
      <c r="AI133" s="200">
        <f t="shared" si="50"/>
        <v>0</v>
      </c>
      <c r="AJ133" s="203"/>
      <c r="AK133" s="203"/>
      <c r="AL133" s="197">
        <f t="shared" si="51"/>
        <v>15414000</v>
      </c>
      <c r="AM133" s="197">
        <f t="shared" si="52"/>
        <v>0</v>
      </c>
      <c r="AN133" s="197">
        <f t="shared" si="53"/>
        <v>0</v>
      </c>
      <c r="AO133" s="202"/>
      <c r="AP133" s="161" t="s">
        <v>3900</v>
      </c>
      <c r="AQ133" s="279"/>
      <c r="AR133" s="287">
        <f t="shared" si="54"/>
        <v>0</v>
      </c>
      <c r="AS133" s="287">
        <f t="shared" si="55"/>
        <v>0</v>
      </c>
      <c r="AT133" s="287">
        <f t="shared" si="56"/>
        <v>0</v>
      </c>
      <c r="AU133" s="287">
        <f t="shared" si="57"/>
        <v>0</v>
      </c>
      <c r="AV133" s="287">
        <f t="shared" si="58"/>
        <v>0</v>
      </c>
      <c r="AW133" s="287">
        <f t="shared" si="59"/>
        <v>0</v>
      </c>
      <c r="AX133" s="287">
        <f t="shared" si="60"/>
        <v>0</v>
      </c>
      <c r="AY133" s="287">
        <f t="shared" si="61"/>
        <v>0</v>
      </c>
      <c r="AZ133" s="287">
        <f t="shared" si="62"/>
        <v>0</v>
      </c>
      <c r="BA133" s="287">
        <f t="shared" si="63"/>
        <v>0</v>
      </c>
      <c r="BB133" s="16"/>
      <c r="BC133" s="287">
        <f t="shared" si="64"/>
        <v>0</v>
      </c>
      <c r="BD133" s="287">
        <f t="shared" si="65"/>
        <v>0</v>
      </c>
      <c r="BE133" s="287">
        <f t="shared" si="66"/>
        <v>0</v>
      </c>
      <c r="BF133" s="287">
        <f t="shared" si="67"/>
        <v>0</v>
      </c>
      <c r="BG133" s="287">
        <f t="shared" si="68"/>
        <v>0</v>
      </c>
      <c r="BH133" s="287">
        <f t="shared" si="69"/>
        <v>0</v>
      </c>
      <c r="BI133" s="287">
        <f t="shared" si="70"/>
        <v>0</v>
      </c>
      <c r="BJ133" s="287">
        <f t="shared" si="71"/>
        <v>0</v>
      </c>
      <c r="BK133" s="287">
        <f t="shared" si="72"/>
        <v>0</v>
      </c>
      <c r="BL133" s="287">
        <f t="shared" si="73"/>
        <v>0</v>
      </c>
      <c r="BM133" s="16"/>
      <c r="BN133" s="287">
        <f t="shared" si="74"/>
        <v>0</v>
      </c>
      <c r="BO133" s="287">
        <f t="shared" si="75"/>
        <v>0</v>
      </c>
      <c r="BP133" s="432"/>
      <c r="BQ133" s="21"/>
      <c r="BR133" s="21"/>
      <c r="BS133" s="39"/>
      <c r="BT133" s="39"/>
      <c r="BU133" s="39"/>
      <c r="BV133" s="39"/>
      <c r="BW133" s="39"/>
      <c r="BX133" s="39"/>
      <c r="BY133" s="39"/>
      <c r="BZ133" s="39">
        <v>120</v>
      </c>
      <c r="CA133" s="39" t="str">
        <f t="shared" si="76"/>
        <v/>
      </c>
      <c r="CB133" s="39"/>
      <c r="CC133" s="39"/>
      <c r="CD133" s="39"/>
      <c r="CE133" s="39"/>
      <c r="CF133" s="39"/>
      <c r="CG133" s="39"/>
      <c r="CH133" s="39"/>
      <c r="CI133" s="39"/>
      <c r="CJ133" s="39"/>
      <c r="CK133" s="39"/>
    </row>
    <row r="134" spans="1:89" s="193" customFormat="1">
      <c r="A134" s="195"/>
      <c r="B134" s="21" t="str">
        <f t="shared" si="45"/>
        <v>N/A</v>
      </c>
      <c r="C134" s="21"/>
      <c r="D134" s="432">
        <v>3200664</v>
      </c>
      <c r="E134" s="439" t="s">
        <v>3626</v>
      </c>
      <c r="F134" s="439" t="s">
        <v>3733</v>
      </c>
      <c r="G134" s="273" t="s">
        <v>3295</v>
      </c>
      <c r="H134" s="358"/>
      <c r="I134" s="262" t="s">
        <v>3491</v>
      </c>
      <c r="J134" s="262" t="s">
        <v>3504</v>
      </c>
      <c r="K134" s="263">
        <v>4503150</v>
      </c>
      <c r="L134" s="263">
        <v>1852000</v>
      </c>
      <c r="M134" s="263">
        <v>0</v>
      </c>
      <c r="N134" s="263">
        <v>0</v>
      </c>
      <c r="O134" s="263">
        <v>0</v>
      </c>
      <c r="P134" s="263">
        <v>0</v>
      </c>
      <c r="Q134" s="263">
        <v>0</v>
      </c>
      <c r="R134" s="263">
        <v>0</v>
      </c>
      <c r="S134" s="263">
        <v>0</v>
      </c>
      <c r="T134" s="263">
        <v>0</v>
      </c>
      <c r="U134" s="263">
        <f t="shared" si="77"/>
        <v>6355150</v>
      </c>
      <c r="V134" s="196" t="str">
        <f t="shared" si="46"/>
        <v>G/LOS</v>
      </c>
      <c r="W134" s="196" t="s">
        <v>1168</v>
      </c>
      <c r="X134" s="196" t="str">
        <f t="shared" si="78"/>
        <v>Y</v>
      </c>
      <c r="Y134" s="197">
        <f t="shared" si="48"/>
        <v>6355150</v>
      </c>
      <c r="Z134" s="198"/>
      <c r="AA134" s="197">
        <f t="shared" si="49"/>
        <v>6355150</v>
      </c>
      <c r="AB134" s="196" t="s">
        <v>1168</v>
      </c>
      <c r="AC134" s="196"/>
      <c r="AD134" s="275">
        <v>0.5</v>
      </c>
      <c r="AE134" s="275">
        <v>0.5</v>
      </c>
      <c r="AF134" s="275">
        <v>0</v>
      </c>
      <c r="AG134" s="442"/>
      <c r="AH134" s="442"/>
      <c r="AI134" s="200">
        <f t="shared" si="50"/>
        <v>0</v>
      </c>
      <c r="AJ134" s="203"/>
      <c r="AK134" s="203"/>
      <c r="AL134" s="197">
        <f t="shared" si="51"/>
        <v>6355150</v>
      </c>
      <c r="AM134" s="197">
        <f t="shared" si="52"/>
        <v>0</v>
      </c>
      <c r="AN134" s="197">
        <f t="shared" si="53"/>
        <v>0</v>
      </c>
      <c r="AO134" s="202"/>
      <c r="AP134" s="161" t="s">
        <v>3900</v>
      </c>
      <c r="AQ134" s="279"/>
      <c r="AR134" s="287">
        <f t="shared" si="54"/>
        <v>0</v>
      </c>
      <c r="AS134" s="287">
        <f t="shared" si="55"/>
        <v>0</v>
      </c>
      <c r="AT134" s="287">
        <f t="shared" si="56"/>
        <v>0</v>
      </c>
      <c r="AU134" s="287">
        <f t="shared" si="57"/>
        <v>0</v>
      </c>
      <c r="AV134" s="287">
        <f t="shared" si="58"/>
        <v>0</v>
      </c>
      <c r="AW134" s="287">
        <f t="shared" si="59"/>
        <v>0</v>
      </c>
      <c r="AX134" s="287">
        <f t="shared" si="60"/>
        <v>0</v>
      </c>
      <c r="AY134" s="287">
        <f t="shared" si="61"/>
        <v>0</v>
      </c>
      <c r="AZ134" s="287">
        <f t="shared" si="62"/>
        <v>0</v>
      </c>
      <c r="BA134" s="287">
        <f t="shared" si="63"/>
        <v>0</v>
      </c>
      <c r="BB134" s="16"/>
      <c r="BC134" s="287">
        <f t="shared" si="64"/>
        <v>0</v>
      </c>
      <c r="BD134" s="287">
        <f t="shared" si="65"/>
        <v>0</v>
      </c>
      <c r="BE134" s="287">
        <f t="shared" si="66"/>
        <v>0</v>
      </c>
      <c r="BF134" s="287">
        <f t="shared" si="67"/>
        <v>0</v>
      </c>
      <c r="BG134" s="287">
        <f t="shared" si="68"/>
        <v>0</v>
      </c>
      <c r="BH134" s="287">
        <f t="shared" si="69"/>
        <v>0</v>
      </c>
      <c r="BI134" s="287">
        <f t="shared" si="70"/>
        <v>0</v>
      </c>
      <c r="BJ134" s="287">
        <f t="shared" si="71"/>
        <v>0</v>
      </c>
      <c r="BK134" s="287">
        <f t="shared" si="72"/>
        <v>0</v>
      </c>
      <c r="BL134" s="287">
        <f t="shared" si="73"/>
        <v>0</v>
      </c>
      <c r="BM134" s="16"/>
      <c r="BN134" s="287">
        <f t="shared" si="74"/>
        <v>0</v>
      </c>
      <c r="BO134" s="287">
        <f t="shared" si="75"/>
        <v>0</v>
      </c>
      <c r="BP134" s="432"/>
      <c r="BQ134" s="21"/>
      <c r="BR134" s="21"/>
      <c r="BS134" s="39"/>
      <c r="BT134" s="39"/>
      <c r="BU134" s="39"/>
      <c r="BV134" s="39"/>
      <c r="BW134" s="39"/>
      <c r="BX134" s="39"/>
      <c r="BY134" s="39"/>
      <c r="BZ134" s="39">
        <v>121</v>
      </c>
      <c r="CA134" s="39" t="str">
        <f t="shared" si="76"/>
        <v/>
      </c>
      <c r="CB134" s="39"/>
      <c r="CC134" s="39"/>
      <c r="CD134" s="39"/>
      <c r="CE134" s="39"/>
      <c r="CF134" s="39"/>
      <c r="CG134" s="39"/>
      <c r="CH134" s="39"/>
      <c r="CI134" s="39"/>
      <c r="CJ134" s="39"/>
      <c r="CK134" s="39"/>
    </row>
    <row r="135" spans="1:89" s="193" customFormat="1">
      <c r="A135" s="195"/>
      <c r="B135" s="21" t="str">
        <f t="shared" si="45"/>
        <v>N/A</v>
      </c>
      <c r="C135" s="21"/>
      <c r="D135" s="432">
        <v>3200689</v>
      </c>
      <c r="E135" s="439" t="s">
        <v>3626</v>
      </c>
      <c r="F135" s="439" t="s">
        <v>3735</v>
      </c>
      <c r="G135" s="273" t="s">
        <v>3335</v>
      </c>
      <c r="H135" s="358"/>
      <c r="I135" s="262" t="s">
        <v>3491</v>
      </c>
      <c r="J135" s="262" t="s">
        <v>3504</v>
      </c>
      <c r="K135" s="263">
        <v>1152543</v>
      </c>
      <c r="L135" s="263">
        <v>0</v>
      </c>
      <c r="M135" s="263">
        <v>0</v>
      </c>
      <c r="N135" s="263">
        <v>0</v>
      </c>
      <c r="O135" s="263">
        <v>0</v>
      </c>
      <c r="P135" s="263">
        <v>0</v>
      </c>
      <c r="Q135" s="263">
        <v>0</v>
      </c>
      <c r="R135" s="263">
        <v>0</v>
      </c>
      <c r="S135" s="263">
        <v>0</v>
      </c>
      <c r="T135" s="263">
        <v>0</v>
      </c>
      <c r="U135" s="263">
        <f t="shared" si="77"/>
        <v>1152543</v>
      </c>
      <c r="V135" s="196" t="str">
        <f t="shared" si="46"/>
        <v>LOS</v>
      </c>
      <c r="W135" s="196" t="s">
        <v>1168</v>
      </c>
      <c r="X135" s="196" t="str">
        <f t="shared" si="78"/>
        <v>N</v>
      </c>
      <c r="Y135" s="197">
        <f t="shared" si="48"/>
        <v>1152543</v>
      </c>
      <c r="Z135" s="198"/>
      <c r="AA135" s="197">
        <f t="shared" si="49"/>
        <v>1152543</v>
      </c>
      <c r="AB135" s="196"/>
      <c r="AC135" s="196"/>
      <c r="AD135" s="275">
        <v>0</v>
      </c>
      <c r="AE135" s="275">
        <v>1</v>
      </c>
      <c r="AF135" s="275">
        <v>0</v>
      </c>
      <c r="AG135" s="442"/>
      <c r="AH135" s="442"/>
      <c r="AI135" s="200">
        <f t="shared" si="50"/>
        <v>0</v>
      </c>
      <c r="AJ135" s="203"/>
      <c r="AK135" s="203"/>
      <c r="AL135" s="197">
        <f t="shared" si="51"/>
        <v>1152543</v>
      </c>
      <c r="AM135" s="197">
        <f t="shared" si="52"/>
        <v>0</v>
      </c>
      <c r="AN135" s="197">
        <f t="shared" si="53"/>
        <v>0</v>
      </c>
      <c r="AO135" s="202"/>
      <c r="AP135" s="161" t="s">
        <v>3900</v>
      </c>
      <c r="AQ135" s="279"/>
      <c r="AR135" s="287">
        <f t="shared" si="54"/>
        <v>0</v>
      </c>
      <c r="AS135" s="287">
        <f t="shared" si="55"/>
        <v>0</v>
      </c>
      <c r="AT135" s="287">
        <f t="shared" si="56"/>
        <v>0</v>
      </c>
      <c r="AU135" s="287">
        <f t="shared" si="57"/>
        <v>0</v>
      </c>
      <c r="AV135" s="287">
        <f t="shared" si="58"/>
        <v>0</v>
      </c>
      <c r="AW135" s="287">
        <f t="shared" si="59"/>
        <v>0</v>
      </c>
      <c r="AX135" s="287">
        <f t="shared" si="60"/>
        <v>0</v>
      </c>
      <c r="AY135" s="287">
        <f t="shared" si="61"/>
        <v>0</v>
      </c>
      <c r="AZ135" s="287">
        <f t="shared" si="62"/>
        <v>0</v>
      </c>
      <c r="BA135" s="287">
        <f t="shared" si="63"/>
        <v>0</v>
      </c>
      <c r="BB135" s="16"/>
      <c r="BC135" s="287">
        <f t="shared" si="64"/>
        <v>0</v>
      </c>
      <c r="BD135" s="287">
        <f t="shared" si="65"/>
        <v>0</v>
      </c>
      <c r="BE135" s="287">
        <f t="shared" si="66"/>
        <v>0</v>
      </c>
      <c r="BF135" s="287">
        <f t="shared" si="67"/>
        <v>0</v>
      </c>
      <c r="BG135" s="287">
        <f t="shared" si="68"/>
        <v>0</v>
      </c>
      <c r="BH135" s="287">
        <f t="shared" si="69"/>
        <v>0</v>
      </c>
      <c r="BI135" s="287">
        <f t="shared" si="70"/>
        <v>0</v>
      </c>
      <c r="BJ135" s="287">
        <f t="shared" si="71"/>
        <v>0</v>
      </c>
      <c r="BK135" s="287">
        <f t="shared" si="72"/>
        <v>0</v>
      </c>
      <c r="BL135" s="287">
        <f t="shared" si="73"/>
        <v>0</v>
      </c>
      <c r="BM135" s="16"/>
      <c r="BN135" s="287">
        <f t="shared" si="74"/>
        <v>0</v>
      </c>
      <c r="BO135" s="287">
        <f t="shared" si="75"/>
        <v>0</v>
      </c>
      <c r="BP135" s="432"/>
      <c r="BQ135" s="21"/>
      <c r="BR135" s="21"/>
      <c r="BS135" s="39"/>
      <c r="BT135" s="39"/>
      <c r="BU135" s="39"/>
      <c r="BV135" s="39"/>
      <c r="BW135" s="39"/>
      <c r="BX135" s="39"/>
      <c r="BY135" s="39"/>
      <c r="BZ135" s="39">
        <v>122</v>
      </c>
      <c r="CA135" s="39" t="str">
        <f t="shared" si="76"/>
        <v/>
      </c>
      <c r="CB135" s="39"/>
      <c r="CC135" s="39"/>
      <c r="CD135" s="39"/>
      <c r="CE135" s="39"/>
      <c r="CF135" s="39"/>
      <c r="CG135" s="39"/>
      <c r="CH135" s="39"/>
      <c r="CI135" s="39"/>
      <c r="CJ135" s="39"/>
      <c r="CK135" s="39"/>
    </row>
    <row r="136" spans="1:89" s="193" customFormat="1">
      <c r="A136" s="195"/>
      <c r="B136" s="21" t="str">
        <f t="shared" si="45"/>
        <v>N/A</v>
      </c>
      <c r="C136" s="21"/>
      <c r="D136" s="432">
        <v>3200721</v>
      </c>
      <c r="E136" s="439" t="s">
        <v>3626</v>
      </c>
      <c r="F136" s="439" t="s">
        <v>3737</v>
      </c>
      <c r="G136" s="273" t="s">
        <v>3417</v>
      </c>
      <c r="H136" s="358"/>
      <c r="I136" s="262" t="s">
        <v>3491</v>
      </c>
      <c r="J136" s="262" t="s">
        <v>3504</v>
      </c>
      <c r="K136" s="263">
        <v>0</v>
      </c>
      <c r="L136" s="263">
        <v>0</v>
      </c>
      <c r="M136" s="263">
        <v>0</v>
      </c>
      <c r="N136" s="263">
        <v>7600000</v>
      </c>
      <c r="O136" s="263">
        <v>4750000</v>
      </c>
      <c r="P136" s="263">
        <v>6650000</v>
      </c>
      <c r="Q136" s="263">
        <v>14000001</v>
      </c>
      <c r="R136" s="263">
        <v>0</v>
      </c>
      <c r="S136" s="263">
        <v>0</v>
      </c>
      <c r="T136" s="263">
        <v>0</v>
      </c>
      <c r="U136" s="263">
        <f t="shared" si="77"/>
        <v>33000001</v>
      </c>
      <c r="V136" s="196" t="str">
        <f t="shared" si="46"/>
        <v>G/LOS</v>
      </c>
      <c r="W136" s="196" t="s">
        <v>1168</v>
      </c>
      <c r="X136" s="196" t="str">
        <f t="shared" si="78"/>
        <v>Y</v>
      </c>
      <c r="Y136" s="197">
        <f t="shared" si="48"/>
        <v>33000001</v>
      </c>
      <c r="Z136" s="198"/>
      <c r="AA136" s="197">
        <f t="shared" si="49"/>
        <v>33000001</v>
      </c>
      <c r="AB136" s="196" t="s">
        <v>1168</v>
      </c>
      <c r="AC136" s="196"/>
      <c r="AD136" s="275">
        <v>0.5</v>
      </c>
      <c r="AE136" s="275">
        <v>0.5</v>
      </c>
      <c r="AF136" s="275">
        <v>0</v>
      </c>
      <c r="AG136" s="442"/>
      <c r="AH136" s="442"/>
      <c r="AI136" s="200">
        <f t="shared" si="50"/>
        <v>0</v>
      </c>
      <c r="AJ136" s="203"/>
      <c r="AK136" s="203"/>
      <c r="AL136" s="197">
        <f t="shared" si="51"/>
        <v>33000001</v>
      </c>
      <c r="AM136" s="197">
        <f t="shared" si="52"/>
        <v>0</v>
      </c>
      <c r="AN136" s="197">
        <f t="shared" si="53"/>
        <v>0</v>
      </c>
      <c r="AO136" s="202"/>
      <c r="AP136" s="161" t="s">
        <v>3900</v>
      </c>
      <c r="AQ136" s="279"/>
      <c r="AR136" s="287">
        <f t="shared" si="54"/>
        <v>0</v>
      </c>
      <c r="AS136" s="287">
        <f t="shared" si="55"/>
        <v>0</v>
      </c>
      <c r="AT136" s="287">
        <f t="shared" si="56"/>
        <v>0</v>
      </c>
      <c r="AU136" s="287">
        <f t="shared" si="57"/>
        <v>0</v>
      </c>
      <c r="AV136" s="287">
        <f t="shared" si="58"/>
        <v>0</v>
      </c>
      <c r="AW136" s="287">
        <f t="shared" si="59"/>
        <v>0</v>
      </c>
      <c r="AX136" s="287">
        <f t="shared" si="60"/>
        <v>0</v>
      </c>
      <c r="AY136" s="287">
        <f t="shared" si="61"/>
        <v>0</v>
      </c>
      <c r="AZ136" s="287">
        <f t="shared" si="62"/>
        <v>0</v>
      </c>
      <c r="BA136" s="287">
        <f t="shared" si="63"/>
        <v>0</v>
      </c>
      <c r="BB136" s="16"/>
      <c r="BC136" s="287">
        <f t="shared" si="64"/>
        <v>0</v>
      </c>
      <c r="BD136" s="287">
        <f t="shared" si="65"/>
        <v>0</v>
      </c>
      <c r="BE136" s="287">
        <f t="shared" si="66"/>
        <v>0</v>
      </c>
      <c r="BF136" s="287">
        <f t="shared" si="67"/>
        <v>0</v>
      </c>
      <c r="BG136" s="287">
        <f t="shared" si="68"/>
        <v>0</v>
      </c>
      <c r="BH136" s="287">
        <f t="shared" si="69"/>
        <v>0</v>
      </c>
      <c r="BI136" s="287">
        <f t="shared" si="70"/>
        <v>0</v>
      </c>
      <c r="BJ136" s="287">
        <f t="shared" si="71"/>
        <v>0</v>
      </c>
      <c r="BK136" s="287">
        <f t="shared" si="72"/>
        <v>0</v>
      </c>
      <c r="BL136" s="287">
        <f t="shared" si="73"/>
        <v>0</v>
      </c>
      <c r="BM136" s="16"/>
      <c r="BN136" s="287">
        <f t="shared" si="74"/>
        <v>0</v>
      </c>
      <c r="BO136" s="287">
        <f t="shared" si="75"/>
        <v>0</v>
      </c>
      <c r="BP136" s="432"/>
      <c r="BQ136" s="21"/>
      <c r="BR136" s="21"/>
      <c r="BS136" s="39"/>
      <c r="BT136" s="39"/>
      <c r="BU136" s="39"/>
      <c r="BV136" s="39"/>
      <c r="BW136" s="39"/>
      <c r="BX136" s="39"/>
      <c r="BY136" s="39"/>
      <c r="BZ136" s="39">
        <v>123</v>
      </c>
      <c r="CA136" s="39" t="str">
        <f t="shared" si="76"/>
        <v/>
      </c>
      <c r="CB136" s="39"/>
      <c r="CC136" s="39"/>
      <c r="CD136" s="39"/>
      <c r="CE136" s="39"/>
      <c r="CF136" s="39"/>
      <c r="CG136" s="39"/>
      <c r="CH136" s="39"/>
      <c r="CI136" s="39"/>
      <c r="CJ136" s="39"/>
      <c r="CK136" s="39"/>
    </row>
    <row r="137" spans="1:89" s="193" customFormat="1">
      <c r="A137" s="195"/>
      <c r="B137" s="21" t="str">
        <f t="shared" si="45"/>
        <v>N/A</v>
      </c>
      <c r="C137" s="21"/>
      <c r="D137" s="432">
        <v>3200724</v>
      </c>
      <c r="E137" s="439" t="s">
        <v>3626</v>
      </c>
      <c r="F137" s="439" t="s">
        <v>2499</v>
      </c>
      <c r="G137" s="273" t="s">
        <v>3594</v>
      </c>
      <c r="H137" s="358"/>
      <c r="I137" s="262" t="s">
        <v>3531</v>
      </c>
      <c r="J137" s="262" t="s">
        <v>3504</v>
      </c>
      <c r="K137" s="263">
        <v>4200000</v>
      </c>
      <c r="L137" s="263">
        <v>0</v>
      </c>
      <c r="M137" s="263">
        <v>0</v>
      </c>
      <c r="N137" s="263">
        <v>0</v>
      </c>
      <c r="O137" s="263">
        <v>0</v>
      </c>
      <c r="P137" s="263">
        <v>0</v>
      </c>
      <c r="Q137" s="263">
        <v>0</v>
      </c>
      <c r="R137" s="263">
        <v>0</v>
      </c>
      <c r="S137" s="263">
        <v>0</v>
      </c>
      <c r="T137" s="263">
        <v>0</v>
      </c>
      <c r="U137" s="263">
        <f t="shared" si="77"/>
        <v>4200000</v>
      </c>
      <c r="V137" s="196" t="str">
        <f t="shared" si="46"/>
        <v>R</v>
      </c>
      <c r="W137" s="196" t="s">
        <v>1168</v>
      </c>
      <c r="X137" s="196" t="str">
        <f t="shared" si="78"/>
        <v>N</v>
      </c>
      <c r="Y137" s="197">
        <f t="shared" si="48"/>
        <v>4200000</v>
      </c>
      <c r="Z137" s="198"/>
      <c r="AA137" s="197">
        <f t="shared" si="49"/>
        <v>4200000</v>
      </c>
      <c r="AB137" s="196"/>
      <c r="AC137" s="196"/>
      <c r="AD137" s="275">
        <v>0</v>
      </c>
      <c r="AE137" s="275">
        <v>0</v>
      </c>
      <c r="AF137" s="275">
        <v>1</v>
      </c>
      <c r="AG137" s="442"/>
      <c r="AH137" s="442"/>
      <c r="AI137" s="200">
        <f t="shared" si="50"/>
        <v>0</v>
      </c>
      <c r="AJ137" s="203"/>
      <c r="AK137" s="203"/>
      <c r="AL137" s="197">
        <f t="shared" si="51"/>
        <v>4200000</v>
      </c>
      <c r="AM137" s="197">
        <f t="shared" si="52"/>
        <v>0</v>
      </c>
      <c r="AN137" s="197">
        <f t="shared" si="53"/>
        <v>0</v>
      </c>
      <c r="AO137" s="202"/>
      <c r="AP137" s="161" t="s">
        <v>3900</v>
      </c>
      <c r="AQ137" s="279"/>
      <c r="AR137" s="287">
        <f t="shared" si="54"/>
        <v>0</v>
      </c>
      <c r="AS137" s="287">
        <f t="shared" si="55"/>
        <v>0</v>
      </c>
      <c r="AT137" s="287">
        <f t="shared" si="56"/>
        <v>0</v>
      </c>
      <c r="AU137" s="287">
        <f t="shared" si="57"/>
        <v>0</v>
      </c>
      <c r="AV137" s="287">
        <f t="shared" si="58"/>
        <v>0</v>
      </c>
      <c r="AW137" s="287">
        <f t="shared" si="59"/>
        <v>0</v>
      </c>
      <c r="AX137" s="287">
        <f t="shared" si="60"/>
        <v>0</v>
      </c>
      <c r="AY137" s="287">
        <f t="shared" si="61"/>
        <v>0</v>
      </c>
      <c r="AZ137" s="287">
        <f t="shared" si="62"/>
        <v>0</v>
      </c>
      <c r="BA137" s="287">
        <f t="shared" si="63"/>
        <v>0</v>
      </c>
      <c r="BB137" s="16"/>
      <c r="BC137" s="287">
        <f t="shared" si="64"/>
        <v>0</v>
      </c>
      <c r="BD137" s="287">
        <f t="shared" si="65"/>
        <v>0</v>
      </c>
      <c r="BE137" s="287">
        <f t="shared" si="66"/>
        <v>0</v>
      </c>
      <c r="BF137" s="287">
        <f t="shared" si="67"/>
        <v>0</v>
      </c>
      <c r="BG137" s="287">
        <f t="shared" si="68"/>
        <v>0</v>
      </c>
      <c r="BH137" s="287">
        <f t="shared" si="69"/>
        <v>0</v>
      </c>
      <c r="BI137" s="287">
        <f t="shared" si="70"/>
        <v>0</v>
      </c>
      <c r="BJ137" s="287">
        <f t="shared" si="71"/>
        <v>0</v>
      </c>
      <c r="BK137" s="287">
        <f t="shared" si="72"/>
        <v>0</v>
      </c>
      <c r="BL137" s="287">
        <f t="shared" si="73"/>
        <v>0</v>
      </c>
      <c r="BM137" s="16"/>
      <c r="BN137" s="287">
        <f t="shared" si="74"/>
        <v>0</v>
      </c>
      <c r="BO137" s="287">
        <f t="shared" si="75"/>
        <v>0</v>
      </c>
      <c r="BP137" s="432"/>
      <c r="BQ137" s="21"/>
      <c r="BR137" s="21"/>
      <c r="BS137" s="39"/>
      <c r="BT137" s="39"/>
      <c r="BU137" s="39"/>
      <c r="BV137" s="39"/>
      <c r="BW137" s="39"/>
      <c r="BX137" s="39"/>
      <c r="BY137" s="39"/>
      <c r="BZ137" s="39">
        <v>124</v>
      </c>
      <c r="CA137" s="39" t="str">
        <f t="shared" si="76"/>
        <v/>
      </c>
      <c r="CB137" s="39"/>
      <c r="CC137" s="39"/>
      <c r="CD137" s="39"/>
      <c r="CE137" s="39"/>
      <c r="CF137" s="39"/>
      <c r="CG137" s="39"/>
      <c r="CH137" s="39"/>
      <c r="CI137" s="39"/>
      <c r="CJ137" s="39"/>
      <c r="CK137" s="39"/>
    </row>
    <row r="138" spans="1:89" s="193" customFormat="1">
      <c r="A138" s="195"/>
      <c r="B138" s="21" t="str">
        <f t="shared" si="45"/>
        <v>N/A</v>
      </c>
      <c r="C138" s="21"/>
      <c r="D138" s="432">
        <v>3200726</v>
      </c>
      <c r="E138" s="439" t="s">
        <v>3626</v>
      </c>
      <c r="F138" s="439" t="s">
        <v>2499</v>
      </c>
      <c r="G138" s="273" t="s">
        <v>3597</v>
      </c>
      <c r="H138" s="358"/>
      <c r="I138" s="262" t="s">
        <v>3531</v>
      </c>
      <c r="J138" s="262" t="s">
        <v>3504</v>
      </c>
      <c r="K138" s="263">
        <v>11000000</v>
      </c>
      <c r="L138" s="263">
        <v>0</v>
      </c>
      <c r="M138" s="263">
        <v>0</v>
      </c>
      <c r="N138" s="263">
        <v>0</v>
      </c>
      <c r="O138" s="263">
        <v>0</v>
      </c>
      <c r="P138" s="263">
        <v>0</v>
      </c>
      <c r="Q138" s="263">
        <v>0</v>
      </c>
      <c r="R138" s="263">
        <v>0</v>
      </c>
      <c r="S138" s="263">
        <v>0</v>
      </c>
      <c r="T138" s="263">
        <v>0</v>
      </c>
      <c r="U138" s="263">
        <f t="shared" si="77"/>
        <v>11000000</v>
      </c>
      <c r="V138" s="196" t="str">
        <f t="shared" si="46"/>
        <v>G</v>
      </c>
      <c r="W138" s="196" t="s">
        <v>1168</v>
      </c>
      <c r="X138" s="196" t="str">
        <f t="shared" si="78"/>
        <v>Y</v>
      </c>
      <c r="Y138" s="197">
        <f t="shared" si="48"/>
        <v>11000000</v>
      </c>
      <c r="Z138" s="198"/>
      <c r="AA138" s="197">
        <f t="shared" si="49"/>
        <v>11000000</v>
      </c>
      <c r="AB138" s="196" t="s">
        <v>1168</v>
      </c>
      <c r="AC138" s="196"/>
      <c r="AD138" s="275">
        <v>1</v>
      </c>
      <c r="AE138" s="275">
        <v>0</v>
      </c>
      <c r="AF138" s="275">
        <v>0</v>
      </c>
      <c r="AG138" s="442"/>
      <c r="AH138" s="442"/>
      <c r="AI138" s="200">
        <f t="shared" si="50"/>
        <v>0</v>
      </c>
      <c r="AJ138" s="203"/>
      <c r="AK138" s="203"/>
      <c r="AL138" s="197">
        <f t="shared" si="51"/>
        <v>11000000</v>
      </c>
      <c r="AM138" s="197">
        <f t="shared" si="52"/>
        <v>0</v>
      </c>
      <c r="AN138" s="197">
        <f t="shared" si="53"/>
        <v>0</v>
      </c>
      <c r="AO138" s="202"/>
      <c r="AP138" s="161" t="s">
        <v>3900</v>
      </c>
      <c r="AQ138" s="279"/>
      <c r="AR138" s="287">
        <f t="shared" si="54"/>
        <v>0</v>
      </c>
      <c r="AS138" s="287">
        <f t="shared" si="55"/>
        <v>0</v>
      </c>
      <c r="AT138" s="287">
        <f t="shared" si="56"/>
        <v>0</v>
      </c>
      <c r="AU138" s="287">
        <f t="shared" si="57"/>
        <v>0</v>
      </c>
      <c r="AV138" s="287">
        <f t="shared" si="58"/>
        <v>0</v>
      </c>
      <c r="AW138" s="287">
        <f t="shared" si="59"/>
        <v>0</v>
      </c>
      <c r="AX138" s="287">
        <f t="shared" si="60"/>
        <v>0</v>
      </c>
      <c r="AY138" s="287">
        <f t="shared" si="61"/>
        <v>0</v>
      </c>
      <c r="AZ138" s="287">
        <f t="shared" si="62"/>
        <v>0</v>
      </c>
      <c r="BA138" s="287">
        <f t="shared" si="63"/>
        <v>0</v>
      </c>
      <c r="BB138" s="16"/>
      <c r="BC138" s="287">
        <f t="shared" si="64"/>
        <v>0</v>
      </c>
      <c r="BD138" s="287">
        <f t="shared" si="65"/>
        <v>0</v>
      </c>
      <c r="BE138" s="287">
        <f t="shared" si="66"/>
        <v>0</v>
      </c>
      <c r="BF138" s="287">
        <f t="shared" si="67"/>
        <v>0</v>
      </c>
      <c r="BG138" s="287">
        <f t="shared" si="68"/>
        <v>0</v>
      </c>
      <c r="BH138" s="287">
        <f t="shared" si="69"/>
        <v>0</v>
      </c>
      <c r="BI138" s="287">
        <f t="shared" si="70"/>
        <v>0</v>
      </c>
      <c r="BJ138" s="287">
        <f t="shared" si="71"/>
        <v>0</v>
      </c>
      <c r="BK138" s="287">
        <f t="shared" si="72"/>
        <v>0</v>
      </c>
      <c r="BL138" s="287">
        <f t="shared" si="73"/>
        <v>0</v>
      </c>
      <c r="BM138" s="16"/>
      <c r="BN138" s="287">
        <f t="shared" si="74"/>
        <v>0</v>
      </c>
      <c r="BO138" s="287">
        <f t="shared" si="75"/>
        <v>0</v>
      </c>
      <c r="BP138" s="432"/>
      <c r="BQ138" s="21"/>
      <c r="BR138" s="21"/>
      <c r="BS138" s="39"/>
      <c r="BT138" s="39"/>
      <c r="BU138" s="39"/>
      <c r="BV138" s="39"/>
      <c r="BW138" s="39"/>
      <c r="BX138" s="39"/>
      <c r="BY138" s="39"/>
      <c r="BZ138" s="39">
        <v>125</v>
      </c>
      <c r="CA138" s="39" t="str">
        <f t="shared" si="76"/>
        <v/>
      </c>
      <c r="CB138" s="39"/>
      <c r="CC138" s="39"/>
      <c r="CD138" s="39"/>
      <c r="CE138" s="39"/>
      <c r="CF138" s="39"/>
      <c r="CG138" s="39"/>
      <c r="CH138" s="39"/>
      <c r="CI138" s="39"/>
      <c r="CJ138" s="39"/>
      <c r="CK138" s="39"/>
    </row>
    <row r="139" spans="1:89" s="193" customFormat="1">
      <c r="A139" s="195"/>
      <c r="B139" s="21" t="str">
        <f t="shared" si="45"/>
        <v>N/A</v>
      </c>
      <c r="C139" s="21"/>
      <c r="D139" s="432">
        <v>3200730</v>
      </c>
      <c r="E139" s="439" t="s">
        <v>3626</v>
      </c>
      <c r="F139" s="439" t="s">
        <v>2499</v>
      </c>
      <c r="G139" s="273" t="s">
        <v>3575</v>
      </c>
      <c r="H139" s="358"/>
      <c r="I139" s="262" t="s">
        <v>3531</v>
      </c>
      <c r="J139" s="262" t="s">
        <v>3504</v>
      </c>
      <c r="K139" s="263">
        <v>5000000</v>
      </c>
      <c r="L139" s="263">
        <v>5689807</v>
      </c>
      <c r="M139" s="263">
        <v>5000000</v>
      </c>
      <c r="N139" s="263">
        <v>0</v>
      </c>
      <c r="O139" s="263">
        <v>0</v>
      </c>
      <c r="P139" s="263">
        <v>0</v>
      </c>
      <c r="Q139" s="263">
        <v>0</v>
      </c>
      <c r="R139" s="263">
        <v>0</v>
      </c>
      <c r="S139" s="263">
        <v>0</v>
      </c>
      <c r="T139" s="263">
        <v>0</v>
      </c>
      <c r="U139" s="263">
        <f t="shared" si="77"/>
        <v>15689807</v>
      </c>
      <c r="V139" s="196" t="str">
        <f t="shared" si="46"/>
        <v>G</v>
      </c>
      <c r="W139" s="196" t="s">
        <v>1168</v>
      </c>
      <c r="X139" s="196" t="str">
        <f t="shared" si="78"/>
        <v>Y</v>
      </c>
      <c r="Y139" s="197">
        <f t="shared" si="48"/>
        <v>15689807</v>
      </c>
      <c r="Z139" s="198"/>
      <c r="AA139" s="197">
        <f t="shared" si="49"/>
        <v>15689807</v>
      </c>
      <c r="AB139" s="196" t="s">
        <v>1168</v>
      </c>
      <c r="AC139" s="196"/>
      <c r="AD139" s="275">
        <v>1</v>
      </c>
      <c r="AE139" s="275">
        <v>0</v>
      </c>
      <c r="AF139" s="275">
        <v>0</v>
      </c>
      <c r="AG139" s="442"/>
      <c r="AH139" s="442"/>
      <c r="AI139" s="200">
        <f t="shared" si="50"/>
        <v>0</v>
      </c>
      <c r="AJ139" s="203"/>
      <c r="AK139" s="203"/>
      <c r="AL139" s="197">
        <f t="shared" si="51"/>
        <v>15689807</v>
      </c>
      <c r="AM139" s="197">
        <f t="shared" si="52"/>
        <v>0</v>
      </c>
      <c r="AN139" s="197">
        <f t="shared" si="53"/>
        <v>0</v>
      </c>
      <c r="AO139" s="202"/>
      <c r="AP139" s="161" t="s">
        <v>3900</v>
      </c>
      <c r="AQ139" s="279"/>
      <c r="AR139" s="287">
        <f t="shared" si="54"/>
        <v>0</v>
      </c>
      <c r="AS139" s="287">
        <f t="shared" si="55"/>
        <v>0</v>
      </c>
      <c r="AT139" s="287">
        <f t="shared" si="56"/>
        <v>0</v>
      </c>
      <c r="AU139" s="287">
        <f t="shared" si="57"/>
        <v>0</v>
      </c>
      <c r="AV139" s="287">
        <f t="shared" si="58"/>
        <v>0</v>
      </c>
      <c r="AW139" s="287">
        <f t="shared" si="59"/>
        <v>0</v>
      </c>
      <c r="AX139" s="287">
        <f t="shared" si="60"/>
        <v>0</v>
      </c>
      <c r="AY139" s="287">
        <f t="shared" si="61"/>
        <v>0</v>
      </c>
      <c r="AZ139" s="287">
        <f t="shared" si="62"/>
        <v>0</v>
      </c>
      <c r="BA139" s="287">
        <f t="shared" si="63"/>
        <v>0</v>
      </c>
      <c r="BB139" s="16"/>
      <c r="BC139" s="287">
        <f t="shared" si="64"/>
        <v>0</v>
      </c>
      <c r="BD139" s="287">
        <f t="shared" si="65"/>
        <v>0</v>
      </c>
      <c r="BE139" s="287">
        <f t="shared" si="66"/>
        <v>0</v>
      </c>
      <c r="BF139" s="287">
        <f t="shared" si="67"/>
        <v>0</v>
      </c>
      <c r="BG139" s="287">
        <f t="shared" si="68"/>
        <v>0</v>
      </c>
      <c r="BH139" s="287">
        <f t="shared" si="69"/>
        <v>0</v>
      </c>
      <c r="BI139" s="287">
        <f t="shared" si="70"/>
        <v>0</v>
      </c>
      <c r="BJ139" s="287">
        <f t="shared" si="71"/>
        <v>0</v>
      </c>
      <c r="BK139" s="287">
        <f t="shared" si="72"/>
        <v>0</v>
      </c>
      <c r="BL139" s="287">
        <f t="shared" si="73"/>
        <v>0</v>
      </c>
      <c r="BM139" s="16"/>
      <c r="BN139" s="287">
        <f t="shared" si="74"/>
        <v>0</v>
      </c>
      <c r="BO139" s="287">
        <f t="shared" si="75"/>
        <v>0</v>
      </c>
      <c r="BP139" s="432"/>
      <c r="BQ139" s="21"/>
      <c r="BR139" s="21"/>
      <c r="BS139" s="39"/>
      <c r="BT139" s="39"/>
      <c r="BU139" s="39"/>
      <c r="BV139" s="39"/>
      <c r="BW139" s="39"/>
      <c r="BX139" s="39"/>
      <c r="BY139" s="39"/>
      <c r="BZ139" s="39">
        <v>126</v>
      </c>
      <c r="CA139" s="39" t="str">
        <f t="shared" si="76"/>
        <v/>
      </c>
      <c r="CB139" s="39"/>
      <c r="CC139" s="39"/>
      <c r="CD139" s="39"/>
      <c r="CE139" s="39"/>
      <c r="CF139" s="39"/>
      <c r="CG139" s="39"/>
      <c r="CH139" s="39"/>
      <c r="CI139" s="39"/>
      <c r="CJ139" s="39"/>
      <c r="CK139" s="39"/>
    </row>
    <row r="140" spans="1:89" s="193" customFormat="1">
      <c r="A140" s="195"/>
      <c r="B140" s="21" t="str">
        <f t="shared" si="45"/>
        <v>N/A</v>
      </c>
      <c r="C140" s="21"/>
      <c r="D140" s="432">
        <v>3200733</v>
      </c>
      <c r="E140" s="439" t="s">
        <v>3626</v>
      </c>
      <c r="F140" s="439" t="s">
        <v>2499</v>
      </c>
      <c r="G140" s="273" t="s">
        <v>3562</v>
      </c>
      <c r="H140" s="358"/>
      <c r="I140" s="262" t="s">
        <v>3530</v>
      </c>
      <c r="J140" s="262" t="s">
        <v>3504</v>
      </c>
      <c r="K140" s="263">
        <v>2721999.96</v>
      </c>
      <c r="L140" s="263">
        <v>3030000</v>
      </c>
      <c r="M140" s="263">
        <v>3238000</v>
      </c>
      <c r="N140" s="263">
        <v>2054000</v>
      </c>
      <c r="O140" s="263">
        <v>1943000</v>
      </c>
      <c r="P140" s="263">
        <v>1418000</v>
      </c>
      <c r="Q140" s="263">
        <v>3752000</v>
      </c>
      <c r="R140" s="263">
        <v>2443000</v>
      </c>
      <c r="S140" s="263">
        <v>1886000</v>
      </c>
      <c r="T140" s="263">
        <v>2364000</v>
      </c>
      <c r="U140" s="263">
        <f t="shared" si="77"/>
        <v>24849999.960000001</v>
      </c>
      <c r="V140" s="196" t="str">
        <f t="shared" si="46"/>
        <v>R</v>
      </c>
      <c r="W140" s="196" t="s">
        <v>1168</v>
      </c>
      <c r="X140" s="196" t="str">
        <f t="shared" si="78"/>
        <v>N</v>
      </c>
      <c r="Y140" s="197">
        <f t="shared" si="48"/>
        <v>24849999.960000001</v>
      </c>
      <c r="Z140" s="198"/>
      <c r="AA140" s="197">
        <f t="shared" si="49"/>
        <v>24849999.960000001</v>
      </c>
      <c r="AB140" s="196"/>
      <c r="AC140" s="196"/>
      <c r="AD140" s="275">
        <v>0</v>
      </c>
      <c r="AE140" s="275">
        <v>0</v>
      </c>
      <c r="AF140" s="275">
        <v>1</v>
      </c>
      <c r="AG140" s="199"/>
      <c r="AH140" s="199"/>
      <c r="AI140" s="200">
        <f t="shared" si="50"/>
        <v>0</v>
      </c>
      <c r="AJ140" s="203"/>
      <c r="AK140" s="203"/>
      <c r="AL140" s="197">
        <f t="shared" si="51"/>
        <v>24849999.960000001</v>
      </c>
      <c r="AM140" s="197">
        <f t="shared" si="52"/>
        <v>0</v>
      </c>
      <c r="AN140" s="197">
        <f t="shared" si="53"/>
        <v>0</v>
      </c>
      <c r="AO140" s="202"/>
      <c r="AP140" s="161" t="s">
        <v>3900</v>
      </c>
      <c r="AQ140" s="279"/>
      <c r="AR140" s="287">
        <f t="shared" si="54"/>
        <v>0</v>
      </c>
      <c r="AS140" s="287">
        <f t="shared" si="55"/>
        <v>0</v>
      </c>
      <c r="AT140" s="287">
        <f t="shared" si="56"/>
        <v>0</v>
      </c>
      <c r="AU140" s="287">
        <f t="shared" si="57"/>
        <v>0</v>
      </c>
      <c r="AV140" s="287">
        <f t="shared" si="58"/>
        <v>0</v>
      </c>
      <c r="AW140" s="287">
        <f t="shared" si="59"/>
        <v>0</v>
      </c>
      <c r="AX140" s="287">
        <f t="shared" si="60"/>
        <v>0</v>
      </c>
      <c r="AY140" s="287">
        <f t="shared" si="61"/>
        <v>0</v>
      </c>
      <c r="AZ140" s="287">
        <f t="shared" si="62"/>
        <v>0</v>
      </c>
      <c r="BA140" s="287">
        <f t="shared" si="63"/>
        <v>0</v>
      </c>
      <c r="BB140" s="16"/>
      <c r="BC140" s="287">
        <f t="shared" si="64"/>
        <v>0</v>
      </c>
      <c r="BD140" s="287">
        <f t="shared" si="65"/>
        <v>0</v>
      </c>
      <c r="BE140" s="287">
        <f t="shared" si="66"/>
        <v>0</v>
      </c>
      <c r="BF140" s="287">
        <f t="shared" si="67"/>
        <v>0</v>
      </c>
      <c r="BG140" s="287">
        <f t="shared" si="68"/>
        <v>0</v>
      </c>
      <c r="BH140" s="287">
        <f t="shared" si="69"/>
        <v>0</v>
      </c>
      <c r="BI140" s="287">
        <f t="shared" si="70"/>
        <v>0</v>
      </c>
      <c r="BJ140" s="287">
        <f t="shared" si="71"/>
        <v>0</v>
      </c>
      <c r="BK140" s="287">
        <f t="shared" si="72"/>
        <v>0</v>
      </c>
      <c r="BL140" s="287">
        <f t="shared" si="73"/>
        <v>0</v>
      </c>
      <c r="BM140" s="16"/>
      <c r="BN140" s="287">
        <f t="shared" si="74"/>
        <v>0</v>
      </c>
      <c r="BO140" s="287">
        <f t="shared" si="75"/>
        <v>0</v>
      </c>
      <c r="BP140" s="432"/>
      <c r="BQ140" s="21"/>
      <c r="BR140" s="21"/>
      <c r="BS140" s="39"/>
      <c r="BT140" s="39"/>
      <c r="BU140" s="39"/>
      <c r="BV140" s="39"/>
      <c r="BW140" s="39"/>
      <c r="BX140" s="39"/>
      <c r="BY140" s="39"/>
      <c r="BZ140" s="39">
        <v>127</v>
      </c>
      <c r="CA140" s="39" t="str">
        <f t="shared" si="76"/>
        <v/>
      </c>
      <c r="CB140" s="39"/>
      <c r="CC140" s="39"/>
      <c r="CD140" s="39"/>
      <c r="CE140" s="39"/>
      <c r="CF140" s="39"/>
      <c r="CG140" s="39"/>
      <c r="CH140" s="39"/>
      <c r="CI140" s="39"/>
      <c r="CJ140" s="39"/>
      <c r="CK140" s="39"/>
    </row>
    <row r="141" spans="1:89" s="193" customFormat="1">
      <c r="A141" s="195"/>
      <c r="B141" s="21" t="str">
        <f t="shared" si="45"/>
        <v>N/A</v>
      </c>
      <c r="C141" s="21"/>
      <c r="D141" s="432">
        <v>3200744</v>
      </c>
      <c r="E141" s="439" t="s">
        <v>3626</v>
      </c>
      <c r="F141" s="439" t="s">
        <v>2499</v>
      </c>
      <c r="G141" s="273" t="s">
        <v>3566</v>
      </c>
      <c r="H141" s="358"/>
      <c r="I141" s="262" t="s">
        <v>3530</v>
      </c>
      <c r="J141" s="262" t="s">
        <v>3504</v>
      </c>
      <c r="K141" s="263">
        <v>1999527.96</v>
      </c>
      <c r="L141" s="263">
        <v>1063000</v>
      </c>
      <c r="M141" s="263">
        <v>82955</v>
      </c>
      <c r="N141" s="263">
        <v>613818</v>
      </c>
      <c r="O141" s="263">
        <v>190804</v>
      </c>
      <c r="P141" s="263">
        <v>277431</v>
      </c>
      <c r="Q141" s="263">
        <v>435000</v>
      </c>
      <c r="R141" s="263">
        <v>420166</v>
      </c>
      <c r="S141" s="263">
        <v>55463</v>
      </c>
      <c r="T141" s="263">
        <v>430</v>
      </c>
      <c r="U141" s="263">
        <f t="shared" si="77"/>
        <v>5138594.96</v>
      </c>
      <c r="V141" s="196" t="str">
        <f t="shared" si="46"/>
        <v>R</v>
      </c>
      <c r="W141" s="196" t="s">
        <v>1168</v>
      </c>
      <c r="X141" s="196" t="str">
        <f t="shared" si="78"/>
        <v>N</v>
      </c>
      <c r="Y141" s="197">
        <f t="shared" si="48"/>
        <v>5138594.96</v>
      </c>
      <c r="Z141" s="198"/>
      <c r="AA141" s="197">
        <f t="shared" si="49"/>
        <v>5138594.96</v>
      </c>
      <c r="AB141" s="196"/>
      <c r="AC141" s="196"/>
      <c r="AD141" s="275">
        <v>0</v>
      </c>
      <c r="AE141" s="275">
        <v>0</v>
      </c>
      <c r="AF141" s="275">
        <v>1</v>
      </c>
      <c r="AG141" s="199"/>
      <c r="AH141" s="199"/>
      <c r="AI141" s="200">
        <f t="shared" si="50"/>
        <v>0</v>
      </c>
      <c r="AJ141" s="203"/>
      <c r="AK141" s="203"/>
      <c r="AL141" s="197">
        <f t="shared" si="51"/>
        <v>5138594.96</v>
      </c>
      <c r="AM141" s="197">
        <f t="shared" si="52"/>
        <v>0</v>
      </c>
      <c r="AN141" s="197">
        <f t="shared" si="53"/>
        <v>0</v>
      </c>
      <c r="AO141" s="202"/>
      <c r="AP141" s="161" t="s">
        <v>3900</v>
      </c>
      <c r="AQ141" s="279"/>
      <c r="AR141" s="287">
        <f t="shared" si="54"/>
        <v>0</v>
      </c>
      <c r="AS141" s="287">
        <f t="shared" si="55"/>
        <v>0</v>
      </c>
      <c r="AT141" s="287">
        <f t="shared" si="56"/>
        <v>0</v>
      </c>
      <c r="AU141" s="287">
        <f t="shared" si="57"/>
        <v>0</v>
      </c>
      <c r="AV141" s="287">
        <f t="shared" si="58"/>
        <v>0</v>
      </c>
      <c r="AW141" s="287">
        <f t="shared" si="59"/>
        <v>0</v>
      </c>
      <c r="AX141" s="287">
        <f t="shared" si="60"/>
        <v>0</v>
      </c>
      <c r="AY141" s="287">
        <f t="shared" si="61"/>
        <v>0</v>
      </c>
      <c r="AZ141" s="287">
        <f t="shared" si="62"/>
        <v>0</v>
      </c>
      <c r="BA141" s="287">
        <f t="shared" si="63"/>
        <v>0</v>
      </c>
      <c r="BB141" s="16"/>
      <c r="BC141" s="287">
        <f t="shared" si="64"/>
        <v>0</v>
      </c>
      <c r="BD141" s="287">
        <f t="shared" si="65"/>
        <v>0</v>
      </c>
      <c r="BE141" s="287">
        <f t="shared" si="66"/>
        <v>0</v>
      </c>
      <c r="BF141" s="287">
        <f t="shared" si="67"/>
        <v>0</v>
      </c>
      <c r="BG141" s="287">
        <f t="shared" si="68"/>
        <v>0</v>
      </c>
      <c r="BH141" s="287">
        <f t="shared" si="69"/>
        <v>0</v>
      </c>
      <c r="BI141" s="287">
        <f t="shared" si="70"/>
        <v>0</v>
      </c>
      <c r="BJ141" s="287">
        <f t="shared" si="71"/>
        <v>0</v>
      </c>
      <c r="BK141" s="287">
        <f t="shared" si="72"/>
        <v>0</v>
      </c>
      <c r="BL141" s="287">
        <f t="shared" si="73"/>
        <v>0</v>
      </c>
      <c r="BM141" s="16"/>
      <c r="BN141" s="287">
        <f t="shared" si="74"/>
        <v>0</v>
      </c>
      <c r="BO141" s="287">
        <f t="shared" si="75"/>
        <v>0</v>
      </c>
      <c r="BP141" s="432"/>
      <c r="BQ141" s="21"/>
      <c r="BR141" s="21"/>
      <c r="BS141" s="39"/>
      <c r="BT141" s="39"/>
      <c r="BU141" s="39"/>
      <c r="BV141" s="39"/>
      <c r="BW141" s="39"/>
      <c r="BX141" s="39"/>
      <c r="BY141" s="39"/>
      <c r="BZ141" s="39">
        <v>128</v>
      </c>
      <c r="CA141" s="39" t="str">
        <f t="shared" si="76"/>
        <v/>
      </c>
      <c r="CB141" s="39"/>
      <c r="CC141" s="39"/>
      <c r="CD141" s="39"/>
      <c r="CE141" s="39"/>
      <c r="CF141" s="39"/>
      <c r="CG141" s="39"/>
      <c r="CH141" s="39"/>
      <c r="CI141" s="39"/>
      <c r="CJ141" s="39"/>
      <c r="CK141" s="39"/>
    </row>
    <row r="142" spans="1:89" s="193" customFormat="1">
      <c r="A142" s="195"/>
      <c r="B142" s="21" t="str">
        <f t="shared" ref="B142:B205" si="79">LEFT(AP142,3)</f>
        <v>N/A</v>
      </c>
      <c r="C142" s="21"/>
      <c r="D142" s="432">
        <v>3200748</v>
      </c>
      <c r="E142" s="439" t="s">
        <v>3626</v>
      </c>
      <c r="F142" s="439" t="s">
        <v>2499</v>
      </c>
      <c r="G142" s="273" t="s">
        <v>3567</v>
      </c>
      <c r="H142" s="358"/>
      <c r="I142" s="262" t="s">
        <v>3530</v>
      </c>
      <c r="J142" s="262" t="s">
        <v>3504</v>
      </c>
      <c r="K142" s="263">
        <v>494000.04</v>
      </c>
      <c r="L142" s="263">
        <v>133000</v>
      </c>
      <c r="M142" s="263">
        <v>1745000</v>
      </c>
      <c r="N142" s="263">
        <v>1613000</v>
      </c>
      <c r="O142" s="263">
        <v>3901000</v>
      </c>
      <c r="P142" s="263">
        <v>8376450</v>
      </c>
      <c r="Q142" s="263">
        <v>250000</v>
      </c>
      <c r="R142" s="263">
        <v>3499000</v>
      </c>
      <c r="S142" s="263">
        <v>400000</v>
      </c>
      <c r="T142" s="263">
        <v>139000</v>
      </c>
      <c r="U142" s="263">
        <f t="shared" si="77"/>
        <v>20550450.039999999</v>
      </c>
      <c r="V142" s="196" t="str">
        <f t="shared" ref="V142:V205" si="80">IF(AND(AD142&gt;0,AE142&gt;0,AF142&gt;0),"G/LOS/R",IF(AND(AD142&gt;0,AE142&gt;0),"G/LOS",IF(AND(AD142&gt;0,AF142&gt;0),"G/R",IF(AND(AE142&gt;0,AF142&gt;0),"LOS/R",IF(AD142&gt;0,"G",IF(AE142&gt;0,"LOS",IF(AF142&gt;0,"R","CHECK")))))))</f>
        <v>R</v>
      </c>
      <c r="W142" s="196" t="s">
        <v>1168</v>
      </c>
      <c r="X142" s="196" t="str">
        <f t="shared" ref="X142:X172" si="81">IF(LEFT(V142,1)="G","Y","N")</f>
        <v>N</v>
      </c>
      <c r="Y142" s="197">
        <f t="shared" ref="Y142:Y205" si="82">SUM(K142:T142)</f>
        <v>20550450.039999999</v>
      </c>
      <c r="Z142" s="198"/>
      <c r="AA142" s="197">
        <f t="shared" ref="AA142:AA205" si="83">Y142-Z142</f>
        <v>20550450.039999999</v>
      </c>
      <c r="AB142" s="196"/>
      <c r="AC142" s="196"/>
      <c r="AD142" s="275">
        <v>0</v>
      </c>
      <c r="AE142" s="275">
        <v>0</v>
      </c>
      <c r="AF142" s="275">
        <v>1</v>
      </c>
      <c r="AG142" s="199"/>
      <c r="AH142" s="199"/>
      <c r="AI142" s="200">
        <f t="shared" ref="AI142:AI205" si="84">(AG142+AH142)/2</f>
        <v>0</v>
      </c>
      <c r="AJ142" s="203"/>
      <c r="AK142" s="203"/>
      <c r="AL142" s="197">
        <f t="shared" ref="AL142:AL205" si="85">(100%-AI142)*AA142</f>
        <v>20550450.039999999</v>
      </c>
      <c r="AM142" s="197">
        <f t="shared" ref="AM142:AM205" si="86">AA142*AI142*AJ142</f>
        <v>0</v>
      </c>
      <c r="AN142" s="197">
        <f t="shared" ref="AN142:AN205" si="87">AA142*AI142*AK142</f>
        <v>0</v>
      </c>
      <c r="AO142" s="202"/>
      <c r="AP142" s="161" t="s">
        <v>3900</v>
      </c>
      <c r="AQ142" s="279"/>
      <c r="AR142" s="287">
        <f t="shared" si="54"/>
        <v>0</v>
      </c>
      <c r="AS142" s="287">
        <f t="shared" si="55"/>
        <v>0</v>
      </c>
      <c r="AT142" s="287">
        <f t="shared" si="56"/>
        <v>0</v>
      </c>
      <c r="AU142" s="287">
        <f t="shared" si="57"/>
        <v>0</v>
      </c>
      <c r="AV142" s="287">
        <f t="shared" si="58"/>
        <v>0</v>
      </c>
      <c r="AW142" s="287">
        <f t="shared" si="59"/>
        <v>0</v>
      </c>
      <c r="AX142" s="287">
        <f t="shared" si="60"/>
        <v>0</v>
      </c>
      <c r="AY142" s="287">
        <f t="shared" si="61"/>
        <v>0</v>
      </c>
      <c r="AZ142" s="287">
        <f t="shared" si="62"/>
        <v>0</v>
      </c>
      <c r="BA142" s="287">
        <f t="shared" si="63"/>
        <v>0</v>
      </c>
      <c r="BB142" s="16"/>
      <c r="BC142" s="287">
        <f t="shared" si="64"/>
        <v>0</v>
      </c>
      <c r="BD142" s="287">
        <f t="shared" si="65"/>
        <v>0</v>
      </c>
      <c r="BE142" s="287">
        <f t="shared" si="66"/>
        <v>0</v>
      </c>
      <c r="BF142" s="287">
        <f t="shared" si="67"/>
        <v>0</v>
      </c>
      <c r="BG142" s="287">
        <f t="shared" si="68"/>
        <v>0</v>
      </c>
      <c r="BH142" s="287">
        <f t="shared" si="69"/>
        <v>0</v>
      </c>
      <c r="BI142" s="287">
        <f t="shared" si="70"/>
        <v>0</v>
      </c>
      <c r="BJ142" s="287">
        <f t="shared" si="71"/>
        <v>0</v>
      </c>
      <c r="BK142" s="287">
        <f t="shared" si="72"/>
        <v>0</v>
      </c>
      <c r="BL142" s="287">
        <f t="shared" si="73"/>
        <v>0</v>
      </c>
      <c r="BM142" s="16"/>
      <c r="BN142" s="287">
        <f t="shared" si="74"/>
        <v>0</v>
      </c>
      <c r="BO142" s="287">
        <f t="shared" si="75"/>
        <v>0</v>
      </c>
      <c r="BP142" s="432"/>
      <c r="BQ142" s="21"/>
      <c r="BR142" s="21"/>
      <c r="BS142" s="39"/>
      <c r="BT142" s="39"/>
      <c r="BU142" s="39"/>
      <c r="BV142" s="39"/>
      <c r="BW142" s="39"/>
      <c r="BX142" s="39"/>
      <c r="BY142" s="39"/>
      <c r="BZ142" s="39">
        <v>129</v>
      </c>
      <c r="CA142" s="39" t="str">
        <f t="shared" si="76"/>
        <v/>
      </c>
      <c r="CB142" s="39"/>
      <c r="CC142" s="39"/>
      <c r="CD142" s="39"/>
      <c r="CE142" s="39"/>
      <c r="CF142" s="39"/>
      <c r="CG142" s="39"/>
      <c r="CH142" s="39"/>
      <c r="CI142" s="39"/>
      <c r="CJ142" s="39"/>
      <c r="CK142" s="39"/>
    </row>
    <row r="143" spans="1:89" s="193" customFormat="1">
      <c r="A143" s="195"/>
      <c r="B143" s="21" t="str">
        <f t="shared" si="79"/>
        <v>N/A</v>
      </c>
      <c r="C143" s="21"/>
      <c r="D143" s="432">
        <v>3200749</v>
      </c>
      <c r="E143" s="439" t="s">
        <v>3626</v>
      </c>
      <c r="F143" s="439" t="s">
        <v>2499</v>
      </c>
      <c r="G143" s="273" t="s">
        <v>3568</v>
      </c>
      <c r="H143" s="358"/>
      <c r="I143" s="262" t="s">
        <v>3530</v>
      </c>
      <c r="J143" s="262" t="s">
        <v>3504</v>
      </c>
      <c r="K143" s="263">
        <v>993030</v>
      </c>
      <c r="L143" s="263">
        <v>7843220</v>
      </c>
      <c r="M143" s="263">
        <v>37786</v>
      </c>
      <c r="N143" s="263">
        <v>28125</v>
      </c>
      <c r="O143" s="263">
        <v>425175</v>
      </c>
      <c r="P143" s="263">
        <v>534854</v>
      </c>
      <c r="Q143" s="263">
        <v>764837</v>
      </c>
      <c r="R143" s="263">
        <v>286968</v>
      </c>
      <c r="S143" s="263">
        <v>2418000</v>
      </c>
      <c r="T143" s="263">
        <v>3799</v>
      </c>
      <c r="U143" s="263">
        <f t="shared" si="77"/>
        <v>13335794</v>
      </c>
      <c r="V143" s="196" t="str">
        <f t="shared" si="80"/>
        <v>R</v>
      </c>
      <c r="W143" s="196" t="s">
        <v>1168</v>
      </c>
      <c r="X143" s="196" t="str">
        <f t="shared" si="81"/>
        <v>N</v>
      </c>
      <c r="Y143" s="197">
        <f t="shared" si="82"/>
        <v>13335794</v>
      </c>
      <c r="Z143" s="198"/>
      <c r="AA143" s="197">
        <f t="shared" si="83"/>
        <v>13335794</v>
      </c>
      <c r="AB143" s="196"/>
      <c r="AC143" s="196"/>
      <c r="AD143" s="275">
        <v>0</v>
      </c>
      <c r="AE143" s="275">
        <v>0</v>
      </c>
      <c r="AF143" s="275">
        <v>1</v>
      </c>
      <c r="AG143" s="199"/>
      <c r="AH143" s="199"/>
      <c r="AI143" s="200">
        <f t="shared" si="84"/>
        <v>0</v>
      </c>
      <c r="AJ143" s="203"/>
      <c r="AK143" s="203"/>
      <c r="AL143" s="197">
        <f t="shared" si="85"/>
        <v>13335794</v>
      </c>
      <c r="AM143" s="197">
        <f t="shared" si="86"/>
        <v>0</v>
      </c>
      <c r="AN143" s="197">
        <f t="shared" si="87"/>
        <v>0</v>
      </c>
      <c r="AO143" s="202"/>
      <c r="AP143" s="161" t="s">
        <v>3900</v>
      </c>
      <c r="AQ143" s="279"/>
      <c r="AR143" s="287">
        <f t="shared" ref="AR143:AR206" si="88">K143*$AI143*$AJ143</f>
        <v>0</v>
      </c>
      <c r="AS143" s="287">
        <f t="shared" ref="AS143:AS206" si="89">L143*$AI143*$AJ143</f>
        <v>0</v>
      </c>
      <c r="AT143" s="287">
        <f t="shared" ref="AT143:AT206" si="90">M143*$AI143*$AJ143</f>
        <v>0</v>
      </c>
      <c r="AU143" s="287">
        <f t="shared" ref="AU143:AU206" si="91">N143*$AI143*$AJ143</f>
        <v>0</v>
      </c>
      <c r="AV143" s="287">
        <f t="shared" ref="AV143:AV206" si="92">O143*$AI143*$AJ143</f>
        <v>0</v>
      </c>
      <c r="AW143" s="287">
        <f t="shared" ref="AW143:AW206" si="93">P143*$AI143*$AJ143</f>
        <v>0</v>
      </c>
      <c r="AX143" s="287">
        <f t="shared" ref="AX143:AX206" si="94">Q143*$AI143*$AJ143</f>
        <v>0</v>
      </c>
      <c r="AY143" s="287">
        <f t="shared" ref="AY143:AY206" si="95">R143*$AI143*$AJ143</f>
        <v>0</v>
      </c>
      <c r="AZ143" s="287">
        <f t="shared" ref="AZ143:AZ206" si="96">S143*$AI143*$AJ143</f>
        <v>0</v>
      </c>
      <c r="BA143" s="287">
        <f t="shared" ref="BA143:BA206" si="97">T143*$AI143*$AJ143</f>
        <v>0</v>
      </c>
      <c r="BB143" s="16"/>
      <c r="BC143" s="287">
        <f t="shared" ref="BC143:BC206" si="98">K143*$AI143*$AK143</f>
        <v>0</v>
      </c>
      <c r="BD143" s="287">
        <f t="shared" ref="BD143:BD206" si="99">L143*$AI143*$AK143</f>
        <v>0</v>
      </c>
      <c r="BE143" s="287">
        <f t="shared" ref="BE143:BE206" si="100">M143*$AI143*$AK143</f>
        <v>0</v>
      </c>
      <c r="BF143" s="287">
        <f t="shared" ref="BF143:BF206" si="101">N143*$AI143*$AK143</f>
        <v>0</v>
      </c>
      <c r="BG143" s="287">
        <f t="shared" ref="BG143:BG206" si="102">O143*$AI143*$AK143</f>
        <v>0</v>
      </c>
      <c r="BH143" s="287">
        <f t="shared" ref="BH143:BH206" si="103">P143*$AI143*$AK143</f>
        <v>0</v>
      </c>
      <c r="BI143" s="287">
        <f t="shared" ref="BI143:BI206" si="104">Q143*$AI143*$AK143</f>
        <v>0</v>
      </c>
      <c r="BJ143" s="287">
        <f t="shared" ref="BJ143:BJ206" si="105">R143*$AI143*$AK143</f>
        <v>0</v>
      </c>
      <c r="BK143" s="287">
        <f t="shared" ref="BK143:BK206" si="106">S143*$AI143*$AK143</f>
        <v>0</v>
      </c>
      <c r="BL143" s="287">
        <f t="shared" ref="BL143:BL206" si="107">T143*$AI143*$AK143</f>
        <v>0</v>
      </c>
      <c r="BM143" s="16"/>
      <c r="BN143" s="287">
        <f t="shared" ref="BN143:BN206" si="108">SUM(AR143:BA143)</f>
        <v>0</v>
      </c>
      <c r="BO143" s="287">
        <f t="shared" ref="BO143:BO206" si="109">SUM(BC143:BL143)</f>
        <v>0</v>
      </c>
      <c r="BP143" s="432"/>
      <c r="BQ143" s="21"/>
      <c r="BR143" s="21"/>
      <c r="BS143" s="39"/>
      <c r="BT143" s="39"/>
      <c r="BU143" s="39"/>
      <c r="BV143" s="39"/>
      <c r="BW143" s="39"/>
      <c r="BX143" s="39"/>
      <c r="BY143" s="39"/>
      <c r="BZ143" s="39">
        <v>130</v>
      </c>
      <c r="CA143" s="39" t="str">
        <f t="shared" ref="CA143:CA206" si="110">IFERROR(ROUND(IF(AJ143=100%,2031,1/AJ143*10+2021),0),"")</f>
        <v/>
      </c>
      <c r="CB143" s="39"/>
      <c r="CC143" s="39"/>
      <c r="CD143" s="39"/>
      <c r="CE143" s="39"/>
      <c r="CF143" s="39"/>
      <c r="CG143" s="39"/>
      <c r="CH143" s="39"/>
      <c r="CI143" s="39"/>
      <c r="CJ143" s="39"/>
      <c r="CK143" s="39"/>
    </row>
    <row r="144" spans="1:89" s="193" customFormat="1">
      <c r="A144" s="195"/>
      <c r="B144" s="21" t="str">
        <f t="shared" si="79"/>
        <v>N/A</v>
      </c>
      <c r="C144" s="21"/>
      <c r="D144" s="432">
        <v>3200751</v>
      </c>
      <c r="E144" s="439" t="s">
        <v>3626</v>
      </c>
      <c r="F144" s="439" t="s">
        <v>2499</v>
      </c>
      <c r="G144" s="273" t="s">
        <v>3569</v>
      </c>
      <c r="H144" s="358"/>
      <c r="I144" s="262" t="s">
        <v>3530</v>
      </c>
      <c r="J144" s="262" t="s">
        <v>3504</v>
      </c>
      <c r="K144" s="263">
        <v>1800000</v>
      </c>
      <c r="L144" s="263">
        <v>1821000</v>
      </c>
      <c r="M144" s="263">
        <v>4443000</v>
      </c>
      <c r="N144" s="263">
        <v>2186000</v>
      </c>
      <c r="O144" s="263">
        <v>1845000</v>
      </c>
      <c r="P144" s="263">
        <v>37000</v>
      </c>
      <c r="Q144" s="263">
        <v>1090000</v>
      </c>
      <c r="R144" s="263">
        <v>782000</v>
      </c>
      <c r="S144" s="263">
        <v>231000</v>
      </c>
      <c r="T144" s="263">
        <v>901000</v>
      </c>
      <c r="U144" s="263">
        <f t="shared" si="77"/>
        <v>15136000</v>
      </c>
      <c r="V144" s="196" t="str">
        <f t="shared" si="80"/>
        <v>R</v>
      </c>
      <c r="W144" s="196" t="s">
        <v>1168</v>
      </c>
      <c r="X144" s="196" t="str">
        <f t="shared" si="81"/>
        <v>N</v>
      </c>
      <c r="Y144" s="197">
        <f t="shared" si="82"/>
        <v>15136000</v>
      </c>
      <c r="Z144" s="198"/>
      <c r="AA144" s="197">
        <f t="shared" si="83"/>
        <v>15136000</v>
      </c>
      <c r="AB144" s="196"/>
      <c r="AC144" s="196"/>
      <c r="AD144" s="275">
        <v>0</v>
      </c>
      <c r="AE144" s="275">
        <v>0</v>
      </c>
      <c r="AF144" s="275">
        <v>1</v>
      </c>
      <c r="AG144" s="199"/>
      <c r="AH144" s="199"/>
      <c r="AI144" s="200">
        <f t="shared" si="84"/>
        <v>0</v>
      </c>
      <c r="AJ144" s="203"/>
      <c r="AK144" s="203"/>
      <c r="AL144" s="197">
        <f t="shared" si="85"/>
        <v>15136000</v>
      </c>
      <c r="AM144" s="197">
        <f t="shared" si="86"/>
        <v>0</v>
      </c>
      <c r="AN144" s="197">
        <f t="shared" si="87"/>
        <v>0</v>
      </c>
      <c r="AO144" s="202"/>
      <c r="AP144" s="161" t="s">
        <v>3900</v>
      </c>
      <c r="AQ144" s="279"/>
      <c r="AR144" s="287">
        <f t="shared" si="88"/>
        <v>0</v>
      </c>
      <c r="AS144" s="287">
        <f t="shared" si="89"/>
        <v>0</v>
      </c>
      <c r="AT144" s="287">
        <f t="shared" si="90"/>
        <v>0</v>
      </c>
      <c r="AU144" s="287">
        <f t="shared" si="91"/>
        <v>0</v>
      </c>
      <c r="AV144" s="287">
        <f t="shared" si="92"/>
        <v>0</v>
      </c>
      <c r="AW144" s="287">
        <f t="shared" si="93"/>
        <v>0</v>
      </c>
      <c r="AX144" s="287">
        <f t="shared" si="94"/>
        <v>0</v>
      </c>
      <c r="AY144" s="287">
        <f t="shared" si="95"/>
        <v>0</v>
      </c>
      <c r="AZ144" s="287">
        <f t="shared" si="96"/>
        <v>0</v>
      </c>
      <c r="BA144" s="287">
        <f t="shared" si="97"/>
        <v>0</v>
      </c>
      <c r="BB144" s="16"/>
      <c r="BC144" s="287">
        <f t="shared" si="98"/>
        <v>0</v>
      </c>
      <c r="BD144" s="287">
        <f t="shared" si="99"/>
        <v>0</v>
      </c>
      <c r="BE144" s="287">
        <f t="shared" si="100"/>
        <v>0</v>
      </c>
      <c r="BF144" s="287">
        <f t="shared" si="101"/>
        <v>0</v>
      </c>
      <c r="BG144" s="287">
        <f t="shared" si="102"/>
        <v>0</v>
      </c>
      <c r="BH144" s="287">
        <f t="shared" si="103"/>
        <v>0</v>
      </c>
      <c r="BI144" s="287">
        <f t="shared" si="104"/>
        <v>0</v>
      </c>
      <c r="BJ144" s="287">
        <f t="shared" si="105"/>
        <v>0</v>
      </c>
      <c r="BK144" s="287">
        <f t="shared" si="106"/>
        <v>0</v>
      </c>
      <c r="BL144" s="287">
        <f t="shared" si="107"/>
        <v>0</v>
      </c>
      <c r="BM144" s="16"/>
      <c r="BN144" s="287">
        <f t="shared" si="108"/>
        <v>0</v>
      </c>
      <c r="BO144" s="287">
        <f t="shared" si="109"/>
        <v>0</v>
      </c>
      <c r="BP144" s="432"/>
      <c r="BQ144" s="21"/>
      <c r="BR144" s="21"/>
      <c r="BS144" s="39"/>
      <c r="BT144" s="39"/>
      <c r="BU144" s="39"/>
      <c r="BV144" s="39"/>
      <c r="BW144" s="39"/>
      <c r="BX144" s="39"/>
      <c r="BY144" s="39"/>
      <c r="BZ144" s="39">
        <v>131</v>
      </c>
      <c r="CA144" s="39" t="str">
        <f t="shared" si="110"/>
        <v/>
      </c>
      <c r="CB144" s="39"/>
      <c r="CC144" s="39"/>
      <c r="CD144" s="39"/>
      <c r="CE144" s="39"/>
      <c r="CF144" s="39"/>
      <c r="CG144" s="39"/>
      <c r="CH144" s="39"/>
      <c r="CI144" s="39"/>
      <c r="CJ144" s="39"/>
      <c r="CK144" s="39"/>
    </row>
    <row r="145" spans="1:89" s="193" customFormat="1">
      <c r="A145" s="195"/>
      <c r="B145" s="21" t="str">
        <f t="shared" si="79"/>
        <v>N/A</v>
      </c>
      <c r="C145" s="21"/>
      <c r="D145" s="432">
        <v>3200752</v>
      </c>
      <c r="E145" s="439" t="s">
        <v>3626</v>
      </c>
      <c r="F145" s="439" t="s">
        <v>2499</v>
      </c>
      <c r="G145" s="273" t="s">
        <v>3570</v>
      </c>
      <c r="H145" s="358"/>
      <c r="I145" s="262" t="s">
        <v>3530</v>
      </c>
      <c r="J145" s="262" t="s">
        <v>3504</v>
      </c>
      <c r="K145" s="263">
        <v>82014</v>
      </c>
      <c r="L145" s="263">
        <v>508900</v>
      </c>
      <c r="M145" s="263">
        <v>195000</v>
      </c>
      <c r="N145" s="263">
        <v>0</v>
      </c>
      <c r="O145" s="263">
        <v>592000</v>
      </c>
      <c r="P145" s="263">
        <v>749829</v>
      </c>
      <c r="Q145" s="263">
        <v>257000</v>
      </c>
      <c r="R145" s="263">
        <v>119000</v>
      </c>
      <c r="S145" s="263">
        <v>0</v>
      </c>
      <c r="T145" s="263">
        <v>145029</v>
      </c>
      <c r="U145" s="263">
        <f t="shared" si="77"/>
        <v>2648772</v>
      </c>
      <c r="V145" s="196" t="str">
        <f t="shared" si="80"/>
        <v>R</v>
      </c>
      <c r="W145" s="196" t="s">
        <v>1168</v>
      </c>
      <c r="X145" s="196" t="str">
        <f t="shared" si="81"/>
        <v>N</v>
      </c>
      <c r="Y145" s="197">
        <f t="shared" si="82"/>
        <v>2648772</v>
      </c>
      <c r="Z145" s="198"/>
      <c r="AA145" s="197">
        <f t="shared" si="83"/>
        <v>2648772</v>
      </c>
      <c r="AB145" s="196"/>
      <c r="AC145" s="196"/>
      <c r="AD145" s="275">
        <v>0</v>
      </c>
      <c r="AE145" s="275">
        <v>0</v>
      </c>
      <c r="AF145" s="275">
        <v>1</v>
      </c>
      <c r="AG145" s="199"/>
      <c r="AH145" s="199"/>
      <c r="AI145" s="200">
        <f t="shared" si="84"/>
        <v>0</v>
      </c>
      <c r="AJ145" s="203"/>
      <c r="AK145" s="203"/>
      <c r="AL145" s="197">
        <f t="shared" si="85"/>
        <v>2648772</v>
      </c>
      <c r="AM145" s="197">
        <f t="shared" si="86"/>
        <v>0</v>
      </c>
      <c r="AN145" s="197">
        <f t="shared" si="87"/>
        <v>0</v>
      </c>
      <c r="AO145" s="202"/>
      <c r="AP145" s="161" t="s">
        <v>3900</v>
      </c>
      <c r="AQ145" s="279"/>
      <c r="AR145" s="287">
        <f t="shared" si="88"/>
        <v>0</v>
      </c>
      <c r="AS145" s="287">
        <f t="shared" si="89"/>
        <v>0</v>
      </c>
      <c r="AT145" s="287">
        <f t="shared" si="90"/>
        <v>0</v>
      </c>
      <c r="AU145" s="287">
        <f t="shared" si="91"/>
        <v>0</v>
      </c>
      <c r="AV145" s="287">
        <f t="shared" si="92"/>
        <v>0</v>
      </c>
      <c r="AW145" s="287">
        <f t="shared" si="93"/>
        <v>0</v>
      </c>
      <c r="AX145" s="287">
        <f t="shared" si="94"/>
        <v>0</v>
      </c>
      <c r="AY145" s="287">
        <f t="shared" si="95"/>
        <v>0</v>
      </c>
      <c r="AZ145" s="287">
        <f t="shared" si="96"/>
        <v>0</v>
      </c>
      <c r="BA145" s="287">
        <f t="shared" si="97"/>
        <v>0</v>
      </c>
      <c r="BB145" s="16"/>
      <c r="BC145" s="287">
        <f t="shared" si="98"/>
        <v>0</v>
      </c>
      <c r="BD145" s="287">
        <f t="shared" si="99"/>
        <v>0</v>
      </c>
      <c r="BE145" s="287">
        <f t="shared" si="100"/>
        <v>0</v>
      </c>
      <c r="BF145" s="287">
        <f t="shared" si="101"/>
        <v>0</v>
      </c>
      <c r="BG145" s="287">
        <f t="shared" si="102"/>
        <v>0</v>
      </c>
      <c r="BH145" s="287">
        <f t="shared" si="103"/>
        <v>0</v>
      </c>
      <c r="BI145" s="287">
        <f t="shared" si="104"/>
        <v>0</v>
      </c>
      <c r="BJ145" s="287">
        <f t="shared" si="105"/>
        <v>0</v>
      </c>
      <c r="BK145" s="287">
        <f t="shared" si="106"/>
        <v>0</v>
      </c>
      <c r="BL145" s="287">
        <f t="shared" si="107"/>
        <v>0</v>
      </c>
      <c r="BM145" s="16"/>
      <c r="BN145" s="287">
        <f t="shared" si="108"/>
        <v>0</v>
      </c>
      <c r="BO145" s="287">
        <f t="shared" si="109"/>
        <v>0</v>
      </c>
      <c r="BP145" s="432"/>
      <c r="BQ145" s="21"/>
      <c r="BR145" s="21"/>
      <c r="BS145" s="39"/>
      <c r="BT145" s="39"/>
      <c r="BU145" s="39"/>
      <c r="BV145" s="39"/>
      <c r="BW145" s="39"/>
      <c r="BX145" s="39"/>
      <c r="BY145" s="39"/>
      <c r="BZ145" s="39">
        <v>132</v>
      </c>
      <c r="CA145" s="39" t="str">
        <f t="shared" si="110"/>
        <v/>
      </c>
      <c r="CB145" s="39"/>
      <c r="CC145" s="39"/>
      <c r="CD145" s="39"/>
      <c r="CE145" s="39"/>
      <c r="CF145" s="39"/>
      <c r="CG145" s="39"/>
      <c r="CH145" s="39"/>
      <c r="CI145" s="39"/>
      <c r="CJ145" s="39"/>
      <c r="CK145" s="39"/>
    </row>
    <row r="146" spans="1:89" s="193" customFormat="1">
      <c r="A146" s="195"/>
      <c r="B146" s="21" t="str">
        <f t="shared" si="79"/>
        <v>N/A</v>
      </c>
      <c r="C146" s="21"/>
      <c r="D146" s="432">
        <v>3200753</v>
      </c>
      <c r="E146" s="439" t="s">
        <v>3626</v>
      </c>
      <c r="F146" s="439" t="s">
        <v>2499</v>
      </c>
      <c r="G146" s="273" t="s">
        <v>3563</v>
      </c>
      <c r="H146" s="358"/>
      <c r="I146" s="262" t="s">
        <v>3530</v>
      </c>
      <c r="J146" s="262" t="s">
        <v>3504</v>
      </c>
      <c r="K146" s="263">
        <v>7560000</v>
      </c>
      <c r="L146" s="263">
        <v>2560000</v>
      </c>
      <c r="M146" s="263">
        <v>90000</v>
      </c>
      <c r="N146" s="263">
        <v>190000</v>
      </c>
      <c r="O146" s="263">
        <v>240000</v>
      </c>
      <c r="P146" s="263">
        <v>290000</v>
      </c>
      <c r="Q146" s="263">
        <v>340000</v>
      </c>
      <c r="R146" s="263">
        <v>440000</v>
      </c>
      <c r="S146" s="263">
        <v>740000</v>
      </c>
      <c r="T146" s="263">
        <v>940000</v>
      </c>
      <c r="U146" s="263">
        <f t="shared" si="77"/>
        <v>13390000</v>
      </c>
      <c r="V146" s="196" t="str">
        <f t="shared" si="80"/>
        <v>R</v>
      </c>
      <c r="W146" s="196" t="s">
        <v>1168</v>
      </c>
      <c r="X146" s="196" t="str">
        <f t="shared" si="81"/>
        <v>N</v>
      </c>
      <c r="Y146" s="197">
        <f t="shared" si="82"/>
        <v>13390000</v>
      </c>
      <c r="Z146" s="198"/>
      <c r="AA146" s="197">
        <f t="shared" si="83"/>
        <v>13390000</v>
      </c>
      <c r="AB146" s="196"/>
      <c r="AC146" s="196"/>
      <c r="AD146" s="275">
        <v>0</v>
      </c>
      <c r="AE146" s="275">
        <v>0</v>
      </c>
      <c r="AF146" s="275">
        <v>1</v>
      </c>
      <c r="AG146" s="199"/>
      <c r="AH146" s="199"/>
      <c r="AI146" s="200">
        <f t="shared" si="84"/>
        <v>0</v>
      </c>
      <c r="AJ146" s="203"/>
      <c r="AK146" s="203"/>
      <c r="AL146" s="197">
        <f t="shared" si="85"/>
        <v>13390000</v>
      </c>
      <c r="AM146" s="197">
        <f t="shared" si="86"/>
        <v>0</v>
      </c>
      <c r="AN146" s="197">
        <f t="shared" si="87"/>
        <v>0</v>
      </c>
      <c r="AO146" s="202"/>
      <c r="AP146" s="161" t="s">
        <v>3900</v>
      </c>
      <c r="AQ146" s="279"/>
      <c r="AR146" s="287">
        <f t="shared" si="88"/>
        <v>0</v>
      </c>
      <c r="AS146" s="287">
        <f t="shared" si="89"/>
        <v>0</v>
      </c>
      <c r="AT146" s="287">
        <f t="shared" si="90"/>
        <v>0</v>
      </c>
      <c r="AU146" s="287">
        <f t="shared" si="91"/>
        <v>0</v>
      </c>
      <c r="AV146" s="287">
        <f t="shared" si="92"/>
        <v>0</v>
      </c>
      <c r="AW146" s="287">
        <f t="shared" si="93"/>
        <v>0</v>
      </c>
      <c r="AX146" s="287">
        <f t="shared" si="94"/>
        <v>0</v>
      </c>
      <c r="AY146" s="287">
        <f t="shared" si="95"/>
        <v>0</v>
      </c>
      <c r="AZ146" s="287">
        <f t="shared" si="96"/>
        <v>0</v>
      </c>
      <c r="BA146" s="287">
        <f t="shared" si="97"/>
        <v>0</v>
      </c>
      <c r="BB146" s="16"/>
      <c r="BC146" s="287">
        <f t="shared" si="98"/>
        <v>0</v>
      </c>
      <c r="BD146" s="287">
        <f t="shared" si="99"/>
        <v>0</v>
      </c>
      <c r="BE146" s="287">
        <f t="shared" si="100"/>
        <v>0</v>
      </c>
      <c r="BF146" s="287">
        <f t="shared" si="101"/>
        <v>0</v>
      </c>
      <c r="BG146" s="287">
        <f t="shared" si="102"/>
        <v>0</v>
      </c>
      <c r="BH146" s="287">
        <f t="shared" si="103"/>
        <v>0</v>
      </c>
      <c r="BI146" s="287">
        <f t="shared" si="104"/>
        <v>0</v>
      </c>
      <c r="BJ146" s="287">
        <f t="shared" si="105"/>
        <v>0</v>
      </c>
      <c r="BK146" s="287">
        <f t="shared" si="106"/>
        <v>0</v>
      </c>
      <c r="BL146" s="287">
        <f t="shared" si="107"/>
        <v>0</v>
      </c>
      <c r="BM146" s="16"/>
      <c r="BN146" s="287">
        <f t="shared" si="108"/>
        <v>0</v>
      </c>
      <c r="BO146" s="287">
        <f t="shared" si="109"/>
        <v>0</v>
      </c>
      <c r="BP146" s="432"/>
      <c r="BQ146" s="21"/>
      <c r="BR146" s="21"/>
      <c r="BS146" s="39"/>
      <c r="BT146" s="39"/>
      <c r="BU146" s="39"/>
      <c r="BV146" s="39"/>
      <c r="BW146" s="39"/>
      <c r="BX146" s="39"/>
      <c r="BY146" s="39"/>
      <c r="BZ146" s="39">
        <v>133</v>
      </c>
      <c r="CA146" s="39" t="str">
        <f t="shared" si="110"/>
        <v/>
      </c>
      <c r="CB146" s="39"/>
      <c r="CC146" s="39"/>
      <c r="CD146" s="39"/>
      <c r="CE146" s="39"/>
      <c r="CF146" s="39"/>
      <c r="CG146" s="39"/>
      <c r="CH146" s="39"/>
      <c r="CI146" s="39"/>
      <c r="CJ146" s="39"/>
      <c r="CK146" s="39"/>
    </row>
    <row r="147" spans="1:89" s="193" customFormat="1">
      <c r="A147" s="195"/>
      <c r="B147" s="21" t="str">
        <f t="shared" si="79"/>
        <v>N/A</v>
      </c>
      <c r="C147" s="21"/>
      <c r="D147" s="432">
        <v>3200761</v>
      </c>
      <c r="E147" s="439" t="s">
        <v>3626</v>
      </c>
      <c r="F147" s="439" t="s">
        <v>2499</v>
      </c>
      <c r="G147" s="273" t="s">
        <v>3571</v>
      </c>
      <c r="H147" s="358"/>
      <c r="I147" s="262" t="s">
        <v>3530</v>
      </c>
      <c r="J147" s="262" t="s">
        <v>3504</v>
      </c>
      <c r="K147" s="263">
        <v>900000</v>
      </c>
      <c r="L147" s="263">
        <v>600000</v>
      </c>
      <c r="M147" s="263">
        <v>885000</v>
      </c>
      <c r="N147" s="263">
        <v>1000000</v>
      </c>
      <c r="O147" s="263">
        <v>800000</v>
      </c>
      <c r="P147" s="263">
        <v>2140000</v>
      </c>
      <c r="Q147" s="263">
        <v>2350000</v>
      </c>
      <c r="R147" s="263">
        <v>1600000</v>
      </c>
      <c r="S147" s="263">
        <v>1850000</v>
      </c>
      <c r="T147" s="263">
        <v>1100000</v>
      </c>
      <c r="U147" s="263">
        <f t="shared" si="77"/>
        <v>13225000</v>
      </c>
      <c r="V147" s="196" t="str">
        <f t="shared" si="80"/>
        <v>G</v>
      </c>
      <c r="W147" s="196" t="s">
        <v>1168</v>
      </c>
      <c r="X147" s="196" t="str">
        <f t="shared" si="81"/>
        <v>Y</v>
      </c>
      <c r="Y147" s="197">
        <f t="shared" si="82"/>
        <v>13225000</v>
      </c>
      <c r="Z147" s="198"/>
      <c r="AA147" s="197">
        <f t="shared" si="83"/>
        <v>13225000</v>
      </c>
      <c r="AB147" s="196" t="s">
        <v>1168</v>
      </c>
      <c r="AC147" s="196"/>
      <c r="AD147" s="275">
        <v>1</v>
      </c>
      <c r="AE147" s="275">
        <v>0</v>
      </c>
      <c r="AF147" s="275">
        <v>0</v>
      </c>
      <c r="AG147" s="199"/>
      <c r="AH147" s="199"/>
      <c r="AI147" s="200">
        <f t="shared" si="84"/>
        <v>0</v>
      </c>
      <c r="AJ147" s="203"/>
      <c r="AK147" s="203"/>
      <c r="AL147" s="197">
        <f t="shared" si="85"/>
        <v>13225000</v>
      </c>
      <c r="AM147" s="197">
        <f t="shared" si="86"/>
        <v>0</v>
      </c>
      <c r="AN147" s="197">
        <f t="shared" si="87"/>
        <v>0</v>
      </c>
      <c r="AO147" s="202"/>
      <c r="AP147" s="161" t="s">
        <v>3900</v>
      </c>
      <c r="AQ147" s="279"/>
      <c r="AR147" s="287">
        <f t="shared" si="88"/>
        <v>0</v>
      </c>
      <c r="AS147" s="287">
        <f t="shared" si="89"/>
        <v>0</v>
      </c>
      <c r="AT147" s="287">
        <f t="shared" si="90"/>
        <v>0</v>
      </c>
      <c r="AU147" s="287">
        <f t="shared" si="91"/>
        <v>0</v>
      </c>
      <c r="AV147" s="287">
        <f t="shared" si="92"/>
        <v>0</v>
      </c>
      <c r="AW147" s="287">
        <f t="shared" si="93"/>
        <v>0</v>
      </c>
      <c r="AX147" s="287">
        <f t="shared" si="94"/>
        <v>0</v>
      </c>
      <c r="AY147" s="287">
        <f t="shared" si="95"/>
        <v>0</v>
      </c>
      <c r="AZ147" s="287">
        <f t="shared" si="96"/>
        <v>0</v>
      </c>
      <c r="BA147" s="287">
        <f t="shared" si="97"/>
        <v>0</v>
      </c>
      <c r="BB147" s="16"/>
      <c r="BC147" s="287">
        <f t="shared" si="98"/>
        <v>0</v>
      </c>
      <c r="BD147" s="287">
        <f t="shared" si="99"/>
        <v>0</v>
      </c>
      <c r="BE147" s="287">
        <f t="shared" si="100"/>
        <v>0</v>
      </c>
      <c r="BF147" s="287">
        <f t="shared" si="101"/>
        <v>0</v>
      </c>
      <c r="BG147" s="287">
        <f t="shared" si="102"/>
        <v>0</v>
      </c>
      <c r="BH147" s="287">
        <f t="shared" si="103"/>
        <v>0</v>
      </c>
      <c r="BI147" s="287">
        <f t="shared" si="104"/>
        <v>0</v>
      </c>
      <c r="BJ147" s="287">
        <f t="shared" si="105"/>
        <v>0</v>
      </c>
      <c r="BK147" s="287">
        <f t="shared" si="106"/>
        <v>0</v>
      </c>
      <c r="BL147" s="287">
        <f t="shared" si="107"/>
        <v>0</v>
      </c>
      <c r="BM147" s="16"/>
      <c r="BN147" s="287">
        <f t="shared" si="108"/>
        <v>0</v>
      </c>
      <c r="BO147" s="287">
        <f t="shared" si="109"/>
        <v>0</v>
      </c>
      <c r="BP147" s="432"/>
      <c r="BQ147" s="21"/>
      <c r="BR147" s="21"/>
      <c r="BS147" s="39"/>
      <c r="BT147" s="39"/>
      <c r="BU147" s="39"/>
      <c r="BV147" s="39"/>
      <c r="BW147" s="39"/>
      <c r="BX147" s="39"/>
      <c r="BY147" s="39"/>
      <c r="BZ147" s="39">
        <v>134</v>
      </c>
      <c r="CA147" s="39" t="str">
        <f t="shared" si="110"/>
        <v/>
      </c>
      <c r="CB147" s="39"/>
      <c r="CC147" s="39"/>
      <c r="CD147" s="39"/>
      <c r="CE147" s="39"/>
      <c r="CF147" s="39"/>
      <c r="CG147" s="39"/>
      <c r="CH147" s="39"/>
      <c r="CI147" s="39"/>
      <c r="CJ147" s="39"/>
      <c r="CK147" s="39"/>
    </row>
    <row r="148" spans="1:89" s="193" customFormat="1">
      <c r="A148" s="195"/>
      <c r="B148" s="21" t="str">
        <f t="shared" si="79"/>
        <v>N/A</v>
      </c>
      <c r="C148" s="21"/>
      <c r="D148" s="432">
        <v>3200762</v>
      </c>
      <c r="E148" s="439" t="s">
        <v>3626</v>
      </c>
      <c r="F148" s="439" t="s">
        <v>2499</v>
      </c>
      <c r="G148" s="273" t="s">
        <v>3572</v>
      </c>
      <c r="H148" s="358"/>
      <c r="I148" s="262" t="s">
        <v>3530</v>
      </c>
      <c r="J148" s="262" t="s">
        <v>3504</v>
      </c>
      <c r="K148" s="263">
        <v>1798999.92</v>
      </c>
      <c r="L148" s="263">
        <v>1299000</v>
      </c>
      <c r="M148" s="263">
        <v>1266000</v>
      </c>
      <c r="N148" s="263">
        <v>1231300</v>
      </c>
      <c r="O148" s="263">
        <v>1381806</v>
      </c>
      <c r="P148" s="263">
        <v>961522.12</v>
      </c>
      <c r="Q148" s="263">
        <v>1599452.56</v>
      </c>
      <c r="R148" s="263">
        <v>1763601.6099999999</v>
      </c>
      <c r="S148" s="263">
        <v>1568973.65</v>
      </c>
      <c r="T148" s="263">
        <v>1455573.12</v>
      </c>
      <c r="U148" s="263">
        <f t="shared" si="77"/>
        <v>14326228.98</v>
      </c>
      <c r="V148" s="196" t="str">
        <f t="shared" si="80"/>
        <v>G/LOS</v>
      </c>
      <c r="W148" s="196" t="s">
        <v>1168</v>
      </c>
      <c r="X148" s="196" t="str">
        <f t="shared" si="81"/>
        <v>Y</v>
      </c>
      <c r="Y148" s="197">
        <f t="shared" si="82"/>
        <v>14326228.98</v>
      </c>
      <c r="Z148" s="198"/>
      <c r="AA148" s="197">
        <f t="shared" si="83"/>
        <v>14326228.98</v>
      </c>
      <c r="AB148" s="196" t="s">
        <v>1168</v>
      </c>
      <c r="AC148" s="196"/>
      <c r="AD148" s="275">
        <v>0.58675594057131986</v>
      </c>
      <c r="AE148" s="275">
        <v>0.4132440594286802</v>
      </c>
      <c r="AF148" s="275">
        <v>0</v>
      </c>
      <c r="AG148" s="199"/>
      <c r="AH148" s="199"/>
      <c r="AI148" s="200">
        <f t="shared" si="84"/>
        <v>0</v>
      </c>
      <c r="AJ148" s="203"/>
      <c r="AK148" s="203"/>
      <c r="AL148" s="197">
        <f t="shared" si="85"/>
        <v>14326228.98</v>
      </c>
      <c r="AM148" s="197">
        <f t="shared" si="86"/>
        <v>0</v>
      </c>
      <c r="AN148" s="197">
        <f t="shared" si="87"/>
        <v>0</v>
      </c>
      <c r="AO148" s="202"/>
      <c r="AP148" s="161" t="s">
        <v>3900</v>
      </c>
      <c r="AQ148" s="279"/>
      <c r="AR148" s="287">
        <f t="shared" si="88"/>
        <v>0</v>
      </c>
      <c r="AS148" s="287">
        <f t="shared" si="89"/>
        <v>0</v>
      </c>
      <c r="AT148" s="287">
        <f t="shared" si="90"/>
        <v>0</v>
      </c>
      <c r="AU148" s="287">
        <f t="shared" si="91"/>
        <v>0</v>
      </c>
      <c r="AV148" s="287">
        <f t="shared" si="92"/>
        <v>0</v>
      </c>
      <c r="AW148" s="287">
        <f t="shared" si="93"/>
        <v>0</v>
      </c>
      <c r="AX148" s="287">
        <f t="shared" si="94"/>
        <v>0</v>
      </c>
      <c r="AY148" s="287">
        <f t="shared" si="95"/>
        <v>0</v>
      </c>
      <c r="AZ148" s="287">
        <f t="shared" si="96"/>
        <v>0</v>
      </c>
      <c r="BA148" s="287">
        <f t="shared" si="97"/>
        <v>0</v>
      </c>
      <c r="BB148" s="16"/>
      <c r="BC148" s="287">
        <f t="shared" si="98"/>
        <v>0</v>
      </c>
      <c r="BD148" s="287">
        <f t="shared" si="99"/>
        <v>0</v>
      </c>
      <c r="BE148" s="287">
        <f t="shared" si="100"/>
        <v>0</v>
      </c>
      <c r="BF148" s="287">
        <f t="shared" si="101"/>
        <v>0</v>
      </c>
      <c r="BG148" s="287">
        <f t="shared" si="102"/>
        <v>0</v>
      </c>
      <c r="BH148" s="287">
        <f t="shared" si="103"/>
        <v>0</v>
      </c>
      <c r="BI148" s="287">
        <f t="shared" si="104"/>
        <v>0</v>
      </c>
      <c r="BJ148" s="287">
        <f t="shared" si="105"/>
        <v>0</v>
      </c>
      <c r="BK148" s="287">
        <f t="shared" si="106"/>
        <v>0</v>
      </c>
      <c r="BL148" s="287">
        <f t="shared" si="107"/>
        <v>0</v>
      </c>
      <c r="BM148" s="16"/>
      <c r="BN148" s="287">
        <f t="shared" si="108"/>
        <v>0</v>
      </c>
      <c r="BO148" s="287">
        <f t="shared" si="109"/>
        <v>0</v>
      </c>
      <c r="BP148" s="432"/>
      <c r="BQ148" s="21"/>
      <c r="BR148" s="21"/>
      <c r="BS148" s="39"/>
      <c r="BT148" s="39"/>
      <c r="BU148" s="39"/>
      <c r="BV148" s="39"/>
      <c r="BW148" s="39"/>
      <c r="BX148" s="39"/>
      <c r="BY148" s="39"/>
      <c r="BZ148" s="39">
        <v>135</v>
      </c>
      <c r="CA148" s="39" t="str">
        <f t="shared" si="110"/>
        <v/>
      </c>
      <c r="CB148" s="39"/>
      <c r="CC148" s="39"/>
      <c r="CD148" s="39"/>
      <c r="CE148" s="39"/>
      <c r="CF148" s="39"/>
      <c r="CG148" s="39"/>
      <c r="CH148" s="39"/>
      <c r="CI148" s="39"/>
      <c r="CJ148" s="39"/>
      <c r="CK148" s="39"/>
    </row>
    <row r="149" spans="1:89" s="193" customFormat="1">
      <c r="A149" s="195"/>
      <c r="B149" s="21" t="str">
        <f t="shared" si="79"/>
        <v>N/A</v>
      </c>
      <c r="C149" s="21"/>
      <c r="D149" s="432">
        <v>3200768</v>
      </c>
      <c r="E149" s="439" t="s">
        <v>3626</v>
      </c>
      <c r="F149" s="439" t="s">
        <v>2499</v>
      </c>
      <c r="G149" s="273" t="s">
        <v>3583</v>
      </c>
      <c r="H149" s="358"/>
      <c r="I149" s="262" t="s">
        <v>3531</v>
      </c>
      <c r="J149" s="262" t="s">
        <v>3504</v>
      </c>
      <c r="K149" s="263">
        <v>0</v>
      </c>
      <c r="L149" s="263">
        <v>100000</v>
      </c>
      <c r="M149" s="263">
        <v>0</v>
      </c>
      <c r="N149" s="263">
        <v>0</v>
      </c>
      <c r="O149" s="263">
        <v>0</v>
      </c>
      <c r="P149" s="263">
        <v>0</v>
      </c>
      <c r="Q149" s="263">
        <v>0</v>
      </c>
      <c r="R149" s="263">
        <v>0</v>
      </c>
      <c r="S149" s="263">
        <v>0</v>
      </c>
      <c r="T149" s="263">
        <v>0</v>
      </c>
      <c r="U149" s="263">
        <f t="shared" si="77"/>
        <v>100000</v>
      </c>
      <c r="V149" s="196" t="str">
        <f t="shared" si="80"/>
        <v>LOS</v>
      </c>
      <c r="W149" s="196" t="s">
        <v>1168</v>
      </c>
      <c r="X149" s="196" t="str">
        <f t="shared" si="81"/>
        <v>N</v>
      </c>
      <c r="Y149" s="197">
        <f t="shared" si="82"/>
        <v>100000</v>
      </c>
      <c r="Z149" s="198"/>
      <c r="AA149" s="197">
        <f t="shared" si="83"/>
        <v>100000</v>
      </c>
      <c r="AB149" s="196"/>
      <c r="AC149" s="196"/>
      <c r="AD149" s="275">
        <v>0</v>
      </c>
      <c r="AE149" s="275">
        <v>1</v>
      </c>
      <c r="AF149" s="275">
        <v>0</v>
      </c>
      <c r="AG149" s="442"/>
      <c r="AH149" s="442"/>
      <c r="AI149" s="200">
        <f t="shared" si="84"/>
        <v>0</v>
      </c>
      <c r="AJ149" s="203"/>
      <c r="AK149" s="203"/>
      <c r="AL149" s="197">
        <f t="shared" si="85"/>
        <v>100000</v>
      </c>
      <c r="AM149" s="197">
        <f t="shared" si="86"/>
        <v>0</v>
      </c>
      <c r="AN149" s="197">
        <f t="shared" si="87"/>
        <v>0</v>
      </c>
      <c r="AO149" s="202"/>
      <c r="AP149" s="161" t="s">
        <v>3900</v>
      </c>
      <c r="AQ149" s="279"/>
      <c r="AR149" s="287">
        <f t="shared" si="88"/>
        <v>0</v>
      </c>
      <c r="AS149" s="287">
        <f t="shared" si="89"/>
        <v>0</v>
      </c>
      <c r="AT149" s="287">
        <f t="shared" si="90"/>
        <v>0</v>
      </c>
      <c r="AU149" s="287">
        <f t="shared" si="91"/>
        <v>0</v>
      </c>
      <c r="AV149" s="287">
        <f t="shared" si="92"/>
        <v>0</v>
      </c>
      <c r="AW149" s="287">
        <f t="shared" si="93"/>
        <v>0</v>
      </c>
      <c r="AX149" s="287">
        <f t="shared" si="94"/>
        <v>0</v>
      </c>
      <c r="AY149" s="287">
        <f t="shared" si="95"/>
        <v>0</v>
      </c>
      <c r="AZ149" s="287">
        <f t="shared" si="96"/>
        <v>0</v>
      </c>
      <c r="BA149" s="287">
        <f t="shared" si="97"/>
        <v>0</v>
      </c>
      <c r="BB149" s="16"/>
      <c r="BC149" s="287">
        <f t="shared" si="98"/>
        <v>0</v>
      </c>
      <c r="BD149" s="287">
        <f t="shared" si="99"/>
        <v>0</v>
      </c>
      <c r="BE149" s="287">
        <f t="shared" si="100"/>
        <v>0</v>
      </c>
      <c r="BF149" s="287">
        <f t="shared" si="101"/>
        <v>0</v>
      </c>
      <c r="BG149" s="287">
        <f t="shared" si="102"/>
        <v>0</v>
      </c>
      <c r="BH149" s="287">
        <f t="shared" si="103"/>
        <v>0</v>
      </c>
      <c r="BI149" s="287">
        <f t="shared" si="104"/>
        <v>0</v>
      </c>
      <c r="BJ149" s="287">
        <f t="shared" si="105"/>
        <v>0</v>
      </c>
      <c r="BK149" s="287">
        <f t="shared" si="106"/>
        <v>0</v>
      </c>
      <c r="BL149" s="287">
        <f t="shared" si="107"/>
        <v>0</v>
      </c>
      <c r="BM149" s="16"/>
      <c r="BN149" s="287">
        <f t="shared" si="108"/>
        <v>0</v>
      </c>
      <c r="BO149" s="287">
        <f t="shared" si="109"/>
        <v>0</v>
      </c>
      <c r="BP149" s="432"/>
      <c r="BQ149" s="21"/>
      <c r="BR149" s="21"/>
      <c r="BS149" s="39"/>
      <c r="BT149" s="39"/>
      <c r="BU149" s="39"/>
      <c r="BV149" s="39"/>
      <c r="BW149" s="39"/>
      <c r="BX149" s="39"/>
      <c r="BY149" s="39"/>
      <c r="BZ149" s="39">
        <v>136</v>
      </c>
      <c r="CA149" s="39" t="str">
        <f t="shared" si="110"/>
        <v/>
      </c>
      <c r="CB149" s="39"/>
      <c r="CC149" s="39"/>
      <c r="CD149" s="39"/>
      <c r="CE149" s="39"/>
      <c r="CF149" s="39"/>
      <c r="CG149" s="39"/>
      <c r="CH149" s="39"/>
      <c r="CI149" s="39"/>
      <c r="CJ149" s="39"/>
      <c r="CK149" s="39"/>
    </row>
    <row r="150" spans="1:89" s="193" customFormat="1">
      <c r="A150" s="195"/>
      <c r="B150" s="21" t="str">
        <f t="shared" si="79"/>
        <v>N/A</v>
      </c>
      <c r="C150" s="21"/>
      <c r="D150" s="432">
        <v>3200769</v>
      </c>
      <c r="E150" s="439" t="s">
        <v>3626</v>
      </c>
      <c r="F150" s="439" t="s">
        <v>2499</v>
      </c>
      <c r="G150" s="273" t="s">
        <v>3584</v>
      </c>
      <c r="H150" s="358"/>
      <c r="I150" s="262" t="s">
        <v>3531</v>
      </c>
      <c r="J150" s="262" t="s">
        <v>3504</v>
      </c>
      <c r="K150" s="263">
        <v>150000</v>
      </c>
      <c r="L150" s="263">
        <v>0</v>
      </c>
      <c r="M150" s="263">
        <v>0</v>
      </c>
      <c r="N150" s="263">
        <v>0</v>
      </c>
      <c r="O150" s="263">
        <v>0</v>
      </c>
      <c r="P150" s="263">
        <v>0</v>
      </c>
      <c r="Q150" s="263">
        <v>0</v>
      </c>
      <c r="R150" s="263">
        <v>0</v>
      </c>
      <c r="S150" s="263">
        <v>0</v>
      </c>
      <c r="T150" s="263">
        <v>0</v>
      </c>
      <c r="U150" s="263">
        <f t="shared" si="77"/>
        <v>150000</v>
      </c>
      <c r="V150" s="196" t="str">
        <f t="shared" si="80"/>
        <v>G/LOS</v>
      </c>
      <c r="W150" s="196" t="s">
        <v>1168</v>
      </c>
      <c r="X150" s="196" t="str">
        <f t="shared" si="81"/>
        <v>Y</v>
      </c>
      <c r="Y150" s="197">
        <f t="shared" si="82"/>
        <v>150000</v>
      </c>
      <c r="Z150" s="198"/>
      <c r="AA150" s="197">
        <f t="shared" si="83"/>
        <v>150000</v>
      </c>
      <c r="AB150" s="196" t="s">
        <v>1168</v>
      </c>
      <c r="AC150" s="196"/>
      <c r="AD150" s="275">
        <v>0.65</v>
      </c>
      <c r="AE150" s="275">
        <v>0.35</v>
      </c>
      <c r="AF150" s="275">
        <v>0</v>
      </c>
      <c r="AG150" s="442"/>
      <c r="AH150" s="442"/>
      <c r="AI150" s="200">
        <f t="shared" si="84"/>
        <v>0</v>
      </c>
      <c r="AJ150" s="203"/>
      <c r="AK150" s="203"/>
      <c r="AL150" s="197">
        <f t="shared" si="85"/>
        <v>150000</v>
      </c>
      <c r="AM150" s="197">
        <f t="shared" si="86"/>
        <v>0</v>
      </c>
      <c r="AN150" s="197">
        <f t="shared" si="87"/>
        <v>0</v>
      </c>
      <c r="AO150" s="202"/>
      <c r="AP150" s="161" t="s">
        <v>3900</v>
      </c>
      <c r="AQ150" s="279"/>
      <c r="AR150" s="287">
        <f t="shared" si="88"/>
        <v>0</v>
      </c>
      <c r="AS150" s="287">
        <f t="shared" si="89"/>
        <v>0</v>
      </c>
      <c r="AT150" s="287">
        <f t="shared" si="90"/>
        <v>0</v>
      </c>
      <c r="AU150" s="287">
        <f t="shared" si="91"/>
        <v>0</v>
      </c>
      <c r="AV150" s="287">
        <f t="shared" si="92"/>
        <v>0</v>
      </c>
      <c r="AW150" s="287">
        <f t="shared" si="93"/>
        <v>0</v>
      </c>
      <c r="AX150" s="287">
        <f t="shared" si="94"/>
        <v>0</v>
      </c>
      <c r="AY150" s="287">
        <f t="shared" si="95"/>
        <v>0</v>
      </c>
      <c r="AZ150" s="287">
        <f t="shared" si="96"/>
        <v>0</v>
      </c>
      <c r="BA150" s="287">
        <f t="shared" si="97"/>
        <v>0</v>
      </c>
      <c r="BB150" s="16"/>
      <c r="BC150" s="287">
        <f t="shared" si="98"/>
        <v>0</v>
      </c>
      <c r="BD150" s="287">
        <f t="shared" si="99"/>
        <v>0</v>
      </c>
      <c r="BE150" s="287">
        <f t="shared" si="100"/>
        <v>0</v>
      </c>
      <c r="BF150" s="287">
        <f t="shared" si="101"/>
        <v>0</v>
      </c>
      <c r="BG150" s="287">
        <f t="shared" si="102"/>
        <v>0</v>
      </c>
      <c r="BH150" s="287">
        <f t="shared" si="103"/>
        <v>0</v>
      </c>
      <c r="BI150" s="287">
        <f t="shared" si="104"/>
        <v>0</v>
      </c>
      <c r="BJ150" s="287">
        <f t="shared" si="105"/>
        <v>0</v>
      </c>
      <c r="BK150" s="287">
        <f t="shared" si="106"/>
        <v>0</v>
      </c>
      <c r="BL150" s="287">
        <f t="shared" si="107"/>
        <v>0</v>
      </c>
      <c r="BM150" s="16"/>
      <c r="BN150" s="287">
        <f t="shared" si="108"/>
        <v>0</v>
      </c>
      <c r="BO150" s="287">
        <f t="shared" si="109"/>
        <v>0</v>
      </c>
      <c r="BP150" s="432"/>
      <c r="BQ150" s="21"/>
      <c r="BR150" s="21"/>
      <c r="BS150" s="39"/>
      <c r="BT150" s="39"/>
      <c r="BU150" s="39"/>
      <c r="BV150" s="39"/>
      <c r="BW150" s="39"/>
      <c r="BX150" s="39"/>
      <c r="BY150" s="39"/>
      <c r="BZ150" s="39">
        <v>137</v>
      </c>
      <c r="CA150" s="39" t="str">
        <f t="shared" si="110"/>
        <v/>
      </c>
      <c r="CB150" s="39"/>
      <c r="CC150" s="39"/>
      <c r="CD150" s="39"/>
      <c r="CE150" s="39"/>
      <c r="CF150" s="39"/>
      <c r="CG150" s="39"/>
      <c r="CH150" s="39"/>
      <c r="CI150" s="39"/>
      <c r="CJ150" s="39"/>
      <c r="CK150" s="39"/>
    </row>
    <row r="151" spans="1:89" s="193" customFormat="1">
      <c r="A151" s="195"/>
      <c r="B151" s="21" t="str">
        <f t="shared" si="79"/>
        <v>N/A</v>
      </c>
      <c r="C151" s="21"/>
      <c r="D151" s="432">
        <v>3200771</v>
      </c>
      <c r="E151" s="439" t="s">
        <v>3626</v>
      </c>
      <c r="F151" s="439" t="s">
        <v>2499</v>
      </c>
      <c r="G151" s="273" t="s">
        <v>3586</v>
      </c>
      <c r="H151" s="358"/>
      <c r="I151" s="262" t="s">
        <v>3531</v>
      </c>
      <c r="J151" s="262" t="s">
        <v>3504</v>
      </c>
      <c r="K151" s="263">
        <v>250000</v>
      </c>
      <c r="L151" s="263">
        <v>650000</v>
      </c>
      <c r="M151" s="263">
        <v>700000</v>
      </c>
      <c r="N151" s="263">
        <v>500000</v>
      </c>
      <c r="O151" s="263">
        <v>0</v>
      </c>
      <c r="P151" s="263">
        <v>0</v>
      </c>
      <c r="Q151" s="263">
        <v>0</v>
      </c>
      <c r="R151" s="263">
        <v>0</v>
      </c>
      <c r="S151" s="263">
        <v>0</v>
      </c>
      <c r="T151" s="263">
        <v>0</v>
      </c>
      <c r="U151" s="263">
        <f t="shared" si="77"/>
        <v>2100000</v>
      </c>
      <c r="V151" s="196" t="str">
        <f t="shared" si="80"/>
        <v>G/LOS</v>
      </c>
      <c r="W151" s="196" t="s">
        <v>1168</v>
      </c>
      <c r="X151" s="196" t="str">
        <f t="shared" si="81"/>
        <v>Y</v>
      </c>
      <c r="Y151" s="197">
        <f t="shared" si="82"/>
        <v>2100000</v>
      </c>
      <c r="Z151" s="198"/>
      <c r="AA151" s="197">
        <f t="shared" si="83"/>
        <v>2100000</v>
      </c>
      <c r="AB151" s="196" t="s">
        <v>1168</v>
      </c>
      <c r="AC151" s="196"/>
      <c r="AD151" s="275">
        <v>0.65</v>
      </c>
      <c r="AE151" s="275">
        <v>0.35</v>
      </c>
      <c r="AF151" s="275">
        <v>0</v>
      </c>
      <c r="AG151" s="442"/>
      <c r="AH151" s="442"/>
      <c r="AI151" s="200">
        <f t="shared" si="84"/>
        <v>0</v>
      </c>
      <c r="AJ151" s="203"/>
      <c r="AK151" s="203"/>
      <c r="AL151" s="197">
        <f t="shared" si="85"/>
        <v>2100000</v>
      </c>
      <c r="AM151" s="197">
        <f t="shared" si="86"/>
        <v>0</v>
      </c>
      <c r="AN151" s="197">
        <f t="shared" si="87"/>
        <v>0</v>
      </c>
      <c r="AO151" s="202"/>
      <c r="AP151" s="161" t="s">
        <v>3900</v>
      </c>
      <c r="AQ151" s="279"/>
      <c r="AR151" s="287">
        <f t="shared" si="88"/>
        <v>0</v>
      </c>
      <c r="AS151" s="287">
        <f t="shared" si="89"/>
        <v>0</v>
      </c>
      <c r="AT151" s="287">
        <f t="shared" si="90"/>
        <v>0</v>
      </c>
      <c r="AU151" s="287">
        <f t="shared" si="91"/>
        <v>0</v>
      </c>
      <c r="AV151" s="287">
        <f t="shared" si="92"/>
        <v>0</v>
      </c>
      <c r="AW151" s="287">
        <f t="shared" si="93"/>
        <v>0</v>
      </c>
      <c r="AX151" s="287">
        <f t="shared" si="94"/>
        <v>0</v>
      </c>
      <c r="AY151" s="287">
        <f t="shared" si="95"/>
        <v>0</v>
      </c>
      <c r="AZ151" s="287">
        <f t="shared" si="96"/>
        <v>0</v>
      </c>
      <c r="BA151" s="287">
        <f t="shared" si="97"/>
        <v>0</v>
      </c>
      <c r="BB151" s="16"/>
      <c r="BC151" s="287">
        <f t="shared" si="98"/>
        <v>0</v>
      </c>
      <c r="BD151" s="287">
        <f t="shared" si="99"/>
        <v>0</v>
      </c>
      <c r="BE151" s="287">
        <f t="shared" si="100"/>
        <v>0</v>
      </c>
      <c r="BF151" s="287">
        <f t="shared" si="101"/>
        <v>0</v>
      </c>
      <c r="BG151" s="287">
        <f t="shared" si="102"/>
        <v>0</v>
      </c>
      <c r="BH151" s="287">
        <f t="shared" si="103"/>
        <v>0</v>
      </c>
      <c r="BI151" s="287">
        <f t="shared" si="104"/>
        <v>0</v>
      </c>
      <c r="BJ151" s="287">
        <f t="shared" si="105"/>
        <v>0</v>
      </c>
      <c r="BK151" s="287">
        <f t="shared" si="106"/>
        <v>0</v>
      </c>
      <c r="BL151" s="287">
        <f t="shared" si="107"/>
        <v>0</v>
      </c>
      <c r="BM151" s="16"/>
      <c r="BN151" s="287">
        <f t="shared" si="108"/>
        <v>0</v>
      </c>
      <c r="BO151" s="287">
        <f t="shared" si="109"/>
        <v>0</v>
      </c>
      <c r="BP151" s="432"/>
      <c r="BQ151" s="21"/>
      <c r="BR151" s="21"/>
      <c r="BS151" s="39"/>
      <c r="BT151" s="39"/>
      <c r="BU151" s="39"/>
      <c r="BV151" s="39"/>
      <c r="BW151" s="39"/>
      <c r="BX151" s="39"/>
      <c r="BY151" s="39"/>
      <c r="BZ151" s="39">
        <v>138</v>
      </c>
      <c r="CA151" s="39" t="str">
        <f t="shared" si="110"/>
        <v/>
      </c>
      <c r="CB151" s="39"/>
      <c r="CC151" s="39"/>
      <c r="CD151" s="39"/>
      <c r="CE151" s="39"/>
      <c r="CF151" s="39"/>
      <c r="CG151" s="39"/>
      <c r="CH151" s="39"/>
      <c r="CI151" s="39"/>
      <c r="CJ151" s="39"/>
      <c r="CK151" s="39"/>
    </row>
    <row r="152" spans="1:89" s="193" customFormat="1">
      <c r="A152" s="195"/>
      <c r="B152" s="21" t="str">
        <f t="shared" si="79"/>
        <v>N/A</v>
      </c>
      <c r="C152" s="21"/>
      <c r="D152" s="432">
        <v>3200772</v>
      </c>
      <c r="E152" s="439" t="s">
        <v>3626</v>
      </c>
      <c r="F152" s="439" t="s">
        <v>2499</v>
      </c>
      <c r="G152" s="273" t="s">
        <v>3582</v>
      </c>
      <c r="H152" s="358"/>
      <c r="I152" s="262" t="s">
        <v>3531</v>
      </c>
      <c r="J152" s="262" t="s">
        <v>3504</v>
      </c>
      <c r="K152" s="263">
        <v>1100000</v>
      </c>
      <c r="L152" s="263">
        <v>2100000</v>
      </c>
      <c r="M152" s="263">
        <v>2100000</v>
      </c>
      <c r="N152" s="263">
        <v>1600000</v>
      </c>
      <c r="O152" s="263">
        <v>1700000</v>
      </c>
      <c r="P152" s="263">
        <v>1300000</v>
      </c>
      <c r="Q152" s="263">
        <v>1300000</v>
      </c>
      <c r="R152" s="263">
        <v>1900000</v>
      </c>
      <c r="S152" s="263">
        <v>1900000</v>
      </c>
      <c r="T152" s="263">
        <v>1900000</v>
      </c>
      <c r="U152" s="263">
        <f t="shared" si="77"/>
        <v>16900000</v>
      </c>
      <c r="V152" s="196" t="str">
        <f t="shared" si="80"/>
        <v>G/LOS</v>
      </c>
      <c r="W152" s="196" t="s">
        <v>1168</v>
      </c>
      <c r="X152" s="196" t="str">
        <f t="shared" si="81"/>
        <v>Y</v>
      </c>
      <c r="Y152" s="197">
        <f t="shared" si="82"/>
        <v>16900000</v>
      </c>
      <c r="Z152" s="198"/>
      <c r="AA152" s="197">
        <f t="shared" si="83"/>
        <v>16900000</v>
      </c>
      <c r="AB152" s="196" t="s">
        <v>1168</v>
      </c>
      <c r="AC152" s="196"/>
      <c r="AD152" s="275">
        <v>0.65</v>
      </c>
      <c r="AE152" s="275">
        <v>0.35</v>
      </c>
      <c r="AF152" s="275">
        <v>0</v>
      </c>
      <c r="AG152" s="442"/>
      <c r="AH152" s="442"/>
      <c r="AI152" s="200">
        <f t="shared" si="84"/>
        <v>0</v>
      </c>
      <c r="AJ152" s="203"/>
      <c r="AK152" s="203"/>
      <c r="AL152" s="197">
        <f t="shared" si="85"/>
        <v>16900000</v>
      </c>
      <c r="AM152" s="197">
        <f t="shared" si="86"/>
        <v>0</v>
      </c>
      <c r="AN152" s="197">
        <f t="shared" si="87"/>
        <v>0</v>
      </c>
      <c r="AO152" s="202"/>
      <c r="AP152" s="161" t="s">
        <v>3900</v>
      </c>
      <c r="AQ152" s="279"/>
      <c r="AR152" s="287">
        <f t="shared" si="88"/>
        <v>0</v>
      </c>
      <c r="AS152" s="287">
        <f t="shared" si="89"/>
        <v>0</v>
      </c>
      <c r="AT152" s="287">
        <f t="shared" si="90"/>
        <v>0</v>
      </c>
      <c r="AU152" s="287">
        <f t="shared" si="91"/>
        <v>0</v>
      </c>
      <c r="AV152" s="287">
        <f t="shared" si="92"/>
        <v>0</v>
      </c>
      <c r="AW152" s="287">
        <f t="shared" si="93"/>
        <v>0</v>
      </c>
      <c r="AX152" s="287">
        <f t="shared" si="94"/>
        <v>0</v>
      </c>
      <c r="AY152" s="287">
        <f t="shared" si="95"/>
        <v>0</v>
      </c>
      <c r="AZ152" s="287">
        <f t="shared" si="96"/>
        <v>0</v>
      </c>
      <c r="BA152" s="287">
        <f t="shared" si="97"/>
        <v>0</v>
      </c>
      <c r="BB152" s="16"/>
      <c r="BC152" s="287">
        <f t="shared" si="98"/>
        <v>0</v>
      </c>
      <c r="BD152" s="287">
        <f t="shared" si="99"/>
        <v>0</v>
      </c>
      <c r="BE152" s="287">
        <f t="shared" si="100"/>
        <v>0</v>
      </c>
      <c r="BF152" s="287">
        <f t="shared" si="101"/>
        <v>0</v>
      </c>
      <c r="BG152" s="287">
        <f t="shared" si="102"/>
        <v>0</v>
      </c>
      <c r="BH152" s="287">
        <f t="shared" si="103"/>
        <v>0</v>
      </c>
      <c r="BI152" s="287">
        <f t="shared" si="104"/>
        <v>0</v>
      </c>
      <c r="BJ152" s="287">
        <f t="shared" si="105"/>
        <v>0</v>
      </c>
      <c r="BK152" s="287">
        <f t="shared" si="106"/>
        <v>0</v>
      </c>
      <c r="BL152" s="287">
        <f t="shared" si="107"/>
        <v>0</v>
      </c>
      <c r="BM152" s="16"/>
      <c r="BN152" s="287">
        <f t="shared" si="108"/>
        <v>0</v>
      </c>
      <c r="BO152" s="287">
        <f t="shared" si="109"/>
        <v>0</v>
      </c>
      <c r="BP152" s="432"/>
      <c r="BQ152" s="21"/>
      <c r="BR152" s="21"/>
      <c r="BS152" s="39"/>
      <c r="BT152" s="39"/>
      <c r="BU152" s="39"/>
      <c r="BV152" s="39"/>
      <c r="BW152" s="39"/>
      <c r="BX152" s="39"/>
      <c r="BY152" s="39"/>
      <c r="BZ152" s="39">
        <v>139</v>
      </c>
      <c r="CA152" s="39" t="str">
        <f t="shared" si="110"/>
        <v/>
      </c>
      <c r="CB152" s="39"/>
      <c r="CC152" s="39"/>
      <c r="CD152" s="39"/>
      <c r="CE152" s="39"/>
      <c r="CF152" s="39"/>
      <c r="CG152" s="39"/>
      <c r="CH152" s="39"/>
      <c r="CI152" s="39"/>
      <c r="CJ152" s="39"/>
      <c r="CK152" s="39"/>
    </row>
    <row r="153" spans="1:89" s="193" customFormat="1">
      <c r="A153" s="195"/>
      <c r="B153" s="21" t="str">
        <f t="shared" si="79"/>
        <v>N/A</v>
      </c>
      <c r="C153" s="21"/>
      <c r="D153" s="432">
        <v>3200858</v>
      </c>
      <c r="E153" s="439" t="s">
        <v>3626</v>
      </c>
      <c r="F153" s="439" t="s">
        <v>3740</v>
      </c>
      <c r="G153" s="273" t="s">
        <v>3353</v>
      </c>
      <c r="H153" s="358"/>
      <c r="I153" s="262" t="s">
        <v>3492</v>
      </c>
      <c r="J153" s="262" t="s">
        <v>3515</v>
      </c>
      <c r="K153" s="263">
        <v>432267.96</v>
      </c>
      <c r="L153" s="263">
        <v>1710000</v>
      </c>
      <c r="M153" s="263">
        <v>2515308</v>
      </c>
      <c r="N153" s="263">
        <v>0</v>
      </c>
      <c r="O153" s="263">
        <v>0</v>
      </c>
      <c r="P153" s="263">
        <v>0</v>
      </c>
      <c r="Q153" s="263">
        <v>0</v>
      </c>
      <c r="R153" s="263">
        <v>0</v>
      </c>
      <c r="S153" s="263">
        <v>0</v>
      </c>
      <c r="T153" s="263">
        <v>0</v>
      </c>
      <c r="U153" s="263">
        <f t="shared" si="77"/>
        <v>4657575.96</v>
      </c>
      <c r="V153" s="196" t="str">
        <f t="shared" si="80"/>
        <v>R</v>
      </c>
      <c r="W153" s="196" t="s">
        <v>1168</v>
      </c>
      <c r="X153" s="196" t="str">
        <f t="shared" si="81"/>
        <v>N</v>
      </c>
      <c r="Y153" s="197">
        <f t="shared" si="82"/>
        <v>4657575.96</v>
      </c>
      <c r="Z153" s="198"/>
      <c r="AA153" s="197">
        <f t="shared" si="83"/>
        <v>4657575.96</v>
      </c>
      <c r="AB153" s="196"/>
      <c r="AC153" s="196"/>
      <c r="AD153" s="275">
        <v>0</v>
      </c>
      <c r="AE153" s="275">
        <v>0</v>
      </c>
      <c r="AF153" s="275">
        <v>1</v>
      </c>
      <c r="AG153" s="199"/>
      <c r="AH153" s="199"/>
      <c r="AI153" s="377">
        <f t="shared" si="84"/>
        <v>0</v>
      </c>
      <c r="AJ153" s="203"/>
      <c r="AK153" s="203"/>
      <c r="AL153" s="197">
        <f t="shared" si="85"/>
        <v>4657575.96</v>
      </c>
      <c r="AM153" s="197">
        <f t="shared" si="86"/>
        <v>0</v>
      </c>
      <c r="AN153" s="197">
        <f t="shared" si="87"/>
        <v>0</v>
      </c>
      <c r="AO153" s="202"/>
      <c r="AP153" s="161" t="s">
        <v>3900</v>
      </c>
      <c r="AQ153" s="279"/>
      <c r="AR153" s="287">
        <f t="shared" si="88"/>
        <v>0</v>
      </c>
      <c r="AS153" s="287">
        <f t="shared" si="89"/>
        <v>0</v>
      </c>
      <c r="AT153" s="287">
        <f t="shared" si="90"/>
        <v>0</v>
      </c>
      <c r="AU153" s="287">
        <f t="shared" si="91"/>
        <v>0</v>
      </c>
      <c r="AV153" s="287">
        <f t="shared" si="92"/>
        <v>0</v>
      </c>
      <c r="AW153" s="287">
        <f t="shared" si="93"/>
        <v>0</v>
      </c>
      <c r="AX153" s="287">
        <f t="shared" si="94"/>
        <v>0</v>
      </c>
      <c r="AY153" s="287">
        <f t="shared" si="95"/>
        <v>0</v>
      </c>
      <c r="AZ153" s="287">
        <f t="shared" si="96"/>
        <v>0</v>
      </c>
      <c r="BA153" s="287">
        <f t="shared" si="97"/>
        <v>0</v>
      </c>
      <c r="BB153" s="16"/>
      <c r="BC153" s="287">
        <f t="shared" si="98"/>
        <v>0</v>
      </c>
      <c r="BD153" s="287">
        <f t="shared" si="99"/>
        <v>0</v>
      </c>
      <c r="BE153" s="287">
        <f t="shared" si="100"/>
        <v>0</v>
      </c>
      <c r="BF153" s="287">
        <f t="shared" si="101"/>
        <v>0</v>
      </c>
      <c r="BG153" s="287">
        <f t="shared" si="102"/>
        <v>0</v>
      </c>
      <c r="BH153" s="287">
        <f t="shared" si="103"/>
        <v>0</v>
      </c>
      <c r="BI153" s="287">
        <f t="shared" si="104"/>
        <v>0</v>
      </c>
      <c r="BJ153" s="287">
        <f t="shared" si="105"/>
        <v>0</v>
      </c>
      <c r="BK153" s="287">
        <f t="shared" si="106"/>
        <v>0</v>
      </c>
      <c r="BL153" s="287">
        <f t="shared" si="107"/>
        <v>0</v>
      </c>
      <c r="BM153" s="16"/>
      <c r="BN153" s="287">
        <f t="shared" si="108"/>
        <v>0</v>
      </c>
      <c r="BO153" s="287">
        <f t="shared" si="109"/>
        <v>0</v>
      </c>
      <c r="BP153" s="432"/>
      <c r="BQ153" s="21"/>
      <c r="BR153" s="21"/>
      <c r="BS153" s="39"/>
      <c r="BT153" s="39"/>
      <c r="BU153" s="334">
        <v>1507500</v>
      </c>
      <c r="BV153" s="334">
        <v>0</v>
      </c>
      <c r="BW153" s="39"/>
      <c r="BX153" s="39"/>
      <c r="BY153" s="39"/>
      <c r="BZ153" s="39">
        <v>140</v>
      </c>
      <c r="CA153" s="39" t="str">
        <f t="shared" si="110"/>
        <v/>
      </c>
      <c r="CB153" s="39"/>
      <c r="CC153" s="39"/>
      <c r="CD153" s="39"/>
      <c r="CE153" s="39"/>
      <c r="CF153" s="39"/>
      <c r="CG153" s="39"/>
      <c r="CH153" s="39"/>
      <c r="CI153" s="39"/>
      <c r="CJ153" s="39"/>
      <c r="CK153" s="39"/>
    </row>
    <row r="154" spans="1:89" s="193" customFormat="1">
      <c r="A154" s="195"/>
      <c r="B154" s="21" t="str">
        <f t="shared" si="79"/>
        <v>N/A</v>
      </c>
      <c r="C154" s="21"/>
      <c r="D154" s="432">
        <v>3200861</v>
      </c>
      <c r="E154" s="439" t="s">
        <v>3626</v>
      </c>
      <c r="F154" s="439" t="s">
        <v>3741</v>
      </c>
      <c r="G154" s="273" t="s">
        <v>3413</v>
      </c>
      <c r="H154" s="358"/>
      <c r="I154" s="262" t="s">
        <v>3492</v>
      </c>
      <c r="J154" s="262" t="s">
        <v>3523</v>
      </c>
      <c r="K154" s="263">
        <v>20000</v>
      </c>
      <c r="L154" s="263">
        <v>746389</v>
      </c>
      <c r="M154" s="263">
        <v>0</v>
      </c>
      <c r="N154" s="263">
        <v>0</v>
      </c>
      <c r="O154" s="263">
        <v>0</v>
      </c>
      <c r="P154" s="263">
        <v>0</v>
      </c>
      <c r="Q154" s="263">
        <v>0</v>
      </c>
      <c r="R154" s="263">
        <v>0</v>
      </c>
      <c r="S154" s="263">
        <v>0</v>
      </c>
      <c r="T154" s="263">
        <v>0</v>
      </c>
      <c r="U154" s="263">
        <f t="shared" si="77"/>
        <v>766389</v>
      </c>
      <c r="V154" s="196" t="str">
        <f t="shared" si="80"/>
        <v>LOS</v>
      </c>
      <c r="W154" s="196" t="s">
        <v>1168</v>
      </c>
      <c r="X154" s="196" t="str">
        <f t="shared" si="81"/>
        <v>N</v>
      </c>
      <c r="Y154" s="197">
        <f t="shared" si="82"/>
        <v>766389</v>
      </c>
      <c r="Z154" s="198"/>
      <c r="AA154" s="197">
        <f t="shared" si="83"/>
        <v>766389</v>
      </c>
      <c r="AB154" s="196"/>
      <c r="AC154" s="196"/>
      <c r="AD154" s="275">
        <v>0</v>
      </c>
      <c r="AE154" s="275">
        <v>1</v>
      </c>
      <c r="AF154" s="275">
        <v>0</v>
      </c>
      <c r="AG154" s="199"/>
      <c r="AH154" s="199"/>
      <c r="AI154" s="377">
        <f t="shared" si="84"/>
        <v>0</v>
      </c>
      <c r="AJ154" s="203"/>
      <c r="AK154" s="203"/>
      <c r="AL154" s="197">
        <f t="shared" si="85"/>
        <v>766389</v>
      </c>
      <c r="AM154" s="197">
        <f t="shared" si="86"/>
        <v>0</v>
      </c>
      <c r="AN154" s="197">
        <f t="shared" si="87"/>
        <v>0</v>
      </c>
      <c r="AO154" s="202"/>
      <c r="AP154" s="161" t="s">
        <v>3900</v>
      </c>
      <c r="AQ154" s="279"/>
      <c r="AR154" s="287">
        <f t="shared" si="88"/>
        <v>0</v>
      </c>
      <c r="AS154" s="287">
        <f t="shared" si="89"/>
        <v>0</v>
      </c>
      <c r="AT154" s="287">
        <f t="shared" si="90"/>
        <v>0</v>
      </c>
      <c r="AU154" s="287">
        <f t="shared" si="91"/>
        <v>0</v>
      </c>
      <c r="AV154" s="287">
        <f t="shared" si="92"/>
        <v>0</v>
      </c>
      <c r="AW154" s="287">
        <f t="shared" si="93"/>
        <v>0</v>
      </c>
      <c r="AX154" s="287">
        <f t="shared" si="94"/>
        <v>0</v>
      </c>
      <c r="AY154" s="287">
        <f t="shared" si="95"/>
        <v>0</v>
      </c>
      <c r="AZ154" s="287">
        <f t="shared" si="96"/>
        <v>0</v>
      </c>
      <c r="BA154" s="287">
        <f t="shared" si="97"/>
        <v>0</v>
      </c>
      <c r="BB154" s="16"/>
      <c r="BC154" s="287">
        <f t="shared" si="98"/>
        <v>0</v>
      </c>
      <c r="BD154" s="287">
        <f t="shared" si="99"/>
        <v>0</v>
      </c>
      <c r="BE154" s="287">
        <f t="shared" si="100"/>
        <v>0</v>
      </c>
      <c r="BF154" s="287">
        <f t="shared" si="101"/>
        <v>0</v>
      </c>
      <c r="BG154" s="287">
        <f t="shared" si="102"/>
        <v>0</v>
      </c>
      <c r="BH154" s="287">
        <f t="shared" si="103"/>
        <v>0</v>
      </c>
      <c r="BI154" s="287">
        <f t="shared" si="104"/>
        <v>0</v>
      </c>
      <c r="BJ154" s="287">
        <f t="shared" si="105"/>
        <v>0</v>
      </c>
      <c r="BK154" s="287">
        <f t="shared" si="106"/>
        <v>0</v>
      </c>
      <c r="BL154" s="287">
        <f t="shared" si="107"/>
        <v>0</v>
      </c>
      <c r="BM154" s="16"/>
      <c r="BN154" s="287">
        <f t="shared" si="108"/>
        <v>0</v>
      </c>
      <c r="BO154" s="287">
        <f t="shared" si="109"/>
        <v>0</v>
      </c>
      <c r="BP154" s="432"/>
      <c r="BQ154" s="21"/>
      <c r="BR154" s="21"/>
      <c r="BS154" s="39"/>
      <c r="BT154" s="39"/>
      <c r="BU154" s="334">
        <v>2248000</v>
      </c>
      <c r="BV154" s="334">
        <v>0</v>
      </c>
      <c r="BW154" s="39"/>
      <c r="BX154" s="39"/>
      <c r="BY154" s="39"/>
      <c r="BZ154" s="39">
        <v>141</v>
      </c>
      <c r="CA154" s="39" t="str">
        <f t="shared" si="110"/>
        <v/>
      </c>
      <c r="CB154" s="39"/>
      <c r="CC154" s="39"/>
      <c r="CD154" s="39"/>
      <c r="CE154" s="39"/>
      <c r="CF154" s="39"/>
      <c r="CG154" s="39"/>
      <c r="CH154" s="39"/>
      <c r="CI154" s="39"/>
      <c r="CJ154" s="39"/>
      <c r="CK154" s="39"/>
    </row>
    <row r="155" spans="1:89" s="193" customFormat="1">
      <c r="A155" s="195"/>
      <c r="B155" s="21" t="str">
        <f t="shared" si="79"/>
        <v>N/A</v>
      </c>
      <c r="C155" s="21"/>
      <c r="D155" s="432">
        <v>3200866</v>
      </c>
      <c r="E155" s="439" t="s">
        <v>3906</v>
      </c>
      <c r="F155" s="439" t="s">
        <v>3743</v>
      </c>
      <c r="G155" s="273" t="s">
        <v>3316</v>
      </c>
      <c r="H155" s="358"/>
      <c r="I155" s="262" t="s">
        <v>3493</v>
      </c>
      <c r="J155" s="262" t="s">
        <v>3504</v>
      </c>
      <c r="K155" s="263">
        <v>2374998</v>
      </c>
      <c r="L155" s="263">
        <v>0</v>
      </c>
      <c r="M155" s="263">
        <v>0</v>
      </c>
      <c r="N155" s="263">
        <v>0</v>
      </c>
      <c r="O155" s="263">
        <v>0</v>
      </c>
      <c r="P155" s="263">
        <v>0</v>
      </c>
      <c r="Q155" s="263">
        <v>0</v>
      </c>
      <c r="R155" s="263">
        <v>0</v>
      </c>
      <c r="S155" s="263">
        <v>0</v>
      </c>
      <c r="T155" s="263">
        <v>0</v>
      </c>
      <c r="U155" s="263">
        <f t="shared" si="77"/>
        <v>2374998</v>
      </c>
      <c r="V155" s="196" t="str">
        <f t="shared" si="80"/>
        <v>G/LOS</v>
      </c>
      <c r="W155" s="196" t="s">
        <v>1168</v>
      </c>
      <c r="X155" s="196" t="str">
        <f t="shared" si="81"/>
        <v>Y</v>
      </c>
      <c r="Y155" s="197">
        <f t="shared" si="82"/>
        <v>2374998</v>
      </c>
      <c r="Z155" s="198"/>
      <c r="AA155" s="197">
        <f t="shared" si="83"/>
        <v>2374998</v>
      </c>
      <c r="AB155" s="196" t="s">
        <v>1168</v>
      </c>
      <c r="AC155" s="196"/>
      <c r="AD155" s="275">
        <v>0.1</v>
      </c>
      <c r="AE155" s="275">
        <v>0.9</v>
      </c>
      <c r="AF155" s="275">
        <v>0</v>
      </c>
      <c r="AG155" s="199"/>
      <c r="AH155" s="199"/>
      <c r="AI155" s="377">
        <f t="shared" si="84"/>
        <v>0</v>
      </c>
      <c r="AJ155" s="203"/>
      <c r="AK155" s="203"/>
      <c r="AL155" s="197">
        <f t="shared" si="85"/>
        <v>2374998</v>
      </c>
      <c r="AM155" s="197">
        <f t="shared" si="86"/>
        <v>0</v>
      </c>
      <c r="AN155" s="197">
        <f t="shared" si="87"/>
        <v>0</v>
      </c>
      <c r="AO155" s="202"/>
      <c r="AP155" s="161" t="s">
        <v>3900</v>
      </c>
      <c r="AQ155" s="279"/>
      <c r="AR155" s="287">
        <f t="shared" si="88"/>
        <v>0</v>
      </c>
      <c r="AS155" s="287">
        <f t="shared" si="89"/>
        <v>0</v>
      </c>
      <c r="AT155" s="287">
        <f t="shared" si="90"/>
        <v>0</v>
      </c>
      <c r="AU155" s="287">
        <f t="shared" si="91"/>
        <v>0</v>
      </c>
      <c r="AV155" s="287">
        <f t="shared" si="92"/>
        <v>0</v>
      </c>
      <c r="AW155" s="287">
        <f t="shared" si="93"/>
        <v>0</v>
      </c>
      <c r="AX155" s="287">
        <f t="shared" si="94"/>
        <v>0</v>
      </c>
      <c r="AY155" s="287">
        <f t="shared" si="95"/>
        <v>0</v>
      </c>
      <c r="AZ155" s="287">
        <f t="shared" si="96"/>
        <v>0</v>
      </c>
      <c r="BA155" s="287">
        <f t="shared" si="97"/>
        <v>0</v>
      </c>
      <c r="BB155" s="16"/>
      <c r="BC155" s="287">
        <f t="shared" si="98"/>
        <v>0</v>
      </c>
      <c r="BD155" s="287">
        <f t="shared" si="99"/>
        <v>0</v>
      </c>
      <c r="BE155" s="287">
        <f t="shared" si="100"/>
        <v>0</v>
      </c>
      <c r="BF155" s="287">
        <f t="shared" si="101"/>
        <v>0</v>
      </c>
      <c r="BG155" s="287">
        <f t="shared" si="102"/>
        <v>0</v>
      </c>
      <c r="BH155" s="287">
        <f t="shared" si="103"/>
        <v>0</v>
      </c>
      <c r="BI155" s="287">
        <f t="shared" si="104"/>
        <v>0</v>
      </c>
      <c r="BJ155" s="287">
        <f t="shared" si="105"/>
        <v>0</v>
      </c>
      <c r="BK155" s="287">
        <f t="shared" si="106"/>
        <v>0</v>
      </c>
      <c r="BL155" s="287">
        <f t="shared" si="107"/>
        <v>0</v>
      </c>
      <c r="BM155" s="16"/>
      <c r="BN155" s="287">
        <f t="shared" si="108"/>
        <v>0</v>
      </c>
      <c r="BO155" s="287">
        <f t="shared" si="109"/>
        <v>0</v>
      </c>
      <c r="BP155" s="432"/>
      <c r="BQ155" s="21"/>
      <c r="BR155" s="21"/>
      <c r="BS155" s="39"/>
      <c r="BT155" s="39"/>
      <c r="BU155" s="334">
        <v>5000</v>
      </c>
      <c r="BV155" s="334">
        <v>0</v>
      </c>
      <c r="BW155" s="39"/>
      <c r="BX155" s="39"/>
      <c r="BY155" s="39"/>
      <c r="BZ155" s="39">
        <v>142</v>
      </c>
      <c r="CA155" s="39" t="str">
        <f t="shared" si="110"/>
        <v/>
      </c>
      <c r="CB155" s="39"/>
      <c r="CC155" s="39"/>
      <c r="CD155" s="39"/>
      <c r="CE155" s="39"/>
      <c r="CF155" s="39"/>
      <c r="CG155" s="39"/>
      <c r="CH155" s="39"/>
      <c r="CI155" s="39"/>
      <c r="CJ155" s="39"/>
      <c r="CK155" s="39"/>
    </row>
    <row r="156" spans="1:89" s="193" customFormat="1">
      <c r="A156" s="195"/>
      <c r="B156" s="21" t="str">
        <f t="shared" si="79"/>
        <v>N/A</v>
      </c>
      <c r="C156" s="21"/>
      <c r="D156" s="432">
        <v>3200866</v>
      </c>
      <c r="E156" s="439" t="s">
        <v>3626</v>
      </c>
      <c r="F156" s="439" t="s">
        <v>3742</v>
      </c>
      <c r="G156" s="273" t="s">
        <v>3317</v>
      </c>
      <c r="H156" s="358"/>
      <c r="I156" s="262" t="s">
        <v>3491</v>
      </c>
      <c r="J156" s="262" t="s">
        <v>3506</v>
      </c>
      <c r="K156" s="263">
        <v>0</v>
      </c>
      <c r="L156" s="263">
        <v>0</v>
      </c>
      <c r="M156" s="263">
        <v>0</v>
      </c>
      <c r="N156" s="263">
        <v>3160157</v>
      </c>
      <c r="O156" s="263">
        <v>0</v>
      </c>
      <c r="P156" s="263">
        <v>0</v>
      </c>
      <c r="Q156" s="263">
        <v>0</v>
      </c>
      <c r="R156" s="263">
        <v>0</v>
      </c>
      <c r="S156" s="263">
        <v>0</v>
      </c>
      <c r="T156" s="263">
        <v>0</v>
      </c>
      <c r="U156" s="263">
        <f t="shared" si="77"/>
        <v>3160157</v>
      </c>
      <c r="V156" s="196" t="str">
        <f t="shared" si="80"/>
        <v>G/LOS</v>
      </c>
      <c r="W156" s="196" t="s">
        <v>1168</v>
      </c>
      <c r="X156" s="196" t="str">
        <f t="shared" si="81"/>
        <v>Y</v>
      </c>
      <c r="Y156" s="197">
        <f t="shared" si="82"/>
        <v>3160157</v>
      </c>
      <c r="Z156" s="198"/>
      <c r="AA156" s="197">
        <f t="shared" si="83"/>
        <v>3160157</v>
      </c>
      <c r="AB156" s="196" t="s">
        <v>1168</v>
      </c>
      <c r="AC156" s="196"/>
      <c r="AD156" s="275">
        <v>0.10000000000000002</v>
      </c>
      <c r="AE156" s="275">
        <v>0.89999999999999991</v>
      </c>
      <c r="AF156" s="275">
        <v>0</v>
      </c>
      <c r="AG156" s="442"/>
      <c r="AH156" s="442"/>
      <c r="AI156" s="200">
        <f t="shared" si="84"/>
        <v>0</v>
      </c>
      <c r="AJ156" s="203"/>
      <c r="AK156" s="203"/>
      <c r="AL156" s="197">
        <f t="shared" si="85"/>
        <v>3160157</v>
      </c>
      <c r="AM156" s="197">
        <f t="shared" si="86"/>
        <v>0</v>
      </c>
      <c r="AN156" s="197">
        <f t="shared" si="87"/>
        <v>0</v>
      </c>
      <c r="AO156" s="202"/>
      <c r="AP156" s="161" t="s">
        <v>3900</v>
      </c>
      <c r="AQ156" s="279"/>
      <c r="AR156" s="287">
        <f t="shared" si="88"/>
        <v>0</v>
      </c>
      <c r="AS156" s="287">
        <f t="shared" si="89"/>
        <v>0</v>
      </c>
      <c r="AT156" s="287">
        <f t="shared" si="90"/>
        <v>0</v>
      </c>
      <c r="AU156" s="287">
        <f t="shared" si="91"/>
        <v>0</v>
      </c>
      <c r="AV156" s="287">
        <f t="shared" si="92"/>
        <v>0</v>
      </c>
      <c r="AW156" s="287">
        <f t="shared" si="93"/>
        <v>0</v>
      </c>
      <c r="AX156" s="287">
        <f t="shared" si="94"/>
        <v>0</v>
      </c>
      <c r="AY156" s="287">
        <f t="shared" si="95"/>
        <v>0</v>
      </c>
      <c r="AZ156" s="287">
        <f t="shared" si="96"/>
        <v>0</v>
      </c>
      <c r="BA156" s="287">
        <f t="shared" si="97"/>
        <v>0</v>
      </c>
      <c r="BB156" s="16"/>
      <c r="BC156" s="287">
        <f t="shared" si="98"/>
        <v>0</v>
      </c>
      <c r="BD156" s="287">
        <f t="shared" si="99"/>
        <v>0</v>
      </c>
      <c r="BE156" s="287">
        <f t="shared" si="100"/>
        <v>0</v>
      </c>
      <c r="BF156" s="287">
        <f t="shared" si="101"/>
        <v>0</v>
      </c>
      <c r="BG156" s="287">
        <f t="shared" si="102"/>
        <v>0</v>
      </c>
      <c r="BH156" s="287">
        <f t="shared" si="103"/>
        <v>0</v>
      </c>
      <c r="BI156" s="287">
        <f t="shared" si="104"/>
        <v>0</v>
      </c>
      <c r="BJ156" s="287">
        <f t="shared" si="105"/>
        <v>0</v>
      </c>
      <c r="BK156" s="287">
        <f t="shared" si="106"/>
        <v>0</v>
      </c>
      <c r="BL156" s="287">
        <f t="shared" si="107"/>
        <v>0</v>
      </c>
      <c r="BM156" s="16"/>
      <c r="BN156" s="287">
        <f t="shared" si="108"/>
        <v>0</v>
      </c>
      <c r="BO156" s="287">
        <f t="shared" si="109"/>
        <v>0</v>
      </c>
      <c r="BP156" s="432"/>
      <c r="BQ156" s="21"/>
      <c r="BR156" s="21"/>
      <c r="BS156" s="39"/>
      <c r="BT156" s="39"/>
      <c r="BU156" s="39"/>
      <c r="BV156" s="39"/>
      <c r="BW156" s="39"/>
      <c r="BX156" s="39"/>
      <c r="BY156" s="39"/>
      <c r="BZ156" s="39">
        <v>143</v>
      </c>
      <c r="CA156" s="39" t="str">
        <f t="shared" si="110"/>
        <v/>
      </c>
      <c r="CB156" s="39"/>
      <c r="CC156" s="39"/>
      <c r="CD156" s="39"/>
      <c r="CE156" s="39"/>
      <c r="CF156" s="39"/>
      <c r="CG156" s="39"/>
      <c r="CH156" s="39"/>
      <c r="CI156" s="39"/>
      <c r="CJ156" s="39"/>
      <c r="CK156" s="39"/>
    </row>
    <row r="157" spans="1:89" s="193" customFormat="1">
      <c r="A157" s="195"/>
      <c r="B157" s="21" t="str">
        <f t="shared" si="79"/>
        <v>N/A</v>
      </c>
      <c r="C157" s="21"/>
      <c r="D157" s="432">
        <v>3200874</v>
      </c>
      <c r="E157" s="439" t="s">
        <v>3626</v>
      </c>
      <c r="F157" s="439" t="s">
        <v>3744</v>
      </c>
      <c r="G157" s="273" t="s">
        <v>3405</v>
      </c>
      <c r="H157" s="358"/>
      <c r="I157" s="262" t="s">
        <v>3492</v>
      </c>
      <c r="J157" s="262" t="s">
        <v>3518</v>
      </c>
      <c r="K157" s="263">
        <v>50000</v>
      </c>
      <c r="L157" s="263">
        <v>250000</v>
      </c>
      <c r="M157" s="263">
        <v>0</v>
      </c>
      <c r="N157" s="263">
        <v>0</v>
      </c>
      <c r="O157" s="263">
        <v>0</v>
      </c>
      <c r="P157" s="263">
        <v>0</v>
      </c>
      <c r="Q157" s="263">
        <v>0</v>
      </c>
      <c r="R157" s="263">
        <v>0</v>
      </c>
      <c r="S157" s="263">
        <v>0</v>
      </c>
      <c r="T157" s="263">
        <v>0</v>
      </c>
      <c r="U157" s="263">
        <f t="shared" ref="U157:U220" si="111">SUM(K157:T157)</f>
        <v>300000</v>
      </c>
      <c r="V157" s="196" t="str">
        <f t="shared" si="80"/>
        <v>G/LOS</v>
      </c>
      <c r="W157" s="196" t="s">
        <v>1168</v>
      </c>
      <c r="X157" s="196" t="str">
        <f t="shared" si="81"/>
        <v>Y</v>
      </c>
      <c r="Y157" s="197">
        <f t="shared" si="82"/>
        <v>300000</v>
      </c>
      <c r="Z157" s="198"/>
      <c r="AA157" s="197">
        <f t="shared" si="83"/>
        <v>300000</v>
      </c>
      <c r="AB157" s="196" t="s">
        <v>1168</v>
      </c>
      <c r="AC157" s="196"/>
      <c r="AD157" s="275">
        <v>0.23830580459983158</v>
      </c>
      <c r="AE157" s="275">
        <v>0.76169419540016836</v>
      </c>
      <c r="AF157" s="275">
        <v>0</v>
      </c>
      <c r="AG157" s="199"/>
      <c r="AH157" s="199"/>
      <c r="AI157" s="377">
        <f t="shared" si="84"/>
        <v>0</v>
      </c>
      <c r="AJ157" s="203"/>
      <c r="AK157" s="203"/>
      <c r="AL157" s="197">
        <f t="shared" si="85"/>
        <v>300000</v>
      </c>
      <c r="AM157" s="197">
        <f t="shared" si="86"/>
        <v>0</v>
      </c>
      <c r="AN157" s="197">
        <f t="shared" si="87"/>
        <v>0</v>
      </c>
      <c r="AO157" s="202"/>
      <c r="AP157" s="161" t="s">
        <v>3900</v>
      </c>
      <c r="AQ157" s="279"/>
      <c r="AR157" s="287">
        <f t="shared" si="88"/>
        <v>0</v>
      </c>
      <c r="AS157" s="287">
        <f t="shared" si="89"/>
        <v>0</v>
      </c>
      <c r="AT157" s="287">
        <f t="shared" si="90"/>
        <v>0</v>
      </c>
      <c r="AU157" s="287">
        <f t="shared" si="91"/>
        <v>0</v>
      </c>
      <c r="AV157" s="287">
        <f t="shared" si="92"/>
        <v>0</v>
      </c>
      <c r="AW157" s="287">
        <f t="shared" si="93"/>
        <v>0</v>
      </c>
      <c r="AX157" s="287">
        <f t="shared" si="94"/>
        <v>0</v>
      </c>
      <c r="AY157" s="287">
        <f t="shared" si="95"/>
        <v>0</v>
      </c>
      <c r="AZ157" s="287">
        <f t="shared" si="96"/>
        <v>0</v>
      </c>
      <c r="BA157" s="287">
        <f t="shared" si="97"/>
        <v>0</v>
      </c>
      <c r="BB157" s="16"/>
      <c r="BC157" s="287">
        <f t="shared" si="98"/>
        <v>0</v>
      </c>
      <c r="BD157" s="287">
        <f t="shared" si="99"/>
        <v>0</v>
      </c>
      <c r="BE157" s="287">
        <f t="shared" si="100"/>
        <v>0</v>
      </c>
      <c r="BF157" s="287">
        <f t="shared" si="101"/>
        <v>0</v>
      </c>
      <c r="BG157" s="287">
        <f t="shared" si="102"/>
        <v>0</v>
      </c>
      <c r="BH157" s="287">
        <f t="shared" si="103"/>
        <v>0</v>
      </c>
      <c r="BI157" s="287">
        <f t="shared" si="104"/>
        <v>0</v>
      </c>
      <c r="BJ157" s="287">
        <f t="shared" si="105"/>
        <v>0</v>
      </c>
      <c r="BK157" s="287">
        <f t="shared" si="106"/>
        <v>0</v>
      </c>
      <c r="BL157" s="287">
        <f t="shared" si="107"/>
        <v>0</v>
      </c>
      <c r="BM157" s="16"/>
      <c r="BN157" s="287">
        <f t="shared" si="108"/>
        <v>0</v>
      </c>
      <c r="BO157" s="287">
        <f t="shared" si="109"/>
        <v>0</v>
      </c>
      <c r="BP157" s="432"/>
      <c r="BQ157" s="21"/>
      <c r="BR157" s="21"/>
      <c r="BS157" s="39"/>
      <c r="BT157" s="39"/>
      <c r="BU157" s="334">
        <v>38344</v>
      </c>
      <c r="BV157" s="334">
        <v>0</v>
      </c>
      <c r="BW157" s="39"/>
      <c r="BX157" s="39"/>
      <c r="BY157" s="39"/>
      <c r="BZ157" s="39">
        <v>144</v>
      </c>
      <c r="CA157" s="39" t="str">
        <f t="shared" si="110"/>
        <v/>
      </c>
      <c r="CB157" s="39"/>
      <c r="CC157" s="39"/>
      <c r="CD157" s="39"/>
      <c r="CE157" s="39"/>
      <c r="CF157" s="39"/>
      <c r="CG157" s="39"/>
      <c r="CH157" s="39"/>
      <c r="CI157" s="39"/>
      <c r="CJ157" s="39"/>
      <c r="CK157" s="39"/>
    </row>
    <row r="158" spans="1:89" s="193" customFormat="1">
      <c r="A158" s="195"/>
      <c r="B158" s="21" t="str">
        <f t="shared" si="79"/>
        <v>N/A</v>
      </c>
      <c r="C158" s="21"/>
      <c r="D158" s="432">
        <v>3200884</v>
      </c>
      <c r="E158" s="439" t="s">
        <v>3626</v>
      </c>
      <c r="F158" s="439" t="s">
        <v>3745</v>
      </c>
      <c r="G158" s="273" t="s">
        <v>3289</v>
      </c>
      <c r="H158" s="358"/>
      <c r="I158" s="262" t="s">
        <v>3498</v>
      </c>
      <c r="J158" s="262" t="s">
        <v>3504</v>
      </c>
      <c r="K158" s="263">
        <v>3699004</v>
      </c>
      <c r="L158" s="263">
        <v>0</v>
      </c>
      <c r="M158" s="263">
        <v>0</v>
      </c>
      <c r="N158" s="263">
        <v>0</v>
      </c>
      <c r="O158" s="263">
        <v>0</v>
      </c>
      <c r="P158" s="263">
        <v>0</v>
      </c>
      <c r="Q158" s="263">
        <v>0</v>
      </c>
      <c r="R158" s="263">
        <v>0</v>
      </c>
      <c r="S158" s="263">
        <v>0</v>
      </c>
      <c r="T158" s="263">
        <v>0</v>
      </c>
      <c r="U158" s="263">
        <f t="shared" si="111"/>
        <v>3699004</v>
      </c>
      <c r="V158" s="196" t="str">
        <f t="shared" si="80"/>
        <v>R</v>
      </c>
      <c r="W158" s="196" t="s">
        <v>1168</v>
      </c>
      <c r="X158" s="196" t="str">
        <f t="shared" si="81"/>
        <v>N</v>
      </c>
      <c r="Y158" s="197">
        <f t="shared" si="82"/>
        <v>3699004</v>
      </c>
      <c r="Z158" s="198"/>
      <c r="AA158" s="197">
        <f t="shared" si="83"/>
        <v>3699004</v>
      </c>
      <c r="AB158" s="196"/>
      <c r="AC158" s="196"/>
      <c r="AD158" s="275">
        <v>0</v>
      </c>
      <c r="AE158" s="275">
        <v>0</v>
      </c>
      <c r="AF158" s="275">
        <v>1</v>
      </c>
      <c r="AG158" s="442"/>
      <c r="AH158" s="442"/>
      <c r="AI158" s="200">
        <f t="shared" si="84"/>
        <v>0</v>
      </c>
      <c r="AJ158" s="203"/>
      <c r="AK158" s="203"/>
      <c r="AL158" s="197">
        <f t="shared" si="85"/>
        <v>3699004</v>
      </c>
      <c r="AM158" s="197">
        <f t="shared" si="86"/>
        <v>0</v>
      </c>
      <c r="AN158" s="197">
        <f t="shared" si="87"/>
        <v>0</v>
      </c>
      <c r="AO158" s="202"/>
      <c r="AP158" s="161" t="s">
        <v>3900</v>
      </c>
      <c r="AQ158" s="279"/>
      <c r="AR158" s="287">
        <f t="shared" si="88"/>
        <v>0</v>
      </c>
      <c r="AS158" s="287">
        <f t="shared" si="89"/>
        <v>0</v>
      </c>
      <c r="AT158" s="287">
        <f t="shared" si="90"/>
        <v>0</v>
      </c>
      <c r="AU158" s="287">
        <f t="shared" si="91"/>
        <v>0</v>
      </c>
      <c r="AV158" s="287">
        <f t="shared" si="92"/>
        <v>0</v>
      </c>
      <c r="AW158" s="287">
        <f t="shared" si="93"/>
        <v>0</v>
      </c>
      <c r="AX158" s="287">
        <f t="shared" si="94"/>
        <v>0</v>
      </c>
      <c r="AY158" s="287">
        <f t="shared" si="95"/>
        <v>0</v>
      </c>
      <c r="AZ158" s="287">
        <f t="shared" si="96"/>
        <v>0</v>
      </c>
      <c r="BA158" s="287">
        <f t="shared" si="97"/>
        <v>0</v>
      </c>
      <c r="BB158" s="16"/>
      <c r="BC158" s="287">
        <f t="shared" si="98"/>
        <v>0</v>
      </c>
      <c r="BD158" s="287">
        <f t="shared" si="99"/>
        <v>0</v>
      </c>
      <c r="BE158" s="287">
        <f t="shared" si="100"/>
        <v>0</v>
      </c>
      <c r="BF158" s="287">
        <f t="shared" si="101"/>
        <v>0</v>
      </c>
      <c r="BG158" s="287">
        <f t="shared" si="102"/>
        <v>0</v>
      </c>
      <c r="BH158" s="287">
        <f t="shared" si="103"/>
        <v>0</v>
      </c>
      <c r="BI158" s="287">
        <f t="shared" si="104"/>
        <v>0</v>
      </c>
      <c r="BJ158" s="287">
        <f t="shared" si="105"/>
        <v>0</v>
      </c>
      <c r="BK158" s="287">
        <f t="shared" si="106"/>
        <v>0</v>
      </c>
      <c r="BL158" s="287">
        <f t="shared" si="107"/>
        <v>0</v>
      </c>
      <c r="BM158" s="16"/>
      <c r="BN158" s="287">
        <f t="shared" si="108"/>
        <v>0</v>
      </c>
      <c r="BO158" s="287">
        <f t="shared" si="109"/>
        <v>0</v>
      </c>
      <c r="BP158" s="432"/>
      <c r="BQ158" s="21"/>
      <c r="BR158" s="21"/>
      <c r="BS158" s="39"/>
      <c r="BT158" s="39"/>
      <c r="BU158" s="39"/>
      <c r="BV158" s="39"/>
      <c r="BW158" s="39"/>
      <c r="BX158" s="39"/>
      <c r="BY158" s="39"/>
      <c r="BZ158" s="39">
        <v>145</v>
      </c>
      <c r="CA158" s="39" t="str">
        <f t="shared" si="110"/>
        <v/>
      </c>
      <c r="CB158" s="39"/>
      <c r="CC158" s="39"/>
      <c r="CD158" s="39"/>
      <c r="CE158" s="39"/>
      <c r="CF158" s="39"/>
      <c r="CG158" s="39"/>
      <c r="CH158" s="39"/>
      <c r="CI158" s="39"/>
      <c r="CJ158" s="39"/>
      <c r="CK158" s="39"/>
    </row>
    <row r="159" spans="1:89" s="193" customFormat="1">
      <c r="A159" s="195"/>
      <c r="B159" s="21" t="str">
        <f t="shared" si="79"/>
        <v>N/A</v>
      </c>
      <c r="C159" s="21"/>
      <c r="D159" s="432">
        <v>3200884</v>
      </c>
      <c r="E159" s="439" t="s">
        <v>3626</v>
      </c>
      <c r="F159" s="439" t="s">
        <v>3465</v>
      </c>
      <c r="G159" s="273" t="s">
        <v>3292</v>
      </c>
      <c r="H159" s="358"/>
      <c r="I159" s="262" t="s">
        <v>3498</v>
      </c>
      <c r="J159" s="262" t="s">
        <v>3504</v>
      </c>
      <c r="K159" s="263">
        <v>0</v>
      </c>
      <c r="L159" s="263">
        <v>0</v>
      </c>
      <c r="M159" s="263">
        <v>0</v>
      </c>
      <c r="N159" s="263">
        <v>477000</v>
      </c>
      <c r="O159" s="263">
        <v>477000</v>
      </c>
      <c r="P159" s="263">
        <v>0</v>
      </c>
      <c r="Q159" s="263">
        <v>0</v>
      </c>
      <c r="R159" s="263">
        <v>0</v>
      </c>
      <c r="S159" s="263">
        <v>0</v>
      </c>
      <c r="T159" s="263">
        <v>0</v>
      </c>
      <c r="U159" s="263">
        <f t="shared" si="111"/>
        <v>954000</v>
      </c>
      <c r="V159" s="196" t="str">
        <f t="shared" si="80"/>
        <v>R</v>
      </c>
      <c r="W159" s="196" t="s">
        <v>1168</v>
      </c>
      <c r="X159" s="196" t="str">
        <f t="shared" si="81"/>
        <v>N</v>
      </c>
      <c r="Y159" s="197">
        <f t="shared" si="82"/>
        <v>954000</v>
      </c>
      <c r="Z159" s="198"/>
      <c r="AA159" s="197">
        <f t="shared" si="83"/>
        <v>954000</v>
      </c>
      <c r="AB159" s="196"/>
      <c r="AC159" s="196"/>
      <c r="AD159" s="275">
        <v>0</v>
      </c>
      <c r="AE159" s="275">
        <v>0</v>
      </c>
      <c r="AF159" s="275">
        <v>1</v>
      </c>
      <c r="AG159" s="442"/>
      <c r="AH159" s="442"/>
      <c r="AI159" s="200">
        <f t="shared" si="84"/>
        <v>0</v>
      </c>
      <c r="AJ159" s="203"/>
      <c r="AK159" s="203"/>
      <c r="AL159" s="197">
        <f t="shared" si="85"/>
        <v>954000</v>
      </c>
      <c r="AM159" s="197">
        <f t="shared" si="86"/>
        <v>0</v>
      </c>
      <c r="AN159" s="197">
        <f t="shared" si="87"/>
        <v>0</v>
      </c>
      <c r="AO159" s="202"/>
      <c r="AP159" s="161" t="s">
        <v>3900</v>
      </c>
      <c r="AQ159" s="279"/>
      <c r="AR159" s="287">
        <f t="shared" si="88"/>
        <v>0</v>
      </c>
      <c r="AS159" s="287">
        <f t="shared" si="89"/>
        <v>0</v>
      </c>
      <c r="AT159" s="287">
        <f t="shared" si="90"/>
        <v>0</v>
      </c>
      <c r="AU159" s="287">
        <f t="shared" si="91"/>
        <v>0</v>
      </c>
      <c r="AV159" s="287">
        <f t="shared" si="92"/>
        <v>0</v>
      </c>
      <c r="AW159" s="287">
        <f t="shared" si="93"/>
        <v>0</v>
      </c>
      <c r="AX159" s="287">
        <f t="shared" si="94"/>
        <v>0</v>
      </c>
      <c r="AY159" s="287">
        <f t="shared" si="95"/>
        <v>0</v>
      </c>
      <c r="AZ159" s="287">
        <f t="shared" si="96"/>
        <v>0</v>
      </c>
      <c r="BA159" s="287">
        <f t="shared" si="97"/>
        <v>0</v>
      </c>
      <c r="BB159" s="16"/>
      <c r="BC159" s="287">
        <f t="shared" si="98"/>
        <v>0</v>
      </c>
      <c r="BD159" s="287">
        <f t="shared" si="99"/>
        <v>0</v>
      </c>
      <c r="BE159" s="287">
        <f t="shared" si="100"/>
        <v>0</v>
      </c>
      <c r="BF159" s="287">
        <f t="shared" si="101"/>
        <v>0</v>
      </c>
      <c r="BG159" s="287">
        <f t="shared" si="102"/>
        <v>0</v>
      </c>
      <c r="BH159" s="287">
        <f t="shared" si="103"/>
        <v>0</v>
      </c>
      <c r="BI159" s="287">
        <f t="shared" si="104"/>
        <v>0</v>
      </c>
      <c r="BJ159" s="287">
        <f t="shared" si="105"/>
        <v>0</v>
      </c>
      <c r="BK159" s="287">
        <f t="shared" si="106"/>
        <v>0</v>
      </c>
      <c r="BL159" s="287">
        <f t="shared" si="107"/>
        <v>0</v>
      </c>
      <c r="BM159" s="16"/>
      <c r="BN159" s="287">
        <f t="shared" si="108"/>
        <v>0</v>
      </c>
      <c r="BO159" s="287">
        <f t="shared" si="109"/>
        <v>0</v>
      </c>
      <c r="BP159" s="432"/>
      <c r="BQ159" s="21"/>
      <c r="BR159" s="21"/>
      <c r="BS159" s="39"/>
      <c r="BT159" s="39"/>
      <c r="BU159" s="39"/>
      <c r="BV159" s="39"/>
      <c r="BW159" s="39"/>
      <c r="BX159" s="39"/>
      <c r="BY159" s="39"/>
      <c r="BZ159" s="39">
        <v>146</v>
      </c>
      <c r="CA159" s="39" t="str">
        <f t="shared" si="110"/>
        <v/>
      </c>
      <c r="CB159" s="39"/>
      <c r="CC159" s="39"/>
      <c r="CD159" s="39"/>
      <c r="CE159" s="39"/>
      <c r="CF159" s="39"/>
      <c r="CG159" s="39"/>
      <c r="CH159" s="39"/>
      <c r="CI159" s="39"/>
      <c r="CJ159" s="39"/>
      <c r="CK159" s="39"/>
    </row>
    <row r="160" spans="1:89" s="193" customFormat="1">
      <c r="A160" s="195"/>
      <c r="B160" s="21" t="str">
        <f t="shared" si="79"/>
        <v>N/A</v>
      </c>
      <c r="C160" s="21"/>
      <c r="D160" s="432">
        <v>3200884</v>
      </c>
      <c r="E160" s="439" t="s">
        <v>3626</v>
      </c>
      <c r="F160" s="439" t="s">
        <v>3746</v>
      </c>
      <c r="G160" s="273" t="s">
        <v>3290</v>
      </c>
      <c r="H160" s="358"/>
      <c r="I160" s="262" t="s">
        <v>3498</v>
      </c>
      <c r="J160" s="262" t="s">
        <v>3504</v>
      </c>
      <c r="K160" s="263">
        <v>2000000</v>
      </c>
      <c r="L160" s="263">
        <v>1700000</v>
      </c>
      <c r="M160" s="263">
        <v>1825000</v>
      </c>
      <c r="N160" s="263">
        <v>0</v>
      </c>
      <c r="O160" s="263">
        <v>0</v>
      </c>
      <c r="P160" s="263">
        <v>0</v>
      </c>
      <c r="Q160" s="263">
        <v>0</v>
      </c>
      <c r="R160" s="263">
        <v>0</v>
      </c>
      <c r="S160" s="263">
        <v>0</v>
      </c>
      <c r="T160" s="263">
        <v>0</v>
      </c>
      <c r="U160" s="263">
        <f t="shared" si="111"/>
        <v>5525000</v>
      </c>
      <c r="V160" s="196" t="str">
        <f t="shared" si="80"/>
        <v>R</v>
      </c>
      <c r="W160" s="196" t="s">
        <v>1168</v>
      </c>
      <c r="X160" s="196" t="str">
        <f t="shared" si="81"/>
        <v>N</v>
      </c>
      <c r="Y160" s="197">
        <f t="shared" si="82"/>
        <v>5525000</v>
      </c>
      <c r="Z160" s="198"/>
      <c r="AA160" s="197">
        <f t="shared" si="83"/>
        <v>5525000</v>
      </c>
      <c r="AB160" s="196"/>
      <c r="AC160" s="196"/>
      <c r="AD160" s="275">
        <v>0</v>
      </c>
      <c r="AE160" s="275">
        <v>0</v>
      </c>
      <c r="AF160" s="275">
        <v>1</v>
      </c>
      <c r="AG160" s="442"/>
      <c r="AH160" s="442"/>
      <c r="AI160" s="200">
        <f t="shared" si="84"/>
        <v>0</v>
      </c>
      <c r="AJ160" s="203"/>
      <c r="AK160" s="203"/>
      <c r="AL160" s="197">
        <f t="shared" si="85"/>
        <v>5525000</v>
      </c>
      <c r="AM160" s="197">
        <f t="shared" si="86"/>
        <v>0</v>
      </c>
      <c r="AN160" s="197">
        <f t="shared" si="87"/>
        <v>0</v>
      </c>
      <c r="AO160" s="202"/>
      <c r="AP160" s="161" t="s">
        <v>3900</v>
      </c>
      <c r="AQ160" s="279"/>
      <c r="AR160" s="287">
        <f t="shared" si="88"/>
        <v>0</v>
      </c>
      <c r="AS160" s="287">
        <f t="shared" si="89"/>
        <v>0</v>
      </c>
      <c r="AT160" s="287">
        <f t="shared" si="90"/>
        <v>0</v>
      </c>
      <c r="AU160" s="287">
        <f t="shared" si="91"/>
        <v>0</v>
      </c>
      <c r="AV160" s="287">
        <f t="shared" si="92"/>
        <v>0</v>
      </c>
      <c r="AW160" s="287">
        <f t="shared" si="93"/>
        <v>0</v>
      </c>
      <c r="AX160" s="287">
        <f t="shared" si="94"/>
        <v>0</v>
      </c>
      <c r="AY160" s="287">
        <f t="shared" si="95"/>
        <v>0</v>
      </c>
      <c r="AZ160" s="287">
        <f t="shared" si="96"/>
        <v>0</v>
      </c>
      <c r="BA160" s="287">
        <f t="shared" si="97"/>
        <v>0</v>
      </c>
      <c r="BB160" s="16"/>
      <c r="BC160" s="287">
        <f t="shared" si="98"/>
        <v>0</v>
      </c>
      <c r="BD160" s="287">
        <f t="shared" si="99"/>
        <v>0</v>
      </c>
      <c r="BE160" s="287">
        <f t="shared" si="100"/>
        <v>0</v>
      </c>
      <c r="BF160" s="287">
        <f t="shared" si="101"/>
        <v>0</v>
      </c>
      <c r="BG160" s="287">
        <f t="shared" si="102"/>
        <v>0</v>
      </c>
      <c r="BH160" s="287">
        <f t="shared" si="103"/>
        <v>0</v>
      </c>
      <c r="BI160" s="287">
        <f t="shared" si="104"/>
        <v>0</v>
      </c>
      <c r="BJ160" s="287">
        <f t="shared" si="105"/>
        <v>0</v>
      </c>
      <c r="BK160" s="287">
        <f t="shared" si="106"/>
        <v>0</v>
      </c>
      <c r="BL160" s="287">
        <f t="shared" si="107"/>
        <v>0</v>
      </c>
      <c r="BM160" s="16"/>
      <c r="BN160" s="287">
        <f t="shared" si="108"/>
        <v>0</v>
      </c>
      <c r="BO160" s="287">
        <f t="shared" si="109"/>
        <v>0</v>
      </c>
      <c r="BP160" s="432"/>
      <c r="BQ160" s="21"/>
      <c r="BR160" s="21"/>
      <c r="BS160" s="39"/>
      <c r="BT160" s="39"/>
      <c r="BU160" s="39"/>
      <c r="BV160" s="39"/>
      <c r="BW160" s="39"/>
      <c r="BX160" s="39"/>
      <c r="BY160" s="39"/>
      <c r="BZ160" s="39">
        <v>147</v>
      </c>
      <c r="CA160" s="39" t="str">
        <f t="shared" si="110"/>
        <v/>
      </c>
      <c r="CB160" s="39"/>
      <c r="CC160" s="39"/>
      <c r="CD160" s="39"/>
      <c r="CE160" s="39"/>
      <c r="CF160" s="39"/>
      <c r="CG160" s="39"/>
      <c r="CH160" s="39"/>
      <c r="CI160" s="39"/>
      <c r="CJ160" s="39"/>
      <c r="CK160" s="39"/>
    </row>
    <row r="161" spans="1:89" s="193" customFormat="1">
      <c r="A161" s="195"/>
      <c r="B161" s="21" t="str">
        <f t="shared" si="79"/>
        <v>N/A</v>
      </c>
      <c r="C161" s="21"/>
      <c r="D161" s="432">
        <v>3200884</v>
      </c>
      <c r="E161" s="439" t="s">
        <v>3626</v>
      </c>
      <c r="F161" s="439" t="s">
        <v>3464</v>
      </c>
      <c r="G161" s="273" t="s">
        <v>3291</v>
      </c>
      <c r="H161" s="358"/>
      <c r="I161" s="262" t="s">
        <v>3498</v>
      </c>
      <c r="J161" s="262" t="s">
        <v>3504</v>
      </c>
      <c r="K161" s="263">
        <v>900000</v>
      </c>
      <c r="L161" s="263">
        <v>1000000</v>
      </c>
      <c r="M161" s="263">
        <v>0</v>
      </c>
      <c r="N161" s="263">
        <v>1583000</v>
      </c>
      <c r="O161" s="263">
        <v>1135000</v>
      </c>
      <c r="P161" s="263">
        <v>2440000</v>
      </c>
      <c r="Q161" s="263">
        <v>1845005</v>
      </c>
      <c r="R161" s="263">
        <v>2500000</v>
      </c>
      <c r="S161" s="263">
        <v>2500000</v>
      </c>
      <c r="T161" s="263">
        <v>2365128</v>
      </c>
      <c r="U161" s="263">
        <f t="shared" si="111"/>
        <v>16268133</v>
      </c>
      <c r="V161" s="196" t="str">
        <f t="shared" si="80"/>
        <v>R</v>
      </c>
      <c r="W161" s="196" t="s">
        <v>1168</v>
      </c>
      <c r="X161" s="196" t="str">
        <f t="shared" si="81"/>
        <v>N</v>
      </c>
      <c r="Y161" s="197">
        <f t="shared" si="82"/>
        <v>16268133</v>
      </c>
      <c r="Z161" s="198"/>
      <c r="AA161" s="197">
        <f t="shared" si="83"/>
        <v>16268133</v>
      </c>
      <c r="AB161" s="196"/>
      <c r="AC161" s="196"/>
      <c r="AD161" s="275">
        <v>0</v>
      </c>
      <c r="AE161" s="275">
        <v>0</v>
      </c>
      <c r="AF161" s="275">
        <v>1</v>
      </c>
      <c r="AG161" s="442"/>
      <c r="AH161" s="442"/>
      <c r="AI161" s="200">
        <f t="shared" si="84"/>
        <v>0</v>
      </c>
      <c r="AJ161" s="203"/>
      <c r="AK161" s="203"/>
      <c r="AL161" s="197">
        <f t="shared" si="85"/>
        <v>16268133</v>
      </c>
      <c r="AM161" s="197">
        <f t="shared" si="86"/>
        <v>0</v>
      </c>
      <c r="AN161" s="197">
        <f t="shared" si="87"/>
        <v>0</v>
      </c>
      <c r="AO161" s="202"/>
      <c r="AP161" s="161" t="s">
        <v>3900</v>
      </c>
      <c r="AQ161" s="279"/>
      <c r="AR161" s="287">
        <f t="shared" si="88"/>
        <v>0</v>
      </c>
      <c r="AS161" s="287">
        <f t="shared" si="89"/>
        <v>0</v>
      </c>
      <c r="AT161" s="287">
        <f t="shared" si="90"/>
        <v>0</v>
      </c>
      <c r="AU161" s="287">
        <f t="shared" si="91"/>
        <v>0</v>
      </c>
      <c r="AV161" s="287">
        <f t="shared" si="92"/>
        <v>0</v>
      </c>
      <c r="AW161" s="287">
        <f t="shared" si="93"/>
        <v>0</v>
      </c>
      <c r="AX161" s="287">
        <f t="shared" si="94"/>
        <v>0</v>
      </c>
      <c r="AY161" s="287">
        <f t="shared" si="95"/>
        <v>0</v>
      </c>
      <c r="AZ161" s="287">
        <f t="shared" si="96"/>
        <v>0</v>
      </c>
      <c r="BA161" s="287">
        <f t="shared" si="97"/>
        <v>0</v>
      </c>
      <c r="BB161" s="16"/>
      <c r="BC161" s="287">
        <f t="shared" si="98"/>
        <v>0</v>
      </c>
      <c r="BD161" s="287">
        <f t="shared" si="99"/>
        <v>0</v>
      </c>
      <c r="BE161" s="287">
        <f t="shared" si="100"/>
        <v>0</v>
      </c>
      <c r="BF161" s="287">
        <f t="shared" si="101"/>
        <v>0</v>
      </c>
      <c r="BG161" s="287">
        <f t="shared" si="102"/>
        <v>0</v>
      </c>
      <c r="BH161" s="287">
        <f t="shared" si="103"/>
        <v>0</v>
      </c>
      <c r="BI161" s="287">
        <f t="shared" si="104"/>
        <v>0</v>
      </c>
      <c r="BJ161" s="287">
        <f t="shared" si="105"/>
        <v>0</v>
      </c>
      <c r="BK161" s="287">
        <f t="shared" si="106"/>
        <v>0</v>
      </c>
      <c r="BL161" s="287">
        <f t="shared" si="107"/>
        <v>0</v>
      </c>
      <c r="BM161" s="16"/>
      <c r="BN161" s="287">
        <f t="shared" si="108"/>
        <v>0</v>
      </c>
      <c r="BO161" s="287">
        <f t="shared" si="109"/>
        <v>0</v>
      </c>
      <c r="BP161" s="432"/>
      <c r="BQ161" s="21"/>
      <c r="BR161" s="21"/>
      <c r="BS161" s="39"/>
      <c r="BT161" s="39"/>
      <c r="BU161" s="39"/>
      <c r="BV161" s="39"/>
      <c r="BW161" s="39"/>
      <c r="BX161" s="39"/>
      <c r="BY161" s="39"/>
      <c r="BZ161" s="39">
        <v>148</v>
      </c>
      <c r="CA161" s="39" t="str">
        <f t="shared" si="110"/>
        <v/>
      </c>
      <c r="CB161" s="39"/>
      <c r="CC161" s="39"/>
      <c r="CD161" s="39"/>
      <c r="CE161" s="39"/>
      <c r="CF161" s="39"/>
      <c r="CG161" s="39"/>
      <c r="CH161" s="39"/>
      <c r="CI161" s="39"/>
      <c r="CJ161" s="39"/>
      <c r="CK161" s="39"/>
    </row>
    <row r="162" spans="1:89" s="193" customFormat="1">
      <c r="A162" s="195"/>
      <c r="B162" s="21" t="str">
        <f t="shared" si="79"/>
        <v>N/A</v>
      </c>
      <c r="C162" s="21"/>
      <c r="D162" s="432">
        <v>3200952</v>
      </c>
      <c r="E162" s="439" t="s">
        <v>3626</v>
      </c>
      <c r="F162" s="439" t="s">
        <v>3750</v>
      </c>
      <c r="G162" s="273" t="s">
        <v>3345</v>
      </c>
      <c r="H162" s="358"/>
      <c r="I162" s="262" t="s">
        <v>3497</v>
      </c>
      <c r="J162" s="262" t="s">
        <v>3519</v>
      </c>
      <c r="K162" s="263">
        <v>754326.09</v>
      </c>
      <c r="L162" s="263">
        <v>1318966.1299999999</v>
      </c>
      <c r="M162" s="263">
        <v>1349551.19</v>
      </c>
      <c r="N162" s="263">
        <v>1321578.6000000001</v>
      </c>
      <c r="O162" s="263">
        <v>1392146.06</v>
      </c>
      <c r="P162" s="263">
        <v>1790325.96</v>
      </c>
      <c r="Q162" s="263">
        <v>1456520.26</v>
      </c>
      <c r="R162" s="263">
        <v>1594767.55</v>
      </c>
      <c r="S162" s="263">
        <v>1666826.02</v>
      </c>
      <c r="T162" s="263">
        <v>1667471.52</v>
      </c>
      <c r="U162" s="263">
        <f t="shared" si="111"/>
        <v>14312479.380000001</v>
      </c>
      <c r="V162" s="196" t="str">
        <f t="shared" si="80"/>
        <v>G/R</v>
      </c>
      <c r="W162" s="196" t="s">
        <v>1168</v>
      </c>
      <c r="X162" s="196" t="str">
        <f t="shared" si="81"/>
        <v>Y</v>
      </c>
      <c r="Y162" s="197">
        <f t="shared" si="82"/>
        <v>14312479.380000001</v>
      </c>
      <c r="Z162" s="198"/>
      <c r="AA162" s="197">
        <f t="shared" si="83"/>
        <v>14312479.380000001</v>
      </c>
      <c r="AB162" s="196" t="s">
        <v>1168</v>
      </c>
      <c r="AC162" s="196"/>
      <c r="AD162" s="275">
        <v>0.16260504516837365</v>
      </c>
      <c r="AE162" s="275">
        <v>0</v>
      </c>
      <c r="AF162" s="275">
        <v>0.8373949548316264</v>
      </c>
      <c r="AG162" s="442"/>
      <c r="AH162" s="442"/>
      <c r="AI162" s="200">
        <f t="shared" si="84"/>
        <v>0</v>
      </c>
      <c r="AJ162" s="203"/>
      <c r="AK162" s="203"/>
      <c r="AL162" s="197">
        <f t="shared" si="85"/>
        <v>14312479.380000001</v>
      </c>
      <c r="AM162" s="197">
        <f t="shared" si="86"/>
        <v>0</v>
      </c>
      <c r="AN162" s="197">
        <f t="shared" si="87"/>
        <v>0</v>
      </c>
      <c r="AO162" s="202"/>
      <c r="AP162" s="161" t="s">
        <v>3900</v>
      </c>
      <c r="AQ162" s="279"/>
      <c r="AR162" s="287">
        <f t="shared" si="88"/>
        <v>0</v>
      </c>
      <c r="AS162" s="287">
        <f t="shared" si="89"/>
        <v>0</v>
      </c>
      <c r="AT162" s="287">
        <f t="shared" si="90"/>
        <v>0</v>
      </c>
      <c r="AU162" s="287">
        <f t="shared" si="91"/>
        <v>0</v>
      </c>
      <c r="AV162" s="287">
        <f t="shared" si="92"/>
        <v>0</v>
      </c>
      <c r="AW162" s="287">
        <f t="shared" si="93"/>
        <v>0</v>
      </c>
      <c r="AX162" s="287">
        <f t="shared" si="94"/>
        <v>0</v>
      </c>
      <c r="AY162" s="287">
        <f t="shared" si="95"/>
        <v>0</v>
      </c>
      <c r="AZ162" s="287">
        <f t="shared" si="96"/>
        <v>0</v>
      </c>
      <c r="BA162" s="287">
        <f t="shared" si="97"/>
        <v>0</v>
      </c>
      <c r="BB162" s="16"/>
      <c r="BC162" s="287">
        <f t="shared" si="98"/>
        <v>0</v>
      </c>
      <c r="BD162" s="287">
        <f t="shared" si="99"/>
        <v>0</v>
      </c>
      <c r="BE162" s="287">
        <f t="shared" si="100"/>
        <v>0</v>
      </c>
      <c r="BF162" s="287">
        <f t="shared" si="101"/>
        <v>0</v>
      </c>
      <c r="BG162" s="287">
        <f t="shared" si="102"/>
        <v>0</v>
      </c>
      <c r="BH162" s="287">
        <f t="shared" si="103"/>
        <v>0</v>
      </c>
      <c r="BI162" s="287">
        <f t="shared" si="104"/>
        <v>0</v>
      </c>
      <c r="BJ162" s="287">
        <f t="shared" si="105"/>
        <v>0</v>
      </c>
      <c r="BK162" s="287">
        <f t="shared" si="106"/>
        <v>0</v>
      </c>
      <c r="BL162" s="287">
        <f t="shared" si="107"/>
        <v>0</v>
      </c>
      <c r="BM162" s="16"/>
      <c r="BN162" s="287">
        <f t="shared" si="108"/>
        <v>0</v>
      </c>
      <c r="BO162" s="287">
        <f t="shared" si="109"/>
        <v>0</v>
      </c>
      <c r="BP162" s="432"/>
      <c r="BQ162" s="21"/>
      <c r="BR162" s="21"/>
      <c r="BS162" s="39"/>
      <c r="BT162" s="39"/>
      <c r="BU162" s="39"/>
      <c r="BV162" s="39"/>
      <c r="BW162" s="39"/>
      <c r="BX162" s="39"/>
      <c r="BY162" s="39"/>
      <c r="BZ162" s="39">
        <v>149</v>
      </c>
      <c r="CA162" s="39" t="str">
        <f t="shared" si="110"/>
        <v/>
      </c>
      <c r="CB162" s="39"/>
      <c r="CC162" s="39"/>
      <c r="CD162" s="39"/>
      <c r="CE162" s="39"/>
      <c r="CF162" s="39"/>
      <c r="CG162" s="39"/>
      <c r="CH162" s="39"/>
      <c r="CI162" s="39"/>
      <c r="CJ162" s="39"/>
      <c r="CK162" s="39"/>
    </row>
    <row r="163" spans="1:89" s="193" customFormat="1">
      <c r="A163" s="195"/>
      <c r="B163" s="21" t="str">
        <f t="shared" si="79"/>
        <v>N/A</v>
      </c>
      <c r="C163" s="21"/>
      <c r="D163" s="432">
        <v>3201000</v>
      </c>
      <c r="E163" s="439" t="s">
        <v>3626</v>
      </c>
      <c r="F163" s="439" t="s">
        <v>3482</v>
      </c>
      <c r="G163" s="273" t="s">
        <v>3416</v>
      </c>
      <c r="H163" s="358"/>
      <c r="I163" s="262" t="s">
        <v>3497</v>
      </c>
      <c r="J163" s="262" t="s">
        <v>3504</v>
      </c>
      <c r="K163" s="263">
        <v>8135999.9999999991</v>
      </c>
      <c r="L163" s="263">
        <v>5186699.9999999991</v>
      </c>
      <c r="M163" s="263">
        <v>10580867.999999998</v>
      </c>
      <c r="N163" s="263">
        <v>10792485.359999998</v>
      </c>
      <c r="O163" s="263">
        <v>11008335.067199998</v>
      </c>
      <c r="P163" s="263">
        <v>11228501.768543998</v>
      </c>
      <c r="Q163" s="263">
        <v>11453071.803914879</v>
      </c>
      <c r="R163" s="263">
        <v>11682133.239993174</v>
      </c>
      <c r="S163" s="263">
        <v>11915775.904793039</v>
      </c>
      <c r="T163" s="263">
        <v>12154091.422888899</v>
      </c>
      <c r="U163" s="263">
        <f t="shared" si="111"/>
        <v>104137962.56733398</v>
      </c>
      <c r="V163" s="196" t="str">
        <f t="shared" si="80"/>
        <v>G/LOS</v>
      </c>
      <c r="W163" s="196" t="s">
        <v>1168</v>
      </c>
      <c r="X163" s="196" t="str">
        <f t="shared" si="81"/>
        <v>Y</v>
      </c>
      <c r="Y163" s="197">
        <f t="shared" si="82"/>
        <v>104137962.56733398</v>
      </c>
      <c r="Z163" s="198"/>
      <c r="AA163" s="197">
        <f t="shared" si="83"/>
        <v>104137962.56733398</v>
      </c>
      <c r="AB163" s="196" t="s">
        <v>1168</v>
      </c>
      <c r="AC163" s="196"/>
      <c r="AD163" s="275">
        <v>0.75</v>
      </c>
      <c r="AE163" s="275">
        <v>0.25</v>
      </c>
      <c r="AF163" s="275">
        <v>0</v>
      </c>
      <c r="AG163" s="442"/>
      <c r="AH163" s="442"/>
      <c r="AI163" s="200">
        <f t="shared" si="84"/>
        <v>0</v>
      </c>
      <c r="AJ163" s="203"/>
      <c r="AK163" s="203"/>
      <c r="AL163" s="197">
        <f t="shared" si="85"/>
        <v>104137962.56733398</v>
      </c>
      <c r="AM163" s="197">
        <f t="shared" si="86"/>
        <v>0</v>
      </c>
      <c r="AN163" s="197">
        <f t="shared" si="87"/>
        <v>0</v>
      </c>
      <c r="AO163" s="202"/>
      <c r="AP163" s="161" t="s">
        <v>3900</v>
      </c>
      <c r="AQ163" s="279"/>
      <c r="AR163" s="287">
        <f t="shared" si="88"/>
        <v>0</v>
      </c>
      <c r="AS163" s="287">
        <f t="shared" si="89"/>
        <v>0</v>
      </c>
      <c r="AT163" s="287">
        <f t="shared" si="90"/>
        <v>0</v>
      </c>
      <c r="AU163" s="287">
        <f t="shared" si="91"/>
        <v>0</v>
      </c>
      <c r="AV163" s="287">
        <f t="shared" si="92"/>
        <v>0</v>
      </c>
      <c r="AW163" s="287">
        <f t="shared" si="93"/>
        <v>0</v>
      </c>
      <c r="AX163" s="287">
        <f t="shared" si="94"/>
        <v>0</v>
      </c>
      <c r="AY163" s="287">
        <f t="shared" si="95"/>
        <v>0</v>
      </c>
      <c r="AZ163" s="287">
        <f t="shared" si="96"/>
        <v>0</v>
      </c>
      <c r="BA163" s="287">
        <f t="shared" si="97"/>
        <v>0</v>
      </c>
      <c r="BB163" s="16"/>
      <c r="BC163" s="287">
        <f t="shared" si="98"/>
        <v>0</v>
      </c>
      <c r="BD163" s="287">
        <f t="shared" si="99"/>
        <v>0</v>
      </c>
      <c r="BE163" s="287">
        <f t="shared" si="100"/>
        <v>0</v>
      </c>
      <c r="BF163" s="287">
        <f t="shared" si="101"/>
        <v>0</v>
      </c>
      <c r="BG163" s="287">
        <f t="shared" si="102"/>
        <v>0</v>
      </c>
      <c r="BH163" s="287">
        <f t="shared" si="103"/>
        <v>0</v>
      </c>
      <c r="BI163" s="287">
        <f t="shared" si="104"/>
        <v>0</v>
      </c>
      <c r="BJ163" s="287">
        <f t="shared" si="105"/>
        <v>0</v>
      </c>
      <c r="BK163" s="287">
        <f t="shared" si="106"/>
        <v>0</v>
      </c>
      <c r="BL163" s="287">
        <f t="shared" si="107"/>
        <v>0</v>
      </c>
      <c r="BM163" s="16"/>
      <c r="BN163" s="287">
        <f t="shared" si="108"/>
        <v>0</v>
      </c>
      <c r="BO163" s="287">
        <f t="shared" si="109"/>
        <v>0</v>
      </c>
      <c r="BP163" s="432"/>
      <c r="BQ163" s="21"/>
      <c r="BR163" s="21"/>
      <c r="BS163" s="39"/>
      <c r="BT163" s="39"/>
      <c r="BU163" s="39"/>
      <c r="BV163" s="39"/>
      <c r="BW163" s="39"/>
      <c r="BX163" s="39"/>
      <c r="BY163" s="39"/>
      <c r="BZ163" s="39">
        <v>150</v>
      </c>
      <c r="CA163" s="39" t="str">
        <f t="shared" si="110"/>
        <v/>
      </c>
      <c r="CB163" s="39"/>
      <c r="CC163" s="39"/>
      <c r="CD163" s="39"/>
      <c r="CE163" s="39"/>
      <c r="CF163" s="39"/>
      <c r="CG163" s="39"/>
      <c r="CH163" s="39"/>
      <c r="CI163" s="39"/>
      <c r="CJ163" s="39"/>
      <c r="CK163" s="39"/>
    </row>
    <row r="164" spans="1:89" s="193" customFormat="1">
      <c r="A164" s="195"/>
      <c r="B164" s="21" t="str">
        <f t="shared" si="79"/>
        <v>N/A</v>
      </c>
      <c r="C164" s="21"/>
      <c r="D164" s="432">
        <v>3201007</v>
      </c>
      <c r="E164" s="439" t="s">
        <v>3626</v>
      </c>
      <c r="F164" s="439" t="s">
        <v>3752</v>
      </c>
      <c r="G164" s="273" t="s">
        <v>3418</v>
      </c>
      <c r="H164" s="358"/>
      <c r="I164" s="262" t="s">
        <v>3491</v>
      </c>
      <c r="J164" s="262" t="s">
        <v>3504</v>
      </c>
      <c r="K164" s="263">
        <v>0</v>
      </c>
      <c r="L164" s="263">
        <v>0</v>
      </c>
      <c r="M164" s="263">
        <v>0</v>
      </c>
      <c r="N164" s="263">
        <v>0</v>
      </c>
      <c r="O164" s="263">
        <v>0</v>
      </c>
      <c r="P164" s="263">
        <v>6000000</v>
      </c>
      <c r="Q164" s="263">
        <v>0</v>
      </c>
      <c r="R164" s="263">
        <v>0</v>
      </c>
      <c r="S164" s="263">
        <v>0</v>
      </c>
      <c r="T164" s="263">
        <v>0</v>
      </c>
      <c r="U164" s="263">
        <f t="shared" si="111"/>
        <v>6000000</v>
      </c>
      <c r="V164" s="196" t="str">
        <f t="shared" si="80"/>
        <v>G/LOS</v>
      </c>
      <c r="W164" s="196" t="s">
        <v>1168</v>
      </c>
      <c r="X164" s="196" t="str">
        <f t="shared" si="81"/>
        <v>Y</v>
      </c>
      <c r="Y164" s="197">
        <f t="shared" si="82"/>
        <v>6000000</v>
      </c>
      <c r="Z164" s="198"/>
      <c r="AA164" s="197">
        <f t="shared" si="83"/>
        <v>6000000</v>
      </c>
      <c r="AB164" s="196" t="s">
        <v>1168</v>
      </c>
      <c r="AC164" s="196"/>
      <c r="AD164" s="275">
        <v>0.5</v>
      </c>
      <c r="AE164" s="275">
        <v>0.5</v>
      </c>
      <c r="AF164" s="275">
        <v>0</v>
      </c>
      <c r="AG164" s="442"/>
      <c r="AH164" s="442"/>
      <c r="AI164" s="200">
        <f t="shared" si="84"/>
        <v>0</v>
      </c>
      <c r="AJ164" s="203"/>
      <c r="AK164" s="203"/>
      <c r="AL164" s="197">
        <f t="shared" si="85"/>
        <v>6000000</v>
      </c>
      <c r="AM164" s="197">
        <f t="shared" si="86"/>
        <v>0</v>
      </c>
      <c r="AN164" s="197">
        <f t="shared" si="87"/>
        <v>0</v>
      </c>
      <c r="AO164" s="202"/>
      <c r="AP164" s="161" t="s">
        <v>3900</v>
      </c>
      <c r="AQ164" s="279"/>
      <c r="AR164" s="287">
        <f t="shared" si="88"/>
        <v>0</v>
      </c>
      <c r="AS164" s="287">
        <f t="shared" si="89"/>
        <v>0</v>
      </c>
      <c r="AT164" s="287">
        <f t="shared" si="90"/>
        <v>0</v>
      </c>
      <c r="AU164" s="287">
        <f t="shared" si="91"/>
        <v>0</v>
      </c>
      <c r="AV164" s="287">
        <f t="shared" si="92"/>
        <v>0</v>
      </c>
      <c r="AW164" s="287">
        <f t="shared" si="93"/>
        <v>0</v>
      </c>
      <c r="AX164" s="287">
        <f t="shared" si="94"/>
        <v>0</v>
      </c>
      <c r="AY164" s="287">
        <f t="shared" si="95"/>
        <v>0</v>
      </c>
      <c r="AZ164" s="287">
        <f t="shared" si="96"/>
        <v>0</v>
      </c>
      <c r="BA164" s="287">
        <f t="shared" si="97"/>
        <v>0</v>
      </c>
      <c r="BB164" s="16"/>
      <c r="BC164" s="287">
        <f t="shared" si="98"/>
        <v>0</v>
      </c>
      <c r="BD164" s="287">
        <f t="shared" si="99"/>
        <v>0</v>
      </c>
      <c r="BE164" s="287">
        <f t="shared" si="100"/>
        <v>0</v>
      </c>
      <c r="BF164" s="287">
        <f t="shared" si="101"/>
        <v>0</v>
      </c>
      <c r="BG164" s="287">
        <f t="shared" si="102"/>
        <v>0</v>
      </c>
      <c r="BH164" s="287">
        <f t="shared" si="103"/>
        <v>0</v>
      </c>
      <c r="BI164" s="287">
        <f t="shared" si="104"/>
        <v>0</v>
      </c>
      <c r="BJ164" s="287">
        <f t="shared" si="105"/>
        <v>0</v>
      </c>
      <c r="BK164" s="287">
        <f t="shared" si="106"/>
        <v>0</v>
      </c>
      <c r="BL164" s="287">
        <f t="shared" si="107"/>
        <v>0</v>
      </c>
      <c r="BM164" s="16"/>
      <c r="BN164" s="287">
        <f t="shared" si="108"/>
        <v>0</v>
      </c>
      <c r="BO164" s="287">
        <f t="shared" si="109"/>
        <v>0</v>
      </c>
      <c r="BP164" s="432"/>
      <c r="BQ164" s="21"/>
      <c r="BR164" s="21"/>
      <c r="BS164" s="39"/>
      <c r="BT164" s="39"/>
      <c r="BU164" s="39"/>
      <c r="BV164" s="39"/>
      <c r="BW164" s="39"/>
      <c r="BX164" s="39"/>
      <c r="BY164" s="39"/>
      <c r="BZ164" s="39">
        <v>151</v>
      </c>
      <c r="CA164" s="39" t="str">
        <f t="shared" si="110"/>
        <v/>
      </c>
      <c r="CB164" s="39"/>
      <c r="CC164" s="39"/>
      <c r="CD164" s="39"/>
      <c r="CE164" s="39"/>
      <c r="CF164" s="39"/>
      <c r="CG164" s="39"/>
      <c r="CH164" s="39"/>
      <c r="CI164" s="39"/>
      <c r="CJ164" s="39"/>
      <c r="CK164" s="39"/>
    </row>
    <row r="165" spans="1:89" s="193" customFormat="1">
      <c r="A165" s="195"/>
      <c r="B165" s="21" t="str">
        <f t="shared" si="79"/>
        <v>N/A</v>
      </c>
      <c r="C165" s="21"/>
      <c r="D165" s="432">
        <v>3201009</v>
      </c>
      <c r="E165" s="439" t="s">
        <v>3626</v>
      </c>
      <c r="F165" s="439" t="s">
        <v>3753</v>
      </c>
      <c r="G165" s="273" t="s">
        <v>3421</v>
      </c>
      <c r="H165" s="358"/>
      <c r="I165" s="262" t="s">
        <v>3491</v>
      </c>
      <c r="J165" s="262" t="s">
        <v>3504</v>
      </c>
      <c r="K165" s="263">
        <v>0</v>
      </c>
      <c r="L165" s="263">
        <v>0</v>
      </c>
      <c r="M165" s="263">
        <v>0</v>
      </c>
      <c r="N165" s="263">
        <v>0</v>
      </c>
      <c r="O165" s="263">
        <v>0</v>
      </c>
      <c r="P165" s="263">
        <v>0</v>
      </c>
      <c r="Q165" s="263">
        <v>2500000</v>
      </c>
      <c r="R165" s="263">
        <v>0</v>
      </c>
      <c r="S165" s="263">
        <v>0</v>
      </c>
      <c r="T165" s="263">
        <v>0</v>
      </c>
      <c r="U165" s="263">
        <f t="shared" si="111"/>
        <v>2500000</v>
      </c>
      <c r="V165" s="196" t="str">
        <f t="shared" si="80"/>
        <v>G/LOS</v>
      </c>
      <c r="W165" s="196" t="s">
        <v>1168</v>
      </c>
      <c r="X165" s="196" t="str">
        <f t="shared" si="81"/>
        <v>Y</v>
      </c>
      <c r="Y165" s="197">
        <f t="shared" si="82"/>
        <v>2500000</v>
      </c>
      <c r="Z165" s="198"/>
      <c r="AA165" s="197">
        <f t="shared" si="83"/>
        <v>2500000</v>
      </c>
      <c r="AB165" s="196" t="s">
        <v>1168</v>
      </c>
      <c r="AC165" s="196"/>
      <c r="AD165" s="275">
        <v>0.5</v>
      </c>
      <c r="AE165" s="275">
        <v>0.5</v>
      </c>
      <c r="AF165" s="275">
        <v>0</v>
      </c>
      <c r="AG165" s="442"/>
      <c r="AH165" s="442"/>
      <c r="AI165" s="200">
        <f t="shared" si="84"/>
        <v>0</v>
      </c>
      <c r="AJ165" s="203"/>
      <c r="AK165" s="203"/>
      <c r="AL165" s="197">
        <f t="shared" si="85"/>
        <v>2500000</v>
      </c>
      <c r="AM165" s="197">
        <f t="shared" si="86"/>
        <v>0</v>
      </c>
      <c r="AN165" s="197">
        <f t="shared" si="87"/>
        <v>0</v>
      </c>
      <c r="AO165" s="202"/>
      <c r="AP165" s="161" t="s">
        <v>3900</v>
      </c>
      <c r="AQ165" s="279"/>
      <c r="AR165" s="287">
        <f t="shared" si="88"/>
        <v>0</v>
      </c>
      <c r="AS165" s="287">
        <f t="shared" si="89"/>
        <v>0</v>
      </c>
      <c r="AT165" s="287">
        <f t="shared" si="90"/>
        <v>0</v>
      </c>
      <c r="AU165" s="287">
        <f t="shared" si="91"/>
        <v>0</v>
      </c>
      <c r="AV165" s="287">
        <f t="shared" si="92"/>
        <v>0</v>
      </c>
      <c r="AW165" s="287">
        <f t="shared" si="93"/>
        <v>0</v>
      </c>
      <c r="AX165" s="287">
        <f t="shared" si="94"/>
        <v>0</v>
      </c>
      <c r="AY165" s="287">
        <f t="shared" si="95"/>
        <v>0</v>
      </c>
      <c r="AZ165" s="287">
        <f t="shared" si="96"/>
        <v>0</v>
      </c>
      <c r="BA165" s="287">
        <f t="shared" si="97"/>
        <v>0</v>
      </c>
      <c r="BB165" s="16"/>
      <c r="BC165" s="287">
        <f t="shared" si="98"/>
        <v>0</v>
      </c>
      <c r="BD165" s="287">
        <f t="shared" si="99"/>
        <v>0</v>
      </c>
      <c r="BE165" s="287">
        <f t="shared" si="100"/>
        <v>0</v>
      </c>
      <c r="BF165" s="287">
        <f t="shared" si="101"/>
        <v>0</v>
      </c>
      <c r="BG165" s="287">
        <f t="shared" si="102"/>
        <v>0</v>
      </c>
      <c r="BH165" s="287">
        <f t="shared" si="103"/>
        <v>0</v>
      </c>
      <c r="BI165" s="287">
        <f t="shared" si="104"/>
        <v>0</v>
      </c>
      <c r="BJ165" s="287">
        <f t="shared" si="105"/>
        <v>0</v>
      </c>
      <c r="BK165" s="287">
        <f t="shared" si="106"/>
        <v>0</v>
      </c>
      <c r="BL165" s="287">
        <f t="shared" si="107"/>
        <v>0</v>
      </c>
      <c r="BM165" s="16"/>
      <c r="BN165" s="287">
        <f t="shared" si="108"/>
        <v>0</v>
      </c>
      <c r="BO165" s="287">
        <f t="shared" si="109"/>
        <v>0</v>
      </c>
      <c r="BP165" s="432"/>
      <c r="BQ165" s="21"/>
      <c r="BR165" s="21"/>
      <c r="BS165" s="39"/>
      <c r="BT165" s="39"/>
      <c r="BU165" s="39"/>
      <c r="BV165" s="39"/>
      <c r="BW165" s="39"/>
      <c r="BX165" s="39"/>
      <c r="BY165" s="39"/>
      <c r="BZ165" s="39">
        <v>152</v>
      </c>
      <c r="CA165" s="39" t="str">
        <f t="shared" si="110"/>
        <v/>
      </c>
      <c r="CB165" s="39"/>
      <c r="CC165" s="39"/>
      <c r="CD165" s="39"/>
      <c r="CE165" s="39"/>
      <c r="CF165" s="39"/>
      <c r="CG165" s="39"/>
      <c r="CH165" s="39"/>
      <c r="CI165" s="39"/>
      <c r="CJ165" s="39"/>
      <c r="CK165" s="39"/>
    </row>
    <row r="166" spans="1:89" s="193" customFormat="1">
      <c r="A166" s="195"/>
      <c r="B166" s="21" t="str">
        <f t="shared" si="79"/>
        <v>N/A</v>
      </c>
      <c r="C166" s="21"/>
      <c r="D166" s="432">
        <v>3201129</v>
      </c>
      <c r="E166" s="439" t="s">
        <v>3626</v>
      </c>
      <c r="F166" s="439" t="s">
        <v>3443</v>
      </c>
      <c r="G166" s="273" t="s">
        <v>3169</v>
      </c>
      <c r="H166" s="358"/>
      <c r="I166" s="262" t="s">
        <v>3491</v>
      </c>
      <c r="J166" s="262" t="s">
        <v>3504</v>
      </c>
      <c r="K166" s="263">
        <v>9999999.9600000009</v>
      </c>
      <c r="L166" s="263">
        <v>10000000</v>
      </c>
      <c r="M166" s="263">
        <v>0</v>
      </c>
      <c r="N166" s="263">
        <v>0</v>
      </c>
      <c r="O166" s="263">
        <v>0</v>
      </c>
      <c r="P166" s="263">
        <v>0</v>
      </c>
      <c r="Q166" s="263">
        <v>0</v>
      </c>
      <c r="R166" s="263">
        <v>0</v>
      </c>
      <c r="S166" s="263">
        <v>0</v>
      </c>
      <c r="T166" s="263">
        <v>0</v>
      </c>
      <c r="U166" s="263">
        <f t="shared" si="111"/>
        <v>19999999.960000001</v>
      </c>
      <c r="V166" s="196" t="str">
        <f t="shared" si="80"/>
        <v>G/LOS</v>
      </c>
      <c r="W166" s="196" t="s">
        <v>1168</v>
      </c>
      <c r="X166" s="196" t="str">
        <f t="shared" si="81"/>
        <v>Y</v>
      </c>
      <c r="Y166" s="197">
        <f t="shared" si="82"/>
        <v>19999999.960000001</v>
      </c>
      <c r="Z166" s="198"/>
      <c r="AA166" s="197">
        <f t="shared" si="83"/>
        <v>19999999.960000001</v>
      </c>
      <c r="AB166" s="196" t="s">
        <v>1168</v>
      </c>
      <c r="AC166" s="196"/>
      <c r="AD166" s="275">
        <v>0.75</v>
      </c>
      <c r="AE166" s="275">
        <v>0.25</v>
      </c>
      <c r="AF166" s="275">
        <v>0</v>
      </c>
      <c r="AG166" s="442"/>
      <c r="AH166" s="442"/>
      <c r="AI166" s="200">
        <f t="shared" si="84"/>
        <v>0</v>
      </c>
      <c r="AJ166" s="203"/>
      <c r="AK166" s="203"/>
      <c r="AL166" s="197">
        <f t="shared" si="85"/>
        <v>19999999.960000001</v>
      </c>
      <c r="AM166" s="197">
        <f t="shared" si="86"/>
        <v>0</v>
      </c>
      <c r="AN166" s="197">
        <f t="shared" si="87"/>
        <v>0</v>
      </c>
      <c r="AO166" s="202"/>
      <c r="AP166" s="161" t="s">
        <v>3900</v>
      </c>
      <c r="AQ166" s="279"/>
      <c r="AR166" s="287">
        <f t="shared" si="88"/>
        <v>0</v>
      </c>
      <c r="AS166" s="287">
        <f t="shared" si="89"/>
        <v>0</v>
      </c>
      <c r="AT166" s="287">
        <f t="shared" si="90"/>
        <v>0</v>
      </c>
      <c r="AU166" s="287">
        <f t="shared" si="91"/>
        <v>0</v>
      </c>
      <c r="AV166" s="287">
        <f t="shared" si="92"/>
        <v>0</v>
      </c>
      <c r="AW166" s="287">
        <f t="shared" si="93"/>
        <v>0</v>
      </c>
      <c r="AX166" s="287">
        <f t="shared" si="94"/>
        <v>0</v>
      </c>
      <c r="AY166" s="287">
        <f t="shared" si="95"/>
        <v>0</v>
      </c>
      <c r="AZ166" s="287">
        <f t="shared" si="96"/>
        <v>0</v>
      </c>
      <c r="BA166" s="287">
        <f t="shared" si="97"/>
        <v>0</v>
      </c>
      <c r="BB166" s="16"/>
      <c r="BC166" s="287">
        <f t="shared" si="98"/>
        <v>0</v>
      </c>
      <c r="BD166" s="287">
        <f t="shared" si="99"/>
        <v>0</v>
      </c>
      <c r="BE166" s="287">
        <f t="shared" si="100"/>
        <v>0</v>
      </c>
      <c r="BF166" s="287">
        <f t="shared" si="101"/>
        <v>0</v>
      </c>
      <c r="BG166" s="287">
        <f t="shared" si="102"/>
        <v>0</v>
      </c>
      <c r="BH166" s="287">
        <f t="shared" si="103"/>
        <v>0</v>
      </c>
      <c r="BI166" s="287">
        <f t="shared" si="104"/>
        <v>0</v>
      </c>
      <c r="BJ166" s="287">
        <f t="shared" si="105"/>
        <v>0</v>
      </c>
      <c r="BK166" s="287">
        <f t="shared" si="106"/>
        <v>0</v>
      </c>
      <c r="BL166" s="287">
        <f t="shared" si="107"/>
        <v>0</v>
      </c>
      <c r="BM166" s="16"/>
      <c r="BN166" s="287">
        <f t="shared" si="108"/>
        <v>0</v>
      </c>
      <c r="BO166" s="287">
        <f t="shared" si="109"/>
        <v>0</v>
      </c>
      <c r="BP166" s="432"/>
      <c r="BQ166" s="21"/>
      <c r="BR166" s="21"/>
      <c r="BS166" s="39"/>
      <c r="BT166" s="39"/>
      <c r="BU166" s="39"/>
      <c r="BV166" s="39"/>
      <c r="BW166" s="39"/>
      <c r="BX166" s="39"/>
      <c r="BY166" s="39"/>
      <c r="BZ166" s="39">
        <v>153</v>
      </c>
      <c r="CA166" s="39" t="str">
        <f t="shared" si="110"/>
        <v/>
      </c>
      <c r="CB166" s="39"/>
      <c r="CC166" s="39"/>
      <c r="CD166" s="39"/>
      <c r="CE166" s="39"/>
      <c r="CF166" s="39"/>
      <c r="CG166" s="39"/>
      <c r="CH166" s="39"/>
      <c r="CI166" s="39"/>
      <c r="CJ166" s="39"/>
      <c r="CK166" s="39"/>
    </row>
    <row r="167" spans="1:89" s="193" customFormat="1">
      <c r="A167" s="195"/>
      <c r="B167" s="21" t="str">
        <f t="shared" si="79"/>
        <v>N/A</v>
      </c>
      <c r="C167" s="21"/>
      <c r="D167" s="432">
        <v>3201129</v>
      </c>
      <c r="E167" s="439" t="s">
        <v>3626</v>
      </c>
      <c r="F167" s="439" t="s">
        <v>3441</v>
      </c>
      <c r="G167" s="273" t="s">
        <v>3167</v>
      </c>
      <c r="H167" s="358"/>
      <c r="I167" s="262" t="s">
        <v>3491</v>
      </c>
      <c r="J167" s="262" t="s">
        <v>3504</v>
      </c>
      <c r="K167" s="263">
        <v>50000000.039999999</v>
      </c>
      <c r="L167" s="263">
        <v>0</v>
      </c>
      <c r="M167" s="263">
        <v>0</v>
      </c>
      <c r="N167" s="263">
        <v>0</v>
      </c>
      <c r="O167" s="263">
        <v>0</v>
      </c>
      <c r="P167" s="263">
        <v>0</v>
      </c>
      <c r="Q167" s="263">
        <v>0</v>
      </c>
      <c r="R167" s="263">
        <v>0</v>
      </c>
      <c r="S167" s="263">
        <v>0</v>
      </c>
      <c r="T167" s="263">
        <v>0</v>
      </c>
      <c r="U167" s="263">
        <f t="shared" si="111"/>
        <v>50000000.039999999</v>
      </c>
      <c r="V167" s="196" t="str">
        <f t="shared" si="80"/>
        <v>G/LOS</v>
      </c>
      <c r="W167" s="196" t="s">
        <v>1168</v>
      </c>
      <c r="X167" s="196" t="str">
        <f t="shared" si="81"/>
        <v>Y</v>
      </c>
      <c r="Y167" s="197">
        <f t="shared" si="82"/>
        <v>50000000.039999999</v>
      </c>
      <c r="Z167" s="198"/>
      <c r="AA167" s="197">
        <f t="shared" si="83"/>
        <v>50000000.039999999</v>
      </c>
      <c r="AB167" s="196" t="s">
        <v>1168</v>
      </c>
      <c r="AC167" s="196"/>
      <c r="AD167" s="275">
        <v>0.75</v>
      </c>
      <c r="AE167" s="275">
        <v>0.25</v>
      </c>
      <c r="AF167" s="275">
        <v>0</v>
      </c>
      <c r="AG167" s="442"/>
      <c r="AH167" s="442"/>
      <c r="AI167" s="200">
        <f t="shared" si="84"/>
        <v>0</v>
      </c>
      <c r="AJ167" s="203"/>
      <c r="AK167" s="203"/>
      <c r="AL167" s="197">
        <f t="shared" si="85"/>
        <v>50000000.039999999</v>
      </c>
      <c r="AM167" s="197">
        <f t="shared" si="86"/>
        <v>0</v>
      </c>
      <c r="AN167" s="197">
        <f t="shared" si="87"/>
        <v>0</v>
      </c>
      <c r="AO167" s="202"/>
      <c r="AP167" s="161" t="s">
        <v>3900</v>
      </c>
      <c r="AQ167" s="279"/>
      <c r="AR167" s="287">
        <f t="shared" si="88"/>
        <v>0</v>
      </c>
      <c r="AS167" s="287">
        <f t="shared" si="89"/>
        <v>0</v>
      </c>
      <c r="AT167" s="287">
        <f t="shared" si="90"/>
        <v>0</v>
      </c>
      <c r="AU167" s="287">
        <f t="shared" si="91"/>
        <v>0</v>
      </c>
      <c r="AV167" s="287">
        <f t="shared" si="92"/>
        <v>0</v>
      </c>
      <c r="AW167" s="287">
        <f t="shared" si="93"/>
        <v>0</v>
      </c>
      <c r="AX167" s="287">
        <f t="shared" si="94"/>
        <v>0</v>
      </c>
      <c r="AY167" s="287">
        <f t="shared" si="95"/>
        <v>0</v>
      </c>
      <c r="AZ167" s="287">
        <f t="shared" si="96"/>
        <v>0</v>
      </c>
      <c r="BA167" s="287">
        <f t="shared" si="97"/>
        <v>0</v>
      </c>
      <c r="BB167" s="16"/>
      <c r="BC167" s="287">
        <f t="shared" si="98"/>
        <v>0</v>
      </c>
      <c r="BD167" s="287">
        <f t="shared" si="99"/>
        <v>0</v>
      </c>
      <c r="BE167" s="287">
        <f t="shared" si="100"/>
        <v>0</v>
      </c>
      <c r="BF167" s="287">
        <f t="shared" si="101"/>
        <v>0</v>
      </c>
      <c r="BG167" s="287">
        <f t="shared" si="102"/>
        <v>0</v>
      </c>
      <c r="BH167" s="287">
        <f t="shared" si="103"/>
        <v>0</v>
      </c>
      <c r="BI167" s="287">
        <f t="shared" si="104"/>
        <v>0</v>
      </c>
      <c r="BJ167" s="287">
        <f t="shared" si="105"/>
        <v>0</v>
      </c>
      <c r="BK167" s="287">
        <f t="shared" si="106"/>
        <v>0</v>
      </c>
      <c r="BL167" s="287">
        <f t="shared" si="107"/>
        <v>0</v>
      </c>
      <c r="BM167" s="16"/>
      <c r="BN167" s="287">
        <f t="shared" si="108"/>
        <v>0</v>
      </c>
      <c r="BO167" s="287">
        <f t="shared" si="109"/>
        <v>0</v>
      </c>
      <c r="BP167" s="432"/>
      <c r="BQ167" s="21"/>
      <c r="BR167" s="21"/>
      <c r="BS167" s="39"/>
      <c r="BT167" s="39"/>
      <c r="BU167" s="39"/>
      <c r="BV167" s="39"/>
      <c r="BW167" s="39"/>
      <c r="BX167" s="39"/>
      <c r="BY167" s="39"/>
      <c r="BZ167" s="39">
        <v>154</v>
      </c>
      <c r="CA167" s="39" t="str">
        <f t="shared" si="110"/>
        <v/>
      </c>
      <c r="CB167" s="39"/>
      <c r="CC167" s="39"/>
      <c r="CD167" s="39"/>
      <c r="CE167" s="39"/>
      <c r="CF167" s="39"/>
      <c r="CG167" s="39"/>
      <c r="CH167" s="39"/>
      <c r="CI167" s="39"/>
      <c r="CJ167" s="39"/>
      <c r="CK167" s="39"/>
    </row>
    <row r="168" spans="1:89" s="193" customFormat="1">
      <c r="A168" s="195"/>
      <c r="B168" s="21" t="str">
        <f t="shared" si="79"/>
        <v>N/A</v>
      </c>
      <c r="C168" s="21"/>
      <c r="D168" s="432">
        <v>3201129</v>
      </c>
      <c r="E168" s="439" t="s">
        <v>3626</v>
      </c>
      <c r="F168" s="439" t="s">
        <v>3445</v>
      </c>
      <c r="G168" s="273" t="s">
        <v>3171</v>
      </c>
      <c r="H168" s="358"/>
      <c r="I168" s="262" t="s">
        <v>3491</v>
      </c>
      <c r="J168" s="262" t="s">
        <v>3504</v>
      </c>
      <c r="K168" s="263">
        <v>496411.2</v>
      </c>
      <c r="L168" s="263">
        <v>356211</v>
      </c>
      <c r="M168" s="263">
        <v>251551</v>
      </c>
      <c r="N168" s="263">
        <v>26845</v>
      </c>
      <c r="O168" s="263">
        <v>49429</v>
      </c>
      <c r="P168" s="263">
        <v>0</v>
      </c>
      <c r="Q168" s="263">
        <v>7999</v>
      </c>
      <c r="R168" s="263">
        <v>28637153.199999999</v>
      </c>
      <c r="S168" s="263">
        <v>29205896.260000002</v>
      </c>
      <c r="T168" s="263">
        <v>29830014.190000001</v>
      </c>
      <c r="U168" s="263">
        <f t="shared" si="111"/>
        <v>88861509.849999994</v>
      </c>
      <c r="V168" s="196" t="str">
        <f t="shared" si="80"/>
        <v>G/LOS</v>
      </c>
      <c r="W168" s="196" t="s">
        <v>1168</v>
      </c>
      <c r="X168" s="196" t="str">
        <f t="shared" si="81"/>
        <v>Y</v>
      </c>
      <c r="Y168" s="197">
        <f t="shared" si="82"/>
        <v>88861509.849999994</v>
      </c>
      <c r="Z168" s="198"/>
      <c r="AA168" s="197">
        <f t="shared" si="83"/>
        <v>88861509.849999994</v>
      </c>
      <c r="AB168" s="196" t="s">
        <v>1168</v>
      </c>
      <c r="AC168" s="196"/>
      <c r="AD168" s="275">
        <v>0.75</v>
      </c>
      <c r="AE168" s="275">
        <v>0.25</v>
      </c>
      <c r="AF168" s="275">
        <v>0</v>
      </c>
      <c r="AG168" s="442"/>
      <c r="AH168" s="442"/>
      <c r="AI168" s="200">
        <f t="shared" si="84"/>
        <v>0</v>
      </c>
      <c r="AJ168" s="203"/>
      <c r="AK168" s="203"/>
      <c r="AL168" s="197">
        <f t="shared" si="85"/>
        <v>88861509.849999994</v>
      </c>
      <c r="AM168" s="197">
        <f t="shared" si="86"/>
        <v>0</v>
      </c>
      <c r="AN168" s="197">
        <f t="shared" si="87"/>
        <v>0</v>
      </c>
      <c r="AO168" s="202"/>
      <c r="AP168" s="161" t="s">
        <v>3900</v>
      </c>
      <c r="AQ168" s="279"/>
      <c r="AR168" s="287">
        <f t="shared" si="88"/>
        <v>0</v>
      </c>
      <c r="AS168" s="287">
        <f t="shared" si="89"/>
        <v>0</v>
      </c>
      <c r="AT168" s="287">
        <f t="shared" si="90"/>
        <v>0</v>
      </c>
      <c r="AU168" s="287">
        <f t="shared" si="91"/>
        <v>0</v>
      </c>
      <c r="AV168" s="287">
        <f t="shared" si="92"/>
        <v>0</v>
      </c>
      <c r="AW168" s="287">
        <f t="shared" si="93"/>
        <v>0</v>
      </c>
      <c r="AX168" s="287">
        <f t="shared" si="94"/>
        <v>0</v>
      </c>
      <c r="AY168" s="287">
        <f t="shared" si="95"/>
        <v>0</v>
      </c>
      <c r="AZ168" s="287">
        <f t="shared" si="96"/>
        <v>0</v>
      </c>
      <c r="BA168" s="287">
        <f t="shared" si="97"/>
        <v>0</v>
      </c>
      <c r="BB168" s="16"/>
      <c r="BC168" s="287">
        <f t="shared" si="98"/>
        <v>0</v>
      </c>
      <c r="BD168" s="287">
        <f t="shared" si="99"/>
        <v>0</v>
      </c>
      <c r="BE168" s="287">
        <f t="shared" si="100"/>
        <v>0</v>
      </c>
      <c r="BF168" s="287">
        <f t="shared" si="101"/>
        <v>0</v>
      </c>
      <c r="BG168" s="287">
        <f t="shared" si="102"/>
        <v>0</v>
      </c>
      <c r="BH168" s="287">
        <f t="shared" si="103"/>
        <v>0</v>
      </c>
      <c r="BI168" s="287">
        <f t="shared" si="104"/>
        <v>0</v>
      </c>
      <c r="BJ168" s="287">
        <f t="shared" si="105"/>
        <v>0</v>
      </c>
      <c r="BK168" s="287">
        <f t="shared" si="106"/>
        <v>0</v>
      </c>
      <c r="BL168" s="287">
        <f t="shared" si="107"/>
        <v>0</v>
      </c>
      <c r="BM168" s="16"/>
      <c r="BN168" s="287">
        <f t="shared" si="108"/>
        <v>0</v>
      </c>
      <c r="BO168" s="287">
        <f t="shared" si="109"/>
        <v>0</v>
      </c>
      <c r="BP168" s="432"/>
      <c r="BQ168" s="21"/>
      <c r="BR168" s="21"/>
      <c r="BS168" s="39"/>
      <c r="BT168" s="39"/>
      <c r="BU168" s="39"/>
      <c r="BV168" s="39"/>
      <c r="BW168" s="39"/>
      <c r="BX168" s="39"/>
      <c r="BY168" s="39"/>
      <c r="BZ168" s="39">
        <v>155</v>
      </c>
      <c r="CA168" s="39" t="str">
        <f t="shared" si="110"/>
        <v/>
      </c>
      <c r="CB168" s="39"/>
      <c r="CC168" s="39"/>
      <c r="CD168" s="39"/>
      <c r="CE168" s="39"/>
      <c r="CF168" s="39"/>
      <c r="CG168" s="39"/>
      <c r="CH168" s="39"/>
      <c r="CI168" s="39"/>
      <c r="CJ168" s="39"/>
      <c r="CK168" s="39"/>
    </row>
    <row r="169" spans="1:89" s="193" customFormat="1">
      <c r="A169" s="195"/>
      <c r="B169" s="21" t="str">
        <f t="shared" si="79"/>
        <v>N/A</v>
      </c>
      <c r="C169" s="21"/>
      <c r="D169" s="432">
        <v>3201129</v>
      </c>
      <c r="E169" s="439" t="s">
        <v>3626</v>
      </c>
      <c r="F169" s="439" t="s">
        <v>3754</v>
      </c>
      <c r="G169" s="273" t="s">
        <v>3174</v>
      </c>
      <c r="H169" s="358"/>
      <c r="I169" s="262" t="s">
        <v>3491</v>
      </c>
      <c r="J169" s="262" t="s">
        <v>3504</v>
      </c>
      <c r="K169" s="263">
        <v>0</v>
      </c>
      <c r="L169" s="263">
        <v>0</v>
      </c>
      <c r="M169" s="263">
        <v>0</v>
      </c>
      <c r="N169" s="263">
        <v>0</v>
      </c>
      <c r="O169" s="263">
        <v>12726421</v>
      </c>
      <c r="P169" s="263">
        <v>13027770</v>
      </c>
      <c r="Q169" s="263">
        <v>13797671</v>
      </c>
      <c r="R169" s="263">
        <v>13700172</v>
      </c>
      <c r="S169" s="263">
        <v>0</v>
      </c>
      <c r="T169" s="263">
        <v>0</v>
      </c>
      <c r="U169" s="263">
        <f t="shared" si="111"/>
        <v>53252034</v>
      </c>
      <c r="V169" s="196" t="str">
        <f t="shared" si="80"/>
        <v>G/LOS</v>
      </c>
      <c r="W169" s="196" t="s">
        <v>1168</v>
      </c>
      <c r="X169" s="196" t="str">
        <f t="shared" si="81"/>
        <v>Y</v>
      </c>
      <c r="Y169" s="197">
        <f t="shared" si="82"/>
        <v>53252034</v>
      </c>
      <c r="Z169" s="198"/>
      <c r="AA169" s="197">
        <f t="shared" si="83"/>
        <v>53252034</v>
      </c>
      <c r="AB169" s="196" t="s">
        <v>1168</v>
      </c>
      <c r="AC169" s="196"/>
      <c r="AD169" s="275">
        <v>0.65</v>
      </c>
      <c r="AE169" s="275">
        <v>0.35</v>
      </c>
      <c r="AF169" s="275">
        <v>0</v>
      </c>
      <c r="AG169" s="442"/>
      <c r="AH169" s="442"/>
      <c r="AI169" s="200">
        <f t="shared" si="84"/>
        <v>0</v>
      </c>
      <c r="AJ169" s="203"/>
      <c r="AK169" s="203"/>
      <c r="AL169" s="197">
        <f t="shared" si="85"/>
        <v>53252034</v>
      </c>
      <c r="AM169" s="197">
        <f t="shared" si="86"/>
        <v>0</v>
      </c>
      <c r="AN169" s="197">
        <f t="shared" si="87"/>
        <v>0</v>
      </c>
      <c r="AO169" s="202"/>
      <c r="AP169" s="161" t="s">
        <v>3900</v>
      </c>
      <c r="AQ169" s="279"/>
      <c r="AR169" s="287">
        <f t="shared" si="88"/>
        <v>0</v>
      </c>
      <c r="AS169" s="287">
        <f t="shared" si="89"/>
        <v>0</v>
      </c>
      <c r="AT169" s="287">
        <f t="shared" si="90"/>
        <v>0</v>
      </c>
      <c r="AU169" s="287">
        <f t="shared" si="91"/>
        <v>0</v>
      </c>
      <c r="AV169" s="287">
        <f t="shared" si="92"/>
        <v>0</v>
      </c>
      <c r="AW169" s="287">
        <f t="shared" si="93"/>
        <v>0</v>
      </c>
      <c r="AX169" s="287">
        <f t="shared" si="94"/>
        <v>0</v>
      </c>
      <c r="AY169" s="287">
        <f t="shared" si="95"/>
        <v>0</v>
      </c>
      <c r="AZ169" s="287">
        <f t="shared" si="96"/>
        <v>0</v>
      </c>
      <c r="BA169" s="287">
        <f t="shared" si="97"/>
        <v>0</v>
      </c>
      <c r="BB169" s="16"/>
      <c r="BC169" s="287">
        <f t="shared" si="98"/>
        <v>0</v>
      </c>
      <c r="BD169" s="287">
        <f t="shared" si="99"/>
        <v>0</v>
      </c>
      <c r="BE169" s="287">
        <f t="shared" si="100"/>
        <v>0</v>
      </c>
      <c r="BF169" s="287">
        <f t="shared" si="101"/>
        <v>0</v>
      </c>
      <c r="BG169" s="287">
        <f t="shared" si="102"/>
        <v>0</v>
      </c>
      <c r="BH169" s="287">
        <f t="shared" si="103"/>
        <v>0</v>
      </c>
      <c r="BI169" s="287">
        <f t="shared" si="104"/>
        <v>0</v>
      </c>
      <c r="BJ169" s="287">
        <f t="shared" si="105"/>
        <v>0</v>
      </c>
      <c r="BK169" s="287">
        <f t="shared" si="106"/>
        <v>0</v>
      </c>
      <c r="BL169" s="287">
        <f t="shared" si="107"/>
        <v>0</v>
      </c>
      <c r="BM169" s="16"/>
      <c r="BN169" s="287">
        <f t="shared" si="108"/>
        <v>0</v>
      </c>
      <c r="BO169" s="287">
        <f t="shared" si="109"/>
        <v>0</v>
      </c>
      <c r="BP169" s="432"/>
      <c r="BQ169" s="21"/>
      <c r="BR169" s="21"/>
      <c r="BS169" s="39"/>
      <c r="BT169" s="39"/>
      <c r="BU169" s="39"/>
      <c r="BV169" s="39"/>
      <c r="BW169" s="39"/>
      <c r="BX169" s="39"/>
      <c r="BY169" s="39"/>
      <c r="BZ169" s="39">
        <v>156</v>
      </c>
      <c r="CA169" s="39" t="str">
        <f t="shared" si="110"/>
        <v/>
      </c>
      <c r="CB169" s="39"/>
      <c r="CC169" s="39"/>
      <c r="CD169" s="39"/>
      <c r="CE169" s="39"/>
      <c r="CF169" s="39"/>
      <c r="CG169" s="39"/>
      <c r="CH169" s="39"/>
      <c r="CI169" s="39"/>
      <c r="CJ169" s="39"/>
      <c r="CK169" s="39"/>
    </row>
    <row r="170" spans="1:89" s="193" customFormat="1">
      <c r="A170" s="195"/>
      <c r="B170" s="21" t="str">
        <f t="shared" si="79"/>
        <v>N/A</v>
      </c>
      <c r="C170" s="21"/>
      <c r="D170" s="432">
        <v>3201129</v>
      </c>
      <c r="E170" s="439" t="s">
        <v>3626</v>
      </c>
      <c r="F170" s="439" t="s">
        <v>3447</v>
      </c>
      <c r="G170" s="273" t="s">
        <v>3173</v>
      </c>
      <c r="H170" s="358"/>
      <c r="I170" s="262" t="s">
        <v>3491</v>
      </c>
      <c r="J170" s="262" t="s">
        <v>3504</v>
      </c>
      <c r="K170" s="263">
        <v>0</v>
      </c>
      <c r="L170" s="263">
        <v>0</v>
      </c>
      <c r="M170" s="263">
        <v>10000000</v>
      </c>
      <c r="N170" s="263">
        <v>0</v>
      </c>
      <c r="O170" s="263">
        <v>0</v>
      </c>
      <c r="P170" s="263">
        <v>0</v>
      </c>
      <c r="Q170" s="263">
        <v>0</v>
      </c>
      <c r="R170" s="263">
        <v>0</v>
      </c>
      <c r="S170" s="263">
        <v>0</v>
      </c>
      <c r="T170" s="263">
        <v>0</v>
      </c>
      <c r="U170" s="263">
        <f t="shared" si="111"/>
        <v>10000000</v>
      </c>
      <c r="V170" s="196" t="str">
        <f t="shared" si="80"/>
        <v>G/LOS</v>
      </c>
      <c r="W170" s="196" t="s">
        <v>1168</v>
      </c>
      <c r="X170" s="196" t="str">
        <f t="shared" si="81"/>
        <v>Y</v>
      </c>
      <c r="Y170" s="197">
        <f t="shared" si="82"/>
        <v>10000000</v>
      </c>
      <c r="Z170" s="198"/>
      <c r="AA170" s="197">
        <f t="shared" si="83"/>
        <v>10000000</v>
      </c>
      <c r="AB170" s="196" t="s">
        <v>1168</v>
      </c>
      <c r="AC170" s="196"/>
      <c r="AD170" s="275">
        <v>0.75</v>
      </c>
      <c r="AE170" s="275">
        <v>0.25</v>
      </c>
      <c r="AF170" s="275">
        <v>0</v>
      </c>
      <c r="AG170" s="442"/>
      <c r="AH170" s="442"/>
      <c r="AI170" s="200">
        <f t="shared" si="84"/>
        <v>0</v>
      </c>
      <c r="AJ170" s="203"/>
      <c r="AK170" s="203"/>
      <c r="AL170" s="197">
        <f t="shared" si="85"/>
        <v>10000000</v>
      </c>
      <c r="AM170" s="197">
        <f t="shared" si="86"/>
        <v>0</v>
      </c>
      <c r="AN170" s="197">
        <f t="shared" si="87"/>
        <v>0</v>
      </c>
      <c r="AO170" s="202"/>
      <c r="AP170" s="161" t="s">
        <v>3900</v>
      </c>
      <c r="AQ170" s="279"/>
      <c r="AR170" s="287">
        <f t="shared" si="88"/>
        <v>0</v>
      </c>
      <c r="AS170" s="287">
        <f t="shared" si="89"/>
        <v>0</v>
      </c>
      <c r="AT170" s="287">
        <f t="shared" si="90"/>
        <v>0</v>
      </c>
      <c r="AU170" s="287">
        <f t="shared" si="91"/>
        <v>0</v>
      </c>
      <c r="AV170" s="287">
        <f t="shared" si="92"/>
        <v>0</v>
      </c>
      <c r="AW170" s="287">
        <f t="shared" si="93"/>
        <v>0</v>
      </c>
      <c r="AX170" s="287">
        <f t="shared" si="94"/>
        <v>0</v>
      </c>
      <c r="AY170" s="287">
        <f t="shared" si="95"/>
        <v>0</v>
      </c>
      <c r="AZ170" s="287">
        <f t="shared" si="96"/>
        <v>0</v>
      </c>
      <c r="BA170" s="287">
        <f t="shared" si="97"/>
        <v>0</v>
      </c>
      <c r="BB170" s="16"/>
      <c r="BC170" s="287">
        <f t="shared" si="98"/>
        <v>0</v>
      </c>
      <c r="BD170" s="287">
        <f t="shared" si="99"/>
        <v>0</v>
      </c>
      <c r="BE170" s="287">
        <f t="shared" si="100"/>
        <v>0</v>
      </c>
      <c r="BF170" s="287">
        <f t="shared" si="101"/>
        <v>0</v>
      </c>
      <c r="BG170" s="287">
        <f t="shared" si="102"/>
        <v>0</v>
      </c>
      <c r="BH170" s="287">
        <f t="shared" si="103"/>
        <v>0</v>
      </c>
      <c r="BI170" s="287">
        <f t="shared" si="104"/>
        <v>0</v>
      </c>
      <c r="BJ170" s="287">
        <f t="shared" si="105"/>
        <v>0</v>
      </c>
      <c r="BK170" s="287">
        <f t="shared" si="106"/>
        <v>0</v>
      </c>
      <c r="BL170" s="287">
        <f t="shared" si="107"/>
        <v>0</v>
      </c>
      <c r="BM170" s="16"/>
      <c r="BN170" s="287">
        <f t="shared" si="108"/>
        <v>0</v>
      </c>
      <c r="BO170" s="287">
        <f t="shared" si="109"/>
        <v>0</v>
      </c>
      <c r="BP170" s="432"/>
      <c r="BQ170" s="21"/>
      <c r="BR170" s="21"/>
      <c r="BS170" s="39"/>
      <c r="BT170" s="39"/>
      <c r="BU170" s="39"/>
      <c r="BV170" s="39"/>
      <c r="BW170" s="39"/>
      <c r="BX170" s="39"/>
      <c r="BY170" s="39"/>
      <c r="BZ170" s="39">
        <v>157</v>
      </c>
      <c r="CA170" s="39" t="str">
        <f t="shared" si="110"/>
        <v/>
      </c>
      <c r="CB170" s="39"/>
      <c r="CC170" s="39"/>
      <c r="CD170" s="39"/>
      <c r="CE170" s="39"/>
      <c r="CF170" s="39"/>
      <c r="CG170" s="39"/>
      <c r="CH170" s="39"/>
      <c r="CI170" s="39"/>
      <c r="CJ170" s="39"/>
      <c r="CK170" s="39"/>
    </row>
    <row r="171" spans="1:89" s="193" customFormat="1">
      <c r="A171" s="195"/>
      <c r="B171" s="21" t="str">
        <f t="shared" si="79"/>
        <v>N/A</v>
      </c>
      <c r="C171" s="21"/>
      <c r="D171" s="432">
        <v>3201129</v>
      </c>
      <c r="E171" s="439" t="s">
        <v>3626</v>
      </c>
      <c r="F171" s="439" t="s">
        <v>3446</v>
      </c>
      <c r="G171" s="273" t="s">
        <v>3172</v>
      </c>
      <c r="H171" s="358"/>
      <c r="I171" s="262" t="s">
        <v>3491</v>
      </c>
      <c r="J171" s="262" t="s">
        <v>3504</v>
      </c>
      <c r="K171" s="263">
        <v>0</v>
      </c>
      <c r="L171" s="263">
        <v>0</v>
      </c>
      <c r="M171" s="263">
        <v>0</v>
      </c>
      <c r="N171" s="263">
        <v>0</v>
      </c>
      <c r="O171" s="263">
        <v>0</v>
      </c>
      <c r="P171" s="263">
        <v>0</v>
      </c>
      <c r="Q171" s="263">
        <v>5000000</v>
      </c>
      <c r="R171" s="263">
        <v>0</v>
      </c>
      <c r="S171" s="263">
        <v>0</v>
      </c>
      <c r="T171" s="263">
        <v>0</v>
      </c>
      <c r="U171" s="263">
        <f t="shared" si="111"/>
        <v>5000000</v>
      </c>
      <c r="V171" s="196" t="str">
        <f t="shared" si="80"/>
        <v>G/LOS</v>
      </c>
      <c r="W171" s="196" t="s">
        <v>1168</v>
      </c>
      <c r="X171" s="196" t="str">
        <f t="shared" si="81"/>
        <v>Y</v>
      </c>
      <c r="Y171" s="197">
        <f t="shared" si="82"/>
        <v>5000000</v>
      </c>
      <c r="Z171" s="198"/>
      <c r="AA171" s="197">
        <f t="shared" si="83"/>
        <v>5000000</v>
      </c>
      <c r="AB171" s="196" t="s">
        <v>1168</v>
      </c>
      <c r="AC171" s="196"/>
      <c r="AD171" s="275">
        <v>0.75</v>
      </c>
      <c r="AE171" s="275">
        <v>0.25</v>
      </c>
      <c r="AF171" s="275">
        <v>0</v>
      </c>
      <c r="AG171" s="442"/>
      <c r="AH171" s="442"/>
      <c r="AI171" s="200">
        <f t="shared" si="84"/>
        <v>0</v>
      </c>
      <c r="AJ171" s="203"/>
      <c r="AK171" s="203"/>
      <c r="AL171" s="197">
        <f t="shared" si="85"/>
        <v>5000000</v>
      </c>
      <c r="AM171" s="197">
        <f t="shared" si="86"/>
        <v>0</v>
      </c>
      <c r="AN171" s="197">
        <f t="shared" si="87"/>
        <v>0</v>
      </c>
      <c r="AO171" s="202"/>
      <c r="AP171" s="161" t="s">
        <v>3900</v>
      </c>
      <c r="AQ171" s="279"/>
      <c r="AR171" s="287">
        <f t="shared" si="88"/>
        <v>0</v>
      </c>
      <c r="AS171" s="287">
        <f t="shared" si="89"/>
        <v>0</v>
      </c>
      <c r="AT171" s="287">
        <f t="shared" si="90"/>
        <v>0</v>
      </c>
      <c r="AU171" s="287">
        <f t="shared" si="91"/>
        <v>0</v>
      </c>
      <c r="AV171" s="287">
        <f t="shared" si="92"/>
        <v>0</v>
      </c>
      <c r="AW171" s="287">
        <f t="shared" si="93"/>
        <v>0</v>
      </c>
      <c r="AX171" s="287">
        <f t="shared" si="94"/>
        <v>0</v>
      </c>
      <c r="AY171" s="287">
        <f t="shared" si="95"/>
        <v>0</v>
      </c>
      <c r="AZ171" s="287">
        <f t="shared" si="96"/>
        <v>0</v>
      </c>
      <c r="BA171" s="287">
        <f t="shared" si="97"/>
        <v>0</v>
      </c>
      <c r="BB171" s="16"/>
      <c r="BC171" s="287">
        <f t="shared" si="98"/>
        <v>0</v>
      </c>
      <c r="BD171" s="287">
        <f t="shared" si="99"/>
        <v>0</v>
      </c>
      <c r="BE171" s="287">
        <f t="shared" si="100"/>
        <v>0</v>
      </c>
      <c r="BF171" s="287">
        <f t="shared" si="101"/>
        <v>0</v>
      </c>
      <c r="BG171" s="287">
        <f t="shared" si="102"/>
        <v>0</v>
      </c>
      <c r="BH171" s="287">
        <f t="shared" si="103"/>
        <v>0</v>
      </c>
      <c r="BI171" s="287">
        <f t="shared" si="104"/>
        <v>0</v>
      </c>
      <c r="BJ171" s="287">
        <f t="shared" si="105"/>
        <v>0</v>
      </c>
      <c r="BK171" s="287">
        <f t="shared" si="106"/>
        <v>0</v>
      </c>
      <c r="BL171" s="287">
        <f t="shared" si="107"/>
        <v>0</v>
      </c>
      <c r="BM171" s="16"/>
      <c r="BN171" s="287">
        <f t="shared" si="108"/>
        <v>0</v>
      </c>
      <c r="BO171" s="287">
        <f t="shared" si="109"/>
        <v>0</v>
      </c>
      <c r="BP171" s="432"/>
      <c r="BQ171" s="21"/>
      <c r="BR171" s="21"/>
      <c r="BS171" s="39"/>
      <c r="BT171" s="39"/>
      <c r="BU171" s="39"/>
      <c r="BV171" s="39"/>
      <c r="BW171" s="39"/>
      <c r="BX171" s="39"/>
      <c r="BY171" s="39"/>
      <c r="BZ171" s="39">
        <v>158</v>
      </c>
      <c r="CA171" s="39" t="str">
        <f t="shared" si="110"/>
        <v/>
      </c>
      <c r="CB171" s="39"/>
      <c r="CC171" s="39"/>
      <c r="CD171" s="39"/>
      <c r="CE171" s="39"/>
      <c r="CF171" s="39"/>
      <c r="CG171" s="39"/>
      <c r="CH171" s="39"/>
      <c r="CI171" s="39"/>
      <c r="CJ171" s="39"/>
      <c r="CK171" s="39"/>
    </row>
    <row r="172" spans="1:89" s="193" customFormat="1">
      <c r="A172" s="195"/>
      <c r="B172" s="21" t="str">
        <f t="shared" si="79"/>
        <v>N/A</v>
      </c>
      <c r="C172" s="21"/>
      <c r="D172" s="432">
        <v>3201129</v>
      </c>
      <c r="E172" s="439" t="s">
        <v>3626</v>
      </c>
      <c r="F172" s="439" t="s">
        <v>3444</v>
      </c>
      <c r="G172" s="273" t="s">
        <v>3170</v>
      </c>
      <c r="H172" s="358"/>
      <c r="I172" s="262" t="s">
        <v>3491</v>
      </c>
      <c r="J172" s="262" t="s">
        <v>3504</v>
      </c>
      <c r="K172" s="263">
        <v>8300000.04</v>
      </c>
      <c r="L172" s="263">
        <v>38440000</v>
      </c>
      <c r="M172" s="263">
        <v>1850000</v>
      </c>
      <c r="N172" s="263">
        <v>0</v>
      </c>
      <c r="O172" s="263">
        <v>0</v>
      </c>
      <c r="P172" s="263">
        <v>0</v>
      </c>
      <c r="Q172" s="263">
        <v>0</v>
      </c>
      <c r="R172" s="263">
        <v>0</v>
      </c>
      <c r="S172" s="263">
        <v>0</v>
      </c>
      <c r="T172" s="263">
        <v>0</v>
      </c>
      <c r="U172" s="263">
        <f t="shared" si="111"/>
        <v>48590000.039999999</v>
      </c>
      <c r="V172" s="196" t="str">
        <f t="shared" si="80"/>
        <v>G/LOS</v>
      </c>
      <c r="W172" s="196" t="s">
        <v>1168</v>
      </c>
      <c r="X172" s="196" t="str">
        <f t="shared" si="81"/>
        <v>Y</v>
      </c>
      <c r="Y172" s="197">
        <f t="shared" si="82"/>
        <v>48590000.039999999</v>
      </c>
      <c r="Z172" s="198"/>
      <c r="AA172" s="197">
        <f t="shared" si="83"/>
        <v>48590000.039999999</v>
      </c>
      <c r="AB172" s="196" t="s">
        <v>1168</v>
      </c>
      <c r="AC172" s="196"/>
      <c r="AD172" s="275">
        <v>0.75</v>
      </c>
      <c r="AE172" s="275">
        <v>0.25</v>
      </c>
      <c r="AF172" s="275">
        <v>0</v>
      </c>
      <c r="AG172" s="442"/>
      <c r="AH172" s="442"/>
      <c r="AI172" s="200">
        <f t="shared" si="84"/>
        <v>0</v>
      </c>
      <c r="AJ172" s="203"/>
      <c r="AK172" s="203"/>
      <c r="AL172" s="197">
        <f t="shared" si="85"/>
        <v>48590000.039999999</v>
      </c>
      <c r="AM172" s="197">
        <f t="shared" si="86"/>
        <v>0</v>
      </c>
      <c r="AN172" s="197">
        <f t="shared" si="87"/>
        <v>0</v>
      </c>
      <c r="AO172" s="202"/>
      <c r="AP172" s="161" t="s">
        <v>3900</v>
      </c>
      <c r="AQ172" s="279"/>
      <c r="AR172" s="287">
        <f t="shared" si="88"/>
        <v>0</v>
      </c>
      <c r="AS172" s="287">
        <f t="shared" si="89"/>
        <v>0</v>
      </c>
      <c r="AT172" s="287">
        <f t="shared" si="90"/>
        <v>0</v>
      </c>
      <c r="AU172" s="287">
        <f t="shared" si="91"/>
        <v>0</v>
      </c>
      <c r="AV172" s="287">
        <f t="shared" si="92"/>
        <v>0</v>
      </c>
      <c r="AW172" s="287">
        <f t="shared" si="93"/>
        <v>0</v>
      </c>
      <c r="AX172" s="287">
        <f t="shared" si="94"/>
        <v>0</v>
      </c>
      <c r="AY172" s="287">
        <f t="shared" si="95"/>
        <v>0</v>
      </c>
      <c r="AZ172" s="287">
        <f t="shared" si="96"/>
        <v>0</v>
      </c>
      <c r="BA172" s="287">
        <f t="shared" si="97"/>
        <v>0</v>
      </c>
      <c r="BB172" s="16"/>
      <c r="BC172" s="287">
        <f t="shared" si="98"/>
        <v>0</v>
      </c>
      <c r="BD172" s="287">
        <f t="shared" si="99"/>
        <v>0</v>
      </c>
      <c r="BE172" s="287">
        <f t="shared" si="100"/>
        <v>0</v>
      </c>
      <c r="BF172" s="287">
        <f t="shared" si="101"/>
        <v>0</v>
      </c>
      <c r="BG172" s="287">
        <f t="shared" si="102"/>
        <v>0</v>
      </c>
      <c r="BH172" s="287">
        <f t="shared" si="103"/>
        <v>0</v>
      </c>
      <c r="BI172" s="287">
        <f t="shared" si="104"/>
        <v>0</v>
      </c>
      <c r="BJ172" s="287">
        <f t="shared" si="105"/>
        <v>0</v>
      </c>
      <c r="BK172" s="287">
        <f t="shared" si="106"/>
        <v>0</v>
      </c>
      <c r="BL172" s="287">
        <f t="shared" si="107"/>
        <v>0</v>
      </c>
      <c r="BM172" s="16"/>
      <c r="BN172" s="287">
        <f t="shared" si="108"/>
        <v>0</v>
      </c>
      <c r="BO172" s="287">
        <f t="shared" si="109"/>
        <v>0</v>
      </c>
      <c r="BP172" s="432"/>
      <c r="BQ172" s="21"/>
      <c r="BR172" s="21"/>
      <c r="BS172" s="39"/>
      <c r="BT172" s="39"/>
      <c r="BU172" s="39"/>
      <c r="BV172" s="39"/>
      <c r="BW172" s="39"/>
      <c r="BX172" s="39"/>
      <c r="BY172" s="39"/>
      <c r="BZ172" s="39">
        <v>159</v>
      </c>
      <c r="CA172" s="39" t="str">
        <f t="shared" si="110"/>
        <v/>
      </c>
      <c r="CB172" s="39"/>
      <c r="CC172" s="39"/>
      <c r="CD172" s="39"/>
      <c r="CE172" s="39"/>
      <c r="CF172" s="39"/>
      <c r="CG172" s="39"/>
      <c r="CH172" s="39"/>
      <c r="CI172" s="39"/>
      <c r="CJ172" s="39"/>
      <c r="CK172" s="39"/>
    </row>
    <row r="173" spans="1:89" s="193" customFormat="1">
      <c r="A173" s="195"/>
      <c r="B173" s="21" t="str">
        <f t="shared" si="79"/>
        <v>N/A</v>
      </c>
      <c r="C173" s="21"/>
      <c r="D173" s="432">
        <v>3201129</v>
      </c>
      <c r="E173" s="439" t="s">
        <v>3626</v>
      </c>
      <c r="F173" s="439" t="s">
        <v>3448</v>
      </c>
      <c r="G173" s="273" t="s">
        <v>3175</v>
      </c>
      <c r="H173" s="358"/>
      <c r="I173" s="262" t="s">
        <v>3491</v>
      </c>
      <c r="J173" s="262" t="s">
        <v>3504</v>
      </c>
      <c r="K173" s="263">
        <v>-50000000</v>
      </c>
      <c r="L173" s="263">
        <v>0</v>
      </c>
      <c r="M173" s="263">
        <v>0</v>
      </c>
      <c r="N173" s="263">
        <v>0</v>
      </c>
      <c r="O173" s="263">
        <v>0</v>
      </c>
      <c r="P173" s="263">
        <v>0</v>
      </c>
      <c r="Q173" s="263">
        <v>0</v>
      </c>
      <c r="R173" s="263">
        <v>0</v>
      </c>
      <c r="S173" s="263">
        <v>0</v>
      </c>
      <c r="T173" s="263">
        <v>0</v>
      </c>
      <c r="U173" s="263">
        <f t="shared" si="111"/>
        <v>-50000000</v>
      </c>
      <c r="V173" s="196" t="str">
        <f t="shared" si="80"/>
        <v>G/LOS</v>
      </c>
      <c r="W173" s="196" t="s">
        <v>1168</v>
      </c>
      <c r="X173" s="196" t="s">
        <v>1168</v>
      </c>
      <c r="Y173" s="197">
        <f t="shared" si="82"/>
        <v>-50000000</v>
      </c>
      <c r="Z173" s="198"/>
      <c r="AA173" s="197">
        <f t="shared" si="83"/>
        <v>-50000000</v>
      </c>
      <c r="AB173" s="196"/>
      <c r="AC173" s="196"/>
      <c r="AD173" s="275">
        <v>0.75</v>
      </c>
      <c r="AE173" s="275">
        <v>0.25</v>
      </c>
      <c r="AF173" s="275">
        <v>0</v>
      </c>
      <c r="AG173" s="442">
        <v>0</v>
      </c>
      <c r="AH173" s="442">
        <v>0</v>
      </c>
      <c r="AI173" s="200">
        <f t="shared" si="84"/>
        <v>0</v>
      </c>
      <c r="AJ173" s="203"/>
      <c r="AK173" s="203"/>
      <c r="AL173" s="197">
        <f t="shared" si="85"/>
        <v>-50000000</v>
      </c>
      <c r="AM173" s="197">
        <f t="shared" si="86"/>
        <v>0</v>
      </c>
      <c r="AN173" s="197">
        <f t="shared" si="87"/>
        <v>0</v>
      </c>
      <c r="AO173" s="202"/>
      <c r="AP173" s="161" t="s">
        <v>3900</v>
      </c>
      <c r="AQ173" s="279"/>
      <c r="AR173" s="287">
        <f t="shared" si="88"/>
        <v>0</v>
      </c>
      <c r="AS173" s="287">
        <f t="shared" si="89"/>
        <v>0</v>
      </c>
      <c r="AT173" s="287">
        <f t="shared" si="90"/>
        <v>0</v>
      </c>
      <c r="AU173" s="287">
        <f t="shared" si="91"/>
        <v>0</v>
      </c>
      <c r="AV173" s="287">
        <f t="shared" si="92"/>
        <v>0</v>
      </c>
      <c r="AW173" s="287">
        <f t="shared" si="93"/>
        <v>0</v>
      </c>
      <c r="AX173" s="287">
        <f t="shared" si="94"/>
        <v>0</v>
      </c>
      <c r="AY173" s="287">
        <f t="shared" si="95"/>
        <v>0</v>
      </c>
      <c r="AZ173" s="287">
        <f t="shared" si="96"/>
        <v>0</v>
      </c>
      <c r="BA173" s="287">
        <f t="shared" si="97"/>
        <v>0</v>
      </c>
      <c r="BB173" s="16"/>
      <c r="BC173" s="287">
        <f t="shared" si="98"/>
        <v>0</v>
      </c>
      <c r="BD173" s="287">
        <f t="shared" si="99"/>
        <v>0</v>
      </c>
      <c r="BE173" s="287">
        <f t="shared" si="100"/>
        <v>0</v>
      </c>
      <c r="BF173" s="287">
        <f t="shared" si="101"/>
        <v>0</v>
      </c>
      <c r="BG173" s="287">
        <f t="shared" si="102"/>
        <v>0</v>
      </c>
      <c r="BH173" s="287">
        <f t="shared" si="103"/>
        <v>0</v>
      </c>
      <c r="BI173" s="287">
        <f t="shared" si="104"/>
        <v>0</v>
      </c>
      <c r="BJ173" s="287">
        <f t="shared" si="105"/>
        <v>0</v>
      </c>
      <c r="BK173" s="287">
        <f t="shared" si="106"/>
        <v>0</v>
      </c>
      <c r="BL173" s="287">
        <f t="shared" si="107"/>
        <v>0</v>
      </c>
      <c r="BM173" s="16"/>
      <c r="BN173" s="287">
        <f t="shared" si="108"/>
        <v>0</v>
      </c>
      <c r="BO173" s="287">
        <f t="shared" si="109"/>
        <v>0</v>
      </c>
      <c r="BP173" s="432"/>
      <c r="BQ173" s="21"/>
      <c r="BR173" s="21"/>
      <c r="BS173" s="39"/>
      <c r="BT173" s="39"/>
      <c r="BU173" s="39"/>
      <c r="BV173" s="39"/>
      <c r="BW173" s="39"/>
      <c r="BX173" s="39"/>
      <c r="BY173" s="39"/>
      <c r="BZ173" s="39">
        <v>160</v>
      </c>
      <c r="CA173" s="39" t="str">
        <f t="shared" si="110"/>
        <v/>
      </c>
      <c r="CB173" s="39"/>
      <c r="CC173" s="39"/>
      <c r="CD173" s="39"/>
      <c r="CE173" s="39"/>
      <c r="CF173" s="39"/>
      <c r="CG173" s="39"/>
      <c r="CH173" s="39"/>
      <c r="CI173" s="39"/>
      <c r="CJ173" s="39"/>
      <c r="CK173" s="39"/>
    </row>
    <row r="174" spans="1:89" s="193" customFormat="1">
      <c r="A174" s="195"/>
      <c r="B174" s="21" t="str">
        <f t="shared" si="79"/>
        <v>N/A</v>
      </c>
      <c r="C174" s="21"/>
      <c r="D174" s="432">
        <v>3201129</v>
      </c>
      <c r="E174" s="439" t="s">
        <v>3626</v>
      </c>
      <c r="F174" s="439" t="s">
        <v>3442</v>
      </c>
      <c r="G174" s="273" t="s">
        <v>3168</v>
      </c>
      <c r="H174" s="358"/>
      <c r="I174" s="262" t="s">
        <v>3491</v>
      </c>
      <c r="J174" s="262" t="s">
        <v>3504</v>
      </c>
      <c r="K174" s="263">
        <v>17499999.960000001</v>
      </c>
      <c r="L174" s="263">
        <v>17500000</v>
      </c>
      <c r="M174" s="263">
        <v>0</v>
      </c>
      <c r="N174" s="263">
        <v>0</v>
      </c>
      <c r="O174" s="263">
        <v>0</v>
      </c>
      <c r="P174" s="263">
        <v>0</v>
      </c>
      <c r="Q174" s="263">
        <v>0</v>
      </c>
      <c r="R174" s="263">
        <v>0</v>
      </c>
      <c r="S174" s="263">
        <v>0</v>
      </c>
      <c r="T174" s="263">
        <v>0</v>
      </c>
      <c r="U174" s="263">
        <f t="shared" si="111"/>
        <v>34999999.960000001</v>
      </c>
      <c r="V174" s="196" t="str">
        <f t="shared" si="80"/>
        <v>G/LOS</v>
      </c>
      <c r="W174" s="196" t="s">
        <v>1168</v>
      </c>
      <c r="X174" s="196" t="str">
        <f t="shared" ref="X174:X237" si="112">IF(LEFT(V174,1)="G","Y","N")</f>
        <v>Y</v>
      </c>
      <c r="Y174" s="197">
        <f t="shared" si="82"/>
        <v>34999999.960000001</v>
      </c>
      <c r="Z174" s="198"/>
      <c r="AA174" s="197">
        <f t="shared" si="83"/>
        <v>34999999.960000001</v>
      </c>
      <c r="AB174" s="196" t="s">
        <v>1168</v>
      </c>
      <c r="AC174" s="196"/>
      <c r="AD174" s="275">
        <v>0.75</v>
      </c>
      <c r="AE174" s="275">
        <v>0.25</v>
      </c>
      <c r="AF174" s="275">
        <v>0</v>
      </c>
      <c r="AG174" s="442"/>
      <c r="AH174" s="442"/>
      <c r="AI174" s="200">
        <f t="shared" si="84"/>
        <v>0</v>
      </c>
      <c r="AJ174" s="203"/>
      <c r="AK174" s="203"/>
      <c r="AL174" s="197">
        <f t="shared" si="85"/>
        <v>34999999.960000001</v>
      </c>
      <c r="AM174" s="197">
        <f t="shared" si="86"/>
        <v>0</v>
      </c>
      <c r="AN174" s="197">
        <f t="shared" si="87"/>
        <v>0</v>
      </c>
      <c r="AO174" s="202"/>
      <c r="AP174" s="161" t="s">
        <v>3900</v>
      </c>
      <c r="AQ174" s="279"/>
      <c r="AR174" s="287">
        <f t="shared" si="88"/>
        <v>0</v>
      </c>
      <c r="AS174" s="287">
        <f t="shared" si="89"/>
        <v>0</v>
      </c>
      <c r="AT174" s="287">
        <f t="shared" si="90"/>
        <v>0</v>
      </c>
      <c r="AU174" s="287">
        <f t="shared" si="91"/>
        <v>0</v>
      </c>
      <c r="AV174" s="287">
        <f t="shared" si="92"/>
        <v>0</v>
      </c>
      <c r="AW174" s="287">
        <f t="shared" si="93"/>
        <v>0</v>
      </c>
      <c r="AX174" s="287">
        <f t="shared" si="94"/>
        <v>0</v>
      </c>
      <c r="AY174" s="287">
        <f t="shared" si="95"/>
        <v>0</v>
      </c>
      <c r="AZ174" s="287">
        <f t="shared" si="96"/>
        <v>0</v>
      </c>
      <c r="BA174" s="287">
        <f t="shared" si="97"/>
        <v>0</v>
      </c>
      <c r="BB174" s="16"/>
      <c r="BC174" s="287">
        <f t="shared" si="98"/>
        <v>0</v>
      </c>
      <c r="BD174" s="287">
        <f t="shared" si="99"/>
        <v>0</v>
      </c>
      <c r="BE174" s="287">
        <f t="shared" si="100"/>
        <v>0</v>
      </c>
      <c r="BF174" s="287">
        <f t="shared" si="101"/>
        <v>0</v>
      </c>
      <c r="BG174" s="287">
        <f t="shared" si="102"/>
        <v>0</v>
      </c>
      <c r="BH174" s="287">
        <f t="shared" si="103"/>
        <v>0</v>
      </c>
      <c r="BI174" s="287">
        <f t="shared" si="104"/>
        <v>0</v>
      </c>
      <c r="BJ174" s="287">
        <f t="shared" si="105"/>
        <v>0</v>
      </c>
      <c r="BK174" s="287">
        <f t="shared" si="106"/>
        <v>0</v>
      </c>
      <c r="BL174" s="287">
        <f t="shared" si="107"/>
        <v>0</v>
      </c>
      <c r="BM174" s="16"/>
      <c r="BN174" s="287">
        <f t="shared" si="108"/>
        <v>0</v>
      </c>
      <c r="BO174" s="287">
        <f t="shared" si="109"/>
        <v>0</v>
      </c>
      <c r="BP174" s="432"/>
      <c r="BQ174" s="21"/>
      <c r="BR174" s="21"/>
      <c r="BS174" s="39"/>
      <c r="BT174" s="39"/>
      <c r="BU174" s="39"/>
      <c r="BV174" s="39"/>
      <c r="BW174" s="39"/>
      <c r="BX174" s="39"/>
      <c r="BY174" s="39"/>
      <c r="BZ174" s="39">
        <v>161</v>
      </c>
      <c r="CA174" s="39" t="str">
        <f t="shared" si="110"/>
        <v/>
      </c>
      <c r="CB174" s="39"/>
      <c r="CC174" s="39"/>
      <c r="CD174" s="39"/>
      <c r="CE174" s="39"/>
      <c r="CF174" s="39"/>
      <c r="CG174" s="39"/>
      <c r="CH174" s="39"/>
      <c r="CI174" s="39"/>
      <c r="CJ174" s="39"/>
      <c r="CK174" s="39"/>
    </row>
    <row r="175" spans="1:89" s="193" customFormat="1">
      <c r="A175" s="195"/>
      <c r="B175" s="21" t="str">
        <f t="shared" si="79"/>
        <v>N/A</v>
      </c>
      <c r="C175" s="21"/>
      <c r="D175" s="432">
        <v>3201131</v>
      </c>
      <c r="E175" s="439" t="s">
        <v>3626</v>
      </c>
      <c r="F175" s="439" t="s">
        <v>3486</v>
      </c>
      <c r="G175" s="273" t="s">
        <v>3434</v>
      </c>
      <c r="H175" s="358"/>
      <c r="I175" s="262" t="s">
        <v>3498</v>
      </c>
      <c r="J175" s="262" t="s">
        <v>3504</v>
      </c>
      <c r="K175" s="263">
        <v>0</v>
      </c>
      <c r="L175" s="263">
        <v>150000</v>
      </c>
      <c r="M175" s="263">
        <v>150000</v>
      </c>
      <c r="N175" s="263">
        <v>0</v>
      </c>
      <c r="O175" s="263">
        <v>0</v>
      </c>
      <c r="P175" s="263">
        <v>0</v>
      </c>
      <c r="Q175" s="263">
        <v>0</v>
      </c>
      <c r="R175" s="263">
        <v>0</v>
      </c>
      <c r="S175" s="263">
        <v>0</v>
      </c>
      <c r="T175" s="263">
        <v>0</v>
      </c>
      <c r="U175" s="263">
        <f t="shared" si="111"/>
        <v>300000</v>
      </c>
      <c r="V175" s="196" t="str">
        <f t="shared" si="80"/>
        <v>R</v>
      </c>
      <c r="W175" s="196" t="s">
        <v>1168</v>
      </c>
      <c r="X175" s="196" t="str">
        <f t="shared" si="112"/>
        <v>N</v>
      </c>
      <c r="Y175" s="197">
        <f t="shared" si="82"/>
        <v>300000</v>
      </c>
      <c r="Z175" s="198"/>
      <c r="AA175" s="197">
        <f t="shared" si="83"/>
        <v>300000</v>
      </c>
      <c r="AB175" s="196"/>
      <c r="AC175" s="196"/>
      <c r="AD175" s="275">
        <v>0</v>
      </c>
      <c r="AE175" s="275">
        <v>0</v>
      </c>
      <c r="AF175" s="275">
        <v>1</v>
      </c>
      <c r="AG175" s="442"/>
      <c r="AH175" s="442"/>
      <c r="AI175" s="200">
        <f t="shared" si="84"/>
        <v>0</v>
      </c>
      <c r="AJ175" s="203"/>
      <c r="AK175" s="203"/>
      <c r="AL175" s="197">
        <f t="shared" si="85"/>
        <v>300000</v>
      </c>
      <c r="AM175" s="197">
        <f t="shared" si="86"/>
        <v>0</v>
      </c>
      <c r="AN175" s="197">
        <f t="shared" si="87"/>
        <v>0</v>
      </c>
      <c r="AO175" s="202"/>
      <c r="AP175" s="161" t="s">
        <v>3900</v>
      </c>
      <c r="AQ175" s="279"/>
      <c r="AR175" s="287">
        <f t="shared" si="88"/>
        <v>0</v>
      </c>
      <c r="AS175" s="287">
        <f t="shared" si="89"/>
        <v>0</v>
      </c>
      <c r="AT175" s="287">
        <f t="shared" si="90"/>
        <v>0</v>
      </c>
      <c r="AU175" s="287">
        <f t="shared" si="91"/>
        <v>0</v>
      </c>
      <c r="AV175" s="287">
        <f t="shared" si="92"/>
        <v>0</v>
      </c>
      <c r="AW175" s="287">
        <f t="shared" si="93"/>
        <v>0</v>
      </c>
      <c r="AX175" s="287">
        <f t="shared" si="94"/>
        <v>0</v>
      </c>
      <c r="AY175" s="287">
        <f t="shared" si="95"/>
        <v>0</v>
      </c>
      <c r="AZ175" s="287">
        <f t="shared" si="96"/>
        <v>0</v>
      </c>
      <c r="BA175" s="287">
        <f t="shared" si="97"/>
        <v>0</v>
      </c>
      <c r="BB175" s="16"/>
      <c r="BC175" s="287">
        <f t="shared" si="98"/>
        <v>0</v>
      </c>
      <c r="BD175" s="287">
        <f t="shared" si="99"/>
        <v>0</v>
      </c>
      <c r="BE175" s="287">
        <f t="shared" si="100"/>
        <v>0</v>
      </c>
      <c r="BF175" s="287">
        <f t="shared" si="101"/>
        <v>0</v>
      </c>
      <c r="BG175" s="287">
        <f t="shared" si="102"/>
        <v>0</v>
      </c>
      <c r="BH175" s="287">
        <f t="shared" si="103"/>
        <v>0</v>
      </c>
      <c r="BI175" s="287">
        <f t="shared" si="104"/>
        <v>0</v>
      </c>
      <c r="BJ175" s="287">
        <f t="shared" si="105"/>
        <v>0</v>
      </c>
      <c r="BK175" s="287">
        <f t="shared" si="106"/>
        <v>0</v>
      </c>
      <c r="BL175" s="287">
        <f t="shared" si="107"/>
        <v>0</v>
      </c>
      <c r="BM175" s="16"/>
      <c r="BN175" s="287">
        <f t="shared" si="108"/>
        <v>0</v>
      </c>
      <c r="BO175" s="287">
        <f t="shared" si="109"/>
        <v>0</v>
      </c>
      <c r="BP175" s="432"/>
      <c r="BQ175" s="21"/>
      <c r="BR175" s="21"/>
      <c r="BS175" s="39"/>
      <c r="BT175" s="39"/>
      <c r="BU175" s="39"/>
      <c r="BV175" s="39"/>
      <c r="BW175" s="39"/>
      <c r="BX175" s="39"/>
      <c r="BY175" s="39"/>
      <c r="BZ175" s="39">
        <v>162</v>
      </c>
      <c r="CA175" s="39" t="str">
        <f t="shared" si="110"/>
        <v/>
      </c>
      <c r="CB175" s="39"/>
      <c r="CC175" s="39"/>
      <c r="CD175" s="39"/>
      <c r="CE175" s="39"/>
      <c r="CF175" s="39"/>
      <c r="CG175" s="39"/>
      <c r="CH175" s="39"/>
      <c r="CI175" s="39"/>
      <c r="CJ175" s="39"/>
      <c r="CK175" s="39"/>
    </row>
    <row r="176" spans="1:89" s="193" customFormat="1">
      <c r="A176" s="195"/>
      <c r="B176" s="21" t="str">
        <f t="shared" si="79"/>
        <v>N/A</v>
      </c>
      <c r="C176" s="21"/>
      <c r="D176" s="432">
        <v>3201131</v>
      </c>
      <c r="E176" s="439" t="s">
        <v>3626</v>
      </c>
      <c r="F176" s="439" t="s">
        <v>3487</v>
      </c>
      <c r="G176" s="273" t="s">
        <v>3435</v>
      </c>
      <c r="H176" s="358"/>
      <c r="I176" s="262" t="s">
        <v>3498</v>
      </c>
      <c r="J176" s="262" t="s">
        <v>3504</v>
      </c>
      <c r="K176" s="263">
        <v>0</v>
      </c>
      <c r="L176" s="263">
        <v>70000</v>
      </c>
      <c r="M176" s="263">
        <v>0</v>
      </c>
      <c r="N176" s="263">
        <v>0</v>
      </c>
      <c r="O176" s="263">
        <v>70000</v>
      </c>
      <c r="P176" s="263">
        <v>0</v>
      </c>
      <c r="Q176" s="263">
        <v>0</v>
      </c>
      <c r="R176" s="263">
        <v>70000</v>
      </c>
      <c r="S176" s="263">
        <v>0</v>
      </c>
      <c r="T176" s="263">
        <v>0</v>
      </c>
      <c r="U176" s="263">
        <f t="shared" si="111"/>
        <v>210000</v>
      </c>
      <c r="V176" s="196" t="str">
        <f t="shared" si="80"/>
        <v>R</v>
      </c>
      <c r="W176" s="196" t="s">
        <v>1168</v>
      </c>
      <c r="X176" s="196" t="str">
        <f t="shared" si="112"/>
        <v>N</v>
      </c>
      <c r="Y176" s="197">
        <f t="shared" si="82"/>
        <v>210000</v>
      </c>
      <c r="Z176" s="198"/>
      <c r="AA176" s="197">
        <f t="shared" si="83"/>
        <v>210000</v>
      </c>
      <c r="AB176" s="196"/>
      <c r="AC176" s="196"/>
      <c r="AD176" s="275">
        <v>0</v>
      </c>
      <c r="AE176" s="275">
        <v>0</v>
      </c>
      <c r="AF176" s="275">
        <v>1</v>
      </c>
      <c r="AG176" s="442"/>
      <c r="AH176" s="442"/>
      <c r="AI176" s="200">
        <f t="shared" si="84"/>
        <v>0</v>
      </c>
      <c r="AJ176" s="203"/>
      <c r="AK176" s="203"/>
      <c r="AL176" s="197">
        <f t="shared" si="85"/>
        <v>210000</v>
      </c>
      <c r="AM176" s="197">
        <f t="shared" si="86"/>
        <v>0</v>
      </c>
      <c r="AN176" s="197">
        <f t="shared" si="87"/>
        <v>0</v>
      </c>
      <c r="AO176" s="202"/>
      <c r="AP176" s="161" t="s">
        <v>3900</v>
      </c>
      <c r="AQ176" s="279"/>
      <c r="AR176" s="287">
        <f t="shared" si="88"/>
        <v>0</v>
      </c>
      <c r="AS176" s="287">
        <f t="shared" si="89"/>
        <v>0</v>
      </c>
      <c r="AT176" s="287">
        <f t="shared" si="90"/>
        <v>0</v>
      </c>
      <c r="AU176" s="287">
        <f t="shared" si="91"/>
        <v>0</v>
      </c>
      <c r="AV176" s="287">
        <f t="shared" si="92"/>
        <v>0</v>
      </c>
      <c r="AW176" s="287">
        <f t="shared" si="93"/>
        <v>0</v>
      </c>
      <c r="AX176" s="287">
        <f t="shared" si="94"/>
        <v>0</v>
      </c>
      <c r="AY176" s="287">
        <f t="shared" si="95"/>
        <v>0</v>
      </c>
      <c r="AZ176" s="287">
        <f t="shared" si="96"/>
        <v>0</v>
      </c>
      <c r="BA176" s="287">
        <f t="shared" si="97"/>
        <v>0</v>
      </c>
      <c r="BB176" s="16"/>
      <c r="BC176" s="287">
        <f t="shared" si="98"/>
        <v>0</v>
      </c>
      <c r="BD176" s="287">
        <f t="shared" si="99"/>
        <v>0</v>
      </c>
      <c r="BE176" s="287">
        <f t="shared" si="100"/>
        <v>0</v>
      </c>
      <c r="BF176" s="287">
        <f t="shared" si="101"/>
        <v>0</v>
      </c>
      <c r="BG176" s="287">
        <f t="shared" si="102"/>
        <v>0</v>
      </c>
      <c r="BH176" s="287">
        <f t="shared" si="103"/>
        <v>0</v>
      </c>
      <c r="BI176" s="287">
        <f t="shared" si="104"/>
        <v>0</v>
      </c>
      <c r="BJ176" s="287">
        <f t="shared" si="105"/>
        <v>0</v>
      </c>
      <c r="BK176" s="287">
        <f t="shared" si="106"/>
        <v>0</v>
      </c>
      <c r="BL176" s="287">
        <f t="shared" si="107"/>
        <v>0</v>
      </c>
      <c r="BM176" s="16"/>
      <c r="BN176" s="287">
        <f t="shared" si="108"/>
        <v>0</v>
      </c>
      <c r="BO176" s="287">
        <f t="shared" si="109"/>
        <v>0</v>
      </c>
      <c r="BP176" s="432"/>
      <c r="BQ176" s="21"/>
      <c r="BR176" s="21"/>
      <c r="BS176" s="39"/>
      <c r="BT176" s="39"/>
      <c r="BU176" s="39"/>
      <c r="BV176" s="39"/>
      <c r="BW176" s="39"/>
      <c r="BX176" s="39"/>
      <c r="BY176" s="39"/>
      <c r="BZ176" s="39">
        <v>163</v>
      </c>
      <c r="CA176" s="39" t="str">
        <f t="shared" si="110"/>
        <v/>
      </c>
      <c r="CB176" s="39"/>
      <c r="CC176" s="39"/>
      <c r="CD176" s="39"/>
      <c r="CE176" s="39"/>
      <c r="CF176" s="39"/>
      <c r="CG176" s="39"/>
      <c r="CH176" s="39"/>
      <c r="CI176" s="39"/>
      <c r="CJ176" s="39"/>
      <c r="CK176" s="39"/>
    </row>
    <row r="177" spans="1:89" s="193" customFormat="1">
      <c r="A177" s="195"/>
      <c r="B177" s="21" t="str">
        <f t="shared" si="79"/>
        <v>N/A</v>
      </c>
      <c r="C177" s="21"/>
      <c r="D177" s="432">
        <v>3201132</v>
      </c>
      <c r="E177" s="439" t="s">
        <v>3626</v>
      </c>
      <c r="F177" s="439" t="s">
        <v>3473</v>
      </c>
      <c r="G177" s="273" t="s">
        <v>3339</v>
      </c>
      <c r="H177" s="358"/>
      <c r="I177" s="262" t="s">
        <v>3498</v>
      </c>
      <c r="J177" s="262" t="s">
        <v>3504</v>
      </c>
      <c r="K177" s="263">
        <v>1000000</v>
      </c>
      <c r="L177" s="263">
        <v>641438</v>
      </c>
      <c r="M177" s="263">
        <v>0</v>
      </c>
      <c r="N177" s="263">
        <v>0</v>
      </c>
      <c r="O177" s="263">
        <v>0</v>
      </c>
      <c r="P177" s="263">
        <v>0</v>
      </c>
      <c r="Q177" s="263">
        <v>0</v>
      </c>
      <c r="R177" s="263">
        <v>0</v>
      </c>
      <c r="S177" s="263">
        <v>0</v>
      </c>
      <c r="T177" s="263">
        <v>0</v>
      </c>
      <c r="U177" s="263">
        <f t="shared" si="111"/>
        <v>1641438</v>
      </c>
      <c r="V177" s="196" t="str">
        <f t="shared" si="80"/>
        <v>R</v>
      </c>
      <c r="W177" s="196" t="s">
        <v>1168</v>
      </c>
      <c r="X177" s="196" t="str">
        <f t="shared" si="112"/>
        <v>N</v>
      </c>
      <c r="Y177" s="197">
        <f t="shared" si="82"/>
        <v>1641438</v>
      </c>
      <c r="Z177" s="198"/>
      <c r="AA177" s="197">
        <f t="shared" si="83"/>
        <v>1641438</v>
      </c>
      <c r="AB177" s="196"/>
      <c r="AC177" s="196"/>
      <c r="AD177" s="275">
        <v>0</v>
      </c>
      <c r="AE177" s="275">
        <v>0</v>
      </c>
      <c r="AF177" s="275">
        <v>1</v>
      </c>
      <c r="AG177" s="442"/>
      <c r="AH177" s="442"/>
      <c r="AI177" s="200">
        <f t="shared" si="84"/>
        <v>0</v>
      </c>
      <c r="AJ177" s="203"/>
      <c r="AK177" s="203"/>
      <c r="AL177" s="197">
        <f t="shared" si="85"/>
        <v>1641438</v>
      </c>
      <c r="AM177" s="197">
        <f t="shared" si="86"/>
        <v>0</v>
      </c>
      <c r="AN177" s="197">
        <f t="shared" si="87"/>
        <v>0</v>
      </c>
      <c r="AO177" s="202"/>
      <c r="AP177" s="161" t="s">
        <v>3900</v>
      </c>
      <c r="AQ177" s="279"/>
      <c r="AR177" s="287">
        <f t="shared" si="88"/>
        <v>0</v>
      </c>
      <c r="AS177" s="287">
        <f t="shared" si="89"/>
        <v>0</v>
      </c>
      <c r="AT177" s="287">
        <f t="shared" si="90"/>
        <v>0</v>
      </c>
      <c r="AU177" s="287">
        <f t="shared" si="91"/>
        <v>0</v>
      </c>
      <c r="AV177" s="287">
        <f t="shared" si="92"/>
        <v>0</v>
      </c>
      <c r="AW177" s="287">
        <f t="shared" si="93"/>
        <v>0</v>
      </c>
      <c r="AX177" s="287">
        <f t="shared" si="94"/>
        <v>0</v>
      </c>
      <c r="AY177" s="287">
        <f t="shared" si="95"/>
        <v>0</v>
      </c>
      <c r="AZ177" s="287">
        <f t="shared" si="96"/>
        <v>0</v>
      </c>
      <c r="BA177" s="287">
        <f t="shared" si="97"/>
        <v>0</v>
      </c>
      <c r="BB177" s="16"/>
      <c r="BC177" s="287">
        <f t="shared" si="98"/>
        <v>0</v>
      </c>
      <c r="BD177" s="287">
        <f t="shared" si="99"/>
        <v>0</v>
      </c>
      <c r="BE177" s="287">
        <f t="shared" si="100"/>
        <v>0</v>
      </c>
      <c r="BF177" s="287">
        <f t="shared" si="101"/>
        <v>0</v>
      </c>
      <c r="BG177" s="287">
        <f t="shared" si="102"/>
        <v>0</v>
      </c>
      <c r="BH177" s="287">
        <f t="shared" si="103"/>
        <v>0</v>
      </c>
      <c r="BI177" s="287">
        <f t="shared" si="104"/>
        <v>0</v>
      </c>
      <c r="BJ177" s="287">
        <f t="shared" si="105"/>
        <v>0</v>
      </c>
      <c r="BK177" s="287">
        <f t="shared" si="106"/>
        <v>0</v>
      </c>
      <c r="BL177" s="287">
        <f t="shared" si="107"/>
        <v>0</v>
      </c>
      <c r="BM177" s="16"/>
      <c r="BN177" s="287">
        <f t="shared" si="108"/>
        <v>0</v>
      </c>
      <c r="BO177" s="287">
        <f t="shared" si="109"/>
        <v>0</v>
      </c>
      <c r="BP177" s="432"/>
      <c r="BQ177" s="21"/>
      <c r="BR177" s="21"/>
      <c r="BS177" s="39"/>
      <c r="BT177" s="39"/>
      <c r="BU177" s="39"/>
      <c r="BV177" s="39"/>
      <c r="BW177" s="39"/>
      <c r="BX177" s="39"/>
      <c r="BY177" s="39"/>
      <c r="BZ177" s="39">
        <v>164</v>
      </c>
      <c r="CA177" s="39" t="str">
        <f t="shared" si="110"/>
        <v/>
      </c>
      <c r="CB177" s="39"/>
      <c r="CC177" s="39"/>
      <c r="CD177" s="39"/>
      <c r="CE177" s="39"/>
      <c r="CF177" s="39"/>
      <c r="CG177" s="39"/>
      <c r="CH177" s="39"/>
      <c r="CI177" s="39"/>
      <c r="CJ177" s="39"/>
      <c r="CK177" s="39"/>
    </row>
    <row r="178" spans="1:89" s="193" customFormat="1">
      <c r="A178" s="195"/>
      <c r="B178" s="21" t="str">
        <f t="shared" si="79"/>
        <v>N/A</v>
      </c>
      <c r="C178" s="21"/>
      <c r="D178" s="432">
        <v>3201134</v>
      </c>
      <c r="E178" s="439" t="s">
        <v>3626</v>
      </c>
      <c r="F178" s="439" t="s">
        <v>3485</v>
      </c>
      <c r="G178" s="273" t="s">
        <v>3433</v>
      </c>
      <c r="H178" s="358"/>
      <c r="I178" s="262" t="s">
        <v>3498</v>
      </c>
      <c r="J178" s="262" t="s">
        <v>3504</v>
      </c>
      <c r="K178" s="263">
        <v>0</v>
      </c>
      <c r="L178" s="263">
        <v>0</v>
      </c>
      <c r="M178" s="263">
        <v>0</v>
      </c>
      <c r="N178" s="263">
        <v>1243000</v>
      </c>
      <c r="O178" s="263">
        <v>0</v>
      </c>
      <c r="P178" s="263">
        <v>0</v>
      </c>
      <c r="Q178" s="263">
        <v>0</v>
      </c>
      <c r="R178" s="263">
        <v>0</v>
      </c>
      <c r="S178" s="263">
        <v>0</v>
      </c>
      <c r="T178" s="263">
        <v>0</v>
      </c>
      <c r="U178" s="263">
        <f t="shared" si="111"/>
        <v>1243000</v>
      </c>
      <c r="V178" s="196" t="str">
        <f t="shared" si="80"/>
        <v>R</v>
      </c>
      <c r="W178" s="196" t="s">
        <v>1168</v>
      </c>
      <c r="X178" s="196" t="str">
        <f t="shared" si="112"/>
        <v>N</v>
      </c>
      <c r="Y178" s="197">
        <f t="shared" si="82"/>
        <v>1243000</v>
      </c>
      <c r="Z178" s="198"/>
      <c r="AA178" s="197">
        <f t="shared" si="83"/>
        <v>1243000</v>
      </c>
      <c r="AB178" s="196"/>
      <c r="AC178" s="196"/>
      <c r="AD178" s="275">
        <v>0</v>
      </c>
      <c r="AE178" s="275">
        <v>0</v>
      </c>
      <c r="AF178" s="275">
        <v>1</v>
      </c>
      <c r="AG178" s="442"/>
      <c r="AH178" s="442"/>
      <c r="AI178" s="200">
        <f t="shared" si="84"/>
        <v>0</v>
      </c>
      <c r="AJ178" s="203"/>
      <c r="AK178" s="203"/>
      <c r="AL178" s="197">
        <f t="shared" si="85"/>
        <v>1243000</v>
      </c>
      <c r="AM178" s="197">
        <f t="shared" si="86"/>
        <v>0</v>
      </c>
      <c r="AN178" s="197">
        <f t="shared" si="87"/>
        <v>0</v>
      </c>
      <c r="AO178" s="202"/>
      <c r="AP178" s="161" t="s">
        <v>3900</v>
      </c>
      <c r="AQ178" s="279"/>
      <c r="AR178" s="287">
        <f t="shared" si="88"/>
        <v>0</v>
      </c>
      <c r="AS178" s="287">
        <f t="shared" si="89"/>
        <v>0</v>
      </c>
      <c r="AT178" s="287">
        <f t="shared" si="90"/>
        <v>0</v>
      </c>
      <c r="AU178" s="287">
        <f t="shared" si="91"/>
        <v>0</v>
      </c>
      <c r="AV178" s="287">
        <f t="shared" si="92"/>
        <v>0</v>
      </c>
      <c r="AW178" s="287">
        <f t="shared" si="93"/>
        <v>0</v>
      </c>
      <c r="AX178" s="287">
        <f t="shared" si="94"/>
        <v>0</v>
      </c>
      <c r="AY178" s="287">
        <f t="shared" si="95"/>
        <v>0</v>
      </c>
      <c r="AZ178" s="287">
        <f t="shared" si="96"/>
        <v>0</v>
      </c>
      <c r="BA178" s="287">
        <f t="shared" si="97"/>
        <v>0</v>
      </c>
      <c r="BB178" s="16"/>
      <c r="BC178" s="287">
        <f t="shared" si="98"/>
        <v>0</v>
      </c>
      <c r="BD178" s="287">
        <f t="shared" si="99"/>
        <v>0</v>
      </c>
      <c r="BE178" s="287">
        <f t="shared" si="100"/>
        <v>0</v>
      </c>
      <c r="BF178" s="287">
        <f t="shared" si="101"/>
        <v>0</v>
      </c>
      <c r="BG178" s="287">
        <f t="shared" si="102"/>
        <v>0</v>
      </c>
      <c r="BH178" s="287">
        <f t="shared" si="103"/>
        <v>0</v>
      </c>
      <c r="BI178" s="287">
        <f t="shared" si="104"/>
        <v>0</v>
      </c>
      <c r="BJ178" s="287">
        <f t="shared" si="105"/>
        <v>0</v>
      </c>
      <c r="BK178" s="287">
        <f t="shared" si="106"/>
        <v>0</v>
      </c>
      <c r="BL178" s="287">
        <f t="shared" si="107"/>
        <v>0</v>
      </c>
      <c r="BM178" s="16"/>
      <c r="BN178" s="287">
        <f t="shared" si="108"/>
        <v>0</v>
      </c>
      <c r="BO178" s="287">
        <f t="shared" si="109"/>
        <v>0</v>
      </c>
      <c r="BP178" s="432"/>
      <c r="BQ178" s="21"/>
      <c r="BR178" s="21"/>
      <c r="BS178" s="39"/>
      <c r="BT178" s="39"/>
      <c r="BU178" s="39"/>
      <c r="BV178" s="39"/>
      <c r="BW178" s="39"/>
      <c r="BX178" s="39"/>
      <c r="BY178" s="39"/>
      <c r="BZ178" s="39">
        <v>165</v>
      </c>
      <c r="CA178" s="39" t="str">
        <f t="shared" si="110"/>
        <v/>
      </c>
      <c r="CB178" s="39"/>
      <c r="CC178" s="39"/>
      <c r="CD178" s="39"/>
      <c r="CE178" s="39"/>
      <c r="CF178" s="39"/>
      <c r="CG178" s="39"/>
      <c r="CH178" s="39"/>
      <c r="CI178" s="39"/>
      <c r="CJ178" s="39"/>
      <c r="CK178" s="39"/>
    </row>
    <row r="179" spans="1:89" s="193" customFormat="1">
      <c r="A179" s="195"/>
      <c r="B179" s="21" t="str">
        <f t="shared" si="79"/>
        <v>N/A</v>
      </c>
      <c r="C179" s="21"/>
      <c r="D179" s="432">
        <v>3201136</v>
      </c>
      <c r="E179" s="439" t="s">
        <v>3626</v>
      </c>
      <c r="F179" s="439" t="s">
        <v>3484</v>
      </c>
      <c r="G179" s="273" t="s">
        <v>3423</v>
      </c>
      <c r="H179" s="358"/>
      <c r="I179" s="262" t="s">
        <v>3498</v>
      </c>
      <c r="J179" s="262" t="s">
        <v>3504</v>
      </c>
      <c r="K179" s="263">
        <v>0</v>
      </c>
      <c r="L179" s="263">
        <v>1050500</v>
      </c>
      <c r="M179" s="263">
        <v>0</v>
      </c>
      <c r="N179" s="263">
        <v>427000</v>
      </c>
      <c r="O179" s="263">
        <v>801231</v>
      </c>
      <c r="P179" s="263">
        <v>2396000</v>
      </c>
      <c r="Q179" s="263">
        <v>5274495</v>
      </c>
      <c r="R179" s="263">
        <v>1126500</v>
      </c>
      <c r="S179" s="263">
        <v>3156269</v>
      </c>
      <c r="T179" s="263">
        <v>2780272</v>
      </c>
      <c r="U179" s="263">
        <f t="shared" si="111"/>
        <v>17012267</v>
      </c>
      <c r="V179" s="196" t="str">
        <f t="shared" si="80"/>
        <v>R</v>
      </c>
      <c r="W179" s="196" t="s">
        <v>1168</v>
      </c>
      <c r="X179" s="196" t="str">
        <f t="shared" si="112"/>
        <v>N</v>
      </c>
      <c r="Y179" s="197">
        <f t="shared" si="82"/>
        <v>17012267</v>
      </c>
      <c r="Z179" s="198"/>
      <c r="AA179" s="197">
        <f t="shared" si="83"/>
        <v>17012267</v>
      </c>
      <c r="AB179" s="196"/>
      <c r="AC179" s="196"/>
      <c r="AD179" s="275">
        <v>0</v>
      </c>
      <c r="AE179" s="275">
        <v>0</v>
      </c>
      <c r="AF179" s="275">
        <v>1</v>
      </c>
      <c r="AG179" s="442"/>
      <c r="AH179" s="442"/>
      <c r="AI179" s="200">
        <f t="shared" si="84"/>
        <v>0</v>
      </c>
      <c r="AJ179" s="203"/>
      <c r="AK179" s="203"/>
      <c r="AL179" s="197">
        <f t="shared" si="85"/>
        <v>17012267</v>
      </c>
      <c r="AM179" s="197">
        <f t="shared" si="86"/>
        <v>0</v>
      </c>
      <c r="AN179" s="197">
        <f t="shared" si="87"/>
        <v>0</v>
      </c>
      <c r="AO179" s="202"/>
      <c r="AP179" s="161" t="s">
        <v>3900</v>
      </c>
      <c r="AQ179" s="279"/>
      <c r="AR179" s="287">
        <f t="shared" si="88"/>
        <v>0</v>
      </c>
      <c r="AS179" s="287">
        <f t="shared" si="89"/>
        <v>0</v>
      </c>
      <c r="AT179" s="287">
        <f t="shared" si="90"/>
        <v>0</v>
      </c>
      <c r="AU179" s="287">
        <f t="shared" si="91"/>
        <v>0</v>
      </c>
      <c r="AV179" s="287">
        <f t="shared" si="92"/>
        <v>0</v>
      </c>
      <c r="AW179" s="287">
        <f t="shared" si="93"/>
        <v>0</v>
      </c>
      <c r="AX179" s="287">
        <f t="shared" si="94"/>
        <v>0</v>
      </c>
      <c r="AY179" s="287">
        <f t="shared" si="95"/>
        <v>0</v>
      </c>
      <c r="AZ179" s="287">
        <f t="shared" si="96"/>
        <v>0</v>
      </c>
      <c r="BA179" s="287">
        <f t="shared" si="97"/>
        <v>0</v>
      </c>
      <c r="BB179" s="16"/>
      <c r="BC179" s="287">
        <f t="shared" si="98"/>
        <v>0</v>
      </c>
      <c r="BD179" s="287">
        <f t="shared" si="99"/>
        <v>0</v>
      </c>
      <c r="BE179" s="287">
        <f t="shared" si="100"/>
        <v>0</v>
      </c>
      <c r="BF179" s="287">
        <f t="shared" si="101"/>
        <v>0</v>
      </c>
      <c r="BG179" s="287">
        <f t="shared" si="102"/>
        <v>0</v>
      </c>
      <c r="BH179" s="287">
        <f t="shared" si="103"/>
        <v>0</v>
      </c>
      <c r="BI179" s="287">
        <f t="shared" si="104"/>
        <v>0</v>
      </c>
      <c r="BJ179" s="287">
        <f t="shared" si="105"/>
        <v>0</v>
      </c>
      <c r="BK179" s="287">
        <f t="shared" si="106"/>
        <v>0</v>
      </c>
      <c r="BL179" s="287">
        <f t="shared" si="107"/>
        <v>0</v>
      </c>
      <c r="BM179" s="16"/>
      <c r="BN179" s="287">
        <f t="shared" si="108"/>
        <v>0</v>
      </c>
      <c r="BO179" s="287">
        <f t="shared" si="109"/>
        <v>0</v>
      </c>
      <c r="BP179" s="432"/>
      <c r="BQ179" s="21"/>
      <c r="BR179" s="21"/>
      <c r="BS179" s="39"/>
      <c r="BT179" s="39"/>
      <c r="BU179" s="39"/>
      <c r="BV179" s="39"/>
      <c r="BW179" s="39"/>
      <c r="BX179" s="39"/>
      <c r="BY179" s="39"/>
      <c r="BZ179" s="39">
        <v>166</v>
      </c>
      <c r="CA179" s="39" t="str">
        <f t="shared" si="110"/>
        <v/>
      </c>
      <c r="CB179" s="39"/>
      <c r="CC179" s="39"/>
      <c r="CD179" s="39"/>
      <c r="CE179" s="39"/>
      <c r="CF179" s="39"/>
      <c r="CG179" s="39"/>
      <c r="CH179" s="39"/>
      <c r="CI179" s="39"/>
      <c r="CJ179" s="39"/>
      <c r="CK179" s="39"/>
    </row>
    <row r="180" spans="1:89" s="193" customFormat="1">
      <c r="A180" s="195"/>
      <c r="B180" s="21" t="str">
        <f t="shared" si="79"/>
        <v>N/A</v>
      </c>
      <c r="C180" s="21"/>
      <c r="D180" s="432">
        <v>3201136</v>
      </c>
      <c r="E180" s="439" t="s">
        <v>3626</v>
      </c>
      <c r="F180" s="439" t="s">
        <v>3483</v>
      </c>
      <c r="G180" s="273" t="s">
        <v>3422</v>
      </c>
      <c r="H180" s="358"/>
      <c r="I180" s="262" t="s">
        <v>3498</v>
      </c>
      <c r="J180" s="262" t="s">
        <v>3504</v>
      </c>
      <c r="K180" s="263">
        <v>0</v>
      </c>
      <c r="L180" s="263">
        <v>0</v>
      </c>
      <c r="M180" s="263">
        <v>0</v>
      </c>
      <c r="N180" s="263">
        <v>0</v>
      </c>
      <c r="O180" s="263">
        <v>0</v>
      </c>
      <c r="P180" s="263">
        <v>0</v>
      </c>
      <c r="Q180" s="263">
        <v>0</v>
      </c>
      <c r="R180" s="263">
        <v>4300000</v>
      </c>
      <c r="S180" s="263">
        <v>2255000</v>
      </c>
      <c r="T180" s="263">
        <v>0</v>
      </c>
      <c r="U180" s="263">
        <f t="shared" si="111"/>
        <v>6555000</v>
      </c>
      <c r="V180" s="196" t="str">
        <f t="shared" si="80"/>
        <v>R</v>
      </c>
      <c r="W180" s="196" t="s">
        <v>1168</v>
      </c>
      <c r="X180" s="196" t="str">
        <f t="shared" si="112"/>
        <v>N</v>
      </c>
      <c r="Y180" s="197">
        <f t="shared" si="82"/>
        <v>6555000</v>
      </c>
      <c r="Z180" s="198"/>
      <c r="AA180" s="197">
        <f t="shared" si="83"/>
        <v>6555000</v>
      </c>
      <c r="AB180" s="196"/>
      <c r="AC180" s="196"/>
      <c r="AD180" s="275">
        <v>0</v>
      </c>
      <c r="AE180" s="275">
        <v>0</v>
      </c>
      <c r="AF180" s="275">
        <v>1</v>
      </c>
      <c r="AG180" s="442"/>
      <c r="AH180" s="442"/>
      <c r="AI180" s="200">
        <f t="shared" si="84"/>
        <v>0</v>
      </c>
      <c r="AJ180" s="203"/>
      <c r="AK180" s="203"/>
      <c r="AL180" s="197">
        <f t="shared" si="85"/>
        <v>6555000</v>
      </c>
      <c r="AM180" s="197">
        <f t="shared" si="86"/>
        <v>0</v>
      </c>
      <c r="AN180" s="197">
        <f t="shared" si="87"/>
        <v>0</v>
      </c>
      <c r="AO180" s="202"/>
      <c r="AP180" s="161" t="s">
        <v>3900</v>
      </c>
      <c r="AQ180" s="279"/>
      <c r="AR180" s="287">
        <f t="shared" si="88"/>
        <v>0</v>
      </c>
      <c r="AS180" s="287">
        <f t="shared" si="89"/>
        <v>0</v>
      </c>
      <c r="AT180" s="287">
        <f t="shared" si="90"/>
        <v>0</v>
      </c>
      <c r="AU180" s="287">
        <f t="shared" si="91"/>
        <v>0</v>
      </c>
      <c r="AV180" s="287">
        <f t="shared" si="92"/>
        <v>0</v>
      </c>
      <c r="AW180" s="287">
        <f t="shared" si="93"/>
        <v>0</v>
      </c>
      <c r="AX180" s="287">
        <f t="shared" si="94"/>
        <v>0</v>
      </c>
      <c r="AY180" s="287">
        <f t="shared" si="95"/>
        <v>0</v>
      </c>
      <c r="AZ180" s="287">
        <f t="shared" si="96"/>
        <v>0</v>
      </c>
      <c r="BA180" s="287">
        <f t="shared" si="97"/>
        <v>0</v>
      </c>
      <c r="BB180" s="16"/>
      <c r="BC180" s="287">
        <f t="shared" si="98"/>
        <v>0</v>
      </c>
      <c r="BD180" s="287">
        <f t="shared" si="99"/>
        <v>0</v>
      </c>
      <c r="BE180" s="287">
        <f t="shared" si="100"/>
        <v>0</v>
      </c>
      <c r="BF180" s="287">
        <f t="shared" si="101"/>
        <v>0</v>
      </c>
      <c r="BG180" s="287">
        <f t="shared" si="102"/>
        <v>0</v>
      </c>
      <c r="BH180" s="287">
        <f t="shared" si="103"/>
        <v>0</v>
      </c>
      <c r="BI180" s="287">
        <f t="shared" si="104"/>
        <v>0</v>
      </c>
      <c r="BJ180" s="287">
        <f t="shared" si="105"/>
        <v>0</v>
      </c>
      <c r="BK180" s="287">
        <f t="shared" si="106"/>
        <v>0</v>
      </c>
      <c r="BL180" s="287">
        <f t="shared" si="107"/>
        <v>0</v>
      </c>
      <c r="BM180" s="16"/>
      <c r="BN180" s="287">
        <f t="shared" si="108"/>
        <v>0</v>
      </c>
      <c r="BO180" s="287">
        <f t="shared" si="109"/>
        <v>0</v>
      </c>
      <c r="BP180" s="432"/>
      <c r="BQ180" s="21"/>
      <c r="BR180" s="21"/>
      <c r="BS180" s="39"/>
      <c r="BT180" s="39"/>
      <c r="BU180" s="39"/>
      <c r="BV180" s="39"/>
      <c r="BW180" s="39"/>
      <c r="BX180" s="39"/>
      <c r="BY180" s="39"/>
      <c r="BZ180" s="39">
        <v>167</v>
      </c>
      <c r="CA180" s="39" t="str">
        <f t="shared" si="110"/>
        <v/>
      </c>
      <c r="CB180" s="39"/>
      <c r="CC180" s="39"/>
      <c r="CD180" s="39"/>
      <c r="CE180" s="39"/>
      <c r="CF180" s="39"/>
      <c r="CG180" s="39"/>
      <c r="CH180" s="39"/>
      <c r="CI180" s="39"/>
      <c r="CJ180" s="39"/>
      <c r="CK180" s="39"/>
    </row>
    <row r="181" spans="1:89" s="193" customFormat="1">
      <c r="A181" s="195"/>
      <c r="B181" s="21" t="str">
        <f t="shared" si="79"/>
        <v>N/A</v>
      </c>
      <c r="C181" s="21"/>
      <c r="D181" s="432">
        <v>3201145</v>
      </c>
      <c r="E181" s="439" t="s">
        <v>3626</v>
      </c>
      <c r="F181" s="439" t="s">
        <v>3469</v>
      </c>
      <c r="G181" s="273" t="s">
        <v>3302</v>
      </c>
      <c r="H181" s="358"/>
      <c r="I181" s="262" t="s">
        <v>3498</v>
      </c>
      <c r="J181" s="262" t="s">
        <v>3504</v>
      </c>
      <c r="K181" s="263">
        <v>3250000</v>
      </c>
      <c r="L181" s="263">
        <v>250000</v>
      </c>
      <c r="M181" s="263">
        <v>1700000</v>
      </c>
      <c r="N181" s="263">
        <v>0</v>
      </c>
      <c r="O181" s="263">
        <v>1100000</v>
      </c>
      <c r="P181" s="263">
        <v>250000</v>
      </c>
      <c r="Q181" s="263">
        <v>250000</v>
      </c>
      <c r="R181" s="263">
        <v>250000</v>
      </c>
      <c r="S181" s="263">
        <v>250000</v>
      </c>
      <c r="T181" s="263">
        <v>250000</v>
      </c>
      <c r="U181" s="263">
        <f t="shared" si="111"/>
        <v>7550000</v>
      </c>
      <c r="V181" s="196" t="str">
        <f t="shared" si="80"/>
        <v>R</v>
      </c>
      <c r="W181" s="196" t="s">
        <v>1168</v>
      </c>
      <c r="X181" s="196" t="str">
        <f t="shared" si="112"/>
        <v>N</v>
      </c>
      <c r="Y181" s="197">
        <f t="shared" si="82"/>
        <v>7550000</v>
      </c>
      <c r="Z181" s="198"/>
      <c r="AA181" s="197">
        <f t="shared" si="83"/>
        <v>7550000</v>
      </c>
      <c r="AB181" s="196"/>
      <c r="AC181" s="196"/>
      <c r="AD181" s="275">
        <v>0</v>
      </c>
      <c r="AE181" s="275">
        <v>0</v>
      </c>
      <c r="AF181" s="275">
        <v>1</v>
      </c>
      <c r="AG181" s="442"/>
      <c r="AH181" s="442"/>
      <c r="AI181" s="200">
        <f t="shared" si="84"/>
        <v>0</v>
      </c>
      <c r="AJ181" s="203"/>
      <c r="AK181" s="203"/>
      <c r="AL181" s="197">
        <f t="shared" si="85"/>
        <v>7550000</v>
      </c>
      <c r="AM181" s="197">
        <f t="shared" si="86"/>
        <v>0</v>
      </c>
      <c r="AN181" s="197">
        <f t="shared" si="87"/>
        <v>0</v>
      </c>
      <c r="AO181" s="202"/>
      <c r="AP181" s="161" t="s">
        <v>3900</v>
      </c>
      <c r="AQ181" s="279"/>
      <c r="AR181" s="287">
        <f t="shared" si="88"/>
        <v>0</v>
      </c>
      <c r="AS181" s="287">
        <f t="shared" si="89"/>
        <v>0</v>
      </c>
      <c r="AT181" s="287">
        <f t="shared" si="90"/>
        <v>0</v>
      </c>
      <c r="AU181" s="287">
        <f t="shared" si="91"/>
        <v>0</v>
      </c>
      <c r="AV181" s="287">
        <f t="shared" si="92"/>
        <v>0</v>
      </c>
      <c r="AW181" s="287">
        <f t="shared" si="93"/>
        <v>0</v>
      </c>
      <c r="AX181" s="287">
        <f t="shared" si="94"/>
        <v>0</v>
      </c>
      <c r="AY181" s="287">
        <f t="shared" si="95"/>
        <v>0</v>
      </c>
      <c r="AZ181" s="287">
        <f t="shared" si="96"/>
        <v>0</v>
      </c>
      <c r="BA181" s="287">
        <f t="shared" si="97"/>
        <v>0</v>
      </c>
      <c r="BB181" s="16"/>
      <c r="BC181" s="287">
        <f t="shared" si="98"/>
        <v>0</v>
      </c>
      <c r="BD181" s="287">
        <f t="shared" si="99"/>
        <v>0</v>
      </c>
      <c r="BE181" s="287">
        <f t="shared" si="100"/>
        <v>0</v>
      </c>
      <c r="BF181" s="287">
        <f t="shared" si="101"/>
        <v>0</v>
      </c>
      <c r="BG181" s="287">
        <f t="shared" si="102"/>
        <v>0</v>
      </c>
      <c r="BH181" s="287">
        <f t="shared" si="103"/>
        <v>0</v>
      </c>
      <c r="BI181" s="287">
        <f t="shared" si="104"/>
        <v>0</v>
      </c>
      <c r="BJ181" s="287">
        <f t="shared" si="105"/>
        <v>0</v>
      </c>
      <c r="BK181" s="287">
        <f t="shared" si="106"/>
        <v>0</v>
      </c>
      <c r="BL181" s="287">
        <f t="shared" si="107"/>
        <v>0</v>
      </c>
      <c r="BM181" s="16"/>
      <c r="BN181" s="287">
        <f t="shared" si="108"/>
        <v>0</v>
      </c>
      <c r="BO181" s="287">
        <f t="shared" si="109"/>
        <v>0</v>
      </c>
      <c r="BP181" s="432"/>
      <c r="BQ181" s="21"/>
      <c r="BR181" s="21"/>
      <c r="BS181" s="39"/>
      <c r="BT181" s="39"/>
      <c r="BU181" s="39"/>
      <c r="BV181" s="39"/>
      <c r="BW181" s="39"/>
      <c r="BX181" s="39"/>
      <c r="BY181" s="39"/>
      <c r="BZ181" s="39">
        <v>168</v>
      </c>
      <c r="CA181" s="39" t="str">
        <f t="shared" si="110"/>
        <v/>
      </c>
      <c r="CB181" s="39"/>
      <c r="CC181" s="39"/>
      <c r="CD181" s="39"/>
      <c r="CE181" s="39"/>
      <c r="CF181" s="39"/>
      <c r="CG181" s="39"/>
      <c r="CH181" s="39"/>
      <c r="CI181" s="39"/>
      <c r="CJ181" s="39"/>
      <c r="CK181" s="39"/>
    </row>
    <row r="182" spans="1:89" s="193" customFormat="1">
      <c r="A182" s="195"/>
      <c r="B182" s="21" t="str">
        <f t="shared" si="79"/>
        <v>N/A</v>
      </c>
      <c r="C182" s="21"/>
      <c r="D182" s="432">
        <v>3201209</v>
      </c>
      <c r="E182" s="439" t="s">
        <v>3626</v>
      </c>
      <c r="F182" s="439" t="s">
        <v>3755</v>
      </c>
      <c r="G182" s="273" t="s">
        <v>3299</v>
      </c>
      <c r="H182" s="358"/>
      <c r="I182" s="262" t="s">
        <v>3491</v>
      </c>
      <c r="J182" s="262" t="s">
        <v>3504</v>
      </c>
      <c r="K182" s="263">
        <v>3819999.96</v>
      </c>
      <c r="L182" s="263">
        <v>0</v>
      </c>
      <c r="M182" s="263">
        <v>0</v>
      </c>
      <c r="N182" s="263">
        <v>3000000</v>
      </c>
      <c r="O182" s="263">
        <v>8500000</v>
      </c>
      <c r="P182" s="263">
        <v>6000000</v>
      </c>
      <c r="Q182" s="263">
        <v>2000000</v>
      </c>
      <c r="R182" s="263">
        <v>0</v>
      </c>
      <c r="S182" s="263">
        <v>0</v>
      </c>
      <c r="T182" s="263">
        <v>0</v>
      </c>
      <c r="U182" s="263">
        <f t="shared" si="111"/>
        <v>23319999.960000001</v>
      </c>
      <c r="V182" s="196" t="str">
        <f t="shared" si="80"/>
        <v>G/LOS</v>
      </c>
      <c r="W182" s="196" t="s">
        <v>1168</v>
      </c>
      <c r="X182" s="196" t="str">
        <f t="shared" si="112"/>
        <v>Y</v>
      </c>
      <c r="Y182" s="197">
        <f t="shared" si="82"/>
        <v>23319999.960000001</v>
      </c>
      <c r="Z182" s="198"/>
      <c r="AA182" s="197">
        <f t="shared" si="83"/>
        <v>23319999.960000001</v>
      </c>
      <c r="AB182" s="196" t="s">
        <v>1168</v>
      </c>
      <c r="AC182" s="196"/>
      <c r="AD182" s="275">
        <v>0.5</v>
      </c>
      <c r="AE182" s="275">
        <v>0.5</v>
      </c>
      <c r="AF182" s="275">
        <v>0</v>
      </c>
      <c r="AG182" s="442"/>
      <c r="AH182" s="442"/>
      <c r="AI182" s="200">
        <f t="shared" si="84"/>
        <v>0</v>
      </c>
      <c r="AJ182" s="203"/>
      <c r="AK182" s="203"/>
      <c r="AL182" s="197">
        <f t="shared" si="85"/>
        <v>23319999.960000001</v>
      </c>
      <c r="AM182" s="197">
        <f t="shared" si="86"/>
        <v>0</v>
      </c>
      <c r="AN182" s="197">
        <f t="shared" si="87"/>
        <v>0</v>
      </c>
      <c r="AO182" s="202"/>
      <c r="AP182" s="161" t="s">
        <v>3900</v>
      </c>
      <c r="AQ182" s="279"/>
      <c r="AR182" s="287">
        <f t="shared" si="88"/>
        <v>0</v>
      </c>
      <c r="AS182" s="287">
        <f t="shared" si="89"/>
        <v>0</v>
      </c>
      <c r="AT182" s="287">
        <f t="shared" si="90"/>
        <v>0</v>
      </c>
      <c r="AU182" s="287">
        <f t="shared" si="91"/>
        <v>0</v>
      </c>
      <c r="AV182" s="287">
        <f t="shared" si="92"/>
        <v>0</v>
      </c>
      <c r="AW182" s="287">
        <f t="shared" si="93"/>
        <v>0</v>
      </c>
      <c r="AX182" s="287">
        <f t="shared" si="94"/>
        <v>0</v>
      </c>
      <c r="AY182" s="287">
        <f t="shared" si="95"/>
        <v>0</v>
      </c>
      <c r="AZ182" s="287">
        <f t="shared" si="96"/>
        <v>0</v>
      </c>
      <c r="BA182" s="287">
        <f t="shared" si="97"/>
        <v>0</v>
      </c>
      <c r="BB182" s="16"/>
      <c r="BC182" s="287">
        <f t="shared" si="98"/>
        <v>0</v>
      </c>
      <c r="BD182" s="287">
        <f t="shared" si="99"/>
        <v>0</v>
      </c>
      <c r="BE182" s="287">
        <f t="shared" si="100"/>
        <v>0</v>
      </c>
      <c r="BF182" s="287">
        <f t="shared" si="101"/>
        <v>0</v>
      </c>
      <c r="BG182" s="287">
        <f t="shared" si="102"/>
        <v>0</v>
      </c>
      <c r="BH182" s="287">
        <f t="shared" si="103"/>
        <v>0</v>
      </c>
      <c r="BI182" s="287">
        <f t="shared" si="104"/>
        <v>0</v>
      </c>
      <c r="BJ182" s="287">
        <f t="shared" si="105"/>
        <v>0</v>
      </c>
      <c r="BK182" s="287">
        <f t="shared" si="106"/>
        <v>0</v>
      </c>
      <c r="BL182" s="287">
        <f t="shared" si="107"/>
        <v>0</v>
      </c>
      <c r="BM182" s="16"/>
      <c r="BN182" s="287">
        <f t="shared" si="108"/>
        <v>0</v>
      </c>
      <c r="BO182" s="287">
        <f t="shared" si="109"/>
        <v>0</v>
      </c>
      <c r="BP182" s="432"/>
      <c r="BQ182" s="21"/>
      <c r="BR182" s="21"/>
      <c r="BS182" s="39"/>
      <c r="BT182" s="39"/>
      <c r="BU182" s="39"/>
      <c r="BV182" s="39"/>
      <c r="BW182" s="39"/>
      <c r="BX182" s="39"/>
      <c r="BY182" s="39"/>
      <c r="BZ182" s="39">
        <v>169</v>
      </c>
      <c r="CA182" s="39" t="str">
        <f t="shared" si="110"/>
        <v/>
      </c>
      <c r="CB182" s="39"/>
      <c r="CC182" s="39"/>
      <c r="CD182" s="39"/>
      <c r="CE182" s="39"/>
      <c r="CF182" s="39"/>
      <c r="CG182" s="39"/>
      <c r="CH182" s="39"/>
      <c r="CI182" s="39"/>
      <c r="CJ182" s="39"/>
      <c r="CK182" s="39"/>
    </row>
    <row r="183" spans="1:89" s="193" customFormat="1">
      <c r="A183" s="195"/>
      <c r="B183" s="21" t="str">
        <f t="shared" si="79"/>
        <v>N/A</v>
      </c>
      <c r="C183" s="21"/>
      <c r="D183" s="432">
        <v>3201210</v>
      </c>
      <c r="E183" s="439" t="s">
        <v>3626</v>
      </c>
      <c r="F183" s="439" t="s">
        <v>3758</v>
      </c>
      <c r="G183" s="273" t="s">
        <v>3303</v>
      </c>
      <c r="H183" s="358"/>
      <c r="I183" s="262" t="s">
        <v>3492</v>
      </c>
      <c r="J183" s="262" t="s">
        <v>3519</v>
      </c>
      <c r="K183" s="263">
        <v>2900000</v>
      </c>
      <c r="L183" s="263">
        <v>0</v>
      </c>
      <c r="M183" s="263">
        <v>0</v>
      </c>
      <c r="N183" s="263">
        <v>0</v>
      </c>
      <c r="O183" s="263">
        <v>0</v>
      </c>
      <c r="P183" s="263">
        <v>0</v>
      </c>
      <c r="Q183" s="263">
        <v>0</v>
      </c>
      <c r="R183" s="263">
        <v>0</v>
      </c>
      <c r="S183" s="263">
        <v>0</v>
      </c>
      <c r="T183" s="263">
        <v>0</v>
      </c>
      <c r="U183" s="263">
        <f t="shared" si="111"/>
        <v>2900000</v>
      </c>
      <c r="V183" s="196" t="str">
        <f t="shared" si="80"/>
        <v>G/LOS</v>
      </c>
      <c r="W183" s="196" t="s">
        <v>1168</v>
      </c>
      <c r="X183" s="196" t="str">
        <f t="shared" si="112"/>
        <v>Y</v>
      </c>
      <c r="Y183" s="197">
        <f t="shared" si="82"/>
        <v>2900000</v>
      </c>
      <c r="Z183" s="198"/>
      <c r="AA183" s="197">
        <f t="shared" si="83"/>
        <v>2900000</v>
      </c>
      <c r="AB183" s="196" t="s">
        <v>1168</v>
      </c>
      <c r="AC183" s="196"/>
      <c r="AD183" s="275">
        <v>0.18585042103579766</v>
      </c>
      <c r="AE183" s="275">
        <v>0.81414957896420248</v>
      </c>
      <c r="AF183" s="275">
        <v>0</v>
      </c>
      <c r="AG183" s="199"/>
      <c r="AH183" s="199"/>
      <c r="AI183" s="377">
        <f t="shared" si="84"/>
        <v>0</v>
      </c>
      <c r="AJ183" s="203"/>
      <c r="AK183" s="203"/>
      <c r="AL183" s="197">
        <f t="shared" si="85"/>
        <v>2900000</v>
      </c>
      <c r="AM183" s="197">
        <f t="shared" si="86"/>
        <v>0</v>
      </c>
      <c r="AN183" s="197">
        <f t="shared" si="87"/>
        <v>0</v>
      </c>
      <c r="AO183" s="202"/>
      <c r="AP183" s="161" t="s">
        <v>3900</v>
      </c>
      <c r="AQ183" s="279"/>
      <c r="AR183" s="287">
        <f t="shared" si="88"/>
        <v>0</v>
      </c>
      <c r="AS183" s="287">
        <f t="shared" si="89"/>
        <v>0</v>
      </c>
      <c r="AT183" s="287">
        <f t="shared" si="90"/>
        <v>0</v>
      </c>
      <c r="AU183" s="287">
        <f t="shared" si="91"/>
        <v>0</v>
      </c>
      <c r="AV183" s="287">
        <f t="shared" si="92"/>
        <v>0</v>
      </c>
      <c r="AW183" s="287">
        <f t="shared" si="93"/>
        <v>0</v>
      </c>
      <c r="AX183" s="287">
        <f t="shared" si="94"/>
        <v>0</v>
      </c>
      <c r="AY183" s="287">
        <f t="shared" si="95"/>
        <v>0</v>
      </c>
      <c r="AZ183" s="287">
        <f t="shared" si="96"/>
        <v>0</v>
      </c>
      <c r="BA183" s="287">
        <f t="shared" si="97"/>
        <v>0</v>
      </c>
      <c r="BB183" s="16"/>
      <c r="BC183" s="287">
        <f t="shared" si="98"/>
        <v>0</v>
      </c>
      <c r="BD183" s="287">
        <f t="shared" si="99"/>
        <v>0</v>
      </c>
      <c r="BE183" s="287">
        <f t="shared" si="100"/>
        <v>0</v>
      </c>
      <c r="BF183" s="287">
        <f t="shared" si="101"/>
        <v>0</v>
      </c>
      <c r="BG183" s="287">
        <f t="shared" si="102"/>
        <v>0</v>
      </c>
      <c r="BH183" s="287">
        <f t="shared" si="103"/>
        <v>0</v>
      </c>
      <c r="BI183" s="287">
        <f t="shared" si="104"/>
        <v>0</v>
      </c>
      <c r="BJ183" s="287">
        <f t="shared" si="105"/>
        <v>0</v>
      </c>
      <c r="BK183" s="287">
        <f t="shared" si="106"/>
        <v>0</v>
      </c>
      <c r="BL183" s="287">
        <f t="shared" si="107"/>
        <v>0</v>
      </c>
      <c r="BM183" s="16"/>
      <c r="BN183" s="287">
        <f t="shared" si="108"/>
        <v>0</v>
      </c>
      <c r="BO183" s="287">
        <f t="shared" si="109"/>
        <v>0</v>
      </c>
      <c r="BP183" s="432"/>
      <c r="BQ183" s="21"/>
      <c r="BR183" s="21"/>
      <c r="BS183" s="39"/>
      <c r="BT183" s="39"/>
      <c r="BU183" s="334">
        <v>225200</v>
      </c>
      <c r="BV183" s="334">
        <v>0</v>
      </c>
      <c r="BW183" s="39"/>
      <c r="BX183" s="39"/>
      <c r="BY183" s="39"/>
      <c r="BZ183" s="39">
        <v>170</v>
      </c>
      <c r="CA183" s="39" t="str">
        <f t="shared" si="110"/>
        <v/>
      </c>
      <c r="CB183" s="39"/>
      <c r="CC183" s="39"/>
      <c r="CD183" s="39"/>
      <c r="CE183" s="39"/>
      <c r="CF183" s="39"/>
      <c r="CG183" s="39"/>
      <c r="CH183" s="39"/>
      <c r="CI183" s="39"/>
      <c r="CJ183" s="39"/>
      <c r="CK183" s="39"/>
    </row>
    <row r="184" spans="1:89" s="193" customFormat="1">
      <c r="A184" s="195"/>
      <c r="B184" s="21" t="str">
        <f t="shared" si="79"/>
        <v>N/A</v>
      </c>
      <c r="C184" s="21"/>
      <c r="D184" s="432">
        <v>3201210</v>
      </c>
      <c r="E184" s="439" t="s">
        <v>3626</v>
      </c>
      <c r="F184" s="439" t="s">
        <v>3757</v>
      </c>
      <c r="G184" s="273" t="s">
        <v>3305</v>
      </c>
      <c r="H184" s="358"/>
      <c r="I184" s="262" t="s">
        <v>3492</v>
      </c>
      <c r="J184" s="262" t="s">
        <v>3515</v>
      </c>
      <c r="K184" s="263">
        <v>15000</v>
      </c>
      <c r="L184" s="263">
        <v>0</v>
      </c>
      <c r="M184" s="263">
        <v>0</v>
      </c>
      <c r="N184" s="263">
        <v>0</v>
      </c>
      <c r="O184" s="263">
        <v>0</v>
      </c>
      <c r="P184" s="263">
        <v>0</v>
      </c>
      <c r="Q184" s="263">
        <v>0</v>
      </c>
      <c r="R184" s="263">
        <v>0</v>
      </c>
      <c r="S184" s="263">
        <v>0</v>
      </c>
      <c r="T184" s="263">
        <v>0</v>
      </c>
      <c r="U184" s="263">
        <f t="shared" si="111"/>
        <v>15000</v>
      </c>
      <c r="V184" s="196" t="str">
        <f t="shared" si="80"/>
        <v>G/LOS</v>
      </c>
      <c r="W184" s="196" t="s">
        <v>1168</v>
      </c>
      <c r="X184" s="196" t="str">
        <f t="shared" si="112"/>
        <v>Y</v>
      </c>
      <c r="Y184" s="197">
        <f t="shared" si="82"/>
        <v>15000</v>
      </c>
      <c r="Z184" s="198"/>
      <c r="AA184" s="197">
        <f t="shared" si="83"/>
        <v>15000</v>
      </c>
      <c r="AB184" s="196" t="s">
        <v>1168</v>
      </c>
      <c r="AC184" s="196"/>
      <c r="AD184" s="275">
        <v>9.571849064277306E-3</v>
      </c>
      <c r="AE184" s="275">
        <v>0.99042815093572267</v>
      </c>
      <c r="AF184" s="275">
        <v>0</v>
      </c>
      <c r="AG184" s="199"/>
      <c r="AH184" s="199"/>
      <c r="AI184" s="377">
        <f t="shared" si="84"/>
        <v>0</v>
      </c>
      <c r="AJ184" s="203"/>
      <c r="AK184" s="203"/>
      <c r="AL184" s="197">
        <f t="shared" si="85"/>
        <v>15000</v>
      </c>
      <c r="AM184" s="197">
        <f t="shared" si="86"/>
        <v>0</v>
      </c>
      <c r="AN184" s="197">
        <f t="shared" si="87"/>
        <v>0</v>
      </c>
      <c r="AO184" s="202"/>
      <c r="AP184" s="161" t="s">
        <v>3900</v>
      </c>
      <c r="AQ184" s="279"/>
      <c r="AR184" s="287">
        <f t="shared" si="88"/>
        <v>0</v>
      </c>
      <c r="AS184" s="287">
        <f t="shared" si="89"/>
        <v>0</v>
      </c>
      <c r="AT184" s="287">
        <f t="shared" si="90"/>
        <v>0</v>
      </c>
      <c r="AU184" s="287">
        <f t="shared" si="91"/>
        <v>0</v>
      </c>
      <c r="AV184" s="287">
        <f t="shared" si="92"/>
        <v>0</v>
      </c>
      <c r="AW184" s="287">
        <f t="shared" si="93"/>
        <v>0</v>
      </c>
      <c r="AX184" s="287">
        <f t="shared" si="94"/>
        <v>0</v>
      </c>
      <c r="AY184" s="287">
        <f t="shared" si="95"/>
        <v>0</v>
      </c>
      <c r="AZ184" s="287">
        <f t="shared" si="96"/>
        <v>0</v>
      </c>
      <c r="BA184" s="287">
        <f t="shared" si="97"/>
        <v>0</v>
      </c>
      <c r="BB184" s="16"/>
      <c r="BC184" s="287">
        <f t="shared" si="98"/>
        <v>0</v>
      </c>
      <c r="BD184" s="287">
        <f t="shared" si="99"/>
        <v>0</v>
      </c>
      <c r="BE184" s="287">
        <f t="shared" si="100"/>
        <v>0</v>
      </c>
      <c r="BF184" s="287">
        <f t="shared" si="101"/>
        <v>0</v>
      </c>
      <c r="BG184" s="287">
        <f t="shared" si="102"/>
        <v>0</v>
      </c>
      <c r="BH184" s="287">
        <f t="shared" si="103"/>
        <v>0</v>
      </c>
      <c r="BI184" s="287">
        <f t="shared" si="104"/>
        <v>0</v>
      </c>
      <c r="BJ184" s="287">
        <f t="shared" si="105"/>
        <v>0</v>
      </c>
      <c r="BK184" s="287">
        <f t="shared" si="106"/>
        <v>0</v>
      </c>
      <c r="BL184" s="287">
        <f t="shared" si="107"/>
        <v>0</v>
      </c>
      <c r="BM184" s="16"/>
      <c r="BN184" s="287">
        <f t="shared" si="108"/>
        <v>0</v>
      </c>
      <c r="BO184" s="287">
        <f t="shared" si="109"/>
        <v>0</v>
      </c>
      <c r="BP184" s="432"/>
      <c r="BQ184" s="21"/>
      <c r="BR184" s="21"/>
      <c r="BS184" s="39"/>
      <c r="BT184" s="39"/>
      <c r="BU184" s="334">
        <v>15620</v>
      </c>
      <c r="BV184" s="334">
        <v>0</v>
      </c>
      <c r="BW184" s="39"/>
      <c r="BX184" s="39"/>
      <c r="BY184" s="39"/>
      <c r="BZ184" s="39">
        <v>171</v>
      </c>
      <c r="CA184" s="39" t="str">
        <f t="shared" si="110"/>
        <v/>
      </c>
      <c r="CB184" s="39"/>
      <c r="CC184" s="39"/>
      <c r="CD184" s="39"/>
      <c r="CE184" s="39"/>
      <c r="CF184" s="39"/>
      <c r="CG184" s="39"/>
      <c r="CH184" s="39"/>
      <c r="CI184" s="39"/>
      <c r="CJ184" s="39"/>
      <c r="CK184" s="39"/>
    </row>
    <row r="185" spans="1:89" s="193" customFormat="1">
      <c r="A185" s="195"/>
      <c r="B185" s="21" t="str">
        <f t="shared" si="79"/>
        <v>N/A</v>
      </c>
      <c r="C185" s="21"/>
      <c r="D185" s="432">
        <v>3201210</v>
      </c>
      <c r="E185" s="439" t="s">
        <v>3626</v>
      </c>
      <c r="F185" s="439" t="s">
        <v>3756</v>
      </c>
      <c r="G185" s="273" t="s">
        <v>3304</v>
      </c>
      <c r="H185" s="358"/>
      <c r="I185" s="262" t="s">
        <v>3492</v>
      </c>
      <c r="J185" s="262" t="s">
        <v>3517</v>
      </c>
      <c r="K185" s="263">
        <v>320000</v>
      </c>
      <c r="L185" s="263">
        <v>0</v>
      </c>
      <c r="M185" s="263">
        <v>0</v>
      </c>
      <c r="N185" s="263">
        <v>0</v>
      </c>
      <c r="O185" s="263">
        <v>0</v>
      </c>
      <c r="P185" s="263">
        <v>0</v>
      </c>
      <c r="Q185" s="263">
        <v>0</v>
      </c>
      <c r="R185" s="263">
        <v>0</v>
      </c>
      <c r="S185" s="263">
        <v>0</v>
      </c>
      <c r="T185" s="263">
        <v>0</v>
      </c>
      <c r="U185" s="263">
        <f t="shared" si="111"/>
        <v>320000</v>
      </c>
      <c r="V185" s="196" t="str">
        <f t="shared" si="80"/>
        <v>G/LOS</v>
      </c>
      <c r="W185" s="196" t="s">
        <v>1168</v>
      </c>
      <c r="X185" s="196" t="str">
        <f t="shared" si="112"/>
        <v>Y</v>
      </c>
      <c r="Y185" s="197">
        <f t="shared" si="82"/>
        <v>320000</v>
      </c>
      <c r="Z185" s="198"/>
      <c r="AA185" s="197">
        <f t="shared" si="83"/>
        <v>320000</v>
      </c>
      <c r="AB185" s="196" t="s">
        <v>1168</v>
      </c>
      <c r="AC185" s="196"/>
      <c r="AD185" s="275">
        <v>0.1032255711417088</v>
      </c>
      <c r="AE185" s="275">
        <v>0.89677442885829117</v>
      </c>
      <c r="AF185" s="275">
        <v>0</v>
      </c>
      <c r="AG185" s="199"/>
      <c r="AH185" s="199"/>
      <c r="AI185" s="377">
        <f t="shared" si="84"/>
        <v>0</v>
      </c>
      <c r="AJ185" s="203"/>
      <c r="AK185" s="203"/>
      <c r="AL185" s="197">
        <f t="shared" si="85"/>
        <v>320000</v>
      </c>
      <c r="AM185" s="197">
        <f t="shared" si="86"/>
        <v>0</v>
      </c>
      <c r="AN185" s="197">
        <f t="shared" si="87"/>
        <v>0</v>
      </c>
      <c r="AO185" s="202"/>
      <c r="AP185" s="161" t="s">
        <v>3900</v>
      </c>
      <c r="AQ185" s="279"/>
      <c r="AR185" s="287">
        <f t="shared" si="88"/>
        <v>0</v>
      </c>
      <c r="AS185" s="287">
        <f t="shared" si="89"/>
        <v>0</v>
      </c>
      <c r="AT185" s="287">
        <f t="shared" si="90"/>
        <v>0</v>
      </c>
      <c r="AU185" s="287">
        <f t="shared" si="91"/>
        <v>0</v>
      </c>
      <c r="AV185" s="287">
        <f t="shared" si="92"/>
        <v>0</v>
      </c>
      <c r="AW185" s="287">
        <f t="shared" si="93"/>
        <v>0</v>
      </c>
      <c r="AX185" s="287">
        <f t="shared" si="94"/>
        <v>0</v>
      </c>
      <c r="AY185" s="287">
        <f t="shared" si="95"/>
        <v>0</v>
      </c>
      <c r="AZ185" s="287">
        <f t="shared" si="96"/>
        <v>0</v>
      </c>
      <c r="BA185" s="287">
        <f t="shared" si="97"/>
        <v>0</v>
      </c>
      <c r="BB185" s="16"/>
      <c r="BC185" s="287">
        <f t="shared" si="98"/>
        <v>0</v>
      </c>
      <c r="BD185" s="287">
        <f t="shared" si="99"/>
        <v>0</v>
      </c>
      <c r="BE185" s="287">
        <f t="shared" si="100"/>
        <v>0</v>
      </c>
      <c r="BF185" s="287">
        <f t="shared" si="101"/>
        <v>0</v>
      </c>
      <c r="BG185" s="287">
        <f t="shared" si="102"/>
        <v>0</v>
      </c>
      <c r="BH185" s="287">
        <f t="shared" si="103"/>
        <v>0</v>
      </c>
      <c r="BI185" s="287">
        <f t="shared" si="104"/>
        <v>0</v>
      </c>
      <c r="BJ185" s="287">
        <f t="shared" si="105"/>
        <v>0</v>
      </c>
      <c r="BK185" s="287">
        <f t="shared" si="106"/>
        <v>0</v>
      </c>
      <c r="BL185" s="287">
        <f t="shared" si="107"/>
        <v>0</v>
      </c>
      <c r="BM185" s="16"/>
      <c r="BN185" s="287">
        <f t="shared" si="108"/>
        <v>0</v>
      </c>
      <c r="BO185" s="287">
        <f t="shared" si="109"/>
        <v>0</v>
      </c>
      <c r="BP185" s="432"/>
      <c r="BQ185" s="21"/>
      <c r="BR185" s="21"/>
      <c r="BS185" s="39"/>
      <c r="BT185" s="39"/>
      <c r="BU185" s="334">
        <v>402500</v>
      </c>
      <c r="BV185" s="334">
        <v>0</v>
      </c>
      <c r="BW185" s="39"/>
      <c r="BX185" s="39"/>
      <c r="BY185" s="39"/>
      <c r="BZ185" s="39">
        <v>172</v>
      </c>
      <c r="CA185" s="39" t="str">
        <f t="shared" si="110"/>
        <v/>
      </c>
      <c r="CB185" s="39"/>
      <c r="CC185" s="39"/>
      <c r="CD185" s="39"/>
      <c r="CE185" s="39"/>
      <c r="CF185" s="39"/>
      <c r="CG185" s="39"/>
      <c r="CH185" s="39"/>
      <c r="CI185" s="39"/>
      <c r="CJ185" s="39"/>
      <c r="CK185" s="39"/>
    </row>
    <row r="186" spans="1:89" s="193" customFormat="1">
      <c r="A186" s="195"/>
      <c r="B186" s="21" t="str">
        <f t="shared" si="79"/>
        <v>N/A</v>
      </c>
      <c r="C186" s="21"/>
      <c r="D186" s="432">
        <v>3201223</v>
      </c>
      <c r="E186" s="439" t="s">
        <v>3626</v>
      </c>
      <c r="F186" s="439" t="s">
        <v>2499</v>
      </c>
      <c r="G186" s="273" t="s">
        <v>3599</v>
      </c>
      <c r="H186" s="358"/>
      <c r="I186" s="262" t="s">
        <v>3532</v>
      </c>
      <c r="J186" s="262" t="s">
        <v>3504</v>
      </c>
      <c r="K186" s="263">
        <v>3428464.02</v>
      </c>
      <c r="L186" s="263">
        <v>198325</v>
      </c>
      <c r="M186" s="263">
        <v>204366</v>
      </c>
      <c r="N186" s="263">
        <v>210496.98</v>
      </c>
      <c r="O186" s="263">
        <v>216811.89</v>
      </c>
      <c r="P186" s="263">
        <v>223316.25</v>
      </c>
      <c r="Q186" s="263">
        <v>230015.73</v>
      </c>
      <c r="R186" s="263">
        <v>236916.21</v>
      </c>
      <c r="S186" s="263">
        <v>244023.69</v>
      </c>
      <c r="T186" s="263">
        <v>251344.4</v>
      </c>
      <c r="U186" s="263">
        <f t="shared" si="111"/>
        <v>5444080.1700000009</v>
      </c>
      <c r="V186" s="196" t="str">
        <f t="shared" si="80"/>
        <v>R</v>
      </c>
      <c r="W186" s="196" t="s">
        <v>1168</v>
      </c>
      <c r="X186" s="196" t="str">
        <f t="shared" si="112"/>
        <v>N</v>
      </c>
      <c r="Y186" s="197">
        <f t="shared" si="82"/>
        <v>5444080.1700000009</v>
      </c>
      <c r="Z186" s="198"/>
      <c r="AA186" s="197">
        <f t="shared" si="83"/>
        <v>5444080.1700000009</v>
      </c>
      <c r="AB186" s="196"/>
      <c r="AC186" s="196"/>
      <c r="AD186" s="275">
        <v>0</v>
      </c>
      <c r="AE186" s="275">
        <v>0</v>
      </c>
      <c r="AF186" s="275">
        <v>1</v>
      </c>
      <c r="AG186" s="199"/>
      <c r="AH186" s="199"/>
      <c r="AI186" s="377">
        <f t="shared" si="84"/>
        <v>0</v>
      </c>
      <c r="AJ186" s="203"/>
      <c r="AK186" s="203"/>
      <c r="AL186" s="197">
        <f t="shared" si="85"/>
        <v>5444080.1700000009</v>
      </c>
      <c r="AM186" s="197">
        <f t="shared" si="86"/>
        <v>0</v>
      </c>
      <c r="AN186" s="197">
        <f t="shared" si="87"/>
        <v>0</v>
      </c>
      <c r="AO186" s="202"/>
      <c r="AP186" s="161" t="s">
        <v>3900</v>
      </c>
      <c r="AQ186" s="279"/>
      <c r="AR186" s="287">
        <f t="shared" si="88"/>
        <v>0</v>
      </c>
      <c r="AS186" s="287">
        <f t="shared" si="89"/>
        <v>0</v>
      </c>
      <c r="AT186" s="287">
        <f t="shared" si="90"/>
        <v>0</v>
      </c>
      <c r="AU186" s="287">
        <f t="shared" si="91"/>
        <v>0</v>
      </c>
      <c r="AV186" s="287">
        <f t="shared" si="92"/>
        <v>0</v>
      </c>
      <c r="AW186" s="287">
        <f t="shared" si="93"/>
        <v>0</v>
      </c>
      <c r="AX186" s="287">
        <f t="shared" si="94"/>
        <v>0</v>
      </c>
      <c r="AY186" s="287">
        <f t="shared" si="95"/>
        <v>0</v>
      </c>
      <c r="AZ186" s="287">
        <f t="shared" si="96"/>
        <v>0</v>
      </c>
      <c r="BA186" s="287">
        <f t="shared" si="97"/>
        <v>0</v>
      </c>
      <c r="BB186" s="16"/>
      <c r="BC186" s="287">
        <f t="shared" si="98"/>
        <v>0</v>
      </c>
      <c r="BD186" s="287">
        <f t="shared" si="99"/>
        <v>0</v>
      </c>
      <c r="BE186" s="287">
        <f t="shared" si="100"/>
        <v>0</v>
      </c>
      <c r="BF186" s="287">
        <f t="shared" si="101"/>
        <v>0</v>
      </c>
      <c r="BG186" s="287">
        <f t="shared" si="102"/>
        <v>0</v>
      </c>
      <c r="BH186" s="287">
        <f t="shared" si="103"/>
        <v>0</v>
      </c>
      <c r="BI186" s="287">
        <f t="shared" si="104"/>
        <v>0</v>
      </c>
      <c r="BJ186" s="287">
        <f t="shared" si="105"/>
        <v>0</v>
      </c>
      <c r="BK186" s="287">
        <f t="shared" si="106"/>
        <v>0</v>
      </c>
      <c r="BL186" s="287">
        <f t="shared" si="107"/>
        <v>0</v>
      </c>
      <c r="BM186" s="16"/>
      <c r="BN186" s="287">
        <f t="shared" si="108"/>
        <v>0</v>
      </c>
      <c r="BO186" s="287">
        <f t="shared" si="109"/>
        <v>0</v>
      </c>
      <c r="BP186" s="432"/>
      <c r="BQ186" s="21"/>
      <c r="BR186" s="21"/>
      <c r="BS186" s="39"/>
      <c r="BT186" s="39"/>
      <c r="BU186" s="334">
        <v>931250</v>
      </c>
      <c r="BV186" s="334">
        <v>0</v>
      </c>
      <c r="BW186" s="39"/>
      <c r="BX186" s="39"/>
      <c r="BY186" s="39"/>
      <c r="BZ186" s="39">
        <v>173</v>
      </c>
      <c r="CA186" s="39" t="str">
        <f t="shared" si="110"/>
        <v/>
      </c>
      <c r="CB186" s="39"/>
      <c r="CC186" s="39"/>
      <c r="CD186" s="39"/>
      <c r="CE186" s="39"/>
      <c r="CF186" s="39"/>
      <c r="CG186" s="39"/>
      <c r="CH186" s="39"/>
      <c r="CI186" s="39"/>
      <c r="CJ186" s="39"/>
      <c r="CK186" s="39"/>
    </row>
    <row r="187" spans="1:89" s="193" customFormat="1">
      <c r="A187" s="195"/>
      <c r="B187" s="21" t="str">
        <f t="shared" si="79"/>
        <v>N/A</v>
      </c>
      <c r="C187" s="21"/>
      <c r="D187" s="432">
        <v>3201308</v>
      </c>
      <c r="E187" s="439" t="s">
        <v>3626</v>
      </c>
      <c r="F187" s="439" t="s">
        <v>2499</v>
      </c>
      <c r="G187" s="273" t="s">
        <v>3573</v>
      </c>
      <c r="H187" s="358"/>
      <c r="I187" s="262" t="s">
        <v>3530</v>
      </c>
      <c r="J187" s="262" t="s">
        <v>3504</v>
      </c>
      <c r="K187" s="263">
        <v>35643000</v>
      </c>
      <c r="L187" s="263">
        <v>0</v>
      </c>
      <c r="M187" s="263">
        <v>0</v>
      </c>
      <c r="N187" s="263">
        <v>0</v>
      </c>
      <c r="O187" s="263">
        <v>0</v>
      </c>
      <c r="P187" s="263">
        <v>15400000</v>
      </c>
      <c r="Q187" s="263">
        <v>15000000</v>
      </c>
      <c r="R187" s="263">
        <v>0</v>
      </c>
      <c r="S187" s="263">
        <v>0</v>
      </c>
      <c r="T187" s="263">
        <v>0</v>
      </c>
      <c r="U187" s="263">
        <f t="shared" si="111"/>
        <v>66043000</v>
      </c>
      <c r="V187" s="196" t="str">
        <f t="shared" si="80"/>
        <v>R</v>
      </c>
      <c r="W187" s="196" t="s">
        <v>1168</v>
      </c>
      <c r="X187" s="196" t="str">
        <f t="shared" si="112"/>
        <v>N</v>
      </c>
      <c r="Y187" s="197">
        <f t="shared" si="82"/>
        <v>66043000</v>
      </c>
      <c r="Z187" s="198"/>
      <c r="AA187" s="197">
        <f t="shared" si="83"/>
        <v>66043000</v>
      </c>
      <c r="AB187" s="196"/>
      <c r="AC187" s="196"/>
      <c r="AD187" s="275">
        <v>0</v>
      </c>
      <c r="AE187" s="275">
        <v>0</v>
      </c>
      <c r="AF187" s="275">
        <v>1</v>
      </c>
      <c r="AG187" s="199"/>
      <c r="AH187" s="199"/>
      <c r="AI187" s="200">
        <f t="shared" si="84"/>
        <v>0</v>
      </c>
      <c r="AJ187" s="203"/>
      <c r="AK187" s="203"/>
      <c r="AL187" s="197">
        <f t="shared" si="85"/>
        <v>66043000</v>
      </c>
      <c r="AM187" s="197">
        <f t="shared" si="86"/>
        <v>0</v>
      </c>
      <c r="AN187" s="197">
        <f t="shared" si="87"/>
        <v>0</v>
      </c>
      <c r="AO187" s="202"/>
      <c r="AP187" s="161" t="s">
        <v>3900</v>
      </c>
      <c r="AQ187" s="279"/>
      <c r="AR187" s="287">
        <f t="shared" si="88"/>
        <v>0</v>
      </c>
      <c r="AS187" s="287">
        <f t="shared" si="89"/>
        <v>0</v>
      </c>
      <c r="AT187" s="287">
        <f t="shared" si="90"/>
        <v>0</v>
      </c>
      <c r="AU187" s="287">
        <f t="shared" si="91"/>
        <v>0</v>
      </c>
      <c r="AV187" s="287">
        <f t="shared" si="92"/>
        <v>0</v>
      </c>
      <c r="AW187" s="287">
        <f t="shared" si="93"/>
        <v>0</v>
      </c>
      <c r="AX187" s="287">
        <f t="shared" si="94"/>
        <v>0</v>
      </c>
      <c r="AY187" s="287">
        <f t="shared" si="95"/>
        <v>0</v>
      </c>
      <c r="AZ187" s="287">
        <f t="shared" si="96"/>
        <v>0</v>
      </c>
      <c r="BA187" s="287">
        <f t="shared" si="97"/>
        <v>0</v>
      </c>
      <c r="BB187" s="16"/>
      <c r="BC187" s="287">
        <f t="shared" si="98"/>
        <v>0</v>
      </c>
      <c r="BD187" s="287">
        <f t="shared" si="99"/>
        <v>0</v>
      </c>
      <c r="BE187" s="287">
        <f t="shared" si="100"/>
        <v>0</v>
      </c>
      <c r="BF187" s="287">
        <f t="shared" si="101"/>
        <v>0</v>
      </c>
      <c r="BG187" s="287">
        <f t="shared" si="102"/>
        <v>0</v>
      </c>
      <c r="BH187" s="287">
        <f t="shared" si="103"/>
        <v>0</v>
      </c>
      <c r="BI187" s="287">
        <f t="shared" si="104"/>
        <v>0</v>
      </c>
      <c r="BJ187" s="287">
        <f t="shared" si="105"/>
        <v>0</v>
      </c>
      <c r="BK187" s="287">
        <f t="shared" si="106"/>
        <v>0</v>
      </c>
      <c r="BL187" s="287">
        <f t="shared" si="107"/>
        <v>0</v>
      </c>
      <c r="BM187" s="16"/>
      <c r="BN187" s="287">
        <f t="shared" si="108"/>
        <v>0</v>
      </c>
      <c r="BO187" s="287">
        <f t="shared" si="109"/>
        <v>0</v>
      </c>
      <c r="BP187" s="432"/>
      <c r="BQ187" s="21"/>
      <c r="BR187" s="21"/>
      <c r="BS187" s="39"/>
      <c r="BT187" s="39"/>
      <c r="BU187" s="39"/>
      <c r="BV187" s="39"/>
      <c r="BW187" s="39"/>
      <c r="BX187" s="39"/>
      <c r="BY187" s="39"/>
      <c r="BZ187" s="39">
        <v>174</v>
      </c>
      <c r="CA187" s="39" t="str">
        <f t="shared" si="110"/>
        <v/>
      </c>
      <c r="CB187" s="39"/>
      <c r="CC187" s="39"/>
      <c r="CD187" s="39"/>
      <c r="CE187" s="39"/>
      <c r="CF187" s="39"/>
      <c r="CG187" s="39"/>
      <c r="CH187" s="39"/>
      <c r="CI187" s="39"/>
      <c r="CJ187" s="39"/>
      <c r="CK187" s="39"/>
    </row>
    <row r="188" spans="1:89" s="193" customFormat="1">
      <c r="A188" s="195"/>
      <c r="B188" s="21" t="str">
        <f t="shared" si="79"/>
        <v>N/A</v>
      </c>
      <c r="C188" s="21"/>
      <c r="D188" s="432">
        <v>3201309</v>
      </c>
      <c r="E188" s="439" t="s">
        <v>3626</v>
      </c>
      <c r="F188" s="439" t="s">
        <v>2499</v>
      </c>
      <c r="G188" s="273" t="s">
        <v>3560</v>
      </c>
      <c r="H188" s="358"/>
      <c r="I188" s="262" t="s">
        <v>3530</v>
      </c>
      <c r="J188" s="262" t="s">
        <v>3504</v>
      </c>
      <c r="K188" s="263">
        <v>699999.96</v>
      </c>
      <c r="L188" s="263">
        <v>500000</v>
      </c>
      <c r="M188" s="263">
        <v>700000</v>
      </c>
      <c r="N188" s="263">
        <v>500000</v>
      </c>
      <c r="O188" s="263">
        <v>700000</v>
      </c>
      <c r="P188" s="263">
        <v>500000</v>
      </c>
      <c r="Q188" s="263">
        <v>700000</v>
      </c>
      <c r="R188" s="263">
        <v>500000</v>
      </c>
      <c r="S188" s="263">
        <v>700000</v>
      </c>
      <c r="T188" s="263">
        <v>500000</v>
      </c>
      <c r="U188" s="263">
        <f t="shared" si="111"/>
        <v>5999999.96</v>
      </c>
      <c r="V188" s="196" t="str">
        <f t="shared" si="80"/>
        <v>R</v>
      </c>
      <c r="W188" s="196" t="s">
        <v>1168</v>
      </c>
      <c r="X188" s="196" t="str">
        <f t="shared" si="112"/>
        <v>N</v>
      </c>
      <c r="Y188" s="197">
        <f t="shared" si="82"/>
        <v>5999999.96</v>
      </c>
      <c r="Z188" s="198"/>
      <c r="AA188" s="197">
        <f t="shared" si="83"/>
        <v>5999999.96</v>
      </c>
      <c r="AB188" s="196"/>
      <c r="AC188" s="196"/>
      <c r="AD188" s="275">
        <v>0</v>
      </c>
      <c r="AE188" s="275">
        <v>0</v>
      </c>
      <c r="AF188" s="275">
        <v>1</v>
      </c>
      <c r="AG188" s="199"/>
      <c r="AH188" s="199"/>
      <c r="AI188" s="200">
        <f t="shared" si="84"/>
        <v>0</v>
      </c>
      <c r="AJ188" s="203"/>
      <c r="AK188" s="203"/>
      <c r="AL188" s="197">
        <f t="shared" si="85"/>
        <v>5999999.96</v>
      </c>
      <c r="AM188" s="197">
        <f t="shared" si="86"/>
        <v>0</v>
      </c>
      <c r="AN188" s="197">
        <f t="shared" si="87"/>
        <v>0</v>
      </c>
      <c r="AO188" s="202"/>
      <c r="AP188" s="161" t="s">
        <v>3900</v>
      </c>
      <c r="AQ188" s="279"/>
      <c r="AR188" s="287">
        <f t="shared" si="88"/>
        <v>0</v>
      </c>
      <c r="AS188" s="287">
        <f t="shared" si="89"/>
        <v>0</v>
      </c>
      <c r="AT188" s="287">
        <f t="shared" si="90"/>
        <v>0</v>
      </c>
      <c r="AU188" s="287">
        <f t="shared" si="91"/>
        <v>0</v>
      </c>
      <c r="AV188" s="287">
        <f t="shared" si="92"/>
        <v>0</v>
      </c>
      <c r="AW188" s="287">
        <f t="shared" si="93"/>
        <v>0</v>
      </c>
      <c r="AX188" s="287">
        <f t="shared" si="94"/>
        <v>0</v>
      </c>
      <c r="AY188" s="287">
        <f t="shared" si="95"/>
        <v>0</v>
      </c>
      <c r="AZ188" s="287">
        <f t="shared" si="96"/>
        <v>0</v>
      </c>
      <c r="BA188" s="287">
        <f t="shared" si="97"/>
        <v>0</v>
      </c>
      <c r="BB188" s="16"/>
      <c r="BC188" s="287">
        <f t="shared" si="98"/>
        <v>0</v>
      </c>
      <c r="BD188" s="287">
        <f t="shared" si="99"/>
        <v>0</v>
      </c>
      <c r="BE188" s="287">
        <f t="shared" si="100"/>
        <v>0</v>
      </c>
      <c r="BF188" s="287">
        <f t="shared" si="101"/>
        <v>0</v>
      </c>
      <c r="BG188" s="287">
        <f t="shared" si="102"/>
        <v>0</v>
      </c>
      <c r="BH188" s="287">
        <f t="shared" si="103"/>
        <v>0</v>
      </c>
      <c r="BI188" s="287">
        <f t="shared" si="104"/>
        <v>0</v>
      </c>
      <c r="BJ188" s="287">
        <f t="shared" si="105"/>
        <v>0</v>
      </c>
      <c r="BK188" s="287">
        <f t="shared" si="106"/>
        <v>0</v>
      </c>
      <c r="BL188" s="287">
        <f t="shared" si="107"/>
        <v>0</v>
      </c>
      <c r="BM188" s="16"/>
      <c r="BN188" s="287">
        <f t="shared" si="108"/>
        <v>0</v>
      </c>
      <c r="BO188" s="287">
        <f t="shared" si="109"/>
        <v>0</v>
      </c>
      <c r="BP188" s="432"/>
      <c r="BQ188" s="21"/>
      <c r="BR188" s="21"/>
      <c r="BS188" s="39"/>
      <c r="BT188" s="39"/>
      <c r="BU188" s="39"/>
      <c r="BV188" s="39"/>
      <c r="BW188" s="39"/>
      <c r="BX188" s="39"/>
      <c r="BY188" s="39"/>
      <c r="BZ188" s="39">
        <v>175</v>
      </c>
      <c r="CA188" s="39" t="str">
        <f t="shared" si="110"/>
        <v/>
      </c>
      <c r="CB188" s="39"/>
      <c r="CC188" s="39"/>
      <c r="CD188" s="39"/>
      <c r="CE188" s="39"/>
      <c r="CF188" s="39"/>
      <c r="CG188" s="39"/>
      <c r="CH188" s="39"/>
      <c r="CI188" s="39"/>
      <c r="CJ188" s="39"/>
      <c r="CK188" s="39"/>
    </row>
    <row r="189" spans="1:89" s="193" customFormat="1">
      <c r="A189" s="195"/>
      <c r="B189" s="21" t="str">
        <f t="shared" si="79"/>
        <v>N/A</v>
      </c>
      <c r="C189" s="21"/>
      <c r="D189" s="432">
        <v>3201310</v>
      </c>
      <c r="E189" s="439" t="s">
        <v>3626</v>
      </c>
      <c r="F189" s="439" t="s">
        <v>2499</v>
      </c>
      <c r="G189" s="273" t="s">
        <v>3561</v>
      </c>
      <c r="H189" s="358"/>
      <c r="I189" s="262" t="s">
        <v>3530</v>
      </c>
      <c r="J189" s="262" t="s">
        <v>3504</v>
      </c>
      <c r="K189" s="263">
        <v>2000000.04</v>
      </c>
      <c r="L189" s="263">
        <v>2000000</v>
      </c>
      <c r="M189" s="263">
        <v>2000000</v>
      </c>
      <c r="N189" s="263">
        <v>2000000</v>
      </c>
      <c r="O189" s="263">
        <v>2000000</v>
      </c>
      <c r="P189" s="263">
        <v>2500000</v>
      </c>
      <c r="Q189" s="263">
        <v>2500000</v>
      </c>
      <c r="R189" s="263">
        <v>2500000</v>
      </c>
      <c r="S189" s="263">
        <v>2500000</v>
      </c>
      <c r="T189" s="263">
        <v>2500000</v>
      </c>
      <c r="U189" s="263">
        <f t="shared" si="111"/>
        <v>22500000.039999999</v>
      </c>
      <c r="V189" s="196" t="str">
        <f t="shared" si="80"/>
        <v>R</v>
      </c>
      <c r="W189" s="196" t="s">
        <v>1168</v>
      </c>
      <c r="X189" s="196" t="str">
        <f t="shared" si="112"/>
        <v>N</v>
      </c>
      <c r="Y189" s="197">
        <f t="shared" si="82"/>
        <v>22500000.039999999</v>
      </c>
      <c r="Z189" s="198"/>
      <c r="AA189" s="197">
        <f t="shared" si="83"/>
        <v>22500000.039999999</v>
      </c>
      <c r="AB189" s="196"/>
      <c r="AC189" s="196"/>
      <c r="AD189" s="275">
        <v>0</v>
      </c>
      <c r="AE189" s="275">
        <v>0</v>
      </c>
      <c r="AF189" s="275">
        <v>1</v>
      </c>
      <c r="AG189" s="199"/>
      <c r="AH189" s="199"/>
      <c r="AI189" s="200">
        <f t="shared" si="84"/>
        <v>0</v>
      </c>
      <c r="AJ189" s="203"/>
      <c r="AK189" s="203"/>
      <c r="AL189" s="197">
        <f t="shared" si="85"/>
        <v>22500000.039999999</v>
      </c>
      <c r="AM189" s="197">
        <f t="shared" si="86"/>
        <v>0</v>
      </c>
      <c r="AN189" s="197">
        <f t="shared" si="87"/>
        <v>0</v>
      </c>
      <c r="AO189" s="202"/>
      <c r="AP189" s="161" t="s">
        <v>3900</v>
      </c>
      <c r="AQ189" s="279"/>
      <c r="AR189" s="287">
        <f t="shared" si="88"/>
        <v>0</v>
      </c>
      <c r="AS189" s="287">
        <f t="shared" si="89"/>
        <v>0</v>
      </c>
      <c r="AT189" s="287">
        <f t="shared" si="90"/>
        <v>0</v>
      </c>
      <c r="AU189" s="287">
        <f t="shared" si="91"/>
        <v>0</v>
      </c>
      <c r="AV189" s="287">
        <f t="shared" si="92"/>
        <v>0</v>
      </c>
      <c r="AW189" s="287">
        <f t="shared" si="93"/>
        <v>0</v>
      </c>
      <c r="AX189" s="287">
        <f t="shared" si="94"/>
        <v>0</v>
      </c>
      <c r="AY189" s="287">
        <f t="shared" si="95"/>
        <v>0</v>
      </c>
      <c r="AZ189" s="287">
        <f t="shared" si="96"/>
        <v>0</v>
      </c>
      <c r="BA189" s="287">
        <f t="shared" si="97"/>
        <v>0</v>
      </c>
      <c r="BB189" s="16"/>
      <c r="BC189" s="287">
        <f t="shared" si="98"/>
        <v>0</v>
      </c>
      <c r="BD189" s="287">
        <f t="shared" si="99"/>
        <v>0</v>
      </c>
      <c r="BE189" s="287">
        <f t="shared" si="100"/>
        <v>0</v>
      </c>
      <c r="BF189" s="287">
        <f t="shared" si="101"/>
        <v>0</v>
      </c>
      <c r="BG189" s="287">
        <f t="shared" si="102"/>
        <v>0</v>
      </c>
      <c r="BH189" s="287">
        <f t="shared" si="103"/>
        <v>0</v>
      </c>
      <c r="BI189" s="287">
        <f t="shared" si="104"/>
        <v>0</v>
      </c>
      <c r="BJ189" s="287">
        <f t="shared" si="105"/>
        <v>0</v>
      </c>
      <c r="BK189" s="287">
        <f t="shared" si="106"/>
        <v>0</v>
      </c>
      <c r="BL189" s="287">
        <f t="shared" si="107"/>
        <v>0</v>
      </c>
      <c r="BM189" s="16"/>
      <c r="BN189" s="287">
        <f t="shared" si="108"/>
        <v>0</v>
      </c>
      <c r="BO189" s="287">
        <f t="shared" si="109"/>
        <v>0</v>
      </c>
      <c r="BP189" s="432"/>
      <c r="BQ189" s="21"/>
      <c r="BR189" s="21"/>
      <c r="BS189" s="39"/>
      <c r="BT189" s="39"/>
      <c r="BU189" s="39"/>
      <c r="BV189" s="39"/>
      <c r="BW189" s="39"/>
      <c r="BX189" s="39"/>
      <c r="BY189" s="39"/>
      <c r="BZ189" s="39">
        <v>176</v>
      </c>
      <c r="CA189" s="39" t="str">
        <f t="shared" si="110"/>
        <v/>
      </c>
      <c r="CB189" s="39"/>
      <c r="CC189" s="39"/>
      <c r="CD189" s="39"/>
      <c r="CE189" s="39"/>
      <c r="CF189" s="39"/>
      <c r="CG189" s="39"/>
      <c r="CH189" s="39"/>
      <c r="CI189" s="39"/>
      <c r="CJ189" s="39"/>
      <c r="CK189" s="39"/>
    </row>
    <row r="190" spans="1:89" s="193" customFormat="1">
      <c r="A190" s="195"/>
      <c r="B190" s="21" t="str">
        <f t="shared" si="79"/>
        <v>N/A</v>
      </c>
      <c r="C190" s="21"/>
      <c r="D190" s="432">
        <v>3201313</v>
      </c>
      <c r="E190" s="439" t="s">
        <v>3626</v>
      </c>
      <c r="F190" s="439" t="s">
        <v>3759</v>
      </c>
      <c r="G190" s="273" t="s">
        <v>3348</v>
      </c>
      <c r="H190" s="358"/>
      <c r="I190" s="262" t="s">
        <v>3492</v>
      </c>
      <c r="J190" s="262" t="s">
        <v>3518</v>
      </c>
      <c r="K190" s="263">
        <v>590000</v>
      </c>
      <c r="L190" s="263">
        <v>700000</v>
      </c>
      <c r="M190" s="263">
        <v>0</v>
      </c>
      <c r="N190" s="263">
        <v>0</v>
      </c>
      <c r="O190" s="263">
        <v>0</v>
      </c>
      <c r="P190" s="263">
        <v>0</v>
      </c>
      <c r="Q190" s="263">
        <v>0</v>
      </c>
      <c r="R190" s="263">
        <v>0</v>
      </c>
      <c r="S190" s="263">
        <v>0</v>
      </c>
      <c r="T190" s="263">
        <v>0</v>
      </c>
      <c r="U190" s="263">
        <f t="shared" si="111"/>
        <v>1290000</v>
      </c>
      <c r="V190" s="196" t="str">
        <f t="shared" si="80"/>
        <v>G/LOS</v>
      </c>
      <c r="W190" s="196" t="s">
        <v>1168</v>
      </c>
      <c r="X190" s="196" t="str">
        <f t="shared" si="112"/>
        <v>Y</v>
      </c>
      <c r="Y190" s="197">
        <f t="shared" si="82"/>
        <v>1290000</v>
      </c>
      <c r="Z190" s="198"/>
      <c r="AA190" s="197">
        <f t="shared" si="83"/>
        <v>1290000</v>
      </c>
      <c r="AB190" s="196" t="s">
        <v>1168</v>
      </c>
      <c r="AC190" s="196"/>
      <c r="AD190" s="275">
        <v>0.20102537694491793</v>
      </c>
      <c r="AE190" s="275">
        <v>0.79897462305508204</v>
      </c>
      <c r="AF190" s="275">
        <v>0</v>
      </c>
      <c r="AG190" s="199"/>
      <c r="AH190" s="199"/>
      <c r="AI190" s="377">
        <f t="shared" si="84"/>
        <v>0</v>
      </c>
      <c r="AJ190" s="203"/>
      <c r="AK190" s="203"/>
      <c r="AL190" s="197">
        <f t="shared" si="85"/>
        <v>1290000</v>
      </c>
      <c r="AM190" s="197">
        <f t="shared" si="86"/>
        <v>0</v>
      </c>
      <c r="AN190" s="197">
        <f t="shared" si="87"/>
        <v>0</v>
      </c>
      <c r="AO190" s="202"/>
      <c r="AP190" s="161" t="s">
        <v>3900</v>
      </c>
      <c r="AQ190" s="279"/>
      <c r="AR190" s="287">
        <f t="shared" si="88"/>
        <v>0</v>
      </c>
      <c r="AS190" s="287">
        <f t="shared" si="89"/>
        <v>0</v>
      </c>
      <c r="AT190" s="287">
        <f t="shared" si="90"/>
        <v>0</v>
      </c>
      <c r="AU190" s="287">
        <f t="shared" si="91"/>
        <v>0</v>
      </c>
      <c r="AV190" s="287">
        <f t="shared" si="92"/>
        <v>0</v>
      </c>
      <c r="AW190" s="287">
        <f t="shared" si="93"/>
        <v>0</v>
      </c>
      <c r="AX190" s="287">
        <f t="shared" si="94"/>
        <v>0</v>
      </c>
      <c r="AY190" s="287">
        <f t="shared" si="95"/>
        <v>0</v>
      </c>
      <c r="AZ190" s="287">
        <f t="shared" si="96"/>
        <v>0</v>
      </c>
      <c r="BA190" s="287">
        <f t="shared" si="97"/>
        <v>0</v>
      </c>
      <c r="BB190" s="16"/>
      <c r="BC190" s="287">
        <f t="shared" si="98"/>
        <v>0</v>
      </c>
      <c r="BD190" s="287">
        <f t="shared" si="99"/>
        <v>0</v>
      </c>
      <c r="BE190" s="287">
        <f t="shared" si="100"/>
        <v>0</v>
      </c>
      <c r="BF190" s="287">
        <f t="shared" si="101"/>
        <v>0</v>
      </c>
      <c r="BG190" s="287">
        <f t="shared" si="102"/>
        <v>0</v>
      </c>
      <c r="BH190" s="287">
        <f t="shared" si="103"/>
        <v>0</v>
      </c>
      <c r="BI190" s="287">
        <f t="shared" si="104"/>
        <v>0</v>
      </c>
      <c r="BJ190" s="287">
        <f t="shared" si="105"/>
        <v>0</v>
      </c>
      <c r="BK190" s="287">
        <f t="shared" si="106"/>
        <v>0</v>
      </c>
      <c r="BL190" s="287">
        <f t="shared" si="107"/>
        <v>0</v>
      </c>
      <c r="BM190" s="16"/>
      <c r="BN190" s="287">
        <f t="shared" si="108"/>
        <v>0</v>
      </c>
      <c r="BO190" s="287">
        <f t="shared" si="109"/>
        <v>0</v>
      </c>
      <c r="BP190" s="432"/>
      <c r="BQ190" s="21"/>
      <c r="BR190" s="21"/>
      <c r="BS190" s="39"/>
      <c r="BT190" s="39"/>
      <c r="BU190" s="334">
        <v>1918800</v>
      </c>
      <c r="BV190" s="334">
        <v>0</v>
      </c>
      <c r="BW190" s="39"/>
      <c r="BX190" s="39"/>
      <c r="BY190" s="39"/>
      <c r="BZ190" s="39">
        <v>177</v>
      </c>
      <c r="CA190" s="39" t="str">
        <f t="shared" si="110"/>
        <v/>
      </c>
      <c r="CB190" s="39"/>
      <c r="CC190" s="39"/>
      <c r="CD190" s="39"/>
      <c r="CE190" s="39"/>
      <c r="CF190" s="39"/>
      <c r="CG190" s="39"/>
      <c r="CH190" s="39"/>
      <c r="CI190" s="39"/>
      <c r="CJ190" s="39"/>
      <c r="CK190" s="39"/>
    </row>
    <row r="191" spans="1:89" s="193" customFormat="1">
      <c r="A191" s="195"/>
      <c r="B191" s="21" t="str">
        <f t="shared" si="79"/>
        <v>N/A</v>
      </c>
      <c r="C191" s="21"/>
      <c r="D191" s="432">
        <v>3201332</v>
      </c>
      <c r="E191" s="439" t="s">
        <v>3626</v>
      </c>
      <c r="F191" s="439" t="s">
        <v>3760</v>
      </c>
      <c r="G191" s="273" t="s">
        <v>3401</v>
      </c>
      <c r="H191" s="358"/>
      <c r="I191" s="262" t="s">
        <v>3492</v>
      </c>
      <c r="J191" s="262" t="s">
        <v>3516</v>
      </c>
      <c r="K191" s="263">
        <v>50000</v>
      </c>
      <c r="L191" s="263">
        <v>496129</v>
      </c>
      <c r="M191" s="263">
        <v>0</v>
      </c>
      <c r="N191" s="263">
        <v>0</v>
      </c>
      <c r="O191" s="263">
        <v>0</v>
      </c>
      <c r="P191" s="263">
        <v>0</v>
      </c>
      <c r="Q191" s="263">
        <v>0</v>
      </c>
      <c r="R191" s="263">
        <v>0</v>
      </c>
      <c r="S191" s="263">
        <v>0</v>
      </c>
      <c r="T191" s="263">
        <v>0</v>
      </c>
      <c r="U191" s="263">
        <f t="shared" si="111"/>
        <v>546129</v>
      </c>
      <c r="V191" s="196" t="str">
        <f t="shared" si="80"/>
        <v>G/LOS</v>
      </c>
      <c r="W191" s="196" t="s">
        <v>1168</v>
      </c>
      <c r="X191" s="196" t="str">
        <f t="shared" si="112"/>
        <v>Y</v>
      </c>
      <c r="Y191" s="197">
        <f t="shared" si="82"/>
        <v>546129</v>
      </c>
      <c r="Z191" s="198"/>
      <c r="AA191" s="197">
        <f t="shared" si="83"/>
        <v>546129</v>
      </c>
      <c r="AB191" s="196" t="s">
        <v>1168</v>
      </c>
      <c r="AC191" s="196"/>
      <c r="AD191" s="275">
        <v>0.72887301386755976</v>
      </c>
      <c r="AE191" s="275">
        <v>0.27112698613244024</v>
      </c>
      <c r="AF191" s="275">
        <v>0</v>
      </c>
      <c r="AG191" s="199"/>
      <c r="AH191" s="199"/>
      <c r="AI191" s="377">
        <f t="shared" si="84"/>
        <v>0</v>
      </c>
      <c r="AJ191" s="203"/>
      <c r="AK191" s="203"/>
      <c r="AL191" s="197">
        <f t="shared" si="85"/>
        <v>546129</v>
      </c>
      <c r="AM191" s="197">
        <f t="shared" si="86"/>
        <v>0</v>
      </c>
      <c r="AN191" s="197">
        <f t="shared" si="87"/>
        <v>0</v>
      </c>
      <c r="AO191" s="202"/>
      <c r="AP191" s="161" t="s">
        <v>3900</v>
      </c>
      <c r="AQ191" s="279"/>
      <c r="AR191" s="287">
        <f t="shared" si="88"/>
        <v>0</v>
      </c>
      <c r="AS191" s="287">
        <f t="shared" si="89"/>
        <v>0</v>
      </c>
      <c r="AT191" s="287">
        <f t="shared" si="90"/>
        <v>0</v>
      </c>
      <c r="AU191" s="287">
        <f t="shared" si="91"/>
        <v>0</v>
      </c>
      <c r="AV191" s="287">
        <f t="shared" si="92"/>
        <v>0</v>
      </c>
      <c r="AW191" s="287">
        <f t="shared" si="93"/>
        <v>0</v>
      </c>
      <c r="AX191" s="287">
        <f t="shared" si="94"/>
        <v>0</v>
      </c>
      <c r="AY191" s="287">
        <f t="shared" si="95"/>
        <v>0</v>
      </c>
      <c r="AZ191" s="287">
        <f t="shared" si="96"/>
        <v>0</v>
      </c>
      <c r="BA191" s="287">
        <f t="shared" si="97"/>
        <v>0</v>
      </c>
      <c r="BB191" s="16"/>
      <c r="BC191" s="287">
        <f t="shared" si="98"/>
        <v>0</v>
      </c>
      <c r="BD191" s="287">
        <f t="shared" si="99"/>
        <v>0</v>
      </c>
      <c r="BE191" s="287">
        <f t="shared" si="100"/>
        <v>0</v>
      </c>
      <c r="BF191" s="287">
        <f t="shared" si="101"/>
        <v>0</v>
      </c>
      <c r="BG191" s="287">
        <f t="shared" si="102"/>
        <v>0</v>
      </c>
      <c r="BH191" s="287">
        <f t="shared" si="103"/>
        <v>0</v>
      </c>
      <c r="BI191" s="287">
        <f t="shared" si="104"/>
        <v>0</v>
      </c>
      <c r="BJ191" s="287">
        <f t="shared" si="105"/>
        <v>0</v>
      </c>
      <c r="BK191" s="287">
        <f t="shared" si="106"/>
        <v>0</v>
      </c>
      <c r="BL191" s="287">
        <f t="shared" si="107"/>
        <v>0</v>
      </c>
      <c r="BM191" s="16"/>
      <c r="BN191" s="287">
        <f t="shared" si="108"/>
        <v>0</v>
      </c>
      <c r="BO191" s="287">
        <f t="shared" si="109"/>
        <v>0</v>
      </c>
      <c r="BP191" s="432"/>
      <c r="BQ191" s="21"/>
      <c r="BR191" s="21"/>
      <c r="BS191" s="39"/>
      <c r="BT191" s="39"/>
      <c r="BU191" s="334">
        <v>66000</v>
      </c>
      <c r="BV191" s="334">
        <v>0</v>
      </c>
      <c r="BW191" s="39"/>
      <c r="BX191" s="39"/>
      <c r="BY191" s="39"/>
      <c r="BZ191" s="39">
        <v>178</v>
      </c>
      <c r="CA191" s="39" t="str">
        <f t="shared" si="110"/>
        <v/>
      </c>
      <c r="CB191" s="39"/>
      <c r="CC191" s="39"/>
      <c r="CD191" s="39"/>
      <c r="CE191" s="39"/>
      <c r="CF191" s="39"/>
      <c r="CG191" s="39"/>
      <c r="CH191" s="39"/>
      <c r="CI191" s="39"/>
      <c r="CJ191" s="39"/>
      <c r="CK191" s="39"/>
    </row>
    <row r="192" spans="1:89" s="193" customFormat="1">
      <c r="A192" s="195"/>
      <c r="B192" s="21" t="str">
        <f t="shared" si="79"/>
        <v>N/A</v>
      </c>
      <c r="C192" s="21"/>
      <c r="D192" s="432">
        <v>3201336</v>
      </c>
      <c r="E192" s="439" t="s">
        <v>3626</v>
      </c>
      <c r="F192" s="439" t="s">
        <v>3762</v>
      </c>
      <c r="G192" s="273" t="s">
        <v>3436</v>
      </c>
      <c r="H192" s="358"/>
      <c r="I192" s="262" t="s">
        <v>3492</v>
      </c>
      <c r="J192" s="262" t="s">
        <v>3504</v>
      </c>
      <c r="K192" s="263">
        <v>0</v>
      </c>
      <c r="L192" s="263">
        <v>0</v>
      </c>
      <c r="M192" s="263">
        <v>0</v>
      </c>
      <c r="N192" s="263">
        <v>0</v>
      </c>
      <c r="O192" s="263">
        <v>0</v>
      </c>
      <c r="P192" s="263">
        <v>1364480</v>
      </c>
      <c r="Q192" s="263">
        <v>0</v>
      </c>
      <c r="R192" s="263">
        <v>0</v>
      </c>
      <c r="S192" s="263">
        <v>0</v>
      </c>
      <c r="T192" s="263">
        <v>0</v>
      </c>
      <c r="U192" s="263">
        <f t="shared" si="111"/>
        <v>1364480</v>
      </c>
      <c r="V192" s="196" t="str">
        <f t="shared" si="80"/>
        <v>LOS</v>
      </c>
      <c r="W192" s="196" t="s">
        <v>1168</v>
      </c>
      <c r="X192" s="196" t="str">
        <f t="shared" si="112"/>
        <v>N</v>
      </c>
      <c r="Y192" s="197">
        <f t="shared" si="82"/>
        <v>1364480</v>
      </c>
      <c r="Z192" s="198"/>
      <c r="AA192" s="197">
        <f t="shared" si="83"/>
        <v>1364480</v>
      </c>
      <c r="AB192" s="196"/>
      <c r="AC192" s="196"/>
      <c r="AD192" s="275">
        <v>0</v>
      </c>
      <c r="AE192" s="275">
        <v>1</v>
      </c>
      <c r="AF192" s="275">
        <v>0</v>
      </c>
      <c r="AG192" s="199"/>
      <c r="AH192" s="199"/>
      <c r="AI192" s="377">
        <f t="shared" si="84"/>
        <v>0</v>
      </c>
      <c r="AJ192" s="203"/>
      <c r="AK192" s="203"/>
      <c r="AL192" s="197">
        <f t="shared" si="85"/>
        <v>1364480</v>
      </c>
      <c r="AM192" s="197">
        <f t="shared" si="86"/>
        <v>0</v>
      </c>
      <c r="AN192" s="197">
        <f t="shared" si="87"/>
        <v>0</v>
      </c>
      <c r="AO192" s="202"/>
      <c r="AP192" s="161" t="s">
        <v>3900</v>
      </c>
      <c r="AQ192" s="279"/>
      <c r="AR192" s="287">
        <f t="shared" si="88"/>
        <v>0</v>
      </c>
      <c r="AS192" s="287">
        <f t="shared" si="89"/>
        <v>0</v>
      </c>
      <c r="AT192" s="287">
        <f t="shared" si="90"/>
        <v>0</v>
      </c>
      <c r="AU192" s="287">
        <f t="shared" si="91"/>
        <v>0</v>
      </c>
      <c r="AV192" s="287">
        <f t="shared" si="92"/>
        <v>0</v>
      </c>
      <c r="AW192" s="287">
        <f t="shared" si="93"/>
        <v>0</v>
      </c>
      <c r="AX192" s="287">
        <f t="shared" si="94"/>
        <v>0</v>
      </c>
      <c r="AY192" s="287">
        <f t="shared" si="95"/>
        <v>0</v>
      </c>
      <c r="AZ192" s="287">
        <f t="shared" si="96"/>
        <v>0</v>
      </c>
      <c r="BA192" s="287">
        <f t="shared" si="97"/>
        <v>0</v>
      </c>
      <c r="BB192" s="16"/>
      <c r="BC192" s="287">
        <f t="shared" si="98"/>
        <v>0</v>
      </c>
      <c r="BD192" s="287">
        <f t="shared" si="99"/>
        <v>0</v>
      </c>
      <c r="BE192" s="287">
        <f t="shared" si="100"/>
        <v>0</v>
      </c>
      <c r="BF192" s="287">
        <f t="shared" si="101"/>
        <v>0</v>
      </c>
      <c r="BG192" s="287">
        <f t="shared" si="102"/>
        <v>0</v>
      </c>
      <c r="BH192" s="287">
        <f t="shared" si="103"/>
        <v>0</v>
      </c>
      <c r="BI192" s="287">
        <f t="shared" si="104"/>
        <v>0</v>
      </c>
      <c r="BJ192" s="287">
        <f t="shared" si="105"/>
        <v>0</v>
      </c>
      <c r="BK192" s="287">
        <f t="shared" si="106"/>
        <v>0</v>
      </c>
      <c r="BL192" s="287">
        <f t="shared" si="107"/>
        <v>0</v>
      </c>
      <c r="BM192" s="16"/>
      <c r="BN192" s="287">
        <f t="shared" si="108"/>
        <v>0</v>
      </c>
      <c r="BO192" s="287">
        <f t="shared" si="109"/>
        <v>0</v>
      </c>
      <c r="BP192" s="432"/>
      <c r="BQ192" s="21"/>
      <c r="BR192" s="21"/>
      <c r="BS192" s="39"/>
      <c r="BT192" s="39"/>
      <c r="BU192" s="334">
        <v>500</v>
      </c>
      <c r="BV192" s="334">
        <v>0</v>
      </c>
      <c r="BW192" s="39"/>
      <c r="BX192" s="39"/>
      <c r="BY192" s="39"/>
      <c r="BZ192" s="39">
        <v>179</v>
      </c>
      <c r="CA192" s="39" t="str">
        <f t="shared" si="110"/>
        <v/>
      </c>
      <c r="CB192" s="39"/>
      <c r="CC192" s="39"/>
      <c r="CD192" s="39"/>
      <c r="CE192" s="39"/>
      <c r="CF192" s="39"/>
      <c r="CG192" s="39"/>
      <c r="CH192" s="39"/>
      <c r="CI192" s="39"/>
      <c r="CJ192" s="39"/>
      <c r="CK192" s="39"/>
    </row>
    <row r="193" spans="1:89" s="193" customFormat="1">
      <c r="A193" s="195"/>
      <c r="B193" s="21" t="str">
        <f t="shared" si="79"/>
        <v>N/A</v>
      </c>
      <c r="C193" s="21"/>
      <c r="D193" s="432">
        <v>3201338</v>
      </c>
      <c r="E193" s="439" t="s">
        <v>3626</v>
      </c>
      <c r="F193" s="439" t="s">
        <v>3763</v>
      </c>
      <c r="G193" s="273" t="s">
        <v>2362</v>
      </c>
      <c r="H193" s="358"/>
      <c r="I193" s="262" t="s">
        <v>3491</v>
      </c>
      <c r="J193" s="262" t="s">
        <v>3504</v>
      </c>
      <c r="K193" s="263">
        <v>37069924.32</v>
      </c>
      <c r="L193" s="263">
        <v>35112404.829999998</v>
      </c>
      <c r="M193" s="263">
        <v>24109498.43</v>
      </c>
      <c r="N193" s="263">
        <v>24976616.800000001</v>
      </c>
      <c r="O193" s="263">
        <v>28262583.59</v>
      </c>
      <c r="P193" s="263">
        <v>30366565.710000001</v>
      </c>
      <c r="Q193" s="263">
        <v>29389798.640000001</v>
      </c>
      <c r="R193" s="263">
        <v>30755234.859999999</v>
      </c>
      <c r="S193" s="263">
        <v>30058367.920000002</v>
      </c>
      <c r="T193" s="263">
        <v>30957894.43</v>
      </c>
      <c r="U193" s="263">
        <f t="shared" si="111"/>
        <v>301058889.53000003</v>
      </c>
      <c r="V193" s="196" t="str">
        <f t="shared" si="80"/>
        <v>LOS/R</v>
      </c>
      <c r="W193" s="196" t="s">
        <v>1168</v>
      </c>
      <c r="X193" s="196" t="str">
        <f t="shared" si="112"/>
        <v>N</v>
      </c>
      <c r="Y193" s="197">
        <f t="shared" si="82"/>
        <v>301058889.53000003</v>
      </c>
      <c r="Z193" s="198"/>
      <c r="AA193" s="197">
        <f t="shared" si="83"/>
        <v>301058889.53000003</v>
      </c>
      <c r="AB193" s="196"/>
      <c r="AC193" s="196"/>
      <c r="AD193" s="275">
        <v>0</v>
      </c>
      <c r="AE193" s="275">
        <v>0.15</v>
      </c>
      <c r="AF193" s="275">
        <v>0.84999999999999987</v>
      </c>
      <c r="AG193" s="442"/>
      <c r="AH193" s="442"/>
      <c r="AI193" s="200">
        <f t="shared" si="84"/>
        <v>0</v>
      </c>
      <c r="AJ193" s="203"/>
      <c r="AK193" s="203"/>
      <c r="AL193" s="197">
        <f t="shared" si="85"/>
        <v>301058889.53000003</v>
      </c>
      <c r="AM193" s="197">
        <f t="shared" si="86"/>
        <v>0</v>
      </c>
      <c r="AN193" s="197">
        <f t="shared" si="87"/>
        <v>0</v>
      </c>
      <c r="AO193" s="202"/>
      <c r="AP193" s="161" t="s">
        <v>3900</v>
      </c>
      <c r="AQ193" s="279"/>
      <c r="AR193" s="287">
        <f t="shared" si="88"/>
        <v>0</v>
      </c>
      <c r="AS193" s="287">
        <f t="shared" si="89"/>
        <v>0</v>
      </c>
      <c r="AT193" s="287">
        <f t="shared" si="90"/>
        <v>0</v>
      </c>
      <c r="AU193" s="287">
        <f t="shared" si="91"/>
        <v>0</v>
      </c>
      <c r="AV193" s="287">
        <f t="shared" si="92"/>
        <v>0</v>
      </c>
      <c r="AW193" s="287">
        <f t="shared" si="93"/>
        <v>0</v>
      </c>
      <c r="AX193" s="287">
        <f t="shared" si="94"/>
        <v>0</v>
      </c>
      <c r="AY193" s="287">
        <f t="shared" si="95"/>
        <v>0</v>
      </c>
      <c r="AZ193" s="287">
        <f t="shared" si="96"/>
        <v>0</v>
      </c>
      <c r="BA193" s="287">
        <f t="shared" si="97"/>
        <v>0</v>
      </c>
      <c r="BB193" s="16"/>
      <c r="BC193" s="287">
        <f t="shared" si="98"/>
        <v>0</v>
      </c>
      <c r="BD193" s="287">
        <f t="shared" si="99"/>
        <v>0</v>
      </c>
      <c r="BE193" s="287">
        <f t="shared" si="100"/>
        <v>0</v>
      </c>
      <c r="BF193" s="287">
        <f t="shared" si="101"/>
        <v>0</v>
      </c>
      <c r="BG193" s="287">
        <f t="shared" si="102"/>
        <v>0</v>
      </c>
      <c r="BH193" s="287">
        <f t="shared" si="103"/>
        <v>0</v>
      </c>
      <c r="BI193" s="287">
        <f t="shared" si="104"/>
        <v>0</v>
      </c>
      <c r="BJ193" s="287">
        <f t="shared" si="105"/>
        <v>0</v>
      </c>
      <c r="BK193" s="287">
        <f t="shared" si="106"/>
        <v>0</v>
      </c>
      <c r="BL193" s="287">
        <f t="shared" si="107"/>
        <v>0</v>
      </c>
      <c r="BM193" s="16"/>
      <c r="BN193" s="287">
        <f t="shared" si="108"/>
        <v>0</v>
      </c>
      <c r="BO193" s="287">
        <f t="shared" si="109"/>
        <v>0</v>
      </c>
      <c r="BP193" s="432"/>
      <c r="BQ193" s="21"/>
      <c r="BR193" s="21"/>
      <c r="BS193" s="39"/>
      <c r="BT193" s="39"/>
      <c r="BU193" s="39"/>
      <c r="BV193" s="39"/>
      <c r="BW193" s="39"/>
      <c r="BX193" s="39"/>
      <c r="BY193" s="39"/>
      <c r="BZ193" s="39">
        <v>180</v>
      </c>
      <c r="CA193" s="39" t="str">
        <f t="shared" si="110"/>
        <v/>
      </c>
      <c r="CB193" s="39"/>
      <c r="CC193" s="39"/>
      <c r="CD193" s="39"/>
      <c r="CE193" s="39"/>
      <c r="CF193" s="39"/>
      <c r="CG193" s="39"/>
      <c r="CH193" s="39"/>
      <c r="CI193" s="39"/>
      <c r="CJ193" s="39"/>
      <c r="CK193" s="39"/>
    </row>
    <row r="194" spans="1:89" s="193" customFormat="1">
      <c r="A194" s="195"/>
      <c r="B194" s="21" t="str">
        <f t="shared" si="79"/>
        <v>N/A</v>
      </c>
      <c r="C194" s="21"/>
      <c r="D194" s="432">
        <v>3201411</v>
      </c>
      <c r="E194" s="439" t="s">
        <v>3626</v>
      </c>
      <c r="F194" s="439" t="s">
        <v>3471</v>
      </c>
      <c r="G194" s="273" t="s">
        <v>3313</v>
      </c>
      <c r="H194" s="358"/>
      <c r="I194" s="262" t="s">
        <v>3493</v>
      </c>
      <c r="J194" s="262" t="s">
        <v>3504</v>
      </c>
      <c r="K194" s="263">
        <v>1000000</v>
      </c>
      <c r="L194" s="263">
        <v>0</v>
      </c>
      <c r="M194" s="263">
        <v>0</v>
      </c>
      <c r="N194" s="263">
        <v>0</v>
      </c>
      <c r="O194" s="263">
        <v>0</v>
      </c>
      <c r="P194" s="263">
        <v>0</v>
      </c>
      <c r="Q194" s="263">
        <v>0</v>
      </c>
      <c r="R194" s="263">
        <v>0</v>
      </c>
      <c r="S194" s="263">
        <v>0</v>
      </c>
      <c r="T194" s="263">
        <v>0</v>
      </c>
      <c r="U194" s="263">
        <f t="shared" si="111"/>
        <v>1000000</v>
      </c>
      <c r="V194" s="196" t="str">
        <f t="shared" si="80"/>
        <v>R</v>
      </c>
      <c r="W194" s="196" t="s">
        <v>1168</v>
      </c>
      <c r="X194" s="196" t="str">
        <f t="shared" si="112"/>
        <v>N</v>
      </c>
      <c r="Y194" s="197">
        <f t="shared" si="82"/>
        <v>1000000</v>
      </c>
      <c r="Z194" s="198"/>
      <c r="AA194" s="197">
        <f t="shared" si="83"/>
        <v>1000000</v>
      </c>
      <c r="AB194" s="196"/>
      <c r="AC194" s="196"/>
      <c r="AD194" s="275">
        <v>0</v>
      </c>
      <c r="AE194" s="275">
        <v>0</v>
      </c>
      <c r="AF194" s="275">
        <v>1</v>
      </c>
      <c r="AG194" s="199"/>
      <c r="AH194" s="199"/>
      <c r="AI194" s="377">
        <f t="shared" si="84"/>
        <v>0</v>
      </c>
      <c r="AJ194" s="203"/>
      <c r="AK194" s="203"/>
      <c r="AL194" s="197">
        <f t="shared" si="85"/>
        <v>1000000</v>
      </c>
      <c r="AM194" s="197">
        <f t="shared" si="86"/>
        <v>0</v>
      </c>
      <c r="AN194" s="197">
        <f t="shared" si="87"/>
        <v>0</v>
      </c>
      <c r="AO194" s="202"/>
      <c r="AP194" s="161" t="s">
        <v>3900</v>
      </c>
      <c r="AQ194" s="279"/>
      <c r="AR194" s="287">
        <f t="shared" si="88"/>
        <v>0</v>
      </c>
      <c r="AS194" s="287">
        <f t="shared" si="89"/>
        <v>0</v>
      </c>
      <c r="AT194" s="287">
        <f t="shared" si="90"/>
        <v>0</v>
      </c>
      <c r="AU194" s="287">
        <f t="shared" si="91"/>
        <v>0</v>
      </c>
      <c r="AV194" s="287">
        <f t="shared" si="92"/>
        <v>0</v>
      </c>
      <c r="AW194" s="287">
        <f t="shared" si="93"/>
        <v>0</v>
      </c>
      <c r="AX194" s="287">
        <f t="shared" si="94"/>
        <v>0</v>
      </c>
      <c r="AY194" s="287">
        <f t="shared" si="95"/>
        <v>0</v>
      </c>
      <c r="AZ194" s="287">
        <f t="shared" si="96"/>
        <v>0</v>
      </c>
      <c r="BA194" s="287">
        <f t="shared" si="97"/>
        <v>0</v>
      </c>
      <c r="BB194" s="16"/>
      <c r="BC194" s="287">
        <f t="shared" si="98"/>
        <v>0</v>
      </c>
      <c r="BD194" s="287">
        <f t="shared" si="99"/>
        <v>0</v>
      </c>
      <c r="BE194" s="287">
        <f t="shared" si="100"/>
        <v>0</v>
      </c>
      <c r="BF194" s="287">
        <f t="shared" si="101"/>
        <v>0</v>
      </c>
      <c r="BG194" s="287">
        <f t="shared" si="102"/>
        <v>0</v>
      </c>
      <c r="BH194" s="287">
        <f t="shared" si="103"/>
        <v>0</v>
      </c>
      <c r="BI194" s="287">
        <f t="shared" si="104"/>
        <v>0</v>
      </c>
      <c r="BJ194" s="287">
        <f t="shared" si="105"/>
        <v>0</v>
      </c>
      <c r="BK194" s="287">
        <f t="shared" si="106"/>
        <v>0</v>
      </c>
      <c r="BL194" s="287">
        <f t="shared" si="107"/>
        <v>0</v>
      </c>
      <c r="BM194" s="16"/>
      <c r="BN194" s="287">
        <f t="shared" si="108"/>
        <v>0</v>
      </c>
      <c r="BO194" s="287">
        <f t="shared" si="109"/>
        <v>0</v>
      </c>
      <c r="BP194" s="432"/>
      <c r="BQ194" s="21"/>
      <c r="BR194" s="21"/>
      <c r="BS194" s="39"/>
      <c r="BT194" s="39"/>
      <c r="BU194" s="334">
        <v>76500</v>
      </c>
      <c r="BV194" s="334">
        <v>0</v>
      </c>
      <c r="BW194" s="39"/>
      <c r="BX194" s="39"/>
      <c r="BY194" s="39"/>
      <c r="BZ194" s="39">
        <v>181</v>
      </c>
      <c r="CA194" s="39" t="str">
        <f t="shared" si="110"/>
        <v/>
      </c>
      <c r="CB194" s="39"/>
      <c r="CC194" s="39"/>
      <c r="CD194" s="39"/>
      <c r="CE194" s="39"/>
      <c r="CF194" s="39"/>
      <c r="CG194" s="39"/>
      <c r="CH194" s="39"/>
      <c r="CI194" s="39"/>
      <c r="CJ194" s="39"/>
      <c r="CK194" s="39"/>
    </row>
    <row r="195" spans="1:89" s="193" customFormat="1">
      <c r="A195" s="195"/>
      <c r="B195" s="21" t="str">
        <f t="shared" si="79"/>
        <v>N/A</v>
      </c>
      <c r="C195" s="21"/>
      <c r="D195" s="432">
        <v>3201411</v>
      </c>
      <c r="E195" s="439" t="s">
        <v>3626</v>
      </c>
      <c r="F195" s="439" t="s">
        <v>3764</v>
      </c>
      <c r="G195" s="273" t="s">
        <v>3312</v>
      </c>
      <c r="H195" s="358"/>
      <c r="I195" s="262" t="s">
        <v>3493</v>
      </c>
      <c r="J195" s="262" t="s">
        <v>3504</v>
      </c>
      <c r="K195" s="263">
        <v>2762214</v>
      </c>
      <c r="L195" s="263">
        <v>2842318</v>
      </c>
      <c r="M195" s="263">
        <v>2927588</v>
      </c>
      <c r="N195" s="263">
        <v>3018343</v>
      </c>
      <c r="O195" s="263">
        <v>3117949</v>
      </c>
      <c r="P195" s="263">
        <v>3223959</v>
      </c>
      <c r="Q195" s="263">
        <v>3340020</v>
      </c>
      <c r="R195" s="263">
        <v>3383041</v>
      </c>
      <c r="S195" s="263">
        <v>3425971</v>
      </c>
      <c r="T195" s="263">
        <v>3468770</v>
      </c>
      <c r="U195" s="263">
        <f t="shared" si="111"/>
        <v>31510173</v>
      </c>
      <c r="V195" s="196" t="str">
        <f t="shared" si="80"/>
        <v>R</v>
      </c>
      <c r="W195" s="196" t="s">
        <v>1168</v>
      </c>
      <c r="X195" s="196" t="str">
        <f t="shared" si="112"/>
        <v>N</v>
      </c>
      <c r="Y195" s="197">
        <f t="shared" si="82"/>
        <v>31510173</v>
      </c>
      <c r="Z195" s="198"/>
      <c r="AA195" s="197">
        <f t="shared" si="83"/>
        <v>31510173</v>
      </c>
      <c r="AB195" s="196"/>
      <c r="AC195" s="196"/>
      <c r="AD195" s="275">
        <v>0</v>
      </c>
      <c r="AE195" s="275">
        <v>0</v>
      </c>
      <c r="AF195" s="275">
        <v>1</v>
      </c>
      <c r="AG195" s="199"/>
      <c r="AH195" s="199"/>
      <c r="AI195" s="377">
        <f t="shared" si="84"/>
        <v>0</v>
      </c>
      <c r="AJ195" s="203"/>
      <c r="AK195" s="203"/>
      <c r="AL195" s="197">
        <f t="shared" si="85"/>
        <v>31510173</v>
      </c>
      <c r="AM195" s="197">
        <f t="shared" si="86"/>
        <v>0</v>
      </c>
      <c r="AN195" s="197">
        <f t="shared" si="87"/>
        <v>0</v>
      </c>
      <c r="AO195" s="202"/>
      <c r="AP195" s="161" t="s">
        <v>3900</v>
      </c>
      <c r="AQ195" s="279"/>
      <c r="AR195" s="287">
        <f t="shared" si="88"/>
        <v>0</v>
      </c>
      <c r="AS195" s="287">
        <f t="shared" si="89"/>
        <v>0</v>
      </c>
      <c r="AT195" s="287">
        <f t="shared" si="90"/>
        <v>0</v>
      </c>
      <c r="AU195" s="287">
        <f t="shared" si="91"/>
        <v>0</v>
      </c>
      <c r="AV195" s="287">
        <f t="shared" si="92"/>
        <v>0</v>
      </c>
      <c r="AW195" s="287">
        <f t="shared" si="93"/>
        <v>0</v>
      </c>
      <c r="AX195" s="287">
        <f t="shared" si="94"/>
        <v>0</v>
      </c>
      <c r="AY195" s="287">
        <f t="shared" si="95"/>
        <v>0</v>
      </c>
      <c r="AZ195" s="287">
        <f t="shared" si="96"/>
        <v>0</v>
      </c>
      <c r="BA195" s="287">
        <f t="shared" si="97"/>
        <v>0</v>
      </c>
      <c r="BB195" s="16"/>
      <c r="BC195" s="287">
        <f t="shared" si="98"/>
        <v>0</v>
      </c>
      <c r="BD195" s="287">
        <f t="shared" si="99"/>
        <v>0</v>
      </c>
      <c r="BE195" s="287">
        <f t="shared" si="100"/>
        <v>0</v>
      </c>
      <c r="BF195" s="287">
        <f t="shared" si="101"/>
        <v>0</v>
      </c>
      <c r="BG195" s="287">
        <f t="shared" si="102"/>
        <v>0</v>
      </c>
      <c r="BH195" s="287">
        <f t="shared" si="103"/>
        <v>0</v>
      </c>
      <c r="BI195" s="287">
        <f t="shared" si="104"/>
        <v>0</v>
      </c>
      <c r="BJ195" s="287">
        <f t="shared" si="105"/>
        <v>0</v>
      </c>
      <c r="BK195" s="287">
        <f t="shared" si="106"/>
        <v>0</v>
      </c>
      <c r="BL195" s="287">
        <f t="shared" si="107"/>
        <v>0</v>
      </c>
      <c r="BM195" s="16"/>
      <c r="BN195" s="287">
        <f t="shared" si="108"/>
        <v>0</v>
      </c>
      <c r="BO195" s="287">
        <f t="shared" si="109"/>
        <v>0</v>
      </c>
      <c r="BP195" s="432"/>
      <c r="BQ195" s="21"/>
      <c r="BR195" s="21"/>
      <c r="BS195" s="39"/>
      <c r="BT195" s="39"/>
      <c r="BU195" s="334">
        <v>9000</v>
      </c>
      <c r="BV195" s="334">
        <v>0</v>
      </c>
      <c r="BW195" s="39"/>
      <c r="BX195" s="39"/>
      <c r="BY195" s="39"/>
      <c r="BZ195" s="39">
        <v>182</v>
      </c>
      <c r="CA195" s="39" t="str">
        <f t="shared" si="110"/>
        <v/>
      </c>
      <c r="CB195" s="39"/>
      <c r="CC195" s="39"/>
      <c r="CD195" s="39"/>
      <c r="CE195" s="39"/>
      <c r="CF195" s="39"/>
      <c r="CG195" s="39"/>
      <c r="CH195" s="39"/>
      <c r="CI195" s="39"/>
      <c r="CJ195" s="39"/>
      <c r="CK195" s="39"/>
    </row>
    <row r="196" spans="1:89" s="193" customFormat="1">
      <c r="A196" s="195"/>
      <c r="B196" s="21" t="str">
        <f t="shared" si="79"/>
        <v>N/A</v>
      </c>
      <c r="C196" s="21"/>
      <c r="D196" s="432">
        <v>3201420</v>
      </c>
      <c r="E196" s="439" t="s">
        <v>3626</v>
      </c>
      <c r="F196" s="439" t="s">
        <v>2499</v>
      </c>
      <c r="G196" s="273" t="s">
        <v>3564</v>
      </c>
      <c r="H196" s="358"/>
      <c r="I196" s="262" t="s">
        <v>3530</v>
      </c>
      <c r="J196" s="262" t="s">
        <v>3504</v>
      </c>
      <c r="K196" s="263">
        <v>2765000.04</v>
      </c>
      <c r="L196" s="263">
        <v>1266000</v>
      </c>
      <c r="M196" s="263">
        <v>2486000</v>
      </c>
      <c r="N196" s="263">
        <v>1018000</v>
      </c>
      <c r="O196" s="263">
        <v>893000</v>
      </c>
      <c r="P196" s="263">
        <v>1958000</v>
      </c>
      <c r="Q196" s="263">
        <v>2911000</v>
      </c>
      <c r="R196" s="263">
        <v>2804000</v>
      </c>
      <c r="S196" s="263">
        <v>753000</v>
      </c>
      <c r="T196" s="263">
        <v>681000</v>
      </c>
      <c r="U196" s="263">
        <f t="shared" si="111"/>
        <v>17535000.039999999</v>
      </c>
      <c r="V196" s="196" t="str">
        <f t="shared" si="80"/>
        <v>R</v>
      </c>
      <c r="W196" s="196" t="s">
        <v>1168</v>
      </c>
      <c r="X196" s="196" t="str">
        <f t="shared" si="112"/>
        <v>N</v>
      </c>
      <c r="Y196" s="197">
        <f t="shared" si="82"/>
        <v>17535000.039999999</v>
      </c>
      <c r="Z196" s="198"/>
      <c r="AA196" s="197">
        <f t="shared" si="83"/>
        <v>17535000.039999999</v>
      </c>
      <c r="AB196" s="196"/>
      <c r="AC196" s="196"/>
      <c r="AD196" s="275">
        <v>0</v>
      </c>
      <c r="AE196" s="275">
        <v>0</v>
      </c>
      <c r="AF196" s="275">
        <v>1</v>
      </c>
      <c r="AG196" s="199"/>
      <c r="AH196" s="199"/>
      <c r="AI196" s="200">
        <f t="shared" si="84"/>
        <v>0</v>
      </c>
      <c r="AJ196" s="203"/>
      <c r="AK196" s="203"/>
      <c r="AL196" s="197">
        <f t="shared" si="85"/>
        <v>17535000.039999999</v>
      </c>
      <c r="AM196" s="197">
        <f t="shared" si="86"/>
        <v>0</v>
      </c>
      <c r="AN196" s="197">
        <f t="shared" si="87"/>
        <v>0</v>
      </c>
      <c r="AO196" s="202"/>
      <c r="AP196" s="161" t="s">
        <v>3900</v>
      </c>
      <c r="AQ196" s="279"/>
      <c r="AR196" s="287">
        <f t="shared" si="88"/>
        <v>0</v>
      </c>
      <c r="AS196" s="287">
        <f t="shared" si="89"/>
        <v>0</v>
      </c>
      <c r="AT196" s="287">
        <f t="shared" si="90"/>
        <v>0</v>
      </c>
      <c r="AU196" s="287">
        <f t="shared" si="91"/>
        <v>0</v>
      </c>
      <c r="AV196" s="287">
        <f t="shared" si="92"/>
        <v>0</v>
      </c>
      <c r="AW196" s="287">
        <f t="shared" si="93"/>
        <v>0</v>
      </c>
      <c r="AX196" s="287">
        <f t="shared" si="94"/>
        <v>0</v>
      </c>
      <c r="AY196" s="287">
        <f t="shared" si="95"/>
        <v>0</v>
      </c>
      <c r="AZ196" s="287">
        <f t="shared" si="96"/>
        <v>0</v>
      </c>
      <c r="BA196" s="287">
        <f t="shared" si="97"/>
        <v>0</v>
      </c>
      <c r="BB196" s="16"/>
      <c r="BC196" s="287">
        <f t="shared" si="98"/>
        <v>0</v>
      </c>
      <c r="BD196" s="287">
        <f t="shared" si="99"/>
        <v>0</v>
      </c>
      <c r="BE196" s="287">
        <f t="shared" si="100"/>
        <v>0</v>
      </c>
      <c r="BF196" s="287">
        <f t="shared" si="101"/>
        <v>0</v>
      </c>
      <c r="BG196" s="287">
        <f t="shared" si="102"/>
        <v>0</v>
      </c>
      <c r="BH196" s="287">
        <f t="shared" si="103"/>
        <v>0</v>
      </c>
      <c r="BI196" s="287">
        <f t="shared" si="104"/>
        <v>0</v>
      </c>
      <c r="BJ196" s="287">
        <f t="shared" si="105"/>
        <v>0</v>
      </c>
      <c r="BK196" s="287">
        <f t="shared" si="106"/>
        <v>0</v>
      </c>
      <c r="BL196" s="287">
        <f t="shared" si="107"/>
        <v>0</v>
      </c>
      <c r="BM196" s="16"/>
      <c r="BN196" s="287">
        <f t="shared" si="108"/>
        <v>0</v>
      </c>
      <c r="BO196" s="287">
        <f t="shared" si="109"/>
        <v>0</v>
      </c>
      <c r="BP196" s="432"/>
      <c r="BQ196" s="21"/>
      <c r="BR196" s="21"/>
      <c r="BS196" s="39"/>
      <c r="BT196" s="39"/>
      <c r="BU196" s="39"/>
      <c r="BV196" s="39"/>
      <c r="BW196" s="39"/>
      <c r="BX196" s="39"/>
      <c r="BY196" s="39"/>
      <c r="BZ196" s="39">
        <v>183</v>
      </c>
      <c r="CA196" s="39" t="str">
        <f t="shared" si="110"/>
        <v/>
      </c>
      <c r="CB196" s="39"/>
      <c r="CC196" s="39"/>
      <c r="CD196" s="39"/>
      <c r="CE196" s="39"/>
      <c r="CF196" s="39"/>
      <c r="CG196" s="39"/>
      <c r="CH196" s="39"/>
      <c r="CI196" s="39"/>
      <c r="CJ196" s="39"/>
      <c r="CK196" s="39"/>
    </row>
    <row r="197" spans="1:89" s="193" customFormat="1">
      <c r="A197" s="195"/>
      <c r="B197" s="21" t="str">
        <f t="shared" si="79"/>
        <v>N/A</v>
      </c>
      <c r="C197" s="21"/>
      <c r="D197" s="432">
        <v>3201421</v>
      </c>
      <c r="E197" s="439" t="s">
        <v>3626</v>
      </c>
      <c r="F197" s="439" t="s">
        <v>2499</v>
      </c>
      <c r="G197" s="273" t="s">
        <v>3577</v>
      </c>
      <c r="H197" s="358"/>
      <c r="I197" s="262" t="s">
        <v>3531</v>
      </c>
      <c r="J197" s="262" t="s">
        <v>3504</v>
      </c>
      <c r="K197" s="263">
        <v>1848044.04</v>
      </c>
      <c r="L197" s="263">
        <v>0</v>
      </c>
      <c r="M197" s="263">
        <v>0</v>
      </c>
      <c r="N197" s="263">
        <v>0</v>
      </c>
      <c r="O197" s="263">
        <v>0</v>
      </c>
      <c r="P197" s="263">
        <v>0</v>
      </c>
      <c r="Q197" s="263">
        <v>0</v>
      </c>
      <c r="R197" s="263">
        <v>0</v>
      </c>
      <c r="S197" s="263">
        <v>0</v>
      </c>
      <c r="T197" s="263">
        <v>0</v>
      </c>
      <c r="U197" s="263">
        <f t="shared" si="111"/>
        <v>1848044.04</v>
      </c>
      <c r="V197" s="196" t="str">
        <f t="shared" si="80"/>
        <v>LOS</v>
      </c>
      <c r="W197" s="196" t="s">
        <v>1168</v>
      </c>
      <c r="X197" s="196" t="str">
        <f t="shared" si="112"/>
        <v>N</v>
      </c>
      <c r="Y197" s="197">
        <f t="shared" si="82"/>
        <v>1848044.04</v>
      </c>
      <c r="Z197" s="198"/>
      <c r="AA197" s="197">
        <f t="shared" si="83"/>
        <v>1848044.04</v>
      </c>
      <c r="AB197" s="196"/>
      <c r="AC197" s="196"/>
      <c r="AD197" s="275">
        <v>0</v>
      </c>
      <c r="AE197" s="275">
        <v>1</v>
      </c>
      <c r="AF197" s="275">
        <v>0</v>
      </c>
      <c r="AG197" s="442"/>
      <c r="AH197" s="442"/>
      <c r="AI197" s="200">
        <f t="shared" si="84"/>
        <v>0</v>
      </c>
      <c r="AJ197" s="203"/>
      <c r="AK197" s="203"/>
      <c r="AL197" s="197">
        <f t="shared" si="85"/>
        <v>1848044.04</v>
      </c>
      <c r="AM197" s="197">
        <f t="shared" si="86"/>
        <v>0</v>
      </c>
      <c r="AN197" s="197">
        <f t="shared" si="87"/>
        <v>0</v>
      </c>
      <c r="AO197" s="202"/>
      <c r="AP197" s="161" t="s">
        <v>3900</v>
      </c>
      <c r="AQ197" s="279"/>
      <c r="AR197" s="287">
        <f t="shared" si="88"/>
        <v>0</v>
      </c>
      <c r="AS197" s="287">
        <f t="shared" si="89"/>
        <v>0</v>
      </c>
      <c r="AT197" s="287">
        <f t="shared" si="90"/>
        <v>0</v>
      </c>
      <c r="AU197" s="287">
        <f t="shared" si="91"/>
        <v>0</v>
      </c>
      <c r="AV197" s="287">
        <f t="shared" si="92"/>
        <v>0</v>
      </c>
      <c r="AW197" s="287">
        <f t="shared" si="93"/>
        <v>0</v>
      </c>
      <c r="AX197" s="287">
        <f t="shared" si="94"/>
        <v>0</v>
      </c>
      <c r="AY197" s="287">
        <f t="shared" si="95"/>
        <v>0</v>
      </c>
      <c r="AZ197" s="287">
        <f t="shared" si="96"/>
        <v>0</v>
      </c>
      <c r="BA197" s="287">
        <f t="shared" si="97"/>
        <v>0</v>
      </c>
      <c r="BB197" s="16"/>
      <c r="BC197" s="287">
        <f t="shared" si="98"/>
        <v>0</v>
      </c>
      <c r="BD197" s="287">
        <f t="shared" si="99"/>
        <v>0</v>
      </c>
      <c r="BE197" s="287">
        <f t="shared" si="100"/>
        <v>0</v>
      </c>
      <c r="BF197" s="287">
        <f t="shared" si="101"/>
        <v>0</v>
      </c>
      <c r="BG197" s="287">
        <f t="shared" si="102"/>
        <v>0</v>
      </c>
      <c r="BH197" s="287">
        <f t="shared" si="103"/>
        <v>0</v>
      </c>
      <c r="BI197" s="287">
        <f t="shared" si="104"/>
        <v>0</v>
      </c>
      <c r="BJ197" s="287">
        <f t="shared" si="105"/>
        <v>0</v>
      </c>
      <c r="BK197" s="287">
        <f t="shared" si="106"/>
        <v>0</v>
      </c>
      <c r="BL197" s="287">
        <f t="shared" si="107"/>
        <v>0</v>
      </c>
      <c r="BM197" s="16"/>
      <c r="BN197" s="287">
        <f t="shared" si="108"/>
        <v>0</v>
      </c>
      <c r="BO197" s="287">
        <f t="shared" si="109"/>
        <v>0</v>
      </c>
      <c r="BP197" s="432"/>
      <c r="BQ197" s="21"/>
      <c r="BR197" s="21"/>
      <c r="BS197" s="39"/>
      <c r="BT197" s="39"/>
      <c r="BU197" s="39"/>
      <c r="BV197" s="39"/>
      <c r="BW197" s="39"/>
      <c r="BX197" s="39"/>
      <c r="BY197" s="39"/>
      <c r="BZ197" s="39">
        <v>184</v>
      </c>
      <c r="CA197" s="39" t="str">
        <f t="shared" si="110"/>
        <v/>
      </c>
      <c r="CB197" s="39"/>
      <c r="CC197" s="39"/>
      <c r="CD197" s="39"/>
      <c r="CE197" s="39"/>
      <c r="CF197" s="39"/>
      <c r="CG197" s="39"/>
      <c r="CH197" s="39"/>
      <c r="CI197" s="39"/>
      <c r="CJ197" s="39"/>
      <c r="CK197" s="39"/>
    </row>
    <row r="198" spans="1:89" s="193" customFormat="1">
      <c r="A198" s="195"/>
      <c r="B198" s="21" t="str">
        <f t="shared" si="79"/>
        <v>N/A</v>
      </c>
      <c r="C198" s="21"/>
      <c r="D198" s="432">
        <v>3201422</v>
      </c>
      <c r="E198" s="439" t="s">
        <v>3626</v>
      </c>
      <c r="F198" s="439" t="s">
        <v>2499</v>
      </c>
      <c r="G198" s="273" t="s">
        <v>3579</v>
      </c>
      <c r="H198" s="358"/>
      <c r="I198" s="262" t="s">
        <v>3531</v>
      </c>
      <c r="J198" s="262" t="s">
        <v>3504</v>
      </c>
      <c r="K198" s="263">
        <v>2506000</v>
      </c>
      <c r="L198" s="263">
        <v>2601618</v>
      </c>
      <c r="M198" s="263">
        <v>0</v>
      </c>
      <c r="N198" s="263">
        <v>0</v>
      </c>
      <c r="O198" s="263">
        <v>0</v>
      </c>
      <c r="P198" s="263">
        <v>0</v>
      </c>
      <c r="Q198" s="263">
        <v>0</v>
      </c>
      <c r="R198" s="263">
        <v>0</v>
      </c>
      <c r="S198" s="263">
        <v>0</v>
      </c>
      <c r="T198" s="263">
        <v>0</v>
      </c>
      <c r="U198" s="263">
        <f t="shared" si="111"/>
        <v>5107618</v>
      </c>
      <c r="V198" s="196" t="str">
        <f t="shared" si="80"/>
        <v>LOS</v>
      </c>
      <c r="W198" s="196" t="s">
        <v>1168</v>
      </c>
      <c r="X198" s="196" t="str">
        <f t="shared" si="112"/>
        <v>N</v>
      </c>
      <c r="Y198" s="197">
        <f t="shared" si="82"/>
        <v>5107618</v>
      </c>
      <c r="Z198" s="198"/>
      <c r="AA198" s="197">
        <f t="shared" si="83"/>
        <v>5107618</v>
      </c>
      <c r="AB198" s="196"/>
      <c r="AC198" s="196"/>
      <c r="AD198" s="275">
        <v>0</v>
      </c>
      <c r="AE198" s="275">
        <v>1</v>
      </c>
      <c r="AF198" s="275">
        <v>0</v>
      </c>
      <c r="AG198" s="442"/>
      <c r="AH198" s="442"/>
      <c r="AI198" s="200">
        <f t="shared" si="84"/>
        <v>0</v>
      </c>
      <c r="AJ198" s="203"/>
      <c r="AK198" s="203"/>
      <c r="AL198" s="197">
        <f t="shared" si="85"/>
        <v>5107618</v>
      </c>
      <c r="AM198" s="197">
        <f t="shared" si="86"/>
        <v>0</v>
      </c>
      <c r="AN198" s="197">
        <f t="shared" si="87"/>
        <v>0</v>
      </c>
      <c r="AO198" s="202"/>
      <c r="AP198" s="161" t="s">
        <v>3900</v>
      </c>
      <c r="AQ198" s="279"/>
      <c r="AR198" s="287">
        <f t="shared" si="88"/>
        <v>0</v>
      </c>
      <c r="AS198" s="287">
        <f t="shared" si="89"/>
        <v>0</v>
      </c>
      <c r="AT198" s="287">
        <f t="shared" si="90"/>
        <v>0</v>
      </c>
      <c r="AU198" s="287">
        <f t="shared" si="91"/>
        <v>0</v>
      </c>
      <c r="AV198" s="287">
        <f t="shared" si="92"/>
        <v>0</v>
      </c>
      <c r="AW198" s="287">
        <f t="shared" si="93"/>
        <v>0</v>
      </c>
      <c r="AX198" s="287">
        <f t="shared" si="94"/>
        <v>0</v>
      </c>
      <c r="AY198" s="287">
        <f t="shared" si="95"/>
        <v>0</v>
      </c>
      <c r="AZ198" s="287">
        <f t="shared" si="96"/>
        <v>0</v>
      </c>
      <c r="BA198" s="287">
        <f t="shared" si="97"/>
        <v>0</v>
      </c>
      <c r="BB198" s="16"/>
      <c r="BC198" s="287">
        <f t="shared" si="98"/>
        <v>0</v>
      </c>
      <c r="BD198" s="287">
        <f t="shared" si="99"/>
        <v>0</v>
      </c>
      <c r="BE198" s="287">
        <f t="shared" si="100"/>
        <v>0</v>
      </c>
      <c r="BF198" s="287">
        <f t="shared" si="101"/>
        <v>0</v>
      </c>
      <c r="BG198" s="287">
        <f t="shared" si="102"/>
        <v>0</v>
      </c>
      <c r="BH198" s="287">
        <f t="shared" si="103"/>
        <v>0</v>
      </c>
      <c r="BI198" s="287">
        <f t="shared" si="104"/>
        <v>0</v>
      </c>
      <c r="BJ198" s="287">
        <f t="shared" si="105"/>
        <v>0</v>
      </c>
      <c r="BK198" s="287">
        <f t="shared" si="106"/>
        <v>0</v>
      </c>
      <c r="BL198" s="287">
        <f t="shared" si="107"/>
        <v>0</v>
      </c>
      <c r="BM198" s="16"/>
      <c r="BN198" s="287">
        <f t="shared" si="108"/>
        <v>0</v>
      </c>
      <c r="BO198" s="287">
        <f t="shared" si="109"/>
        <v>0</v>
      </c>
      <c r="BP198" s="432"/>
      <c r="BQ198" s="21"/>
      <c r="BR198" s="21"/>
      <c r="BS198" s="39"/>
      <c r="BT198" s="39"/>
      <c r="BU198" s="39"/>
      <c r="BV198" s="39"/>
      <c r="BW198" s="39"/>
      <c r="BX198" s="39"/>
      <c r="BY198" s="39"/>
      <c r="BZ198" s="39">
        <v>185</v>
      </c>
      <c r="CA198" s="39" t="str">
        <f t="shared" si="110"/>
        <v/>
      </c>
      <c r="CB198" s="39"/>
      <c r="CC198" s="39"/>
      <c r="CD198" s="39"/>
      <c r="CE198" s="39"/>
      <c r="CF198" s="39"/>
      <c r="CG198" s="39"/>
      <c r="CH198" s="39"/>
      <c r="CI198" s="39"/>
      <c r="CJ198" s="39"/>
      <c r="CK198" s="39"/>
    </row>
    <row r="199" spans="1:89" s="193" customFormat="1">
      <c r="A199" s="195"/>
      <c r="B199" s="21" t="str">
        <f t="shared" si="79"/>
        <v>N/A</v>
      </c>
      <c r="C199" s="21"/>
      <c r="D199" s="432">
        <v>3201423</v>
      </c>
      <c r="E199" s="439" t="s">
        <v>3626</v>
      </c>
      <c r="F199" s="439" t="s">
        <v>2499</v>
      </c>
      <c r="G199" s="273" t="s">
        <v>3578</v>
      </c>
      <c r="H199" s="358"/>
      <c r="I199" s="262" t="s">
        <v>3531</v>
      </c>
      <c r="J199" s="262" t="s">
        <v>3504</v>
      </c>
      <c r="K199" s="263">
        <v>1500000</v>
      </c>
      <c r="L199" s="263">
        <v>0</v>
      </c>
      <c r="M199" s="263">
        <v>0</v>
      </c>
      <c r="N199" s="263">
        <v>0</v>
      </c>
      <c r="O199" s="263">
        <v>0</v>
      </c>
      <c r="P199" s="263">
        <v>0</v>
      </c>
      <c r="Q199" s="263">
        <v>0</v>
      </c>
      <c r="R199" s="263">
        <v>0</v>
      </c>
      <c r="S199" s="263">
        <v>0</v>
      </c>
      <c r="T199" s="263">
        <v>0</v>
      </c>
      <c r="U199" s="263">
        <f t="shared" si="111"/>
        <v>1500000</v>
      </c>
      <c r="V199" s="196" t="str">
        <f t="shared" si="80"/>
        <v>G</v>
      </c>
      <c r="W199" s="196" t="s">
        <v>1168</v>
      </c>
      <c r="X199" s="196" t="str">
        <f t="shared" si="112"/>
        <v>Y</v>
      </c>
      <c r="Y199" s="197">
        <f t="shared" si="82"/>
        <v>1500000</v>
      </c>
      <c r="Z199" s="198"/>
      <c r="AA199" s="197">
        <f t="shared" si="83"/>
        <v>1500000</v>
      </c>
      <c r="AB199" s="196" t="s">
        <v>1168</v>
      </c>
      <c r="AC199" s="196"/>
      <c r="AD199" s="275">
        <v>1</v>
      </c>
      <c r="AE199" s="275">
        <v>0</v>
      </c>
      <c r="AF199" s="275">
        <v>0</v>
      </c>
      <c r="AG199" s="442"/>
      <c r="AH199" s="442"/>
      <c r="AI199" s="200">
        <f t="shared" si="84"/>
        <v>0</v>
      </c>
      <c r="AJ199" s="203"/>
      <c r="AK199" s="203"/>
      <c r="AL199" s="197">
        <f t="shared" si="85"/>
        <v>1500000</v>
      </c>
      <c r="AM199" s="197">
        <f t="shared" si="86"/>
        <v>0</v>
      </c>
      <c r="AN199" s="197">
        <f t="shared" si="87"/>
        <v>0</v>
      </c>
      <c r="AO199" s="202"/>
      <c r="AP199" s="161" t="s">
        <v>3900</v>
      </c>
      <c r="AQ199" s="279"/>
      <c r="AR199" s="287">
        <f t="shared" si="88"/>
        <v>0</v>
      </c>
      <c r="AS199" s="287">
        <f t="shared" si="89"/>
        <v>0</v>
      </c>
      <c r="AT199" s="287">
        <f t="shared" si="90"/>
        <v>0</v>
      </c>
      <c r="AU199" s="287">
        <f t="shared" si="91"/>
        <v>0</v>
      </c>
      <c r="AV199" s="287">
        <f t="shared" si="92"/>
        <v>0</v>
      </c>
      <c r="AW199" s="287">
        <f t="shared" si="93"/>
        <v>0</v>
      </c>
      <c r="AX199" s="287">
        <f t="shared" si="94"/>
        <v>0</v>
      </c>
      <c r="AY199" s="287">
        <f t="shared" si="95"/>
        <v>0</v>
      </c>
      <c r="AZ199" s="287">
        <f t="shared" si="96"/>
        <v>0</v>
      </c>
      <c r="BA199" s="287">
        <f t="shared" si="97"/>
        <v>0</v>
      </c>
      <c r="BB199" s="16"/>
      <c r="BC199" s="287">
        <f t="shared" si="98"/>
        <v>0</v>
      </c>
      <c r="BD199" s="287">
        <f t="shared" si="99"/>
        <v>0</v>
      </c>
      <c r="BE199" s="287">
        <f t="shared" si="100"/>
        <v>0</v>
      </c>
      <c r="BF199" s="287">
        <f t="shared" si="101"/>
        <v>0</v>
      </c>
      <c r="BG199" s="287">
        <f t="shared" si="102"/>
        <v>0</v>
      </c>
      <c r="BH199" s="287">
        <f t="shared" si="103"/>
        <v>0</v>
      </c>
      <c r="BI199" s="287">
        <f t="shared" si="104"/>
        <v>0</v>
      </c>
      <c r="BJ199" s="287">
        <f t="shared" si="105"/>
        <v>0</v>
      </c>
      <c r="BK199" s="287">
        <f t="shared" si="106"/>
        <v>0</v>
      </c>
      <c r="BL199" s="287">
        <f t="shared" si="107"/>
        <v>0</v>
      </c>
      <c r="BM199" s="16"/>
      <c r="BN199" s="287">
        <f t="shared" si="108"/>
        <v>0</v>
      </c>
      <c r="BO199" s="287">
        <f t="shared" si="109"/>
        <v>0</v>
      </c>
      <c r="BP199" s="432"/>
      <c r="BQ199" s="21"/>
      <c r="BR199" s="21"/>
      <c r="BS199" s="39"/>
      <c r="BT199" s="39"/>
      <c r="BU199" s="39"/>
      <c r="BV199" s="39"/>
      <c r="BW199" s="39"/>
      <c r="BX199" s="39"/>
      <c r="BY199" s="39"/>
      <c r="BZ199" s="39">
        <v>186</v>
      </c>
      <c r="CA199" s="39" t="str">
        <f t="shared" si="110"/>
        <v/>
      </c>
      <c r="CB199" s="39"/>
      <c r="CC199" s="39"/>
      <c r="CD199" s="39"/>
      <c r="CE199" s="39"/>
      <c r="CF199" s="39"/>
      <c r="CG199" s="39"/>
      <c r="CH199" s="39"/>
      <c r="CI199" s="39"/>
      <c r="CJ199" s="39"/>
      <c r="CK199" s="39"/>
    </row>
    <row r="200" spans="1:89" s="193" customFormat="1">
      <c r="A200" s="195"/>
      <c r="B200" s="21" t="str">
        <f t="shared" si="79"/>
        <v>N/A</v>
      </c>
      <c r="C200" s="21"/>
      <c r="D200" s="432">
        <v>3201424</v>
      </c>
      <c r="E200" s="439" t="s">
        <v>3626</v>
      </c>
      <c r="F200" s="439" t="s">
        <v>2499</v>
      </c>
      <c r="G200" s="273" t="s">
        <v>3588</v>
      </c>
      <c r="H200" s="358"/>
      <c r="I200" s="262" t="s">
        <v>3531</v>
      </c>
      <c r="J200" s="262" t="s">
        <v>3504</v>
      </c>
      <c r="K200" s="263">
        <v>400000</v>
      </c>
      <c r="L200" s="263">
        <v>100000</v>
      </c>
      <c r="M200" s="263">
        <v>100000</v>
      </c>
      <c r="N200" s="263">
        <v>100000</v>
      </c>
      <c r="O200" s="263">
        <v>0</v>
      </c>
      <c r="P200" s="263">
        <v>0</v>
      </c>
      <c r="Q200" s="263">
        <v>0</v>
      </c>
      <c r="R200" s="263">
        <v>0</v>
      </c>
      <c r="S200" s="263">
        <v>0</v>
      </c>
      <c r="T200" s="263">
        <v>0</v>
      </c>
      <c r="U200" s="263">
        <f t="shared" si="111"/>
        <v>700000</v>
      </c>
      <c r="V200" s="196" t="str">
        <f t="shared" si="80"/>
        <v>LOS</v>
      </c>
      <c r="W200" s="196" t="s">
        <v>1168</v>
      </c>
      <c r="X200" s="196" t="str">
        <f t="shared" si="112"/>
        <v>N</v>
      </c>
      <c r="Y200" s="197">
        <f t="shared" si="82"/>
        <v>700000</v>
      </c>
      <c r="Z200" s="198"/>
      <c r="AA200" s="197">
        <f t="shared" si="83"/>
        <v>700000</v>
      </c>
      <c r="AB200" s="196"/>
      <c r="AC200" s="196"/>
      <c r="AD200" s="275">
        <v>0</v>
      </c>
      <c r="AE200" s="275">
        <v>1</v>
      </c>
      <c r="AF200" s="275">
        <v>0</v>
      </c>
      <c r="AG200" s="442"/>
      <c r="AH200" s="442"/>
      <c r="AI200" s="200">
        <f t="shared" si="84"/>
        <v>0</v>
      </c>
      <c r="AJ200" s="203"/>
      <c r="AK200" s="203"/>
      <c r="AL200" s="197">
        <f t="shared" si="85"/>
        <v>700000</v>
      </c>
      <c r="AM200" s="197">
        <f t="shared" si="86"/>
        <v>0</v>
      </c>
      <c r="AN200" s="197">
        <f t="shared" si="87"/>
        <v>0</v>
      </c>
      <c r="AO200" s="202"/>
      <c r="AP200" s="161" t="s">
        <v>3900</v>
      </c>
      <c r="AQ200" s="279"/>
      <c r="AR200" s="287">
        <f t="shared" si="88"/>
        <v>0</v>
      </c>
      <c r="AS200" s="287">
        <f t="shared" si="89"/>
        <v>0</v>
      </c>
      <c r="AT200" s="287">
        <f t="shared" si="90"/>
        <v>0</v>
      </c>
      <c r="AU200" s="287">
        <f t="shared" si="91"/>
        <v>0</v>
      </c>
      <c r="AV200" s="287">
        <f t="shared" si="92"/>
        <v>0</v>
      </c>
      <c r="AW200" s="287">
        <f t="shared" si="93"/>
        <v>0</v>
      </c>
      <c r="AX200" s="287">
        <f t="shared" si="94"/>
        <v>0</v>
      </c>
      <c r="AY200" s="287">
        <f t="shared" si="95"/>
        <v>0</v>
      </c>
      <c r="AZ200" s="287">
        <f t="shared" si="96"/>
        <v>0</v>
      </c>
      <c r="BA200" s="287">
        <f t="shared" si="97"/>
        <v>0</v>
      </c>
      <c r="BB200" s="16"/>
      <c r="BC200" s="287">
        <f t="shared" si="98"/>
        <v>0</v>
      </c>
      <c r="BD200" s="287">
        <f t="shared" si="99"/>
        <v>0</v>
      </c>
      <c r="BE200" s="287">
        <f t="shared" si="100"/>
        <v>0</v>
      </c>
      <c r="BF200" s="287">
        <f t="shared" si="101"/>
        <v>0</v>
      </c>
      <c r="BG200" s="287">
        <f t="shared" si="102"/>
        <v>0</v>
      </c>
      <c r="BH200" s="287">
        <f t="shared" si="103"/>
        <v>0</v>
      </c>
      <c r="BI200" s="287">
        <f t="shared" si="104"/>
        <v>0</v>
      </c>
      <c r="BJ200" s="287">
        <f t="shared" si="105"/>
        <v>0</v>
      </c>
      <c r="BK200" s="287">
        <f t="shared" si="106"/>
        <v>0</v>
      </c>
      <c r="BL200" s="287">
        <f t="shared" si="107"/>
        <v>0</v>
      </c>
      <c r="BM200" s="16"/>
      <c r="BN200" s="287">
        <f t="shared" si="108"/>
        <v>0</v>
      </c>
      <c r="BO200" s="287">
        <f t="shared" si="109"/>
        <v>0</v>
      </c>
      <c r="BP200" s="432"/>
      <c r="BQ200" s="21"/>
      <c r="BR200" s="21"/>
      <c r="BS200" s="39"/>
      <c r="BT200" s="39"/>
      <c r="BU200" s="39"/>
      <c r="BV200" s="39"/>
      <c r="BW200" s="39"/>
      <c r="BX200" s="39"/>
      <c r="BY200" s="39"/>
      <c r="BZ200" s="39">
        <v>187</v>
      </c>
      <c r="CA200" s="39" t="str">
        <f t="shared" si="110"/>
        <v/>
      </c>
      <c r="CB200" s="39"/>
      <c r="CC200" s="39"/>
      <c r="CD200" s="39"/>
      <c r="CE200" s="39"/>
      <c r="CF200" s="39"/>
      <c r="CG200" s="39"/>
      <c r="CH200" s="39"/>
      <c r="CI200" s="39"/>
      <c r="CJ200" s="39"/>
      <c r="CK200" s="39"/>
    </row>
    <row r="201" spans="1:89" s="193" customFormat="1">
      <c r="A201" s="195"/>
      <c r="B201" s="21" t="str">
        <f t="shared" si="79"/>
        <v>N/A</v>
      </c>
      <c r="C201" s="21"/>
      <c r="D201" s="432">
        <v>3201445</v>
      </c>
      <c r="E201" s="439" t="s">
        <v>3626</v>
      </c>
      <c r="F201" s="439" t="s">
        <v>3769</v>
      </c>
      <c r="G201" s="273" t="s">
        <v>3403</v>
      </c>
      <c r="H201" s="358"/>
      <c r="I201" s="262" t="s">
        <v>3492</v>
      </c>
      <c r="J201" s="262" t="s">
        <v>3504</v>
      </c>
      <c r="K201" s="263">
        <v>50000</v>
      </c>
      <c r="L201" s="263">
        <v>550000</v>
      </c>
      <c r="M201" s="263">
        <v>0</v>
      </c>
      <c r="N201" s="263">
        <v>0</v>
      </c>
      <c r="O201" s="263">
        <v>0</v>
      </c>
      <c r="P201" s="263">
        <v>0</v>
      </c>
      <c r="Q201" s="263">
        <v>0</v>
      </c>
      <c r="R201" s="263">
        <v>0</v>
      </c>
      <c r="S201" s="263">
        <v>0</v>
      </c>
      <c r="T201" s="263">
        <v>0</v>
      </c>
      <c r="U201" s="263">
        <f t="shared" si="111"/>
        <v>600000</v>
      </c>
      <c r="V201" s="196" t="str">
        <f t="shared" si="80"/>
        <v>LOS</v>
      </c>
      <c r="W201" s="196" t="s">
        <v>1168</v>
      </c>
      <c r="X201" s="196" t="str">
        <f t="shared" si="112"/>
        <v>N</v>
      </c>
      <c r="Y201" s="197">
        <f t="shared" si="82"/>
        <v>600000</v>
      </c>
      <c r="Z201" s="198"/>
      <c r="AA201" s="197">
        <f t="shared" si="83"/>
        <v>600000</v>
      </c>
      <c r="AB201" s="196"/>
      <c r="AC201" s="196"/>
      <c r="AD201" s="275">
        <v>0</v>
      </c>
      <c r="AE201" s="275">
        <v>1</v>
      </c>
      <c r="AF201" s="275">
        <v>0</v>
      </c>
      <c r="AG201" s="199"/>
      <c r="AH201" s="199"/>
      <c r="AI201" s="377">
        <f t="shared" si="84"/>
        <v>0</v>
      </c>
      <c r="AJ201" s="203"/>
      <c r="AK201" s="203"/>
      <c r="AL201" s="197">
        <f t="shared" si="85"/>
        <v>600000</v>
      </c>
      <c r="AM201" s="197">
        <f t="shared" si="86"/>
        <v>0</v>
      </c>
      <c r="AN201" s="197">
        <f t="shared" si="87"/>
        <v>0</v>
      </c>
      <c r="AO201" s="202"/>
      <c r="AP201" s="161" t="s">
        <v>3900</v>
      </c>
      <c r="AQ201" s="279"/>
      <c r="AR201" s="287">
        <f t="shared" si="88"/>
        <v>0</v>
      </c>
      <c r="AS201" s="287">
        <f t="shared" si="89"/>
        <v>0</v>
      </c>
      <c r="AT201" s="287">
        <f t="shared" si="90"/>
        <v>0</v>
      </c>
      <c r="AU201" s="287">
        <f t="shared" si="91"/>
        <v>0</v>
      </c>
      <c r="AV201" s="287">
        <f t="shared" si="92"/>
        <v>0</v>
      </c>
      <c r="AW201" s="287">
        <f t="shared" si="93"/>
        <v>0</v>
      </c>
      <c r="AX201" s="287">
        <f t="shared" si="94"/>
        <v>0</v>
      </c>
      <c r="AY201" s="287">
        <f t="shared" si="95"/>
        <v>0</v>
      </c>
      <c r="AZ201" s="287">
        <f t="shared" si="96"/>
        <v>0</v>
      </c>
      <c r="BA201" s="287">
        <f t="shared" si="97"/>
        <v>0</v>
      </c>
      <c r="BB201" s="16"/>
      <c r="BC201" s="287">
        <f t="shared" si="98"/>
        <v>0</v>
      </c>
      <c r="BD201" s="287">
        <f t="shared" si="99"/>
        <v>0</v>
      </c>
      <c r="BE201" s="287">
        <f t="shared" si="100"/>
        <v>0</v>
      </c>
      <c r="BF201" s="287">
        <f t="shared" si="101"/>
        <v>0</v>
      </c>
      <c r="BG201" s="287">
        <f t="shared" si="102"/>
        <v>0</v>
      </c>
      <c r="BH201" s="287">
        <f t="shared" si="103"/>
        <v>0</v>
      </c>
      <c r="BI201" s="287">
        <f t="shared" si="104"/>
        <v>0</v>
      </c>
      <c r="BJ201" s="287">
        <f t="shared" si="105"/>
        <v>0</v>
      </c>
      <c r="BK201" s="287">
        <f t="shared" si="106"/>
        <v>0</v>
      </c>
      <c r="BL201" s="287">
        <f t="shared" si="107"/>
        <v>0</v>
      </c>
      <c r="BM201" s="16"/>
      <c r="BN201" s="287">
        <f t="shared" si="108"/>
        <v>0</v>
      </c>
      <c r="BO201" s="287">
        <f t="shared" si="109"/>
        <v>0</v>
      </c>
      <c r="BP201" s="432"/>
      <c r="BQ201" s="21"/>
      <c r="BR201" s="21"/>
      <c r="BS201" s="39"/>
      <c r="BT201" s="39"/>
      <c r="BU201" s="334">
        <v>1372675</v>
      </c>
      <c r="BV201" s="334">
        <v>0</v>
      </c>
      <c r="BW201" s="39"/>
      <c r="BX201" s="39"/>
      <c r="BY201" s="39"/>
      <c r="BZ201" s="39">
        <v>188</v>
      </c>
      <c r="CA201" s="39" t="str">
        <f t="shared" si="110"/>
        <v/>
      </c>
      <c r="CB201" s="39"/>
      <c r="CC201" s="39"/>
      <c r="CD201" s="39"/>
      <c r="CE201" s="39"/>
      <c r="CF201" s="39"/>
      <c r="CG201" s="39"/>
      <c r="CH201" s="39"/>
      <c r="CI201" s="39"/>
      <c r="CJ201" s="39"/>
      <c r="CK201" s="39"/>
    </row>
    <row r="202" spans="1:89" s="193" customFormat="1">
      <c r="A202" s="195"/>
      <c r="B202" s="21" t="str">
        <f t="shared" si="79"/>
        <v>N/A</v>
      </c>
      <c r="C202" s="21"/>
      <c r="D202" s="432">
        <v>3201449</v>
      </c>
      <c r="E202" s="439" t="s">
        <v>3626</v>
      </c>
      <c r="F202" s="439" t="s">
        <v>3770</v>
      </c>
      <c r="G202" s="273" t="s">
        <v>3437</v>
      </c>
      <c r="H202" s="358"/>
      <c r="I202" s="262" t="s">
        <v>3491</v>
      </c>
      <c r="J202" s="262" t="s">
        <v>3504</v>
      </c>
      <c r="K202" s="263">
        <v>0</v>
      </c>
      <c r="L202" s="263">
        <v>0</v>
      </c>
      <c r="M202" s="263">
        <v>0</v>
      </c>
      <c r="N202" s="263">
        <v>0</v>
      </c>
      <c r="O202" s="263">
        <v>0</v>
      </c>
      <c r="P202" s="263">
        <v>500000</v>
      </c>
      <c r="Q202" s="263">
        <v>2500000</v>
      </c>
      <c r="R202" s="263">
        <v>0</v>
      </c>
      <c r="S202" s="263">
        <v>0</v>
      </c>
      <c r="T202" s="263">
        <v>0</v>
      </c>
      <c r="U202" s="263">
        <f t="shared" si="111"/>
        <v>3000000</v>
      </c>
      <c r="V202" s="196" t="str">
        <f t="shared" si="80"/>
        <v>G/LOS</v>
      </c>
      <c r="W202" s="196" t="s">
        <v>1168</v>
      </c>
      <c r="X202" s="196" t="str">
        <f t="shared" si="112"/>
        <v>Y</v>
      </c>
      <c r="Y202" s="197">
        <f t="shared" si="82"/>
        <v>3000000</v>
      </c>
      <c r="Z202" s="198"/>
      <c r="AA202" s="197">
        <f t="shared" si="83"/>
        <v>3000000</v>
      </c>
      <c r="AB202" s="196" t="s">
        <v>1168</v>
      </c>
      <c r="AC202" s="196"/>
      <c r="AD202" s="275">
        <v>0.5</v>
      </c>
      <c r="AE202" s="275">
        <v>0.5</v>
      </c>
      <c r="AF202" s="275">
        <v>0</v>
      </c>
      <c r="AG202" s="442"/>
      <c r="AH202" s="442"/>
      <c r="AI202" s="200">
        <f t="shared" si="84"/>
        <v>0</v>
      </c>
      <c r="AJ202" s="203"/>
      <c r="AK202" s="203"/>
      <c r="AL202" s="197">
        <f t="shared" si="85"/>
        <v>3000000</v>
      </c>
      <c r="AM202" s="197">
        <f t="shared" si="86"/>
        <v>0</v>
      </c>
      <c r="AN202" s="197">
        <f t="shared" si="87"/>
        <v>0</v>
      </c>
      <c r="AO202" s="202"/>
      <c r="AP202" s="161" t="s">
        <v>3900</v>
      </c>
      <c r="AQ202" s="279"/>
      <c r="AR202" s="287">
        <f t="shared" si="88"/>
        <v>0</v>
      </c>
      <c r="AS202" s="287">
        <f t="shared" si="89"/>
        <v>0</v>
      </c>
      <c r="AT202" s="287">
        <f t="shared" si="90"/>
        <v>0</v>
      </c>
      <c r="AU202" s="287">
        <f t="shared" si="91"/>
        <v>0</v>
      </c>
      <c r="AV202" s="287">
        <f t="shared" si="92"/>
        <v>0</v>
      </c>
      <c r="AW202" s="287">
        <f t="shared" si="93"/>
        <v>0</v>
      </c>
      <c r="AX202" s="287">
        <f t="shared" si="94"/>
        <v>0</v>
      </c>
      <c r="AY202" s="287">
        <f t="shared" si="95"/>
        <v>0</v>
      </c>
      <c r="AZ202" s="287">
        <f t="shared" si="96"/>
        <v>0</v>
      </c>
      <c r="BA202" s="287">
        <f t="shared" si="97"/>
        <v>0</v>
      </c>
      <c r="BB202" s="16"/>
      <c r="BC202" s="287">
        <f t="shared" si="98"/>
        <v>0</v>
      </c>
      <c r="BD202" s="287">
        <f t="shared" si="99"/>
        <v>0</v>
      </c>
      <c r="BE202" s="287">
        <f t="shared" si="100"/>
        <v>0</v>
      </c>
      <c r="BF202" s="287">
        <f t="shared" si="101"/>
        <v>0</v>
      </c>
      <c r="BG202" s="287">
        <f t="shared" si="102"/>
        <v>0</v>
      </c>
      <c r="BH202" s="287">
        <f t="shared" si="103"/>
        <v>0</v>
      </c>
      <c r="BI202" s="287">
        <f t="shared" si="104"/>
        <v>0</v>
      </c>
      <c r="BJ202" s="287">
        <f t="shared" si="105"/>
        <v>0</v>
      </c>
      <c r="BK202" s="287">
        <f t="shared" si="106"/>
        <v>0</v>
      </c>
      <c r="BL202" s="287">
        <f t="shared" si="107"/>
        <v>0</v>
      </c>
      <c r="BM202" s="16"/>
      <c r="BN202" s="287">
        <f t="shared" si="108"/>
        <v>0</v>
      </c>
      <c r="BO202" s="287">
        <f t="shared" si="109"/>
        <v>0</v>
      </c>
      <c r="BP202" s="432"/>
      <c r="BQ202" s="21"/>
      <c r="BR202" s="21"/>
      <c r="BS202" s="39"/>
      <c r="BT202" s="39"/>
      <c r="BU202" s="39"/>
      <c r="BV202" s="39"/>
      <c r="BW202" s="39"/>
      <c r="BX202" s="39"/>
      <c r="BY202" s="39"/>
      <c r="BZ202" s="39">
        <v>189</v>
      </c>
      <c r="CA202" s="39" t="str">
        <f t="shared" si="110"/>
        <v/>
      </c>
      <c r="CB202" s="39"/>
      <c r="CC202" s="39"/>
      <c r="CD202" s="39"/>
      <c r="CE202" s="39"/>
      <c r="CF202" s="39"/>
      <c r="CG202" s="39"/>
      <c r="CH202" s="39"/>
      <c r="CI202" s="39"/>
      <c r="CJ202" s="39"/>
      <c r="CK202" s="39"/>
    </row>
    <row r="203" spans="1:89" s="193" customFormat="1">
      <c r="A203" s="195"/>
      <c r="B203" s="21" t="str">
        <f t="shared" si="79"/>
        <v>N/A</v>
      </c>
      <c r="C203" s="21"/>
      <c r="D203" s="432">
        <v>3201451</v>
      </c>
      <c r="E203" s="439" t="s">
        <v>3626</v>
      </c>
      <c r="F203" s="439" t="s">
        <v>2499</v>
      </c>
      <c r="G203" s="273" t="s">
        <v>3591</v>
      </c>
      <c r="H203" s="358"/>
      <c r="I203" s="262" t="s">
        <v>3531</v>
      </c>
      <c r="J203" s="262" t="s">
        <v>3504</v>
      </c>
      <c r="K203" s="263">
        <v>1500000</v>
      </c>
      <c r="L203" s="263">
        <v>0</v>
      </c>
      <c r="M203" s="263">
        <v>0</v>
      </c>
      <c r="N203" s="263">
        <v>0</v>
      </c>
      <c r="O203" s="263">
        <v>0</v>
      </c>
      <c r="P203" s="263">
        <v>0</v>
      </c>
      <c r="Q203" s="263">
        <v>0</v>
      </c>
      <c r="R203" s="263">
        <v>0</v>
      </c>
      <c r="S203" s="263">
        <v>0</v>
      </c>
      <c r="T203" s="263">
        <v>0</v>
      </c>
      <c r="U203" s="263">
        <f t="shared" si="111"/>
        <v>1500000</v>
      </c>
      <c r="V203" s="196" t="str">
        <f t="shared" si="80"/>
        <v>G/LOS/R</v>
      </c>
      <c r="W203" s="196" t="s">
        <v>1168</v>
      </c>
      <c r="X203" s="196" t="str">
        <f t="shared" si="112"/>
        <v>Y</v>
      </c>
      <c r="Y203" s="197">
        <f t="shared" si="82"/>
        <v>1500000</v>
      </c>
      <c r="Z203" s="198"/>
      <c r="AA203" s="197">
        <f t="shared" si="83"/>
        <v>1500000</v>
      </c>
      <c r="AB203" s="196" t="s">
        <v>1168</v>
      </c>
      <c r="AC203" s="196"/>
      <c r="AD203" s="275">
        <v>0.33</v>
      </c>
      <c r="AE203" s="275">
        <v>0.34</v>
      </c>
      <c r="AF203" s="275">
        <v>0.33</v>
      </c>
      <c r="AG203" s="442"/>
      <c r="AH203" s="442"/>
      <c r="AI203" s="200">
        <f t="shared" si="84"/>
        <v>0</v>
      </c>
      <c r="AJ203" s="203"/>
      <c r="AK203" s="203"/>
      <c r="AL203" s="197">
        <f t="shared" si="85"/>
        <v>1500000</v>
      </c>
      <c r="AM203" s="197">
        <f t="shared" si="86"/>
        <v>0</v>
      </c>
      <c r="AN203" s="197">
        <f t="shared" si="87"/>
        <v>0</v>
      </c>
      <c r="AO203" s="202"/>
      <c r="AP203" s="161" t="s">
        <v>3900</v>
      </c>
      <c r="AQ203" s="279"/>
      <c r="AR203" s="287">
        <f t="shared" si="88"/>
        <v>0</v>
      </c>
      <c r="AS203" s="287">
        <f t="shared" si="89"/>
        <v>0</v>
      </c>
      <c r="AT203" s="287">
        <f t="shared" si="90"/>
        <v>0</v>
      </c>
      <c r="AU203" s="287">
        <f t="shared" si="91"/>
        <v>0</v>
      </c>
      <c r="AV203" s="287">
        <f t="shared" si="92"/>
        <v>0</v>
      </c>
      <c r="AW203" s="287">
        <f t="shared" si="93"/>
        <v>0</v>
      </c>
      <c r="AX203" s="287">
        <f t="shared" si="94"/>
        <v>0</v>
      </c>
      <c r="AY203" s="287">
        <f t="shared" si="95"/>
        <v>0</v>
      </c>
      <c r="AZ203" s="287">
        <f t="shared" si="96"/>
        <v>0</v>
      </c>
      <c r="BA203" s="287">
        <f t="shared" si="97"/>
        <v>0</v>
      </c>
      <c r="BB203" s="16"/>
      <c r="BC203" s="287">
        <f t="shared" si="98"/>
        <v>0</v>
      </c>
      <c r="BD203" s="287">
        <f t="shared" si="99"/>
        <v>0</v>
      </c>
      <c r="BE203" s="287">
        <f t="shared" si="100"/>
        <v>0</v>
      </c>
      <c r="BF203" s="287">
        <f t="shared" si="101"/>
        <v>0</v>
      </c>
      <c r="BG203" s="287">
        <f t="shared" si="102"/>
        <v>0</v>
      </c>
      <c r="BH203" s="287">
        <f t="shared" si="103"/>
        <v>0</v>
      </c>
      <c r="BI203" s="287">
        <f t="shared" si="104"/>
        <v>0</v>
      </c>
      <c r="BJ203" s="287">
        <f t="shared" si="105"/>
        <v>0</v>
      </c>
      <c r="BK203" s="287">
        <f t="shared" si="106"/>
        <v>0</v>
      </c>
      <c r="BL203" s="287">
        <f t="shared" si="107"/>
        <v>0</v>
      </c>
      <c r="BM203" s="16"/>
      <c r="BN203" s="287">
        <f t="shared" si="108"/>
        <v>0</v>
      </c>
      <c r="BO203" s="287">
        <f t="shared" si="109"/>
        <v>0</v>
      </c>
      <c r="BP203" s="432"/>
      <c r="BQ203" s="21"/>
      <c r="BR203" s="21"/>
      <c r="BS203" s="39"/>
      <c r="BT203" s="39"/>
      <c r="BU203" s="39"/>
      <c r="BV203" s="39"/>
      <c r="BW203" s="39"/>
      <c r="BX203" s="39"/>
      <c r="BY203" s="39"/>
      <c r="BZ203" s="39">
        <v>190</v>
      </c>
      <c r="CA203" s="39" t="str">
        <f t="shared" si="110"/>
        <v/>
      </c>
      <c r="CB203" s="39"/>
      <c r="CC203" s="39"/>
      <c r="CD203" s="39"/>
      <c r="CE203" s="39"/>
      <c r="CF203" s="39"/>
      <c r="CG203" s="39"/>
      <c r="CH203" s="39"/>
      <c r="CI203" s="39"/>
      <c r="CJ203" s="39"/>
      <c r="CK203" s="39"/>
    </row>
    <row r="204" spans="1:89" s="193" customFormat="1">
      <c r="A204" s="195"/>
      <c r="B204" s="21" t="str">
        <f t="shared" si="79"/>
        <v>N/A</v>
      </c>
      <c r="C204" s="21"/>
      <c r="D204" s="432">
        <v>3201452</v>
      </c>
      <c r="E204" s="439" t="s">
        <v>3626</v>
      </c>
      <c r="F204" s="439" t="s">
        <v>2499</v>
      </c>
      <c r="G204" s="273" t="s">
        <v>2463</v>
      </c>
      <c r="H204" s="358"/>
      <c r="I204" s="262" t="s">
        <v>3531</v>
      </c>
      <c r="J204" s="262" t="s">
        <v>3504</v>
      </c>
      <c r="K204" s="263">
        <v>12300000</v>
      </c>
      <c r="L204" s="263">
        <v>4100000</v>
      </c>
      <c r="M204" s="263">
        <v>0</v>
      </c>
      <c r="N204" s="263">
        <v>0</v>
      </c>
      <c r="O204" s="263">
        <v>0</v>
      </c>
      <c r="P204" s="263">
        <v>0</v>
      </c>
      <c r="Q204" s="263">
        <v>0</v>
      </c>
      <c r="R204" s="263">
        <v>0</v>
      </c>
      <c r="S204" s="263">
        <v>0</v>
      </c>
      <c r="T204" s="263">
        <v>0</v>
      </c>
      <c r="U204" s="263">
        <f t="shared" si="111"/>
        <v>16400000</v>
      </c>
      <c r="V204" s="196" t="str">
        <f t="shared" si="80"/>
        <v>G/LOS</v>
      </c>
      <c r="W204" s="196" t="s">
        <v>1168</v>
      </c>
      <c r="X204" s="196" t="str">
        <f t="shared" si="112"/>
        <v>Y</v>
      </c>
      <c r="Y204" s="197">
        <f t="shared" si="82"/>
        <v>16400000</v>
      </c>
      <c r="Z204" s="198"/>
      <c r="AA204" s="197">
        <f t="shared" si="83"/>
        <v>16400000</v>
      </c>
      <c r="AB204" s="196" t="s">
        <v>1168</v>
      </c>
      <c r="AC204" s="196"/>
      <c r="AD204" s="275">
        <v>0.65</v>
      </c>
      <c r="AE204" s="275">
        <v>0.35</v>
      </c>
      <c r="AF204" s="275">
        <v>0</v>
      </c>
      <c r="AG204" s="442"/>
      <c r="AH204" s="442"/>
      <c r="AI204" s="200">
        <f t="shared" si="84"/>
        <v>0</v>
      </c>
      <c r="AJ204" s="203"/>
      <c r="AK204" s="203"/>
      <c r="AL204" s="197">
        <f t="shared" si="85"/>
        <v>16400000</v>
      </c>
      <c r="AM204" s="197">
        <f t="shared" si="86"/>
        <v>0</v>
      </c>
      <c r="AN204" s="197">
        <f t="shared" si="87"/>
        <v>0</v>
      </c>
      <c r="AO204" s="202"/>
      <c r="AP204" s="161" t="s">
        <v>3900</v>
      </c>
      <c r="AQ204" s="279"/>
      <c r="AR204" s="287">
        <f t="shared" si="88"/>
        <v>0</v>
      </c>
      <c r="AS204" s="287">
        <f t="shared" si="89"/>
        <v>0</v>
      </c>
      <c r="AT204" s="287">
        <f t="shared" si="90"/>
        <v>0</v>
      </c>
      <c r="AU204" s="287">
        <f t="shared" si="91"/>
        <v>0</v>
      </c>
      <c r="AV204" s="287">
        <f t="shared" si="92"/>
        <v>0</v>
      </c>
      <c r="AW204" s="287">
        <f t="shared" si="93"/>
        <v>0</v>
      </c>
      <c r="AX204" s="287">
        <f t="shared" si="94"/>
        <v>0</v>
      </c>
      <c r="AY204" s="287">
        <f t="shared" si="95"/>
        <v>0</v>
      </c>
      <c r="AZ204" s="287">
        <f t="shared" si="96"/>
        <v>0</v>
      </c>
      <c r="BA204" s="287">
        <f t="shared" si="97"/>
        <v>0</v>
      </c>
      <c r="BB204" s="16"/>
      <c r="BC204" s="287">
        <f t="shared" si="98"/>
        <v>0</v>
      </c>
      <c r="BD204" s="287">
        <f t="shared" si="99"/>
        <v>0</v>
      </c>
      <c r="BE204" s="287">
        <f t="shared" si="100"/>
        <v>0</v>
      </c>
      <c r="BF204" s="287">
        <f t="shared" si="101"/>
        <v>0</v>
      </c>
      <c r="BG204" s="287">
        <f t="shared" si="102"/>
        <v>0</v>
      </c>
      <c r="BH204" s="287">
        <f t="shared" si="103"/>
        <v>0</v>
      </c>
      <c r="BI204" s="287">
        <f t="shared" si="104"/>
        <v>0</v>
      </c>
      <c r="BJ204" s="287">
        <f t="shared" si="105"/>
        <v>0</v>
      </c>
      <c r="BK204" s="287">
        <f t="shared" si="106"/>
        <v>0</v>
      </c>
      <c r="BL204" s="287">
        <f t="shared" si="107"/>
        <v>0</v>
      </c>
      <c r="BM204" s="16"/>
      <c r="BN204" s="287">
        <f t="shared" si="108"/>
        <v>0</v>
      </c>
      <c r="BO204" s="287">
        <f t="shared" si="109"/>
        <v>0</v>
      </c>
      <c r="BP204" s="432"/>
      <c r="BQ204" s="21"/>
      <c r="BR204" s="21"/>
      <c r="BS204" s="39"/>
      <c r="BT204" s="39"/>
      <c r="BU204" s="39"/>
      <c r="BV204" s="39"/>
      <c r="BW204" s="39"/>
      <c r="BX204" s="39"/>
      <c r="BY204" s="39"/>
      <c r="BZ204" s="39">
        <v>191</v>
      </c>
      <c r="CA204" s="39" t="str">
        <f t="shared" si="110"/>
        <v/>
      </c>
      <c r="CB204" s="39"/>
      <c r="CC204" s="39"/>
      <c r="CD204" s="39"/>
      <c r="CE204" s="39"/>
      <c r="CF204" s="39"/>
      <c r="CG204" s="39"/>
      <c r="CH204" s="39"/>
      <c r="CI204" s="39"/>
      <c r="CJ204" s="39"/>
      <c r="CK204" s="39"/>
    </row>
    <row r="205" spans="1:89" s="193" customFormat="1">
      <c r="A205" s="195"/>
      <c r="B205" s="21" t="str">
        <f t="shared" si="79"/>
        <v>N/A</v>
      </c>
      <c r="C205" s="21"/>
      <c r="D205" s="432">
        <v>3201454</v>
      </c>
      <c r="E205" s="439" t="s">
        <v>3626</v>
      </c>
      <c r="F205" s="439" t="s">
        <v>2499</v>
      </c>
      <c r="G205" s="273" t="s">
        <v>3592</v>
      </c>
      <c r="H205" s="358"/>
      <c r="I205" s="262" t="s">
        <v>3531</v>
      </c>
      <c r="J205" s="262" t="s">
        <v>3504</v>
      </c>
      <c r="K205" s="263">
        <v>0</v>
      </c>
      <c r="L205" s="263">
        <v>16500000</v>
      </c>
      <c r="M205" s="263">
        <v>0</v>
      </c>
      <c r="N205" s="263">
        <v>0</v>
      </c>
      <c r="O205" s="263">
        <v>0</v>
      </c>
      <c r="P205" s="263">
        <v>0</v>
      </c>
      <c r="Q205" s="263">
        <v>0</v>
      </c>
      <c r="R205" s="263">
        <v>0</v>
      </c>
      <c r="S205" s="263">
        <v>0</v>
      </c>
      <c r="T205" s="263">
        <v>0</v>
      </c>
      <c r="U205" s="263">
        <f t="shared" si="111"/>
        <v>16500000</v>
      </c>
      <c r="V205" s="196" t="str">
        <f t="shared" si="80"/>
        <v>G/LOS</v>
      </c>
      <c r="W205" s="196" t="s">
        <v>1168</v>
      </c>
      <c r="X205" s="196" t="str">
        <f t="shared" si="112"/>
        <v>Y</v>
      </c>
      <c r="Y205" s="197">
        <f t="shared" si="82"/>
        <v>16500000</v>
      </c>
      <c r="Z205" s="198"/>
      <c r="AA205" s="197">
        <f t="shared" si="83"/>
        <v>16500000</v>
      </c>
      <c r="AB205" s="196" t="s">
        <v>1168</v>
      </c>
      <c r="AC205" s="196"/>
      <c r="AD205" s="275">
        <v>0.65</v>
      </c>
      <c r="AE205" s="275">
        <v>0.35</v>
      </c>
      <c r="AF205" s="275">
        <v>0</v>
      </c>
      <c r="AG205" s="442"/>
      <c r="AH205" s="442"/>
      <c r="AI205" s="200">
        <f t="shared" si="84"/>
        <v>0</v>
      </c>
      <c r="AJ205" s="203"/>
      <c r="AK205" s="203"/>
      <c r="AL205" s="197">
        <f t="shared" si="85"/>
        <v>16500000</v>
      </c>
      <c r="AM205" s="197">
        <f t="shared" si="86"/>
        <v>0</v>
      </c>
      <c r="AN205" s="197">
        <f t="shared" si="87"/>
        <v>0</v>
      </c>
      <c r="AO205" s="202"/>
      <c r="AP205" s="161" t="s">
        <v>3900</v>
      </c>
      <c r="AQ205" s="279"/>
      <c r="AR205" s="287">
        <f t="shared" si="88"/>
        <v>0</v>
      </c>
      <c r="AS205" s="287">
        <f t="shared" si="89"/>
        <v>0</v>
      </c>
      <c r="AT205" s="287">
        <f t="shared" si="90"/>
        <v>0</v>
      </c>
      <c r="AU205" s="287">
        <f t="shared" si="91"/>
        <v>0</v>
      </c>
      <c r="AV205" s="287">
        <f t="shared" si="92"/>
        <v>0</v>
      </c>
      <c r="AW205" s="287">
        <f t="shared" si="93"/>
        <v>0</v>
      </c>
      <c r="AX205" s="287">
        <f t="shared" si="94"/>
        <v>0</v>
      </c>
      <c r="AY205" s="287">
        <f t="shared" si="95"/>
        <v>0</v>
      </c>
      <c r="AZ205" s="287">
        <f t="shared" si="96"/>
        <v>0</v>
      </c>
      <c r="BA205" s="287">
        <f t="shared" si="97"/>
        <v>0</v>
      </c>
      <c r="BB205" s="16"/>
      <c r="BC205" s="287">
        <f t="shared" si="98"/>
        <v>0</v>
      </c>
      <c r="BD205" s="287">
        <f t="shared" si="99"/>
        <v>0</v>
      </c>
      <c r="BE205" s="287">
        <f t="shared" si="100"/>
        <v>0</v>
      </c>
      <c r="BF205" s="287">
        <f t="shared" si="101"/>
        <v>0</v>
      </c>
      <c r="BG205" s="287">
        <f t="shared" si="102"/>
        <v>0</v>
      </c>
      <c r="BH205" s="287">
        <f t="shared" si="103"/>
        <v>0</v>
      </c>
      <c r="BI205" s="287">
        <f t="shared" si="104"/>
        <v>0</v>
      </c>
      <c r="BJ205" s="287">
        <f t="shared" si="105"/>
        <v>0</v>
      </c>
      <c r="BK205" s="287">
        <f t="shared" si="106"/>
        <v>0</v>
      </c>
      <c r="BL205" s="287">
        <f t="shared" si="107"/>
        <v>0</v>
      </c>
      <c r="BM205" s="16"/>
      <c r="BN205" s="287">
        <f t="shared" si="108"/>
        <v>0</v>
      </c>
      <c r="BO205" s="287">
        <f t="shared" si="109"/>
        <v>0</v>
      </c>
      <c r="BP205" s="432"/>
      <c r="BQ205" s="21"/>
      <c r="BR205" s="21"/>
      <c r="BS205" s="39"/>
      <c r="BT205" s="39"/>
      <c r="BU205" s="39"/>
      <c r="BV205" s="39"/>
      <c r="BW205" s="39"/>
      <c r="BX205" s="39"/>
      <c r="BY205" s="39"/>
      <c r="BZ205" s="39">
        <v>192</v>
      </c>
      <c r="CA205" s="39" t="str">
        <f t="shared" si="110"/>
        <v/>
      </c>
      <c r="CB205" s="39"/>
      <c r="CC205" s="39"/>
      <c r="CD205" s="39"/>
      <c r="CE205" s="39"/>
      <c r="CF205" s="39"/>
      <c r="CG205" s="39"/>
      <c r="CH205" s="39"/>
      <c r="CI205" s="39"/>
      <c r="CJ205" s="39"/>
      <c r="CK205" s="39"/>
    </row>
    <row r="206" spans="1:89" s="193" customFormat="1">
      <c r="A206" s="195"/>
      <c r="B206" s="21" t="str">
        <f t="shared" ref="B206:B269" si="113">LEFT(AP206,3)</f>
        <v>N/A</v>
      </c>
      <c r="C206" s="21"/>
      <c r="D206" s="432">
        <v>3201465</v>
      </c>
      <c r="E206" s="439" t="s">
        <v>3626</v>
      </c>
      <c r="F206" s="439" t="s">
        <v>3474</v>
      </c>
      <c r="G206" s="273" t="s">
        <v>3340</v>
      </c>
      <c r="H206" s="358"/>
      <c r="I206" s="262" t="s">
        <v>3497</v>
      </c>
      <c r="J206" s="262" t="s">
        <v>3504</v>
      </c>
      <c r="K206" s="263">
        <v>895536.27</v>
      </c>
      <c r="L206" s="263">
        <v>982551.76</v>
      </c>
      <c r="M206" s="263">
        <v>1005335.99</v>
      </c>
      <c r="N206" s="263">
        <v>984498.56</v>
      </c>
      <c r="O206" s="263">
        <v>1037067.45</v>
      </c>
      <c r="P206" s="263">
        <v>1333687.31</v>
      </c>
      <c r="Q206" s="263">
        <v>1392885.65</v>
      </c>
      <c r="R206" s="263">
        <v>1525092.98</v>
      </c>
      <c r="S206" s="263">
        <v>1594003.26</v>
      </c>
      <c r="T206" s="263">
        <v>1594620.55</v>
      </c>
      <c r="U206" s="263">
        <f t="shared" si="111"/>
        <v>12345279.780000001</v>
      </c>
      <c r="V206" s="196" t="str">
        <f t="shared" ref="V206:V269" si="114">IF(AND(AD206&gt;0,AE206&gt;0,AF206&gt;0),"G/LOS/R",IF(AND(AD206&gt;0,AE206&gt;0),"G/LOS",IF(AND(AD206&gt;0,AF206&gt;0),"G/R",IF(AND(AE206&gt;0,AF206&gt;0),"LOS/R",IF(AD206&gt;0,"G",IF(AE206&gt;0,"LOS",IF(AF206&gt;0,"R","CHECK")))))))</f>
        <v>G</v>
      </c>
      <c r="W206" s="196" t="s">
        <v>1168</v>
      </c>
      <c r="X206" s="196" t="str">
        <f t="shared" si="112"/>
        <v>Y</v>
      </c>
      <c r="Y206" s="197">
        <f t="shared" ref="Y206:Y269" si="115">SUM(K206:T206)</f>
        <v>12345279.780000001</v>
      </c>
      <c r="Z206" s="198"/>
      <c r="AA206" s="197">
        <f t="shared" ref="AA206:AA269" si="116">Y206-Z206</f>
        <v>12345279.780000001</v>
      </c>
      <c r="AB206" s="196" t="s">
        <v>1168</v>
      </c>
      <c r="AC206" s="196"/>
      <c r="AD206" s="275">
        <v>1</v>
      </c>
      <c r="AE206" s="275">
        <v>0</v>
      </c>
      <c r="AF206" s="275">
        <v>0</v>
      </c>
      <c r="AG206" s="442"/>
      <c r="AH206" s="442"/>
      <c r="AI206" s="200">
        <f t="shared" ref="AI206:AI269" si="117">(AG206+AH206)/2</f>
        <v>0</v>
      </c>
      <c r="AJ206" s="203"/>
      <c r="AK206" s="203"/>
      <c r="AL206" s="197">
        <f t="shared" ref="AL206:AL264" si="118">(100%-AI206)*AA206</f>
        <v>12345279.780000001</v>
      </c>
      <c r="AM206" s="197">
        <f t="shared" ref="AM206:AM264" si="119">AA206*AI206*AJ206</f>
        <v>0</v>
      </c>
      <c r="AN206" s="197">
        <f t="shared" ref="AN206:AN264" si="120">AA206*AI206*AK206</f>
        <v>0</v>
      </c>
      <c r="AO206" s="202"/>
      <c r="AP206" s="161" t="s">
        <v>3900</v>
      </c>
      <c r="AQ206" s="279"/>
      <c r="AR206" s="287">
        <f t="shared" si="88"/>
        <v>0</v>
      </c>
      <c r="AS206" s="287">
        <f t="shared" si="89"/>
        <v>0</v>
      </c>
      <c r="AT206" s="287">
        <f t="shared" si="90"/>
        <v>0</v>
      </c>
      <c r="AU206" s="287">
        <f t="shared" si="91"/>
        <v>0</v>
      </c>
      <c r="AV206" s="287">
        <f t="shared" si="92"/>
        <v>0</v>
      </c>
      <c r="AW206" s="287">
        <f t="shared" si="93"/>
        <v>0</v>
      </c>
      <c r="AX206" s="287">
        <f t="shared" si="94"/>
        <v>0</v>
      </c>
      <c r="AY206" s="287">
        <f t="shared" si="95"/>
        <v>0</v>
      </c>
      <c r="AZ206" s="287">
        <f t="shared" si="96"/>
        <v>0</v>
      </c>
      <c r="BA206" s="287">
        <f t="shared" si="97"/>
        <v>0</v>
      </c>
      <c r="BB206" s="16"/>
      <c r="BC206" s="287">
        <f t="shared" si="98"/>
        <v>0</v>
      </c>
      <c r="BD206" s="287">
        <f t="shared" si="99"/>
        <v>0</v>
      </c>
      <c r="BE206" s="287">
        <f t="shared" si="100"/>
        <v>0</v>
      </c>
      <c r="BF206" s="287">
        <f t="shared" si="101"/>
        <v>0</v>
      </c>
      <c r="BG206" s="287">
        <f t="shared" si="102"/>
        <v>0</v>
      </c>
      <c r="BH206" s="287">
        <f t="shared" si="103"/>
        <v>0</v>
      </c>
      <c r="BI206" s="287">
        <f t="shared" si="104"/>
        <v>0</v>
      </c>
      <c r="BJ206" s="287">
        <f t="shared" si="105"/>
        <v>0</v>
      </c>
      <c r="BK206" s="287">
        <f t="shared" si="106"/>
        <v>0</v>
      </c>
      <c r="BL206" s="287">
        <f t="shared" si="107"/>
        <v>0</v>
      </c>
      <c r="BM206" s="16"/>
      <c r="BN206" s="287">
        <f t="shared" si="108"/>
        <v>0</v>
      </c>
      <c r="BO206" s="287">
        <f t="shared" si="109"/>
        <v>0</v>
      </c>
      <c r="BP206" s="432"/>
      <c r="BQ206" s="21"/>
      <c r="BR206" s="21"/>
      <c r="BS206" s="39"/>
      <c r="BT206" s="39"/>
      <c r="BU206" s="39"/>
      <c r="BV206" s="39"/>
      <c r="BW206" s="39"/>
      <c r="BX206" s="39"/>
      <c r="BY206" s="39"/>
      <c r="BZ206" s="39">
        <v>193</v>
      </c>
      <c r="CA206" s="39" t="str">
        <f t="shared" si="110"/>
        <v/>
      </c>
      <c r="CB206" s="39"/>
      <c r="CC206" s="39"/>
      <c r="CD206" s="39"/>
      <c r="CE206" s="39"/>
      <c r="CF206" s="39"/>
      <c r="CG206" s="39"/>
      <c r="CH206" s="39"/>
      <c r="CI206" s="39"/>
      <c r="CJ206" s="39"/>
      <c r="CK206" s="39"/>
    </row>
    <row r="207" spans="1:89" s="193" customFormat="1">
      <c r="A207" s="195"/>
      <c r="B207" s="21" t="str">
        <f t="shared" si="113"/>
        <v>N/A</v>
      </c>
      <c r="C207" s="21"/>
      <c r="D207" s="432">
        <v>3201467</v>
      </c>
      <c r="E207" s="439" t="s">
        <v>3626</v>
      </c>
      <c r="F207" s="439" t="s">
        <v>3458</v>
      </c>
      <c r="G207" s="273" t="s">
        <v>3278</v>
      </c>
      <c r="H207" s="358"/>
      <c r="I207" s="262" t="s">
        <v>3492</v>
      </c>
      <c r="J207" s="262" t="s">
        <v>3504</v>
      </c>
      <c r="K207" s="263">
        <v>0</v>
      </c>
      <c r="L207" s="263">
        <v>2160000</v>
      </c>
      <c r="M207" s="263">
        <v>8880000</v>
      </c>
      <c r="N207" s="263">
        <v>0</v>
      </c>
      <c r="O207" s="263">
        <v>0</v>
      </c>
      <c r="P207" s="263">
        <v>0</v>
      </c>
      <c r="Q207" s="263">
        <v>0</v>
      </c>
      <c r="R207" s="263">
        <v>0</v>
      </c>
      <c r="S207" s="263">
        <v>0</v>
      </c>
      <c r="T207" s="263">
        <v>0</v>
      </c>
      <c r="U207" s="263">
        <f t="shared" si="111"/>
        <v>11040000</v>
      </c>
      <c r="V207" s="196" t="str">
        <f t="shared" si="114"/>
        <v>R</v>
      </c>
      <c r="W207" s="196" t="s">
        <v>1168</v>
      </c>
      <c r="X207" s="196" t="str">
        <f t="shared" si="112"/>
        <v>N</v>
      </c>
      <c r="Y207" s="197">
        <f t="shared" si="115"/>
        <v>11040000</v>
      </c>
      <c r="Z207" s="198"/>
      <c r="AA207" s="197">
        <f t="shared" si="116"/>
        <v>11040000</v>
      </c>
      <c r="AB207" s="196"/>
      <c r="AC207" s="196"/>
      <c r="AD207" s="275">
        <v>0</v>
      </c>
      <c r="AE207" s="275">
        <v>0</v>
      </c>
      <c r="AF207" s="275">
        <v>1</v>
      </c>
      <c r="AG207" s="199"/>
      <c r="AH207" s="199"/>
      <c r="AI207" s="377">
        <f t="shared" si="117"/>
        <v>0</v>
      </c>
      <c r="AJ207" s="203"/>
      <c r="AK207" s="203"/>
      <c r="AL207" s="197">
        <f t="shared" si="118"/>
        <v>11040000</v>
      </c>
      <c r="AM207" s="197">
        <f t="shared" si="119"/>
        <v>0</v>
      </c>
      <c r="AN207" s="197">
        <f t="shared" si="120"/>
        <v>0</v>
      </c>
      <c r="AO207" s="202"/>
      <c r="AP207" s="161" t="s">
        <v>3900</v>
      </c>
      <c r="AQ207" s="279"/>
      <c r="AR207" s="287">
        <f t="shared" ref="AR207:AR270" si="121">K207*$AI207*$AJ207</f>
        <v>0</v>
      </c>
      <c r="AS207" s="287">
        <f t="shared" ref="AS207:AS270" si="122">L207*$AI207*$AJ207</f>
        <v>0</v>
      </c>
      <c r="AT207" s="287">
        <f t="shared" ref="AT207:AT270" si="123">M207*$AI207*$AJ207</f>
        <v>0</v>
      </c>
      <c r="AU207" s="287">
        <f t="shared" ref="AU207:AU270" si="124">N207*$AI207*$AJ207</f>
        <v>0</v>
      </c>
      <c r="AV207" s="287">
        <f t="shared" ref="AV207:AV270" si="125">O207*$AI207*$AJ207</f>
        <v>0</v>
      </c>
      <c r="AW207" s="287">
        <f t="shared" ref="AW207:AW270" si="126">P207*$AI207*$AJ207</f>
        <v>0</v>
      </c>
      <c r="AX207" s="287">
        <f t="shared" ref="AX207:AX270" si="127">Q207*$AI207*$AJ207</f>
        <v>0</v>
      </c>
      <c r="AY207" s="287">
        <f t="shared" ref="AY207:AY270" si="128">R207*$AI207*$AJ207</f>
        <v>0</v>
      </c>
      <c r="AZ207" s="287">
        <f t="shared" ref="AZ207:AZ270" si="129">S207*$AI207*$AJ207</f>
        <v>0</v>
      </c>
      <c r="BA207" s="287">
        <f t="shared" ref="BA207:BA270" si="130">T207*$AI207*$AJ207</f>
        <v>0</v>
      </c>
      <c r="BB207" s="16"/>
      <c r="BC207" s="287">
        <f t="shared" ref="BC207:BC270" si="131">K207*$AI207*$AK207</f>
        <v>0</v>
      </c>
      <c r="BD207" s="287">
        <f t="shared" ref="BD207:BD270" si="132">L207*$AI207*$AK207</f>
        <v>0</v>
      </c>
      <c r="BE207" s="287">
        <f t="shared" ref="BE207:BE270" si="133">M207*$AI207*$AK207</f>
        <v>0</v>
      </c>
      <c r="BF207" s="287">
        <f t="shared" ref="BF207:BF270" si="134">N207*$AI207*$AK207</f>
        <v>0</v>
      </c>
      <c r="BG207" s="287">
        <f t="shared" ref="BG207:BG270" si="135">O207*$AI207*$AK207</f>
        <v>0</v>
      </c>
      <c r="BH207" s="287">
        <f t="shared" ref="BH207:BH270" si="136">P207*$AI207*$AK207</f>
        <v>0</v>
      </c>
      <c r="BI207" s="287">
        <f t="shared" ref="BI207:BI270" si="137">Q207*$AI207*$AK207</f>
        <v>0</v>
      </c>
      <c r="BJ207" s="287">
        <f t="shared" ref="BJ207:BJ270" si="138">R207*$AI207*$AK207</f>
        <v>0</v>
      </c>
      <c r="BK207" s="287">
        <f t="shared" ref="BK207:BK270" si="139">S207*$AI207*$AK207</f>
        <v>0</v>
      </c>
      <c r="BL207" s="287">
        <f t="shared" ref="BL207:BL270" si="140">T207*$AI207*$AK207</f>
        <v>0</v>
      </c>
      <c r="BM207" s="16"/>
      <c r="BN207" s="287">
        <f t="shared" ref="BN207:BN270" si="141">SUM(AR207:BA207)</f>
        <v>0</v>
      </c>
      <c r="BO207" s="287">
        <f t="shared" ref="BO207:BO270" si="142">SUM(BC207:BL207)</f>
        <v>0</v>
      </c>
      <c r="BP207" s="432"/>
      <c r="BQ207" s="21"/>
      <c r="BR207" s="21"/>
      <c r="BS207" s="39"/>
      <c r="BT207" s="39"/>
      <c r="BU207" s="334">
        <v>67900</v>
      </c>
      <c r="BV207" s="334">
        <v>0</v>
      </c>
      <c r="BW207" s="39"/>
      <c r="BX207" s="39"/>
      <c r="BY207" s="39"/>
      <c r="BZ207" s="39">
        <v>194</v>
      </c>
      <c r="CA207" s="39" t="str">
        <f t="shared" ref="CA207:CA270" si="143">IFERROR(ROUND(IF(AJ207=100%,2031,1/AJ207*10+2021),0),"")</f>
        <v/>
      </c>
      <c r="CB207" s="39"/>
      <c r="CC207" s="39"/>
      <c r="CD207" s="39"/>
      <c r="CE207" s="39"/>
      <c r="CF207" s="39"/>
      <c r="CG207" s="39"/>
      <c r="CH207" s="39"/>
      <c r="CI207" s="39"/>
      <c r="CJ207" s="39"/>
      <c r="CK207" s="39"/>
    </row>
    <row r="208" spans="1:89" s="193" customFormat="1">
      <c r="A208" s="195"/>
      <c r="B208" s="21" t="str">
        <f t="shared" si="113"/>
        <v>N/A</v>
      </c>
      <c r="C208" s="21"/>
      <c r="D208" s="432">
        <v>3201467</v>
      </c>
      <c r="E208" s="439" t="s">
        <v>3626</v>
      </c>
      <c r="F208" s="439" t="s">
        <v>3784</v>
      </c>
      <c r="G208" s="273" t="s">
        <v>3276</v>
      </c>
      <c r="H208" s="358"/>
      <c r="I208" s="262" t="s">
        <v>3492</v>
      </c>
      <c r="J208" s="262" t="s">
        <v>3510</v>
      </c>
      <c r="K208" s="263">
        <v>90000</v>
      </c>
      <c r="L208" s="263">
        <v>0</v>
      </c>
      <c r="M208" s="263">
        <v>0</v>
      </c>
      <c r="N208" s="263">
        <v>0</v>
      </c>
      <c r="O208" s="263">
        <v>0</v>
      </c>
      <c r="P208" s="263">
        <v>0</v>
      </c>
      <c r="Q208" s="263">
        <v>0</v>
      </c>
      <c r="R208" s="263">
        <v>0</v>
      </c>
      <c r="S208" s="263">
        <v>0</v>
      </c>
      <c r="T208" s="263">
        <v>0</v>
      </c>
      <c r="U208" s="263">
        <f t="shared" si="111"/>
        <v>90000</v>
      </c>
      <c r="V208" s="196" t="str">
        <f t="shared" si="114"/>
        <v>LOS/R</v>
      </c>
      <c r="W208" s="196" t="s">
        <v>1168</v>
      </c>
      <c r="X208" s="196" t="str">
        <f t="shared" si="112"/>
        <v>N</v>
      </c>
      <c r="Y208" s="197">
        <f t="shared" si="115"/>
        <v>90000</v>
      </c>
      <c r="Z208" s="198"/>
      <c r="AA208" s="197">
        <f t="shared" si="116"/>
        <v>90000</v>
      </c>
      <c r="AB208" s="196"/>
      <c r="AC208" s="196"/>
      <c r="AD208" s="275">
        <v>0</v>
      </c>
      <c r="AE208" s="275">
        <v>0.12027583257604105</v>
      </c>
      <c r="AF208" s="275">
        <v>0.87972416742395898</v>
      </c>
      <c r="AG208" s="199"/>
      <c r="AH208" s="199"/>
      <c r="AI208" s="377">
        <f t="shared" si="117"/>
        <v>0</v>
      </c>
      <c r="AJ208" s="203"/>
      <c r="AK208" s="203"/>
      <c r="AL208" s="197">
        <f t="shared" si="118"/>
        <v>90000</v>
      </c>
      <c r="AM208" s="197">
        <f t="shared" si="119"/>
        <v>0</v>
      </c>
      <c r="AN208" s="197">
        <f t="shared" si="120"/>
        <v>0</v>
      </c>
      <c r="AO208" s="202"/>
      <c r="AP208" s="161" t="s">
        <v>3900</v>
      </c>
      <c r="AQ208" s="279"/>
      <c r="AR208" s="287">
        <f t="shared" si="121"/>
        <v>0</v>
      </c>
      <c r="AS208" s="287">
        <f t="shared" si="122"/>
        <v>0</v>
      </c>
      <c r="AT208" s="287">
        <f t="shared" si="123"/>
        <v>0</v>
      </c>
      <c r="AU208" s="287">
        <f t="shared" si="124"/>
        <v>0</v>
      </c>
      <c r="AV208" s="287">
        <f t="shared" si="125"/>
        <v>0</v>
      </c>
      <c r="AW208" s="287">
        <f t="shared" si="126"/>
        <v>0</v>
      </c>
      <c r="AX208" s="287">
        <f t="shared" si="127"/>
        <v>0</v>
      </c>
      <c r="AY208" s="287">
        <f t="shared" si="128"/>
        <v>0</v>
      </c>
      <c r="AZ208" s="287">
        <f t="shared" si="129"/>
        <v>0</v>
      </c>
      <c r="BA208" s="287">
        <f t="shared" si="130"/>
        <v>0</v>
      </c>
      <c r="BB208" s="16"/>
      <c r="BC208" s="287">
        <f t="shared" si="131"/>
        <v>0</v>
      </c>
      <c r="BD208" s="287">
        <f t="shared" si="132"/>
        <v>0</v>
      </c>
      <c r="BE208" s="287">
        <f t="shared" si="133"/>
        <v>0</v>
      </c>
      <c r="BF208" s="287">
        <f t="shared" si="134"/>
        <v>0</v>
      </c>
      <c r="BG208" s="287">
        <f t="shared" si="135"/>
        <v>0</v>
      </c>
      <c r="BH208" s="287">
        <f t="shared" si="136"/>
        <v>0</v>
      </c>
      <c r="BI208" s="287">
        <f t="shared" si="137"/>
        <v>0</v>
      </c>
      <c r="BJ208" s="287">
        <f t="shared" si="138"/>
        <v>0</v>
      </c>
      <c r="BK208" s="287">
        <f t="shared" si="139"/>
        <v>0</v>
      </c>
      <c r="BL208" s="287">
        <f t="shared" si="140"/>
        <v>0</v>
      </c>
      <c r="BM208" s="16"/>
      <c r="BN208" s="287">
        <f t="shared" si="141"/>
        <v>0</v>
      </c>
      <c r="BO208" s="287">
        <f t="shared" si="142"/>
        <v>0</v>
      </c>
      <c r="BP208" s="432"/>
      <c r="BQ208" s="21"/>
      <c r="BR208" s="21"/>
      <c r="BS208" s="39"/>
      <c r="BT208" s="39"/>
      <c r="BU208" s="334">
        <v>26475</v>
      </c>
      <c r="BV208" s="334">
        <v>0</v>
      </c>
      <c r="BW208" s="39"/>
      <c r="BX208" s="39"/>
      <c r="BY208" s="39"/>
      <c r="BZ208" s="39">
        <v>195</v>
      </c>
      <c r="CA208" s="39" t="str">
        <f t="shared" si="143"/>
        <v/>
      </c>
      <c r="CB208" s="39"/>
      <c r="CC208" s="39"/>
      <c r="CD208" s="39"/>
      <c r="CE208" s="39"/>
      <c r="CF208" s="39"/>
      <c r="CG208" s="39"/>
      <c r="CH208" s="39"/>
      <c r="CI208" s="39"/>
      <c r="CJ208" s="39"/>
      <c r="CK208" s="39"/>
    </row>
    <row r="209" spans="1:89" s="193" customFormat="1">
      <c r="A209" s="195"/>
      <c r="B209" s="21" t="str">
        <f t="shared" si="113"/>
        <v>N/A</v>
      </c>
      <c r="C209" s="21"/>
      <c r="D209" s="432">
        <v>3201467</v>
      </c>
      <c r="E209" s="439" t="s">
        <v>3626</v>
      </c>
      <c r="F209" s="439" t="s">
        <v>3775</v>
      </c>
      <c r="G209" s="273" t="s">
        <v>3263</v>
      </c>
      <c r="H209" s="358"/>
      <c r="I209" s="262" t="s">
        <v>3492</v>
      </c>
      <c r="J209" s="262" t="s">
        <v>3508</v>
      </c>
      <c r="K209" s="263">
        <v>1255000</v>
      </c>
      <c r="L209" s="263">
        <v>1155000</v>
      </c>
      <c r="M209" s="263">
        <v>0</v>
      </c>
      <c r="N209" s="263">
        <v>0</v>
      </c>
      <c r="O209" s="263">
        <v>0</v>
      </c>
      <c r="P209" s="263">
        <v>0</v>
      </c>
      <c r="Q209" s="263">
        <v>0</v>
      </c>
      <c r="R209" s="263">
        <v>0</v>
      </c>
      <c r="S209" s="263">
        <v>0</v>
      </c>
      <c r="T209" s="263">
        <v>0</v>
      </c>
      <c r="U209" s="263">
        <f t="shared" si="111"/>
        <v>2410000</v>
      </c>
      <c r="V209" s="196" t="str">
        <f t="shared" si="114"/>
        <v>G/LOS</v>
      </c>
      <c r="W209" s="196" t="s">
        <v>1168</v>
      </c>
      <c r="X209" s="196" t="str">
        <f t="shared" si="112"/>
        <v>Y</v>
      </c>
      <c r="Y209" s="197">
        <f t="shared" si="115"/>
        <v>2410000</v>
      </c>
      <c r="Z209" s="198"/>
      <c r="AA209" s="197">
        <f t="shared" si="116"/>
        <v>2410000</v>
      </c>
      <c r="AB209" s="196" t="s">
        <v>1168</v>
      </c>
      <c r="AC209" s="196"/>
      <c r="AD209" s="275">
        <v>0.75</v>
      </c>
      <c r="AE209" s="275">
        <v>0.25</v>
      </c>
      <c r="AF209" s="275">
        <v>0</v>
      </c>
      <c r="AG209" s="199"/>
      <c r="AH209" s="199"/>
      <c r="AI209" s="377">
        <f t="shared" si="117"/>
        <v>0</v>
      </c>
      <c r="AJ209" s="203"/>
      <c r="AK209" s="203"/>
      <c r="AL209" s="197">
        <f t="shared" si="118"/>
        <v>2410000</v>
      </c>
      <c r="AM209" s="197">
        <f t="shared" si="119"/>
        <v>0</v>
      </c>
      <c r="AN209" s="197">
        <f t="shared" si="120"/>
        <v>0</v>
      </c>
      <c r="AO209" s="202"/>
      <c r="AP209" s="161" t="s">
        <v>3900</v>
      </c>
      <c r="AQ209" s="279"/>
      <c r="AR209" s="287">
        <f t="shared" si="121"/>
        <v>0</v>
      </c>
      <c r="AS209" s="287">
        <f t="shared" si="122"/>
        <v>0</v>
      </c>
      <c r="AT209" s="287">
        <f t="shared" si="123"/>
        <v>0</v>
      </c>
      <c r="AU209" s="287">
        <f t="shared" si="124"/>
        <v>0</v>
      </c>
      <c r="AV209" s="287">
        <f t="shared" si="125"/>
        <v>0</v>
      </c>
      <c r="AW209" s="287">
        <f t="shared" si="126"/>
        <v>0</v>
      </c>
      <c r="AX209" s="287">
        <f t="shared" si="127"/>
        <v>0</v>
      </c>
      <c r="AY209" s="287">
        <f t="shared" si="128"/>
        <v>0</v>
      </c>
      <c r="AZ209" s="287">
        <f t="shared" si="129"/>
        <v>0</v>
      </c>
      <c r="BA209" s="287">
        <f t="shared" si="130"/>
        <v>0</v>
      </c>
      <c r="BB209" s="16"/>
      <c r="BC209" s="287">
        <f t="shared" si="131"/>
        <v>0</v>
      </c>
      <c r="BD209" s="287">
        <f t="shared" si="132"/>
        <v>0</v>
      </c>
      <c r="BE209" s="287">
        <f t="shared" si="133"/>
        <v>0</v>
      </c>
      <c r="BF209" s="287">
        <f t="shared" si="134"/>
        <v>0</v>
      </c>
      <c r="BG209" s="287">
        <f t="shared" si="135"/>
        <v>0</v>
      </c>
      <c r="BH209" s="287">
        <f t="shared" si="136"/>
        <v>0</v>
      </c>
      <c r="BI209" s="287">
        <f t="shared" si="137"/>
        <v>0</v>
      </c>
      <c r="BJ209" s="287">
        <f t="shared" si="138"/>
        <v>0</v>
      </c>
      <c r="BK209" s="287">
        <f t="shared" si="139"/>
        <v>0</v>
      </c>
      <c r="BL209" s="287">
        <f t="shared" si="140"/>
        <v>0</v>
      </c>
      <c r="BM209" s="16"/>
      <c r="BN209" s="287">
        <f t="shared" si="141"/>
        <v>0</v>
      </c>
      <c r="BO209" s="287">
        <f t="shared" si="142"/>
        <v>0</v>
      </c>
      <c r="BP209" s="432"/>
      <c r="BQ209" s="21"/>
      <c r="BR209" s="21"/>
      <c r="BS209" s="39"/>
      <c r="BT209" s="39"/>
      <c r="BU209" s="334">
        <v>374500</v>
      </c>
      <c r="BV209" s="334">
        <v>0</v>
      </c>
      <c r="BW209" s="39"/>
      <c r="BX209" s="39"/>
      <c r="BY209" s="39"/>
      <c r="BZ209" s="39">
        <v>196</v>
      </c>
      <c r="CA209" s="39" t="str">
        <f t="shared" si="143"/>
        <v/>
      </c>
      <c r="CB209" s="39"/>
      <c r="CC209" s="39"/>
      <c r="CD209" s="39"/>
      <c r="CE209" s="39"/>
      <c r="CF209" s="39"/>
      <c r="CG209" s="39"/>
      <c r="CH209" s="39"/>
      <c r="CI209" s="39"/>
      <c r="CJ209" s="39"/>
      <c r="CK209" s="39"/>
    </row>
    <row r="210" spans="1:89" s="193" customFormat="1">
      <c r="A210" s="195"/>
      <c r="B210" s="21" t="str">
        <f t="shared" si="113"/>
        <v>N/A</v>
      </c>
      <c r="C210" s="21"/>
      <c r="D210" s="432">
        <v>3201467</v>
      </c>
      <c r="E210" s="439" t="s">
        <v>3626</v>
      </c>
      <c r="F210" s="439" t="s">
        <v>3776</v>
      </c>
      <c r="G210" s="273" t="s">
        <v>3264</v>
      </c>
      <c r="H210" s="358"/>
      <c r="I210" s="262" t="s">
        <v>3492</v>
      </c>
      <c r="J210" s="262" t="s">
        <v>3507</v>
      </c>
      <c r="K210" s="263">
        <v>745000</v>
      </c>
      <c r="L210" s="263">
        <v>185000</v>
      </c>
      <c r="M210" s="263">
        <v>0</v>
      </c>
      <c r="N210" s="263">
        <v>0</v>
      </c>
      <c r="O210" s="263">
        <v>0</v>
      </c>
      <c r="P210" s="263">
        <v>0</v>
      </c>
      <c r="Q210" s="263">
        <v>0</v>
      </c>
      <c r="R210" s="263">
        <v>0</v>
      </c>
      <c r="S210" s="263">
        <v>0</v>
      </c>
      <c r="T210" s="263">
        <v>0</v>
      </c>
      <c r="U210" s="263">
        <f t="shared" si="111"/>
        <v>930000</v>
      </c>
      <c r="V210" s="196" t="str">
        <f t="shared" si="114"/>
        <v>G/LOS/R</v>
      </c>
      <c r="W210" s="196" t="s">
        <v>1168</v>
      </c>
      <c r="X210" s="196" t="str">
        <f t="shared" si="112"/>
        <v>Y</v>
      </c>
      <c r="Y210" s="197">
        <f t="shared" si="115"/>
        <v>930000</v>
      </c>
      <c r="Z210" s="198"/>
      <c r="AA210" s="197">
        <f t="shared" si="116"/>
        <v>930000</v>
      </c>
      <c r="AB210" s="196" t="s">
        <v>1168</v>
      </c>
      <c r="AC210" s="196"/>
      <c r="AD210" s="275">
        <v>0.19198518859730374</v>
      </c>
      <c r="AE210" s="275">
        <v>6.3995062865767907E-2</v>
      </c>
      <c r="AF210" s="275">
        <v>0.74401974853692832</v>
      </c>
      <c r="AG210" s="199"/>
      <c r="AH210" s="199"/>
      <c r="AI210" s="377">
        <f t="shared" si="117"/>
        <v>0</v>
      </c>
      <c r="AJ210" s="203"/>
      <c r="AK210" s="203"/>
      <c r="AL210" s="197">
        <f t="shared" si="118"/>
        <v>930000</v>
      </c>
      <c r="AM210" s="197">
        <f t="shared" si="119"/>
        <v>0</v>
      </c>
      <c r="AN210" s="197">
        <f t="shared" si="120"/>
        <v>0</v>
      </c>
      <c r="AO210" s="202"/>
      <c r="AP210" s="161" t="s">
        <v>3900</v>
      </c>
      <c r="AQ210" s="279"/>
      <c r="AR210" s="287">
        <f t="shared" si="121"/>
        <v>0</v>
      </c>
      <c r="AS210" s="287">
        <f t="shared" si="122"/>
        <v>0</v>
      </c>
      <c r="AT210" s="287">
        <f t="shared" si="123"/>
        <v>0</v>
      </c>
      <c r="AU210" s="287">
        <f t="shared" si="124"/>
        <v>0</v>
      </c>
      <c r="AV210" s="287">
        <f t="shared" si="125"/>
        <v>0</v>
      </c>
      <c r="AW210" s="287">
        <f t="shared" si="126"/>
        <v>0</v>
      </c>
      <c r="AX210" s="287">
        <f t="shared" si="127"/>
        <v>0</v>
      </c>
      <c r="AY210" s="287">
        <f t="shared" si="128"/>
        <v>0</v>
      </c>
      <c r="AZ210" s="287">
        <f t="shared" si="129"/>
        <v>0</v>
      </c>
      <c r="BA210" s="287">
        <f t="shared" si="130"/>
        <v>0</v>
      </c>
      <c r="BB210" s="16"/>
      <c r="BC210" s="287">
        <f t="shared" si="131"/>
        <v>0</v>
      </c>
      <c r="BD210" s="287">
        <f t="shared" si="132"/>
        <v>0</v>
      </c>
      <c r="BE210" s="287">
        <f t="shared" si="133"/>
        <v>0</v>
      </c>
      <c r="BF210" s="287">
        <f t="shared" si="134"/>
        <v>0</v>
      </c>
      <c r="BG210" s="287">
        <f t="shared" si="135"/>
        <v>0</v>
      </c>
      <c r="BH210" s="287">
        <f t="shared" si="136"/>
        <v>0</v>
      </c>
      <c r="BI210" s="287">
        <f t="shared" si="137"/>
        <v>0</v>
      </c>
      <c r="BJ210" s="287">
        <f t="shared" si="138"/>
        <v>0</v>
      </c>
      <c r="BK210" s="287">
        <f t="shared" si="139"/>
        <v>0</v>
      </c>
      <c r="BL210" s="287">
        <f t="shared" si="140"/>
        <v>0</v>
      </c>
      <c r="BM210" s="16"/>
      <c r="BN210" s="287">
        <f t="shared" si="141"/>
        <v>0</v>
      </c>
      <c r="BO210" s="287">
        <f t="shared" si="142"/>
        <v>0</v>
      </c>
      <c r="BP210" s="432"/>
      <c r="BQ210" s="21"/>
      <c r="BR210" s="21"/>
      <c r="BS210" s="39"/>
      <c r="BT210" s="39"/>
      <c r="BU210" s="334">
        <v>10000</v>
      </c>
      <c r="BV210" s="334">
        <v>0</v>
      </c>
      <c r="BW210" s="39"/>
      <c r="BX210" s="39"/>
      <c r="BY210" s="39"/>
      <c r="BZ210" s="39">
        <v>197</v>
      </c>
      <c r="CA210" s="39" t="str">
        <f t="shared" si="143"/>
        <v/>
      </c>
      <c r="CB210" s="39"/>
      <c r="CC210" s="39"/>
      <c r="CD210" s="39"/>
      <c r="CE210" s="39"/>
      <c r="CF210" s="39"/>
      <c r="CG210" s="39"/>
      <c r="CH210" s="39"/>
      <c r="CI210" s="39"/>
      <c r="CJ210" s="39"/>
      <c r="CK210" s="39"/>
    </row>
    <row r="211" spans="1:89" s="193" customFormat="1">
      <c r="A211" s="195"/>
      <c r="B211" s="21" t="str">
        <f t="shared" si="113"/>
        <v>N/A</v>
      </c>
      <c r="C211" s="21"/>
      <c r="D211" s="432">
        <v>3201467</v>
      </c>
      <c r="E211" s="439" t="s">
        <v>3626</v>
      </c>
      <c r="F211" s="439" t="s">
        <v>3777</v>
      </c>
      <c r="G211" s="273" t="s">
        <v>3265</v>
      </c>
      <c r="H211" s="358"/>
      <c r="I211" s="262" t="s">
        <v>3492</v>
      </c>
      <c r="J211" s="262" t="s">
        <v>3506</v>
      </c>
      <c r="K211" s="263">
        <v>465000</v>
      </c>
      <c r="L211" s="263">
        <v>0</v>
      </c>
      <c r="M211" s="263">
        <v>0</v>
      </c>
      <c r="N211" s="263">
        <v>0</v>
      </c>
      <c r="O211" s="263">
        <v>0</v>
      </c>
      <c r="P211" s="263">
        <v>0</v>
      </c>
      <c r="Q211" s="263">
        <v>0</v>
      </c>
      <c r="R211" s="263">
        <v>0</v>
      </c>
      <c r="S211" s="263">
        <v>0</v>
      </c>
      <c r="T211" s="263">
        <v>0</v>
      </c>
      <c r="U211" s="263">
        <f t="shared" si="111"/>
        <v>465000</v>
      </c>
      <c r="V211" s="196" t="str">
        <f t="shared" si="114"/>
        <v>G/R</v>
      </c>
      <c r="W211" s="196" t="s">
        <v>1168</v>
      </c>
      <c r="X211" s="196" t="str">
        <f t="shared" si="112"/>
        <v>Y</v>
      </c>
      <c r="Y211" s="197">
        <f t="shared" si="115"/>
        <v>465000</v>
      </c>
      <c r="Z211" s="198"/>
      <c r="AA211" s="197">
        <f t="shared" si="116"/>
        <v>465000</v>
      </c>
      <c r="AB211" s="196" t="s">
        <v>1168</v>
      </c>
      <c r="AC211" s="196"/>
      <c r="AD211" s="275">
        <v>0.30426958939964011</v>
      </c>
      <c r="AE211" s="275">
        <v>0</v>
      </c>
      <c r="AF211" s="275">
        <v>0.69573041060035989</v>
      </c>
      <c r="AG211" s="199"/>
      <c r="AH211" s="199"/>
      <c r="AI211" s="377">
        <f t="shared" si="117"/>
        <v>0</v>
      </c>
      <c r="AJ211" s="203"/>
      <c r="AK211" s="203"/>
      <c r="AL211" s="197">
        <f t="shared" si="118"/>
        <v>465000</v>
      </c>
      <c r="AM211" s="197">
        <f t="shared" si="119"/>
        <v>0</v>
      </c>
      <c r="AN211" s="197">
        <f t="shared" si="120"/>
        <v>0</v>
      </c>
      <c r="AO211" s="202"/>
      <c r="AP211" s="161" t="s">
        <v>3900</v>
      </c>
      <c r="AQ211" s="279"/>
      <c r="AR211" s="287">
        <f t="shared" si="121"/>
        <v>0</v>
      </c>
      <c r="AS211" s="287">
        <f t="shared" si="122"/>
        <v>0</v>
      </c>
      <c r="AT211" s="287">
        <f t="shared" si="123"/>
        <v>0</v>
      </c>
      <c r="AU211" s="287">
        <f t="shared" si="124"/>
        <v>0</v>
      </c>
      <c r="AV211" s="287">
        <f t="shared" si="125"/>
        <v>0</v>
      </c>
      <c r="AW211" s="287">
        <f t="shared" si="126"/>
        <v>0</v>
      </c>
      <c r="AX211" s="287">
        <f t="shared" si="127"/>
        <v>0</v>
      </c>
      <c r="AY211" s="287">
        <f t="shared" si="128"/>
        <v>0</v>
      </c>
      <c r="AZ211" s="287">
        <f t="shared" si="129"/>
        <v>0</v>
      </c>
      <c r="BA211" s="287">
        <f t="shared" si="130"/>
        <v>0</v>
      </c>
      <c r="BB211" s="16"/>
      <c r="BC211" s="287">
        <f t="shared" si="131"/>
        <v>0</v>
      </c>
      <c r="BD211" s="287">
        <f t="shared" si="132"/>
        <v>0</v>
      </c>
      <c r="BE211" s="287">
        <f t="shared" si="133"/>
        <v>0</v>
      </c>
      <c r="BF211" s="287">
        <f t="shared" si="134"/>
        <v>0</v>
      </c>
      <c r="BG211" s="287">
        <f t="shared" si="135"/>
        <v>0</v>
      </c>
      <c r="BH211" s="287">
        <f t="shared" si="136"/>
        <v>0</v>
      </c>
      <c r="BI211" s="287">
        <f t="shared" si="137"/>
        <v>0</v>
      </c>
      <c r="BJ211" s="287">
        <f t="shared" si="138"/>
        <v>0</v>
      </c>
      <c r="BK211" s="287">
        <f t="shared" si="139"/>
        <v>0</v>
      </c>
      <c r="BL211" s="287">
        <f t="shared" si="140"/>
        <v>0</v>
      </c>
      <c r="BM211" s="16"/>
      <c r="BN211" s="287">
        <f t="shared" si="141"/>
        <v>0</v>
      </c>
      <c r="BO211" s="287">
        <f t="shared" si="142"/>
        <v>0</v>
      </c>
      <c r="BP211" s="432"/>
      <c r="BQ211" s="21"/>
      <c r="BR211" s="21"/>
      <c r="BS211" s="39"/>
      <c r="BT211" s="39"/>
      <c r="BU211" s="334">
        <v>555000</v>
      </c>
      <c r="BV211" s="334">
        <v>0</v>
      </c>
      <c r="BW211" s="39"/>
      <c r="BX211" s="39"/>
      <c r="BY211" s="39"/>
      <c r="BZ211" s="39">
        <v>198</v>
      </c>
      <c r="CA211" s="39" t="str">
        <f t="shared" si="143"/>
        <v/>
      </c>
      <c r="CB211" s="39"/>
      <c r="CC211" s="39"/>
      <c r="CD211" s="39"/>
      <c r="CE211" s="39"/>
      <c r="CF211" s="39"/>
      <c r="CG211" s="39"/>
      <c r="CH211" s="39"/>
      <c r="CI211" s="39"/>
      <c r="CJ211" s="39"/>
      <c r="CK211" s="39"/>
    </row>
    <row r="212" spans="1:89" s="193" customFormat="1">
      <c r="A212" s="195"/>
      <c r="B212" s="21" t="str">
        <f t="shared" si="113"/>
        <v>N/A</v>
      </c>
      <c r="C212" s="21"/>
      <c r="D212" s="432">
        <v>3201467</v>
      </c>
      <c r="E212" s="439" t="s">
        <v>3626</v>
      </c>
      <c r="F212" s="439" t="s">
        <v>3778</v>
      </c>
      <c r="G212" s="273" t="s">
        <v>3262</v>
      </c>
      <c r="H212" s="358"/>
      <c r="I212" s="262" t="s">
        <v>3492</v>
      </c>
      <c r="J212" s="262" t="s">
        <v>3505</v>
      </c>
      <c r="K212" s="263">
        <v>2131000</v>
      </c>
      <c r="L212" s="263">
        <v>82000</v>
      </c>
      <c r="M212" s="263">
        <v>0</v>
      </c>
      <c r="N212" s="263">
        <v>5000</v>
      </c>
      <c r="O212" s="263">
        <v>0</v>
      </c>
      <c r="P212" s="263">
        <v>0</v>
      </c>
      <c r="Q212" s="263">
        <v>5000</v>
      </c>
      <c r="R212" s="263">
        <v>0</v>
      </c>
      <c r="S212" s="263">
        <v>0</v>
      </c>
      <c r="T212" s="263">
        <v>0</v>
      </c>
      <c r="U212" s="263">
        <f t="shared" si="111"/>
        <v>2223000</v>
      </c>
      <c r="V212" s="196" t="str">
        <f t="shared" si="114"/>
        <v>LOS/R</v>
      </c>
      <c r="W212" s="196" t="s">
        <v>1168</v>
      </c>
      <c r="X212" s="196" t="str">
        <f t="shared" si="112"/>
        <v>N</v>
      </c>
      <c r="Y212" s="197">
        <f t="shared" si="115"/>
        <v>2223000</v>
      </c>
      <c r="Z212" s="198"/>
      <c r="AA212" s="197">
        <f t="shared" si="116"/>
        <v>2223000</v>
      </c>
      <c r="AB212" s="196"/>
      <c r="AC212" s="196"/>
      <c r="AD212" s="275">
        <v>0</v>
      </c>
      <c r="AE212" s="275">
        <v>0.27326949805937273</v>
      </c>
      <c r="AF212" s="275">
        <v>0.72673050194062727</v>
      </c>
      <c r="AG212" s="199"/>
      <c r="AH212" s="199"/>
      <c r="AI212" s="200">
        <f t="shared" si="117"/>
        <v>0</v>
      </c>
      <c r="AJ212" s="203"/>
      <c r="AK212" s="203"/>
      <c r="AL212" s="197">
        <f t="shared" si="118"/>
        <v>2223000</v>
      </c>
      <c r="AM212" s="197">
        <f t="shared" si="119"/>
        <v>0</v>
      </c>
      <c r="AN212" s="197">
        <f t="shared" si="120"/>
        <v>0</v>
      </c>
      <c r="AO212" s="202"/>
      <c r="AP212" s="161" t="s">
        <v>3900</v>
      </c>
      <c r="AQ212" s="279"/>
      <c r="AR212" s="287">
        <f t="shared" si="121"/>
        <v>0</v>
      </c>
      <c r="AS212" s="287">
        <f t="shared" si="122"/>
        <v>0</v>
      </c>
      <c r="AT212" s="287">
        <f t="shared" si="123"/>
        <v>0</v>
      </c>
      <c r="AU212" s="287">
        <f t="shared" si="124"/>
        <v>0</v>
      </c>
      <c r="AV212" s="287">
        <f t="shared" si="125"/>
        <v>0</v>
      </c>
      <c r="AW212" s="287">
        <f t="shared" si="126"/>
        <v>0</v>
      </c>
      <c r="AX212" s="287">
        <f t="shared" si="127"/>
        <v>0</v>
      </c>
      <c r="AY212" s="287">
        <f t="shared" si="128"/>
        <v>0</v>
      </c>
      <c r="AZ212" s="287">
        <f t="shared" si="129"/>
        <v>0</v>
      </c>
      <c r="BA212" s="287">
        <f t="shared" si="130"/>
        <v>0</v>
      </c>
      <c r="BB212" s="16"/>
      <c r="BC212" s="287">
        <f t="shared" si="131"/>
        <v>0</v>
      </c>
      <c r="BD212" s="287">
        <f t="shared" si="132"/>
        <v>0</v>
      </c>
      <c r="BE212" s="287">
        <f t="shared" si="133"/>
        <v>0</v>
      </c>
      <c r="BF212" s="287">
        <f t="shared" si="134"/>
        <v>0</v>
      </c>
      <c r="BG212" s="287">
        <f t="shared" si="135"/>
        <v>0</v>
      </c>
      <c r="BH212" s="287">
        <f t="shared" si="136"/>
        <v>0</v>
      </c>
      <c r="BI212" s="287">
        <f t="shared" si="137"/>
        <v>0</v>
      </c>
      <c r="BJ212" s="287">
        <f t="shared" si="138"/>
        <v>0</v>
      </c>
      <c r="BK212" s="287">
        <f t="shared" si="139"/>
        <v>0</v>
      </c>
      <c r="BL212" s="287">
        <f t="shared" si="140"/>
        <v>0</v>
      </c>
      <c r="BM212" s="16"/>
      <c r="BN212" s="287">
        <f t="shared" si="141"/>
        <v>0</v>
      </c>
      <c r="BO212" s="287">
        <f t="shared" si="142"/>
        <v>0</v>
      </c>
      <c r="BP212" s="432"/>
      <c r="BQ212" s="21"/>
      <c r="BR212" s="21"/>
      <c r="BS212" s="39"/>
      <c r="BT212" s="39"/>
      <c r="BU212" s="334">
        <v>2923000</v>
      </c>
      <c r="BV212" s="334">
        <v>0</v>
      </c>
      <c r="BW212" s="39"/>
      <c r="BX212" s="39"/>
      <c r="BY212" s="39"/>
      <c r="BZ212" s="39">
        <v>199</v>
      </c>
      <c r="CA212" s="39" t="str">
        <f t="shared" si="143"/>
        <v/>
      </c>
      <c r="CB212" s="39"/>
      <c r="CC212" s="39"/>
      <c r="CD212" s="39"/>
      <c r="CE212" s="39"/>
      <c r="CF212" s="39"/>
      <c r="CG212" s="39"/>
      <c r="CH212" s="39"/>
      <c r="CI212" s="39"/>
      <c r="CJ212" s="39"/>
      <c r="CK212" s="39"/>
    </row>
    <row r="213" spans="1:89" s="193" customFormat="1">
      <c r="A213" s="195"/>
      <c r="B213" s="21" t="str">
        <f t="shared" si="113"/>
        <v>N/A</v>
      </c>
      <c r="C213" s="21"/>
      <c r="D213" s="432">
        <v>3201467</v>
      </c>
      <c r="E213" s="439" t="s">
        <v>3626</v>
      </c>
      <c r="F213" s="439" t="s">
        <v>3779</v>
      </c>
      <c r="G213" s="273" t="s">
        <v>3266</v>
      </c>
      <c r="H213" s="358"/>
      <c r="I213" s="262" t="s">
        <v>3492</v>
      </c>
      <c r="J213" s="262" t="s">
        <v>3509</v>
      </c>
      <c r="K213" s="263">
        <v>90000</v>
      </c>
      <c r="L213" s="263">
        <v>0</v>
      </c>
      <c r="M213" s="263">
        <v>0</v>
      </c>
      <c r="N213" s="263">
        <v>0</v>
      </c>
      <c r="O213" s="263">
        <v>0</v>
      </c>
      <c r="P213" s="263">
        <v>0</v>
      </c>
      <c r="Q213" s="263">
        <v>0</v>
      </c>
      <c r="R213" s="263">
        <v>0</v>
      </c>
      <c r="S213" s="263">
        <v>0</v>
      </c>
      <c r="T213" s="263">
        <v>0</v>
      </c>
      <c r="U213" s="263">
        <f t="shared" si="111"/>
        <v>90000</v>
      </c>
      <c r="V213" s="196" t="str">
        <f t="shared" si="114"/>
        <v>LOS/R</v>
      </c>
      <c r="W213" s="196" t="s">
        <v>1168</v>
      </c>
      <c r="X213" s="196" t="str">
        <f t="shared" si="112"/>
        <v>N</v>
      </c>
      <c r="Y213" s="197">
        <f t="shared" si="115"/>
        <v>90000</v>
      </c>
      <c r="Z213" s="198"/>
      <c r="AA213" s="197">
        <f t="shared" si="116"/>
        <v>90000</v>
      </c>
      <c r="AB213" s="196"/>
      <c r="AC213" s="196"/>
      <c r="AD213" s="275">
        <v>0</v>
      </c>
      <c r="AE213" s="275">
        <v>9.9264705882352935E-2</v>
      </c>
      <c r="AF213" s="275">
        <v>0.90073529411764708</v>
      </c>
      <c r="AG213" s="199"/>
      <c r="AH213" s="199"/>
      <c r="AI213" s="200">
        <f t="shared" si="117"/>
        <v>0</v>
      </c>
      <c r="AJ213" s="203"/>
      <c r="AK213" s="203"/>
      <c r="AL213" s="197">
        <f t="shared" si="118"/>
        <v>90000</v>
      </c>
      <c r="AM213" s="197">
        <f t="shared" si="119"/>
        <v>0</v>
      </c>
      <c r="AN213" s="197">
        <f t="shared" si="120"/>
        <v>0</v>
      </c>
      <c r="AO213" s="202"/>
      <c r="AP213" s="161" t="s">
        <v>3900</v>
      </c>
      <c r="AQ213" s="279"/>
      <c r="AR213" s="287">
        <f t="shared" si="121"/>
        <v>0</v>
      </c>
      <c r="AS213" s="287">
        <f t="shared" si="122"/>
        <v>0</v>
      </c>
      <c r="AT213" s="287">
        <f t="shared" si="123"/>
        <v>0</v>
      </c>
      <c r="AU213" s="287">
        <f t="shared" si="124"/>
        <v>0</v>
      </c>
      <c r="AV213" s="287">
        <f t="shared" si="125"/>
        <v>0</v>
      </c>
      <c r="AW213" s="287">
        <f t="shared" si="126"/>
        <v>0</v>
      </c>
      <c r="AX213" s="287">
        <f t="shared" si="127"/>
        <v>0</v>
      </c>
      <c r="AY213" s="287">
        <f t="shared" si="128"/>
        <v>0</v>
      </c>
      <c r="AZ213" s="287">
        <f t="shared" si="129"/>
        <v>0</v>
      </c>
      <c r="BA213" s="287">
        <f t="shared" si="130"/>
        <v>0</v>
      </c>
      <c r="BB213" s="16"/>
      <c r="BC213" s="287">
        <f t="shared" si="131"/>
        <v>0</v>
      </c>
      <c r="BD213" s="287">
        <f t="shared" si="132"/>
        <v>0</v>
      </c>
      <c r="BE213" s="287">
        <f t="shared" si="133"/>
        <v>0</v>
      </c>
      <c r="BF213" s="287">
        <f t="shared" si="134"/>
        <v>0</v>
      </c>
      <c r="BG213" s="287">
        <f t="shared" si="135"/>
        <v>0</v>
      </c>
      <c r="BH213" s="287">
        <f t="shared" si="136"/>
        <v>0</v>
      </c>
      <c r="BI213" s="287">
        <f t="shared" si="137"/>
        <v>0</v>
      </c>
      <c r="BJ213" s="287">
        <f t="shared" si="138"/>
        <v>0</v>
      </c>
      <c r="BK213" s="287">
        <f t="shared" si="139"/>
        <v>0</v>
      </c>
      <c r="BL213" s="287">
        <f t="shared" si="140"/>
        <v>0</v>
      </c>
      <c r="BM213" s="16"/>
      <c r="BN213" s="287">
        <f t="shared" si="141"/>
        <v>0</v>
      </c>
      <c r="BO213" s="287">
        <f t="shared" si="142"/>
        <v>0</v>
      </c>
      <c r="BP213" s="432"/>
      <c r="BQ213" s="21"/>
      <c r="BR213" s="21"/>
      <c r="BS213" s="39"/>
      <c r="BT213" s="39"/>
      <c r="BU213" s="334">
        <v>2737000</v>
      </c>
      <c r="BV213" s="334">
        <v>0</v>
      </c>
      <c r="BW213" s="39"/>
      <c r="BX213" s="39"/>
      <c r="BY213" s="39"/>
      <c r="BZ213" s="39">
        <v>200</v>
      </c>
      <c r="CA213" s="39" t="str">
        <f t="shared" si="143"/>
        <v/>
      </c>
      <c r="CB213" s="39"/>
      <c r="CC213" s="39"/>
      <c r="CD213" s="39"/>
      <c r="CE213" s="39"/>
      <c r="CF213" s="39"/>
      <c r="CG213" s="39"/>
      <c r="CH213" s="39"/>
      <c r="CI213" s="39"/>
      <c r="CJ213" s="39"/>
      <c r="CK213" s="39"/>
    </row>
    <row r="214" spans="1:89" s="193" customFormat="1">
      <c r="A214" s="195"/>
      <c r="B214" s="21" t="str">
        <f t="shared" si="113"/>
        <v>N/A</v>
      </c>
      <c r="C214" s="21"/>
      <c r="D214" s="432">
        <v>3201467</v>
      </c>
      <c r="E214" s="439" t="s">
        <v>3626</v>
      </c>
      <c r="F214" s="439" t="s">
        <v>3771</v>
      </c>
      <c r="G214" s="273" t="s">
        <v>3267</v>
      </c>
      <c r="H214" s="358"/>
      <c r="I214" s="262" t="s">
        <v>3492</v>
      </c>
      <c r="J214" s="262" t="s">
        <v>3524</v>
      </c>
      <c r="K214" s="263">
        <v>1502000</v>
      </c>
      <c r="L214" s="263">
        <v>320000</v>
      </c>
      <c r="M214" s="263">
        <v>0</v>
      </c>
      <c r="N214" s="263">
        <v>0</v>
      </c>
      <c r="O214" s="263">
        <v>0</v>
      </c>
      <c r="P214" s="263">
        <v>0</v>
      </c>
      <c r="Q214" s="263">
        <v>0</v>
      </c>
      <c r="R214" s="263">
        <v>0</v>
      </c>
      <c r="S214" s="263">
        <v>0</v>
      </c>
      <c r="T214" s="263">
        <v>0</v>
      </c>
      <c r="U214" s="263">
        <f t="shared" si="111"/>
        <v>1822000</v>
      </c>
      <c r="V214" s="196" t="str">
        <f t="shared" si="114"/>
        <v>G/LOS/R</v>
      </c>
      <c r="W214" s="196" t="s">
        <v>1168</v>
      </c>
      <c r="X214" s="196" t="str">
        <f t="shared" si="112"/>
        <v>Y</v>
      </c>
      <c r="Y214" s="197">
        <f t="shared" si="115"/>
        <v>1822000</v>
      </c>
      <c r="Z214" s="198"/>
      <c r="AA214" s="197">
        <f t="shared" si="116"/>
        <v>1822000</v>
      </c>
      <c r="AB214" s="196" t="s">
        <v>1168</v>
      </c>
      <c r="AC214" s="196"/>
      <c r="AD214" s="275">
        <v>0.10064341078420108</v>
      </c>
      <c r="AE214" s="275">
        <v>3.3547803594733694E-2</v>
      </c>
      <c r="AF214" s="275">
        <v>0.86580878562106522</v>
      </c>
      <c r="AG214" s="199"/>
      <c r="AH214" s="199"/>
      <c r="AI214" s="200">
        <f t="shared" si="117"/>
        <v>0</v>
      </c>
      <c r="AJ214" s="203"/>
      <c r="AK214" s="203"/>
      <c r="AL214" s="197">
        <f t="shared" si="118"/>
        <v>1822000</v>
      </c>
      <c r="AM214" s="197">
        <f t="shared" si="119"/>
        <v>0</v>
      </c>
      <c r="AN214" s="197">
        <f t="shared" si="120"/>
        <v>0</v>
      </c>
      <c r="AO214" s="202"/>
      <c r="AP214" s="161" t="s">
        <v>3900</v>
      </c>
      <c r="AQ214" s="279"/>
      <c r="AR214" s="287">
        <f t="shared" si="121"/>
        <v>0</v>
      </c>
      <c r="AS214" s="287">
        <f t="shared" si="122"/>
        <v>0</v>
      </c>
      <c r="AT214" s="287">
        <f t="shared" si="123"/>
        <v>0</v>
      </c>
      <c r="AU214" s="287">
        <f t="shared" si="124"/>
        <v>0</v>
      </c>
      <c r="AV214" s="287">
        <f t="shared" si="125"/>
        <v>0</v>
      </c>
      <c r="AW214" s="287">
        <f t="shared" si="126"/>
        <v>0</v>
      </c>
      <c r="AX214" s="287">
        <f t="shared" si="127"/>
        <v>0</v>
      </c>
      <c r="AY214" s="287">
        <f t="shared" si="128"/>
        <v>0</v>
      </c>
      <c r="AZ214" s="287">
        <f t="shared" si="129"/>
        <v>0</v>
      </c>
      <c r="BA214" s="287">
        <f t="shared" si="130"/>
        <v>0</v>
      </c>
      <c r="BB214" s="16"/>
      <c r="BC214" s="287">
        <f t="shared" si="131"/>
        <v>0</v>
      </c>
      <c r="BD214" s="287">
        <f t="shared" si="132"/>
        <v>0</v>
      </c>
      <c r="BE214" s="287">
        <f t="shared" si="133"/>
        <v>0</v>
      </c>
      <c r="BF214" s="287">
        <f t="shared" si="134"/>
        <v>0</v>
      </c>
      <c r="BG214" s="287">
        <f t="shared" si="135"/>
        <v>0</v>
      </c>
      <c r="BH214" s="287">
        <f t="shared" si="136"/>
        <v>0</v>
      </c>
      <c r="BI214" s="287">
        <f t="shared" si="137"/>
        <v>0</v>
      </c>
      <c r="BJ214" s="287">
        <f t="shared" si="138"/>
        <v>0</v>
      </c>
      <c r="BK214" s="287">
        <f t="shared" si="139"/>
        <v>0</v>
      </c>
      <c r="BL214" s="287">
        <f t="shared" si="140"/>
        <v>0</v>
      </c>
      <c r="BM214" s="16"/>
      <c r="BN214" s="287">
        <f t="shared" si="141"/>
        <v>0</v>
      </c>
      <c r="BO214" s="287">
        <f t="shared" si="142"/>
        <v>0</v>
      </c>
      <c r="BP214" s="432"/>
      <c r="BQ214" s="21"/>
      <c r="BR214" s="21"/>
      <c r="BS214" s="39"/>
      <c r="BT214" s="39"/>
      <c r="BU214" s="334">
        <v>125960</v>
      </c>
      <c r="BV214" s="334">
        <v>0</v>
      </c>
      <c r="BW214" s="39"/>
      <c r="BX214" s="39"/>
      <c r="BY214" s="39"/>
      <c r="BZ214" s="39">
        <v>201</v>
      </c>
      <c r="CA214" s="39" t="str">
        <f t="shared" si="143"/>
        <v/>
      </c>
      <c r="CB214" s="39"/>
      <c r="CC214" s="39"/>
      <c r="CD214" s="39"/>
      <c r="CE214" s="39"/>
      <c r="CF214" s="39"/>
      <c r="CG214" s="39"/>
      <c r="CH214" s="39"/>
      <c r="CI214" s="39"/>
      <c r="CJ214" s="39"/>
      <c r="CK214" s="39"/>
    </row>
    <row r="215" spans="1:89" s="193" customFormat="1">
      <c r="A215" s="195"/>
      <c r="B215" s="21" t="str">
        <f t="shared" si="113"/>
        <v>N/A</v>
      </c>
      <c r="C215" s="21"/>
      <c r="D215" s="432">
        <v>3201467</v>
      </c>
      <c r="E215" s="439" t="s">
        <v>3626</v>
      </c>
      <c r="F215" s="439" t="s">
        <v>3774</v>
      </c>
      <c r="G215" s="273" t="s">
        <v>3273</v>
      </c>
      <c r="H215" s="358"/>
      <c r="I215" s="262" t="s">
        <v>3492</v>
      </c>
      <c r="J215" s="262" t="s">
        <v>3512</v>
      </c>
      <c r="K215" s="263">
        <v>320000</v>
      </c>
      <c r="L215" s="263">
        <v>250000</v>
      </c>
      <c r="M215" s="263">
        <v>0</v>
      </c>
      <c r="N215" s="263">
        <v>0</v>
      </c>
      <c r="O215" s="263">
        <v>0</v>
      </c>
      <c r="P215" s="263">
        <v>0</v>
      </c>
      <c r="Q215" s="263">
        <v>0</v>
      </c>
      <c r="R215" s="263">
        <v>0</v>
      </c>
      <c r="S215" s="263">
        <v>0</v>
      </c>
      <c r="T215" s="263">
        <v>0</v>
      </c>
      <c r="U215" s="263">
        <f t="shared" si="111"/>
        <v>570000</v>
      </c>
      <c r="V215" s="196" t="str">
        <f t="shared" si="114"/>
        <v>G/LOS/R</v>
      </c>
      <c r="W215" s="196" t="s">
        <v>1168</v>
      </c>
      <c r="X215" s="196" t="str">
        <f t="shared" si="112"/>
        <v>Y</v>
      </c>
      <c r="Y215" s="197">
        <f t="shared" si="115"/>
        <v>570000</v>
      </c>
      <c r="Z215" s="198"/>
      <c r="AA215" s="197">
        <f t="shared" si="116"/>
        <v>570000</v>
      </c>
      <c r="AB215" s="196" t="s">
        <v>1168</v>
      </c>
      <c r="AC215" s="196"/>
      <c r="AD215" s="275">
        <v>0.67678100263852248</v>
      </c>
      <c r="AE215" s="275">
        <v>0.22559366754617416</v>
      </c>
      <c r="AF215" s="275">
        <v>9.7625329815303433E-2</v>
      </c>
      <c r="AG215" s="199"/>
      <c r="AH215" s="199"/>
      <c r="AI215" s="200">
        <f t="shared" si="117"/>
        <v>0</v>
      </c>
      <c r="AJ215" s="203"/>
      <c r="AK215" s="203"/>
      <c r="AL215" s="197">
        <f t="shared" si="118"/>
        <v>570000</v>
      </c>
      <c r="AM215" s="197">
        <f t="shared" si="119"/>
        <v>0</v>
      </c>
      <c r="AN215" s="197">
        <f t="shared" si="120"/>
        <v>0</v>
      </c>
      <c r="AO215" s="202"/>
      <c r="AP215" s="161" t="s">
        <v>3900</v>
      </c>
      <c r="AQ215" s="279"/>
      <c r="AR215" s="287">
        <f t="shared" si="121"/>
        <v>0</v>
      </c>
      <c r="AS215" s="287">
        <f t="shared" si="122"/>
        <v>0</v>
      </c>
      <c r="AT215" s="287">
        <f t="shared" si="123"/>
        <v>0</v>
      </c>
      <c r="AU215" s="287">
        <f t="shared" si="124"/>
        <v>0</v>
      </c>
      <c r="AV215" s="287">
        <f t="shared" si="125"/>
        <v>0</v>
      </c>
      <c r="AW215" s="287">
        <f t="shared" si="126"/>
        <v>0</v>
      </c>
      <c r="AX215" s="287">
        <f t="shared" si="127"/>
        <v>0</v>
      </c>
      <c r="AY215" s="287">
        <f t="shared" si="128"/>
        <v>0</v>
      </c>
      <c r="AZ215" s="287">
        <f t="shared" si="129"/>
        <v>0</v>
      </c>
      <c r="BA215" s="287">
        <f t="shared" si="130"/>
        <v>0</v>
      </c>
      <c r="BB215" s="16"/>
      <c r="BC215" s="287">
        <f t="shared" si="131"/>
        <v>0</v>
      </c>
      <c r="BD215" s="287">
        <f t="shared" si="132"/>
        <v>0</v>
      </c>
      <c r="BE215" s="287">
        <f t="shared" si="133"/>
        <v>0</v>
      </c>
      <c r="BF215" s="287">
        <f t="shared" si="134"/>
        <v>0</v>
      </c>
      <c r="BG215" s="287">
        <f t="shared" si="135"/>
        <v>0</v>
      </c>
      <c r="BH215" s="287">
        <f t="shared" si="136"/>
        <v>0</v>
      </c>
      <c r="BI215" s="287">
        <f t="shared" si="137"/>
        <v>0</v>
      </c>
      <c r="BJ215" s="287">
        <f t="shared" si="138"/>
        <v>0</v>
      </c>
      <c r="BK215" s="287">
        <f t="shared" si="139"/>
        <v>0</v>
      </c>
      <c r="BL215" s="287">
        <f t="shared" si="140"/>
        <v>0</v>
      </c>
      <c r="BM215" s="16"/>
      <c r="BN215" s="287">
        <f t="shared" si="141"/>
        <v>0</v>
      </c>
      <c r="BO215" s="287">
        <f t="shared" si="142"/>
        <v>0</v>
      </c>
      <c r="BP215" s="432"/>
      <c r="BQ215" s="21"/>
      <c r="BR215" s="21"/>
      <c r="BS215" s="39"/>
      <c r="BT215" s="39"/>
      <c r="BU215" s="334">
        <v>525600</v>
      </c>
      <c r="BV215" s="334">
        <v>0</v>
      </c>
      <c r="BW215" s="39"/>
      <c r="BX215" s="39"/>
      <c r="BY215" s="39"/>
      <c r="BZ215" s="39">
        <v>202</v>
      </c>
      <c r="CA215" s="39" t="str">
        <f t="shared" si="143"/>
        <v/>
      </c>
      <c r="CB215" s="39"/>
      <c r="CC215" s="39"/>
      <c r="CD215" s="39"/>
      <c r="CE215" s="39"/>
      <c r="CF215" s="39"/>
      <c r="CG215" s="39"/>
      <c r="CH215" s="39"/>
      <c r="CI215" s="39"/>
      <c r="CJ215" s="39"/>
      <c r="CK215" s="39"/>
    </row>
    <row r="216" spans="1:89" s="193" customFormat="1">
      <c r="A216" s="195"/>
      <c r="B216" s="21" t="str">
        <f t="shared" si="113"/>
        <v>N/A</v>
      </c>
      <c r="C216" s="21"/>
      <c r="D216" s="432">
        <v>3201467</v>
      </c>
      <c r="E216" s="439" t="s">
        <v>3626</v>
      </c>
      <c r="F216" s="439" t="s">
        <v>3772</v>
      </c>
      <c r="G216" s="273" t="s">
        <v>3268</v>
      </c>
      <c r="H216" s="358"/>
      <c r="I216" s="262" t="s">
        <v>3492</v>
      </c>
      <c r="J216" s="262" t="s">
        <v>3525</v>
      </c>
      <c r="K216" s="263">
        <v>890000</v>
      </c>
      <c r="L216" s="263">
        <v>200000</v>
      </c>
      <c r="M216" s="263">
        <v>0</v>
      </c>
      <c r="N216" s="263">
        <v>0</v>
      </c>
      <c r="O216" s="263">
        <v>0</v>
      </c>
      <c r="P216" s="263">
        <v>0</v>
      </c>
      <c r="Q216" s="263">
        <v>0</v>
      </c>
      <c r="R216" s="263">
        <v>0</v>
      </c>
      <c r="S216" s="263">
        <v>0</v>
      </c>
      <c r="T216" s="263">
        <v>0</v>
      </c>
      <c r="U216" s="263">
        <f t="shared" si="111"/>
        <v>1090000</v>
      </c>
      <c r="V216" s="196" t="str">
        <f t="shared" si="114"/>
        <v>G/LOS/R</v>
      </c>
      <c r="W216" s="196" t="s">
        <v>1168</v>
      </c>
      <c r="X216" s="196" t="str">
        <f t="shared" si="112"/>
        <v>Y</v>
      </c>
      <c r="Y216" s="197">
        <f t="shared" si="115"/>
        <v>1090000</v>
      </c>
      <c r="Z216" s="198"/>
      <c r="AA216" s="197">
        <f t="shared" si="116"/>
        <v>1090000</v>
      </c>
      <c r="AB216" s="196" t="s">
        <v>1168</v>
      </c>
      <c r="AC216" s="196"/>
      <c r="AD216" s="275">
        <v>0.1892361111111111</v>
      </c>
      <c r="AE216" s="275">
        <v>6.3078703703703706E-2</v>
      </c>
      <c r="AF216" s="275">
        <v>0.74768518518518523</v>
      </c>
      <c r="AG216" s="199"/>
      <c r="AH216" s="199"/>
      <c r="AI216" s="200">
        <f t="shared" si="117"/>
        <v>0</v>
      </c>
      <c r="AJ216" s="203"/>
      <c r="AK216" s="203"/>
      <c r="AL216" s="197">
        <f t="shared" si="118"/>
        <v>1090000</v>
      </c>
      <c r="AM216" s="197">
        <f t="shared" si="119"/>
        <v>0</v>
      </c>
      <c r="AN216" s="197">
        <f t="shared" si="120"/>
        <v>0</v>
      </c>
      <c r="AO216" s="202"/>
      <c r="AP216" s="161" t="s">
        <v>3900</v>
      </c>
      <c r="AQ216" s="279"/>
      <c r="AR216" s="287">
        <f t="shared" si="121"/>
        <v>0</v>
      </c>
      <c r="AS216" s="287">
        <f t="shared" si="122"/>
        <v>0</v>
      </c>
      <c r="AT216" s="287">
        <f t="shared" si="123"/>
        <v>0</v>
      </c>
      <c r="AU216" s="287">
        <f t="shared" si="124"/>
        <v>0</v>
      </c>
      <c r="AV216" s="287">
        <f t="shared" si="125"/>
        <v>0</v>
      </c>
      <c r="AW216" s="287">
        <f t="shared" si="126"/>
        <v>0</v>
      </c>
      <c r="AX216" s="287">
        <f t="shared" si="127"/>
        <v>0</v>
      </c>
      <c r="AY216" s="287">
        <f t="shared" si="128"/>
        <v>0</v>
      </c>
      <c r="AZ216" s="287">
        <f t="shared" si="129"/>
        <v>0</v>
      </c>
      <c r="BA216" s="287">
        <f t="shared" si="130"/>
        <v>0</v>
      </c>
      <c r="BB216" s="16"/>
      <c r="BC216" s="287">
        <f t="shared" si="131"/>
        <v>0</v>
      </c>
      <c r="BD216" s="287">
        <f t="shared" si="132"/>
        <v>0</v>
      </c>
      <c r="BE216" s="287">
        <f t="shared" si="133"/>
        <v>0</v>
      </c>
      <c r="BF216" s="287">
        <f t="shared" si="134"/>
        <v>0</v>
      </c>
      <c r="BG216" s="287">
        <f t="shared" si="135"/>
        <v>0</v>
      </c>
      <c r="BH216" s="287">
        <f t="shared" si="136"/>
        <v>0</v>
      </c>
      <c r="BI216" s="287">
        <f t="shared" si="137"/>
        <v>0</v>
      </c>
      <c r="BJ216" s="287">
        <f t="shared" si="138"/>
        <v>0</v>
      </c>
      <c r="BK216" s="287">
        <f t="shared" si="139"/>
        <v>0</v>
      </c>
      <c r="BL216" s="287">
        <f t="shared" si="140"/>
        <v>0</v>
      </c>
      <c r="BM216" s="16"/>
      <c r="BN216" s="287">
        <f t="shared" si="141"/>
        <v>0</v>
      </c>
      <c r="BO216" s="287">
        <f t="shared" si="142"/>
        <v>0</v>
      </c>
      <c r="BP216" s="432"/>
      <c r="BQ216" s="21"/>
      <c r="BR216" s="21"/>
      <c r="BS216" s="39"/>
      <c r="BT216" s="39"/>
      <c r="BU216" s="334">
        <v>63050</v>
      </c>
      <c r="BV216" s="334">
        <v>0</v>
      </c>
      <c r="BW216" s="39"/>
      <c r="BX216" s="39"/>
      <c r="BY216" s="39"/>
      <c r="BZ216" s="39">
        <v>203</v>
      </c>
      <c r="CA216" s="39" t="str">
        <f t="shared" si="143"/>
        <v/>
      </c>
      <c r="CB216" s="39"/>
      <c r="CC216" s="39"/>
      <c r="CD216" s="39"/>
      <c r="CE216" s="39"/>
      <c r="CF216" s="39"/>
      <c r="CG216" s="39"/>
      <c r="CH216" s="39"/>
      <c r="CI216" s="39"/>
      <c r="CJ216" s="39"/>
      <c r="CK216" s="39"/>
    </row>
    <row r="217" spans="1:89" s="193" customFormat="1">
      <c r="A217" s="195"/>
      <c r="B217" s="21" t="str">
        <f t="shared" si="113"/>
        <v>N/A</v>
      </c>
      <c r="C217" s="21"/>
      <c r="D217" s="432">
        <v>3201467</v>
      </c>
      <c r="E217" s="439" t="s">
        <v>3626</v>
      </c>
      <c r="F217" s="439" t="s">
        <v>3773</v>
      </c>
      <c r="G217" s="273" t="s">
        <v>3269</v>
      </c>
      <c r="H217" s="358"/>
      <c r="I217" s="262" t="s">
        <v>3492</v>
      </c>
      <c r="J217" s="262" t="s">
        <v>3522</v>
      </c>
      <c r="K217" s="263">
        <v>190000</v>
      </c>
      <c r="L217" s="263">
        <v>200000</v>
      </c>
      <c r="M217" s="263">
        <v>50000</v>
      </c>
      <c r="N217" s="263">
        <v>0</v>
      </c>
      <c r="O217" s="263">
        <v>0</v>
      </c>
      <c r="P217" s="263">
        <v>0</v>
      </c>
      <c r="Q217" s="263">
        <v>0</v>
      </c>
      <c r="R217" s="263">
        <v>0</v>
      </c>
      <c r="S217" s="263">
        <v>0</v>
      </c>
      <c r="T217" s="263">
        <v>0</v>
      </c>
      <c r="U217" s="263">
        <f t="shared" si="111"/>
        <v>440000</v>
      </c>
      <c r="V217" s="196" t="str">
        <f t="shared" si="114"/>
        <v>G/LOS/R</v>
      </c>
      <c r="W217" s="196" t="s">
        <v>1168</v>
      </c>
      <c r="X217" s="196" t="str">
        <f t="shared" si="112"/>
        <v>Y</v>
      </c>
      <c r="Y217" s="197">
        <f t="shared" si="115"/>
        <v>440000</v>
      </c>
      <c r="Z217" s="198"/>
      <c r="AA217" s="197">
        <f t="shared" si="116"/>
        <v>440000</v>
      </c>
      <c r="AB217" s="196" t="s">
        <v>1168</v>
      </c>
      <c r="AC217" s="196"/>
      <c r="AD217" s="275">
        <v>0.53289696787008078</v>
      </c>
      <c r="AE217" s="275">
        <v>0.17763232262336026</v>
      </c>
      <c r="AF217" s="275">
        <v>0.28947070950655895</v>
      </c>
      <c r="AG217" s="199"/>
      <c r="AH217" s="199"/>
      <c r="AI217" s="200">
        <f t="shared" si="117"/>
        <v>0</v>
      </c>
      <c r="AJ217" s="203"/>
      <c r="AK217" s="203"/>
      <c r="AL217" s="197">
        <f t="shared" si="118"/>
        <v>440000</v>
      </c>
      <c r="AM217" s="197">
        <f t="shared" si="119"/>
        <v>0</v>
      </c>
      <c r="AN217" s="197">
        <f t="shared" si="120"/>
        <v>0</v>
      </c>
      <c r="AO217" s="202"/>
      <c r="AP217" s="161" t="s">
        <v>3900</v>
      </c>
      <c r="AQ217" s="279"/>
      <c r="AR217" s="287">
        <f t="shared" si="121"/>
        <v>0</v>
      </c>
      <c r="AS217" s="287">
        <f t="shared" si="122"/>
        <v>0</v>
      </c>
      <c r="AT217" s="287">
        <f t="shared" si="123"/>
        <v>0</v>
      </c>
      <c r="AU217" s="287">
        <f t="shared" si="124"/>
        <v>0</v>
      </c>
      <c r="AV217" s="287">
        <f t="shared" si="125"/>
        <v>0</v>
      </c>
      <c r="AW217" s="287">
        <f t="shared" si="126"/>
        <v>0</v>
      </c>
      <c r="AX217" s="287">
        <f t="shared" si="127"/>
        <v>0</v>
      </c>
      <c r="AY217" s="287">
        <f t="shared" si="128"/>
        <v>0</v>
      </c>
      <c r="AZ217" s="287">
        <f t="shared" si="129"/>
        <v>0</v>
      </c>
      <c r="BA217" s="287">
        <f t="shared" si="130"/>
        <v>0</v>
      </c>
      <c r="BB217" s="16"/>
      <c r="BC217" s="287">
        <f t="shared" si="131"/>
        <v>0</v>
      </c>
      <c r="BD217" s="287">
        <f t="shared" si="132"/>
        <v>0</v>
      </c>
      <c r="BE217" s="287">
        <f t="shared" si="133"/>
        <v>0</v>
      </c>
      <c r="BF217" s="287">
        <f t="shared" si="134"/>
        <v>0</v>
      </c>
      <c r="BG217" s="287">
        <f t="shared" si="135"/>
        <v>0</v>
      </c>
      <c r="BH217" s="287">
        <f t="shared" si="136"/>
        <v>0</v>
      </c>
      <c r="BI217" s="287">
        <f t="shared" si="137"/>
        <v>0</v>
      </c>
      <c r="BJ217" s="287">
        <f t="shared" si="138"/>
        <v>0</v>
      </c>
      <c r="BK217" s="287">
        <f t="shared" si="139"/>
        <v>0</v>
      </c>
      <c r="BL217" s="287">
        <f t="shared" si="140"/>
        <v>0</v>
      </c>
      <c r="BM217" s="16"/>
      <c r="BN217" s="287">
        <f t="shared" si="141"/>
        <v>0</v>
      </c>
      <c r="BO217" s="287">
        <f t="shared" si="142"/>
        <v>0</v>
      </c>
      <c r="BP217" s="432"/>
      <c r="BQ217" s="21"/>
      <c r="BR217" s="21"/>
      <c r="BS217" s="39"/>
      <c r="BT217" s="39"/>
      <c r="BU217" s="334">
        <v>28180</v>
      </c>
      <c r="BV217" s="334">
        <v>0</v>
      </c>
      <c r="BW217" s="39"/>
      <c r="BX217" s="39"/>
      <c r="BY217" s="39"/>
      <c r="BZ217" s="39">
        <v>204</v>
      </c>
      <c r="CA217" s="39" t="str">
        <f t="shared" si="143"/>
        <v/>
      </c>
      <c r="CB217" s="39"/>
      <c r="CC217" s="39"/>
      <c r="CD217" s="39"/>
      <c r="CE217" s="39"/>
      <c r="CF217" s="39"/>
      <c r="CG217" s="39"/>
      <c r="CH217" s="39"/>
      <c r="CI217" s="39"/>
      <c r="CJ217" s="39"/>
      <c r="CK217" s="39"/>
    </row>
    <row r="218" spans="1:89" s="193" customFormat="1">
      <c r="A218" s="195"/>
      <c r="B218" s="21" t="str">
        <f t="shared" si="113"/>
        <v>N/A</v>
      </c>
      <c r="C218" s="21"/>
      <c r="D218" s="432">
        <v>3201467</v>
      </c>
      <c r="E218" s="439" t="s">
        <v>3626</v>
      </c>
      <c r="F218" s="439" t="s">
        <v>3780</v>
      </c>
      <c r="G218" s="273" t="s">
        <v>3274</v>
      </c>
      <c r="H218" s="358"/>
      <c r="I218" s="262" t="s">
        <v>3492</v>
      </c>
      <c r="J218" s="262" t="s">
        <v>3515</v>
      </c>
      <c r="K218" s="263">
        <v>130000</v>
      </c>
      <c r="L218" s="263">
        <v>0</v>
      </c>
      <c r="M218" s="263">
        <v>0</v>
      </c>
      <c r="N218" s="263">
        <v>0</v>
      </c>
      <c r="O218" s="263">
        <v>0</v>
      </c>
      <c r="P218" s="263">
        <v>0</v>
      </c>
      <c r="Q218" s="263">
        <v>0</v>
      </c>
      <c r="R218" s="263">
        <v>0</v>
      </c>
      <c r="S218" s="263">
        <v>0</v>
      </c>
      <c r="T218" s="263">
        <v>0</v>
      </c>
      <c r="U218" s="263">
        <f t="shared" si="111"/>
        <v>130000</v>
      </c>
      <c r="V218" s="196" t="str">
        <f t="shared" si="114"/>
        <v>LOS/R</v>
      </c>
      <c r="W218" s="196" t="s">
        <v>1168</v>
      </c>
      <c r="X218" s="196" t="str">
        <f t="shared" si="112"/>
        <v>N</v>
      </c>
      <c r="Y218" s="197">
        <f t="shared" si="115"/>
        <v>130000</v>
      </c>
      <c r="Z218" s="198"/>
      <c r="AA218" s="197">
        <f t="shared" si="116"/>
        <v>130000</v>
      </c>
      <c r="AB218" s="196"/>
      <c r="AC218" s="196"/>
      <c r="AD218" s="275">
        <v>0</v>
      </c>
      <c r="AE218" s="275">
        <v>8.8838268792710701E-2</v>
      </c>
      <c r="AF218" s="275">
        <v>0.91116173120728927</v>
      </c>
      <c r="AG218" s="199"/>
      <c r="AH218" s="199"/>
      <c r="AI218" s="200">
        <f t="shared" si="117"/>
        <v>0</v>
      </c>
      <c r="AJ218" s="203"/>
      <c r="AK218" s="203"/>
      <c r="AL218" s="197">
        <f t="shared" si="118"/>
        <v>130000</v>
      </c>
      <c r="AM218" s="197">
        <f t="shared" si="119"/>
        <v>0</v>
      </c>
      <c r="AN218" s="197">
        <f t="shared" si="120"/>
        <v>0</v>
      </c>
      <c r="AO218" s="202"/>
      <c r="AP218" s="161" t="s">
        <v>3900</v>
      </c>
      <c r="AQ218" s="279"/>
      <c r="AR218" s="287">
        <f t="shared" si="121"/>
        <v>0</v>
      </c>
      <c r="AS218" s="287">
        <f t="shared" si="122"/>
        <v>0</v>
      </c>
      <c r="AT218" s="287">
        <f t="shared" si="123"/>
        <v>0</v>
      </c>
      <c r="AU218" s="287">
        <f t="shared" si="124"/>
        <v>0</v>
      </c>
      <c r="AV218" s="287">
        <f t="shared" si="125"/>
        <v>0</v>
      </c>
      <c r="AW218" s="287">
        <f t="shared" si="126"/>
        <v>0</v>
      </c>
      <c r="AX218" s="287">
        <f t="shared" si="127"/>
        <v>0</v>
      </c>
      <c r="AY218" s="287">
        <f t="shared" si="128"/>
        <v>0</v>
      </c>
      <c r="AZ218" s="287">
        <f t="shared" si="129"/>
        <v>0</v>
      </c>
      <c r="BA218" s="287">
        <f t="shared" si="130"/>
        <v>0</v>
      </c>
      <c r="BB218" s="16"/>
      <c r="BC218" s="287">
        <f t="shared" si="131"/>
        <v>0</v>
      </c>
      <c r="BD218" s="287">
        <f t="shared" si="132"/>
        <v>0</v>
      </c>
      <c r="BE218" s="287">
        <f t="shared" si="133"/>
        <v>0</v>
      </c>
      <c r="BF218" s="287">
        <f t="shared" si="134"/>
        <v>0</v>
      </c>
      <c r="BG218" s="287">
        <f t="shared" si="135"/>
        <v>0</v>
      </c>
      <c r="BH218" s="287">
        <f t="shared" si="136"/>
        <v>0</v>
      </c>
      <c r="BI218" s="287">
        <f t="shared" si="137"/>
        <v>0</v>
      </c>
      <c r="BJ218" s="287">
        <f t="shared" si="138"/>
        <v>0</v>
      </c>
      <c r="BK218" s="287">
        <f t="shared" si="139"/>
        <v>0</v>
      </c>
      <c r="BL218" s="287">
        <f t="shared" si="140"/>
        <v>0</v>
      </c>
      <c r="BM218" s="16"/>
      <c r="BN218" s="287">
        <f t="shared" si="141"/>
        <v>0</v>
      </c>
      <c r="BO218" s="287">
        <f t="shared" si="142"/>
        <v>0</v>
      </c>
      <c r="BP218" s="432"/>
      <c r="BQ218" s="21"/>
      <c r="BR218" s="21"/>
      <c r="BS218" s="39"/>
      <c r="BT218" s="39"/>
      <c r="BU218" s="334">
        <v>6300</v>
      </c>
      <c r="BV218" s="334">
        <v>0</v>
      </c>
      <c r="BW218" s="39"/>
      <c r="BX218" s="39"/>
      <c r="BY218" s="39"/>
      <c r="BZ218" s="39">
        <v>205</v>
      </c>
      <c r="CA218" s="39" t="str">
        <f t="shared" si="143"/>
        <v/>
      </c>
      <c r="CB218" s="39"/>
      <c r="CC218" s="39"/>
      <c r="CD218" s="39"/>
      <c r="CE218" s="39"/>
      <c r="CF218" s="39"/>
      <c r="CG218" s="39"/>
      <c r="CH218" s="39"/>
      <c r="CI218" s="39"/>
      <c r="CJ218" s="39"/>
      <c r="CK218" s="39"/>
    </row>
    <row r="219" spans="1:89" s="193" customFormat="1">
      <c r="A219" s="195"/>
      <c r="B219" s="21" t="str">
        <f t="shared" si="113"/>
        <v>N/A</v>
      </c>
      <c r="C219" s="21"/>
      <c r="D219" s="432">
        <v>3201467</v>
      </c>
      <c r="E219" s="439" t="s">
        <v>3626</v>
      </c>
      <c r="F219" s="439" t="s">
        <v>3786</v>
      </c>
      <c r="G219" s="273" t="s">
        <v>3277</v>
      </c>
      <c r="H219" s="358"/>
      <c r="I219" s="262" t="s">
        <v>3492</v>
      </c>
      <c r="J219" s="262" t="s">
        <v>3504</v>
      </c>
      <c r="K219" s="263">
        <v>0</v>
      </c>
      <c r="L219" s="263">
        <v>639092</v>
      </c>
      <c r="M219" s="263">
        <v>0</v>
      </c>
      <c r="N219" s="263">
        <v>0</v>
      </c>
      <c r="O219" s="263">
        <v>0</v>
      </c>
      <c r="P219" s="263">
        <v>0</v>
      </c>
      <c r="Q219" s="263">
        <v>0</v>
      </c>
      <c r="R219" s="263">
        <v>0</v>
      </c>
      <c r="S219" s="263">
        <v>0</v>
      </c>
      <c r="T219" s="263">
        <v>0</v>
      </c>
      <c r="U219" s="263">
        <f t="shared" si="111"/>
        <v>639092</v>
      </c>
      <c r="V219" s="196" t="str">
        <f t="shared" si="114"/>
        <v>R</v>
      </c>
      <c r="W219" s="196" t="s">
        <v>1168</v>
      </c>
      <c r="X219" s="196" t="str">
        <f t="shared" si="112"/>
        <v>N</v>
      </c>
      <c r="Y219" s="197">
        <f t="shared" si="115"/>
        <v>639092</v>
      </c>
      <c r="Z219" s="198"/>
      <c r="AA219" s="197">
        <f t="shared" si="116"/>
        <v>639092</v>
      </c>
      <c r="AB219" s="196"/>
      <c r="AC219" s="196"/>
      <c r="AD219" s="275">
        <v>0</v>
      </c>
      <c r="AE219" s="275">
        <v>0</v>
      </c>
      <c r="AF219" s="275">
        <v>1</v>
      </c>
      <c r="AG219" s="199"/>
      <c r="AH219" s="199"/>
      <c r="AI219" s="200">
        <f t="shared" si="117"/>
        <v>0</v>
      </c>
      <c r="AJ219" s="203"/>
      <c r="AK219" s="203"/>
      <c r="AL219" s="197">
        <f t="shared" si="118"/>
        <v>639092</v>
      </c>
      <c r="AM219" s="197">
        <f t="shared" si="119"/>
        <v>0</v>
      </c>
      <c r="AN219" s="197">
        <f t="shared" si="120"/>
        <v>0</v>
      </c>
      <c r="AO219" s="202"/>
      <c r="AP219" s="161" t="s">
        <v>3900</v>
      </c>
      <c r="AQ219" s="279"/>
      <c r="AR219" s="287">
        <f t="shared" si="121"/>
        <v>0</v>
      </c>
      <c r="AS219" s="287">
        <f t="shared" si="122"/>
        <v>0</v>
      </c>
      <c r="AT219" s="287">
        <f t="shared" si="123"/>
        <v>0</v>
      </c>
      <c r="AU219" s="287">
        <f t="shared" si="124"/>
        <v>0</v>
      </c>
      <c r="AV219" s="287">
        <f t="shared" si="125"/>
        <v>0</v>
      </c>
      <c r="AW219" s="287">
        <f t="shared" si="126"/>
        <v>0</v>
      </c>
      <c r="AX219" s="287">
        <f t="shared" si="127"/>
        <v>0</v>
      </c>
      <c r="AY219" s="287">
        <f t="shared" si="128"/>
        <v>0</v>
      </c>
      <c r="AZ219" s="287">
        <f t="shared" si="129"/>
        <v>0</v>
      </c>
      <c r="BA219" s="287">
        <f t="shared" si="130"/>
        <v>0</v>
      </c>
      <c r="BB219" s="16"/>
      <c r="BC219" s="287">
        <f t="shared" si="131"/>
        <v>0</v>
      </c>
      <c r="BD219" s="287">
        <f t="shared" si="132"/>
        <v>0</v>
      </c>
      <c r="BE219" s="287">
        <f t="shared" si="133"/>
        <v>0</v>
      </c>
      <c r="BF219" s="287">
        <f t="shared" si="134"/>
        <v>0</v>
      </c>
      <c r="BG219" s="287">
        <f t="shared" si="135"/>
        <v>0</v>
      </c>
      <c r="BH219" s="287">
        <f t="shared" si="136"/>
        <v>0</v>
      </c>
      <c r="BI219" s="287">
        <f t="shared" si="137"/>
        <v>0</v>
      </c>
      <c r="BJ219" s="287">
        <f t="shared" si="138"/>
        <v>0</v>
      </c>
      <c r="BK219" s="287">
        <f t="shared" si="139"/>
        <v>0</v>
      </c>
      <c r="BL219" s="287">
        <f t="shared" si="140"/>
        <v>0</v>
      </c>
      <c r="BM219" s="16"/>
      <c r="BN219" s="287">
        <f t="shared" si="141"/>
        <v>0</v>
      </c>
      <c r="BO219" s="287">
        <f t="shared" si="142"/>
        <v>0</v>
      </c>
      <c r="BP219" s="432"/>
      <c r="BQ219" s="21"/>
      <c r="BR219" s="21"/>
      <c r="BS219" s="39"/>
      <c r="BT219" s="39"/>
      <c r="BU219" s="334">
        <v>204700</v>
      </c>
      <c r="BV219" s="334">
        <v>0</v>
      </c>
      <c r="BW219" s="39"/>
      <c r="BX219" s="39"/>
      <c r="BY219" s="39"/>
      <c r="BZ219" s="39">
        <v>206</v>
      </c>
      <c r="CA219" s="39" t="str">
        <f t="shared" si="143"/>
        <v/>
      </c>
      <c r="CB219" s="39"/>
      <c r="CC219" s="39"/>
      <c r="CD219" s="39"/>
      <c r="CE219" s="39"/>
      <c r="CF219" s="39"/>
      <c r="CG219" s="39"/>
      <c r="CH219" s="39"/>
      <c r="CI219" s="39"/>
      <c r="CJ219" s="39"/>
      <c r="CK219" s="39"/>
    </row>
    <row r="220" spans="1:89" s="193" customFormat="1">
      <c r="A220" s="195"/>
      <c r="B220" s="21" t="str">
        <f t="shared" si="113"/>
        <v>N/A</v>
      </c>
      <c r="C220" s="21"/>
      <c r="D220" s="432">
        <v>3201467</v>
      </c>
      <c r="E220" s="439" t="s">
        <v>3626</v>
      </c>
      <c r="F220" s="439" t="s">
        <v>3781</v>
      </c>
      <c r="G220" s="273" t="s">
        <v>3275</v>
      </c>
      <c r="H220" s="358"/>
      <c r="I220" s="262" t="s">
        <v>3492</v>
      </c>
      <c r="J220" s="262" t="s">
        <v>3520</v>
      </c>
      <c r="K220" s="263">
        <v>100000</v>
      </c>
      <c r="L220" s="263">
        <v>0</v>
      </c>
      <c r="M220" s="263">
        <v>0</v>
      </c>
      <c r="N220" s="263">
        <v>0</v>
      </c>
      <c r="O220" s="263">
        <v>0</v>
      </c>
      <c r="P220" s="263">
        <v>0</v>
      </c>
      <c r="Q220" s="263">
        <v>0</v>
      </c>
      <c r="R220" s="263">
        <v>0</v>
      </c>
      <c r="S220" s="263">
        <v>0</v>
      </c>
      <c r="T220" s="263">
        <v>0</v>
      </c>
      <c r="U220" s="263">
        <f t="shared" si="111"/>
        <v>100000</v>
      </c>
      <c r="V220" s="196" t="str">
        <f t="shared" si="114"/>
        <v>LOS</v>
      </c>
      <c r="W220" s="196" t="s">
        <v>1168</v>
      </c>
      <c r="X220" s="196" t="str">
        <f t="shared" si="112"/>
        <v>N</v>
      </c>
      <c r="Y220" s="197">
        <f t="shared" si="115"/>
        <v>100000</v>
      </c>
      <c r="Z220" s="198"/>
      <c r="AA220" s="197">
        <f t="shared" si="116"/>
        <v>100000</v>
      </c>
      <c r="AB220" s="196"/>
      <c r="AC220" s="196"/>
      <c r="AD220" s="275">
        <v>0</v>
      </c>
      <c r="AE220" s="275">
        <v>1</v>
      </c>
      <c r="AF220" s="275">
        <v>0</v>
      </c>
      <c r="AG220" s="199"/>
      <c r="AH220" s="199"/>
      <c r="AI220" s="200">
        <f t="shared" si="117"/>
        <v>0</v>
      </c>
      <c r="AJ220" s="203"/>
      <c r="AK220" s="203"/>
      <c r="AL220" s="197">
        <f t="shared" si="118"/>
        <v>100000</v>
      </c>
      <c r="AM220" s="197">
        <f t="shared" si="119"/>
        <v>0</v>
      </c>
      <c r="AN220" s="197">
        <f t="shared" si="120"/>
        <v>0</v>
      </c>
      <c r="AO220" s="202"/>
      <c r="AP220" s="161" t="s">
        <v>3900</v>
      </c>
      <c r="AQ220" s="279"/>
      <c r="AR220" s="287">
        <f t="shared" si="121"/>
        <v>0</v>
      </c>
      <c r="AS220" s="287">
        <f t="shared" si="122"/>
        <v>0</v>
      </c>
      <c r="AT220" s="287">
        <f t="shared" si="123"/>
        <v>0</v>
      </c>
      <c r="AU220" s="287">
        <f t="shared" si="124"/>
        <v>0</v>
      </c>
      <c r="AV220" s="287">
        <f t="shared" si="125"/>
        <v>0</v>
      </c>
      <c r="AW220" s="287">
        <f t="shared" si="126"/>
        <v>0</v>
      </c>
      <c r="AX220" s="287">
        <f t="shared" si="127"/>
        <v>0</v>
      </c>
      <c r="AY220" s="287">
        <f t="shared" si="128"/>
        <v>0</v>
      </c>
      <c r="AZ220" s="287">
        <f t="shared" si="129"/>
        <v>0</v>
      </c>
      <c r="BA220" s="287">
        <f t="shared" si="130"/>
        <v>0</v>
      </c>
      <c r="BB220" s="16"/>
      <c r="BC220" s="287">
        <f t="shared" si="131"/>
        <v>0</v>
      </c>
      <c r="BD220" s="287">
        <f t="shared" si="132"/>
        <v>0</v>
      </c>
      <c r="BE220" s="287">
        <f t="shared" si="133"/>
        <v>0</v>
      </c>
      <c r="BF220" s="287">
        <f t="shared" si="134"/>
        <v>0</v>
      </c>
      <c r="BG220" s="287">
        <f t="shared" si="135"/>
        <v>0</v>
      </c>
      <c r="BH220" s="287">
        <f t="shared" si="136"/>
        <v>0</v>
      </c>
      <c r="BI220" s="287">
        <f t="shared" si="137"/>
        <v>0</v>
      </c>
      <c r="BJ220" s="287">
        <f t="shared" si="138"/>
        <v>0</v>
      </c>
      <c r="BK220" s="287">
        <f t="shared" si="139"/>
        <v>0</v>
      </c>
      <c r="BL220" s="287">
        <f t="shared" si="140"/>
        <v>0</v>
      </c>
      <c r="BM220" s="16"/>
      <c r="BN220" s="287">
        <f t="shared" si="141"/>
        <v>0</v>
      </c>
      <c r="BO220" s="287">
        <f t="shared" si="142"/>
        <v>0</v>
      </c>
      <c r="BP220" s="432"/>
      <c r="BQ220" s="21"/>
      <c r="BR220" s="21"/>
      <c r="BS220" s="39"/>
      <c r="BT220" s="39"/>
      <c r="BU220" s="334">
        <v>186000</v>
      </c>
      <c r="BV220" s="334">
        <v>0</v>
      </c>
      <c r="BW220" s="39"/>
      <c r="BX220" s="39"/>
      <c r="BY220" s="39"/>
      <c r="BZ220" s="39">
        <v>207</v>
      </c>
      <c r="CA220" s="39" t="str">
        <f t="shared" si="143"/>
        <v/>
      </c>
      <c r="CB220" s="39"/>
      <c r="CC220" s="39"/>
      <c r="CD220" s="39"/>
      <c r="CE220" s="39"/>
      <c r="CF220" s="39"/>
      <c r="CG220" s="39"/>
      <c r="CH220" s="39"/>
      <c r="CI220" s="39"/>
      <c r="CJ220" s="39"/>
      <c r="CK220" s="39"/>
    </row>
    <row r="221" spans="1:89" s="193" customFormat="1">
      <c r="A221" s="195"/>
      <c r="B221" s="21" t="str">
        <f t="shared" si="113"/>
        <v>N/A</v>
      </c>
      <c r="C221" s="21"/>
      <c r="D221" s="432">
        <v>3201467</v>
      </c>
      <c r="E221" s="439" t="s">
        <v>3626</v>
      </c>
      <c r="F221" s="439" t="s">
        <v>3782</v>
      </c>
      <c r="G221" s="273" t="s">
        <v>3271</v>
      </c>
      <c r="H221" s="358"/>
      <c r="I221" s="262" t="s">
        <v>3492</v>
      </c>
      <c r="J221" s="262" t="s">
        <v>3511</v>
      </c>
      <c r="K221" s="263">
        <v>750000</v>
      </c>
      <c r="L221" s="263">
        <v>1000000</v>
      </c>
      <c r="M221" s="263">
        <v>500000</v>
      </c>
      <c r="N221" s="263">
        <v>0</v>
      </c>
      <c r="O221" s="263">
        <v>0</v>
      </c>
      <c r="P221" s="263">
        <v>0</v>
      </c>
      <c r="Q221" s="263">
        <v>0</v>
      </c>
      <c r="R221" s="263">
        <v>0</v>
      </c>
      <c r="S221" s="263">
        <v>0</v>
      </c>
      <c r="T221" s="263">
        <v>0</v>
      </c>
      <c r="U221" s="263">
        <f t="shared" ref="U221:U284" si="144">SUM(K221:T221)</f>
        <v>2250000</v>
      </c>
      <c r="V221" s="196" t="str">
        <f t="shared" si="114"/>
        <v>LOS/R</v>
      </c>
      <c r="W221" s="196" t="s">
        <v>1168</v>
      </c>
      <c r="X221" s="196" t="str">
        <f t="shared" si="112"/>
        <v>N</v>
      </c>
      <c r="Y221" s="197">
        <f t="shared" si="115"/>
        <v>2250000</v>
      </c>
      <c r="Z221" s="198"/>
      <c r="AA221" s="197">
        <f t="shared" si="116"/>
        <v>2250000</v>
      </c>
      <c r="AB221" s="196"/>
      <c r="AC221" s="196"/>
      <c r="AD221" s="275">
        <v>0</v>
      </c>
      <c r="AE221" s="275">
        <v>0.46391752577319589</v>
      </c>
      <c r="AF221" s="275">
        <v>0.53608247422680411</v>
      </c>
      <c r="AG221" s="199"/>
      <c r="AH221" s="199"/>
      <c r="AI221" s="200">
        <f t="shared" si="117"/>
        <v>0</v>
      </c>
      <c r="AJ221" s="203"/>
      <c r="AK221" s="203"/>
      <c r="AL221" s="197">
        <f t="shared" si="118"/>
        <v>2250000</v>
      </c>
      <c r="AM221" s="197">
        <f t="shared" si="119"/>
        <v>0</v>
      </c>
      <c r="AN221" s="197">
        <f t="shared" si="120"/>
        <v>0</v>
      </c>
      <c r="AO221" s="202"/>
      <c r="AP221" s="161" t="s">
        <v>3900</v>
      </c>
      <c r="AQ221" s="279"/>
      <c r="AR221" s="287">
        <f t="shared" si="121"/>
        <v>0</v>
      </c>
      <c r="AS221" s="287">
        <f t="shared" si="122"/>
        <v>0</v>
      </c>
      <c r="AT221" s="287">
        <f t="shared" si="123"/>
        <v>0</v>
      </c>
      <c r="AU221" s="287">
        <f t="shared" si="124"/>
        <v>0</v>
      </c>
      <c r="AV221" s="287">
        <f t="shared" si="125"/>
        <v>0</v>
      </c>
      <c r="AW221" s="287">
        <f t="shared" si="126"/>
        <v>0</v>
      </c>
      <c r="AX221" s="287">
        <f t="shared" si="127"/>
        <v>0</v>
      </c>
      <c r="AY221" s="287">
        <f t="shared" si="128"/>
        <v>0</v>
      </c>
      <c r="AZ221" s="287">
        <f t="shared" si="129"/>
        <v>0</v>
      </c>
      <c r="BA221" s="287">
        <f t="shared" si="130"/>
        <v>0</v>
      </c>
      <c r="BB221" s="16"/>
      <c r="BC221" s="287">
        <f t="shared" si="131"/>
        <v>0</v>
      </c>
      <c r="BD221" s="287">
        <f t="shared" si="132"/>
        <v>0</v>
      </c>
      <c r="BE221" s="287">
        <f t="shared" si="133"/>
        <v>0</v>
      </c>
      <c r="BF221" s="287">
        <f t="shared" si="134"/>
        <v>0</v>
      </c>
      <c r="BG221" s="287">
        <f t="shared" si="135"/>
        <v>0</v>
      </c>
      <c r="BH221" s="287">
        <f t="shared" si="136"/>
        <v>0</v>
      </c>
      <c r="BI221" s="287">
        <f t="shared" si="137"/>
        <v>0</v>
      </c>
      <c r="BJ221" s="287">
        <f t="shared" si="138"/>
        <v>0</v>
      </c>
      <c r="BK221" s="287">
        <f t="shared" si="139"/>
        <v>0</v>
      </c>
      <c r="BL221" s="287">
        <f t="shared" si="140"/>
        <v>0</v>
      </c>
      <c r="BM221" s="16"/>
      <c r="BN221" s="287">
        <f t="shared" si="141"/>
        <v>0</v>
      </c>
      <c r="BO221" s="287">
        <f t="shared" si="142"/>
        <v>0</v>
      </c>
      <c r="BP221" s="432"/>
      <c r="BQ221" s="21"/>
      <c r="BR221" s="21"/>
      <c r="BS221" s="39"/>
      <c r="BT221" s="39"/>
      <c r="BU221" s="334">
        <v>29865.300000000003</v>
      </c>
      <c r="BV221" s="334">
        <v>0</v>
      </c>
      <c r="BW221" s="39"/>
      <c r="BX221" s="39"/>
      <c r="BY221" s="39"/>
      <c r="BZ221" s="39">
        <v>208</v>
      </c>
      <c r="CA221" s="39" t="str">
        <f t="shared" si="143"/>
        <v/>
      </c>
      <c r="CB221" s="39"/>
      <c r="CC221" s="39"/>
      <c r="CD221" s="39"/>
      <c r="CE221" s="39"/>
      <c r="CF221" s="39"/>
      <c r="CG221" s="39"/>
      <c r="CH221" s="39"/>
      <c r="CI221" s="39"/>
      <c r="CJ221" s="39"/>
      <c r="CK221" s="39"/>
    </row>
    <row r="222" spans="1:89" s="193" customFormat="1">
      <c r="A222" s="195"/>
      <c r="B222" s="21" t="str">
        <f t="shared" si="113"/>
        <v>N/A</v>
      </c>
      <c r="C222" s="21"/>
      <c r="D222" s="432">
        <v>3201467</v>
      </c>
      <c r="E222" s="439" t="s">
        <v>3626</v>
      </c>
      <c r="F222" s="439" t="s">
        <v>3783</v>
      </c>
      <c r="G222" s="273" t="s">
        <v>3272</v>
      </c>
      <c r="H222" s="358"/>
      <c r="I222" s="262" t="s">
        <v>3492</v>
      </c>
      <c r="J222" s="262" t="s">
        <v>3514</v>
      </c>
      <c r="K222" s="263">
        <v>657000</v>
      </c>
      <c r="L222" s="263">
        <v>0</v>
      </c>
      <c r="M222" s="263">
        <v>0</v>
      </c>
      <c r="N222" s="263">
        <v>0</v>
      </c>
      <c r="O222" s="263">
        <v>0</v>
      </c>
      <c r="P222" s="263">
        <v>0</v>
      </c>
      <c r="Q222" s="263">
        <v>0</v>
      </c>
      <c r="R222" s="263">
        <v>0</v>
      </c>
      <c r="S222" s="263">
        <v>0</v>
      </c>
      <c r="T222" s="263">
        <v>0</v>
      </c>
      <c r="U222" s="263">
        <f t="shared" si="144"/>
        <v>657000</v>
      </c>
      <c r="V222" s="196" t="str">
        <f t="shared" si="114"/>
        <v>LOS/R</v>
      </c>
      <c r="W222" s="196" t="s">
        <v>1168</v>
      </c>
      <c r="X222" s="196" t="str">
        <f t="shared" si="112"/>
        <v>N</v>
      </c>
      <c r="Y222" s="197">
        <f t="shared" si="115"/>
        <v>657000</v>
      </c>
      <c r="Z222" s="198"/>
      <c r="AA222" s="197">
        <f t="shared" si="116"/>
        <v>657000</v>
      </c>
      <c r="AB222" s="196"/>
      <c r="AC222" s="196"/>
      <c r="AD222" s="275">
        <v>0</v>
      </c>
      <c r="AE222" s="275">
        <v>0.52129066384554346</v>
      </c>
      <c r="AF222" s="275">
        <v>0.47870933615445649</v>
      </c>
      <c r="AG222" s="199"/>
      <c r="AH222" s="199"/>
      <c r="AI222" s="200">
        <f t="shared" si="117"/>
        <v>0</v>
      </c>
      <c r="AJ222" s="203"/>
      <c r="AK222" s="203"/>
      <c r="AL222" s="197">
        <f t="shared" si="118"/>
        <v>657000</v>
      </c>
      <c r="AM222" s="197">
        <f t="shared" si="119"/>
        <v>0</v>
      </c>
      <c r="AN222" s="197">
        <f t="shared" si="120"/>
        <v>0</v>
      </c>
      <c r="AO222" s="202"/>
      <c r="AP222" s="161" t="s">
        <v>3900</v>
      </c>
      <c r="AQ222" s="279"/>
      <c r="AR222" s="287">
        <f t="shared" si="121"/>
        <v>0</v>
      </c>
      <c r="AS222" s="287">
        <f t="shared" si="122"/>
        <v>0</v>
      </c>
      <c r="AT222" s="287">
        <f t="shared" si="123"/>
        <v>0</v>
      </c>
      <c r="AU222" s="287">
        <f t="shared" si="124"/>
        <v>0</v>
      </c>
      <c r="AV222" s="287">
        <f t="shared" si="125"/>
        <v>0</v>
      </c>
      <c r="AW222" s="287">
        <f t="shared" si="126"/>
        <v>0</v>
      </c>
      <c r="AX222" s="287">
        <f t="shared" si="127"/>
        <v>0</v>
      </c>
      <c r="AY222" s="287">
        <f t="shared" si="128"/>
        <v>0</v>
      </c>
      <c r="AZ222" s="287">
        <f t="shared" si="129"/>
        <v>0</v>
      </c>
      <c r="BA222" s="287">
        <f t="shared" si="130"/>
        <v>0</v>
      </c>
      <c r="BB222" s="16"/>
      <c r="BC222" s="287">
        <f t="shared" si="131"/>
        <v>0</v>
      </c>
      <c r="BD222" s="287">
        <f t="shared" si="132"/>
        <v>0</v>
      </c>
      <c r="BE222" s="287">
        <f t="shared" si="133"/>
        <v>0</v>
      </c>
      <c r="BF222" s="287">
        <f t="shared" si="134"/>
        <v>0</v>
      </c>
      <c r="BG222" s="287">
        <f t="shared" si="135"/>
        <v>0</v>
      </c>
      <c r="BH222" s="287">
        <f t="shared" si="136"/>
        <v>0</v>
      </c>
      <c r="BI222" s="287">
        <f t="shared" si="137"/>
        <v>0</v>
      </c>
      <c r="BJ222" s="287">
        <f t="shared" si="138"/>
        <v>0</v>
      </c>
      <c r="BK222" s="287">
        <f t="shared" si="139"/>
        <v>0</v>
      </c>
      <c r="BL222" s="287">
        <f t="shared" si="140"/>
        <v>0</v>
      </c>
      <c r="BM222" s="16"/>
      <c r="BN222" s="287">
        <f t="shared" si="141"/>
        <v>0</v>
      </c>
      <c r="BO222" s="287">
        <f t="shared" si="142"/>
        <v>0</v>
      </c>
      <c r="BP222" s="432"/>
      <c r="BQ222" s="21"/>
      <c r="BR222" s="21"/>
      <c r="BS222" s="39"/>
      <c r="BT222" s="39"/>
      <c r="BU222" s="334">
        <v>74600</v>
      </c>
      <c r="BV222" s="334">
        <v>0</v>
      </c>
      <c r="BW222" s="39"/>
      <c r="BX222" s="39"/>
      <c r="BY222" s="39"/>
      <c r="BZ222" s="39">
        <v>209</v>
      </c>
      <c r="CA222" s="39" t="str">
        <f t="shared" si="143"/>
        <v/>
      </c>
      <c r="CB222" s="39"/>
      <c r="CC222" s="39"/>
      <c r="CD222" s="39"/>
      <c r="CE222" s="39"/>
      <c r="CF222" s="39"/>
      <c r="CG222" s="39"/>
      <c r="CH222" s="39"/>
      <c r="CI222" s="39"/>
      <c r="CJ222" s="39"/>
      <c r="CK222" s="39"/>
    </row>
    <row r="223" spans="1:89" s="193" customFormat="1">
      <c r="A223" s="195"/>
      <c r="B223" s="21" t="str">
        <f t="shared" si="113"/>
        <v>N/A</v>
      </c>
      <c r="C223" s="21"/>
      <c r="D223" s="432">
        <v>3201467</v>
      </c>
      <c r="E223" s="439" t="s">
        <v>3626</v>
      </c>
      <c r="F223" s="439" t="s">
        <v>3785</v>
      </c>
      <c r="G223" s="273" t="s">
        <v>3270</v>
      </c>
      <c r="H223" s="358"/>
      <c r="I223" s="262" t="s">
        <v>3492</v>
      </c>
      <c r="J223" s="262" t="s">
        <v>3504</v>
      </c>
      <c r="K223" s="263">
        <v>0</v>
      </c>
      <c r="L223" s="263">
        <v>750000</v>
      </c>
      <c r="M223" s="263">
        <v>0</v>
      </c>
      <c r="N223" s="263">
        <v>0</v>
      </c>
      <c r="O223" s="263">
        <v>0</v>
      </c>
      <c r="P223" s="263">
        <v>0</v>
      </c>
      <c r="Q223" s="263">
        <v>0</v>
      </c>
      <c r="R223" s="263">
        <v>0</v>
      </c>
      <c r="S223" s="263">
        <v>0</v>
      </c>
      <c r="T223" s="263">
        <v>0</v>
      </c>
      <c r="U223" s="263">
        <f t="shared" si="144"/>
        <v>750000</v>
      </c>
      <c r="V223" s="196" t="str">
        <f t="shared" si="114"/>
        <v>R</v>
      </c>
      <c r="W223" s="196" t="s">
        <v>1168</v>
      </c>
      <c r="X223" s="196" t="str">
        <f t="shared" si="112"/>
        <v>N</v>
      </c>
      <c r="Y223" s="197">
        <f t="shared" si="115"/>
        <v>750000</v>
      </c>
      <c r="Z223" s="198"/>
      <c r="AA223" s="197">
        <f t="shared" si="116"/>
        <v>750000</v>
      </c>
      <c r="AB223" s="196"/>
      <c r="AC223" s="196"/>
      <c r="AD223" s="275">
        <v>0</v>
      </c>
      <c r="AE223" s="275">
        <v>0</v>
      </c>
      <c r="AF223" s="275">
        <v>1</v>
      </c>
      <c r="AG223" s="199"/>
      <c r="AH223" s="199"/>
      <c r="AI223" s="200">
        <f t="shared" si="117"/>
        <v>0</v>
      </c>
      <c r="AJ223" s="203"/>
      <c r="AK223" s="203"/>
      <c r="AL223" s="197">
        <f t="shared" si="118"/>
        <v>750000</v>
      </c>
      <c r="AM223" s="197">
        <f t="shared" si="119"/>
        <v>0</v>
      </c>
      <c r="AN223" s="197">
        <f t="shared" si="120"/>
        <v>0</v>
      </c>
      <c r="AO223" s="202"/>
      <c r="AP223" s="161" t="s">
        <v>3900</v>
      </c>
      <c r="AQ223" s="279"/>
      <c r="AR223" s="287">
        <f t="shared" si="121"/>
        <v>0</v>
      </c>
      <c r="AS223" s="287">
        <f t="shared" si="122"/>
        <v>0</v>
      </c>
      <c r="AT223" s="287">
        <f t="shared" si="123"/>
        <v>0</v>
      </c>
      <c r="AU223" s="287">
        <f t="shared" si="124"/>
        <v>0</v>
      </c>
      <c r="AV223" s="287">
        <f t="shared" si="125"/>
        <v>0</v>
      </c>
      <c r="AW223" s="287">
        <f t="shared" si="126"/>
        <v>0</v>
      </c>
      <c r="AX223" s="287">
        <f t="shared" si="127"/>
        <v>0</v>
      </c>
      <c r="AY223" s="287">
        <f t="shared" si="128"/>
        <v>0</v>
      </c>
      <c r="AZ223" s="287">
        <f t="shared" si="129"/>
        <v>0</v>
      </c>
      <c r="BA223" s="287">
        <f t="shared" si="130"/>
        <v>0</v>
      </c>
      <c r="BB223" s="16"/>
      <c r="BC223" s="287">
        <f t="shared" si="131"/>
        <v>0</v>
      </c>
      <c r="BD223" s="287">
        <f t="shared" si="132"/>
        <v>0</v>
      </c>
      <c r="BE223" s="287">
        <f t="shared" si="133"/>
        <v>0</v>
      </c>
      <c r="BF223" s="287">
        <f t="shared" si="134"/>
        <v>0</v>
      </c>
      <c r="BG223" s="287">
        <f t="shared" si="135"/>
        <v>0</v>
      </c>
      <c r="BH223" s="287">
        <f t="shared" si="136"/>
        <v>0</v>
      </c>
      <c r="BI223" s="287">
        <f t="shared" si="137"/>
        <v>0</v>
      </c>
      <c r="BJ223" s="287">
        <f t="shared" si="138"/>
        <v>0</v>
      </c>
      <c r="BK223" s="287">
        <f t="shared" si="139"/>
        <v>0</v>
      </c>
      <c r="BL223" s="287">
        <f t="shared" si="140"/>
        <v>0</v>
      </c>
      <c r="BM223" s="16"/>
      <c r="BN223" s="287">
        <f t="shared" si="141"/>
        <v>0</v>
      </c>
      <c r="BO223" s="287">
        <f t="shared" si="142"/>
        <v>0</v>
      </c>
      <c r="BP223" s="432"/>
      <c r="BQ223" s="21"/>
      <c r="BR223" s="21"/>
      <c r="BS223" s="39"/>
      <c r="BT223" s="39"/>
      <c r="BU223" s="334">
        <v>250200</v>
      </c>
      <c r="BV223" s="334">
        <v>0</v>
      </c>
      <c r="BW223" s="39"/>
      <c r="BX223" s="39"/>
      <c r="BY223" s="39"/>
      <c r="BZ223" s="39">
        <v>210</v>
      </c>
      <c r="CA223" s="39" t="str">
        <f t="shared" si="143"/>
        <v/>
      </c>
      <c r="CB223" s="39"/>
      <c r="CC223" s="39"/>
      <c r="CD223" s="39"/>
      <c r="CE223" s="39"/>
      <c r="CF223" s="39"/>
      <c r="CG223" s="39"/>
      <c r="CH223" s="39"/>
      <c r="CI223" s="39"/>
      <c r="CJ223" s="39"/>
      <c r="CK223" s="39"/>
    </row>
    <row r="224" spans="1:89" s="193" customFormat="1">
      <c r="A224" s="195"/>
      <c r="B224" s="21" t="str">
        <f t="shared" si="113"/>
        <v>N/A</v>
      </c>
      <c r="C224" s="21"/>
      <c r="D224" s="432">
        <v>3201485</v>
      </c>
      <c r="E224" s="439" t="s">
        <v>3626</v>
      </c>
      <c r="F224" s="439" t="s">
        <v>3475</v>
      </c>
      <c r="G224" s="273" t="s">
        <v>3342</v>
      </c>
      <c r="H224" s="358"/>
      <c r="I224" s="262" t="s">
        <v>3497</v>
      </c>
      <c r="J224" s="262" t="s">
        <v>3504</v>
      </c>
      <c r="K224" s="263">
        <v>-84936</v>
      </c>
      <c r="L224" s="263">
        <v>2268990</v>
      </c>
      <c r="M224" s="263">
        <v>190805</v>
      </c>
      <c r="N224" s="263">
        <v>25697</v>
      </c>
      <c r="O224" s="263">
        <v>795073</v>
      </c>
      <c r="P224" s="263">
        <v>228249</v>
      </c>
      <c r="Q224" s="263">
        <v>1261729</v>
      </c>
      <c r="R224" s="263">
        <v>1756759</v>
      </c>
      <c r="S224" s="263">
        <v>1102774</v>
      </c>
      <c r="T224" s="263">
        <v>638789</v>
      </c>
      <c r="U224" s="263">
        <f t="shared" si="144"/>
        <v>8183929</v>
      </c>
      <c r="V224" s="196" t="str">
        <f t="shared" si="114"/>
        <v>LOS</v>
      </c>
      <c r="W224" s="196" t="s">
        <v>1168</v>
      </c>
      <c r="X224" s="196" t="str">
        <f t="shared" si="112"/>
        <v>N</v>
      </c>
      <c r="Y224" s="197">
        <f t="shared" si="115"/>
        <v>8183929</v>
      </c>
      <c r="Z224" s="198"/>
      <c r="AA224" s="197">
        <f t="shared" si="116"/>
        <v>8183929</v>
      </c>
      <c r="AB224" s="196"/>
      <c r="AC224" s="196"/>
      <c r="AD224" s="275">
        <v>0</v>
      </c>
      <c r="AE224" s="275">
        <v>1</v>
      </c>
      <c r="AF224" s="275">
        <v>0</v>
      </c>
      <c r="AG224" s="442"/>
      <c r="AH224" s="442"/>
      <c r="AI224" s="200">
        <f t="shared" si="117"/>
        <v>0</v>
      </c>
      <c r="AJ224" s="203"/>
      <c r="AK224" s="203"/>
      <c r="AL224" s="197">
        <f t="shared" si="118"/>
        <v>8183929</v>
      </c>
      <c r="AM224" s="197">
        <f t="shared" si="119"/>
        <v>0</v>
      </c>
      <c r="AN224" s="197">
        <f t="shared" si="120"/>
        <v>0</v>
      </c>
      <c r="AO224" s="202"/>
      <c r="AP224" s="161" t="s">
        <v>3900</v>
      </c>
      <c r="AQ224" s="279"/>
      <c r="AR224" s="287">
        <f t="shared" si="121"/>
        <v>0</v>
      </c>
      <c r="AS224" s="287">
        <f t="shared" si="122"/>
        <v>0</v>
      </c>
      <c r="AT224" s="287">
        <f t="shared" si="123"/>
        <v>0</v>
      </c>
      <c r="AU224" s="287">
        <f t="shared" si="124"/>
        <v>0</v>
      </c>
      <c r="AV224" s="287">
        <f t="shared" si="125"/>
        <v>0</v>
      </c>
      <c r="AW224" s="287">
        <f t="shared" si="126"/>
        <v>0</v>
      </c>
      <c r="AX224" s="287">
        <f t="shared" si="127"/>
        <v>0</v>
      </c>
      <c r="AY224" s="287">
        <f t="shared" si="128"/>
        <v>0</v>
      </c>
      <c r="AZ224" s="287">
        <f t="shared" si="129"/>
        <v>0</v>
      </c>
      <c r="BA224" s="287">
        <f t="shared" si="130"/>
        <v>0</v>
      </c>
      <c r="BB224" s="16"/>
      <c r="BC224" s="287">
        <f t="shared" si="131"/>
        <v>0</v>
      </c>
      <c r="BD224" s="287">
        <f t="shared" si="132"/>
        <v>0</v>
      </c>
      <c r="BE224" s="287">
        <f t="shared" si="133"/>
        <v>0</v>
      </c>
      <c r="BF224" s="287">
        <f t="shared" si="134"/>
        <v>0</v>
      </c>
      <c r="BG224" s="287">
        <f t="shared" si="135"/>
        <v>0</v>
      </c>
      <c r="BH224" s="287">
        <f t="shared" si="136"/>
        <v>0</v>
      </c>
      <c r="BI224" s="287">
        <f t="shared" si="137"/>
        <v>0</v>
      </c>
      <c r="BJ224" s="287">
        <f t="shared" si="138"/>
        <v>0</v>
      </c>
      <c r="BK224" s="287">
        <f t="shared" si="139"/>
        <v>0</v>
      </c>
      <c r="BL224" s="287">
        <f t="shared" si="140"/>
        <v>0</v>
      </c>
      <c r="BM224" s="16"/>
      <c r="BN224" s="287">
        <f t="shared" si="141"/>
        <v>0</v>
      </c>
      <c r="BO224" s="287">
        <f t="shared" si="142"/>
        <v>0</v>
      </c>
      <c r="BP224" s="432"/>
      <c r="BQ224" s="21"/>
      <c r="BR224" s="21"/>
      <c r="BS224" s="39"/>
      <c r="BT224" s="39"/>
      <c r="BU224" s="39"/>
      <c r="BV224" s="39"/>
      <c r="BW224" s="39"/>
      <c r="BX224" s="39"/>
      <c r="BY224" s="39"/>
      <c r="BZ224" s="39">
        <v>211</v>
      </c>
      <c r="CA224" s="39" t="str">
        <f t="shared" si="143"/>
        <v/>
      </c>
      <c r="CB224" s="39"/>
      <c r="CC224" s="39"/>
      <c r="CD224" s="39"/>
      <c r="CE224" s="39"/>
      <c r="CF224" s="39"/>
      <c r="CG224" s="39"/>
      <c r="CH224" s="39"/>
      <c r="CI224" s="39"/>
      <c r="CJ224" s="39"/>
      <c r="CK224" s="39"/>
    </row>
    <row r="225" spans="1:89" s="193" customFormat="1">
      <c r="A225" s="195"/>
      <c r="B225" s="21" t="str">
        <f t="shared" si="113"/>
        <v>N/A</v>
      </c>
      <c r="C225" s="21"/>
      <c r="D225" s="432">
        <v>3201485</v>
      </c>
      <c r="E225" s="439" t="s">
        <v>3626</v>
      </c>
      <c r="F225" s="439" t="s">
        <v>3475</v>
      </c>
      <c r="G225" s="273" t="s">
        <v>3343</v>
      </c>
      <c r="H225" s="358"/>
      <c r="I225" s="262" t="s">
        <v>3497</v>
      </c>
      <c r="J225" s="262" t="s">
        <v>3504</v>
      </c>
      <c r="K225" s="263">
        <v>0</v>
      </c>
      <c r="L225" s="263">
        <v>0</v>
      </c>
      <c r="M225" s="263">
        <v>0</v>
      </c>
      <c r="N225" s="263">
        <v>0</v>
      </c>
      <c r="O225" s="263">
        <v>0</v>
      </c>
      <c r="P225" s="263">
        <v>0</v>
      </c>
      <c r="Q225" s="263">
        <v>0</v>
      </c>
      <c r="R225" s="263">
        <v>-96126</v>
      </c>
      <c r="S225" s="263">
        <v>-106130</v>
      </c>
      <c r="T225" s="263">
        <v>-26130</v>
      </c>
      <c r="U225" s="263">
        <f t="shared" si="144"/>
        <v>-228386</v>
      </c>
      <c r="V225" s="196" t="str">
        <f t="shared" si="114"/>
        <v>R</v>
      </c>
      <c r="W225" s="196" t="s">
        <v>1168</v>
      </c>
      <c r="X225" s="196" t="str">
        <f t="shared" si="112"/>
        <v>N</v>
      </c>
      <c r="Y225" s="197">
        <f t="shared" si="115"/>
        <v>-228386</v>
      </c>
      <c r="Z225" s="198"/>
      <c r="AA225" s="197">
        <f t="shared" si="116"/>
        <v>-228386</v>
      </c>
      <c r="AB225" s="196"/>
      <c r="AC225" s="196"/>
      <c r="AD225" s="275">
        <v>0</v>
      </c>
      <c r="AE225" s="275">
        <v>0</v>
      </c>
      <c r="AF225" s="275">
        <v>1</v>
      </c>
      <c r="AG225" s="442"/>
      <c r="AH225" s="442"/>
      <c r="AI225" s="200">
        <f t="shared" si="117"/>
        <v>0</v>
      </c>
      <c r="AJ225" s="203"/>
      <c r="AK225" s="203"/>
      <c r="AL225" s="197">
        <f t="shared" si="118"/>
        <v>-228386</v>
      </c>
      <c r="AM225" s="197">
        <f t="shared" si="119"/>
        <v>0</v>
      </c>
      <c r="AN225" s="197">
        <f t="shared" si="120"/>
        <v>0</v>
      </c>
      <c r="AO225" s="202"/>
      <c r="AP225" s="161" t="s">
        <v>3900</v>
      </c>
      <c r="AQ225" s="279"/>
      <c r="AR225" s="287">
        <f t="shared" si="121"/>
        <v>0</v>
      </c>
      <c r="AS225" s="287">
        <f t="shared" si="122"/>
        <v>0</v>
      </c>
      <c r="AT225" s="287">
        <f t="shared" si="123"/>
        <v>0</v>
      </c>
      <c r="AU225" s="287">
        <f t="shared" si="124"/>
        <v>0</v>
      </c>
      <c r="AV225" s="287">
        <f t="shared" si="125"/>
        <v>0</v>
      </c>
      <c r="AW225" s="287">
        <f t="shared" si="126"/>
        <v>0</v>
      </c>
      <c r="AX225" s="287">
        <f t="shared" si="127"/>
        <v>0</v>
      </c>
      <c r="AY225" s="287">
        <f t="shared" si="128"/>
        <v>0</v>
      </c>
      <c r="AZ225" s="287">
        <f t="shared" si="129"/>
        <v>0</v>
      </c>
      <c r="BA225" s="287">
        <f t="shared" si="130"/>
        <v>0</v>
      </c>
      <c r="BB225" s="16"/>
      <c r="BC225" s="287">
        <f t="shared" si="131"/>
        <v>0</v>
      </c>
      <c r="BD225" s="287">
        <f t="shared" si="132"/>
        <v>0</v>
      </c>
      <c r="BE225" s="287">
        <f t="shared" si="133"/>
        <v>0</v>
      </c>
      <c r="BF225" s="287">
        <f t="shared" si="134"/>
        <v>0</v>
      </c>
      <c r="BG225" s="287">
        <f t="shared" si="135"/>
        <v>0</v>
      </c>
      <c r="BH225" s="287">
        <f t="shared" si="136"/>
        <v>0</v>
      </c>
      <c r="BI225" s="287">
        <f t="shared" si="137"/>
        <v>0</v>
      </c>
      <c r="BJ225" s="287">
        <f t="shared" si="138"/>
        <v>0</v>
      </c>
      <c r="BK225" s="287">
        <f t="shared" si="139"/>
        <v>0</v>
      </c>
      <c r="BL225" s="287">
        <f t="shared" si="140"/>
        <v>0</v>
      </c>
      <c r="BM225" s="16"/>
      <c r="BN225" s="287">
        <f t="shared" si="141"/>
        <v>0</v>
      </c>
      <c r="BO225" s="287">
        <f t="shared" si="142"/>
        <v>0</v>
      </c>
      <c r="BP225" s="432"/>
      <c r="BQ225" s="21"/>
      <c r="BR225" s="21"/>
      <c r="BS225" s="39"/>
      <c r="BT225" s="39"/>
      <c r="BU225" s="39"/>
      <c r="BV225" s="39"/>
      <c r="BW225" s="39"/>
      <c r="BX225" s="39"/>
      <c r="BY225" s="39"/>
      <c r="BZ225" s="39">
        <v>212</v>
      </c>
      <c r="CA225" s="39" t="str">
        <f t="shared" si="143"/>
        <v/>
      </c>
      <c r="CB225" s="39"/>
      <c r="CC225" s="39"/>
      <c r="CD225" s="39"/>
      <c r="CE225" s="39"/>
      <c r="CF225" s="39"/>
      <c r="CG225" s="39"/>
      <c r="CH225" s="39"/>
      <c r="CI225" s="39"/>
      <c r="CJ225" s="39"/>
      <c r="CK225" s="39"/>
    </row>
    <row r="226" spans="1:89" s="193" customFormat="1">
      <c r="A226" s="195"/>
      <c r="B226" s="21" t="str">
        <f t="shared" si="113"/>
        <v>N/A</v>
      </c>
      <c r="C226" s="21"/>
      <c r="D226" s="432">
        <v>3201485</v>
      </c>
      <c r="E226" s="439" t="s">
        <v>3626</v>
      </c>
      <c r="F226" s="439" t="s">
        <v>3787</v>
      </c>
      <c r="G226" s="273" t="s">
        <v>3341</v>
      </c>
      <c r="H226" s="358"/>
      <c r="I226" s="262" t="s">
        <v>3497</v>
      </c>
      <c r="J226" s="262" t="s">
        <v>3504</v>
      </c>
      <c r="K226" s="263">
        <v>857736</v>
      </c>
      <c r="L226" s="263">
        <v>1319210</v>
      </c>
      <c r="M226" s="263">
        <v>2211995</v>
      </c>
      <c r="N226" s="263">
        <v>134303</v>
      </c>
      <c r="O226" s="263">
        <v>254927</v>
      </c>
      <c r="P226" s="263">
        <v>191751</v>
      </c>
      <c r="Q226" s="263">
        <v>198271</v>
      </c>
      <c r="R226" s="263">
        <v>203240.94</v>
      </c>
      <c r="S226" s="263">
        <v>207226.05</v>
      </c>
      <c r="T226" s="263">
        <v>211211.17</v>
      </c>
      <c r="U226" s="263">
        <f t="shared" si="144"/>
        <v>5789871.1600000001</v>
      </c>
      <c r="V226" s="196" t="str">
        <f t="shared" si="114"/>
        <v>G</v>
      </c>
      <c r="W226" s="196" t="s">
        <v>1168</v>
      </c>
      <c r="X226" s="196" t="str">
        <f t="shared" si="112"/>
        <v>Y</v>
      </c>
      <c r="Y226" s="197">
        <f t="shared" si="115"/>
        <v>5789871.1600000001</v>
      </c>
      <c r="Z226" s="198"/>
      <c r="AA226" s="197">
        <f t="shared" si="116"/>
        <v>5789871.1600000001</v>
      </c>
      <c r="AB226" s="196" t="s">
        <v>1168</v>
      </c>
      <c r="AC226" s="196"/>
      <c r="AD226" s="275">
        <v>1</v>
      </c>
      <c r="AE226" s="275">
        <v>0</v>
      </c>
      <c r="AF226" s="275">
        <v>0</v>
      </c>
      <c r="AG226" s="442"/>
      <c r="AH226" s="442"/>
      <c r="AI226" s="200">
        <f t="shared" si="117"/>
        <v>0</v>
      </c>
      <c r="AJ226" s="203"/>
      <c r="AK226" s="203"/>
      <c r="AL226" s="197">
        <f t="shared" si="118"/>
        <v>5789871.1600000001</v>
      </c>
      <c r="AM226" s="197">
        <f t="shared" si="119"/>
        <v>0</v>
      </c>
      <c r="AN226" s="197">
        <f t="shared" si="120"/>
        <v>0</v>
      </c>
      <c r="AO226" s="202"/>
      <c r="AP226" s="161" t="s">
        <v>3900</v>
      </c>
      <c r="AQ226" s="279"/>
      <c r="AR226" s="287">
        <f t="shared" si="121"/>
        <v>0</v>
      </c>
      <c r="AS226" s="287">
        <f t="shared" si="122"/>
        <v>0</v>
      </c>
      <c r="AT226" s="287">
        <f t="shared" si="123"/>
        <v>0</v>
      </c>
      <c r="AU226" s="287">
        <f t="shared" si="124"/>
        <v>0</v>
      </c>
      <c r="AV226" s="287">
        <f t="shared" si="125"/>
        <v>0</v>
      </c>
      <c r="AW226" s="287">
        <f t="shared" si="126"/>
        <v>0</v>
      </c>
      <c r="AX226" s="287">
        <f t="shared" si="127"/>
        <v>0</v>
      </c>
      <c r="AY226" s="287">
        <f t="shared" si="128"/>
        <v>0</v>
      </c>
      <c r="AZ226" s="287">
        <f t="shared" si="129"/>
        <v>0</v>
      </c>
      <c r="BA226" s="287">
        <f t="shared" si="130"/>
        <v>0</v>
      </c>
      <c r="BB226" s="16"/>
      <c r="BC226" s="287">
        <f t="shared" si="131"/>
        <v>0</v>
      </c>
      <c r="BD226" s="287">
        <f t="shared" si="132"/>
        <v>0</v>
      </c>
      <c r="BE226" s="287">
        <f t="shared" si="133"/>
        <v>0</v>
      </c>
      <c r="BF226" s="287">
        <f t="shared" si="134"/>
        <v>0</v>
      </c>
      <c r="BG226" s="287">
        <f t="shared" si="135"/>
        <v>0</v>
      </c>
      <c r="BH226" s="287">
        <f t="shared" si="136"/>
        <v>0</v>
      </c>
      <c r="BI226" s="287">
        <f t="shared" si="137"/>
        <v>0</v>
      </c>
      <c r="BJ226" s="287">
        <f t="shared" si="138"/>
        <v>0</v>
      </c>
      <c r="BK226" s="287">
        <f t="shared" si="139"/>
        <v>0</v>
      </c>
      <c r="BL226" s="287">
        <f t="shared" si="140"/>
        <v>0</v>
      </c>
      <c r="BM226" s="16"/>
      <c r="BN226" s="287">
        <f t="shared" si="141"/>
        <v>0</v>
      </c>
      <c r="BO226" s="287">
        <f t="shared" si="142"/>
        <v>0</v>
      </c>
      <c r="BP226" s="432"/>
      <c r="BQ226" s="21"/>
      <c r="BR226" s="21"/>
      <c r="BS226" s="39"/>
      <c r="BT226" s="39"/>
      <c r="BU226" s="39"/>
      <c r="BV226" s="39"/>
      <c r="BW226" s="39"/>
      <c r="BX226" s="39"/>
      <c r="BY226" s="39"/>
      <c r="BZ226" s="39">
        <v>213</v>
      </c>
      <c r="CA226" s="39" t="str">
        <f t="shared" si="143"/>
        <v/>
      </c>
      <c r="CB226" s="39"/>
      <c r="CC226" s="39"/>
      <c r="CD226" s="39"/>
      <c r="CE226" s="39"/>
      <c r="CF226" s="39"/>
      <c r="CG226" s="39"/>
      <c r="CH226" s="39"/>
      <c r="CI226" s="39"/>
      <c r="CJ226" s="39"/>
      <c r="CK226" s="39"/>
    </row>
    <row r="227" spans="1:89" s="193" customFormat="1">
      <c r="A227" s="195"/>
      <c r="B227" s="21" t="str">
        <f t="shared" si="113"/>
        <v>N/A</v>
      </c>
      <c r="C227" s="21"/>
      <c r="D227" s="432">
        <v>3201486</v>
      </c>
      <c r="E227" s="439" t="s">
        <v>3626</v>
      </c>
      <c r="F227" s="439" t="s">
        <v>3788</v>
      </c>
      <c r="G227" s="273" t="s">
        <v>3350</v>
      </c>
      <c r="H227" s="358"/>
      <c r="I227" s="262" t="s">
        <v>3497</v>
      </c>
      <c r="J227" s="262" t="s">
        <v>3504</v>
      </c>
      <c r="K227" s="263">
        <v>541161</v>
      </c>
      <c r="L227" s="263">
        <v>902828</v>
      </c>
      <c r="M227" s="263">
        <v>1043260</v>
      </c>
      <c r="N227" s="263">
        <v>968648</v>
      </c>
      <c r="O227" s="263">
        <v>161705</v>
      </c>
      <c r="P227" s="263">
        <v>3971464</v>
      </c>
      <c r="Q227" s="263">
        <v>126924</v>
      </c>
      <c r="R227" s="263">
        <v>183625.37</v>
      </c>
      <c r="S227" s="263">
        <v>189436.3</v>
      </c>
      <c r="T227" s="263">
        <v>189436.3</v>
      </c>
      <c r="U227" s="263">
        <f t="shared" si="144"/>
        <v>8278487.9699999997</v>
      </c>
      <c r="V227" s="196" t="str">
        <f t="shared" si="114"/>
        <v>R</v>
      </c>
      <c r="W227" s="196" t="s">
        <v>1168</v>
      </c>
      <c r="X227" s="196" t="str">
        <f t="shared" si="112"/>
        <v>N</v>
      </c>
      <c r="Y227" s="197">
        <f t="shared" si="115"/>
        <v>8278487.9699999997</v>
      </c>
      <c r="Z227" s="198"/>
      <c r="AA227" s="197">
        <f t="shared" si="116"/>
        <v>8278487.9699999997</v>
      </c>
      <c r="AB227" s="196"/>
      <c r="AC227" s="196"/>
      <c r="AD227" s="275">
        <v>0</v>
      </c>
      <c r="AE227" s="275">
        <v>0</v>
      </c>
      <c r="AF227" s="275">
        <v>1</v>
      </c>
      <c r="AG227" s="442"/>
      <c r="AH227" s="442"/>
      <c r="AI227" s="200">
        <f t="shared" si="117"/>
        <v>0</v>
      </c>
      <c r="AJ227" s="203"/>
      <c r="AK227" s="203"/>
      <c r="AL227" s="197">
        <f t="shared" si="118"/>
        <v>8278487.9699999997</v>
      </c>
      <c r="AM227" s="197">
        <f t="shared" si="119"/>
        <v>0</v>
      </c>
      <c r="AN227" s="197">
        <f t="shared" si="120"/>
        <v>0</v>
      </c>
      <c r="AO227" s="202"/>
      <c r="AP227" s="161" t="s">
        <v>3900</v>
      </c>
      <c r="AQ227" s="279"/>
      <c r="AR227" s="287">
        <f t="shared" si="121"/>
        <v>0</v>
      </c>
      <c r="AS227" s="287">
        <f t="shared" si="122"/>
        <v>0</v>
      </c>
      <c r="AT227" s="287">
        <f t="shared" si="123"/>
        <v>0</v>
      </c>
      <c r="AU227" s="287">
        <f t="shared" si="124"/>
        <v>0</v>
      </c>
      <c r="AV227" s="287">
        <f t="shared" si="125"/>
        <v>0</v>
      </c>
      <c r="AW227" s="287">
        <f t="shared" si="126"/>
        <v>0</v>
      </c>
      <c r="AX227" s="287">
        <f t="shared" si="127"/>
        <v>0</v>
      </c>
      <c r="AY227" s="287">
        <f t="shared" si="128"/>
        <v>0</v>
      </c>
      <c r="AZ227" s="287">
        <f t="shared" si="129"/>
        <v>0</v>
      </c>
      <c r="BA227" s="287">
        <f t="shared" si="130"/>
        <v>0</v>
      </c>
      <c r="BB227" s="16"/>
      <c r="BC227" s="287">
        <f t="shared" si="131"/>
        <v>0</v>
      </c>
      <c r="BD227" s="287">
        <f t="shared" si="132"/>
        <v>0</v>
      </c>
      <c r="BE227" s="287">
        <f t="shared" si="133"/>
        <v>0</v>
      </c>
      <c r="BF227" s="287">
        <f t="shared" si="134"/>
        <v>0</v>
      </c>
      <c r="BG227" s="287">
        <f t="shared" si="135"/>
        <v>0</v>
      </c>
      <c r="BH227" s="287">
        <f t="shared" si="136"/>
        <v>0</v>
      </c>
      <c r="BI227" s="287">
        <f t="shared" si="137"/>
        <v>0</v>
      </c>
      <c r="BJ227" s="287">
        <f t="shared" si="138"/>
        <v>0</v>
      </c>
      <c r="BK227" s="287">
        <f t="shared" si="139"/>
        <v>0</v>
      </c>
      <c r="BL227" s="287">
        <f t="shared" si="140"/>
        <v>0</v>
      </c>
      <c r="BM227" s="16"/>
      <c r="BN227" s="287">
        <f t="shared" si="141"/>
        <v>0</v>
      </c>
      <c r="BO227" s="287">
        <f t="shared" si="142"/>
        <v>0</v>
      </c>
      <c r="BP227" s="432"/>
      <c r="BQ227" s="21"/>
      <c r="BR227" s="21"/>
      <c r="BS227" s="39"/>
      <c r="BT227" s="39"/>
      <c r="BU227" s="39"/>
      <c r="BV227" s="39"/>
      <c r="BW227" s="39"/>
      <c r="BX227" s="39"/>
      <c r="BY227" s="39"/>
      <c r="BZ227" s="39">
        <v>214</v>
      </c>
      <c r="CA227" s="39" t="str">
        <f t="shared" si="143"/>
        <v/>
      </c>
      <c r="CB227" s="39"/>
      <c r="CC227" s="39"/>
      <c r="CD227" s="39"/>
      <c r="CE227" s="39"/>
      <c r="CF227" s="39"/>
      <c r="CG227" s="39"/>
      <c r="CH227" s="39"/>
      <c r="CI227" s="39"/>
      <c r="CJ227" s="39"/>
      <c r="CK227" s="39"/>
    </row>
    <row r="228" spans="1:89" s="193" customFormat="1">
      <c r="A228" s="195"/>
      <c r="B228" s="21" t="str">
        <f t="shared" si="113"/>
        <v>N/A</v>
      </c>
      <c r="C228" s="21"/>
      <c r="D228" s="432">
        <v>3201487</v>
      </c>
      <c r="E228" s="439" t="s">
        <v>3626</v>
      </c>
      <c r="F228" s="439" t="s">
        <v>3789</v>
      </c>
      <c r="G228" s="273" t="s">
        <v>3380</v>
      </c>
      <c r="H228" s="358"/>
      <c r="I228" s="262" t="s">
        <v>3497</v>
      </c>
      <c r="J228" s="262" t="s">
        <v>3504</v>
      </c>
      <c r="K228" s="263">
        <v>195534</v>
      </c>
      <c r="L228" s="263">
        <v>22628</v>
      </c>
      <c r="M228" s="263">
        <v>23285</v>
      </c>
      <c r="N228" s="263">
        <v>23983</v>
      </c>
      <c r="O228" s="263">
        <v>24751</v>
      </c>
      <c r="P228" s="263">
        <v>25567</v>
      </c>
      <c r="Q228" s="263">
        <v>26437</v>
      </c>
      <c r="R228" s="263">
        <v>38247.33</v>
      </c>
      <c r="S228" s="263">
        <v>39457.69</v>
      </c>
      <c r="T228" s="263">
        <v>39457.69</v>
      </c>
      <c r="U228" s="263">
        <f t="shared" si="144"/>
        <v>459347.71</v>
      </c>
      <c r="V228" s="196" t="str">
        <f t="shared" si="114"/>
        <v>R</v>
      </c>
      <c r="W228" s="196" t="s">
        <v>1168</v>
      </c>
      <c r="X228" s="196" t="str">
        <f t="shared" si="112"/>
        <v>N</v>
      </c>
      <c r="Y228" s="197">
        <f t="shared" si="115"/>
        <v>459347.71</v>
      </c>
      <c r="Z228" s="198"/>
      <c r="AA228" s="197">
        <f t="shared" si="116"/>
        <v>459347.71</v>
      </c>
      <c r="AB228" s="196"/>
      <c r="AC228" s="196"/>
      <c r="AD228" s="275">
        <v>0</v>
      </c>
      <c r="AE228" s="275">
        <v>0</v>
      </c>
      <c r="AF228" s="275">
        <v>1</v>
      </c>
      <c r="AG228" s="442"/>
      <c r="AH228" s="442"/>
      <c r="AI228" s="200">
        <f t="shared" si="117"/>
        <v>0</v>
      </c>
      <c r="AJ228" s="203"/>
      <c r="AK228" s="203"/>
      <c r="AL228" s="197">
        <f t="shared" si="118"/>
        <v>459347.71</v>
      </c>
      <c r="AM228" s="197">
        <f t="shared" si="119"/>
        <v>0</v>
      </c>
      <c r="AN228" s="197">
        <f t="shared" si="120"/>
        <v>0</v>
      </c>
      <c r="AO228" s="202"/>
      <c r="AP228" s="161" t="s">
        <v>3900</v>
      </c>
      <c r="AQ228" s="279"/>
      <c r="AR228" s="287">
        <f t="shared" si="121"/>
        <v>0</v>
      </c>
      <c r="AS228" s="287">
        <f t="shared" si="122"/>
        <v>0</v>
      </c>
      <c r="AT228" s="287">
        <f t="shared" si="123"/>
        <v>0</v>
      </c>
      <c r="AU228" s="287">
        <f t="shared" si="124"/>
        <v>0</v>
      </c>
      <c r="AV228" s="287">
        <f t="shared" si="125"/>
        <v>0</v>
      </c>
      <c r="AW228" s="287">
        <f t="shared" si="126"/>
        <v>0</v>
      </c>
      <c r="AX228" s="287">
        <f t="shared" si="127"/>
        <v>0</v>
      </c>
      <c r="AY228" s="287">
        <f t="shared" si="128"/>
        <v>0</v>
      </c>
      <c r="AZ228" s="287">
        <f t="shared" si="129"/>
        <v>0</v>
      </c>
      <c r="BA228" s="287">
        <f t="shared" si="130"/>
        <v>0</v>
      </c>
      <c r="BB228" s="16"/>
      <c r="BC228" s="287">
        <f t="shared" si="131"/>
        <v>0</v>
      </c>
      <c r="BD228" s="287">
        <f t="shared" si="132"/>
        <v>0</v>
      </c>
      <c r="BE228" s="287">
        <f t="shared" si="133"/>
        <v>0</v>
      </c>
      <c r="BF228" s="287">
        <f t="shared" si="134"/>
        <v>0</v>
      </c>
      <c r="BG228" s="287">
        <f t="shared" si="135"/>
        <v>0</v>
      </c>
      <c r="BH228" s="287">
        <f t="shared" si="136"/>
        <v>0</v>
      </c>
      <c r="BI228" s="287">
        <f t="shared" si="137"/>
        <v>0</v>
      </c>
      <c r="BJ228" s="287">
        <f t="shared" si="138"/>
        <v>0</v>
      </c>
      <c r="BK228" s="287">
        <f t="shared" si="139"/>
        <v>0</v>
      </c>
      <c r="BL228" s="287">
        <f t="shared" si="140"/>
        <v>0</v>
      </c>
      <c r="BM228" s="16"/>
      <c r="BN228" s="287">
        <f t="shared" si="141"/>
        <v>0</v>
      </c>
      <c r="BO228" s="287">
        <f t="shared" si="142"/>
        <v>0</v>
      </c>
      <c r="BP228" s="432"/>
      <c r="BQ228" s="21"/>
      <c r="BR228" s="21"/>
      <c r="BS228" s="39"/>
      <c r="BT228" s="39"/>
      <c r="BU228" s="39"/>
      <c r="BV228" s="39"/>
      <c r="BW228" s="39"/>
      <c r="BX228" s="39"/>
      <c r="BY228" s="39"/>
      <c r="BZ228" s="39">
        <v>215</v>
      </c>
      <c r="CA228" s="39" t="str">
        <f t="shared" si="143"/>
        <v/>
      </c>
      <c r="CB228" s="39"/>
      <c r="CC228" s="39"/>
      <c r="CD228" s="39"/>
      <c r="CE228" s="39"/>
      <c r="CF228" s="39"/>
      <c r="CG228" s="39"/>
      <c r="CH228" s="39"/>
      <c r="CI228" s="39"/>
      <c r="CJ228" s="39"/>
      <c r="CK228" s="39"/>
    </row>
    <row r="229" spans="1:89" s="193" customFormat="1">
      <c r="A229" s="195"/>
      <c r="B229" s="21" t="str">
        <f t="shared" si="113"/>
        <v>N/A</v>
      </c>
      <c r="C229" s="21"/>
      <c r="D229" s="432">
        <v>3201487</v>
      </c>
      <c r="E229" s="439" t="s">
        <v>3626</v>
      </c>
      <c r="F229" s="439" t="s">
        <v>3477</v>
      </c>
      <c r="G229" s="273" t="s">
        <v>3381</v>
      </c>
      <c r="H229" s="358"/>
      <c r="I229" s="262" t="s">
        <v>3497</v>
      </c>
      <c r="J229" s="262" t="s">
        <v>3504</v>
      </c>
      <c r="K229" s="263">
        <v>1526480</v>
      </c>
      <c r="L229" s="263">
        <v>2481960</v>
      </c>
      <c r="M229" s="263">
        <v>1505120</v>
      </c>
      <c r="N229" s="263">
        <v>50000</v>
      </c>
      <c r="O229" s="263">
        <v>500000</v>
      </c>
      <c r="P229" s="263">
        <v>500000</v>
      </c>
      <c r="Q229" s="263">
        <v>490000</v>
      </c>
      <c r="R229" s="263">
        <v>1573753</v>
      </c>
      <c r="S229" s="263">
        <v>1667542</v>
      </c>
      <c r="T229" s="263">
        <v>1780542</v>
      </c>
      <c r="U229" s="263">
        <f t="shared" si="144"/>
        <v>12075397</v>
      </c>
      <c r="V229" s="196" t="str">
        <f t="shared" si="114"/>
        <v>R</v>
      </c>
      <c r="W229" s="196" t="s">
        <v>1168</v>
      </c>
      <c r="X229" s="196" t="str">
        <f t="shared" si="112"/>
        <v>N</v>
      </c>
      <c r="Y229" s="197">
        <f t="shared" si="115"/>
        <v>12075397</v>
      </c>
      <c r="Z229" s="198"/>
      <c r="AA229" s="197">
        <f t="shared" si="116"/>
        <v>12075397</v>
      </c>
      <c r="AB229" s="196"/>
      <c r="AC229" s="196"/>
      <c r="AD229" s="275">
        <v>0</v>
      </c>
      <c r="AE229" s="275">
        <v>0</v>
      </c>
      <c r="AF229" s="275">
        <v>1</v>
      </c>
      <c r="AG229" s="442"/>
      <c r="AH229" s="442"/>
      <c r="AI229" s="200">
        <f t="shared" si="117"/>
        <v>0</v>
      </c>
      <c r="AJ229" s="203"/>
      <c r="AK229" s="203"/>
      <c r="AL229" s="197">
        <f t="shared" si="118"/>
        <v>12075397</v>
      </c>
      <c r="AM229" s="197">
        <f t="shared" si="119"/>
        <v>0</v>
      </c>
      <c r="AN229" s="197">
        <f t="shared" si="120"/>
        <v>0</v>
      </c>
      <c r="AO229" s="202"/>
      <c r="AP229" s="161" t="s">
        <v>3900</v>
      </c>
      <c r="AQ229" s="279"/>
      <c r="AR229" s="287">
        <f t="shared" si="121"/>
        <v>0</v>
      </c>
      <c r="AS229" s="287">
        <f t="shared" si="122"/>
        <v>0</v>
      </c>
      <c r="AT229" s="287">
        <f t="shared" si="123"/>
        <v>0</v>
      </c>
      <c r="AU229" s="287">
        <f t="shared" si="124"/>
        <v>0</v>
      </c>
      <c r="AV229" s="287">
        <f t="shared" si="125"/>
        <v>0</v>
      </c>
      <c r="AW229" s="287">
        <f t="shared" si="126"/>
        <v>0</v>
      </c>
      <c r="AX229" s="287">
        <f t="shared" si="127"/>
        <v>0</v>
      </c>
      <c r="AY229" s="287">
        <f t="shared" si="128"/>
        <v>0</v>
      </c>
      <c r="AZ229" s="287">
        <f t="shared" si="129"/>
        <v>0</v>
      </c>
      <c r="BA229" s="287">
        <f t="shared" si="130"/>
        <v>0</v>
      </c>
      <c r="BB229" s="16"/>
      <c r="BC229" s="287">
        <f t="shared" si="131"/>
        <v>0</v>
      </c>
      <c r="BD229" s="287">
        <f t="shared" si="132"/>
        <v>0</v>
      </c>
      <c r="BE229" s="287">
        <f t="shared" si="133"/>
        <v>0</v>
      </c>
      <c r="BF229" s="287">
        <f t="shared" si="134"/>
        <v>0</v>
      </c>
      <c r="BG229" s="287">
        <f t="shared" si="135"/>
        <v>0</v>
      </c>
      <c r="BH229" s="287">
        <f t="shared" si="136"/>
        <v>0</v>
      </c>
      <c r="BI229" s="287">
        <f t="shared" si="137"/>
        <v>0</v>
      </c>
      <c r="BJ229" s="287">
        <f t="shared" si="138"/>
        <v>0</v>
      </c>
      <c r="BK229" s="287">
        <f t="shared" si="139"/>
        <v>0</v>
      </c>
      <c r="BL229" s="287">
        <f t="shared" si="140"/>
        <v>0</v>
      </c>
      <c r="BM229" s="16"/>
      <c r="BN229" s="287">
        <f t="shared" si="141"/>
        <v>0</v>
      </c>
      <c r="BO229" s="287">
        <f t="shared" si="142"/>
        <v>0</v>
      </c>
      <c r="BP229" s="432"/>
      <c r="BQ229" s="21"/>
      <c r="BR229" s="21"/>
      <c r="BS229" s="39"/>
      <c r="BT229" s="39"/>
      <c r="BU229" s="39"/>
      <c r="BV229" s="39"/>
      <c r="BW229" s="39"/>
      <c r="BX229" s="39"/>
      <c r="BY229" s="39"/>
      <c r="BZ229" s="39">
        <v>216</v>
      </c>
      <c r="CA229" s="39" t="str">
        <f t="shared" si="143"/>
        <v/>
      </c>
      <c r="CB229" s="39"/>
      <c r="CC229" s="39"/>
      <c r="CD229" s="39"/>
      <c r="CE229" s="39"/>
      <c r="CF229" s="39"/>
      <c r="CG229" s="39"/>
      <c r="CH229" s="39"/>
      <c r="CI229" s="39"/>
      <c r="CJ229" s="39"/>
      <c r="CK229" s="39"/>
    </row>
    <row r="230" spans="1:89" s="193" customFormat="1">
      <c r="A230" s="195"/>
      <c r="B230" s="21" t="str">
        <f t="shared" si="113"/>
        <v>N/A</v>
      </c>
      <c r="C230" s="21"/>
      <c r="D230" s="432">
        <v>3201488</v>
      </c>
      <c r="E230" s="439" t="s">
        <v>3626</v>
      </c>
      <c r="F230" s="439" t="s">
        <v>3790</v>
      </c>
      <c r="G230" s="273" t="s">
        <v>3391</v>
      </c>
      <c r="H230" s="358"/>
      <c r="I230" s="262" t="s">
        <v>3497</v>
      </c>
      <c r="J230" s="262" t="s">
        <v>3504</v>
      </c>
      <c r="K230" s="263">
        <v>88046</v>
      </c>
      <c r="L230" s="263">
        <v>226280</v>
      </c>
      <c r="M230" s="263">
        <v>232842</v>
      </c>
      <c r="N230" s="263">
        <v>119914</v>
      </c>
      <c r="O230" s="263">
        <v>123751</v>
      </c>
      <c r="P230" s="263">
        <v>127835</v>
      </c>
      <c r="Q230" s="263">
        <v>132181</v>
      </c>
      <c r="R230" s="263">
        <v>191230.85</v>
      </c>
      <c r="S230" s="263">
        <v>197282.46</v>
      </c>
      <c r="T230" s="263">
        <v>197282.46</v>
      </c>
      <c r="U230" s="263">
        <f t="shared" si="144"/>
        <v>1636644.77</v>
      </c>
      <c r="V230" s="196" t="str">
        <f t="shared" si="114"/>
        <v>R</v>
      </c>
      <c r="W230" s="196" t="s">
        <v>1168</v>
      </c>
      <c r="X230" s="196" t="str">
        <f t="shared" si="112"/>
        <v>N</v>
      </c>
      <c r="Y230" s="197">
        <f t="shared" si="115"/>
        <v>1636644.77</v>
      </c>
      <c r="Z230" s="198"/>
      <c r="AA230" s="197">
        <f t="shared" si="116"/>
        <v>1636644.77</v>
      </c>
      <c r="AB230" s="196"/>
      <c r="AC230" s="196"/>
      <c r="AD230" s="275">
        <v>0</v>
      </c>
      <c r="AE230" s="275">
        <v>0</v>
      </c>
      <c r="AF230" s="275">
        <v>1</v>
      </c>
      <c r="AG230" s="442"/>
      <c r="AH230" s="442"/>
      <c r="AI230" s="200">
        <f t="shared" si="117"/>
        <v>0</v>
      </c>
      <c r="AJ230" s="203"/>
      <c r="AK230" s="203"/>
      <c r="AL230" s="197">
        <f t="shared" si="118"/>
        <v>1636644.77</v>
      </c>
      <c r="AM230" s="197">
        <f t="shared" si="119"/>
        <v>0</v>
      </c>
      <c r="AN230" s="197">
        <f t="shared" si="120"/>
        <v>0</v>
      </c>
      <c r="AO230" s="202"/>
      <c r="AP230" s="161" t="s">
        <v>3900</v>
      </c>
      <c r="AQ230" s="279"/>
      <c r="AR230" s="287">
        <f t="shared" si="121"/>
        <v>0</v>
      </c>
      <c r="AS230" s="287">
        <f t="shared" si="122"/>
        <v>0</v>
      </c>
      <c r="AT230" s="287">
        <f t="shared" si="123"/>
        <v>0</v>
      </c>
      <c r="AU230" s="287">
        <f t="shared" si="124"/>
        <v>0</v>
      </c>
      <c r="AV230" s="287">
        <f t="shared" si="125"/>
        <v>0</v>
      </c>
      <c r="AW230" s="287">
        <f t="shared" si="126"/>
        <v>0</v>
      </c>
      <c r="AX230" s="287">
        <f t="shared" si="127"/>
        <v>0</v>
      </c>
      <c r="AY230" s="287">
        <f t="shared" si="128"/>
        <v>0</v>
      </c>
      <c r="AZ230" s="287">
        <f t="shared" si="129"/>
        <v>0</v>
      </c>
      <c r="BA230" s="287">
        <f t="shared" si="130"/>
        <v>0</v>
      </c>
      <c r="BB230" s="16"/>
      <c r="BC230" s="287">
        <f t="shared" si="131"/>
        <v>0</v>
      </c>
      <c r="BD230" s="287">
        <f t="shared" si="132"/>
        <v>0</v>
      </c>
      <c r="BE230" s="287">
        <f t="shared" si="133"/>
        <v>0</v>
      </c>
      <c r="BF230" s="287">
        <f t="shared" si="134"/>
        <v>0</v>
      </c>
      <c r="BG230" s="287">
        <f t="shared" si="135"/>
        <v>0</v>
      </c>
      <c r="BH230" s="287">
        <f t="shared" si="136"/>
        <v>0</v>
      </c>
      <c r="BI230" s="287">
        <f t="shared" si="137"/>
        <v>0</v>
      </c>
      <c r="BJ230" s="287">
        <f t="shared" si="138"/>
        <v>0</v>
      </c>
      <c r="BK230" s="287">
        <f t="shared" si="139"/>
        <v>0</v>
      </c>
      <c r="BL230" s="287">
        <f t="shared" si="140"/>
        <v>0</v>
      </c>
      <c r="BM230" s="16"/>
      <c r="BN230" s="287">
        <f t="shared" si="141"/>
        <v>0</v>
      </c>
      <c r="BO230" s="287">
        <f t="shared" si="142"/>
        <v>0</v>
      </c>
      <c r="BP230" s="432"/>
      <c r="BQ230" s="21"/>
      <c r="BR230" s="21"/>
      <c r="BS230" s="39"/>
      <c r="BT230" s="39"/>
      <c r="BU230" s="39"/>
      <c r="BV230" s="39"/>
      <c r="BW230" s="39"/>
      <c r="BX230" s="39"/>
      <c r="BY230" s="39"/>
      <c r="BZ230" s="39">
        <v>217</v>
      </c>
      <c r="CA230" s="39" t="str">
        <f t="shared" si="143"/>
        <v/>
      </c>
      <c r="CB230" s="39"/>
      <c r="CC230" s="39"/>
      <c r="CD230" s="39"/>
      <c r="CE230" s="39"/>
      <c r="CF230" s="39"/>
      <c r="CG230" s="39"/>
      <c r="CH230" s="39"/>
      <c r="CI230" s="39"/>
      <c r="CJ230" s="39"/>
      <c r="CK230" s="39"/>
    </row>
    <row r="231" spans="1:89" s="193" customFormat="1">
      <c r="A231" s="195"/>
      <c r="B231" s="21" t="str">
        <f t="shared" si="113"/>
        <v>N/A</v>
      </c>
      <c r="C231" s="21"/>
      <c r="D231" s="432">
        <v>3201489</v>
      </c>
      <c r="E231" s="439" t="s">
        <v>3626</v>
      </c>
      <c r="F231" s="439" t="s">
        <v>3791</v>
      </c>
      <c r="G231" s="273" t="s">
        <v>3388</v>
      </c>
      <c r="H231" s="358"/>
      <c r="I231" s="262" t="s">
        <v>3497</v>
      </c>
      <c r="J231" s="262" t="s">
        <v>3504</v>
      </c>
      <c r="K231" s="263">
        <v>110058</v>
      </c>
      <c r="L231" s="263">
        <v>29677</v>
      </c>
      <c r="M231" s="263">
        <v>116421</v>
      </c>
      <c r="N231" s="263">
        <v>0</v>
      </c>
      <c r="O231" s="263">
        <v>19802</v>
      </c>
      <c r="P231" s="263">
        <v>127835</v>
      </c>
      <c r="Q231" s="263">
        <v>323883</v>
      </c>
      <c r="R231" s="263">
        <v>468572.81</v>
      </c>
      <c r="S231" s="263">
        <v>483401.07</v>
      </c>
      <c r="T231" s="263">
        <v>483401.07</v>
      </c>
      <c r="U231" s="263">
        <f t="shared" si="144"/>
        <v>2163050.9500000002</v>
      </c>
      <c r="V231" s="196" t="str">
        <f t="shared" si="114"/>
        <v>R</v>
      </c>
      <c r="W231" s="196" t="s">
        <v>1168</v>
      </c>
      <c r="X231" s="196" t="str">
        <f t="shared" si="112"/>
        <v>N</v>
      </c>
      <c r="Y231" s="197">
        <f t="shared" si="115"/>
        <v>2163050.9500000002</v>
      </c>
      <c r="Z231" s="198"/>
      <c r="AA231" s="197">
        <f t="shared" si="116"/>
        <v>2163050.9500000002</v>
      </c>
      <c r="AB231" s="196"/>
      <c r="AC231" s="196"/>
      <c r="AD231" s="275">
        <v>0</v>
      </c>
      <c r="AE231" s="275">
        <v>0</v>
      </c>
      <c r="AF231" s="275">
        <v>1</v>
      </c>
      <c r="AG231" s="442"/>
      <c r="AH231" s="442"/>
      <c r="AI231" s="200">
        <f t="shared" si="117"/>
        <v>0</v>
      </c>
      <c r="AJ231" s="203"/>
      <c r="AK231" s="203"/>
      <c r="AL231" s="197">
        <f t="shared" si="118"/>
        <v>2163050.9500000002</v>
      </c>
      <c r="AM231" s="197">
        <f t="shared" si="119"/>
        <v>0</v>
      </c>
      <c r="AN231" s="197">
        <f t="shared" si="120"/>
        <v>0</v>
      </c>
      <c r="AO231" s="202"/>
      <c r="AP231" s="161" t="s">
        <v>3900</v>
      </c>
      <c r="AQ231" s="279"/>
      <c r="AR231" s="287">
        <f t="shared" si="121"/>
        <v>0</v>
      </c>
      <c r="AS231" s="287">
        <f t="shared" si="122"/>
        <v>0</v>
      </c>
      <c r="AT231" s="287">
        <f t="shared" si="123"/>
        <v>0</v>
      </c>
      <c r="AU231" s="287">
        <f t="shared" si="124"/>
        <v>0</v>
      </c>
      <c r="AV231" s="287">
        <f t="shared" si="125"/>
        <v>0</v>
      </c>
      <c r="AW231" s="287">
        <f t="shared" si="126"/>
        <v>0</v>
      </c>
      <c r="AX231" s="287">
        <f t="shared" si="127"/>
        <v>0</v>
      </c>
      <c r="AY231" s="287">
        <f t="shared" si="128"/>
        <v>0</v>
      </c>
      <c r="AZ231" s="287">
        <f t="shared" si="129"/>
        <v>0</v>
      </c>
      <c r="BA231" s="287">
        <f t="shared" si="130"/>
        <v>0</v>
      </c>
      <c r="BB231" s="16"/>
      <c r="BC231" s="287">
        <f t="shared" si="131"/>
        <v>0</v>
      </c>
      <c r="BD231" s="287">
        <f t="shared" si="132"/>
        <v>0</v>
      </c>
      <c r="BE231" s="287">
        <f t="shared" si="133"/>
        <v>0</v>
      </c>
      <c r="BF231" s="287">
        <f t="shared" si="134"/>
        <v>0</v>
      </c>
      <c r="BG231" s="287">
        <f t="shared" si="135"/>
        <v>0</v>
      </c>
      <c r="BH231" s="287">
        <f t="shared" si="136"/>
        <v>0</v>
      </c>
      <c r="BI231" s="287">
        <f t="shared" si="137"/>
        <v>0</v>
      </c>
      <c r="BJ231" s="287">
        <f t="shared" si="138"/>
        <v>0</v>
      </c>
      <c r="BK231" s="287">
        <f t="shared" si="139"/>
        <v>0</v>
      </c>
      <c r="BL231" s="287">
        <f t="shared" si="140"/>
        <v>0</v>
      </c>
      <c r="BM231" s="16"/>
      <c r="BN231" s="287">
        <f t="shared" si="141"/>
        <v>0</v>
      </c>
      <c r="BO231" s="287">
        <f t="shared" si="142"/>
        <v>0</v>
      </c>
      <c r="BP231" s="432"/>
      <c r="BQ231" s="21"/>
      <c r="BR231" s="21"/>
      <c r="BS231" s="39"/>
      <c r="BT231" s="39"/>
      <c r="BU231" s="39"/>
      <c r="BV231" s="39"/>
      <c r="BW231" s="39"/>
      <c r="BX231" s="39"/>
      <c r="BY231" s="39"/>
      <c r="BZ231" s="39">
        <v>218</v>
      </c>
      <c r="CA231" s="39" t="str">
        <f t="shared" si="143"/>
        <v/>
      </c>
      <c r="CB231" s="39"/>
      <c r="CC231" s="39"/>
      <c r="CD231" s="39"/>
      <c r="CE231" s="39"/>
      <c r="CF231" s="39"/>
      <c r="CG231" s="39"/>
      <c r="CH231" s="39"/>
      <c r="CI231" s="39"/>
      <c r="CJ231" s="39"/>
      <c r="CK231" s="39"/>
    </row>
    <row r="232" spans="1:89" s="193" customFormat="1">
      <c r="A232" s="195"/>
      <c r="B232" s="21" t="str">
        <f t="shared" si="113"/>
        <v>N/A</v>
      </c>
      <c r="C232" s="21"/>
      <c r="D232" s="432">
        <v>3201490</v>
      </c>
      <c r="E232" s="439" t="s">
        <v>3626</v>
      </c>
      <c r="F232" s="439" t="s">
        <v>3792</v>
      </c>
      <c r="G232" s="273" t="s">
        <v>3428</v>
      </c>
      <c r="H232" s="358"/>
      <c r="I232" s="262" t="s">
        <v>3492</v>
      </c>
      <c r="J232" s="262" t="s">
        <v>3525</v>
      </c>
      <c r="K232" s="263">
        <v>0</v>
      </c>
      <c r="L232" s="263">
        <v>0</v>
      </c>
      <c r="M232" s="263">
        <v>100000</v>
      </c>
      <c r="N232" s="263">
        <v>1100000</v>
      </c>
      <c r="O232" s="263">
        <v>5000000</v>
      </c>
      <c r="P232" s="263">
        <v>8000000</v>
      </c>
      <c r="Q232" s="263">
        <v>10449939</v>
      </c>
      <c r="R232" s="263">
        <v>20000000</v>
      </c>
      <c r="S232" s="263">
        <v>3300000</v>
      </c>
      <c r="T232" s="263">
        <v>0</v>
      </c>
      <c r="U232" s="263">
        <f t="shared" si="144"/>
        <v>47949939</v>
      </c>
      <c r="V232" s="196" t="str">
        <f t="shared" si="114"/>
        <v>LOS</v>
      </c>
      <c r="W232" s="196" t="s">
        <v>1168</v>
      </c>
      <c r="X232" s="196" t="str">
        <f t="shared" si="112"/>
        <v>N</v>
      </c>
      <c r="Y232" s="197">
        <f t="shared" si="115"/>
        <v>47949939</v>
      </c>
      <c r="Z232" s="198"/>
      <c r="AA232" s="197">
        <f t="shared" si="116"/>
        <v>47949939</v>
      </c>
      <c r="AB232" s="196"/>
      <c r="AC232" s="196"/>
      <c r="AD232" s="275">
        <v>0</v>
      </c>
      <c r="AE232" s="275">
        <v>1</v>
      </c>
      <c r="AF232" s="275">
        <v>0</v>
      </c>
      <c r="AG232" s="199"/>
      <c r="AH232" s="199"/>
      <c r="AI232" s="200">
        <f t="shared" si="117"/>
        <v>0</v>
      </c>
      <c r="AJ232" s="203"/>
      <c r="AK232" s="203"/>
      <c r="AL232" s="197">
        <f t="shared" si="118"/>
        <v>47949939</v>
      </c>
      <c r="AM232" s="197">
        <f t="shared" si="119"/>
        <v>0</v>
      </c>
      <c r="AN232" s="197">
        <f t="shared" si="120"/>
        <v>0</v>
      </c>
      <c r="AO232" s="202"/>
      <c r="AP232" s="161" t="s">
        <v>3900</v>
      </c>
      <c r="AQ232" s="279"/>
      <c r="AR232" s="287">
        <f t="shared" si="121"/>
        <v>0</v>
      </c>
      <c r="AS232" s="287">
        <f t="shared" si="122"/>
        <v>0</v>
      </c>
      <c r="AT232" s="287">
        <f t="shared" si="123"/>
        <v>0</v>
      </c>
      <c r="AU232" s="287">
        <f t="shared" si="124"/>
        <v>0</v>
      </c>
      <c r="AV232" s="287">
        <f t="shared" si="125"/>
        <v>0</v>
      </c>
      <c r="AW232" s="287">
        <f t="shared" si="126"/>
        <v>0</v>
      </c>
      <c r="AX232" s="287">
        <f t="shared" si="127"/>
        <v>0</v>
      </c>
      <c r="AY232" s="287">
        <f t="shared" si="128"/>
        <v>0</v>
      </c>
      <c r="AZ232" s="287">
        <f t="shared" si="129"/>
        <v>0</v>
      </c>
      <c r="BA232" s="287">
        <f t="shared" si="130"/>
        <v>0</v>
      </c>
      <c r="BB232" s="16"/>
      <c r="BC232" s="287">
        <f t="shared" si="131"/>
        <v>0</v>
      </c>
      <c r="BD232" s="287">
        <f t="shared" si="132"/>
        <v>0</v>
      </c>
      <c r="BE232" s="287">
        <f t="shared" si="133"/>
        <v>0</v>
      </c>
      <c r="BF232" s="287">
        <f t="shared" si="134"/>
        <v>0</v>
      </c>
      <c r="BG232" s="287">
        <f t="shared" si="135"/>
        <v>0</v>
      </c>
      <c r="BH232" s="287">
        <f t="shared" si="136"/>
        <v>0</v>
      </c>
      <c r="BI232" s="287">
        <f t="shared" si="137"/>
        <v>0</v>
      </c>
      <c r="BJ232" s="287">
        <f t="shared" si="138"/>
        <v>0</v>
      </c>
      <c r="BK232" s="287">
        <f t="shared" si="139"/>
        <v>0</v>
      </c>
      <c r="BL232" s="287">
        <f t="shared" si="140"/>
        <v>0</v>
      </c>
      <c r="BM232" s="16"/>
      <c r="BN232" s="287">
        <f t="shared" si="141"/>
        <v>0</v>
      </c>
      <c r="BO232" s="287">
        <f t="shared" si="142"/>
        <v>0</v>
      </c>
      <c r="BP232" s="432"/>
      <c r="BQ232" s="21"/>
      <c r="BR232" s="21"/>
      <c r="BS232" s="39"/>
      <c r="BT232" s="39"/>
      <c r="BU232" s="334">
        <v>337850</v>
      </c>
      <c r="BV232" s="334">
        <v>0</v>
      </c>
      <c r="BW232" s="39"/>
      <c r="BX232" s="39"/>
      <c r="BY232" s="39"/>
      <c r="BZ232" s="39">
        <v>219</v>
      </c>
      <c r="CA232" s="39" t="str">
        <f t="shared" si="143"/>
        <v/>
      </c>
      <c r="CB232" s="39"/>
      <c r="CC232" s="39"/>
      <c r="CD232" s="39"/>
      <c r="CE232" s="39"/>
      <c r="CF232" s="39"/>
      <c r="CG232" s="39"/>
      <c r="CH232" s="39"/>
      <c r="CI232" s="39"/>
      <c r="CJ232" s="39"/>
      <c r="CK232" s="39"/>
    </row>
    <row r="233" spans="1:89" s="193" customFormat="1">
      <c r="A233" s="195"/>
      <c r="B233" s="21" t="str">
        <f t="shared" si="113"/>
        <v>N/A</v>
      </c>
      <c r="C233" s="21"/>
      <c r="D233" s="432">
        <v>3201492</v>
      </c>
      <c r="E233" s="439" t="s">
        <v>3626</v>
      </c>
      <c r="F233" s="439" t="s">
        <v>3795</v>
      </c>
      <c r="G233" s="273" t="s">
        <v>3235</v>
      </c>
      <c r="H233" s="358"/>
      <c r="I233" s="262" t="s">
        <v>3495</v>
      </c>
      <c r="J233" s="262" t="s">
        <v>3504</v>
      </c>
      <c r="K233" s="263">
        <v>16031</v>
      </c>
      <c r="L233" s="263">
        <v>18487</v>
      </c>
      <c r="M233" s="263">
        <v>17023</v>
      </c>
      <c r="N233" s="263">
        <v>19614</v>
      </c>
      <c r="O233" s="263">
        <v>13868</v>
      </c>
      <c r="P233" s="263">
        <v>16509</v>
      </c>
      <c r="Q233" s="263">
        <v>14866</v>
      </c>
      <c r="R233" s="263">
        <v>14866</v>
      </c>
      <c r="S233" s="263">
        <v>14866</v>
      </c>
      <c r="T233" s="263">
        <v>14866</v>
      </c>
      <c r="U233" s="263">
        <f t="shared" si="144"/>
        <v>160996</v>
      </c>
      <c r="V233" s="196" t="str">
        <f t="shared" si="114"/>
        <v>LOS/R</v>
      </c>
      <c r="W233" s="196" t="s">
        <v>1168</v>
      </c>
      <c r="X233" s="196" t="str">
        <f t="shared" si="112"/>
        <v>N</v>
      </c>
      <c r="Y233" s="197">
        <f t="shared" si="115"/>
        <v>160996</v>
      </c>
      <c r="Z233" s="198"/>
      <c r="AA233" s="197">
        <f t="shared" si="116"/>
        <v>160996</v>
      </c>
      <c r="AB233" s="196"/>
      <c r="AC233" s="196"/>
      <c r="AD233" s="275">
        <v>0</v>
      </c>
      <c r="AE233" s="275">
        <v>0.89</v>
      </c>
      <c r="AF233" s="275">
        <v>0.11000000000000001</v>
      </c>
      <c r="AG233" s="199"/>
      <c r="AH233" s="199"/>
      <c r="AI233" s="377">
        <f t="shared" si="117"/>
        <v>0</v>
      </c>
      <c r="AJ233" s="203"/>
      <c r="AK233" s="203"/>
      <c r="AL233" s="197">
        <f t="shared" si="118"/>
        <v>160996</v>
      </c>
      <c r="AM233" s="197">
        <f t="shared" si="119"/>
        <v>0</v>
      </c>
      <c r="AN233" s="197">
        <f t="shared" si="120"/>
        <v>0</v>
      </c>
      <c r="AO233" s="202"/>
      <c r="AP233" s="161" t="s">
        <v>3900</v>
      </c>
      <c r="AQ233" s="279"/>
      <c r="AR233" s="287">
        <f t="shared" si="121"/>
        <v>0</v>
      </c>
      <c r="AS233" s="287">
        <f t="shared" si="122"/>
        <v>0</v>
      </c>
      <c r="AT233" s="287">
        <f t="shared" si="123"/>
        <v>0</v>
      </c>
      <c r="AU233" s="287">
        <f t="shared" si="124"/>
        <v>0</v>
      </c>
      <c r="AV233" s="287">
        <f t="shared" si="125"/>
        <v>0</v>
      </c>
      <c r="AW233" s="287">
        <f t="shared" si="126"/>
        <v>0</v>
      </c>
      <c r="AX233" s="287">
        <f t="shared" si="127"/>
        <v>0</v>
      </c>
      <c r="AY233" s="287">
        <f t="shared" si="128"/>
        <v>0</v>
      </c>
      <c r="AZ233" s="287">
        <f t="shared" si="129"/>
        <v>0</v>
      </c>
      <c r="BA233" s="287">
        <f t="shared" si="130"/>
        <v>0</v>
      </c>
      <c r="BB233" s="16"/>
      <c r="BC233" s="287">
        <f t="shared" si="131"/>
        <v>0</v>
      </c>
      <c r="BD233" s="287">
        <f t="shared" si="132"/>
        <v>0</v>
      </c>
      <c r="BE233" s="287">
        <f t="shared" si="133"/>
        <v>0</v>
      </c>
      <c r="BF233" s="287">
        <f t="shared" si="134"/>
        <v>0</v>
      </c>
      <c r="BG233" s="287">
        <f t="shared" si="135"/>
        <v>0</v>
      </c>
      <c r="BH233" s="287">
        <f t="shared" si="136"/>
        <v>0</v>
      </c>
      <c r="BI233" s="287">
        <f t="shared" si="137"/>
        <v>0</v>
      </c>
      <c r="BJ233" s="287">
        <f t="shared" si="138"/>
        <v>0</v>
      </c>
      <c r="BK233" s="287">
        <f t="shared" si="139"/>
        <v>0</v>
      </c>
      <c r="BL233" s="287">
        <f t="shared" si="140"/>
        <v>0</v>
      </c>
      <c r="BM233" s="16"/>
      <c r="BN233" s="287">
        <f t="shared" si="141"/>
        <v>0</v>
      </c>
      <c r="BO233" s="287">
        <f t="shared" si="142"/>
        <v>0</v>
      </c>
      <c r="BP233" s="432"/>
      <c r="BQ233" s="21"/>
      <c r="BR233" s="21"/>
      <c r="BS233" s="39"/>
      <c r="BT233" s="39"/>
      <c r="BU233" s="334">
        <v>1465816.05</v>
      </c>
      <c r="BV233" s="334">
        <v>0</v>
      </c>
      <c r="BW233" s="39"/>
      <c r="BX233" s="39"/>
      <c r="BY233" s="39"/>
      <c r="BZ233" s="39">
        <v>220</v>
      </c>
      <c r="CA233" s="39" t="str">
        <f t="shared" si="143"/>
        <v/>
      </c>
      <c r="CB233" s="39"/>
      <c r="CC233" s="39"/>
      <c r="CD233" s="39"/>
      <c r="CE233" s="39"/>
      <c r="CF233" s="39"/>
      <c r="CG233" s="39"/>
      <c r="CH233" s="39"/>
      <c r="CI233" s="39"/>
      <c r="CJ233" s="39"/>
      <c r="CK233" s="39"/>
    </row>
    <row r="234" spans="1:89" s="193" customFormat="1">
      <c r="A234" s="195"/>
      <c r="B234" s="21" t="str">
        <f t="shared" si="113"/>
        <v>N/A</v>
      </c>
      <c r="C234" s="21"/>
      <c r="D234" s="432">
        <v>3201492</v>
      </c>
      <c r="E234" s="439" t="s">
        <v>3626</v>
      </c>
      <c r="F234" s="439" t="s">
        <v>3794</v>
      </c>
      <c r="G234" s="273" t="s">
        <v>3236</v>
      </c>
      <c r="H234" s="358"/>
      <c r="I234" s="262" t="s">
        <v>3496</v>
      </c>
      <c r="J234" s="262" t="s">
        <v>3504</v>
      </c>
      <c r="K234" s="263">
        <v>2917.22</v>
      </c>
      <c r="L234" s="263">
        <v>3004.69</v>
      </c>
      <c r="M234" s="263">
        <v>3097.86</v>
      </c>
      <c r="N234" s="263">
        <v>3197.04</v>
      </c>
      <c r="O234" s="263">
        <v>3260.98</v>
      </c>
      <c r="P234" s="263">
        <v>3326.2</v>
      </c>
      <c r="Q234" s="263">
        <v>3392.72</v>
      </c>
      <c r="R234" s="263">
        <v>3460.57</v>
      </c>
      <c r="S234" s="263">
        <v>3529.78</v>
      </c>
      <c r="T234" s="263">
        <v>3600.38</v>
      </c>
      <c r="U234" s="263">
        <f t="shared" si="144"/>
        <v>32787.440000000002</v>
      </c>
      <c r="V234" s="196" t="str">
        <f t="shared" si="114"/>
        <v>R</v>
      </c>
      <c r="W234" s="196" t="s">
        <v>1168</v>
      </c>
      <c r="X234" s="196" t="str">
        <f t="shared" si="112"/>
        <v>N</v>
      </c>
      <c r="Y234" s="197">
        <f t="shared" si="115"/>
        <v>32787.440000000002</v>
      </c>
      <c r="Z234" s="198"/>
      <c r="AA234" s="197">
        <f t="shared" si="116"/>
        <v>32787.440000000002</v>
      </c>
      <c r="AB234" s="196"/>
      <c r="AC234" s="196"/>
      <c r="AD234" s="275">
        <v>0</v>
      </c>
      <c r="AE234" s="275">
        <v>0</v>
      </c>
      <c r="AF234" s="275">
        <v>1</v>
      </c>
      <c r="AG234" s="199"/>
      <c r="AH234" s="199"/>
      <c r="AI234" s="377">
        <f t="shared" si="117"/>
        <v>0</v>
      </c>
      <c r="AJ234" s="203"/>
      <c r="AK234" s="203"/>
      <c r="AL234" s="197">
        <f t="shared" si="118"/>
        <v>32787.440000000002</v>
      </c>
      <c r="AM234" s="197">
        <f t="shared" si="119"/>
        <v>0</v>
      </c>
      <c r="AN234" s="197">
        <f t="shared" si="120"/>
        <v>0</v>
      </c>
      <c r="AO234" s="202"/>
      <c r="AP234" s="161" t="s">
        <v>3900</v>
      </c>
      <c r="AQ234" s="279"/>
      <c r="AR234" s="287">
        <f t="shared" si="121"/>
        <v>0</v>
      </c>
      <c r="AS234" s="287">
        <f t="shared" si="122"/>
        <v>0</v>
      </c>
      <c r="AT234" s="287">
        <f t="shared" si="123"/>
        <v>0</v>
      </c>
      <c r="AU234" s="287">
        <f t="shared" si="124"/>
        <v>0</v>
      </c>
      <c r="AV234" s="287">
        <f t="shared" si="125"/>
        <v>0</v>
      </c>
      <c r="AW234" s="287">
        <f t="shared" si="126"/>
        <v>0</v>
      </c>
      <c r="AX234" s="287">
        <f t="shared" si="127"/>
        <v>0</v>
      </c>
      <c r="AY234" s="287">
        <f t="shared" si="128"/>
        <v>0</v>
      </c>
      <c r="AZ234" s="287">
        <f t="shared" si="129"/>
        <v>0</v>
      </c>
      <c r="BA234" s="287">
        <f t="shared" si="130"/>
        <v>0</v>
      </c>
      <c r="BB234" s="16"/>
      <c r="BC234" s="287">
        <f t="shared" si="131"/>
        <v>0</v>
      </c>
      <c r="BD234" s="287">
        <f t="shared" si="132"/>
        <v>0</v>
      </c>
      <c r="BE234" s="287">
        <f t="shared" si="133"/>
        <v>0</v>
      </c>
      <c r="BF234" s="287">
        <f t="shared" si="134"/>
        <v>0</v>
      </c>
      <c r="BG234" s="287">
        <f t="shared" si="135"/>
        <v>0</v>
      </c>
      <c r="BH234" s="287">
        <f t="shared" si="136"/>
        <v>0</v>
      </c>
      <c r="BI234" s="287">
        <f t="shared" si="137"/>
        <v>0</v>
      </c>
      <c r="BJ234" s="287">
        <f t="shared" si="138"/>
        <v>0</v>
      </c>
      <c r="BK234" s="287">
        <f t="shared" si="139"/>
        <v>0</v>
      </c>
      <c r="BL234" s="287">
        <f t="shared" si="140"/>
        <v>0</v>
      </c>
      <c r="BM234" s="16"/>
      <c r="BN234" s="287">
        <f t="shared" si="141"/>
        <v>0</v>
      </c>
      <c r="BO234" s="287">
        <f t="shared" si="142"/>
        <v>0</v>
      </c>
      <c r="BP234" s="432"/>
      <c r="BQ234" s="21"/>
      <c r="BR234" s="21"/>
      <c r="BS234" s="39"/>
      <c r="BT234" s="39"/>
      <c r="BU234" s="334">
        <v>741500</v>
      </c>
      <c r="BV234" s="334">
        <v>0</v>
      </c>
      <c r="BW234" s="39"/>
      <c r="BX234" s="39"/>
      <c r="BY234" s="629"/>
      <c r="BZ234" s="39">
        <v>221</v>
      </c>
      <c r="CA234" s="39" t="str">
        <f t="shared" si="143"/>
        <v/>
      </c>
      <c r="CB234" s="39"/>
      <c r="CC234" s="39"/>
      <c r="CD234" s="39"/>
      <c r="CE234" s="39"/>
      <c r="CF234" s="39"/>
      <c r="CG234" s="39"/>
      <c r="CH234" s="39"/>
      <c r="CI234" s="39"/>
      <c r="CJ234" s="39"/>
      <c r="CK234" s="39"/>
    </row>
    <row r="235" spans="1:89" s="193" customFormat="1">
      <c r="A235" s="195"/>
      <c r="B235" s="21" t="str">
        <f t="shared" si="113"/>
        <v>N/A</v>
      </c>
      <c r="C235" s="21"/>
      <c r="D235" s="432">
        <v>3201492</v>
      </c>
      <c r="E235" s="439" t="s">
        <v>3626</v>
      </c>
      <c r="F235" s="439" t="s">
        <v>3807</v>
      </c>
      <c r="G235" s="273" t="s">
        <v>3237</v>
      </c>
      <c r="H235" s="358"/>
      <c r="I235" s="262" t="s">
        <v>3492</v>
      </c>
      <c r="J235" s="262" t="s">
        <v>3519</v>
      </c>
      <c r="K235" s="263">
        <v>4789283</v>
      </c>
      <c r="L235" s="263">
        <v>5116300</v>
      </c>
      <c r="M235" s="263">
        <v>4625794</v>
      </c>
      <c r="N235" s="263">
        <v>3874368</v>
      </c>
      <c r="O235" s="263">
        <v>4079086</v>
      </c>
      <c r="P235" s="263">
        <v>3827812</v>
      </c>
      <c r="Q235" s="263">
        <v>3623092</v>
      </c>
      <c r="R235" s="263">
        <v>6870000</v>
      </c>
      <c r="S235" s="263">
        <v>6900000</v>
      </c>
      <c r="T235" s="263">
        <v>5580000</v>
      </c>
      <c r="U235" s="263">
        <f t="shared" si="144"/>
        <v>49285735</v>
      </c>
      <c r="V235" s="196" t="str">
        <f t="shared" si="114"/>
        <v>LOS</v>
      </c>
      <c r="W235" s="196" t="s">
        <v>1168</v>
      </c>
      <c r="X235" s="196" t="str">
        <f t="shared" si="112"/>
        <v>N</v>
      </c>
      <c r="Y235" s="197">
        <f t="shared" si="115"/>
        <v>49285735</v>
      </c>
      <c r="Z235" s="198"/>
      <c r="AA235" s="197">
        <f t="shared" si="116"/>
        <v>49285735</v>
      </c>
      <c r="AB235" s="196"/>
      <c r="AC235" s="196"/>
      <c r="AD235" s="275">
        <v>0</v>
      </c>
      <c r="AE235" s="275">
        <v>1</v>
      </c>
      <c r="AF235" s="275">
        <v>0</v>
      </c>
      <c r="AG235" s="199"/>
      <c r="AH235" s="199"/>
      <c r="AI235" s="200">
        <f t="shared" si="117"/>
        <v>0</v>
      </c>
      <c r="AJ235" s="203"/>
      <c r="AK235" s="203"/>
      <c r="AL235" s="197">
        <f t="shared" si="118"/>
        <v>49285735</v>
      </c>
      <c r="AM235" s="197">
        <f t="shared" si="119"/>
        <v>0</v>
      </c>
      <c r="AN235" s="197">
        <f t="shared" si="120"/>
        <v>0</v>
      </c>
      <c r="AO235" s="202"/>
      <c r="AP235" s="161" t="s">
        <v>3900</v>
      </c>
      <c r="AQ235" s="279"/>
      <c r="AR235" s="287">
        <f t="shared" si="121"/>
        <v>0</v>
      </c>
      <c r="AS235" s="287">
        <f t="shared" si="122"/>
        <v>0</v>
      </c>
      <c r="AT235" s="287">
        <f t="shared" si="123"/>
        <v>0</v>
      </c>
      <c r="AU235" s="287">
        <f t="shared" si="124"/>
        <v>0</v>
      </c>
      <c r="AV235" s="287">
        <f t="shared" si="125"/>
        <v>0</v>
      </c>
      <c r="AW235" s="287">
        <f t="shared" si="126"/>
        <v>0</v>
      </c>
      <c r="AX235" s="287">
        <f t="shared" si="127"/>
        <v>0</v>
      </c>
      <c r="AY235" s="287">
        <f t="shared" si="128"/>
        <v>0</v>
      </c>
      <c r="AZ235" s="287">
        <f t="shared" si="129"/>
        <v>0</v>
      </c>
      <c r="BA235" s="287">
        <f t="shared" si="130"/>
        <v>0</v>
      </c>
      <c r="BB235" s="16"/>
      <c r="BC235" s="287">
        <f t="shared" si="131"/>
        <v>0</v>
      </c>
      <c r="BD235" s="287">
        <f t="shared" si="132"/>
        <v>0</v>
      </c>
      <c r="BE235" s="287">
        <f t="shared" si="133"/>
        <v>0</v>
      </c>
      <c r="BF235" s="287">
        <f t="shared" si="134"/>
        <v>0</v>
      </c>
      <c r="BG235" s="287">
        <f t="shared" si="135"/>
        <v>0</v>
      </c>
      <c r="BH235" s="287">
        <f t="shared" si="136"/>
        <v>0</v>
      </c>
      <c r="BI235" s="287">
        <f t="shared" si="137"/>
        <v>0</v>
      </c>
      <c r="BJ235" s="287">
        <f t="shared" si="138"/>
        <v>0</v>
      </c>
      <c r="BK235" s="287">
        <f t="shared" si="139"/>
        <v>0</v>
      </c>
      <c r="BL235" s="287">
        <f t="shared" si="140"/>
        <v>0</v>
      </c>
      <c r="BM235" s="16"/>
      <c r="BN235" s="287">
        <f t="shared" si="141"/>
        <v>0</v>
      </c>
      <c r="BO235" s="287">
        <f t="shared" si="142"/>
        <v>0</v>
      </c>
      <c r="BP235" s="432"/>
      <c r="BQ235" s="21"/>
      <c r="BR235" s="21"/>
      <c r="BS235" s="39"/>
      <c r="BT235" s="39"/>
      <c r="BU235" s="334">
        <v>360000</v>
      </c>
      <c r="BV235" s="334">
        <v>0</v>
      </c>
      <c r="BW235" s="39"/>
      <c r="BX235" s="39"/>
      <c r="BY235" s="629"/>
      <c r="BZ235" s="39">
        <v>222</v>
      </c>
      <c r="CA235" s="39" t="str">
        <f t="shared" si="143"/>
        <v/>
      </c>
      <c r="CB235" s="39"/>
      <c r="CC235" s="39"/>
      <c r="CD235" s="39"/>
      <c r="CE235" s="39"/>
      <c r="CF235" s="39"/>
      <c r="CG235" s="39"/>
      <c r="CH235" s="39"/>
      <c r="CI235" s="39"/>
      <c r="CJ235" s="39"/>
      <c r="CK235" s="39"/>
    </row>
    <row r="236" spans="1:89" s="193" customFormat="1">
      <c r="A236" s="195"/>
      <c r="B236" s="21" t="str">
        <f t="shared" si="113"/>
        <v>N/A</v>
      </c>
      <c r="C236" s="21"/>
      <c r="D236" s="432">
        <v>3201492</v>
      </c>
      <c r="E236" s="439" t="s">
        <v>3626</v>
      </c>
      <c r="F236" s="439" t="s">
        <v>3800</v>
      </c>
      <c r="G236" s="273" t="s">
        <v>3238</v>
      </c>
      <c r="H236" s="358"/>
      <c r="I236" s="262" t="s">
        <v>3492</v>
      </c>
      <c r="J236" s="262" t="s">
        <v>3504</v>
      </c>
      <c r="K236" s="263">
        <v>881886</v>
      </c>
      <c r="L236" s="263">
        <v>920218</v>
      </c>
      <c r="M236" s="263">
        <v>1126476</v>
      </c>
      <c r="N236" s="263">
        <v>1685370</v>
      </c>
      <c r="O236" s="263">
        <v>1835435</v>
      </c>
      <c r="P236" s="263">
        <v>2141050</v>
      </c>
      <c r="Q236" s="263">
        <v>2269584</v>
      </c>
      <c r="R236" s="263">
        <v>4580000</v>
      </c>
      <c r="S236" s="263">
        <v>4600000</v>
      </c>
      <c r="T236" s="263">
        <v>3720000</v>
      </c>
      <c r="U236" s="263">
        <f t="shared" si="144"/>
        <v>23760019</v>
      </c>
      <c r="V236" s="196" t="str">
        <f t="shared" si="114"/>
        <v>G/LOS/R</v>
      </c>
      <c r="W236" s="196" t="s">
        <v>1168</v>
      </c>
      <c r="X236" s="196" t="str">
        <f t="shared" si="112"/>
        <v>Y</v>
      </c>
      <c r="Y236" s="197">
        <f t="shared" si="115"/>
        <v>23760019</v>
      </c>
      <c r="Z236" s="198"/>
      <c r="AA236" s="197">
        <f t="shared" si="116"/>
        <v>23760019</v>
      </c>
      <c r="AB236" s="196" t="s">
        <v>1168</v>
      </c>
      <c r="AC236" s="196"/>
      <c r="AD236" s="275">
        <v>0.57999999999999996</v>
      </c>
      <c r="AE236" s="275">
        <v>0.04</v>
      </c>
      <c r="AF236" s="275">
        <v>0.38</v>
      </c>
      <c r="AG236" s="199"/>
      <c r="AH236" s="199"/>
      <c r="AI236" s="200">
        <f t="shared" si="117"/>
        <v>0</v>
      </c>
      <c r="AJ236" s="203"/>
      <c r="AK236" s="203"/>
      <c r="AL236" s="197">
        <f t="shared" si="118"/>
        <v>23760019</v>
      </c>
      <c r="AM236" s="197">
        <f t="shared" si="119"/>
        <v>0</v>
      </c>
      <c r="AN236" s="197">
        <f t="shared" si="120"/>
        <v>0</v>
      </c>
      <c r="AO236" s="202"/>
      <c r="AP236" s="161" t="s">
        <v>3900</v>
      </c>
      <c r="AQ236" s="279"/>
      <c r="AR236" s="287">
        <f t="shared" si="121"/>
        <v>0</v>
      </c>
      <c r="AS236" s="287">
        <f t="shared" si="122"/>
        <v>0</v>
      </c>
      <c r="AT236" s="287">
        <f t="shared" si="123"/>
        <v>0</v>
      </c>
      <c r="AU236" s="287">
        <f t="shared" si="124"/>
        <v>0</v>
      </c>
      <c r="AV236" s="287">
        <f t="shared" si="125"/>
        <v>0</v>
      </c>
      <c r="AW236" s="287">
        <f t="shared" si="126"/>
        <v>0</v>
      </c>
      <c r="AX236" s="287">
        <f t="shared" si="127"/>
        <v>0</v>
      </c>
      <c r="AY236" s="287">
        <f t="shared" si="128"/>
        <v>0</v>
      </c>
      <c r="AZ236" s="287">
        <f t="shared" si="129"/>
        <v>0</v>
      </c>
      <c r="BA236" s="287">
        <f t="shared" si="130"/>
        <v>0</v>
      </c>
      <c r="BB236" s="16"/>
      <c r="BC236" s="287">
        <f t="shared" si="131"/>
        <v>0</v>
      </c>
      <c r="BD236" s="287">
        <f t="shared" si="132"/>
        <v>0</v>
      </c>
      <c r="BE236" s="287">
        <f t="shared" si="133"/>
        <v>0</v>
      </c>
      <c r="BF236" s="287">
        <f t="shared" si="134"/>
        <v>0</v>
      </c>
      <c r="BG236" s="287">
        <f t="shared" si="135"/>
        <v>0</v>
      </c>
      <c r="BH236" s="287">
        <f t="shared" si="136"/>
        <v>0</v>
      </c>
      <c r="BI236" s="287">
        <f t="shared" si="137"/>
        <v>0</v>
      </c>
      <c r="BJ236" s="287">
        <f t="shared" si="138"/>
        <v>0</v>
      </c>
      <c r="BK236" s="287">
        <f t="shared" si="139"/>
        <v>0</v>
      </c>
      <c r="BL236" s="287">
        <f t="shared" si="140"/>
        <v>0</v>
      </c>
      <c r="BM236" s="16"/>
      <c r="BN236" s="287">
        <f t="shared" si="141"/>
        <v>0</v>
      </c>
      <c r="BO236" s="287">
        <f t="shared" si="142"/>
        <v>0</v>
      </c>
      <c r="BP236" s="432"/>
      <c r="BQ236" s="21"/>
      <c r="BR236" s="21"/>
      <c r="BS236" s="39"/>
      <c r="BT236" s="39"/>
      <c r="BU236" s="334">
        <v>69800</v>
      </c>
      <c r="BV236" s="334">
        <v>0</v>
      </c>
      <c r="BW236" s="39"/>
      <c r="BX236" s="39"/>
      <c r="BY236" s="629"/>
      <c r="BZ236" s="39">
        <v>223</v>
      </c>
      <c r="CA236" s="39" t="str">
        <f t="shared" si="143"/>
        <v/>
      </c>
      <c r="CB236" s="39"/>
      <c r="CC236" s="39"/>
      <c r="CD236" s="39"/>
      <c r="CE236" s="39"/>
      <c r="CF236" s="39"/>
      <c r="CG236" s="39"/>
      <c r="CH236" s="39"/>
      <c r="CI236" s="39"/>
      <c r="CJ236" s="39"/>
      <c r="CK236" s="39"/>
    </row>
    <row r="237" spans="1:89" s="193" customFormat="1">
      <c r="A237" s="195"/>
      <c r="B237" s="21" t="str">
        <f t="shared" si="113"/>
        <v>N/A</v>
      </c>
      <c r="C237" s="21"/>
      <c r="D237" s="432">
        <v>3201492</v>
      </c>
      <c r="E237" s="439" t="s">
        <v>3626</v>
      </c>
      <c r="F237" s="439" t="s">
        <v>3805</v>
      </c>
      <c r="G237" s="273" t="s">
        <v>3241</v>
      </c>
      <c r="H237" s="358"/>
      <c r="I237" s="262" t="s">
        <v>3498</v>
      </c>
      <c r="J237" s="262" t="s">
        <v>3504</v>
      </c>
      <c r="K237" s="263">
        <v>724300</v>
      </c>
      <c r="L237" s="263">
        <v>409700</v>
      </c>
      <c r="M237" s="263">
        <v>264250</v>
      </c>
      <c r="N237" s="263">
        <v>348950</v>
      </c>
      <c r="O237" s="263">
        <v>341300</v>
      </c>
      <c r="P237" s="263">
        <v>420300</v>
      </c>
      <c r="Q237" s="263">
        <v>540500</v>
      </c>
      <c r="R237" s="263">
        <v>589200</v>
      </c>
      <c r="S237" s="263">
        <v>585850</v>
      </c>
      <c r="T237" s="263">
        <v>436600</v>
      </c>
      <c r="U237" s="263">
        <f t="shared" si="144"/>
        <v>4660950</v>
      </c>
      <c r="V237" s="196" t="str">
        <f t="shared" si="114"/>
        <v>LOS/R</v>
      </c>
      <c r="W237" s="196" t="s">
        <v>1168</v>
      </c>
      <c r="X237" s="196" t="str">
        <f t="shared" si="112"/>
        <v>N</v>
      </c>
      <c r="Y237" s="197">
        <f t="shared" si="115"/>
        <v>4660950</v>
      </c>
      <c r="Z237" s="198"/>
      <c r="AA237" s="197">
        <f t="shared" si="116"/>
        <v>4660950</v>
      </c>
      <c r="AB237" s="196"/>
      <c r="AC237" s="196"/>
      <c r="AD237" s="275">
        <v>0</v>
      </c>
      <c r="AE237" s="275">
        <v>0.01</v>
      </c>
      <c r="AF237" s="275">
        <v>0.98999999999999988</v>
      </c>
      <c r="AG237" s="442"/>
      <c r="AH237" s="442"/>
      <c r="AI237" s="200">
        <f t="shared" si="117"/>
        <v>0</v>
      </c>
      <c r="AJ237" s="203"/>
      <c r="AK237" s="203"/>
      <c r="AL237" s="197">
        <f t="shared" si="118"/>
        <v>4660950</v>
      </c>
      <c r="AM237" s="197">
        <f t="shared" si="119"/>
        <v>0</v>
      </c>
      <c r="AN237" s="197">
        <f t="shared" si="120"/>
        <v>0</v>
      </c>
      <c r="AO237" s="202"/>
      <c r="AP237" s="161" t="s">
        <v>3900</v>
      </c>
      <c r="AQ237" s="279"/>
      <c r="AR237" s="287">
        <f t="shared" si="121"/>
        <v>0</v>
      </c>
      <c r="AS237" s="287">
        <f t="shared" si="122"/>
        <v>0</v>
      </c>
      <c r="AT237" s="287">
        <f t="shared" si="123"/>
        <v>0</v>
      </c>
      <c r="AU237" s="287">
        <f t="shared" si="124"/>
        <v>0</v>
      </c>
      <c r="AV237" s="287">
        <f t="shared" si="125"/>
        <v>0</v>
      </c>
      <c r="AW237" s="287">
        <f t="shared" si="126"/>
        <v>0</v>
      </c>
      <c r="AX237" s="287">
        <f t="shared" si="127"/>
        <v>0</v>
      </c>
      <c r="AY237" s="287">
        <f t="shared" si="128"/>
        <v>0</v>
      </c>
      <c r="AZ237" s="287">
        <f t="shared" si="129"/>
        <v>0</v>
      </c>
      <c r="BA237" s="287">
        <f t="shared" si="130"/>
        <v>0</v>
      </c>
      <c r="BB237" s="16"/>
      <c r="BC237" s="287">
        <f t="shared" si="131"/>
        <v>0</v>
      </c>
      <c r="BD237" s="287">
        <f t="shared" si="132"/>
        <v>0</v>
      </c>
      <c r="BE237" s="287">
        <f t="shared" si="133"/>
        <v>0</v>
      </c>
      <c r="BF237" s="287">
        <f t="shared" si="134"/>
        <v>0</v>
      </c>
      <c r="BG237" s="287">
        <f t="shared" si="135"/>
        <v>0</v>
      </c>
      <c r="BH237" s="287">
        <f t="shared" si="136"/>
        <v>0</v>
      </c>
      <c r="BI237" s="287">
        <f t="shared" si="137"/>
        <v>0</v>
      </c>
      <c r="BJ237" s="287">
        <f t="shared" si="138"/>
        <v>0</v>
      </c>
      <c r="BK237" s="287">
        <f t="shared" si="139"/>
        <v>0</v>
      </c>
      <c r="BL237" s="287">
        <f t="shared" si="140"/>
        <v>0</v>
      </c>
      <c r="BM237" s="16"/>
      <c r="BN237" s="287">
        <f t="shared" si="141"/>
        <v>0</v>
      </c>
      <c r="BO237" s="287">
        <f t="shared" si="142"/>
        <v>0</v>
      </c>
      <c r="BP237" s="432"/>
      <c r="BQ237" s="21"/>
      <c r="BR237" s="21"/>
      <c r="BS237" s="39"/>
      <c r="BT237" s="39"/>
      <c r="BU237" s="39"/>
      <c r="BV237" s="39"/>
      <c r="BW237" s="39"/>
      <c r="BX237" s="39"/>
      <c r="BY237" s="39"/>
      <c r="BZ237" s="39">
        <v>224</v>
      </c>
      <c r="CA237" s="39" t="str">
        <f t="shared" si="143"/>
        <v/>
      </c>
      <c r="CB237" s="39"/>
      <c r="CC237" s="39"/>
      <c r="CD237" s="39"/>
      <c r="CE237" s="39"/>
      <c r="CF237" s="39"/>
      <c r="CG237" s="39"/>
      <c r="CH237" s="39"/>
      <c r="CI237" s="39"/>
      <c r="CJ237" s="39"/>
      <c r="CK237" s="39"/>
    </row>
    <row r="238" spans="1:89" s="193" customFormat="1">
      <c r="A238" s="195"/>
      <c r="B238" s="21" t="str">
        <f t="shared" si="113"/>
        <v>N/A</v>
      </c>
      <c r="C238" s="21"/>
      <c r="D238" s="432">
        <v>3201492</v>
      </c>
      <c r="E238" s="439" t="s">
        <v>3626</v>
      </c>
      <c r="F238" s="439" t="s">
        <v>3803</v>
      </c>
      <c r="G238" s="273" t="s">
        <v>3245</v>
      </c>
      <c r="H238" s="358"/>
      <c r="I238" s="262" t="s">
        <v>3491</v>
      </c>
      <c r="J238" s="262" t="s">
        <v>3504</v>
      </c>
      <c r="K238" s="263">
        <v>71958.960000000006</v>
      </c>
      <c r="L238" s="263">
        <v>1271469</v>
      </c>
      <c r="M238" s="263">
        <v>2454145</v>
      </c>
      <c r="N238" s="263">
        <v>2282713</v>
      </c>
      <c r="O238" s="263">
        <v>1919813</v>
      </c>
      <c r="P238" s="263">
        <v>1939333</v>
      </c>
      <c r="Q238" s="263">
        <v>1890831</v>
      </c>
      <c r="R238" s="263">
        <v>0</v>
      </c>
      <c r="S238" s="263">
        <v>0</v>
      </c>
      <c r="T238" s="263">
        <v>0</v>
      </c>
      <c r="U238" s="263">
        <f t="shared" si="144"/>
        <v>11830262.960000001</v>
      </c>
      <c r="V238" s="196" t="str">
        <f t="shared" si="114"/>
        <v>G/LOS</v>
      </c>
      <c r="W238" s="196" t="s">
        <v>1168</v>
      </c>
      <c r="X238" s="196" t="str">
        <f t="shared" ref="X238:X301" si="145">IF(LEFT(V238,1)="G","Y","N")</f>
        <v>Y</v>
      </c>
      <c r="Y238" s="197">
        <f t="shared" si="115"/>
        <v>11830262.960000001</v>
      </c>
      <c r="Z238" s="198"/>
      <c r="AA238" s="197">
        <f t="shared" si="116"/>
        <v>11830262.960000001</v>
      </c>
      <c r="AB238" s="196" t="s">
        <v>1168</v>
      </c>
      <c r="AC238" s="196"/>
      <c r="AD238" s="275">
        <v>0.5</v>
      </c>
      <c r="AE238" s="275">
        <v>0.5</v>
      </c>
      <c r="AF238" s="275">
        <v>0</v>
      </c>
      <c r="AG238" s="442"/>
      <c r="AH238" s="442"/>
      <c r="AI238" s="200">
        <f t="shared" si="117"/>
        <v>0</v>
      </c>
      <c r="AJ238" s="203"/>
      <c r="AK238" s="203"/>
      <c r="AL238" s="197">
        <f t="shared" si="118"/>
        <v>11830262.960000001</v>
      </c>
      <c r="AM238" s="197">
        <f t="shared" si="119"/>
        <v>0</v>
      </c>
      <c r="AN238" s="197">
        <f t="shared" si="120"/>
        <v>0</v>
      </c>
      <c r="AO238" s="202"/>
      <c r="AP238" s="161" t="s">
        <v>3900</v>
      </c>
      <c r="AQ238" s="279"/>
      <c r="AR238" s="287">
        <f t="shared" si="121"/>
        <v>0</v>
      </c>
      <c r="AS238" s="287">
        <f t="shared" si="122"/>
        <v>0</v>
      </c>
      <c r="AT238" s="287">
        <f t="shared" si="123"/>
        <v>0</v>
      </c>
      <c r="AU238" s="287">
        <f t="shared" si="124"/>
        <v>0</v>
      </c>
      <c r="AV238" s="287">
        <f t="shared" si="125"/>
        <v>0</v>
      </c>
      <c r="AW238" s="287">
        <f t="shared" si="126"/>
        <v>0</v>
      </c>
      <c r="AX238" s="287">
        <f t="shared" si="127"/>
        <v>0</v>
      </c>
      <c r="AY238" s="287">
        <f t="shared" si="128"/>
        <v>0</v>
      </c>
      <c r="AZ238" s="287">
        <f t="shared" si="129"/>
        <v>0</v>
      </c>
      <c r="BA238" s="287">
        <f t="shared" si="130"/>
        <v>0</v>
      </c>
      <c r="BB238" s="16"/>
      <c r="BC238" s="287">
        <f t="shared" si="131"/>
        <v>0</v>
      </c>
      <c r="BD238" s="287">
        <f t="shared" si="132"/>
        <v>0</v>
      </c>
      <c r="BE238" s="287">
        <f t="shared" si="133"/>
        <v>0</v>
      </c>
      <c r="BF238" s="287">
        <f t="shared" si="134"/>
        <v>0</v>
      </c>
      <c r="BG238" s="287">
        <f t="shared" si="135"/>
        <v>0</v>
      </c>
      <c r="BH238" s="287">
        <f t="shared" si="136"/>
        <v>0</v>
      </c>
      <c r="BI238" s="287">
        <f t="shared" si="137"/>
        <v>0</v>
      </c>
      <c r="BJ238" s="287">
        <f t="shared" si="138"/>
        <v>0</v>
      </c>
      <c r="BK238" s="287">
        <f t="shared" si="139"/>
        <v>0</v>
      </c>
      <c r="BL238" s="287">
        <f t="shared" si="140"/>
        <v>0</v>
      </c>
      <c r="BM238" s="16"/>
      <c r="BN238" s="287">
        <f t="shared" si="141"/>
        <v>0</v>
      </c>
      <c r="BO238" s="287">
        <f t="shared" si="142"/>
        <v>0</v>
      </c>
      <c r="BP238" s="432"/>
      <c r="BQ238" s="21"/>
      <c r="BR238" s="21"/>
      <c r="BS238" s="39"/>
      <c r="BT238" s="39"/>
      <c r="BU238" s="39"/>
      <c r="BV238" s="39"/>
      <c r="BW238" s="39"/>
      <c r="BX238" s="39"/>
      <c r="BY238" s="39"/>
      <c r="BZ238" s="39">
        <v>225</v>
      </c>
      <c r="CA238" s="39" t="str">
        <f t="shared" si="143"/>
        <v/>
      </c>
      <c r="CB238" s="39"/>
      <c r="CC238" s="39"/>
      <c r="CD238" s="39"/>
      <c r="CE238" s="39"/>
      <c r="CF238" s="39"/>
      <c r="CG238" s="39"/>
      <c r="CH238" s="39"/>
      <c r="CI238" s="39"/>
      <c r="CJ238" s="39"/>
      <c r="CK238" s="39"/>
    </row>
    <row r="239" spans="1:89" s="193" customFormat="1">
      <c r="A239" s="195"/>
      <c r="B239" s="21" t="str">
        <f t="shared" si="113"/>
        <v>N/A</v>
      </c>
      <c r="C239" s="21"/>
      <c r="D239" s="432">
        <v>3201492</v>
      </c>
      <c r="E239" s="439" t="s">
        <v>3626</v>
      </c>
      <c r="F239" s="439" t="s">
        <v>3809</v>
      </c>
      <c r="G239" s="273" t="s">
        <v>3244</v>
      </c>
      <c r="H239" s="358"/>
      <c r="I239" s="262" t="s">
        <v>3491</v>
      </c>
      <c r="J239" s="262" t="s">
        <v>3519</v>
      </c>
      <c r="K239" s="263">
        <v>714600.95999999996</v>
      </c>
      <c r="L239" s="263">
        <v>325199</v>
      </c>
      <c r="M239" s="263">
        <v>250485</v>
      </c>
      <c r="N239" s="263">
        <v>1081326</v>
      </c>
      <c r="O239" s="263">
        <v>49999</v>
      </c>
      <c r="P239" s="263">
        <v>50000</v>
      </c>
      <c r="Q239" s="263">
        <v>50002</v>
      </c>
      <c r="R239" s="263">
        <v>0</v>
      </c>
      <c r="S239" s="263">
        <v>0</v>
      </c>
      <c r="T239" s="263">
        <v>0</v>
      </c>
      <c r="U239" s="263">
        <f t="shared" si="144"/>
        <v>2521611.96</v>
      </c>
      <c r="V239" s="196" t="str">
        <f t="shared" si="114"/>
        <v>G/LOS/R</v>
      </c>
      <c r="W239" s="196" t="s">
        <v>1168</v>
      </c>
      <c r="X239" s="196" t="str">
        <f t="shared" si="145"/>
        <v>Y</v>
      </c>
      <c r="Y239" s="197">
        <f t="shared" si="115"/>
        <v>2521611.96</v>
      </c>
      <c r="Z239" s="198"/>
      <c r="AA239" s="197">
        <f t="shared" si="116"/>
        <v>2521611.96</v>
      </c>
      <c r="AB239" s="196" t="s">
        <v>1168</v>
      </c>
      <c r="AC239" s="196"/>
      <c r="AD239" s="275">
        <v>0.62</v>
      </c>
      <c r="AE239" s="275">
        <v>0.19</v>
      </c>
      <c r="AF239" s="275">
        <v>0.19</v>
      </c>
      <c r="AG239" s="442"/>
      <c r="AH239" s="442"/>
      <c r="AI239" s="200">
        <f t="shared" si="117"/>
        <v>0</v>
      </c>
      <c r="AJ239" s="203"/>
      <c r="AK239" s="203"/>
      <c r="AL239" s="197">
        <f t="shared" si="118"/>
        <v>2521611.96</v>
      </c>
      <c r="AM239" s="197">
        <f t="shared" si="119"/>
        <v>0</v>
      </c>
      <c r="AN239" s="197">
        <f t="shared" si="120"/>
        <v>0</v>
      </c>
      <c r="AO239" s="202"/>
      <c r="AP239" s="161" t="s">
        <v>3900</v>
      </c>
      <c r="AQ239" s="279"/>
      <c r="AR239" s="287">
        <f t="shared" si="121"/>
        <v>0</v>
      </c>
      <c r="AS239" s="287">
        <f t="shared" si="122"/>
        <v>0</v>
      </c>
      <c r="AT239" s="287">
        <f t="shared" si="123"/>
        <v>0</v>
      </c>
      <c r="AU239" s="287">
        <f t="shared" si="124"/>
        <v>0</v>
      </c>
      <c r="AV239" s="287">
        <f t="shared" si="125"/>
        <v>0</v>
      </c>
      <c r="AW239" s="287">
        <f t="shared" si="126"/>
        <v>0</v>
      </c>
      <c r="AX239" s="287">
        <f t="shared" si="127"/>
        <v>0</v>
      </c>
      <c r="AY239" s="287">
        <f t="shared" si="128"/>
        <v>0</v>
      </c>
      <c r="AZ239" s="287">
        <f t="shared" si="129"/>
        <v>0</v>
      </c>
      <c r="BA239" s="287">
        <f t="shared" si="130"/>
        <v>0</v>
      </c>
      <c r="BB239" s="16"/>
      <c r="BC239" s="287">
        <f t="shared" si="131"/>
        <v>0</v>
      </c>
      <c r="BD239" s="287">
        <f t="shared" si="132"/>
        <v>0</v>
      </c>
      <c r="BE239" s="287">
        <f t="shared" si="133"/>
        <v>0</v>
      </c>
      <c r="BF239" s="287">
        <f t="shared" si="134"/>
        <v>0</v>
      </c>
      <c r="BG239" s="287">
        <f t="shared" si="135"/>
        <v>0</v>
      </c>
      <c r="BH239" s="287">
        <f t="shared" si="136"/>
        <v>0</v>
      </c>
      <c r="BI239" s="287">
        <f t="shared" si="137"/>
        <v>0</v>
      </c>
      <c r="BJ239" s="287">
        <f t="shared" si="138"/>
        <v>0</v>
      </c>
      <c r="BK239" s="287">
        <f t="shared" si="139"/>
        <v>0</v>
      </c>
      <c r="BL239" s="287">
        <f t="shared" si="140"/>
        <v>0</v>
      </c>
      <c r="BM239" s="16"/>
      <c r="BN239" s="287">
        <f t="shared" si="141"/>
        <v>0</v>
      </c>
      <c r="BO239" s="287">
        <f t="shared" si="142"/>
        <v>0</v>
      </c>
      <c r="BP239" s="432"/>
      <c r="BQ239" s="21"/>
      <c r="BR239" s="21"/>
      <c r="BS239" s="39"/>
      <c r="BT239" s="39"/>
      <c r="BU239" s="39"/>
      <c r="BV239" s="39"/>
      <c r="BW239" s="39"/>
      <c r="BX239" s="39"/>
      <c r="BY239" s="39"/>
      <c r="BZ239" s="39">
        <v>226</v>
      </c>
      <c r="CA239" s="39" t="str">
        <f t="shared" si="143"/>
        <v/>
      </c>
      <c r="CB239" s="39"/>
      <c r="CC239" s="39"/>
      <c r="CD239" s="39"/>
      <c r="CE239" s="39"/>
      <c r="CF239" s="39"/>
      <c r="CG239" s="39"/>
      <c r="CH239" s="39"/>
      <c r="CI239" s="39"/>
      <c r="CJ239" s="39"/>
      <c r="CK239" s="39"/>
    </row>
    <row r="240" spans="1:89" s="193" customFormat="1">
      <c r="A240" s="195"/>
      <c r="B240" s="21" t="str">
        <f t="shared" si="113"/>
        <v>N/A</v>
      </c>
      <c r="C240" s="21"/>
      <c r="D240" s="432">
        <v>3201492</v>
      </c>
      <c r="E240" s="439" t="s">
        <v>3626</v>
      </c>
      <c r="F240" s="439" t="s">
        <v>3798</v>
      </c>
      <c r="G240" s="273" t="s">
        <v>3246</v>
      </c>
      <c r="H240" s="358"/>
      <c r="I240" s="262" t="s">
        <v>3491</v>
      </c>
      <c r="J240" s="262" t="s">
        <v>3504</v>
      </c>
      <c r="K240" s="263">
        <v>224106.96</v>
      </c>
      <c r="L240" s="263">
        <v>231178</v>
      </c>
      <c r="M240" s="263">
        <v>239183</v>
      </c>
      <c r="N240" s="263">
        <v>246240</v>
      </c>
      <c r="O240" s="263">
        <v>106321</v>
      </c>
      <c r="P240" s="263">
        <v>109724</v>
      </c>
      <c r="Q240" s="263">
        <v>113234</v>
      </c>
      <c r="R240" s="263">
        <v>115498.68</v>
      </c>
      <c r="S240" s="263">
        <v>117808.65</v>
      </c>
      <c r="T240" s="263">
        <v>120164.83</v>
      </c>
      <c r="U240" s="263">
        <f t="shared" si="144"/>
        <v>1623459.1199999999</v>
      </c>
      <c r="V240" s="196" t="str">
        <f t="shared" si="114"/>
        <v>G/LOS/R</v>
      </c>
      <c r="W240" s="196" t="s">
        <v>1168</v>
      </c>
      <c r="X240" s="196" t="str">
        <f t="shared" si="145"/>
        <v>Y</v>
      </c>
      <c r="Y240" s="197">
        <f t="shared" si="115"/>
        <v>1623459.1199999999</v>
      </c>
      <c r="Z240" s="198"/>
      <c r="AA240" s="197">
        <f t="shared" si="116"/>
        <v>1623459.1199999999</v>
      </c>
      <c r="AB240" s="196" t="s">
        <v>1168</v>
      </c>
      <c r="AC240" s="196"/>
      <c r="AD240" s="275">
        <v>5.000000000000001E-2</v>
      </c>
      <c r="AE240" s="275">
        <v>0.79</v>
      </c>
      <c r="AF240" s="275">
        <v>0.16000000000000003</v>
      </c>
      <c r="AG240" s="442"/>
      <c r="AH240" s="442"/>
      <c r="AI240" s="200">
        <f t="shared" si="117"/>
        <v>0</v>
      </c>
      <c r="AJ240" s="203"/>
      <c r="AK240" s="203"/>
      <c r="AL240" s="197">
        <f t="shared" si="118"/>
        <v>1623459.1199999999</v>
      </c>
      <c r="AM240" s="197">
        <f t="shared" si="119"/>
        <v>0</v>
      </c>
      <c r="AN240" s="197">
        <f t="shared" si="120"/>
        <v>0</v>
      </c>
      <c r="AO240" s="202"/>
      <c r="AP240" s="161" t="s">
        <v>3900</v>
      </c>
      <c r="AQ240" s="279"/>
      <c r="AR240" s="287">
        <f t="shared" si="121"/>
        <v>0</v>
      </c>
      <c r="AS240" s="287">
        <f t="shared" si="122"/>
        <v>0</v>
      </c>
      <c r="AT240" s="287">
        <f t="shared" si="123"/>
        <v>0</v>
      </c>
      <c r="AU240" s="287">
        <f t="shared" si="124"/>
        <v>0</v>
      </c>
      <c r="AV240" s="287">
        <f t="shared" si="125"/>
        <v>0</v>
      </c>
      <c r="AW240" s="287">
        <f t="shared" si="126"/>
        <v>0</v>
      </c>
      <c r="AX240" s="287">
        <f t="shared" si="127"/>
        <v>0</v>
      </c>
      <c r="AY240" s="287">
        <f t="shared" si="128"/>
        <v>0</v>
      </c>
      <c r="AZ240" s="287">
        <f t="shared" si="129"/>
        <v>0</v>
      </c>
      <c r="BA240" s="287">
        <f t="shared" si="130"/>
        <v>0</v>
      </c>
      <c r="BB240" s="16"/>
      <c r="BC240" s="287">
        <f t="shared" si="131"/>
        <v>0</v>
      </c>
      <c r="BD240" s="287">
        <f t="shared" si="132"/>
        <v>0</v>
      </c>
      <c r="BE240" s="287">
        <f t="shared" si="133"/>
        <v>0</v>
      </c>
      <c r="BF240" s="287">
        <f t="shared" si="134"/>
        <v>0</v>
      </c>
      <c r="BG240" s="287">
        <f t="shared" si="135"/>
        <v>0</v>
      </c>
      <c r="BH240" s="287">
        <f t="shared" si="136"/>
        <v>0</v>
      </c>
      <c r="BI240" s="287">
        <f t="shared" si="137"/>
        <v>0</v>
      </c>
      <c r="BJ240" s="287">
        <f t="shared" si="138"/>
        <v>0</v>
      </c>
      <c r="BK240" s="287">
        <f t="shared" si="139"/>
        <v>0</v>
      </c>
      <c r="BL240" s="287">
        <f t="shared" si="140"/>
        <v>0</v>
      </c>
      <c r="BM240" s="16"/>
      <c r="BN240" s="287">
        <f t="shared" si="141"/>
        <v>0</v>
      </c>
      <c r="BO240" s="287">
        <f t="shared" si="142"/>
        <v>0</v>
      </c>
      <c r="BP240" s="432"/>
      <c r="BQ240" s="21"/>
      <c r="BR240" s="21"/>
      <c r="BS240" s="39"/>
      <c r="BT240" s="39"/>
      <c r="BU240" s="39"/>
      <c r="BV240" s="39"/>
      <c r="BW240" s="39"/>
      <c r="BX240" s="39"/>
      <c r="BY240" s="39"/>
      <c r="BZ240" s="39">
        <v>227</v>
      </c>
      <c r="CA240" s="39" t="str">
        <f t="shared" si="143"/>
        <v/>
      </c>
      <c r="CB240" s="39"/>
      <c r="CC240" s="39"/>
      <c r="CD240" s="39"/>
      <c r="CE240" s="39"/>
      <c r="CF240" s="39"/>
      <c r="CG240" s="39"/>
      <c r="CH240" s="39"/>
      <c r="CI240" s="39"/>
      <c r="CJ240" s="39"/>
      <c r="CK240" s="39"/>
    </row>
    <row r="241" spans="1:89" s="193" customFormat="1">
      <c r="A241" s="195"/>
      <c r="B241" s="21" t="str">
        <f t="shared" si="113"/>
        <v>N/A</v>
      </c>
      <c r="C241" s="21"/>
      <c r="D241" s="432">
        <v>3201492</v>
      </c>
      <c r="E241" s="439" t="s">
        <v>3626</v>
      </c>
      <c r="F241" s="439" t="s">
        <v>3799</v>
      </c>
      <c r="G241" s="273" t="s">
        <v>3248</v>
      </c>
      <c r="H241" s="358"/>
      <c r="I241" s="262" t="s">
        <v>3491</v>
      </c>
      <c r="J241" s="262" t="s">
        <v>3504</v>
      </c>
      <c r="K241" s="263">
        <v>3366.96</v>
      </c>
      <c r="L241" s="263">
        <v>3465</v>
      </c>
      <c r="M241" s="263">
        <v>3568</v>
      </c>
      <c r="N241" s="263">
        <v>3680</v>
      </c>
      <c r="O241" s="263">
        <v>0</v>
      </c>
      <c r="P241" s="263">
        <v>0</v>
      </c>
      <c r="Q241" s="263">
        <v>0</v>
      </c>
      <c r="R241" s="263">
        <v>0</v>
      </c>
      <c r="S241" s="263">
        <v>0</v>
      </c>
      <c r="T241" s="263">
        <v>0</v>
      </c>
      <c r="U241" s="263">
        <f t="shared" si="144"/>
        <v>14079.96</v>
      </c>
      <c r="V241" s="196" t="str">
        <f t="shared" si="114"/>
        <v>R</v>
      </c>
      <c r="W241" s="196" t="s">
        <v>1168</v>
      </c>
      <c r="X241" s="196" t="str">
        <f t="shared" si="145"/>
        <v>N</v>
      </c>
      <c r="Y241" s="197">
        <f t="shared" si="115"/>
        <v>14079.96</v>
      </c>
      <c r="Z241" s="198"/>
      <c r="AA241" s="197">
        <f t="shared" si="116"/>
        <v>14079.96</v>
      </c>
      <c r="AB241" s="196"/>
      <c r="AC241" s="196"/>
      <c r="AD241" s="275">
        <v>0</v>
      </c>
      <c r="AE241" s="275">
        <v>0</v>
      </c>
      <c r="AF241" s="275">
        <v>1</v>
      </c>
      <c r="AG241" s="442"/>
      <c r="AH241" s="442"/>
      <c r="AI241" s="200">
        <f t="shared" si="117"/>
        <v>0</v>
      </c>
      <c r="AJ241" s="203"/>
      <c r="AK241" s="203"/>
      <c r="AL241" s="197">
        <f t="shared" si="118"/>
        <v>14079.96</v>
      </c>
      <c r="AM241" s="197">
        <f t="shared" si="119"/>
        <v>0</v>
      </c>
      <c r="AN241" s="197">
        <f t="shared" si="120"/>
        <v>0</v>
      </c>
      <c r="AO241" s="202"/>
      <c r="AP241" s="161" t="s">
        <v>3900</v>
      </c>
      <c r="AQ241" s="279"/>
      <c r="AR241" s="287">
        <f t="shared" si="121"/>
        <v>0</v>
      </c>
      <c r="AS241" s="287">
        <f t="shared" si="122"/>
        <v>0</v>
      </c>
      <c r="AT241" s="287">
        <f t="shared" si="123"/>
        <v>0</v>
      </c>
      <c r="AU241" s="287">
        <f t="shared" si="124"/>
        <v>0</v>
      </c>
      <c r="AV241" s="287">
        <f t="shared" si="125"/>
        <v>0</v>
      </c>
      <c r="AW241" s="287">
        <f t="shared" si="126"/>
        <v>0</v>
      </c>
      <c r="AX241" s="287">
        <f t="shared" si="127"/>
        <v>0</v>
      </c>
      <c r="AY241" s="287">
        <f t="shared" si="128"/>
        <v>0</v>
      </c>
      <c r="AZ241" s="287">
        <f t="shared" si="129"/>
        <v>0</v>
      </c>
      <c r="BA241" s="287">
        <f t="shared" si="130"/>
        <v>0</v>
      </c>
      <c r="BB241" s="16"/>
      <c r="BC241" s="287">
        <f t="shared" si="131"/>
        <v>0</v>
      </c>
      <c r="BD241" s="287">
        <f t="shared" si="132"/>
        <v>0</v>
      </c>
      <c r="BE241" s="287">
        <f t="shared" si="133"/>
        <v>0</v>
      </c>
      <c r="BF241" s="287">
        <f t="shared" si="134"/>
        <v>0</v>
      </c>
      <c r="BG241" s="287">
        <f t="shared" si="135"/>
        <v>0</v>
      </c>
      <c r="BH241" s="287">
        <f t="shared" si="136"/>
        <v>0</v>
      </c>
      <c r="BI241" s="287">
        <f t="shared" si="137"/>
        <v>0</v>
      </c>
      <c r="BJ241" s="287">
        <f t="shared" si="138"/>
        <v>0</v>
      </c>
      <c r="BK241" s="287">
        <f t="shared" si="139"/>
        <v>0</v>
      </c>
      <c r="BL241" s="287">
        <f t="shared" si="140"/>
        <v>0</v>
      </c>
      <c r="BM241" s="16"/>
      <c r="BN241" s="287">
        <f t="shared" si="141"/>
        <v>0</v>
      </c>
      <c r="BO241" s="287">
        <f t="shared" si="142"/>
        <v>0</v>
      </c>
      <c r="BP241" s="432"/>
      <c r="BQ241" s="21"/>
      <c r="BR241" s="21"/>
      <c r="BS241" s="39"/>
      <c r="BT241" s="39"/>
      <c r="BU241" s="39"/>
      <c r="BV241" s="39"/>
      <c r="BW241" s="39"/>
      <c r="BX241" s="39"/>
      <c r="BY241" s="39"/>
      <c r="BZ241" s="39">
        <v>228</v>
      </c>
      <c r="CA241" s="39" t="str">
        <f t="shared" si="143"/>
        <v/>
      </c>
      <c r="CB241" s="39"/>
      <c r="CC241" s="39"/>
      <c r="CD241" s="39"/>
      <c r="CE241" s="39"/>
      <c r="CF241" s="39"/>
      <c r="CG241" s="39"/>
      <c r="CH241" s="39"/>
      <c r="CI241" s="39"/>
      <c r="CJ241" s="39"/>
      <c r="CK241" s="39"/>
    </row>
    <row r="242" spans="1:89" s="193" customFormat="1">
      <c r="A242" s="195"/>
      <c r="B242" s="21" t="str">
        <f t="shared" si="113"/>
        <v>N/A</v>
      </c>
      <c r="C242" s="21"/>
      <c r="D242" s="432">
        <v>3201492</v>
      </c>
      <c r="E242" s="439" t="s">
        <v>3626</v>
      </c>
      <c r="F242" s="439" t="s">
        <v>3804</v>
      </c>
      <c r="G242" s="273" t="s">
        <v>3242</v>
      </c>
      <c r="H242" s="358"/>
      <c r="I242" s="262" t="s">
        <v>3498</v>
      </c>
      <c r="J242" s="262" t="s">
        <v>3504</v>
      </c>
      <c r="K242" s="263">
        <v>350000</v>
      </c>
      <c r="L242" s="263">
        <v>255000</v>
      </c>
      <c r="M242" s="263">
        <v>260100</v>
      </c>
      <c r="N242" s="263">
        <v>375602</v>
      </c>
      <c r="O242" s="263">
        <v>270608</v>
      </c>
      <c r="P242" s="263">
        <v>276020</v>
      </c>
      <c r="Q242" s="263">
        <v>402041</v>
      </c>
      <c r="R242" s="263">
        <v>287171</v>
      </c>
      <c r="S242" s="263">
        <v>292915</v>
      </c>
      <c r="T242" s="263">
        <v>430273</v>
      </c>
      <c r="U242" s="263">
        <f t="shared" si="144"/>
        <v>3199730</v>
      </c>
      <c r="V242" s="196" t="str">
        <f t="shared" si="114"/>
        <v>LOS/R</v>
      </c>
      <c r="W242" s="196" t="s">
        <v>1168</v>
      </c>
      <c r="X242" s="196" t="str">
        <f t="shared" si="145"/>
        <v>N</v>
      </c>
      <c r="Y242" s="197">
        <f t="shared" si="115"/>
        <v>3199730</v>
      </c>
      <c r="Z242" s="198"/>
      <c r="AA242" s="197">
        <f t="shared" si="116"/>
        <v>3199730</v>
      </c>
      <c r="AB242" s="196"/>
      <c r="AC242" s="196"/>
      <c r="AD242" s="275">
        <v>0</v>
      </c>
      <c r="AE242" s="275">
        <v>0.51999999999999991</v>
      </c>
      <c r="AF242" s="275">
        <v>0.48000000000000004</v>
      </c>
      <c r="AG242" s="442"/>
      <c r="AH242" s="442"/>
      <c r="AI242" s="200">
        <f t="shared" si="117"/>
        <v>0</v>
      </c>
      <c r="AJ242" s="203"/>
      <c r="AK242" s="203"/>
      <c r="AL242" s="197">
        <f t="shared" si="118"/>
        <v>3199730</v>
      </c>
      <c r="AM242" s="197">
        <f t="shared" si="119"/>
        <v>0</v>
      </c>
      <c r="AN242" s="197">
        <f t="shared" si="120"/>
        <v>0</v>
      </c>
      <c r="AO242" s="202"/>
      <c r="AP242" s="161" t="s">
        <v>3900</v>
      </c>
      <c r="AQ242" s="279"/>
      <c r="AR242" s="287">
        <f t="shared" si="121"/>
        <v>0</v>
      </c>
      <c r="AS242" s="287">
        <f t="shared" si="122"/>
        <v>0</v>
      </c>
      <c r="AT242" s="287">
        <f t="shared" si="123"/>
        <v>0</v>
      </c>
      <c r="AU242" s="287">
        <f t="shared" si="124"/>
        <v>0</v>
      </c>
      <c r="AV242" s="287">
        <f t="shared" si="125"/>
        <v>0</v>
      </c>
      <c r="AW242" s="287">
        <f t="shared" si="126"/>
        <v>0</v>
      </c>
      <c r="AX242" s="287">
        <f t="shared" si="127"/>
        <v>0</v>
      </c>
      <c r="AY242" s="287">
        <f t="shared" si="128"/>
        <v>0</v>
      </c>
      <c r="AZ242" s="287">
        <f t="shared" si="129"/>
        <v>0</v>
      </c>
      <c r="BA242" s="287">
        <f t="shared" si="130"/>
        <v>0</v>
      </c>
      <c r="BB242" s="16"/>
      <c r="BC242" s="287">
        <f t="shared" si="131"/>
        <v>0</v>
      </c>
      <c r="BD242" s="287">
        <f t="shared" si="132"/>
        <v>0</v>
      </c>
      <c r="BE242" s="287">
        <f t="shared" si="133"/>
        <v>0</v>
      </c>
      <c r="BF242" s="287">
        <f t="shared" si="134"/>
        <v>0</v>
      </c>
      <c r="BG242" s="287">
        <f t="shared" si="135"/>
        <v>0</v>
      </c>
      <c r="BH242" s="287">
        <f t="shared" si="136"/>
        <v>0</v>
      </c>
      <c r="BI242" s="287">
        <f t="shared" si="137"/>
        <v>0</v>
      </c>
      <c r="BJ242" s="287">
        <f t="shared" si="138"/>
        <v>0</v>
      </c>
      <c r="BK242" s="287">
        <f t="shared" si="139"/>
        <v>0</v>
      </c>
      <c r="BL242" s="287">
        <f t="shared" si="140"/>
        <v>0</v>
      </c>
      <c r="BM242" s="16"/>
      <c r="BN242" s="287">
        <f t="shared" si="141"/>
        <v>0</v>
      </c>
      <c r="BO242" s="287">
        <f t="shared" si="142"/>
        <v>0</v>
      </c>
      <c r="BP242" s="432"/>
      <c r="BQ242" s="21"/>
      <c r="BR242" s="21"/>
      <c r="BS242" s="39"/>
      <c r="BT242" s="39"/>
      <c r="BU242" s="39"/>
      <c r="BV242" s="39"/>
      <c r="BW242" s="39"/>
      <c r="BX242" s="39"/>
      <c r="BY242" s="39"/>
      <c r="BZ242" s="39">
        <v>229</v>
      </c>
      <c r="CA242" s="39" t="str">
        <f t="shared" si="143"/>
        <v/>
      </c>
      <c r="CB242" s="39"/>
      <c r="CC242" s="39"/>
      <c r="CD242" s="39"/>
      <c r="CE242" s="39"/>
      <c r="CF242" s="39"/>
      <c r="CG242" s="39"/>
      <c r="CH242" s="39"/>
      <c r="CI242" s="39"/>
      <c r="CJ242" s="39"/>
      <c r="CK242" s="39"/>
    </row>
    <row r="243" spans="1:89" s="193" customFormat="1">
      <c r="A243" s="195"/>
      <c r="B243" s="21" t="str">
        <f t="shared" si="113"/>
        <v>N/A</v>
      </c>
      <c r="C243" s="21"/>
      <c r="D243" s="432">
        <v>3201492</v>
      </c>
      <c r="E243" s="439" t="s">
        <v>3626</v>
      </c>
      <c r="F243" s="439" t="s">
        <v>3801</v>
      </c>
      <c r="G243" s="273" t="s">
        <v>3240</v>
      </c>
      <c r="H243" s="358"/>
      <c r="I243" s="262" t="s">
        <v>3497</v>
      </c>
      <c r="J243" s="262" t="s">
        <v>3504</v>
      </c>
      <c r="K243" s="263">
        <v>145771.15</v>
      </c>
      <c r="L243" s="263">
        <v>149812.67000000001</v>
      </c>
      <c r="M243" s="263">
        <v>17288.02</v>
      </c>
      <c r="N243" s="263">
        <v>105198.8</v>
      </c>
      <c r="O243" s="263">
        <v>32693.759999999998</v>
      </c>
      <c r="P243" s="263">
        <v>86547.25</v>
      </c>
      <c r="Q243" s="263">
        <v>23951.72</v>
      </c>
      <c r="R243" s="263">
        <v>18581.490000000002</v>
      </c>
      <c r="S243" s="263">
        <v>19194.47</v>
      </c>
      <c r="T243" s="263">
        <v>19571.169999999998</v>
      </c>
      <c r="U243" s="263">
        <f t="shared" si="144"/>
        <v>618610.5</v>
      </c>
      <c r="V243" s="196" t="str">
        <f t="shared" si="114"/>
        <v>G</v>
      </c>
      <c r="W243" s="196" t="s">
        <v>1168</v>
      </c>
      <c r="X243" s="196" t="str">
        <f t="shared" si="145"/>
        <v>Y</v>
      </c>
      <c r="Y243" s="197">
        <f t="shared" si="115"/>
        <v>618610.5</v>
      </c>
      <c r="Z243" s="198"/>
      <c r="AA243" s="197">
        <f t="shared" si="116"/>
        <v>618610.5</v>
      </c>
      <c r="AB243" s="196" t="s">
        <v>1168</v>
      </c>
      <c r="AC243" s="196"/>
      <c r="AD243" s="275">
        <v>1</v>
      </c>
      <c r="AE243" s="275">
        <v>0</v>
      </c>
      <c r="AF243" s="275">
        <v>0</v>
      </c>
      <c r="AG243" s="442"/>
      <c r="AH243" s="442"/>
      <c r="AI243" s="200">
        <f t="shared" si="117"/>
        <v>0</v>
      </c>
      <c r="AJ243" s="203"/>
      <c r="AK243" s="203"/>
      <c r="AL243" s="197">
        <f t="shared" si="118"/>
        <v>618610.5</v>
      </c>
      <c r="AM243" s="197">
        <f t="shared" si="119"/>
        <v>0</v>
      </c>
      <c r="AN243" s="197">
        <f t="shared" si="120"/>
        <v>0</v>
      </c>
      <c r="AO243" s="202"/>
      <c r="AP243" s="161" t="s">
        <v>3900</v>
      </c>
      <c r="AQ243" s="279"/>
      <c r="AR243" s="287">
        <f t="shared" si="121"/>
        <v>0</v>
      </c>
      <c r="AS243" s="287">
        <f t="shared" si="122"/>
        <v>0</v>
      </c>
      <c r="AT243" s="287">
        <f t="shared" si="123"/>
        <v>0</v>
      </c>
      <c r="AU243" s="287">
        <f t="shared" si="124"/>
        <v>0</v>
      </c>
      <c r="AV243" s="287">
        <f t="shared" si="125"/>
        <v>0</v>
      </c>
      <c r="AW243" s="287">
        <f t="shared" si="126"/>
        <v>0</v>
      </c>
      <c r="AX243" s="287">
        <f t="shared" si="127"/>
        <v>0</v>
      </c>
      <c r="AY243" s="287">
        <f t="shared" si="128"/>
        <v>0</v>
      </c>
      <c r="AZ243" s="287">
        <f t="shared" si="129"/>
        <v>0</v>
      </c>
      <c r="BA243" s="287">
        <f t="shared" si="130"/>
        <v>0</v>
      </c>
      <c r="BB243" s="16"/>
      <c r="BC243" s="287">
        <f t="shared" si="131"/>
        <v>0</v>
      </c>
      <c r="BD243" s="287">
        <f t="shared" si="132"/>
        <v>0</v>
      </c>
      <c r="BE243" s="287">
        <f t="shared" si="133"/>
        <v>0</v>
      </c>
      <c r="BF243" s="287">
        <f t="shared" si="134"/>
        <v>0</v>
      </c>
      <c r="BG243" s="287">
        <f t="shared" si="135"/>
        <v>0</v>
      </c>
      <c r="BH243" s="287">
        <f t="shared" si="136"/>
        <v>0</v>
      </c>
      <c r="BI243" s="287">
        <f t="shared" si="137"/>
        <v>0</v>
      </c>
      <c r="BJ243" s="287">
        <f t="shared" si="138"/>
        <v>0</v>
      </c>
      <c r="BK243" s="287">
        <f t="shared" si="139"/>
        <v>0</v>
      </c>
      <c r="BL243" s="287">
        <f t="shared" si="140"/>
        <v>0</v>
      </c>
      <c r="BM243" s="16"/>
      <c r="BN243" s="287">
        <f t="shared" si="141"/>
        <v>0</v>
      </c>
      <c r="BO243" s="287">
        <f t="shared" si="142"/>
        <v>0</v>
      </c>
      <c r="BP243" s="432"/>
      <c r="BQ243" s="21"/>
      <c r="BR243" s="21"/>
      <c r="BS243" s="39"/>
      <c r="BT243" s="39"/>
      <c r="BU243" s="39"/>
      <c r="BV243" s="39"/>
      <c r="BW243" s="39"/>
      <c r="BX243" s="39"/>
      <c r="BY243" s="39"/>
      <c r="BZ243" s="39">
        <v>230</v>
      </c>
      <c r="CA243" s="39" t="str">
        <f t="shared" si="143"/>
        <v/>
      </c>
      <c r="CB243" s="39"/>
      <c r="CC243" s="39"/>
      <c r="CD243" s="39"/>
      <c r="CE243" s="39"/>
      <c r="CF243" s="39"/>
      <c r="CG243" s="39"/>
      <c r="CH243" s="39"/>
      <c r="CI243" s="39"/>
      <c r="CJ243" s="39"/>
      <c r="CK243" s="39"/>
    </row>
    <row r="244" spans="1:89" s="193" customFormat="1">
      <c r="A244" s="195"/>
      <c r="B244" s="21" t="str">
        <f t="shared" si="113"/>
        <v>N/A</v>
      </c>
      <c r="C244" s="21"/>
      <c r="D244" s="432">
        <v>3201492</v>
      </c>
      <c r="E244" s="439" t="s">
        <v>3626</v>
      </c>
      <c r="F244" s="439" t="s">
        <v>3808</v>
      </c>
      <c r="G244" s="273" t="s">
        <v>3239</v>
      </c>
      <c r="H244" s="358"/>
      <c r="I244" s="262" t="s">
        <v>3497</v>
      </c>
      <c r="J244" s="262" t="s">
        <v>3519</v>
      </c>
      <c r="K244" s="263">
        <v>195048.46</v>
      </c>
      <c r="L244" s="263">
        <v>72491.149999999994</v>
      </c>
      <c r="M244" s="263">
        <v>383805.22</v>
      </c>
      <c r="N244" s="263">
        <v>135672.03</v>
      </c>
      <c r="O244" s="263">
        <v>213672.95999999999</v>
      </c>
      <c r="P244" s="263">
        <v>198582.71</v>
      </c>
      <c r="Q244" s="263">
        <v>79127.3</v>
      </c>
      <c r="R244" s="263">
        <v>86637.759999999995</v>
      </c>
      <c r="S244" s="263">
        <v>90552.43</v>
      </c>
      <c r="T244" s="263">
        <v>90587.49</v>
      </c>
      <c r="U244" s="263">
        <f t="shared" si="144"/>
        <v>1546177.51</v>
      </c>
      <c r="V244" s="196" t="str">
        <f t="shared" si="114"/>
        <v>R</v>
      </c>
      <c r="W244" s="196" t="s">
        <v>1168</v>
      </c>
      <c r="X244" s="196" t="str">
        <f t="shared" si="145"/>
        <v>N</v>
      </c>
      <c r="Y244" s="197">
        <f t="shared" si="115"/>
        <v>1546177.51</v>
      </c>
      <c r="Z244" s="198"/>
      <c r="AA244" s="197">
        <f t="shared" si="116"/>
        <v>1546177.51</v>
      </c>
      <c r="AB244" s="196"/>
      <c r="AC244" s="196"/>
      <c r="AD244" s="275">
        <v>0</v>
      </c>
      <c r="AE244" s="275">
        <v>0</v>
      </c>
      <c r="AF244" s="275">
        <v>1</v>
      </c>
      <c r="AG244" s="442"/>
      <c r="AH244" s="442"/>
      <c r="AI244" s="200">
        <f t="shared" si="117"/>
        <v>0</v>
      </c>
      <c r="AJ244" s="203"/>
      <c r="AK244" s="203"/>
      <c r="AL244" s="197">
        <f t="shared" si="118"/>
        <v>1546177.51</v>
      </c>
      <c r="AM244" s="197">
        <f t="shared" si="119"/>
        <v>0</v>
      </c>
      <c r="AN244" s="197">
        <f t="shared" si="120"/>
        <v>0</v>
      </c>
      <c r="AO244" s="202"/>
      <c r="AP244" s="161" t="s">
        <v>3900</v>
      </c>
      <c r="AQ244" s="279"/>
      <c r="AR244" s="287">
        <f t="shared" si="121"/>
        <v>0</v>
      </c>
      <c r="AS244" s="287">
        <f t="shared" si="122"/>
        <v>0</v>
      </c>
      <c r="AT244" s="287">
        <f t="shared" si="123"/>
        <v>0</v>
      </c>
      <c r="AU244" s="287">
        <f t="shared" si="124"/>
        <v>0</v>
      </c>
      <c r="AV244" s="287">
        <f t="shared" si="125"/>
        <v>0</v>
      </c>
      <c r="AW244" s="287">
        <f t="shared" si="126"/>
        <v>0</v>
      </c>
      <c r="AX244" s="287">
        <f t="shared" si="127"/>
        <v>0</v>
      </c>
      <c r="AY244" s="287">
        <f t="shared" si="128"/>
        <v>0</v>
      </c>
      <c r="AZ244" s="287">
        <f t="shared" si="129"/>
        <v>0</v>
      </c>
      <c r="BA244" s="287">
        <f t="shared" si="130"/>
        <v>0</v>
      </c>
      <c r="BB244" s="16"/>
      <c r="BC244" s="287">
        <f t="shared" si="131"/>
        <v>0</v>
      </c>
      <c r="BD244" s="287">
        <f t="shared" si="132"/>
        <v>0</v>
      </c>
      <c r="BE244" s="287">
        <f t="shared" si="133"/>
        <v>0</v>
      </c>
      <c r="BF244" s="287">
        <f t="shared" si="134"/>
        <v>0</v>
      </c>
      <c r="BG244" s="287">
        <f t="shared" si="135"/>
        <v>0</v>
      </c>
      <c r="BH244" s="287">
        <f t="shared" si="136"/>
        <v>0</v>
      </c>
      <c r="BI244" s="287">
        <f t="shared" si="137"/>
        <v>0</v>
      </c>
      <c r="BJ244" s="287">
        <f t="shared" si="138"/>
        <v>0</v>
      </c>
      <c r="BK244" s="287">
        <f t="shared" si="139"/>
        <v>0</v>
      </c>
      <c r="BL244" s="287">
        <f t="shared" si="140"/>
        <v>0</v>
      </c>
      <c r="BM244" s="16"/>
      <c r="BN244" s="287">
        <f t="shared" si="141"/>
        <v>0</v>
      </c>
      <c r="BO244" s="287">
        <f t="shared" si="142"/>
        <v>0</v>
      </c>
      <c r="BP244" s="432"/>
      <c r="BQ244" s="21"/>
      <c r="BR244" s="21"/>
      <c r="BS244" s="39"/>
      <c r="BT244" s="39"/>
      <c r="BU244" s="39"/>
      <c r="BV244" s="39"/>
      <c r="BW244" s="39"/>
      <c r="BX244" s="39"/>
      <c r="BY244" s="39"/>
      <c r="BZ244" s="39">
        <v>231</v>
      </c>
      <c r="CA244" s="39" t="str">
        <f t="shared" si="143"/>
        <v/>
      </c>
      <c r="CB244" s="39"/>
      <c r="CC244" s="39"/>
      <c r="CD244" s="39"/>
      <c r="CE244" s="39"/>
      <c r="CF244" s="39"/>
      <c r="CG244" s="39"/>
      <c r="CH244" s="39"/>
      <c r="CI244" s="39"/>
      <c r="CJ244" s="39"/>
      <c r="CK244" s="39"/>
    </row>
    <row r="245" spans="1:89" s="193" customFormat="1">
      <c r="A245" s="195"/>
      <c r="B245" s="21" t="str">
        <f t="shared" si="113"/>
        <v>N/A</v>
      </c>
      <c r="C245" s="21"/>
      <c r="D245" s="432">
        <v>3201492</v>
      </c>
      <c r="E245" s="439" t="s">
        <v>3626</v>
      </c>
      <c r="F245" s="439" t="s">
        <v>3802</v>
      </c>
      <c r="G245" s="273" t="s">
        <v>3250</v>
      </c>
      <c r="H245" s="358"/>
      <c r="I245" s="262" t="s">
        <v>3499</v>
      </c>
      <c r="J245" s="262" t="s">
        <v>3504</v>
      </c>
      <c r="K245" s="263">
        <v>7208</v>
      </c>
      <c r="L245" s="263">
        <v>7416</v>
      </c>
      <c r="M245" s="263">
        <v>7639</v>
      </c>
      <c r="N245" s="263">
        <v>7875</v>
      </c>
      <c r="O245" s="263">
        <v>8120</v>
      </c>
      <c r="P245" s="263">
        <v>8370</v>
      </c>
      <c r="Q245" s="263">
        <v>8630</v>
      </c>
      <c r="R245" s="263">
        <v>8900.15</v>
      </c>
      <c r="S245" s="263">
        <v>9178.77</v>
      </c>
      <c r="T245" s="263">
        <v>9466.1</v>
      </c>
      <c r="U245" s="263">
        <f t="shared" si="144"/>
        <v>82803.02</v>
      </c>
      <c r="V245" s="196" t="str">
        <f t="shared" si="114"/>
        <v>LOS/R</v>
      </c>
      <c r="W245" s="196" t="s">
        <v>1168</v>
      </c>
      <c r="X245" s="196" t="str">
        <f t="shared" si="145"/>
        <v>N</v>
      </c>
      <c r="Y245" s="197">
        <f t="shared" si="115"/>
        <v>82803.02</v>
      </c>
      <c r="Z245" s="198"/>
      <c r="AA245" s="197">
        <f t="shared" si="116"/>
        <v>82803.02</v>
      </c>
      <c r="AB245" s="196"/>
      <c r="AC245" s="196"/>
      <c r="AD245" s="275">
        <v>0</v>
      </c>
      <c r="AE245" s="275">
        <v>0.57999999999999996</v>
      </c>
      <c r="AF245" s="275">
        <v>0.42</v>
      </c>
      <c r="AG245" s="442"/>
      <c r="AH245" s="442"/>
      <c r="AI245" s="200">
        <f t="shared" si="117"/>
        <v>0</v>
      </c>
      <c r="AJ245" s="203"/>
      <c r="AK245" s="203"/>
      <c r="AL245" s="197">
        <f t="shared" si="118"/>
        <v>82803.02</v>
      </c>
      <c r="AM245" s="197">
        <f t="shared" si="119"/>
        <v>0</v>
      </c>
      <c r="AN245" s="197">
        <f t="shared" si="120"/>
        <v>0</v>
      </c>
      <c r="AO245" s="202"/>
      <c r="AP245" s="161" t="s">
        <v>3900</v>
      </c>
      <c r="AQ245" s="279"/>
      <c r="AR245" s="287">
        <f t="shared" si="121"/>
        <v>0</v>
      </c>
      <c r="AS245" s="287">
        <f t="shared" si="122"/>
        <v>0</v>
      </c>
      <c r="AT245" s="287">
        <f t="shared" si="123"/>
        <v>0</v>
      </c>
      <c r="AU245" s="287">
        <f t="shared" si="124"/>
        <v>0</v>
      </c>
      <c r="AV245" s="287">
        <f t="shared" si="125"/>
        <v>0</v>
      </c>
      <c r="AW245" s="287">
        <f t="shared" si="126"/>
        <v>0</v>
      </c>
      <c r="AX245" s="287">
        <f t="shared" si="127"/>
        <v>0</v>
      </c>
      <c r="AY245" s="287">
        <f t="shared" si="128"/>
        <v>0</v>
      </c>
      <c r="AZ245" s="287">
        <f t="shared" si="129"/>
        <v>0</v>
      </c>
      <c r="BA245" s="287">
        <f t="shared" si="130"/>
        <v>0</v>
      </c>
      <c r="BB245" s="16"/>
      <c r="BC245" s="287">
        <f t="shared" si="131"/>
        <v>0</v>
      </c>
      <c r="BD245" s="287">
        <f t="shared" si="132"/>
        <v>0</v>
      </c>
      <c r="BE245" s="287">
        <f t="shared" si="133"/>
        <v>0</v>
      </c>
      <c r="BF245" s="287">
        <f t="shared" si="134"/>
        <v>0</v>
      </c>
      <c r="BG245" s="287">
        <f t="shared" si="135"/>
        <v>0</v>
      </c>
      <c r="BH245" s="287">
        <f t="shared" si="136"/>
        <v>0</v>
      </c>
      <c r="BI245" s="287">
        <f t="shared" si="137"/>
        <v>0</v>
      </c>
      <c r="BJ245" s="287">
        <f t="shared" si="138"/>
        <v>0</v>
      </c>
      <c r="BK245" s="287">
        <f t="shared" si="139"/>
        <v>0</v>
      </c>
      <c r="BL245" s="287">
        <f t="shared" si="140"/>
        <v>0</v>
      </c>
      <c r="BM245" s="16"/>
      <c r="BN245" s="287">
        <f t="shared" si="141"/>
        <v>0</v>
      </c>
      <c r="BO245" s="287">
        <f t="shared" si="142"/>
        <v>0</v>
      </c>
      <c r="BP245" s="432"/>
      <c r="BQ245" s="21"/>
      <c r="BR245" s="21"/>
      <c r="BS245" s="39"/>
      <c r="BT245" s="39"/>
      <c r="BU245" s="39"/>
      <c r="BV245" s="39"/>
      <c r="BW245" s="39"/>
      <c r="BX245" s="39"/>
      <c r="BY245" s="39"/>
      <c r="BZ245" s="39">
        <v>232</v>
      </c>
      <c r="CA245" s="39" t="str">
        <f t="shared" si="143"/>
        <v/>
      </c>
      <c r="CB245" s="39"/>
      <c r="CC245" s="39"/>
      <c r="CD245" s="39"/>
      <c r="CE245" s="39"/>
      <c r="CF245" s="39"/>
      <c r="CG245" s="39"/>
      <c r="CH245" s="39"/>
      <c r="CI245" s="39"/>
      <c r="CJ245" s="39"/>
      <c r="CK245" s="39"/>
    </row>
    <row r="246" spans="1:89" s="193" customFormat="1">
      <c r="A246" s="195"/>
      <c r="B246" s="21" t="str">
        <f t="shared" si="113"/>
        <v>N/A</v>
      </c>
      <c r="C246" s="21"/>
      <c r="D246" s="432">
        <v>3201492</v>
      </c>
      <c r="E246" s="439" t="s">
        <v>3626</v>
      </c>
      <c r="F246" s="439" t="s">
        <v>3806</v>
      </c>
      <c r="G246" s="273" t="s">
        <v>3249</v>
      </c>
      <c r="H246" s="358"/>
      <c r="I246" s="262" t="s">
        <v>3494</v>
      </c>
      <c r="J246" s="262" t="s">
        <v>3504</v>
      </c>
      <c r="K246" s="263">
        <v>1198581</v>
      </c>
      <c r="L246" s="263">
        <v>1864017</v>
      </c>
      <c r="M246" s="263">
        <v>1377612</v>
      </c>
      <c r="N246" s="263">
        <v>1766894</v>
      </c>
      <c r="O246" s="263">
        <v>1853134</v>
      </c>
      <c r="P246" s="263">
        <v>2062549</v>
      </c>
      <c r="Q246" s="263">
        <v>2733395</v>
      </c>
      <c r="R246" s="263">
        <v>3130759</v>
      </c>
      <c r="S246" s="263">
        <v>3105517</v>
      </c>
      <c r="T246" s="263">
        <v>2102266</v>
      </c>
      <c r="U246" s="263">
        <f t="shared" si="144"/>
        <v>21194724</v>
      </c>
      <c r="V246" s="196" t="str">
        <f t="shared" si="114"/>
        <v>R</v>
      </c>
      <c r="W246" s="196" t="s">
        <v>1168</v>
      </c>
      <c r="X246" s="196" t="str">
        <f t="shared" si="145"/>
        <v>N</v>
      </c>
      <c r="Y246" s="197">
        <f t="shared" si="115"/>
        <v>21194724</v>
      </c>
      <c r="Z246" s="198"/>
      <c r="AA246" s="197">
        <f t="shared" si="116"/>
        <v>21194724</v>
      </c>
      <c r="AB246" s="196"/>
      <c r="AC246" s="196"/>
      <c r="AD246" s="275">
        <v>0</v>
      </c>
      <c r="AE246" s="275">
        <v>0</v>
      </c>
      <c r="AF246" s="275">
        <v>1</v>
      </c>
      <c r="AG246" s="442"/>
      <c r="AH246" s="442"/>
      <c r="AI246" s="200">
        <f t="shared" si="117"/>
        <v>0</v>
      </c>
      <c r="AJ246" s="203"/>
      <c r="AK246" s="203"/>
      <c r="AL246" s="197">
        <f t="shared" si="118"/>
        <v>21194724</v>
      </c>
      <c r="AM246" s="197">
        <f t="shared" si="119"/>
        <v>0</v>
      </c>
      <c r="AN246" s="197">
        <f t="shared" si="120"/>
        <v>0</v>
      </c>
      <c r="AO246" s="202"/>
      <c r="AP246" s="161" t="s">
        <v>3900</v>
      </c>
      <c r="AQ246" s="279"/>
      <c r="AR246" s="287">
        <f t="shared" si="121"/>
        <v>0</v>
      </c>
      <c r="AS246" s="287">
        <f t="shared" si="122"/>
        <v>0</v>
      </c>
      <c r="AT246" s="287">
        <f t="shared" si="123"/>
        <v>0</v>
      </c>
      <c r="AU246" s="287">
        <f t="shared" si="124"/>
        <v>0</v>
      </c>
      <c r="AV246" s="287">
        <f t="shared" si="125"/>
        <v>0</v>
      </c>
      <c r="AW246" s="287">
        <f t="shared" si="126"/>
        <v>0</v>
      </c>
      <c r="AX246" s="287">
        <f t="shared" si="127"/>
        <v>0</v>
      </c>
      <c r="AY246" s="287">
        <f t="shared" si="128"/>
        <v>0</v>
      </c>
      <c r="AZ246" s="287">
        <f t="shared" si="129"/>
        <v>0</v>
      </c>
      <c r="BA246" s="287">
        <f t="shared" si="130"/>
        <v>0</v>
      </c>
      <c r="BB246" s="16"/>
      <c r="BC246" s="287">
        <f t="shared" si="131"/>
        <v>0</v>
      </c>
      <c r="BD246" s="287">
        <f t="shared" si="132"/>
        <v>0</v>
      </c>
      <c r="BE246" s="287">
        <f t="shared" si="133"/>
        <v>0</v>
      </c>
      <c r="BF246" s="287">
        <f t="shared" si="134"/>
        <v>0</v>
      </c>
      <c r="BG246" s="287">
        <f t="shared" si="135"/>
        <v>0</v>
      </c>
      <c r="BH246" s="287">
        <f t="shared" si="136"/>
        <v>0</v>
      </c>
      <c r="BI246" s="287">
        <f t="shared" si="137"/>
        <v>0</v>
      </c>
      <c r="BJ246" s="287">
        <f t="shared" si="138"/>
        <v>0</v>
      </c>
      <c r="BK246" s="287">
        <f t="shared" si="139"/>
        <v>0</v>
      </c>
      <c r="BL246" s="287">
        <f t="shared" si="140"/>
        <v>0</v>
      </c>
      <c r="BM246" s="16"/>
      <c r="BN246" s="287">
        <f t="shared" si="141"/>
        <v>0</v>
      </c>
      <c r="BO246" s="287">
        <f t="shared" si="142"/>
        <v>0</v>
      </c>
      <c r="BP246" s="432"/>
      <c r="BQ246" s="21"/>
      <c r="BR246" s="21"/>
      <c r="BS246" s="39"/>
      <c r="BT246" s="39"/>
      <c r="BU246" s="39"/>
      <c r="BV246" s="39"/>
      <c r="BW246" s="39"/>
      <c r="BX246" s="39"/>
      <c r="BY246" s="39"/>
      <c r="BZ246" s="39">
        <v>233</v>
      </c>
      <c r="CA246" s="39" t="str">
        <f t="shared" si="143"/>
        <v/>
      </c>
      <c r="CB246" s="39"/>
      <c r="CC246" s="39"/>
      <c r="CD246" s="39"/>
      <c r="CE246" s="39"/>
      <c r="CF246" s="39"/>
      <c r="CG246" s="39"/>
      <c r="CH246" s="39"/>
      <c r="CI246" s="39"/>
      <c r="CJ246" s="39"/>
      <c r="CK246" s="39"/>
    </row>
    <row r="247" spans="1:89" s="193" customFormat="1">
      <c r="A247" s="195"/>
      <c r="B247" s="21" t="str">
        <f t="shared" si="113"/>
        <v>N/A</v>
      </c>
      <c r="C247" s="21"/>
      <c r="D247" s="432">
        <v>3201492</v>
      </c>
      <c r="E247" s="439" t="s">
        <v>3626</v>
      </c>
      <c r="F247" s="439" t="s">
        <v>3796</v>
      </c>
      <c r="G247" s="273" t="s">
        <v>3243</v>
      </c>
      <c r="H247" s="358"/>
      <c r="I247" s="262" t="s">
        <v>3491</v>
      </c>
      <c r="J247" s="262" t="s">
        <v>3504</v>
      </c>
      <c r="K247" s="263">
        <v>3848280</v>
      </c>
      <c r="L247" s="263">
        <v>4182886</v>
      </c>
      <c r="M247" s="263">
        <v>4349649</v>
      </c>
      <c r="N247" s="263">
        <v>4466628</v>
      </c>
      <c r="O247" s="263">
        <v>4702565</v>
      </c>
      <c r="P247" s="263">
        <v>4961143</v>
      </c>
      <c r="Q247" s="263">
        <v>5243467</v>
      </c>
      <c r="R247" s="263">
        <v>5348336.34</v>
      </c>
      <c r="S247" s="263">
        <v>5455303.0700000003</v>
      </c>
      <c r="T247" s="263">
        <v>5564409.1299999999</v>
      </c>
      <c r="U247" s="263">
        <f t="shared" si="144"/>
        <v>48122666.540000007</v>
      </c>
      <c r="V247" s="196" t="str">
        <f t="shared" si="114"/>
        <v>G/LOS/R</v>
      </c>
      <c r="W247" s="196" t="s">
        <v>1168</v>
      </c>
      <c r="X247" s="196" t="str">
        <f t="shared" si="145"/>
        <v>Y</v>
      </c>
      <c r="Y247" s="197">
        <f t="shared" si="115"/>
        <v>48122666.540000007</v>
      </c>
      <c r="Z247" s="198"/>
      <c r="AA247" s="197">
        <f t="shared" si="116"/>
        <v>48122666.540000007</v>
      </c>
      <c r="AB247" s="196" t="s">
        <v>1168</v>
      </c>
      <c r="AC247" s="196"/>
      <c r="AD247" s="275">
        <v>0.51</v>
      </c>
      <c r="AE247" s="275">
        <v>0.22</v>
      </c>
      <c r="AF247" s="275">
        <v>0.27</v>
      </c>
      <c r="AG247" s="442"/>
      <c r="AH247" s="442"/>
      <c r="AI247" s="200">
        <f t="shared" si="117"/>
        <v>0</v>
      </c>
      <c r="AJ247" s="203"/>
      <c r="AK247" s="203"/>
      <c r="AL247" s="197">
        <f t="shared" si="118"/>
        <v>48122666.540000007</v>
      </c>
      <c r="AM247" s="197">
        <f t="shared" si="119"/>
        <v>0</v>
      </c>
      <c r="AN247" s="197">
        <f t="shared" si="120"/>
        <v>0</v>
      </c>
      <c r="AO247" s="202"/>
      <c r="AP247" s="161" t="s">
        <v>3900</v>
      </c>
      <c r="AQ247" s="279"/>
      <c r="AR247" s="287">
        <f t="shared" si="121"/>
        <v>0</v>
      </c>
      <c r="AS247" s="287">
        <f t="shared" si="122"/>
        <v>0</v>
      </c>
      <c r="AT247" s="287">
        <f t="shared" si="123"/>
        <v>0</v>
      </c>
      <c r="AU247" s="287">
        <f t="shared" si="124"/>
        <v>0</v>
      </c>
      <c r="AV247" s="287">
        <f t="shared" si="125"/>
        <v>0</v>
      </c>
      <c r="AW247" s="287">
        <f t="shared" si="126"/>
        <v>0</v>
      </c>
      <c r="AX247" s="287">
        <f t="shared" si="127"/>
        <v>0</v>
      </c>
      <c r="AY247" s="287">
        <f t="shared" si="128"/>
        <v>0</v>
      </c>
      <c r="AZ247" s="287">
        <f t="shared" si="129"/>
        <v>0</v>
      </c>
      <c r="BA247" s="287">
        <f t="shared" si="130"/>
        <v>0</v>
      </c>
      <c r="BB247" s="16"/>
      <c r="BC247" s="287">
        <f t="shared" si="131"/>
        <v>0</v>
      </c>
      <c r="BD247" s="287">
        <f t="shared" si="132"/>
        <v>0</v>
      </c>
      <c r="BE247" s="287">
        <f t="shared" si="133"/>
        <v>0</v>
      </c>
      <c r="BF247" s="287">
        <f t="shared" si="134"/>
        <v>0</v>
      </c>
      <c r="BG247" s="287">
        <f t="shared" si="135"/>
        <v>0</v>
      </c>
      <c r="BH247" s="287">
        <f t="shared" si="136"/>
        <v>0</v>
      </c>
      <c r="BI247" s="287">
        <f t="shared" si="137"/>
        <v>0</v>
      </c>
      <c r="BJ247" s="287">
        <f t="shared" si="138"/>
        <v>0</v>
      </c>
      <c r="BK247" s="287">
        <f t="shared" si="139"/>
        <v>0</v>
      </c>
      <c r="BL247" s="287">
        <f t="shared" si="140"/>
        <v>0</v>
      </c>
      <c r="BM247" s="16"/>
      <c r="BN247" s="287">
        <f t="shared" si="141"/>
        <v>0</v>
      </c>
      <c r="BO247" s="287">
        <f t="shared" si="142"/>
        <v>0</v>
      </c>
      <c r="BP247" s="432"/>
      <c r="BQ247" s="21"/>
      <c r="BR247" s="21"/>
      <c r="BS247" s="39"/>
      <c r="BT247" s="39"/>
      <c r="BU247" s="39"/>
      <c r="BV247" s="39"/>
      <c r="BW247" s="39"/>
      <c r="BX247" s="39"/>
      <c r="BY247" s="39"/>
      <c r="BZ247" s="39">
        <v>234</v>
      </c>
      <c r="CA247" s="39" t="str">
        <f t="shared" si="143"/>
        <v/>
      </c>
      <c r="CB247" s="39"/>
      <c r="CC247" s="39"/>
      <c r="CD247" s="39"/>
      <c r="CE247" s="39"/>
      <c r="CF247" s="39"/>
      <c r="CG247" s="39"/>
      <c r="CH247" s="39"/>
      <c r="CI247" s="39"/>
      <c r="CJ247" s="39"/>
      <c r="CK247" s="39"/>
    </row>
    <row r="248" spans="1:89" s="193" customFormat="1">
      <c r="A248" s="195"/>
      <c r="B248" s="21" t="str">
        <f t="shared" si="113"/>
        <v>N/A</v>
      </c>
      <c r="C248" s="21"/>
      <c r="D248" s="432">
        <v>3201492</v>
      </c>
      <c r="E248" s="439" t="s">
        <v>3626</v>
      </c>
      <c r="F248" s="439" t="s">
        <v>3797</v>
      </c>
      <c r="G248" s="273" t="s">
        <v>3247</v>
      </c>
      <c r="H248" s="358"/>
      <c r="I248" s="262" t="s">
        <v>3491</v>
      </c>
      <c r="J248" s="262" t="s">
        <v>3504</v>
      </c>
      <c r="K248" s="263">
        <v>73038.960000000006</v>
      </c>
      <c r="L248" s="263">
        <v>42203</v>
      </c>
      <c r="M248" s="263">
        <v>43153</v>
      </c>
      <c r="N248" s="263">
        <v>44168</v>
      </c>
      <c r="O248" s="263">
        <v>38319</v>
      </c>
      <c r="P248" s="263">
        <v>38375</v>
      </c>
      <c r="Q248" s="263">
        <v>39338</v>
      </c>
      <c r="R248" s="263">
        <v>40124.76</v>
      </c>
      <c r="S248" s="263">
        <v>40927.26</v>
      </c>
      <c r="T248" s="263">
        <v>41745.800000000003</v>
      </c>
      <c r="U248" s="263">
        <f t="shared" si="144"/>
        <v>441392.78</v>
      </c>
      <c r="V248" s="196" t="str">
        <f t="shared" si="114"/>
        <v>LOS/R</v>
      </c>
      <c r="W248" s="196" t="s">
        <v>1168</v>
      </c>
      <c r="X248" s="196" t="str">
        <f t="shared" si="145"/>
        <v>N</v>
      </c>
      <c r="Y248" s="197">
        <f t="shared" si="115"/>
        <v>441392.78</v>
      </c>
      <c r="Z248" s="198"/>
      <c r="AA248" s="197">
        <f t="shared" si="116"/>
        <v>441392.78</v>
      </c>
      <c r="AB248" s="196"/>
      <c r="AC248" s="196"/>
      <c r="AD248" s="275">
        <v>0</v>
      </c>
      <c r="AE248" s="275">
        <v>0.96999999999999986</v>
      </c>
      <c r="AF248" s="275">
        <v>3.0000000000000002E-2</v>
      </c>
      <c r="AG248" s="442"/>
      <c r="AH248" s="442"/>
      <c r="AI248" s="200">
        <f t="shared" si="117"/>
        <v>0</v>
      </c>
      <c r="AJ248" s="203"/>
      <c r="AK248" s="203"/>
      <c r="AL248" s="197">
        <f t="shared" si="118"/>
        <v>441392.78</v>
      </c>
      <c r="AM248" s="197">
        <f t="shared" si="119"/>
        <v>0</v>
      </c>
      <c r="AN248" s="197">
        <f t="shared" si="120"/>
        <v>0</v>
      </c>
      <c r="AO248" s="202"/>
      <c r="AP248" s="161" t="s">
        <v>3900</v>
      </c>
      <c r="AQ248" s="279"/>
      <c r="AR248" s="287">
        <f t="shared" si="121"/>
        <v>0</v>
      </c>
      <c r="AS248" s="287">
        <f t="shared" si="122"/>
        <v>0</v>
      </c>
      <c r="AT248" s="287">
        <f t="shared" si="123"/>
        <v>0</v>
      </c>
      <c r="AU248" s="287">
        <f t="shared" si="124"/>
        <v>0</v>
      </c>
      <c r="AV248" s="287">
        <f t="shared" si="125"/>
        <v>0</v>
      </c>
      <c r="AW248" s="287">
        <f t="shared" si="126"/>
        <v>0</v>
      </c>
      <c r="AX248" s="287">
        <f t="shared" si="127"/>
        <v>0</v>
      </c>
      <c r="AY248" s="287">
        <f t="shared" si="128"/>
        <v>0</v>
      </c>
      <c r="AZ248" s="287">
        <f t="shared" si="129"/>
        <v>0</v>
      </c>
      <c r="BA248" s="287">
        <f t="shared" si="130"/>
        <v>0</v>
      </c>
      <c r="BB248" s="16"/>
      <c r="BC248" s="287">
        <f t="shared" si="131"/>
        <v>0</v>
      </c>
      <c r="BD248" s="287">
        <f t="shared" si="132"/>
        <v>0</v>
      </c>
      <c r="BE248" s="287">
        <f t="shared" si="133"/>
        <v>0</v>
      </c>
      <c r="BF248" s="287">
        <f t="shared" si="134"/>
        <v>0</v>
      </c>
      <c r="BG248" s="287">
        <f t="shared" si="135"/>
        <v>0</v>
      </c>
      <c r="BH248" s="287">
        <f t="shared" si="136"/>
        <v>0</v>
      </c>
      <c r="BI248" s="287">
        <f t="shared" si="137"/>
        <v>0</v>
      </c>
      <c r="BJ248" s="287">
        <f t="shared" si="138"/>
        <v>0</v>
      </c>
      <c r="BK248" s="287">
        <f t="shared" si="139"/>
        <v>0</v>
      </c>
      <c r="BL248" s="287">
        <f t="shared" si="140"/>
        <v>0</v>
      </c>
      <c r="BM248" s="16"/>
      <c r="BN248" s="287">
        <f t="shared" si="141"/>
        <v>0</v>
      </c>
      <c r="BO248" s="287">
        <f t="shared" si="142"/>
        <v>0</v>
      </c>
      <c r="BP248" s="432"/>
      <c r="BQ248" s="21"/>
      <c r="BR248" s="21"/>
      <c r="BS248" s="39"/>
      <c r="BT248" s="39"/>
      <c r="BU248" s="39"/>
      <c r="BV248" s="39"/>
      <c r="BW248" s="39"/>
      <c r="BX248" s="39"/>
      <c r="BY248" s="39"/>
      <c r="BZ248" s="39">
        <v>235</v>
      </c>
      <c r="CA248" s="39" t="str">
        <f t="shared" si="143"/>
        <v/>
      </c>
      <c r="CB248" s="39"/>
      <c r="CC248" s="39"/>
      <c r="CD248" s="39"/>
      <c r="CE248" s="39"/>
      <c r="CF248" s="39"/>
      <c r="CG248" s="39"/>
      <c r="CH248" s="39"/>
      <c r="CI248" s="39"/>
      <c r="CJ248" s="39"/>
      <c r="CK248" s="39"/>
    </row>
    <row r="249" spans="1:89" s="193" customFormat="1">
      <c r="A249" s="195"/>
      <c r="B249" s="21" t="str">
        <f t="shared" si="113"/>
        <v>N/A</v>
      </c>
      <c r="C249" s="21"/>
      <c r="D249" s="432">
        <v>3201496</v>
      </c>
      <c r="E249" s="439" t="s">
        <v>3626</v>
      </c>
      <c r="F249" s="439" t="s">
        <v>3810</v>
      </c>
      <c r="G249" s="273" t="s">
        <v>3325</v>
      </c>
      <c r="H249" s="358"/>
      <c r="I249" s="262" t="s">
        <v>3491</v>
      </c>
      <c r="J249" s="262" t="s">
        <v>3504</v>
      </c>
      <c r="K249" s="263">
        <v>1889352</v>
      </c>
      <c r="L249" s="263">
        <v>1405750</v>
      </c>
      <c r="M249" s="263">
        <v>2253948</v>
      </c>
      <c r="N249" s="263">
        <v>2043002</v>
      </c>
      <c r="O249" s="263">
        <v>923619</v>
      </c>
      <c r="P249" s="263">
        <v>909316</v>
      </c>
      <c r="Q249" s="263">
        <v>976586</v>
      </c>
      <c r="R249" s="263">
        <v>916924.88</v>
      </c>
      <c r="S249" s="263">
        <v>969438.48</v>
      </c>
      <c r="T249" s="263">
        <v>988827.25</v>
      </c>
      <c r="U249" s="263">
        <f t="shared" si="144"/>
        <v>13276763.610000001</v>
      </c>
      <c r="V249" s="196" t="str">
        <f t="shared" si="114"/>
        <v>LOS</v>
      </c>
      <c r="W249" s="196" t="s">
        <v>1168</v>
      </c>
      <c r="X249" s="196" t="str">
        <f t="shared" si="145"/>
        <v>N</v>
      </c>
      <c r="Y249" s="197">
        <f t="shared" si="115"/>
        <v>13276763.610000001</v>
      </c>
      <c r="Z249" s="198"/>
      <c r="AA249" s="197">
        <f t="shared" si="116"/>
        <v>13276763.610000001</v>
      </c>
      <c r="AB249" s="196"/>
      <c r="AC249" s="196"/>
      <c r="AD249" s="275">
        <v>0</v>
      </c>
      <c r="AE249" s="275">
        <v>1</v>
      </c>
      <c r="AF249" s="275">
        <v>0</v>
      </c>
      <c r="AG249" s="442"/>
      <c r="AH249" s="442"/>
      <c r="AI249" s="200">
        <f t="shared" si="117"/>
        <v>0</v>
      </c>
      <c r="AJ249" s="203"/>
      <c r="AK249" s="203"/>
      <c r="AL249" s="197">
        <f t="shared" si="118"/>
        <v>13276763.610000001</v>
      </c>
      <c r="AM249" s="197">
        <f t="shared" si="119"/>
        <v>0</v>
      </c>
      <c r="AN249" s="197">
        <f t="shared" si="120"/>
        <v>0</v>
      </c>
      <c r="AO249" s="202"/>
      <c r="AP249" s="161" t="s">
        <v>3900</v>
      </c>
      <c r="AQ249" s="279"/>
      <c r="AR249" s="287">
        <f t="shared" si="121"/>
        <v>0</v>
      </c>
      <c r="AS249" s="287">
        <f t="shared" si="122"/>
        <v>0</v>
      </c>
      <c r="AT249" s="287">
        <f t="shared" si="123"/>
        <v>0</v>
      </c>
      <c r="AU249" s="287">
        <f t="shared" si="124"/>
        <v>0</v>
      </c>
      <c r="AV249" s="287">
        <f t="shared" si="125"/>
        <v>0</v>
      </c>
      <c r="AW249" s="287">
        <f t="shared" si="126"/>
        <v>0</v>
      </c>
      <c r="AX249" s="287">
        <f t="shared" si="127"/>
        <v>0</v>
      </c>
      <c r="AY249" s="287">
        <f t="shared" si="128"/>
        <v>0</v>
      </c>
      <c r="AZ249" s="287">
        <f t="shared" si="129"/>
        <v>0</v>
      </c>
      <c r="BA249" s="287">
        <f t="shared" si="130"/>
        <v>0</v>
      </c>
      <c r="BB249" s="16"/>
      <c r="BC249" s="287">
        <f t="shared" si="131"/>
        <v>0</v>
      </c>
      <c r="BD249" s="287">
        <f t="shared" si="132"/>
        <v>0</v>
      </c>
      <c r="BE249" s="287">
        <f t="shared" si="133"/>
        <v>0</v>
      </c>
      <c r="BF249" s="287">
        <f t="shared" si="134"/>
        <v>0</v>
      </c>
      <c r="BG249" s="287">
        <f t="shared" si="135"/>
        <v>0</v>
      </c>
      <c r="BH249" s="287">
        <f t="shared" si="136"/>
        <v>0</v>
      </c>
      <c r="BI249" s="287">
        <f t="shared" si="137"/>
        <v>0</v>
      </c>
      <c r="BJ249" s="287">
        <f t="shared" si="138"/>
        <v>0</v>
      </c>
      <c r="BK249" s="287">
        <f t="shared" si="139"/>
        <v>0</v>
      </c>
      <c r="BL249" s="287">
        <f t="shared" si="140"/>
        <v>0</v>
      </c>
      <c r="BM249" s="16"/>
      <c r="BN249" s="287">
        <f t="shared" si="141"/>
        <v>0</v>
      </c>
      <c r="BO249" s="287">
        <f t="shared" si="142"/>
        <v>0</v>
      </c>
      <c r="BP249" s="432"/>
      <c r="BQ249" s="21"/>
      <c r="BR249" s="21"/>
      <c r="BS249" s="39"/>
      <c r="BT249" s="39"/>
      <c r="BU249" s="39"/>
      <c r="BV249" s="39"/>
      <c r="BW249" s="39"/>
      <c r="BX249" s="39"/>
      <c r="BY249" s="39"/>
      <c r="BZ249" s="39">
        <v>236</v>
      </c>
      <c r="CA249" s="39" t="str">
        <f t="shared" si="143"/>
        <v/>
      </c>
      <c r="CB249" s="39"/>
      <c r="CC249" s="39"/>
      <c r="CD249" s="39"/>
      <c r="CE249" s="39"/>
      <c r="CF249" s="39"/>
      <c r="CG249" s="39"/>
      <c r="CH249" s="39"/>
      <c r="CI249" s="39"/>
      <c r="CJ249" s="39"/>
      <c r="CK249" s="39"/>
    </row>
    <row r="250" spans="1:89" s="193" customFormat="1">
      <c r="A250" s="195"/>
      <c r="B250" s="21" t="str">
        <f t="shared" si="113"/>
        <v>N/A</v>
      </c>
      <c r="C250" s="21"/>
      <c r="D250" s="432">
        <v>3201497</v>
      </c>
      <c r="E250" s="439" t="s">
        <v>3626</v>
      </c>
      <c r="F250" s="439" t="s">
        <v>3811</v>
      </c>
      <c r="G250" s="273" t="s">
        <v>3329</v>
      </c>
      <c r="H250" s="358"/>
      <c r="I250" s="262" t="s">
        <v>3491</v>
      </c>
      <c r="J250" s="262" t="s">
        <v>3504</v>
      </c>
      <c r="K250" s="263">
        <v>550000</v>
      </c>
      <c r="L250" s="263">
        <v>550000</v>
      </c>
      <c r="M250" s="263">
        <v>1010000</v>
      </c>
      <c r="N250" s="263">
        <v>410000</v>
      </c>
      <c r="O250" s="263">
        <v>410000</v>
      </c>
      <c r="P250" s="263">
        <v>300000</v>
      </c>
      <c r="Q250" s="263">
        <v>0</v>
      </c>
      <c r="R250" s="263">
        <v>0</v>
      </c>
      <c r="S250" s="263">
        <v>0</v>
      </c>
      <c r="T250" s="263">
        <v>0</v>
      </c>
      <c r="U250" s="263">
        <f t="shared" si="144"/>
        <v>3230000</v>
      </c>
      <c r="V250" s="196" t="str">
        <f t="shared" si="114"/>
        <v>LOS</v>
      </c>
      <c r="W250" s="196" t="s">
        <v>1168</v>
      </c>
      <c r="X250" s="196" t="str">
        <f t="shared" si="145"/>
        <v>N</v>
      </c>
      <c r="Y250" s="197">
        <f t="shared" si="115"/>
        <v>3230000</v>
      </c>
      <c r="Z250" s="198"/>
      <c r="AA250" s="197">
        <f t="shared" si="116"/>
        <v>3230000</v>
      </c>
      <c r="AB250" s="196"/>
      <c r="AC250" s="196"/>
      <c r="AD250" s="275">
        <v>0</v>
      </c>
      <c r="AE250" s="275">
        <v>1</v>
      </c>
      <c r="AF250" s="275">
        <v>0</v>
      </c>
      <c r="AG250" s="442"/>
      <c r="AH250" s="442"/>
      <c r="AI250" s="200">
        <f t="shared" si="117"/>
        <v>0</v>
      </c>
      <c r="AJ250" s="203"/>
      <c r="AK250" s="203"/>
      <c r="AL250" s="197">
        <f t="shared" si="118"/>
        <v>3230000</v>
      </c>
      <c r="AM250" s="197">
        <f t="shared" si="119"/>
        <v>0</v>
      </c>
      <c r="AN250" s="197">
        <f t="shared" si="120"/>
        <v>0</v>
      </c>
      <c r="AO250" s="202"/>
      <c r="AP250" s="161" t="s">
        <v>3900</v>
      </c>
      <c r="AQ250" s="279"/>
      <c r="AR250" s="287">
        <f t="shared" si="121"/>
        <v>0</v>
      </c>
      <c r="AS250" s="287">
        <f t="shared" si="122"/>
        <v>0</v>
      </c>
      <c r="AT250" s="287">
        <f t="shared" si="123"/>
        <v>0</v>
      </c>
      <c r="AU250" s="287">
        <f t="shared" si="124"/>
        <v>0</v>
      </c>
      <c r="AV250" s="287">
        <f t="shared" si="125"/>
        <v>0</v>
      </c>
      <c r="AW250" s="287">
        <f t="shared" si="126"/>
        <v>0</v>
      </c>
      <c r="AX250" s="287">
        <f t="shared" si="127"/>
        <v>0</v>
      </c>
      <c r="AY250" s="287">
        <f t="shared" si="128"/>
        <v>0</v>
      </c>
      <c r="AZ250" s="287">
        <f t="shared" si="129"/>
        <v>0</v>
      </c>
      <c r="BA250" s="287">
        <f t="shared" si="130"/>
        <v>0</v>
      </c>
      <c r="BB250" s="16"/>
      <c r="BC250" s="287">
        <f t="shared" si="131"/>
        <v>0</v>
      </c>
      <c r="BD250" s="287">
        <f t="shared" si="132"/>
        <v>0</v>
      </c>
      <c r="BE250" s="287">
        <f t="shared" si="133"/>
        <v>0</v>
      </c>
      <c r="BF250" s="287">
        <f t="shared" si="134"/>
        <v>0</v>
      </c>
      <c r="BG250" s="287">
        <f t="shared" si="135"/>
        <v>0</v>
      </c>
      <c r="BH250" s="287">
        <f t="shared" si="136"/>
        <v>0</v>
      </c>
      <c r="BI250" s="287">
        <f t="shared" si="137"/>
        <v>0</v>
      </c>
      <c r="BJ250" s="287">
        <f t="shared" si="138"/>
        <v>0</v>
      </c>
      <c r="BK250" s="287">
        <f t="shared" si="139"/>
        <v>0</v>
      </c>
      <c r="BL250" s="287">
        <f t="shared" si="140"/>
        <v>0</v>
      </c>
      <c r="BM250" s="16"/>
      <c r="BN250" s="287">
        <f t="shared" si="141"/>
        <v>0</v>
      </c>
      <c r="BO250" s="287">
        <f t="shared" si="142"/>
        <v>0</v>
      </c>
      <c r="BP250" s="432"/>
      <c r="BQ250" s="21"/>
      <c r="BR250" s="21"/>
      <c r="BS250" s="39"/>
      <c r="BT250" s="39"/>
      <c r="BU250" s="39"/>
      <c r="BV250" s="39"/>
      <c r="BW250" s="39"/>
      <c r="BX250" s="39"/>
      <c r="BY250" s="39"/>
      <c r="BZ250" s="39">
        <v>237</v>
      </c>
      <c r="CA250" s="39" t="str">
        <f t="shared" si="143"/>
        <v/>
      </c>
      <c r="CB250" s="39"/>
      <c r="CC250" s="39"/>
      <c r="CD250" s="39"/>
      <c r="CE250" s="39"/>
      <c r="CF250" s="39"/>
      <c r="CG250" s="39"/>
      <c r="CH250" s="39"/>
      <c r="CI250" s="39"/>
      <c r="CJ250" s="39"/>
      <c r="CK250" s="39"/>
    </row>
    <row r="251" spans="1:89" s="193" customFormat="1">
      <c r="A251" s="195"/>
      <c r="B251" s="21" t="str">
        <f t="shared" si="113"/>
        <v>N/A</v>
      </c>
      <c r="C251" s="21"/>
      <c r="D251" s="432">
        <v>3201497</v>
      </c>
      <c r="E251" s="439" t="s">
        <v>3626</v>
      </c>
      <c r="F251" s="439" t="s">
        <v>3812</v>
      </c>
      <c r="G251" s="273" t="s">
        <v>3330</v>
      </c>
      <c r="H251" s="358"/>
      <c r="I251" s="262" t="s">
        <v>3491</v>
      </c>
      <c r="J251" s="262" t="s">
        <v>3504</v>
      </c>
      <c r="K251" s="263">
        <v>120000</v>
      </c>
      <c r="L251" s="263">
        <v>120000</v>
      </c>
      <c r="M251" s="263">
        <v>120000</v>
      </c>
      <c r="N251" s="263">
        <v>120000</v>
      </c>
      <c r="O251" s="263">
        <v>120000</v>
      </c>
      <c r="P251" s="263">
        <v>120000</v>
      </c>
      <c r="Q251" s="263">
        <v>120001</v>
      </c>
      <c r="R251" s="263">
        <v>122401.02</v>
      </c>
      <c r="S251" s="263">
        <v>124849.04</v>
      </c>
      <c r="T251" s="263">
        <v>127346.02</v>
      </c>
      <c r="U251" s="263">
        <f t="shared" si="144"/>
        <v>1214597.08</v>
      </c>
      <c r="V251" s="196" t="str">
        <f t="shared" si="114"/>
        <v>LOS</v>
      </c>
      <c r="W251" s="196" t="s">
        <v>1168</v>
      </c>
      <c r="X251" s="196" t="str">
        <f t="shared" si="145"/>
        <v>N</v>
      </c>
      <c r="Y251" s="197">
        <f t="shared" si="115"/>
        <v>1214597.08</v>
      </c>
      <c r="Z251" s="198"/>
      <c r="AA251" s="197">
        <f t="shared" si="116"/>
        <v>1214597.08</v>
      </c>
      <c r="AB251" s="196"/>
      <c r="AC251" s="196"/>
      <c r="AD251" s="275">
        <v>0</v>
      </c>
      <c r="AE251" s="275">
        <v>1</v>
      </c>
      <c r="AF251" s="275">
        <v>0</v>
      </c>
      <c r="AG251" s="442"/>
      <c r="AH251" s="442"/>
      <c r="AI251" s="200">
        <f t="shared" si="117"/>
        <v>0</v>
      </c>
      <c r="AJ251" s="203"/>
      <c r="AK251" s="203"/>
      <c r="AL251" s="197">
        <f t="shared" si="118"/>
        <v>1214597.08</v>
      </c>
      <c r="AM251" s="197">
        <f t="shared" si="119"/>
        <v>0</v>
      </c>
      <c r="AN251" s="197">
        <f t="shared" si="120"/>
        <v>0</v>
      </c>
      <c r="AO251" s="202"/>
      <c r="AP251" s="161" t="s">
        <v>3900</v>
      </c>
      <c r="AQ251" s="279"/>
      <c r="AR251" s="287">
        <f t="shared" si="121"/>
        <v>0</v>
      </c>
      <c r="AS251" s="287">
        <f t="shared" si="122"/>
        <v>0</v>
      </c>
      <c r="AT251" s="287">
        <f t="shared" si="123"/>
        <v>0</v>
      </c>
      <c r="AU251" s="287">
        <f t="shared" si="124"/>
        <v>0</v>
      </c>
      <c r="AV251" s="287">
        <f t="shared" si="125"/>
        <v>0</v>
      </c>
      <c r="AW251" s="287">
        <f t="shared" si="126"/>
        <v>0</v>
      </c>
      <c r="AX251" s="287">
        <f t="shared" si="127"/>
        <v>0</v>
      </c>
      <c r="AY251" s="287">
        <f t="shared" si="128"/>
        <v>0</v>
      </c>
      <c r="AZ251" s="287">
        <f t="shared" si="129"/>
        <v>0</v>
      </c>
      <c r="BA251" s="287">
        <f t="shared" si="130"/>
        <v>0</v>
      </c>
      <c r="BB251" s="16"/>
      <c r="BC251" s="287">
        <f t="shared" si="131"/>
        <v>0</v>
      </c>
      <c r="BD251" s="287">
        <f t="shared" si="132"/>
        <v>0</v>
      </c>
      <c r="BE251" s="287">
        <f t="shared" si="133"/>
        <v>0</v>
      </c>
      <c r="BF251" s="287">
        <f t="shared" si="134"/>
        <v>0</v>
      </c>
      <c r="BG251" s="287">
        <f t="shared" si="135"/>
        <v>0</v>
      </c>
      <c r="BH251" s="287">
        <f t="shared" si="136"/>
        <v>0</v>
      </c>
      <c r="BI251" s="287">
        <f t="shared" si="137"/>
        <v>0</v>
      </c>
      <c r="BJ251" s="287">
        <f t="shared" si="138"/>
        <v>0</v>
      </c>
      <c r="BK251" s="287">
        <f t="shared" si="139"/>
        <v>0</v>
      </c>
      <c r="BL251" s="287">
        <f t="shared" si="140"/>
        <v>0</v>
      </c>
      <c r="BM251" s="16"/>
      <c r="BN251" s="287">
        <f t="shared" si="141"/>
        <v>0</v>
      </c>
      <c r="BO251" s="287">
        <f t="shared" si="142"/>
        <v>0</v>
      </c>
      <c r="BP251" s="432"/>
      <c r="BQ251" s="21"/>
      <c r="BR251" s="21"/>
      <c r="BS251" s="39"/>
      <c r="BT251" s="39"/>
      <c r="BU251" s="39"/>
      <c r="BV251" s="39"/>
      <c r="BW251" s="39"/>
      <c r="BX251" s="39"/>
      <c r="BY251" s="39"/>
      <c r="BZ251" s="39">
        <v>238</v>
      </c>
      <c r="CA251" s="39" t="str">
        <f t="shared" si="143"/>
        <v/>
      </c>
      <c r="CB251" s="39"/>
      <c r="CC251" s="39"/>
      <c r="CD251" s="39"/>
      <c r="CE251" s="39"/>
      <c r="CF251" s="39"/>
      <c r="CG251" s="39"/>
      <c r="CH251" s="39"/>
      <c r="CI251" s="39"/>
      <c r="CJ251" s="39"/>
      <c r="CK251" s="39"/>
    </row>
    <row r="252" spans="1:89" s="193" customFormat="1">
      <c r="A252" s="195"/>
      <c r="B252" s="21" t="str">
        <f t="shared" si="113"/>
        <v>N/A</v>
      </c>
      <c r="C252" s="21"/>
      <c r="D252" s="432">
        <v>3201497</v>
      </c>
      <c r="E252" s="439" t="s">
        <v>3626</v>
      </c>
      <c r="F252" s="439" t="s">
        <v>3813</v>
      </c>
      <c r="G252" s="273" t="s">
        <v>3328</v>
      </c>
      <c r="H252" s="358"/>
      <c r="I252" s="262" t="s">
        <v>3491</v>
      </c>
      <c r="J252" s="262" t="s">
        <v>3504</v>
      </c>
      <c r="K252" s="263">
        <v>849999.96</v>
      </c>
      <c r="L252" s="263">
        <v>0</v>
      </c>
      <c r="M252" s="263">
        <v>0</v>
      </c>
      <c r="N252" s="263">
        <v>0</v>
      </c>
      <c r="O252" s="263">
        <v>0</v>
      </c>
      <c r="P252" s="263">
        <v>0</v>
      </c>
      <c r="Q252" s="263">
        <v>0</v>
      </c>
      <c r="R252" s="263">
        <v>0</v>
      </c>
      <c r="S252" s="263">
        <v>0</v>
      </c>
      <c r="T252" s="263">
        <v>0</v>
      </c>
      <c r="U252" s="263">
        <f t="shared" si="144"/>
        <v>849999.96</v>
      </c>
      <c r="V252" s="196" t="str">
        <f t="shared" si="114"/>
        <v>R</v>
      </c>
      <c r="W252" s="196" t="s">
        <v>1168</v>
      </c>
      <c r="X252" s="196" t="str">
        <f t="shared" si="145"/>
        <v>N</v>
      </c>
      <c r="Y252" s="197">
        <f t="shared" si="115"/>
        <v>849999.96</v>
      </c>
      <c r="Z252" s="198"/>
      <c r="AA252" s="197">
        <f t="shared" si="116"/>
        <v>849999.96</v>
      </c>
      <c r="AB252" s="196"/>
      <c r="AC252" s="196"/>
      <c r="AD252" s="275">
        <v>0</v>
      </c>
      <c r="AE252" s="275">
        <v>0</v>
      </c>
      <c r="AF252" s="275">
        <v>1</v>
      </c>
      <c r="AG252" s="442"/>
      <c r="AH252" s="442"/>
      <c r="AI252" s="200">
        <f t="shared" si="117"/>
        <v>0</v>
      </c>
      <c r="AJ252" s="203"/>
      <c r="AK252" s="203"/>
      <c r="AL252" s="197">
        <f t="shared" si="118"/>
        <v>849999.96</v>
      </c>
      <c r="AM252" s="197">
        <f t="shared" si="119"/>
        <v>0</v>
      </c>
      <c r="AN252" s="197">
        <f t="shared" si="120"/>
        <v>0</v>
      </c>
      <c r="AO252" s="202"/>
      <c r="AP252" s="161" t="s">
        <v>3900</v>
      </c>
      <c r="AQ252" s="279"/>
      <c r="AR252" s="287">
        <f t="shared" si="121"/>
        <v>0</v>
      </c>
      <c r="AS252" s="287">
        <f t="shared" si="122"/>
        <v>0</v>
      </c>
      <c r="AT252" s="287">
        <f t="shared" si="123"/>
        <v>0</v>
      </c>
      <c r="AU252" s="287">
        <f t="shared" si="124"/>
        <v>0</v>
      </c>
      <c r="AV252" s="287">
        <f t="shared" si="125"/>
        <v>0</v>
      </c>
      <c r="AW252" s="287">
        <f t="shared" si="126"/>
        <v>0</v>
      </c>
      <c r="AX252" s="287">
        <f t="shared" si="127"/>
        <v>0</v>
      </c>
      <c r="AY252" s="287">
        <f t="shared" si="128"/>
        <v>0</v>
      </c>
      <c r="AZ252" s="287">
        <f t="shared" si="129"/>
        <v>0</v>
      </c>
      <c r="BA252" s="287">
        <f t="shared" si="130"/>
        <v>0</v>
      </c>
      <c r="BB252" s="16"/>
      <c r="BC252" s="287">
        <f t="shared" si="131"/>
        <v>0</v>
      </c>
      <c r="BD252" s="287">
        <f t="shared" si="132"/>
        <v>0</v>
      </c>
      <c r="BE252" s="287">
        <f t="shared" si="133"/>
        <v>0</v>
      </c>
      <c r="BF252" s="287">
        <f t="shared" si="134"/>
        <v>0</v>
      </c>
      <c r="BG252" s="287">
        <f t="shared" si="135"/>
        <v>0</v>
      </c>
      <c r="BH252" s="287">
        <f t="shared" si="136"/>
        <v>0</v>
      </c>
      <c r="BI252" s="287">
        <f t="shared" si="137"/>
        <v>0</v>
      </c>
      <c r="BJ252" s="287">
        <f t="shared" si="138"/>
        <v>0</v>
      </c>
      <c r="BK252" s="287">
        <f t="shared" si="139"/>
        <v>0</v>
      </c>
      <c r="BL252" s="287">
        <f t="shared" si="140"/>
        <v>0</v>
      </c>
      <c r="BM252" s="16"/>
      <c r="BN252" s="287">
        <f t="shared" si="141"/>
        <v>0</v>
      </c>
      <c r="BO252" s="287">
        <f t="shared" si="142"/>
        <v>0</v>
      </c>
      <c r="BP252" s="432"/>
      <c r="BQ252" s="21"/>
      <c r="BR252" s="21"/>
      <c r="BS252" s="39"/>
      <c r="BT252" s="39"/>
      <c r="BU252" s="39"/>
      <c r="BV252" s="39"/>
      <c r="BW252" s="39"/>
      <c r="BX252" s="39"/>
      <c r="BY252" s="39"/>
      <c r="BZ252" s="39">
        <v>239</v>
      </c>
      <c r="CA252" s="39" t="str">
        <f t="shared" si="143"/>
        <v/>
      </c>
      <c r="CB252" s="39"/>
      <c r="CC252" s="39"/>
      <c r="CD252" s="39"/>
      <c r="CE252" s="39"/>
      <c r="CF252" s="39"/>
      <c r="CG252" s="39"/>
      <c r="CH252" s="39"/>
      <c r="CI252" s="39"/>
      <c r="CJ252" s="39"/>
      <c r="CK252" s="39"/>
    </row>
    <row r="253" spans="1:89" s="193" customFormat="1">
      <c r="A253" s="195"/>
      <c r="B253" s="21" t="str">
        <f t="shared" si="113"/>
        <v>N/A</v>
      </c>
      <c r="C253" s="21"/>
      <c r="D253" s="432">
        <v>3201498</v>
      </c>
      <c r="E253" s="439" t="s">
        <v>3626</v>
      </c>
      <c r="F253" s="439" t="s">
        <v>3814</v>
      </c>
      <c r="G253" s="273" t="s">
        <v>3349</v>
      </c>
      <c r="H253" s="358"/>
      <c r="I253" s="262" t="s">
        <v>3491</v>
      </c>
      <c r="J253" s="262" t="s">
        <v>3504</v>
      </c>
      <c r="K253" s="263">
        <v>549999</v>
      </c>
      <c r="L253" s="263">
        <v>1100002</v>
      </c>
      <c r="M253" s="263">
        <v>320000</v>
      </c>
      <c r="N253" s="263">
        <v>550000</v>
      </c>
      <c r="O253" s="263">
        <v>500000</v>
      </c>
      <c r="P253" s="263">
        <v>600001</v>
      </c>
      <c r="Q253" s="263">
        <v>600000</v>
      </c>
      <c r="R253" s="263">
        <v>612000</v>
      </c>
      <c r="S253" s="263">
        <v>624240</v>
      </c>
      <c r="T253" s="263">
        <v>636724.80000000005</v>
      </c>
      <c r="U253" s="263">
        <f t="shared" si="144"/>
        <v>6092966.7999999998</v>
      </c>
      <c r="V253" s="196" t="str">
        <f t="shared" si="114"/>
        <v>R</v>
      </c>
      <c r="W253" s="196" t="s">
        <v>1168</v>
      </c>
      <c r="X253" s="196" t="str">
        <f t="shared" si="145"/>
        <v>N</v>
      </c>
      <c r="Y253" s="197">
        <f t="shared" si="115"/>
        <v>6092966.7999999998</v>
      </c>
      <c r="Z253" s="198"/>
      <c r="AA253" s="197">
        <f t="shared" si="116"/>
        <v>6092966.7999999998</v>
      </c>
      <c r="AB253" s="196"/>
      <c r="AC253" s="196"/>
      <c r="AD253" s="275">
        <v>0</v>
      </c>
      <c r="AE253" s="275">
        <v>0</v>
      </c>
      <c r="AF253" s="275">
        <v>1</v>
      </c>
      <c r="AG253" s="442"/>
      <c r="AH253" s="442"/>
      <c r="AI253" s="200">
        <f t="shared" si="117"/>
        <v>0</v>
      </c>
      <c r="AJ253" s="203"/>
      <c r="AK253" s="203"/>
      <c r="AL253" s="197">
        <f t="shared" si="118"/>
        <v>6092966.7999999998</v>
      </c>
      <c r="AM253" s="197">
        <f t="shared" si="119"/>
        <v>0</v>
      </c>
      <c r="AN253" s="197">
        <f t="shared" si="120"/>
        <v>0</v>
      </c>
      <c r="AO253" s="202"/>
      <c r="AP253" s="161" t="s">
        <v>3900</v>
      </c>
      <c r="AQ253" s="279"/>
      <c r="AR253" s="287">
        <f t="shared" si="121"/>
        <v>0</v>
      </c>
      <c r="AS253" s="287">
        <f t="shared" si="122"/>
        <v>0</v>
      </c>
      <c r="AT253" s="287">
        <f t="shared" si="123"/>
        <v>0</v>
      </c>
      <c r="AU253" s="287">
        <f t="shared" si="124"/>
        <v>0</v>
      </c>
      <c r="AV253" s="287">
        <f t="shared" si="125"/>
        <v>0</v>
      </c>
      <c r="AW253" s="287">
        <f t="shared" si="126"/>
        <v>0</v>
      </c>
      <c r="AX253" s="287">
        <f t="shared" si="127"/>
        <v>0</v>
      </c>
      <c r="AY253" s="287">
        <f t="shared" si="128"/>
        <v>0</v>
      </c>
      <c r="AZ253" s="287">
        <f t="shared" si="129"/>
        <v>0</v>
      </c>
      <c r="BA253" s="287">
        <f t="shared" si="130"/>
        <v>0</v>
      </c>
      <c r="BB253" s="16"/>
      <c r="BC253" s="287">
        <f t="shared" si="131"/>
        <v>0</v>
      </c>
      <c r="BD253" s="287">
        <f t="shared" si="132"/>
        <v>0</v>
      </c>
      <c r="BE253" s="287">
        <f t="shared" si="133"/>
        <v>0</v>
      </c>
      <c r="BF253" s="287">
        <f t="shared" si="134"/>
        <v>0</v>
      </c>
      <c r="BG253" s="287">
        <f t="shared" si="135"/>
        <v>0</v>
      </c>
      <c r="BH253" s="287">
        <f t="shared" si="136"/>
        <v>0</v>
      </c>
      <c r="BI253" s="287">
        <f t="shared" si="137"/>
        <v>0</v>
      </c>
      <c r="BJ253" s="287">
        <f t="shared" si="138"/>
        <v>0</v>
      </c>
      <c r="BK253" s="287">
        <f t="shared" si="139"/>
        <v>0</v>
      </c>
      <c r="BL253" s="287">
        <f t="shared" si="140"/>
        <v>0</v>
      </c>
      <c r="BM253" s="16"/>
      <c r="BN253" s="287">
        <f t="shared" si="141"/>
        <v>0</v>
      </c>
      <c r="BO253" s="287">
        <f t="shared" si="142"/>
        <v>0</v>
      </c>
      <c r="BP253" s="432"/>
      <c r="BQ253" s="21"/>
      <c r="BR253" s="21"/>
      <c r="BS253" s="39"/>
      <c r="BT253" s="39"/>
      <c r="BU253" s="39"/>
      <c r="BV253" s="39"/>
      <c r="BW253" s="39"/>
      <c r="BX253" s="39"/>
      <c r="BY253" s="39"/>
      <c r="BZ253" s="39">
        <v>240</v>
      </c>
      <c r="CA253" s="39" t="str">
        <f t="shared" si="143"/>
        <v/>
      </c>
      <c r="CB253" s="39"/>
      <c r="CC253" s="39"/>
      <c r="CD253" s="39"/>
      <c r="CE253" s="39"/>
      <c r="CF253" s="39"/>
      <c r="CG253" s="39"/>
      <c r="CH253" s="39"/>
      <c r="CI253" s="39"/>
      <c r="CJ253" s="39"/>
      <c r="CK253" s="39"/>
    </row>
    <row r="254" spans="1:89" s="193" customFormat="1">
      <c r="A254" s="195"/>
      <c r="B254" s="21" t="str">
        <f t="shared" si="113"/>
        <v>N/A</v>
      </c>
      <c r="C254" s="21"/>
      <c r="D254" s="432">
        <v>3201499</v>
      </c>
      <c r="E254" s="439" t="s">
        <v>3626</v>
      </c>
      <c r="F254" s="439" t="s">
        <v>3815</v>
      </c>
      <c r="G254" s="273" t="s">
        <v>3387</v>
      </c>
      <c r="H254" s="358"/>
      <c r="I254" s="262" t="s">
        <v>3491</v>
      </c>
      <c r="J254" s="262" t="s">
        <v>3504</v>
      </c>
      <c r="K254" s="263">
        <v>120000</v>
      </c>
      <c r="L254" s="263">
        <v>120000</v>
      </c>
      <c r="M254" s="263">
        <v>120000</v>
      </c>
      <c r="N254" s="263">
        <v>120000</v>
      </c>
      <c r="O254" s="263">
        <v>120000</v>
      </c>
      <c r="P254" s="263">
        <v>120000</v>
      </c>
      <c r="Q254" s="263">
        <v>120001</v>
      </c>
      <c r="R254" s="263">
        <v>122401.02</v>
      </c>
      <c r="S254" s="263">
        <v>124849.04</v>
      </c>
      <c r="T254" s="263">
        <v>127346.02</v>
      </c>
      <c r="U254" s="263">
        <f t="shared" si="144"/>
        <v>1214597.08</v>
      </c>
      <c r="V254" s="196" t="str">
        <f t="shared" si="114"/>
        <v>LOS</v>
      </c>
      <c r="W254" s="196" t="s">
        <v>1168</v>
      </c>
      <c r="X254" s="196" t="str">
        <f t="shared" si="145"/>
        <v>N</v>
      </c>
      <c r="Y254" s="197">
        <f t="shared" si="115"/>
        <v>1214597.08</v>
      </c>
      <c r="Z254" s="198"/>
      <c r="AA254" s="197">
        <f t="shared" si="116"/>
        <v>1214597.08</v>
      </c>
      <c r="AB254" s="196"/>
      <c r="AC254" s="196"/>
      <c r="AD254" s="275">
        <v>0</v>
      </c>
      <c r="AE254" s="275">
        <v>1</v>
      </c>
      <c r="AF254" s="275">
        <v>0</v>
      </c>
      <c r="AG254" s="442"/>
      <c r="AH254" s="442"/>
      <c r="AI254" s="200">
        <f t="shared" si="117"/>
        <v>0</v>
      </c>
      <c r="AJ254" s="203"/>
      <c r="AK254" s="203"/>
      <c r="AL254" s="197">
        <f t="shared" si="118"/>
        <v>1214597.08</v>
      </c>
      <c r="AM254" s="197">
        <f t="shared" si="119"/>
        <v>0</v>
      </c>
      <c r="AN254" s="197">
        <f t="shared" si="120"/>
        <v>0</v>
      </c>
      <c r="AO254" s="202"/>
      <c r="AP254" s="161" t="s">
        <v>3900</v>
      </c>
      <c r="AQ254" s="279"/>
      <c r="AR254" s="287">
        <f t="shared" si="121"/>
        <v>0</v>
      </c>
      <c r="AS254" s="287">
        <f t="shared" si="122"/>
        <v>0</v>
      </c>
      <c r="AT254" s="287">
        <f t="shared" si="123"/>
        <v>0</v>
      </c>
      <c r="AU254" s="287">
        <f t="shared" si="124"/>
        <v>0</v>
      </c>
      <c r="AV254" s="287">
        <f t="shared" si="125"/>
        <v>0</v>
      </c>
      <c r="AW254" s="287">
        <f t="shared" si="126"/>
        <v>0</v>
      </c>
      <c r="AX254" s="287">
        <f t="shared" si="127"/>
        <v>0</v>
      </c>
      <c r="AY254" s="287">
        <f t="shared" si="128"/>
        <v>0</v>
      </c>
      <c r="AZ254" s="287">
        <f t="shared" si="129"/>
        <v>0</v>
      </c>
      <c r="BA254" s="287">
        <f t="shared" si="130"/>
        <v>0</v>
      </c>
      <c r="BB254" s="16"/>
      <c r="BC254" s="287">
        <f t="shared" si="131"/>
        <v>0</v>
      </c>
      <c r="BD254" s="287">
        <f t="shared" si="132"/>
        <v>0</v>
      </c>
      <c r="BE254" s="287">
        <f t="shared" si="133"/>
        <v>0</v>
      </c>
      <c r="BF254" s="287">
        <f t="shared" si="134"/>
        <v>0</v>
      </c>
      <c r="BG254" s="287">
        <f t="shared" si="135"/>
        <v>0</v>
      </c>
      <c r="BH254" s="287">
        <f t="shared" si="136"/>
        <v>0</v>
      </c>
      <c r="BI254" s="287">
        <f t="shared" si="137"/>
        <v>0</v>
      </c>
      <c r="BJ254" s="287">
        <f t="shared" si="138"/>
        <v>0</v>
      </c>
      <c r="BK254" s="287">
        <f t="shared" si="139"/>
        <v>0</v>
      </c>
      <c r="BL254" s="287">
        <f t="shared" si="140"/>
        <v>0</v>
      </c>
      <c r="BM254" s="16"/>
      <c r="BN254" s="287">
        <f t="shared" si="141"/>
        <v>0</v>
      </c>
      <c r="BO254" s="287">
        <f t="shared" si="142"/>
        <v>0</v>
      </c>
      <c r="BP254" s="432"/>
      <c r="BQ254" s="21"/>
      <c r="BR254" s="21"/>
      <c r="BS254" s="39"/>
      <c r="BT254" s="39"/>
      <c r="BU254" s="39"/>
      <c r="BV254" s="39"/>
      <c r="BW254" s="39"/>
      <c r="BX254" s="39"/>
      <c r="BY254" s="39"/>
      <c r="BZ254" s="39">
        <v>241</v>
      </c>
      <c r="CA254" s="39" t="str">
        <f t="shared" si="143"/>
        <v/>
      </c>
      <c r="CB254" s="39"/>
      <c r="CC254" s="39"/>
      <c r="CD254" s="39"/>
      <c r="CE254" s="39"/>
      <c r="CF254" s="39"/>
      <c r="CG254" s="39"/>
      <c r="CH254" s="39"/>
      <c r="CI254" s="39"/>
      <c r="CJ254" s="39"/>
      <c r="CK254" s="39"/>
    </row>
    <row r="255" spans="1:89" s="193" customFormat="1">
      <c r="A255" s="195"/>
      <c r="B255" s="21" t="str">
        <f t="shared" si="113"/>
        <v>N/A</v>
      </c>
      <c r="C255" s="21"/>
      <c r="D255" s="432">
        <v>3201501</v>
      </c>
      <c r="E255" s="439" t="s">
        <v>3626</v>
      </c>
      <c r="F255" s="439" t="s">
        <v>3816</v>
      </c>
      <c r="G255" s="273" t="s">
        <v>2937</v>
      </c>
      <c r="H255" s="358"/>
      <c r="I255" s="262" t="s">
        <v>3492</v>
      </c>
      <c r="J255" s="262" t="s">
        <v>3526</v>
      </c>
      <c r="K255" s="263">
        <v>70000</v>
      </c>
      <c r="L255" s="263">
        <v>0</v>
      </c>
      <c r="M255" s="263">
        <v>0</v>
      </c>
      <c r="N255" s="263">
        <v>0</v>
      </c>
      <c r="O255" s="263">
        <v>0</v>
      </c>
      <c r="P255" s="263">
        <v>0</v>
      </c>
      <c r="Q255" s="263">
        <v>0</v>
      </c>
      <c r="R255" s="263">
        <v>0</v>
      </c>
      <c r="S255" s="263">
        <v>0</v>
      </c>
      <c r="T255" s="263">
        <v>0</v>
      </c>
      <c r="U255" s="263">
        <f t="shared" si="144"/>
        <v>70000</v>
      </c>
      <c r="V255" s="196" t="str">
        <f t="shared" si="114"/>
        <v>LOS</v>
      </c>
      <c r="W255" s="196" t="s">
        <v>1168</v>
      </c>
      <c r="X255" s="196" t="str">
        <f t="shared" si="145"/>
        <v>N</v>
      </c>
      <c r="Y255" s="197">
        <f t="shared" si="115"/>
        <v>70000</v>
      </c>
      <c r="Z255" s="198"/>
      <c r="AA255" s="197">
        <f t="shared" si="116"/>
        <v>70000</v>
      </c>
      <c r="AB255" s="196"/>
      <c r="AC255" s="196"/>
      <c r="AD255" s="275">
        <v>0</v>
      </c>
      <c r="AE255" s="275">
        <v>1</v>
      </c>
      <c r="AF255" s="275">
        <v>0</v>
      </c>
      <c r="AG255" s="199"/>
      <c r="AH255" s="199"/>
      <c r="AI255" s="200">
        <f t="shared" si="117"/>
        <v>0</v>
      </c>
      <c r="AJ255" s="203"/>
      <c r="AK255" s="203"/>
      <c r="AL255" s="197">
        <f t="shared" si="118"/>
        <v>70000</v>
      </c>
      <c r="AM255" s="197">
        <f t="shared" si="119"/>
        <v>0</v>
      </c>
      <c r="AN255" s="197">
        <f t="shared" si="120"/>
        <v>0</v>
      </c>
      <c r="AO255" s="202"/>
      <c r="AP255" s="161" t="s">
        <v>3900</v>
      </c>
      <c r="AQ255" s="279"/>
      <c r="AR255" s="287">
        <f t="shared" si="121"/>
        <v>0</v>
      </c>
      <c r="AS255" s="287">
        <f t="shared" si="122"/>
        <v>0</v>
      </c>
      <c r="AT255" s="287">
        <f t="shared" si="123"/>
        <v>0</v>
      </c>
      <c r="AU255" s="287">
        <f t="shared" si="124"/>
        <v>0</v>
      </c>
      <c r="AV255" s="287">
        <f t="shared" si="125"/>
        <v>0</v>
      </c>
      <c r="AW255" s="287">
        <f t="shared" si="126"/>
        <v>0</v>
      </c>
      <c r="AX255" s="287">
        <f t="shared" si="127"/>
        <v>0</v>
      </c>
      <c r="AY255" s="287">
        <f t="shared" si="128"/>
        <v>0</v>
      </c>
      <c r="AZ255" s="287">
        <f t="shared" si="129"/>
        <v>0</v>
      </c>
      <c r="BA255" s="287">
        <f t="shared" si="130"/>
        <v>0</v>
      </c>
      <c r="BB255" s="16"/>
      <c r="BC255" s="287">
        <f t="shared" si="131"/>
        <v>0</v>
      </c>
      <c r="BD255" s="287">
        <f t="shared" si="132"/>
        <v>0</v>
      </c>
      <c r="BE255" s="287">
        <f t="shared" si="133"/>
        <v>0</v>
      </c>
      <c r="BF255" s="287">
        <f t="shared" si="134"/>
        <v>0</v>
      </c>
      <c r="BG255" s="287">
        <f t="shared" si="135"/>
        <v>0</v>
      </c>
      <c r="BH255" s="287">
        <f t="shared" si="136"/>
        <v>0</v>
      </c>
      <c r="BI255" s="287">
        <f t="shared" si="137"/>
        <v>0</v>
      </c>
      <c r="BJ255" s="287">
        <f t="shared" si="138"/>
        <v>0</v>
      </c>
      <c r="BK255" s="287">
        <f t="shared" si="139"/>
        <v>0</v>
      </c>
      <c r="BL255" s="287">
        <f t="shared" si="140"/>
        <v>0</v>
      </c>
      <c r="BM255" s="16"/>
      <c r="BN255" s="287">
        <f t="shared" si="141"/>
        <v>0</v>
      </c>
      <c r="BO255" s="287">
        <f t="shared" si="142"/>
        <v>0</v>
      </c>
      <c r="BP255" s="432"/>
      <c r="BQ255" s="21"/>
      <c r="BR255" s="21"/>
      <c r="BS255" s="39"/>
      <c r="BT255" s="39"/>
      <c r="BU255" s="334">
        <v>326000</v>
      </c>
      <c r="BV255" s="334">
        <v>0</v>
      </c>
      <c r="BW255" s="39"/>
      <c r="BX255" s="39"/>
      <c r="BY255" s="39"/>
      <c r="BZ255" s="39">
        <v>242</v>
      </c>
      <c r="CA255" s="39" t="str">
        <f t="shared" si="143"/>
        <v/>
      </c>
      <c r="CB255" s="39"/>
      <c r="CC255" s="39"/>
      <c r="CD255" s="39"/>
      <c r="CE255" s="39"/>
      <c r="CF255" s="39"/>
      <c r="CG255" s="39"/>
      <c r="CH255" s="39"/>
      <c r="CI255" s="39"/>
      <c r="CJ255" s="39"/>
      <c r="CK255" s="39"/>
    </row>
    <row r="256" spans="1:89" s="193" customFormat="1">
      <c r="A256" s="195"/>
      <c r="B256" s="21" t="str">
        <f t="shared" si="113"/>
        <v>N/A</v>
      </c>
      <c r="C256" s="21"/>
      <c r="D256" s="432">
        <v>3201501</v>
      </c>
      <c r="E256" s="439" t="s">
        <v>3626</v>
      </c>
      <c r="F256" s="439" t="s">
        <v>3817</v>
      </c>
      <c r="G256" s="273" t="s">
        <v>2938</v>
      </c>
      <c r="H256" s="358"/>
      <c r="I256" s="262" t="s">
        <v>3492</v>
      </c>
      <c r="J256" s="262" t="s">
        <v>3509</v>
      </c>
      <c r="K256" s="263">
        <v>1000000</v>
      </c>
      <c r="L256" s="263">
        <v>0</v>
      </c>
      <c r="M256" s="263">
        <v>0</v>
      </c>
      <c r="N256" s="263">
        <v>0</v>
      </c>
      <c r="O256" s="263">
        <v>0</v>
      </c>
      <c r="P256" s="263">
        <v>0</v>
      </c>
      <c r="Q256" s="263">
        <v>0</v>
      </c>
      <c r="R256" s="263">
        <v>0</v>
      </c>
      <c r="S256" s="263">
        <v>0</v>
      </c>
      <c r="T256" s="263">
        <v>0</v>
      </c>
      <c r="U256" s="263">
        <f t="shared" si="144"/>
        <v>1000000</v>
      </c>
      <c r="V256" s="196" t="str">
        <f t="shared" si="114"/>
        <v>LOS</v>
      </c>
      <c r="W256" s="196" t="s">
        <v>1168</v>
      </c>
      <c r="X256" s="196" t="str">
        <f t="shared" si="145"/>
        <v>N</v>
      </c>
      <c r="Y256" s="197">
        <f t="shared" si="115"/>
        <v>1000000</v>
      </c>
      <c r="Z256" s="198"/>
      <c r="AA256" s="197">
        <f t="shared" si="116"/>
        <v>1000000</v>
      </c>
      <c r="AB256" s="196"/>
      <c r="AC256" s="196"/>
      <c r="AD256" s="275">
        <v>0</v>
      </c>
      <c r="AE256" s="275">
        <v>1</v>
      </c>
      <c r="AF256" s="275">
        <v>0</v>
      </c>
      <c r="AG256" s="199"/>
      <c r="AH256" s="199"/>
      <c r="AI256" s="200">
        <f t="shared" si="117"/>
        <v>0</v>
      </c>
      <c r="AJ256" s="203"/>
      <c r="AK256" s="203"/>
      <c r="AL256" s="197">
        <f t="shared" si="118"/>
        <v>1000000</v>
      </c>
      <c r="AM256" s="197">
        <f t="shared" si="119"/>
        <v>0</v>
      </c>
      <c r="AN256" s="197">
        <f t="shared" si="120"/>
        <v>0</v>
      </c>
      <c r="AO256" s="202"/>
      <c r="AP256" s="161" t="s">
        <v>3900</v>
      </c>
      <c r="AQ256" s="279"/>
      <c r="AR256" s="287">
        <f t="shared" si="121"/>
        <v>0</v>
      </c>
      <c r="AS256" s="287">
        <f t="shared" si="122"/>
        <v>0</v>
      </c>
      <c r="AT256" s="287">
        <f t="shared" si="123"/>
        <v>0</v>
      </c>
      <c r="AU256" s="287">
        <f t="shared" si="124"/>
        <v>0</v>
      </c>
      <c r="AV256" s="287">
        <f t="shared" si="125"/>
        <v>0</v>
      </c>
      <c r="AW256" s="287">
        <f t="shared" si="126"/>
        <v>0</v>
      </c>
      <c r="AX256" s="287">
        <f t="shared" si="127"/>
        <v>0</v>
      </c>
      <c r="AY256" s="287">
        <f t="shared" si="128"/>
        <v>0</v>
      </c>
      <c r="AZ256" s="287">
        <f t="shared" si="129"/>
        <v>0</v>
      </c>
      <c r="BA256" s="287">
        <f t="shared" si="130"/>
        <v>0</v>
      </c>
      <c r="BB256" s="16"/>
      <c r="BC256" s="287">
        <f t="shared" si="131"/>
        <v>0</v>
      </c>
      <c r="BD256" s="287">
        <f t="shared" si="132"/>
        <v>0</v>
      </c>
      <c r="BE256" s="287">
        <f t="shared" si="133"/>
        <v>0</v>
      </c>
      <c r="BF256" s="287">
        <f t="shared" si="134"/>
        <v>0</v>
      </c>
      <c r="BG256" s="287">
        <f t="shared" si="135"/>
        <v>0</v>
      </c>
      <c r="BH256" s="287">
        <f t="shared" si="136"/>
        <v>0</v>
      </c>
      <c r="BI256" s="287">
        <f t="shared" si="137"/>
        <v>0</v>
      </c>
      <c r="BJ256" s="287">
        <f t="shared" si="138"/>
        <v>0</v>
      </c>
      <c r="BK256" s="287">
        <f t="shared" si="139"/>
        <v>0</v>
      </c>
      <c r="BL256" s="287">
        <f t="shared" si="140"/>
        <v>0</v>
      </c>
      <c r="BM256" s="16"/>
      <c r="BN256" s="287">
        <f t="shared" si="141"/>
        <v>0</v>
      </c>
      <c r="BO256" s="287">
        <f t="shared" si="142"/>
        <v>0</v>
      </c>
      <c r="BP256" s="432"/>
      <c r="BQ256" s="21"/>
      <c r="BR256" s="21"/>
      <c r="BS256" s="39"/>
      <c r="BT256" s="39"/>
      <c r="BU256" s="334">
        <v>76620</v>
      </c>
      <c r="BV256" s="334">
        <v>0</v>
      </c>
      <c r="BW256" s="39"/>
      <c r="BX256" s="39"/>
      <c r="BY256" s="39"/>
      <c r="BZ256" s="39">
        <v>243</v>
      </c>
      <c r="CA256" s="39" t="str">
        <f t="shared" si="143"/>
        <v/>
      </c>
      <c r="CB256" s="39"/>
      <c r="CC256" s="39"/>
      <c r="CD256" s="39"/>
      <c r="CE256" s="39"/>
      <c r="CF256" s="39"/>
      <c r="CG256" s="39"/>
      <c r="CH256" s="39"/>
      <c r="CI256" s="39"/>
      <c r="CJ256" s="39"/>
      <c r="CK256" s="39"/>
    </row>
    <row r="257" spans="1:89" s="193" customFormat="1">
      <c r="A257" s="195"/>
      <c r="B257" s="21" t="str">
        <f t="shared" si="113"/>
        <v>N/A</v>
      </c>
      <c r="C257" s="21"/>
      <c r="D257" s="432">
        <v>3201503</v>
      </c>
      <c r="E257" s="439" t="s">
        <v>3626</v>
      </c>
      <c r="F257" s="439" t="s">
        <v>3818</v>
      </c>
      <c r="G257" s="273" t="s">
        <v>3301</v>
      </c>
      <c r="H257" s="358"/>
      <c r="I257" s="262" t="s">
        <v>3492</v>
      </c>
      <c r="J257" s="262" t="s">
        <v>3505</v>
      </c>
      <c r="K257" s="263">
        <v>63527</v>
      </c>
      <c r="L257" s="263">
        <v>400000</v>
      </c>
      <c r="M257" s="263">
        <v>400000</v>
      </c>
      <c r="N257" s="263">
        <v>0</v>
      </c>
      <c r="O257" s="263">
        <v>0</v>
      </c>
      <c r="P257" s="263">
        <v>0</v>
      </c>
      <c r="Q257" s="263">
        <v>0</v>
      </c>
      <c r="R257" s="263">
        <v>0</v>
      </c>
      <c r="S257" s="263">
        <v>0</v>
      </c>
      <c r="T257" s="263">
        <v>0</v>
      </c>
      <c r="U257" s="263">
        <f t="shared" si="144"/>
        <v>863527</v>
      </c>
      <c r="V257" s="196" t="str">
        <f t="shared" si="114"/>
        <v>LOS</v>
      </c>
      <c r="W257" s="196" t="s">
        <v>1168</v>
      </c>
      <c r="X257" s="196" t="str">
        <f t="shared" si="145"/>
        <v>N</v>
      </c>
      <c r="Y257" s="197">
        <f t="shared" si="115"/>
        <v>863527</v>
      </c>
      <c r="Z257" s="198"/>
      <c r="AA257" s="197">
        <f t="shared" si="116"/>
        <v>863527</v>
      </c>
      <c r="AB257" s="196"/>
      <c r="AC257" s="196"/>
      <c r="AD257" s="275">
        <v>0</v>
      </c>
      <c r="AE257" s="275">
        <v>1</v>
      </c>
      <c r="AF257" s="275">
        <v>0</v>
      </c>
      <c r="AG257" s="199"/>
      <c r="AH257" s="199"/>
      <c r="AI257" s="200">
        <f t="shared" si="117"/>
        <v>0</v>
      </c>
      <c r="AJ257" s="203"/>
      <c r="AK257" s="203"/>
      <c r="AL257" s="197">
        <f t="shared" si="118"/>
        <v>863527</v>
      </c>
      <c r="AM257" s="197">
        <f t="shared" si="119"/>
        <v>0</v>
      </c>
      <c r="AN257" s="197">
        <f t="shared" si="120"/>
        <v>0</v>
      </c>
      <c r="AO257" s="202"/>
      <c r="AP257" s="161" t="s">
        <v>3900</v>
      </c>
      <c r="AQ257" s="279"/>
      <c r="AR257" s="287">
        <f t="shared" si="121"/>
        <v>0</v>
      </c>
      <c r="AS257" s="287">
        <f t="shared" si="122"/>
        <v>0</v>
      </c>
      <c r="AT257" s="287">
        <f t="shared" si="123"/>
        <v>0</v>
      </c>
      <c r="AU257" s="287">
        <f t="shared" si="124"/>
        <v>0</v>
      </c>
      <c r="AV257" s="287">
        <f t="shared" si="125"/>
        <v>0</v>
      </c>
      <c r="AW257" s="287">
        <f t="shared" si="126"/>
        <v>0</v>
      </c>
      <c r="AX257" s="287">
        <f t="shared" si="127"/>
        <v>0</v>
      </c>
      <c r="AY257" s="287">
        <f t="shared" si="128"/>
        <v>0</v>
      </c>
      <c r="AZ257" s="287">
        <f t="shared" si="129"/>
        <v>0</v>
      </c>
      <c r="BA257" s="287">
        <f t="shared" si="130"/>
        <v>0</v>
      </c>
      <c r="BB257" s="16"/>
      <c r="BC257" s="287">
        <f t="shared" si="131"/>
        <v>0</v>
      </c>
      <c r="BD257" s="287">
        <f t="shared" si="132"/>
        <v>0</v>
      </c>
      <c r="BE257" s="287">
        <f t="shared" si="133"/>
        <v>0</v>
      </c>
      <c r="BF257" s="287">
        <f t="shared" si="134"/>
        <v>0</v>
      </c>
      <c r="BG257" s="287">
        <f t="shared" si="135"/>
        <v>0</v>
      </c>
      <c r="BH257" s="287">
        <f t="shared" si="136"/>
        <v>0</v>
      </c>
      <c r="BI257" s="287">
        <f t="shared" si="137"/>
        <v>0</v>
      </c>
      <c r="BJ257" s="287">
        <f t="shared" si="138"/>
        <v>0</v>
      </c>
      <c r="BK257" s="287">
        <f t="shared" si="139"/>
        <v>0</v>
      </c>
      <c r="BL257" s="287">
        <f t="shared" si="140"/>
        <v>0</v>
      </c>
      <c r="BM257" s="16"/>
      <c r="BN257" s="287">
        <f t="shared" si="141"/>
        <v>0</v>
      </c>
      <c r="BO257" s="287">
        <f t="shared" si="142"/>
        <v>0</v>
      </c>
      <c r="BP257" s="432"/>
      <c r="BQ257" s="21"/>
      <c r="BR257" s="21"/>
      <c r="BS257" s="39"/>
      <c r="BT257" s="39"/>
      <c r="BU257" s="334">
        <v>996000</v>
      </c>
      <c r="BV257" s="334">
        <v>0</v>
      </c>
      <c r="BW257" s="39"/>
      <c r="BX257" s="39"/>
      <c r="BY257" s="39"/>
      <c r="BZ257" s="39">
        <v>244</v>
      </c>
      <c r="CA257" s="39" t="str">
        <f t="shared" si="143"/>
        <v/>
      </c>
      <c r="CB257" s="39"/>
      <c r="CC257" s="39"/>
      <c r="CD257" s="39"/>
      <c r="CE257" s="39"/>
      <c r="CF257" s="39"/>
      <c r="CG257" s="39"/>
      <c r="CH257" s="39"/>
      <c r="CI257" s="39"/>
      <c r="CJ257" s="39"/>
      <c r="CK257" s="39"/>
    </row>
    <row r="258" spans="1:89" s="193" customFormat="1">
      <c r="A258" s="195"/>
      <c r="B258" s="21" t="str">
        <f t="shared" si="113"/>
        <v>N/A</v>
      </c>
      <c r="C258" s="21"/>
      <c r="D258" s="432">
        <v>3201504</v>
      </c>
      <c r="E258" s="439" t="s">
        <v>3626</v>
      </c>
      <c r="F258" s="439" t="s">
        <v>3820</v>
      </c>
      <c r="G258" s="273" t="s">
        <v>3257</v>
      </c>
      <c r="H258" s="358"/>
      <c r="I258" s="262" t="s">
        <v>3492</v>
      </c>
      <c r="J258" s="262" t="s">
        <v>3524</v>
      </c>
      <c r="K258" s="263">
        <v>50000</v>
      </c>
      <c r="L258" s="263">
        <v>0</v>
      </c>
      <c r="M258" s="263">
        <v>0</v>
      </c>
      <c r="N258" s="263">
        <v>0</v>
      </c>
      <c r="O258" s="263">
        <v>0</v>
      </c>
      <c r="P258" s="263">
        <v>0</v>
      </c>
      <c r="Q258" s="263">
        <v>0</v>
      </c>
      <c r="R258" s="263">
        <v>0</v>
      </c>
      <c r="S258" s="263">
        <v>0</v>
      </c>
      <c r="T258" s="263">
        <v>0</v>
      </c>
      <c r="U258" s="263">
        <f t="shared" si="144"/>
        <v>50000</v>
      </c>
      <c r="V258" s="196" t="str">
        <f t="shared" si="114"/>
        <v>R</v>
      </c>
      <c r="W258" s="196" t="s">
        <v>1168</v>
      </c>
      <c r="X258" s="196" t="str">
        <f t="shared" si="145"/>
        <v>N</v>
      </c>
      <c r="Y258" s="376">
        <f t="shared" si="115"/>
        <v>50000</v>
      </c>
      <c r="Z258" s="198"/>
      <c r="AA258" s="376">
        <f t="shared" si="116"/>
        <v>50000</v>
      </c>
      <c r="AB258" s="196"/>
      <c r="AC258" s="196"/>
      <c r="AD258" s="275">
        <v>0</v>
      </c>
      <c r="AE258" s="275">
        <v>0</v>
      </c>
      <c r="AF258" s="275">
        <v>1</v>
      </c>
      <c r="AG258" s="199"/>
      <c r="AH258" s="199"/>
      <c r="AI258" s="377">
        <f t="shared" si="117"/>
        <v>0</v>
      </c>
      <c r="AJ258" s="203"/>
      <c r="AK258" s="203"/>
      <c r="AL258" s="197">
        <f t="shared" si="118"/>
        <v>50000</v>
      </c>
      <c r="AM258" s="197">
        <f t="shared" si="119"/>
        <v>0</v>
      </c>
      <c r="AN258" s="197">
        <f t="shared" si="120"/>
        <v>0</v>
      </c>
      <c r="AO258" s="202"/>
      <c r="AP258" s="161" t="s">
        <v>3900</v>
      </c>
      <c r="AQ258" s="279"/>
      <c r="AR258" s="287">
        <f t="shared" si="121"/>
        <v>0</v>
      </c>
      <c r="AS258" s="287">
        <f t="shared" si="122"/>
        <v>0</v>
      </c>
      <c r="AT258" s="287">
        <f t="shared" si="123"/>
        <v>0</v>
      </c>
      <c r="AU258" s="287">
        <f t="shared" si="124"/>
        <v>0</v>
      </c>
      <c r="AV258" s="287">
        <f t="shared" si="125"/>
        <v>0</v>
      </c>
      <c r="AW258" s="287">
        <f t="shared" si="126"/>
        <v>0</v>
      </c>
      <c r="AX258" s="287">
        <f t="shared" si="127"/>
        <v>0</v>
      </c>
      <c r="AY258" s="287">
        <f t="shared" si="128"/>
        <v>0</v>
      </c>
      <c r="AZ258" s="287">
        <f t="shared" si="129"/>
        <v>0</v>
      </c>
      <c r="BA258" s="287">
        <f t="shared" si="130"/>
        <v>0</v>
      </c>
      <c r="BB258" s="16"/>
      <c r="BC258" s="287">
        <f t="shared" si="131"/>
        <v>0</v>
      </c>
      <c r="BD258" s="287">
        <f t="shared" si="132"/>
        <v>0</v>
      </c>
      <c r="BE258" s="287">
        <f t="shared" si="133"/>
        <v>0</v>
      </c>
      <c r="BF258" s="287">
        <f t="shared" si="134"/>
        <v>0</v>
      </c>
      <c r="BG258" s="287">
        <f t="shared" si="135"/>
        <v>0</v>
      </c>
      <c r="BH258" s="287">
        <f t="shared" si="136"/>
        <v>0</v>
      </c>
      <c r="BI258" s="287">
        <f t="shared" si="137"/>
        <v>0</v>
      </c>
      <c r="BJ258" s="287">
        <f t="shared" si="138"/>
        <v>0</v>
      </c>
      <c r="BK258" s="287">
        <f t="shared" si="139"/>
        <v>0</v>
      </c>
      <c r="BL258" s="287">
        <f t="shared" si="140"/>
        <v>0</v>
      </c>
      <c r="BM258" s="16"/>
      <c r="BN258" s="287">
        <f t="shared" si="141"/>
        <v>0</v>
      </c>
      <c r="BO258" s="287">
        <f t="shared" si="142"/>
        <v>0</v>
      </c>
      <c r="BP258" s="432"/>
      <c r="BQ258" s="21"/>
      <c r="BR258" s="21"/>
      <c r="BS258" s="39"/>
      <c r="BT258" s="39"/>
      <c r="BU258" s="334">
        <v>780000</v>
      </c>
      <c r="BV258" s="334">
        <v>0</v>
      </c>
      <c r="BW258" s="39"/>
      <c r="BX258" s="39"/>
      <c r="BY258" s="39"/>
      <c r="BZ258" s="39">
        <v>245</v>
      </c>
      <c r="CA258" s="39" t="str">
        <f t="shared" si="143"/>
        <v/>
      </c>
      <c r="CB258" s="39"/>
      <c r="CC258" s="39"/>
      <c r="CD258" s="39"/>
      <c r="CE258" s="39"/>
      <c r="CF258" s="39"/>
      <c r="CG258" s="39"/>
      <c r="CH258" s="39"/>
      <c r="CI258" s="39"/>
      <c r="CJ258" s="39"/>
      <c r="CK258" s="39"/>
    </row>
    <row r="259" spans="1:89" s="193" customFormat="1">
      <c r="A259" s="195"/>
      <c r="B259" s="21" t="str">
        <f t="shared" si="113"/>
        <v>N/A</v>
      </c>
      <c r="C259" s="21"/>
      <c r="D259" s="432">
        <v>3201504</v>
      </c>
      <c r="E259" s="439" t="s">
        <v>3626</v>
      </c>
      <c r="F259" s="439" t="s">
        <v>3821</v>
      </c>
      <c r="G259" s="273" t="s">
        <v>3255</v>
      </c>
      <c r="H259" s="358"/>
      <c r="I259" s="262" t="s">
        <v>3492</v>
      </c>
      <c r="J259" s="262" t="s">
        <v>3523</v>
      </c>
      <c r="K259" s="263">
        <v>200000</v>
      </c>
      <c r="L259" s="263">
        <v>150000</v>
      </c>
      <c r="M259" s="263">
        <v>700000</v>
      </c>
      <c r="N259" s="263">
        <v>0</v>
      </c>
      <c r="O259" s="263">
        <v>0</v>
      </c>
      <c r="P259" s="263">
        <v>0</v>
      </c>
      <c r="Q259" s="263">
        <v>0</v>
      </c>
      <c r="R259" s="263">
        <v>0</v>
      </c>
      <c r="S259" s="263">
        <v>0</v>
      </c>
      <c r="T259" s="263">
        <v>0</v>
      </c>
      <c r="U259" s="263">
        <f t="shared" si="144"/>
        <v>1050000</v>
      </c>
      <c r="V259" s="196" t="str">
        <f t="shared" si="114"/>
        <v>R</v>
      </c>
      <c r="W259" s="196" t="s">
        <v>1168</v>
      </c>
      <c r="X259" s="196" t="str">
        <f t="shared" si="145"/>
        <v>N</v>
      </c>
      <c r="Y259" s="376">
        <f t="shared" si="115"/>
        <v>1050000</v>
      </c>
      <c r="Z259" s="198"/>
      <c r="AA259" s="376">
        <f t="shared" si="116"/>
        <v>1050000</v>
      </c>
      <c r="AB259" s="196"/>
      <c r="AC259" s="196"/>
      <c r="AD259" s="275">
        <v>0</v>
      </c>
      <c r="AE259" s="275">
        <v>0</v>
      </c>
      <c r="AF259" s="275">
        <v>1</v>
      </c>
      <c r="AG259" s="199"/>
      <c r="AH259" s="199"/>
      <c r="AI259" s="200">
        <f t="shared" si="117"/>
        <v>0</v>
      </c>
      <c r="AJ259" s="203"/>
      <c r="AK259" s="203"/>
      <c r="AL259" s="197">
        <f t="shared" si="118"/>
        <v>1050000</v>
      </c>
      <c r="AM259" s="197">
        <f t="shared" si="119"/>
        <v>0</v>
      </c>
      <c r="AN259" s="197">
        <f t="shared" si="120"/>
        <v>0</v>
      </c>
      <c r="AO259" s="202"/>
      <c r="AP259" s="161" t="s">
        <v>3900</v>
      </c>
      <c r="AQ259" s="279"/>
      <c r="AR259" s="287">
        <f t="shared" si="121"/>
        <v>0</v>
      </c>
      <c r="AS259" s="287">
        <f t="shared" si="122"/>
        <v>0</v>
      </c>
      <c r="AT259" s="287">
        <f t="shared" si="123"/>
        <v>0</v>
      </c>
      <c r="AU259" s="287">
        <f t="shared" si="124"/>
        <v>0</v>
      </c>
      <c r="AV259" s="287">
        <f t="shared" si="125"/>
        <v>0</v>
      </c>
      <c r="AW259" s="287">
        <f t="shared" si="126"/>
        <v>0</v>
      </c>
      <c r="AX259" s="287">
        <f t="shared" si="127"/>
        <v>0</v>
      </c>
      <c r="AY259" s="287">
        <f t="shared" si="128"/>
        <v>0</v>
      </c>
      <c r="AZ259" s="287">
        <f t="shared" si="129"/>
        <v>0</v>
      </c>
      <c r="BA259" s="287">
        <f t="shared" si="130"/>
        <v>0</v>
      </c>
      <c r="BB259" s="16"/>
      <c r="BC259" s="287">
        <f t="shared" si="131"/>
        <v>0</v>
      </c>
      <c r="BD259" s="287">
        <f t="shared" si="132"/>
        <v>0</v>
      </c>
      <c r="BE259" s="287">
        <f t="shared" si="133"/>
        <v>0</v>
      </c>
      <c r="BF259" s="287">
        <f t="shared" si="134"/>
        <v>0</v>
      </c>
      <c r="BG259" s="287">
        <f t="shared" si="135"/>
        <v>0</v>
      </c>
      <c r="BH259" s="287">
        <f t="shared" si="136"/>
        <v>0</v>
      </c>
      <c r="BI259" s="287">
        <f t="shared" si="137"/>
        <v>0</v>
      </c>
      <c r="BJ259" s="287">
        <f t="shared" si="138"/>
        <v>0</v>
      </c>
      <c r="BK259" s="287">
        <f t="shared" si="139"/>
        <v>0</v>
      </c>
      <c r="BL259" s="287">
        <f t="shared" si="140"/>
        <v>0</v>
      </c>
      <c r="BM259" s="16"/>
      <c r="BN259" s="287">
        <f t="shared" si="141"/>
        <v>0</v>
      </c>
      <c r="BO259" s="287">
        <f t="shared" si="142"/>
        <v>0</v>
      </c>
      <c r="BP259" s="432"/>
      <c r="BQ259" s="21"/>
      <c r="BR259" s="21"/>
      <c r="BS259" s="39"/>
      <c r="BT259" s="39"/>
      <c r="BU259" s="334">
        <v>30000</v>
      </c>
      <c r="BV259" s="334">
        <v>0</v>
      </c>
      <c r="BW259" s="39"/>
      <c r="BX259" s="39"/>
      <c r="BY259" s="39"/>
      <c r="BZ259" s="39">
        <v>246</v>
      </c>
      <c r="CA259" s="39" t="str">
        <f t="shared" si="143"/>
        <v/>
      </c>
      <c r="CB259" s="39"/>
      <c r="CC259" s="39"/>
      <c r="CD259" s="39"/>
      <c r="CE259" s="39"/>
      <c r="CF259" s="39"/>
      <c r="CG259" s="39"/>
      <c r="CH259" s="39"/>
      <c r="CI259" s="39"/>
      <c r="CJ259" s="39"/>
      <c r="CK259" s="39"/>
    </row>
    <row r="260" spans="1:89" s="193" customFormat="1">
      <c r="A260" s="195"/>
      <c r="B260" s="21" t="str">
        <f t="shared" si="113"/>
        <v>N/A</v>
      </c>
      <c r="C260" s="21"/>
      <c r="D260" s="432">
        <v>3201504</v>
      </c>
      <c r="E260" s="439" t="s">
        <v>3626</v>
      </c>
      <c r="F260" s="439" t="s">
        <v>3822</v>
      </c>
      <c r="G260" s="273" t="s">
        <v>3258</v>
      </c>
      <c r="H260" s="358"/>
      <c r="I260" s="262" t="s">
        <v>3492</v>
      </c>
      <c r="J260" s="262" t="s">
        <v>3522</v>
      </c>
      <c r="K260" s="263">
        <v>50000</v>
      </c>
      <c r="L260" s="263">
        <v>50000</v>
      </c>
      <c r="M260" s="263">
        <v>100000</v>
      </c>
      <c r="N260" s="263">
        <v>0</v>
      </c>
      <c r="O260" s="263">
        <v>0</v>
      </c>
      <c r="P260" s="263">
        <v>0</v>
      </c>
      <c r="Q260" s="263">
        <v>0</v>
      </c>
      <c r="R260" s="263">
        <v>0</v>
      </c>
      <c r="S260" s="263">
        <v>0</v>
      </c>
      <c r="T260" s="263">
        <v>0</v>
      </c>
      <c r="U260" s="263">
        <f t="shared" si="144"/>
        <v>200000</v>
      </c>
      <c r="V260" s="196" t="str">
        <f t="shared" si="114"/>
        <v>R</v>
      </c>
      <c r="W260" s="196" t="s">
        <v>1168</v>
      </c>
      <c r="X260" s="196" t="str">
        <f t="shared" si="145"/>
        <v>N</v>
      </c>
      <c r="Y260" s="376">
        <f t="shared" si="115"/>
        <v>200000</v>
      </c>
      <c r="Z260" s="198"/>
      <c r="AA260" s="376">
        <f t="shared" si="116"/>
        <v>200000</v>
      </c>
      <c r="AB260" s="196"/>
      <c r="AC260" s="196"/>
      <c r="AD260" s="275">
        <v>0</v>
      </c>
      <c r="AE260" s="275">
        <v>0</v>
      </c>
      <c r="AF260" s="275">
        <v>1</v>
      </c>
      <c r="AG260" s="442"/>
      <c r="AH260" s="442"/>
      <c r="AI260" s="200">
        <f t="shared" si="117"/>
        <v>0</v>
      </c>
      <c r="AJ260" s="203"/>
      <c r="AK260" s="203"/>
      <c r="AL260" s="197">
        <f t="shared" si="118"/>
        <v>200000</v>
      </c>
      <c r="AM260" s="197">
        <f t="shared" si="119"/>
        <v>0</v>
      </c>
      <c r="AN260" s="197">
        <f t="shared" si="120"/>
        <v>0</v>
      </c>
      <c r="AO260" s="202"/>
      <c r="AP260" s="161" t="s">
        <v>3900</v>
      </c>
      <c r="AQ260" s="279"/>
      <c r="AR260" s="287">
        <f t="shared" si="121"/>
        <v>0</v>
      </c>
      <c r="AS260" s="287">
        <f t="shared" si="122"/>
        <v>0</v>
      </c>
      <c r="AT260" s="287">
        <f t="shared" si="123"/>
        <v>0</v>
      </c>
      <c r="AU260" s="287">
        <f t="shared" si="124"/>
        <v>0</v>
      </c>
      <c r="AV260" s="287">
        <f t="shared" si="125"/>
        <v>0</v>
      </c>
      <c r="AW260" s="287">
        <f t="shared" si="126"/>
        <v>0</v>
      </c>
      <c r="AX260" s="287">
        <f t="shared" si="127"/>
        <v>0</v>
      </c>
      <c r="AY260" s="287">
        <f t="shared" si="128"/>
        <v>0</v>
      </c>
      <c r="AZ260" s="287">
        <f t="shared" si="129"/>
        <v>0</v>
      </c>
      <c r="BA260" s="287">
        <f t="shared" si="130"/>
        <v>0</v>
      </c>
      <c r="BB260" s="16"/>
      <c r="BC260" s="287">
        <f t="shared" si="131"/>
        <v>0</v>
      </c>
      <c r="BD260" s="287">
        <f t="shared" si="132"/>
        <v>0</v>
      </c>
      <c r="BE260" s="287">
        <f t="shared" si="133"/>
        <v>0</v>
      </c>
      <c r="BF260" s="287">
        <f t="shared" si="134"/>
        <v>0</v>
      </c>
      <c r="BG260" s="287">
        <f t="shared" si="135"/>
        <v>0</v>
      </c>
      <c r="BH260" s="287">
        <f t="shared" si="136"/>
        <v>0</v>
      </c>
      <c r="BI260" s="287">
        <f t="shared" si="137"/>
        <v>0</v>
      </c>
      <c r="BJ260" s="287">
        <f t="shared" si="138"/>
        <v>0</v>
      </c>
      <c r="BK260" s="287">
        <f t="shared" si="139"/>
        <v>0</v>
      </c>
      <c r="BL260" s="287">
        <f t="shared" si="140"/>
        <v>0</v>
      </c>
      <c r="BM260" s="16"/>
      <c r="BN260" s="287">
        <f t="shared" si="141"/>
        <v>0</v>
      </c>
      <c r="BO260" s="287">
        <f t="shared" si="142"/>
        <v>0</v>
      </c>
      <c r="BP260" s="432"/>
      <c r="BQ260" s="21"/>
      <c r="BR260" s="21"/>
      <c r="BS260" s="39"/>
      <c r="BT260" s="39"/>
      <c r="BU260" s="334">
        <v>9080</v>
      </c>
      <c r="BV260" s="334">
        <v>0</v>
      </c>
      <c r="BW260" s="39"/>
      <c r="BX260" s="39"/>
      <c r="BY260" s="39"/>
      <c r="BZ260" s="39">
        <v>247</v>
      </c>
      <c r="CA260" s="39" t="str">
        <f t="shared" si="143"/>
        <v/>
      </c>
      <c r="CB260" s="39"/>
      <c r="CC260" s="39"/>
      <c r="CD260" s="39"/>
      <c r="CE260" s="39"/>
      <c r="CF260" s="39"/>
      <c r="CG260" s="39"/>
      <c r="CH260" s="39"/>
      <c r="CI260" s="39"/>
      <c r="CJ260" s="39"/>
      <c r="CK260" s="39"/>
    </row>
    <row r="261" spans="1:89" s="193" customFormat="1">
      <c r="A261" s="195"/>
      <c r="B261" s="21" t="str">
        <f t="shared" si="113"/>
        <v>N/A</v>
      </c>
      <c r="C261" s="21"/>
      <c r="D261" s="432">
        <v>3201504</v>
      </c>
      <c r="E261" s="439" t="s">
        <v>3626</v>
      </c>
      <c r="F261" s="439" t="s">
        <v>3823</v>
      </c>
      <c r="G261" s="273" t="s">
        <v>3256</v>
      </c>
      <c r="H261" s="358"/>
      <c r="I261" s="262" t="s">
        <v>3492</v>
      </c>
      <c r="J261" s="262" t="s">
        <v>3521</v>
      </c>
      <c r="K261" s="263">
        <v>90000</v>
      </c>
      <c r="L261" s="263">
        <v>100000</v>
      </c>
      <c r="M261" s="263">
        <v>500000</v>
      </c>
      <c r="N261" s="263">
        <v>0</v>
      </c>
      <c r="O261" s="263">
        <v>0</v>
      </c>
      <c r="P261" s="263">
        <v>0</v>
      </c>
      <c r="Q261" s="263">
        <v>0</v>
      </c>
      <c r="R261" s="263">
        <v>0</v>
      </c>
      <c r="S261" s="263">
        <v>0</v>
      </c>
      <c r="T261" s="263">
        <v>0</v>
      </c>
      <c r="U261" s="263">
        <f t="shared" si="144"/>
        <v>690000</v>
      </c>
      <c r="V261" s="196" t="str">
        <f t="shared" si="114"/>
        <v>R</v>
      </c>
      <c r="W261" s="196" t="s">
        <v>1168</v>
      </c>
      <c r="X261" s="196" t="str">
        <f t="shared" si="145"/>
        <v>N</v>
      </c>
      <c r="Y261" s="376">
        <f t="shared" si="115"/>
        <v>690000</v>
      </c>
      <c r="Z261" s="198"/>
      <c r="AA261" s="376">
        <f t="shared" si="116"/>
        <v>690000</v>
      </c>
      <c r="AB261" s="196"/>
      <c r="AC261" s="196"/>
      <c r="AD261" s="275">
        <v>0</v>
      </c>
      <c r="AE261" s="275">
        <v>0</v>
      </c>
      <c r="AF261" s="275">
        <v>1</v>
      </c>
      <c r="AG261" s="442"/>
      <c r="AH261" s="442"/>
      <c r="AI261" s="200">
        <f t="shared" si="117"/>
        <v>0</v>
      </c>
      <c r="AJ261" s="203"/>
      <c r="AK261" s="203"/>
      <c r="AL261" s="197">
        <f t="shared" si="118"/>
        <v>690000</v>
      </c>
      <c r="AM261" s="197">
        <f t="shared" si="119"/>
        <v>0</v>
      </c>
      <c r="AN261" s="197">
        <f t="shared" si="120"/>
        <v>0</v>
      </c>
      <c r="AO261" s="202"/>
      <c r="AP261" s="161" t="s">
        <v>3900</v>
      </c>
      <c r="AQ261" s="279"/>
      <c r="AR261" s="287">
        <f t="shared" si="121"/>
        <v>0</v>
      </c>
      <c r="AS261" s="287">
        <f t="shared" si="122"/>
        <v>0</v>
      </c>
      <c r="AT261" s="287">
        <f t="shared" si="123"/>
        <v>0</v>
      </c>
      <c r="AU261" s="287">
        <f t="shared" si="124"/>
        <v>0</v>
      </c>
      <c r="AV261" s="287">
        <f t="shared" si="125"/>
        <v>0</v>
      </c>
      <c r="AW261" s="287">
        <f t="shared" si="126"/>
        <v>0</v>
      </c>
      <c r="AX261" s="287">
        <f t="shared" si="127"/>
        <v>0</v>
      </c>
      <c r="AY261" s="287">
        <f t="shared" si="128"/>
        <v>0</v>
      </c>
      <c r="AZ261" s="287">
        <f t="shared" si="129"/>
        <v>0</v>
      </c>
      <c r="BA261" s="287">
        <f t="shared" si="130"/>
        <v>0</v>
      </c>
      <c r="BB261" s="16"/>
      <c r="BC261" s="287">
        <f t="shared" si="131"/>
        <v>0</v>
      </c>
      <c r="BD261" s="287">
        <f t="shared" si="132"/>
        <v>0</v>
      </c>
      <c r="BE261" s="287">
        <f t="shared" si="133"/>
        <v>0</v>
      </c>
      <c r="BF261" s="287">
        <f t="shared" si="134"/>
        <v>0</v>
      </c>
      <c r="BG261" s="287">
        <f t="shared" si="135"/>
        <v>0</v>
      </c>
      <c r="BH261" s="287">
        <f t="shared" si="136"/>
        <v>0</v>
      </c>
      <c r="BI261" s="287">
        <f t="shared" si="137"/>
        <v>0</v>
      </c>
      <c r="BJ261" s="287">
        <f t="shared" si="138"/>
        <v>0</v>
      </c>
      <c r="BK261" s="287">
        <f t="shared" si="139"/>
        <v>0</v>
      </c>
      <c r="BL261" s="287">
        <f t="shared" si="140"/>
        <v>0</v>
      </c>
      <c r="BM261" s="16"/>
      <c r="BN261" s="287">
        <f t="shared" si="141"/>
        <v>0</v>
      </c>
      <c r="BO261" s="287">
        <f t="shared" si="142"/>
        <v>0</v>
      </c>
      <c r="BP261" s="432"/>
      <c r="BQ261" s="21"/>
      <c r="BR261" s="21"/>
      <c r="BS261" s="39"/>
      <c r="BT261" s="39"/>
      <c r="BU261" s="334">
        <v>113500</v>
      </c>
      <c r="BV261" s="334">
        <v>0</v>
      </c>
      <c r="BW261" s="39"/>
      <c r="BX261" s="39"/>
      <c r="BY261" s="39"/>
      <c r="BZ261" s="39">
        <v>248</v>
      </c>
      <c r="CA261" s="39" t="str">
        <f t="shared" si="143"/>
        <v/>
      </c>
      <c r="CB261" s="39"/>
      <c r="CC261" s="39"/>
      <c r="CD261" s="39"/>
      <c r="CE261" s="39"/>
      <c r="CF261" s="39"/>
      <c r="CG261" s="39"/>
      <c r="CH261" s="39"/>
      <c r="CI261" s="39"/>
      <c r="CJ261" s="39"/>
      <c r="CK261" s="39"/>
    </row>
    <row r="262" spans="1:89" s="193" customFormat="1">
      <c r="A262" s="195"/>
      <c r="B262" s="21" t="str">
        <f t="shared" si="113"/>
        <v>N/A</v>
      </c>
      <c r="C262" s="21"/>
      <c r="D262" s="432">
        <v>3201504</v>
      </c>
      <c r="E262" s="439" t="s">
        <v>3626</v>
      </c>
      <c r="F262" s="439" t="s">
        <v>3819</v>
      </c>
      <c r="G262" s="273" t="s">
        <v>3254</v>
      </c>
      <c r="H262" s="358"/>
      <c r="I262" s="262" t="s">
        <v>3492</v>
      </c>
      <c r="J262" s="262" t="s">
        <v>3516</v>
      </c>
      <c r="K262" s="263">
        <v>50000</v>
      </c>
      <c r="L262" s="263">
        <v>0</v>
      </c>
      <c r="M262" s="263">
        <v>0</v>
      </c>
      <c r="N262" s="263">
        <v>0</v>
      </c>
      <c r="O262" s="263">
        <v>0</v>
      </c>
      <c r="P262" s="263">
        <v>0</v>
      </c>
      <c r="Q262" s="263">
        <v>0</v>
      </c>
      <c r="R262" s="263">
        <v>0</v>
      </c>
      <c r="S262" s="263">
        <v>0</v>
      </c>
      <c r="T262" s="263">
        <v>0</v>
      </c>
      <c r="U262" s="263">
        <f t="shared" si="144"/>
        <v>50000</v>
      </c>
      <c r="V262" s="196" t="str">
        <f t="shared" si="114"/>
        <v>R</v>
      </c>
      <c r="W262" s="196" t="s">
        <v>1168</v>
      </c>
      <c r="X262" s="196" t="str">
        <f t="shared" si="145"/>
        <v>N</v>
      </c>
      <c r="Y262" s="197">
        <f t="shared" si="115"/>
        <v>50000</v>
      </c>
      <c r="Z262" s="198"/>
      <c r="AA262" s="197">
        <f t="shared" si="116"/>
        <v>50000</v>
      </c>
      <c r="AB262" s="196"/>
      <c r="AC262" s="196"/>
      <c r="AD262" s="275">
        <v>0</v>
      </c>
      <c r="AE262" s="275">
        <v>0</v>
      </c>
      <c r="AF262" s="275">
        <v>1</v>
      </c>
      <c r="AG262" s="442"/>
      <c r="AH262" s="442"/>
      <c r="AI262" s="200">
        <f t="shared" si="117"/>
        <v>0</v>
      </c>
      <c r="AJ262" s="203"/>
      <c r="AK262" s="203"/>
      <c r="AL262" s="197">
        <f t="shared" si="118"/>
        <v>50000</v>
      </c>
      <c r="AM262" s="197">
        <f t="shared" si="119"/>
        <v>0</v>
      </c>
      <c r="AN262" s="197">
        <f t="shared" si="120"/>
        <v>0</v>
      </c>
      <c r="AO262" s="202"/>
      <c r="AP262" s="161" t="s">
        <v>3900</v>
      </c>
      <c r="AQ262" s="279"/>
      <c r="AR262" s="287">
        <f t="shared" si="121"/>
        <v>0</v>
      </c>
      <c r="AS262" s="287">
        <f t="shared" si="122"/>
        <v>0</v>
      </c>
      <c r="AT262" s="287">
        <f t="shared" si="123"/>
        <v>0</v>
      </c>
      <c r="AU262" s="287">
        <f t="shared" si="124"/>
        <v>0</v>
      </c>
      <c r="AV262" s="287">
        <f t="shared" si="125"/>
        <v>0</v>
      </c>
      <c r="AW262" s="287">
        <f t="shared" si="126"/>
        <v>0</v>
      </c>
      <c r="AX262" s="287">
        <f t="shared" si="127"/>
        <v>0</v>
      </c>
      <c r="AY262" s="287">
        <f t="shared" si="128"/>
        <v>0</v>
      </c>
      <c r="AZ262" s="287">
        <f t="shared" si="129"/>
        <v>0</v>
      </c>
      <c r="BA262" s="287">
        <f t="shared" si="130"/>
        <v>0</v>
      </c>
      <c r="BB262" s="16"/>
      <c r="BC262" s="287">
        <f t="shared" si="131"/>
        <v>0</v>
      </c>
      <c r="BD262" s="287">
        <f t="shared" si="132"/>
        <v>0</v>
      </c>
      <c r="BE262" s="287">
        <f t="shared" si="133"/>
        <v>0</v>
      </c>
      <c r="BF262" s="287">
        <f t="shared" si="134"/>
        <v>0</v>
      </c>
      <c r="BG262" s="287">
        <f t="shared" si="135"/>
        <v>0</v>
      </c>
      <c r="BH262" s="287">
        <f t="shared" si="136"/>
        <v>0</v>
      </c>
      <c r="BI262" s="287">
        <f t="shared" si="137"/>
        <v>0</v>
      </c>
      <c r="BJ262" s="287">
        <f t="shared" si="138"/>
        <v>0</v>
      </c>
      <c r="BK262" s="287">
        <f t="shared" si="139"/>
        <v>0</v>
      </c>
      <c r="BL262" s="287">
        <f t="shared" si="140"/>
        <v>0</v>
      </c>
      <c r="BM262" s="16"/>
      <c r="BN262" s="287">
        <f t="shared" si="141"/>
        <v>0</v>
      </c>
      <c r="BO262" s="287">
        <f t="shared" si="142"/>
        <v>0</v>
      </c>
      <c r="BP262" s="432"/>
      <c r="BQ262" s="21"/>
      <c r="BR262" s="21"/>
      <c r="BS262" s="39"/>
      <c r="BT262" s="39"/>
      <c r="BU262" s="39"/>
      <c r="BV262" s="39"/>
      <c r="BW262" s="39"/>
      <c r="BX262" s="39"/>
      <c r="BY262" s="39"/>
      <c r="BZ262" s="39">
        <v>249</v>
      </c>
      <c r="CA262" s="39" t="str">
        <f t="shared" si="143"/>
        <v/>
      </c>
      <c r="CB262" s="39"/>
      <c r="CC262" s="39"/>
      <c r="CD262" s="39"/>
      <c r="CE262" s="39"/>
      <c r="CF262" s="39"/>
      <c r="CG262" s="39"/>
      <c r="CH262" s="39"/>
      <c r="CI262" s="39"/>
      <c r="CJ262" s="39"/>
      <c r="CK262" s="39"/>
    </row>
    <row r="263" spans="1:89" s="193" customFormat="1">
      <c r="A263" s="195"/>
      <c r="B263" s="21" t="str">
        <f t="shared" si="113"/>
        <v>N/A</v>
      </c>
      <c r="C263" s="21"/>
      <c r="D263" s="432">
        <v>3201504</v>
      </c>
      <c r="E263" s="439" t="s">
        <v>3626</v>
      </c>
      <c r="F263" s="439" t="s">
        <v>3824</v>
      </c>
      <c r="G263" s="273" t="s">
        <v>3253</v>
      </c>
      <c r="H263" s="358"/>
      <c r="I263" s="262" t="s">
        <v>3492</v>
      </c>
      <c r="J263" s="262" t="s">
        <v>3511</v>
      </c>
      <c r="K263" s="263">
        <v>100000</v>
      </c>
      <c r="L263" s="263">
        <v>241458</v>
      </c>
      <c r="M263" s="263">
        <v>900000</v>
      </c>
      <c r="N263" s="263">
        <v>0</v>
      </c>
      <c r="O263" s="263">
        <v>0</v>
      </c>
      <c r="P263" s="263">
        <v>0</v>
      </c>
      <c r="Q263" s="263">
        <v>0</v>
      </c>
      <c r="R263" s="263">
        <v>0</v>
      </c>
      <c r="S263" s="263">
        <v>0</v>
      </c>
      <c r="T263" s="263">
        <v>0</v>
      </c>
      <c r="U263" s="263">
        <f t="shared" si="144"/>
        <v>1241458</v>
      </c>
      <c r="V263" s="196" t="str">
        <f t="shared" si="114"/>
        <v>R</v>
      </c>
      <c r="W263" s="196" t="s">
        <v>1168</v>
      </c>
      <c r="X263" s="196" t="str">
        <f t="shared" si="145"/>
        <v>N</v>
      </c>
      <c r="Y263" s="197">
        <f t="shared" si="115"/>
        <v>1241458</v>
      </c>
      <c r="Z263" s="198"/>
      <c r="AA263" s="197">
        <f t="shared" si="116"/>
        <v>1241458</v>
      </c>
      <c r="AB263" s="196"/>
      <c r="AC263" s="196"/>
      <c r="AD263" s="275">
        <v>0</v>
      </c>
      <c r="AE263" s="275">
        <v>0</v>
      </c>
      <c r="AF263" s="275">
        <v>1</v>
      </c>
      <c r="AG263" s="442"/>
      <c r="AH263" s="442"/>
      <c r="AI263" s="200">
        <f t="shared" si="117"/>
        <v>0</v>
      </c>
      <c r="AJ263" s="203"/>
      <c r="AK263" s="203"/>
      <c r="AL263" s="197">
        <f t="shared" si="118"/>
        <v>1241458</v>
      </c>
      <c r="AM263" s="197">
        <f t="shared" si="119"/>
        <v>0</v>
      </c>
      <c r="AN263" s="197">
        <f t="shared" si="120"/>
        <v>0</v>
      </c>
      <c r="AO263" s="202"/>
      <c r="AP263" s="161" t="s">
        <v>3900</v>
      </c>
      <c r="AQ263" s="279"/>
      <c r="AR263" s="287">
        <f t="shared" si="121"/>
        <v>0</v>
      </c>
      <c r="AS263" s="287">
        <f t="shared" si="122"/>
        <v>0</v>
      </c>
      <c r="AT263" s="287">
        <f t="shared" si="123"/>
        <v>0</v>
      </c>
      <c r="AU263" s="287">
        <f t="shared" si="124"/>
        <v>0</v>
      </c>
      <c r="AV263" s="287">
        <f t="shared" si="125"/>
        <v>0</v>
      </c>
      <c r="AW263" s="287">
        <f t="shared" si="126"/>
        <v>0</v>
      </c>
      <c r="AX263" s="287">
        <f t="shared" si="127"/>
        <v>0</v>
      </c>
      <c r="AY263" s="287">
        <f t="shared" si="128"/>
        <v>0</v>
      </c>
      <c r="AZ263" s="287">
        <f t="shared" si="129"/>
        <v>0</v>
      </c>
      <c r="BA263" s="287">
        <f t="shared" si="130"/>
        <v>0</v>
      </c>
      <c r="BB263" s="16"/>
      <c r="BC263" s="287">
        <f t="shared" si="131"/>
        <v>0</v>
      </c>
      <c r="BD263" s="287">
        <f t="shared" si="132"/>
        <v>0</v>
      </c>
      <c r="BE263" s="287">
        <f t="shared" si="133"/>
        <v>0</v>
      </c>
      <c r="BF263" s="287">
        <f t="shared" si="134"/>
        <v>0</v>
      </c>
      <c r="BG263" s="287">
        <f t="shared" si="135"/>
        <v>0</v>
      </c>
      <c r="BH263" s="287">
        <f t="shared" si="136"/>
        <v>0</v>
      </c>
      <c r="BI263" s="287">
        <f t="shared" si="137"/>
        <v>0</v>
      </c>
      <c r="BJ263" s="287">
        <f t="shared" si="138"/>
        <v>0</v>
      </c>
      <c r="BK263" s="287">
        <f t="shared" si="139"/>
        <v>0</v>
      </c>
      <c r="BL263" s="287">
        <f t="shared" si="140"/>
        <v>0</v>
      </c>
      <c r="BM263" s="16"/>
      <c r="BN263" s="287">
        <f t="shared" si="141"/>
        <v>0</v>
      </c>
      <c r="BO263" s="287">
        <f t="shared" si="142"/>
        <v>0</v>
      </c>
      <c r="BP263" s="432"/>
      <c r="BQ263" s="21"/>
      <c r="BR263" s="21"/>
      <c r="BS263" s="39"/>
      <c r="BT263" s="39"/>
      <c r="BU263" s="39"/>
      <c r="BV263" s="39"/>
      <c r="BW263" s="39"/>
      <c r="BX263" s="39"/>
      <c r="BY263" s="39"/>
      <c r="BZ263" s="39">
        <v>250</v>
      </c>
      <c r="CA263" s="39" t="str">
        <f t="shared" si="143"/>
        <v/>
      </c>
      <c r="CB263" s="39"/>
      <c r="CC263" s="39"/>
      <c r="CD263" s="39"/>
      <c r="CE263" s="39"/>
      <c r="CF263" s="39"/>
      <c r="CG263" s="39"/>
      <c r="CH263" s="39"/>
      <c r="CI263" s="39"/>
      <c r="CJ263" s="39"/>
      <c r="CK263" s="39"/>
    </row>
    <row r="264" spans="1:89" s="193" customFormat="1">
      <c r="A264" s="195"/>
      <c r="B264" s="21" t="str">
        <f t="shared" si="113"/>
        <v>N/A</v>
      </c>
      <c r="C264" s="21"/>
      <c r="D264" s="432">
        <v>3201504</v>
      </c>
      <c r="E264" s="439" t="s">
        <v>3626</v>
      </c>
      <c r="F264" s="439" t="s">
        <v>3825</v>
      </c>
      <c r="G264" s="273" t="s">
        <v>3252</v>
      </c>
      <c r="H264" s="358"/>
      <c r="I264" s="262" t="s">
        <v>3492</v>
      </c>
      <c r="J264" s="262" t="s">
        <v>3517</v>
      </c>
      <c r="K264" s="263">
        <v>1386300</v>
      </c>
      <c r="L264" s="263">
        <v>975000</v>
      </c>
      <c r="M264" s="263">
        <v>600000</v>
      </c>
      <c r="N264" s="263">
        <v>0</v>
      </c>
      <c r="O264" s="263">
        <v>0</v>
      </c>
      <c r="P264" s="263">
        <v>0</v>
      </c>
      <c r="Q264" s="263">
        <v>0</v>
      </c>
      <c r="R264" s="263">
        <v>0</v>
      </c>
      <c r="S264" s="263">
        <v>0</v>
      </c>
      <c r="T264" s="263">
        <v>0</v>
      </c>
      <c r="U264" s="263">
        <f t="shared" si="144"/>
        <v>2961300</v>
      </c>
      <c r="V264" s="196" t="str">
        <f t="shared" si="114"/>
        <v>R</v>
      </c>
      <c r="W264" s="196" t="s">
        <v>1168</v>
      </c>
      <c r="X264" s="196" t="str">
        <f t="shared" si="145"/>
        <v>N</v>
      </c>
      <c r="Y264" s="197">
        <f t="shared" si="115"/>
        <v>2961300</v>
      </c>
      <c r="Z264" s="198"/>
      <c r="AA264" s="197">
        <f t="shared" si="116"/>
        <v>2961300</v>
      </c>
      <c r="AB264" s="196"/>
      <c r="AC264" s="196"/>
      <c r="AD264" s="275">
        <v>0</v>
      </c>
      <c r="AE264" s="275">
        <v>0</v>
      </c>
      <c r="AF264" s="275">
        <v>1</v>
      </c>
      <c r="AG264" s="442"/>
      <c r="AH264" s="442"/>
      <c r="AI264" s="200">
        <f t="shared" si="117"/>
        <v>0</v>
      </c>
      <c r="AJ264" s="203"/>
      <c r="AK264" s="203"/>
      <c r="AL264" s="197">
        <f t="shared" si="118"/>
        <v>2961300</v>
      </c>
      <c r="AM264" s="197">
        <f t="shared" si="119"/>
        <v>0</v>
      </c>
      <c r="AN264" s="197">
        <f t="shared" si="120"/>
        <v>0</v>
      </c>
      <c r="AO264" s="202"/>
      <c r="AP264" s="161" t="s">
        <v>3900</v>
      </c>
      <c r="AQ264" s="279"/>
      <c r="AR264" s="287">
        <f t="shared" si="121"/>
        <v>0</v>
      </c>
      <c r="AS264" s="287">
        <f t="shared" si="122"/>
        <v>0</v>
      </c>
      <c r="AT264" s="287">
        <f t="shared" si="123"/>
        <v>0</v>
      </c>
      <c r="AU264" s="287">
        <f t="shared" si="124"/>
        <v>0</v>
      </c>
      <c r="AV264" s="287">
        <f t="shared" si="125"/>
        <v>0</v>
      </c>
      <c r="AW264" s="287">
        <f t="shared" si="126"/>
        <v>0</v>
      </c>
      <c r="AX264" s="287">
        <f t="shared" si="127"/>
        <v>0</v>
      </c>
      <c r="AY264" s="287">
        <f t="shared" si="128"/>
        <v>0</v>
      </c>
      <c r="AZ264" s="287">
        <f t="shared" si="129"/>
        <v>0</v>
      </c>
      <c r="BA264" s="287">
        <f t="shared" si="130"/>
        <v>0</v>
      </c>
      <c r="BB264" s="16"/>
      <c r="BC264" s="287">
        <f t="shared" si="131"/>
        <v>0</v>
      </c>
      <c r="BD264" s="287">
        <f t="shared" si="132"/>
        <v>0</v>
      </c>
      <c r="BE264" s="287">
        <f t="shared" si="133"/>
        <v>0</v>
      </c>
      <c r="BF264" s="287">
        <f t="shared" si="134"/>
        <v>0</v>
      </c>
      <c r="BG264" s="287">
        <f t="shared" si="135"/>
        <v>0</v>
      </c>
      <c r="BH264" s="287">
        <f t="shared" si="136"/>
        <v>0</v>
      </c>
      <c r="BI264" s="287">
        <f t="shared" si="137"/>
        <v>0</v>
      </c>
      <c r="BJ264" s="287">
        <f t="shared" si="138"/>
        <v>0</v>
      </c>
      <c r="BK264" s="287">
        <f t="shared" si="139"/>
        <v>0</v>
      </c>
      <c r="BL264" s="287">
        <f t="shared" si="140"/>
        <v>0</v>
      </c>
      <c r="BM264" s="16"/>
      <c r="BN264" s="287">
        <f t="shared" si="141"/>
        <v>0</v>
      </c>
      <c r="BO264" s="287">
        <f t="shared" si="142"/>
        <v>0</v>
      </c>
      <c r="BP264" s="432"/>
      <c r="BQ264" s="21"/>
      <c r="BR264" s="21"/>
      <c r="BS264" s="39"/>
      <c r="BT264" s="39"/>
      <c r="BU264" s="39"/>
      <c r="BV264" s="39"/>
      <c r="BW264" s="39"/>
      <c r="BX264" s="39"/>
      <c r="BY264" s="39"/>
      <c r="BZ264" s="39">
        <v>251</v>
      </c>
      <c r="CA264" s="39" t="str">
        <f t="shared" si="143"/>
        <v/>
      </c>
      <c r="CB264" s="39"/>
      <c r="CC264" s="39"/>
      <c r="CD264" s="39"/>
      <c r="CE264" s="39"/>
      <c r="CF264" s="39"/>
      <c r="CG264" s="39"/>
      <c r="CH264" s="39"/>
      <c r="CI264" s="39"/>
      <c r="CJ264" s="39"/>
      <c r="CK264" s="39"/>
    </row>
    <row r="265" spans="1:89" s="193" customFormat="1">
      <c r="A265" s="195"/>
      <c r="B265" s="21" t="str">
        <f t="shared" si="113"/>
        <v>N/A</v>
      </c>
      <c r="C265" s="21"/>
      <c r="D265" s="432">
        <v>3201504</v>
      </c>
      <c r="E265" s="439" t="s">
        <v>3626</v>
      </c>
      <c r="F265" s="439"/>
      <c r="G265" s="273" t="s">
        <v>4265</v>
      </c>
      <c r="H265" s="358"/>
      <c r="I265" s="262" t="s">
        <v>3492</v>
      </c>
      <c r="J265" s="262"/>
      <c r="K265" s="263">
        <v>36000</v>
      </c>
      <c r="L265" s="263">
        <v>36000</v>
      </c>
      <c r="M265" s="263">
        <v>0</v>
      </c>
      <c r="N265" s="263">
        <v>0</v>
      </c>
      <c r="O265" s="263">
        <v>0</v>
      </c>
      <c r="P265" s="263">
        <v>0</v>
      </c>
      <c r="Q265" s="263">
        <v>0</v>
      </c>
      <c r="R265" s="263">
        <v>0</v>
      </c>
      <c r="S265" s="263">
        <v>0</v>
      </c>
      <c r="T265" s="263">
        <v>0</v>
      </c>
      <c r="U265" s="263">
        <f t="shared" si="144"/>
        <v>72000</v>
      </c>
      <c r="V265" s="196" t="str">
        <f t="shared" si="114"/>
        <v>LOS</v>
      </c>
      <c r="W265" s="196" t="s">
        <v>1168</v>
      </c>
      <c r="X265" s="196" t="str">
        <f t="shared" si="145"/>
        <v>N</v>
      </c>
      <c r="Y265" s="197">
        <f t="shared" si="115"/>
        <v>72000</v>
      </c>
      <c r="Z265" s="198"/>
      <c r="AA265" s="197">
        <f t="shared" si="116"/>
        <v>72000</v>
      </c>
      <c r="AB265" s="196" t="s">
        <v>1168</v>
      </c>
      <c r="AC265" s="196"/>
      <c r="AD265" s="275">
        <v>0</v>
      </c>
      <c r="AE265" s="275">
        <v>1</v>
      </c>
      <c r="AF265" s="275">
        <v>0</v>
      </c>
      <c r="AG265" s="442">
        <v>0</v>
      </c>
      <c r="AH265" s="442">
        <v>0</v>
      </c>
      <c r="AI265" s="200">
        <f t="shared" si="117"/>
        <v>0</v>
      </c>
      <c r="AJ265" s="203"/>
      <c r="AK265" s="203"/>
      <c r="AL265" s="197"/>
      <c r="AM265" s="197"/>
      <c r="AN265" s="197"/>
      <c r="AO265" s="202"/>
      <c r="AP265" s="161" t="s">
        <v>3900</v>
      </c>
      <c r="AQ265" s="279"/>
      <c r="AR265" s="287">
        <f t="shared" si="121"/>
        <v>0</v>
      </c>
      <c r="AS265" s="287">
        <f t="shared" si="122"/>
        <v>0</v>
      </c>
      <c r="AT265" s="287">
        <f t="shared" si="123"/>
        <v>0</v>
      </c>
      <c r="AU265" s="287">
        <f t="shared" si="124"/>
        <v>0</v>
      </c>
      <c r="AV265" s="287">
        <f t="shared" si="125"/>
        <v>0</v>
      </c>
      <c r="AW265" s="287">
        <f t="shared" si="126"/>
        <v>0</v>
      </c>
      <c r="AX265" s="287">
        <f t="shared" si="127"/>
        <v>0</v>
      </c>
      <c r="AY265" s="287">
        <f t="shared" si="128"/>
        <v>0</v>
      </c>
      <c r="AZ265" s="287">
        <f t="shared" si="129"/>
        <v>0</v>
      </c>
      <c r="BA265" s="287">
        <f t="shared" si="130"/>
        <v>0</v>
      </c>
      <c r="BB265" s="16"/>
      <c r="BC265" s="287">
        <f t="shared" si="131"/>
        <v>0</v>
      </c>
      <c r="BD265" s="287">
        <f t="shared" si="132"/>
        <v>0</v>
      </c>
      <c r="BE265" s="287">
        <f t="shared" si="133"/>
        <v>0</v>
      </c>
      <c r="BF265" s="287">
        <f t="shared" si="134"/>
        <v>0</v>
      </c>
      <c r="BG265" s="287">
        <f t="shared" si="135"/>
        <v>0</v>
      </c>
      <c r="BH265" s="287">
        <f t="shared" si="136"/>
        <v>0</v>
      </c>
      <c r="BI265" s="287">
        <f t="shared" si="137"/>
        <v>0</v>
      </c>
      <c r="BJ265" s="287">
        <f t="shared" si="138"/>
        <v>0</v>
      </c>
      <c r="BK265" s="287">
        <f t="shared" si="139"/>
        <v>0</v>
      </c>
      <c r="BL265" s="287">
        <f t="shared" si="140"/>
        <v>0</v>
      </c>
      <c r="BM265" s="16"/>
      <c r="BN265" s="287">
        <f t="shared" si="141"/>
        <v>0</v>
      </c>
      <c r="BO265" s="287">
        <f t="shared" si="142"/>
        <v>0</v>
      </c>
      <c r="BP265" s="432"/>
      <c r="BQ265" s="21"/>
      <c r="BR265" s="21"/>
      <c r="BS265" s="39"/>
      <c r="BT265" s="334">
        <f>+BN265+BO265</f>
        <v>0</v>
      </c>
      <c r="BU265" s="334">
        <f>+AM265</f>
        <v>0</v>
      </c>
      <c r="BV265" s="334">
        <f>+AN265</f>
        <v>0</v>
      </c>
      <c r="BW265" s="334">
        <f>+BT265-BU265-BV265</f>
        <v>0</v>
      </c>
      <c r="BX265" s="39"/>
      <c r="BY265" s="39"/>
      <c r="BZ265" s="39">
        <v>252</v>
      </c>
      <c r="CA265" s="39" t="str">
        <f t="shared" si="143"/>
        <v/>
      </c>
      <c r="CB265" s="39"/>
      <c r="CC265" s="39"/>
      <c r="CD265" s="39"/>
      <c r="CE265" s="39"/>
      <c r="CF265" s="39"/>
      <c r="CG265" s="39"/>
      <c r="CH265" s="39"/>
      <c r="CI265" s="39"/>
      <c r="CJ265" s="39"/>
      <c r="CK265" s="39"/>
    </row>
    <row r="266" spans="1:89" s="193" customFormat="1">
      <c r="A266" s="195"/>
      <c r="B266" s="21" t="str">
        <f t="shared" si="113"/>
        <v>N/A</v>
      </c>
      <c r="C266" s="21"/>
      <c r="D266" s="432">
        <v>3201506</v>
      </c>
      <c r="E266" s="439" t="s">
        <v>3626</v>
      </c>
      <c r="F266" s="439" t="s">
        <v>3826</v>
      </c>
      <c r="G266" s="273" t="s">
        <v>3372</v>
      </c>
      <c r="H266" s="358"/>
      <c r="I266" s="262" t="s">
        <v>3491</v>
      </c>
      <c r="J266" s="262" t="s">
        <v>3504</v>
      </c>
      <c r="K266" s="263">
        <v>289316.03999999998</v>
      </c>
      <c r="L266" s="263">
        <v>165079</v>
      </c>
      <c r="M266" s="263">
        <v>171052</v>
      </c>
      <c r="N266" s="263">
        <v>177333</v>
      </c>
      <c r="O266" s="263">
        <v>184026</v>
      </c>
      <c r="P266" s="263">
        <v>191161</v>
      </c>
      <c r="Q266" s="263">
        <v>198714</v>
      </c>
      <c r="R266" s="263">
        <v>202688.28</v>
      </c>
      <c r="S266" s="263">
        <v>206742.05</v>
      </c>
      <c r="T266" s="263">
        <v>210876.89</v>
      </c>
      <c r="U266" s="263">
        <f t="shared" si="144"/>
        <v>1996988.2600000002</v>
      </c>
      <c r="V266" s="196" t="str">
        <f t="shared" si="114"/>
        <v>LOS</v>
      </c>
      <c r="W266" s="196" t="s">
        <v>1168</v>
      </c>
      <c r="X266" s="196" t="str">
        <f t="shared" si="145"/>
        <v>N</v>
      </c>
      <c r="Y266" s="197">
        <f t="shared" si="115"/>
        <v>1996988.2600000002</v>
      </c>
      <c r="Z266" s="198"/>
      <c r="AA266" s="197">
        <f t="shared" si="116"/>
        <v>1996988.2600000002</v>
      </c>
      <c r="AB266" s="196"/>
      <c r="AC266" s="196"/>
      <c r="AD266" s="275">
        <v>0</v>
      </c>
      <c r="AE266" s="275">
        <v>1</v>
      </c>
      <c r="AF266" s="275">
        <v>0</v>
      </c>
      <c r="AG266" s="442"/>
      <c r="AH266" s="442"/>
      <c r="AI266" s="200">
        <f t="shared" si="117"/>
        <v>0</v>
      </c>
      <c r="AJ266" s="203"/>
      <c r="AK266" s="203"/>
      <c r="AL266" s="197">
        <f t="shared" ref="AL266:AL329" si="146">(100%-AI266)*AA266</f>
        <v>1996988.2600000002</v>
      </c>
      <c r="AM266" s="197">
        <f t="shared" ref="AM266:AM329" si="147">AA266*AI266*AJ266</f>
        <v>0</v>
      </c>
      <c r="AN266" s="197">
        <f t="shared" ref="AN266:AN329" si="148">AA266*AI266*AK266</f>
        <v>0</v>
      </c>
      <c r="AO266" s="202"/>
      <c r="AP266" s="161" t="s">
        <v>3900</v>
      </c>
      <c r="AQ266" s="279"/>
      <c r="AR266" s="287">
        <f t="shared" si="121"/>
        <v>0</v>
      </c>
      <c r="AS266" s="287">
        <f t="shared" si="122"/>
        <v>0</v>
      </c>
      <c r="AT266" s="287">
        <f t="shared" si="123"/>
        <v>0</v>
      </c>
      <c r="AU266" s="287">
        <f t="shared" si="124"/>
        <v>0</v>
      </c>
      <c r="AV266" s="287">
        <f t="shared" si="125"/>
        <v>0</v>
      </c>
      <c r="AW266" s="287">
        <f t="shared" si="126"/>
        <v>0</v>
      </c>
      <c r="AX266" s="287">
        <f t="shared" si="127"/>
        <v>0</v>
      </c>
      <c r="AY266" s="287">
        <f t="shared" si="128"/>
        <v>0</v>
      </c>
      <c r="AZ266" s="287">
        <f t="shared" si="129"/>
        <v>0</v>
      </c>
      <c r="BA266" s="287">
        <f t="shared" si="130"/>
        <v>0</v>
      </c>
      <c r="BB266" s="16"/>
      <c r="BC266" s="287">
        <f t="shared" si="131"/>
        <v>0</v>
      </c>
      <c r="BD266" s="287">
        <f t="shared" si="132"/>
        <v>0</v>
      </c>
      <c r="BE266" s="287">
        <f t="shared" si="133"/>
        <v>0</v>
      </c>
      <c r="BF266" s="287">
        <f t="shared" si="134"/>
        <v>0</v>
      </c>
      <c r="BG266" s="287">
        <f t="shared" si="135"/>
        <v>0</v>
      </c>
      <c r="BH266" s="287">
        <f t="shared" si="136"/>
        <v>0</v>
      </c>
      <c r="BI266" s="287">
        <f t="shared" si="137"/>
        <v>0</v>
      </c>
      <c r="BJ266" s="287">
        <f t="shared" si="138"/>
        <v>0</v>
      </c>
      <c r="BK266" s="287">
        <f t="shared" si="139"/>
        <v>0</v>
      </c>
      <c r="BL266" s="287">
        <f t="shared" si="140"/>
        <v>0</v>
      </c>
      <c r="BM266" s="16"/>
      <c r="BN266" s="287">
        <f t="shared" si="141"/>
        <v>0</v>
      </c>
      <c r="BO266" s="287">
        <f t="shared" si="142"/>
        <v>0</v>
      </c>
      <c r="BP266" s="432"/>
      <c r="BQ266" s="21"/>
      <c r="BR266" s="21"/>
      <c r="BS266" s="39"/>
      <c r="BT266" s="39"/>
      <c r="BU266" s="39"/>
      <c r="BV266" s="39"/>
      <c r="BW266" s="39"/>
      <c r="BX266" s="39"/>
      <c r="BY266" s="39"/>
      <c r="BZ266" s="39">
        <v>253</v>
      </c>
      <c r="CA266" s="39" t="str">
        <f t="shared" si="143"/>
        <v/>
      </c>
      <c r="CB266" s="39"/>
      <c r="CC266" s="39"/>
      <c r="CD266" s="39"/>
      <c r="CE266" s="39"/>
      <c r="CF266" s="39"/>
      <c r="CG266" s="39"/>
      <c r="CH266" s="39"/>
      <c r="CI266" s="39"/>
      <c r="CJ266" s="39"/>
      <c r="CK266" s="39"/>
    </row>
    <row r="267" spans="1:89" s="193" customFormat="1">
      <c r="A267" s="195"/>
      <c r="B267" s="21" t="str">
        <f t="shared" si="113"/>
        <v>N/A</v>
      </c>
      <c r="C267" s="21"/>
      <c r="D267" s="432">
        <v>3201507</v>
      </c>
      <c r="E267" s="439" t="s">
        <v>3626</v>
      </c>
      <c r="F267" s="439" t="s">
        <v>3827</v>
      </c>
      <c r="G267" s="273" t="s">
        <v>3251</v>
      </c>
      <c r="H267" s="358"/>
      <c r="I267" s="262" t="s">
        <v>3491</v>
      </c>
      <c r="J267" s="262" t="s">
        <v>3504</v>
      </c>
      <c r="K267" s="263">
        <v>11700000</v>
      </c>
      <c r="L267" s="263">
        <v>170507</v>
      </c>
      <c r="M267" s="263">
        <v>176700</v>
      </c>
      <c r="N267" s="263">
        <v>183296</v>
      </c>
      <c r="O267" s="263">
        <v>190325</v>
      </c>
      <c r="P267" s="263">
        <v>197815</v>
      </c>
      <c r="Q267" s="263">
        <v>205803</v>
      </c>
      <c r="R267" s="263">
        <v>209919.06</v>
      </c>
      <c r="S267" s="263">
        <v>214117.44</v>
      </c>
      <c r="T267" s="263">
        <v>218399.79</v>
      </c>
      <c r="U267" s="263">
        <f t="shared" si="144"/>
        <v>13466882.289999999</v>
      </c>
      <c r="V267" s="196" t="str">
        <f t="shared" si="114"/>
        <v>LOS</v>
      </c>
      <c r="W267" s="196" t="s">
        <v>1168</v>
      </c>
      <c r="X267" s="196" t="str">
        <f t="shared" si="145"/>
        <v>N</v>
      </c>
      <c r="Y267" s="197">
        <f t="shared" si="115"/>
        <v>13466882.289999999</v>
      </c>
      <c r="Z267" s="198"/>
      <c r="AA267" s="197">
        <f t="shared" si="116"/>
        <v>13466882.289999999</v>
      </c>
      <c r="AB267" s="196"/>
      <c r="AC267" s="196"/>
      <c r="AD267" s="275">
        <v>0</v>
      </c>
      <c r="AE267" s="275">
        <v>1</v>
      </c>
      <c r="AF267" s="275">
        <v>0</v>
      </c>
      <c r="AG267" s="442"/>
      <c r="AH267" s="442"/>
      <c r="AI267" s="200">
        <f t="shared" si="117"/>
        <v>0</v>
      </c>
      <c r="AJ267" s="203"/>
      <c r="AK267" s="203"/>
      <c r="AL267" s="197">
        <f t="shared" si="146"/>
        <v>13466882.289999999</v>
      </c>
      <c r="AM267" s="197">
        <f t="shared" si="147"/>
        <v>0</v>
      </c>
      <c r="AN267" s="197">
        <f t="shared" si="148"/>
        <v>0</v>
      </c>
      <c r="AO267" s="202"/>
      <c r="AP267" s="161" t="s">
        <v>3900</v>
      </c>
      <c r="AQ267" s="279"/>
      <c r="AR267" s="287">
        <f t="shared" si="121"/>
        <v>0</v>
      </c>
      <c r="AS267" s="287">
        <f t="shared" si="122"/>
        <v>0</v>
      </c>
      <c r="AT267" s="287">
        <f t="shared" si="123"/>
        <v>0</v>
      </c>
      <c r="AU267" s="287">
        <f t="shared" si="124"/>
        <v>0</v>
      </c>
      <c r="AV267" s="287">
        <f t="shared" si="125"/>
        <v>0</v>
      </c>
      <c r="AW267" s="287">
        <f t="shared" si="126"/>
        <v>0</v>
      </c>
      <c r="AX267" s="287">
        <f t="shared" si="127"/>
        <v>0</v>
      </c>
      <c r="AY267" s="287">
        <f t="shared" si="128"/>
        <v>0</v>
      </c>
      <c r="AZ267" s="287">
        <f t="shared" si="129"/>
        <v>0</v>
      </c>
      <c r="BA267" s="287">
        <f t="shared" si="130"/>
        <v>0</v>
      </c>
      <c r="BB267" s="16"/>
      <c r="BC267" s="287">
        <f t="shared" si="131"/>
        <v>0</v>
      </c>
      <c r="BD267" s="287">
        <f t="shared" si="132"/>
        <v>0</v>
      </c>
      <c r="BE267" s="287">
        <f t="shared" si="133"/>
        <v>0</v>
      </c>
      <c r="BF267" s="287">
        <f t="shared" si="134"/>
        <v>0</v>
      </c>
      <c r="BG267" s="287">
        <f t="shared" si="135"/>
        <v>0</v>
      </c>
      <c r="BH267" s="287">
        <f t="shared" si="136"/>
        <v>0</v>
      </c>
      <c r="BI267" s="287">
        <f t="shared" si="137"/>
        <v>0</v>
      </c>
      <c r="BJ267" s="287">
        <f t="shared" si="138"/>
        <v>0</v>
      </c>
      <c r="BK267" s="287">
        <f t="shared" si="139"/>
        <v>0</v>
      </c>
      <c r="BL267" s="287">
        <f t="shared" si="140"/>
        <v>0</v>
      </c>
      <c r="BM267" s="16"/>
      <c r="BN267" s="287">
        <f t="shared" si="141"/>
        <v>0</v>
      </c>
      <c r="BO267" s="287">
        <f t="shared" si="142"/>
        <v>0</v>
      </c>
      <c r="BP267" s="432"/>
      <c r="BQ267" s="21"/>
      <c r="BR267" s="21"/>
      <c r="BS267" s="39"/>
      <c r="BT267" s="39"/>
      <c r="BU267" s="39"/>
      <c r="BV267" s="39"/>
      <c r="BW267" s="39"/>
      <c r="BX267" s="39"/>
      <c r="BY267" s="39"/>
      <c r="BZ267" s="39">
        <v>254</v>
      </c>
      <c r="CA267" s="39" t="str">
        <f t="shared" si="143"/>
        <v/>
      </c>
      <c r="CB267" s="39"/>
      <c r="CC267" s="39"/>
      <c r="CD267" s="39"/>
      <c r="CE267" s="39"/>
      <c r="CF267" s="39"/>
      <c r="CG267" s="39"/>
      <c r="CH267" s="39"/>
      <c r="CI267" s="39"/>
      <c r="CJ267" s="39"/>
      <c r="CK267" s="39"/>
    </row>
    <row r="268" spans="1:89" s="193" customFormat="1">
      <c r="A268" s="195"/>
      <c r="B268" s="21" t="str">
        <f t="shared" si="113"/>
        <v>N/A</v>
      </c>
      <c r="C268" s="21"/>
      <c r="D268" s="432">
        <v>3201508</v>
      </c>
      <c r="E268" s="439" t="s">
        <v>3626</v>
      </c>
      <c r="F268" s="439" t="s">
        <v>3828</v>
      </c>
      <c r="G268" s="273" t="s">
        <v>3352</v>
      </c>
      <c r="H268" s="358"/>
      <c r="I268" s="262" t="s">
        <v>3491</v>
      </c>
      <c r="J268" s="262" t="s">
        <v>3504</v>
      </c>
      <c r="K268" s="263">
        <v>443633.04</v>
      </c>
      <c r="L268" s="263">
        <v>457688</v>
      </c>
      <c r="M268" s="263">
        <v>472165</v>
      </c>
      <c r="N268" s="263">
        <v>487623</v>
      </c>
      <c r="O268" s="263">
        <v>504105</v>
      </c>
      <c r="P268" s="263">
        <v>521675</v>
      </c>
      <c r="Q268" s="263">
        <v>540389</v>
      </c>
      <c r="R268" s="263">
        <v>551196.78</v>
      </c>
      <c r="S268" s="263">
        <v>562220.72</v>
      </c>
      <c r="T268" s="263">
        <v>573465.13</v>
      </c>
      <c r="U268" s="263">
        <f t="shared" si="144"/>
        <v>5114160.67</v>
      </c>
      <c r="V268" s="196" t="str">
        <f t="shared" si="114"/>
        <v>LOS</v>
      </c>
      <c r="W268" s="196" t="s">
        <v>1168</v>
      </c>
      <c r="X268" s="196" t="str">
        <f t="shared" si="145"/>
        <v>N</v>
      </c>
      <c r="Y268" s="197">
        <f t="shared" si="115"/>
        <v>5114160.67</v>
      </c>
      <c r="Z268" s="198"/>
      <c r="AA268" s="197">
        <f t="shared" si="116"/>
        <v>5114160.67</v>
      </c>
      <c r="AB268" s="196"/>
      <c r="AC268" s="196"/>
      <c r="AD268" s="275">
        <v>0</v>
      </c>
      <c r="AE268" s="275">
        <v>1</v>
      </c>
      <c r="AF268" s="275">
        <v>0</v>
      </c>
      <c r="AG268" s="442"/>
      <c r="AH268" s="442"/>
      <c r="AI268" s="200">
        <f t="shared" si="117"/>
        <v>0</v>
      </c>
      <c r="AJ268" s="203"/>
      <c r="AK268" s="203"/>
      <c r="AL268" s="197">
        <f t="shared" si="146"/>
        <v>5114160.67</v>
      </c>
      <c r="AM268" s="197">
        <f t="shared" si="147"/>
        <v>0</v>
      </c>
      <c r="AN268" s="197">
        <f t="shared" si="148"/>
        <v>0</v>
      </c>
      <c r="AO268" s="202"/>
      <c r="AP268" s="161" t="s">
        <v>3900</v>
      </c>
      <c r="AQ268" s="279"/>
      <c r="AR268" s="287">
        <f t="shared" si="121"/>
        <v>0</v>
      </c>
      <c r="AS268" s="287">
        <f t="shared" si="122"/>
        <v>0</v>
      </c>
      <c r="AT268" s="287">
        <f t="shared" si="123"/>
        <v>0</v>
      </c>
      <c r="AU268" s="287">
        <f t="shared" si="124"/>
        <v>0</v>
      </c>
      <c r="AV268" s="287">
        <f t="shared" si="125"/>
        <v>0</v>
      </c>
      <c r="AW268" s="287">
        <f t="shared" si="126"/>
        <v>0</v>
      </c>
      <c r="AX268" s="287">
        <f t="shared" si="127"/>
        <v>0</v>
      </c>
      <c r="AY268" s="287">
        <f t="shared" si="128"/>
        <v>0</v>
      </c>
      <c r="AZ268" s="287">
        <f t="shared" si="129"/>
        <v>0</v>
      </c>
      <c r="BA268" s="287">
        <f t="shared" si="130"/>
        <v>0</v>
      </c>
      <c r="BB268" s="16"/>
      <c r="BC268" s="287">
        <f t="shared" si="131"/>
        <v>0</v>
      </c>
      <c r="BD268" s="287">
        <f t="shared" si="132"/>
        <v>0</v>
      </c>
      <c r="BE268" s="287">
        <f t="shared" si="133"/>
        <v>0</v>
      </c>
      <c r="BF268" s="287">
        <f t="shared" si="134"/>
        <v>0</v>
      </c>
      <c r="BG268" s="287">
        <f t="shared" si="135"/>
        <v>0</v>
      </c>
      <c r="BH268" s="287">
        <f t="shared" si="136"/>
        <v>0</v>
      </c>
      <c r="BI268" s="287">
        <f t="shared" si="137"/>
        <v>0</v>
      </c>
      <c r="BJ268" s="287">
        <f t="shared" si="138"/>
        <v>0</v>
      </c>
      <c r="BK268" s="287">
        <f t="shared" si="139"/>
        <v>0</v>
      </c>
      <c r="BL268" s="287">
        <f t="shared" si="140"/>
        <v>0</v>
      </c>
      <c r="BM268" s="16"/>
      <c r="BN268" s="287">
        <f t="shared" si="141"/>
        <v>0</v>
      </c>
      <c r="BO268" s="287">
        <f t="shared" si="142"/>
        <v>0</v>
      </c>
      <c r="BP268" s="432"/>
      <c r="BQ268" s="21"/>
      <c r="BR268" s="21"/>
      <c r="BS268" s="39"/>
      <c r="BT268" s="39"/>
      <c r="BU268" s="39"/>
      <c r="BV268" s="39"/>
      <c r="BW268" s="39"/>
      <c r="BX268" s="39"/>
      <c r="BY268" s="39"/>
      <c r="BZ268" s="39">
        <v>255</v>
      </c>
      <c r="CA268" s="39" t="str">
        <f t="shared" si="143"/>
        <v/>
      </c>
      <c r="CB268" s="39"/>
      <c r="CC268" s="39"/>
      <c r="CD268" s="39"/>
      <c r="CE268" s="39"/>
      <c r="CF268" s="39"/>
      <c r="CG268" s="39"/>
      <c r="CH268" s="39"/>
      <c r="CI268" s="39"/>
      <c r="CJ268" s="39"/>
      <c r="CK268" s="39"/>
    </row>
    <row r="269" spans="1:89" s="193" customFormat="1">
      <c r="A269" s="195"/>
      <c r="B269" s="21" t="str">
        <f t="shared" si="113"/>
        <v>N/A</v>
      </c>
      <c r="C269" s="21"/>
      <c r="D269" s="432">
        <v>3201509</v>
      </c>
      <c r="E269" s="439" t="s">
        <v>3626</v>
      </c>
      <c r="F269" s="439" t="s">
        <v>3829</v>
      </c>
      <c r="G269" s="273" t="s">
        <v>3334</v>
      </c>
      <c r="H269" s="358"/>
      <c r="I269" s="262" t="s">
        <v>3491</v>
      </c>
      <c r="J269" s="262" t="s">
        <v>3504</v>
      </c>
      <c r="K269" s="263">
        <v>1216802.04</v>
      </c>
      <c r="L269" s="263">
        <v>702201</v>
      </c>
      <c r="M269" s="263">
        <v>716947</v>
      </c>
      <c r="N269" s="263">
        <v>732720</v>
      </c>
      <c r="O269" s="263">
        <v>749572</v>
      </c>
      <c r="P269" s="263">
        <v>767562</v>
      </c>
      <c r="Q269" s="263">
        <v>786751</v>
      </c>
      <c r="R269" s="263">
        <v>802486.02</v>
      </c>
      <c r="S269" s="263">
        <v>818535.74</v>
      </c>
      <c r="T269" s="263">
        <v>834906.46</v>
      </c>
      <c r="U269" s="263">
        <f t="shared" si="144"/>
        <v>8128483.2600000007</v>
      </c>
      <c r="V269" s="196" t="str">
        <f t="shared" si="114"/>
        <v>LOS</v>
      </c>
      <c r="W269" s="196" t="s">
        <v>1168</v>
      </c>
      <c r="X269" s="196" t="str">
        <f t="shared" si="145"/>
        <v>N</v>
      </c>
      <c r="Y269" s="197">
        <f t="shared" si="115"/>
        <v>8128483.2600000007</v>
      </c>
      <c r="Z269" s="198"/>
      <c r="AA269" s="197">
        <f t="shared" si="116"/>
        <v>8128483.2600000007</v>
      </c>
      <c r="AB269" s="196"/>
      <c r="AC269" s="196"/>
      <c r="AD269" s="275">
        <v>0</v>
      </c>
      <c r="AE269" s="275">
        <v>1</v>
      </c>
      <c r="AF269" s="275">
        <v>0</v>
      </c>
      <c r="AG269" s="442"/>
      <c r="AH269" s="442"/>
      <c r="AI269" s="200">
        <f t="shared" si="117"/>
        <v>0</v>
      </c>
      <c r="AJ269" s="203"/>
      <c r="AK269" s="203"/>
      <c r="AL269" s="197">
        <f t="shared" si="146"/>
        <v>8128483.2600000007</v>
      </c>
      <c r="AM269" s="197">
        <f t="shared" si="147"/>
        <v>0</v>
      </c>
      <c r="AN269" s="197">
        <f t="shared" si="148"/>
        <v>0</v>
      </c>
      <c r="AO269" s="202"/>
      <c r="AP269" s="161" t="s">
        <v>3900</v>
      </c>
      <c r="AQ269" s="279"/>
      <c r="AR269" s="287">
        <f t="shared" si="121"/>
        <v>0</v>
      </c>
      <c r="AS269" s="287">
        <f t="shared" si="122"/>
        <v>0</v>
      </c>
      <c r="AT269" s="287">
        <f t="shared" si="123"/>
        <v>0</v>
      </c>
      <c r="AU269" s="287">
        <f t="shared" si="124"/>
        <v>0</v>
      </c>
      <c r="AV269" s="287">
        <f t="shared" si="125"/>
        <v>0</v>
      </c>
      <c r="AW269" s="287">
        <f t="shared" si="126"/>
        <v>0</v>
      </c>
      <c r="AX269" s="287">
        <f t="shared" si="127"/>
        <v>0</v>
      </c>
      <c r="AY269" s="287">
        <f t="shared" si="128"/>
        <v>0</v>
      </c>
      <c r="AZ269" s="287">
        <f t="shared" si="129"/>
        <v>0</v>
      </c>
      <c r="BA269" s="287">
        <f t="shared" si="130"/>
        <v>0</v>
      </c>
      <c r="BB269" s="16"/>
      <c r="BC269" s="287">
        <f t="shared" si="131"/>
        <v>0</v>
      </c>
      <c r="BD269" s="287">
        <f t="shared" si="132"/>
        <v>0</v>
      </c>
      <c r="BE269" s="287">
        <f t="shared" si="133"/>
        <v>0</v>
      </c>
      <c r="BF269" s="287">
        <f t="shared" si="134"/>
        <v>0</v>
      </c>
      <c r="BG269" s="287">
        <f t="shared" si="135"/>
        <v>0</v>
      </c>
      <c r="BH269" s="287">
        <f t="shared" si="136"/>
        <v>0</v>
      </c>
      <c r="BI269" s="287">
        <f t="shared" si="137"/>
        <v>0</v>
      </c>
      <c r="BJ269" s="287">
        <f t="shared" si="138"/>
        <v>0</v>
      </c>
      <c r="BK269" s="287">
        <f t="shared" si="139"/>
        <v>0</v>
      </c>
      <c r="BL269" s="287">
        <f t="shared" si="140"/>
        <v>0</v>
      </c>
      <c r="BM269" s="16"/>
      <c r="BN269" s="287">
        <f t="shared" si="141"/>
        <v>0</v>
      </c>
      <c r="BO269" s="287">
        <f t="shared" si="142"/>
        <v>0</v>
      </c>
      <c r="BP269" s="432"/>
      <c r="BQ269" s="21"/>
      <c r="BR269" s="21"/>
      <c r="BS269" s="39"/>
      <c r="BT269" s="39"/>
      <c r="BU269" s="39"/>
      <c r="BV269" s="39"/>
      <c r="BW269" s="39"/>
      <c r="BX269" s="39"/>
      <c r="BY269" s="39"/>
      <c r="BZ269" s="39">
        <v>256</v>
      </c>
      <c r="CA269" s="39" t="str">
        <f t="shared" si="143"/>
        <v/>
      </c>
      <c r="CB269" s="39"/>
      <c r="CC269" s="39"/>
      <c r="CD269" s="39"/>
      <c r="CE269" s="39"/>
      <c r="CF269" s="39"/>
      <c r="CG269" s="39"/>
      <c r="CH269" s="39"/>
      <c r="CI269" s="39"/>
      <c r="CJ269" s="39"/>
      <c r="CK269" s="39"/>
    </row>
    <row r="270" spans="1:89" s="193" customFormat="1">
      <c r="A270" s="195"/>
      <c r="B270" s="21" t="str">
        <f t="shared" ref="B270:B333" si="149">LEFT(AP270,3)</f>
        <v>N/A</v>
      </c>
      <c r="C270" s="21"/>
      <c r="D270" s="432">
        <v>3201511</v>
      </c>
      <c r="E270" s="439" t="s">
        <v>3626</v>
      </c>
      <c r="F270" s="439" t="s">
        <v>3830</v>
      </c>
      <c r="G270" s="273" t="s">
        <v>3230</v>
      </c>
      <c r="H270" s="358"/>
      <c r="I270" s="262" t="s">
        <v>3491</v>
      </c>
      <c r="J270" s="262" t="s">
        <v>3504</v>
      </c>
      <c r="K270" s="263">
        <v>20746839.960000001</v>
      </c>
      <c r="L270" s="263">
        <v>0</v>
      </c>
      <c r="M270" s="263">
        <v>0</v>
      </c>
      <c r="N270" s="263">
        <v>0</v>
      </c>
      <c r="O270" s="263">
        <v>0</v>
      </c>
      <c r="P270" s="263">
        <v>0</v>
      </c>
      <c r="Q270" s="263">
        <v>0</v>
      </c>
      <c r="R270" s="263">
        <v>0</v>
      </c>
      <c r="S270" s="263">
        <v>0</v>
      </c>
      <c r="T270" s="263">
        <v>0</v>
      </c>
      <c r="U270" s="263">
        <f t="shared" si="144"/>
        <v>20746839.960000001</v>
      </c>
      <c r="V270" s="196" t="str">
        <f t="shared" ref="V270:V333" si="150">IF(AND(AD270&gt;0,AE270&gt;0,AF270&gt;0),"G/LOS/R",IF(AND(AD270&gt;0,AE270&gt;0),"G/LOS",IF(AND(AD270&gt;0,AF270&gt;0),"G/R",IF(AND(AE270&gt;0,AF270&gt;0),"LOS/R",IF(AD270&gt;0,"G",IF(AE270&gt;0,"LOS",IF(AF270&gt;0,"R","CHECK")))))))</f>
        <v>LOS</v>
      </c>
      <c r="W270" s="196" t="s">
        <v>1168</v>
      </c>
      <c r="X270" s="196" t="str">
        <f t="shared" si="145"/>
        <v>N</v>
      </c>
      <c r="Y270" s="197">
        <f t="shared" ref="Y270:Y333" si="151">SUM(K270:T270)</f>
        <v>20746839.960000001</v>
      </c>
      <c r="Z270" s="198"/>
      <c r="AA270" s="197">
        <f t="shared" ref="AA270:AA333" si="152">Y270-Z270</f>
        <v>20746839.960000001</v>
      </c>
      <c r="AB270" s="196"/>
      <c r="AC270" s="196"/>
      <c r="AD270" s="275">
        <v>0</v>
      </c>
      <c r="AE270" s="275">
        <v>1</v>
      </c>
      <c r="AF270" s="275">
        <v>0</v>
      </c>
      <c r="AG270" s="442"/>
      <c r="AH270" s="442"/>
      <c r="AI270" s="200">
        <f t="shared" ref="AI270:AI333" si="153">(AG270+AH270)/2</f>
        <v>0</v>
      </c>
      <c r="AJ270" s="203"/>
      <c r="AK270" s="203"/>
      <c r="AL270" s="197">
        <f t="shared" si="146"/>
        <v>20746839.960000001</v>
      </c>
      <c r="AM270" s="197">
        <f t="shared" si="147"/>
        <v>0</v>
      </c>
      <c r="AN270" s="197">
        <f t="shared" si="148"/>
        <v>0</v>
      </c>
      <c r="AO270" s="202"/>
      <c r="AP270" s="161" t="s">
        <v>3900</v>
      </c>
      <c r="AQ270" s="279"/>
      <c r="AR270" s="287">
        <f t="shared" si="121"/>
        <v>0</v>
      </c>
      <c r="AS270" s="287">
        <f t="shared" si="122"/>
        <v>0</v>
      </c>
      <c r="AT270" s="287">
        <f t="shared" si="123"/>
        <v>0</v>
      </c>
      <c r="AU270" s="287">
        <f t="shared" si="124"/>
        <v>0</v>
      </c>
      <c r="AV270" s="287">
        <f t="shared" si="125"/>
        <v>0</v>
      </c>
      <c r="AW270" s="287">
        <f t="shared" si="126"/>
        <v>0</v>
      </c>
      <c r="AX270" s="287">
        <f t="shared" si="127"/>
        <v>0</v>
      </c>
      <c r="AY270" s="287">
        <f t="shared" si="128"/>
        <v>0</v>
      </c>
      <c r="AZ270" s="287">
        <f t="shared" si="129"/>
        <v>0</v>
      </c>
      <c r="BA270" s="287">
        <f t="shared" si="130"/>
        <v>0</v>
      </c>
      <c r="BB270" s="16"/>
      <c r="BC270" s="287">
        <f t="shared" si="131"/>
        <v>0</v>
      </c>
      <c r="BD270" s="287">
        <f t="shared" si="132"/>
        <v>0</v>
      </c>
      <c r="BE270" s="287">
        <f t="shared" si="133"/>
        <v>0</v>
      </c>
      <c r="BF270" s="287">
        <f t="shared" si="134"/>
        <v>0</v>
      </c>
      <c r="BG270" s="287">
        <f t="shared" si="135"/>
        <v>0</v>
      </c>
      <c r="BH270" s="287">
        <f t="shared" si="136"/>
        <v>0</v>
      </c>
      <c r="BI270" s="287">
        <f t="shared" si="137"/>
        <v>0</v>
      </c>
      <c r="BJ270" s="287">
        <f t="shared" si="138"/>
        <v>0</v>
      </c>
      <c r="BK270" s="287">
        <f t="shared" si="139"/>
        <v>0</v>
      </c>
      <c r="BL270" s="287">
        <f t="shared" si="140"/>
        <v>0</v>
      </c>
      <c r="BM270" s="16"/>
      <c r="BN270" s="287">
        <f t="shared" si="141"/>
        <v>0</v>
      </c>
      <c r="BO270" s="287">
        <f t="shared" si="142"/>
        <v>0</v>
      </c>
      <c r="BP270" s="432"/>
      <c r="BQ270" s="21"/>
      <c r="BR270" s="21"/>
      <c r="BS270" s="39"/>
      <c r="BT270" s="39"/>
      <c r="BU270" s="39"/>
      <c r="BV270" s="39"/>
      <c r="BW270" s="39"/>
      <c r="BX270" s="39"/>
      <c r="BY270" s="39"/>
      <c r="BZ270" s="39">
        <v>257</v>
      </c>
      <c r="CA270" s="39" t="str">
        <f t="shared" si="143"/>
        <v/>
      </c>
      <c r="CB270" s="39"/>
      <c r="CC270" s="39"/>
      <c r="CD270" s="39"/>
      <c r="CE270" s="39"/>
      <c r="CF270" s="39"/>
      <c r="CG270" s="39"/>
      <c r="CH270" s="39"/>
      <c r="CI270" s="39"/>
      <c r="CJ270" s="39"/>
      <c r="CK270" s="39"/>
    </row>
    <row r="271" spans="1:89" s="193" customFormat="1">
      <c r="A271" s="195"/>
      <c r="B271" s="21" t="str">
        <f t="shared" si="149"/>
        <v>N/A</v>
      </c>
      <c r="C271" s="21"/>
      <c r="D271" s="432">
        <v>3201513</v>
      </c>
      <c r="E271" s="439" t="s">
        <v>3626</v>
      </c>
      <c r="F271" s="439" t="s">
        <v>3831</v>
      </c>
      <c r="G271" s="273" t="s">
        <v>3374</v>
      </c>
      <c r="H271" s="517"/>
      <c r="I271" s="262" t="s">
        <v>3492</v>
      </c>
      <c r="J271" s="262" t="s">
        <v>3504</v>
      </c>
      <c r="K271" s="263">
        <v>261000</v>
      </c>
      <c r="L271" s="263">
        <v>99576</v>
      </c>
      <c r="M271" s="263">
        <v>200000</v>
      </c>
      <c r="N271" s="263">
        <v>1300000</v>
      </c>
      <c r="O271" s="263">
        <v>900000</v>
      </c>
      <c r="P271" s="263">
        <v>0</v>
      </c>
      <c r="Q271" s="263">
        <v>0</v>
      </c>
      <c r="R271" s="263">
        <v>0</v>
      </c>
      <c r="S271" s="263">
        <v>0</v>
      </c>
      <c r="T271" s="263">
        <v>0</v>
      </c>
      <c r="U271" s="263">
        <f t="shared" si="144"/>
        <v>2760576</v>
      </c>
      <c r="V271" s="196" t="str">
        <f t="shared" si="150"/>
        <v>R</v>
      </c>
      <c r="W271" s="196" t="s">
        <v>1168</v>
      </c>
      <c r="X271" s="196" t="str">
        <f t="shared" si="145"/>
        <v>N</v>
      </c>
      <c r="Y271" s="197">
        <f t="shared" si="151"/>
        <v>2760576</v>
      </c>
      <c r="Z271" s="198"/>
      <c r="AA271" s="197">
        <f t="shared" si="152"/>
        <v>2760576</v>
      </c>
      <c r="AB271" s="196"/>
      <c r="AC271" s="196"/>
      <c r="AD271" s="275">
        <v>0</v>
      </c>
      <c r="AE271" s="275">
        <v>0</v>
      </c>
      <c r="AF271" s="275">
        <v>1</v>
      </c>
      <c r="AG271" s="442"/>
      <c r="AH271" s="442"/>
      <c r="AI271" s="200">
        <f t="shared" si="153"/>
        <v>0</v>
      </c>
      <c r="AJ271" s="203"/>
      <c r="AK271" s="203"/>
      <c r="AL271" s="197">
        <f t="shared" si="146"/>
        <v>2760576</v>
      </c>
      <c r="AM271" s="197">
        <f t="shared" si="147"/>
        <v>0</v>
      </c>
      <c r="AN271" s="197">
        <f t="shared" si="148"/>
        <v>0</v>
      </c>
      <c r="AO271" s="202"/>
      <c r="AP271" s="161" t="s">
        <v>3900</v>
      </c>
      <c r="AQ271" s="279"/>
      <c r="AR271" s="287">
        <f t="shared" ref="AR271:AR334" si="154">K271*$AI271*$AJ271</f>
        <v>0</v>
      </c>
      <c r="AS271" s="287">
        <f t="shared" ref="AS271:AS334" si="155">L271*$AI271*$AJ271</f>
        <v>0</v>
      </c>
      <c r="AT271" s="287">
        <f t="shared" ref="AT271:AT334" si="156">M271*$AI271*$AJ271</f>
        <v>0</v>
      </c>
      <c r="AU271" s="287">
        <f t="shared" ref="AU271:AU334" si="157">N271*$AI271*$AJ271</f>
        <v>0</v>
      </c>
      <c r="AV271" s="287">
        <f t="shared" ref="AV271:AV334" si="158">O271*$AI271*$AJ271</f>
        <v>0</v>
      </c>
      <c r="AW271" s="287">
        <f t="shared" ref="AW271:AW334" si="159">P271*$AI271*$AJ271</f>
        <v>0</v>
      </c>
      <c r="AX271" s="287">
        <f t="shared" ref="AX271:AX334" si="160">Q271*$AI271*$AJ271</f>
        <v>0</v>
      </c>
      <c r="AY271" s="287">
        <f t="shared" ref="AY271:AY334" si="161">R271*$AI271*$AJ271</f>
        <v>0</v>
      </c>
      <c r="AZ271" s="287">
        <f t="shared" ref="AZ271:AZ334" si="162">S271*$AI271*$AJ271</f>
        <v>0</v>
      </c>
      <c r="BA271" s="287">
        <f t="shared" ref="BA271:BA334" si="163">T271*$AI271*$AJ271</f>
        <v>0</v>
      </c>
      <c r="BB271" s="16"/>
      <c r="BC271" s="287">
        <f t="shared" ref="BC271:BC334" si="164">K271*$AI271*$AK271</f>
        <v>0</v>
      </c>
      <c r="BD271" s="287">
        <f t="shared" ref="BD271:BD334" si="165">L271*$AI271*$AK271</f>
        <v>0</v>
      </c>
      <c r="BE271" s="287">
        <f t="shared" ref="BE271:BE334" si="166">M271*$AI271*$AK271</f>
        <v>0</v>
      </c>
      <c r="BF271" s="287">
        <f t="shared" ref="BF271:BF334" si="167">N271*$AI271*$AK271</f>
        <v>0</v>
      </c>
      <c r="BG271" s="287">
        <f t="shared" ref="BG271:BG334" si="168">O271*$AI271*$AK271</f>
        <v>0</v>
      </c>
      <c r="BH271" s="287">
        <f t="shared" ref="BH271:BH334" si="169">P271*$AI271*$AK271</f>
        <v>0</v>
      </c>
      <c r="BI271" s="287">
        <f t="shared" ref="BI271:BI334" si="170">Q271*$AI271*$AK271</f>
        <v>0</v>
      </c>
      <c r="BJ271" s="287">
        <f t="shared" ref="BJ271:BJ334" si="171">R271*$AI271*$AK271</f>
        <v>0</v>
      </c>
      <c r="BK271" s="287">
        <f t="shared" ref="BK271:BK334" si="172">S271*$AI271*$AK271</f>
        <v>0</v>
      </c>
      <c r="BL271" s="287">
        <f t="shared" ref="BL271:BL334" si="173">T271*$AI271*$AK271</f>
        <v>0</v>
      </c>
      <c r="BM271" s="16"/>
      <c r="BN271" s="287">
        <f t="shared" ref="BN271:BN334" si="174">SUM(AR271:BA271)</f>
        <v>0</v>
      </c>
      <c r="BO271" s="287">
        <f t="shared" ref="BO271:BO334" si="175">SUM(BC271:BL271)</f>
        <v>0</v>
      </c>
      <c r="BP271" s="432"/>
      <c r="BQ271" s="21"/>
      <c r="BR271" s="21"/>
      <c r="BS271" s="39"/>
      <c r="BT271" s="39"/>
      <c r="BU271" s="39"/>
      <c r="BV271" s="39"/>
      <c r="BW271" s="39"/>
      <c r="BX271" s="39"/>
      <c r="BY271" s="39"/>
      <c r="BZ271" s="39">
        <v>258</v>
      </c>
      <c r="CA271" s="39" t="str">
        <f t="shared" ref="CA271:CA334" si="176">IFERROR(ROUND(IF(AJ271=100%,2031,1/AJ271*10+2021),0),"")</f>
        <v/>
      </c>
      <c r="CB271" s="39"/>
      <c r="CC271" s="39"/>
      <c r="CD271" s="39"/>
      <c r="CE271" s="39"/>
      <c r="CF271" s="39"/>
      <c r="CG271" s="39"/>
      <c r="CH271" s="39"/>
      <c r="CI271" s="39"/>
      <c r="CJ271" s="39"/>
      <c r="CK271" s="39"/>
    </row>
    <row r="272" spans="1:89" s="193" customFormat="1">
      <c r="A272" s="195"/>
      <c r="B272" s="21" t="str">
        <f t="shared" si="149"/>
        <v>N/A</v>
      </c>
      <c r="C272" s="21"/>
      <c r="D272" s="432">
        <v>3201513</v>
      </c>
      <c r="E272" s="439" t="s">
        <v>3626</v>
      </c>
      <c r="F272" s="439" t="s">
        <v>3831</v>
      </c>
      <c r="G272" s="273" t="s">
        <v>3374</v>
      </c>
      <c r="H272" s="358"/>
      <c r="I272" s="262" t="s">
        <v>3497</v>
      </c>
      <c r="J272" s="262" t="s">
        <v>3504</v>
      </c>
      <c r="K272" s="263">
        <v>3035744.9999999995</v>
      </c>
      <c r="L272" s="263">
        <v>3096459.8999999994</v>
      </c>
      <c r="M272" s="263">
        <v>3158389.0979999993</v>
      </c>
      <c r="N272" s="263">
        <v>3907599.5590935112</v>
      </c>
      <c r="O272" s="263">
        <v>3985751.5502753817</v>
      </c>
      <c r="P272" s="263">
        <v>4065466.5812808895</v>
      </c>
      <c r="Q272" s="263">
        <v>2425187.9544789759</v>
      </c>
      <c r="R272" s="263">
        <v>2473691.7135685552</v>
      </c>
      <c r="S272" s="263">
        <v>2523165.5478399261</v>
      </c>
      <c r="T272" s="263">
        <v>2573628.858796725</v>
      </c>
      <c r="U272" s="263">
        <f t="shared" si="144"/>
        <v>31245085.763333961</v>
      </c>
      <c r="V272" s="196" t="str">
        <f t="shared" si="150"/>
        <v>R</v>
      </c>
      <c r="W272" s="196" t="s">
        <v>1168</v>
      </c>
      <c r="X272" s="196" t="str">
        <f t="shared" si="145"/>
        <v>N</v>
      </c>
      <c r="Y272" s="197">
        <f t="shared" si="151"/>
        <v>31245085.763333961</v>
      </c>
      <c r="Z272" s="198"/>
      <c r="AA272" s="197">
        <f t="shared" si="152"/>
        <v>31245085.763333961</v>
      </c>
      <c r="AB272" s="196"/>
      <c r="AC272" s="196"/>
      <c r="AD272" s="275">
        <v>0</v>
      </c>
      <c r="AE272" s="275">
        <v>0</v>
      </c>
      <c r="AF272" s="275">
        <v>1</v>
      </c>
      <c r="AG272" s="442"/>
      <c r="AH272" s="442"/>
      <c r="AI272" s="200">
        <f t="shared" si="153"/>
        <v>0</v>
      </c>
      <c r="AJ272" s="203"/>
      <c r="AK272" s="203"/>
      <c r="AL272" s="197">
        <f t="shared" si="146"/>
        <v>31245085.763333961</v>
      </c>
      <c r="AM272" s="197">
        <f t="shared" si="147"/>
        <v>0</v>
      </c>
      <c r="AN272" s="197">
        <f t="shared" si="148"/>
        <v>0</v>
      </c>
      <c r="AO272" s="202"/>
      <c r="AP272" s="161" t="s">
        <v>3900</v>
      </c>
      <c r="AQ272" s="279"/>
      <c r="AR272" s="287">
        <f t="shared" si="154"/>
        <v>0</v>
      </c>
      <c r="AS272" s="287">
        <f t="shared" si="155"/>
        <v>0</v>
      </c>
      <c r="AT272" s="287">
        <f t="shared" si="156"/>
        <v>0</v>
      </c>
      <c r="AU272" s="287">
        <f t="shared" si="157"/>
        <v>0</v>
      </c>
      <c r="AV272" s="287">
        <f t="shared" si="158"/>
        <v>0</v>
      </c>
      <c r="AW272" s="287">
        <f t="shared" si="159"/>
        <v>0</v>
      </c>
      <c r="AX272" s="287">
        <f t="shared" si="160"/>
        <v>0</v>
      </c>
      <c r="AY272" s="287">
        <f t="shared" si="161"/>
        <v>0</v>
      </c>
      <c r="AZ272" s="287">
        <f t="shared" si="162"/>
        <v>0</v>
      </c>
      <c r="BA272" s="287">
        <f t="shared" si="163"/>
        <v>0</v>
      </c>
      <c r="BB272" s="16"/>
      <c r="BC272" s="287">
        <f t="shared" si="164"/>
        <v>0</v>
      </c>
      <c r="BD272" s="287">
        <f t="shared" si="165"/>
        <v>0</v>
      </c>
      <c r="BE272" s="287">
        <f t="shared" si="166"/>
        <v>0</v>
      </c>
      <c r="BF272" s="287">
        <f t="shared" si="167"/>
        <v>0</v>
      </c>
      <c r="BG272" s="287">
        <f t="shared" si="168"/>
        <v>0</v>
      </c>
      <c r="BH272" s="287">
        <f t="shared" si="169"/>
        <v>0</v>
      </c>
      <c r="BI272" s="287">
        <f t="shared" si="170"/>
        <v>0</v>
      </c>
      <c r="BJ272" s="287">
        <f t="shared" si="171"/>
        <v>0</v>
      </c>
      <c r="BK272" s="287">
        <f t="shared" si="172"/>
        <v>0</v>
      </c>
      <c r="BL272" s="287">
        <f t="shared" si="173"/>
        <v>0</v>
      </c>
      <c r="BM272" s="16"/>
      <c r="BN272" s="287">
        <f t="shared" si="174"/>
        <v>0</v>
      </c>
      <c r="BO272" s="287">
        <f t="shared" si="175"/>
        <v>0</v>
      </c>
      <c r="BP272" s="432"/>
      <c r="BQ272" s="21"/>
      <c r="BR272" s="21"/>
      <c r="BS272" s="39"/>
      <c r="BT272" s="39"/>
      <c r="BU272" s="39"/>
      <c r="BV272" s="39"/>
      <c r="BW272" s="39"/>
      <c r="BX272" s="39"/>
      <c r="BY272" s="39"/>
      <c r="BZ272" s="39">
        <v>259</v>
      </c>
      <c r="CA272" s="39" t="str">
        <f t="shared" si="176"/>
        <v/>
      </c>
      <c r="CB272" s="39"/>
      <c r="CC272" s="39"/>
      <c r="CD272" s="39"/>
      <c r="CE272" s="39"/>
      <c r="CF272" s="39"/>
      <c r="CG272" s="39"/>
      <c r="CH272" s="39"/>
      <c r="CI272" s="39"/>
      <c r="CJ272" s="39"/>
      <c r="CK272" s="39"/>
    </row>
    <row r="273" spans="1:89" s="193" customFormat="1">
      <c r="A273" s="195"/>
      <c r="B273" s="21" t="str">
        <f t="shared" si="149"/>
        <v>N/A</v>
      </c>
      <c r="C273" s="21"/>
      <c r="D273" s="432">
        <v>3201514</v>
      </c>
      <c r="E273" s="439" t="s">
        <v>3626</v>
      </c>
      <c r="F273" s="439" t="s">
        <v>3832</v>
      </c>
      <c r="G273" s="273" t="s">
        <v>3424</v>
      </c>
      <c r="H273" s="358"/>
      <c r="I273" s="262" t="s">
        <v>3492</v>
      </c>
      <c r="J273" s="262" t="s">
        <v>3504</v>
      </c>
      <c r="K273" s="263">
        <v>0</v>
      </c>
      <c r="L273" s="263">
        <v>0</v>
      </c>
      <c r="M273" s="263">
        <v>0</v>
      </c>
      <c r="N273" s="263">
        <v>0</v>
      </c>
      <c r="O273" s="263">
        <v>0</v>
      </c>
      <c r="P273" s="263">
        <v>629760</v>
      </c>
      <c r="Q273" s="263">
        <v>0</v>
      </c>
      <c r="R273" s="263">
        <v>0</v>
      </c>
      <c r="S273" s="263">
        <v>0</v>
      </c>
      <c r="T273" s="263">
        <v>0</v>
      </c>
      <c r="U273" s="263">
        <f t="shared" si="144"/>
        <v>629760</v>
      </c>
      <c r="V273" s="196" t="str">
        <f t="shared" si="150"/>
        <v>LOS</v>
      </c>
      <c r="W273" s="196" t="s">
        <v>1168</v>
      </c>
      <c r="X273" s="196" t="str">
        <f t="shared" si="145"/>
        <v>N</v>
      </c>
      <c r="Y273" s="197">
        <f t="shared" si="151"/>
        <v>629760</v>
      </c>
      <c r="Z273" s="198"/>
      <c r="AA273" s="197">
        <f t="shared" si="152"/>
        <v>629760</v>
      </c>
      <c r="AB273" s="196"/>
      <c r="AC273" s="196"/>
      <c r="AD273" s="275">
        <v>0</v>
      </c>
      <c r="AE273" s="275">
        <v>1</v>
      </c>
      <c r="AF273" s="275">
        <v>0</v>
      </c>
      <c r="AG273" s="442"/>
      <c r="AH273" s="442"/>
      <c r="AI273" s="200">
        <f t="shared" si="153"/>
        <v>0</v>
      </c>
      <c r="AJ273" s="203"/>
      <c r="AK273" s="203"/>
      <c r="AL273" s="197">
        <f t="shared" si="146"/>
        <v>629760</v>
      </c>
      <c r="AM273" s="197">
        <f t="shared" si="147"/>
        <v>0</v>
      </c>
      <c r="AN273" s="197">
        <f t="shared" si="148"/>
        <v>0</v>
      </c>
      <c r="AO273" s="202"/>
      <c r="AP273" s="161" t="s">
        <v>3900</v>
      </c>
      <c r="AQ273" s="279"/>
      <c r="AR273" s="287">
        <f t="shared" si="154"/>
        <v>0</v>
      </c>
      <c r="AS273" s="287">
        <f t="shared" si="155"/>
        <v>0</v>
      </c>
      <c r="AT273" s="287">
        <f t="shared" si="156"/>
        <v>0</v>
      </c>
      <c r="AU273" s="287">
        <f t="shared" si="157"/>
        <v>0</v>
      </c>
      <c r="AV273" s="287">
        <f t="shared" si="158"/>
        <v>0</v>
      </c>
      <c r="AW273" s="287">
        <f t="shared" si="159"/>
        <v>0</v>
      </c>
      <c r="AX273" s="287">
        <f t="shared" si="160"/>
        <v>0</v>
      </c>
      <c r="AY273" s="287">
        <f t="shared" si="161"/>
        <v>0</v>
      </c>
      <c r="AZ273" s="287">
        <f t="shared" si="162"/>
        <v>0</v>
      </c>
      <c r="BA273" s="287">
        <f t="shared" si="163"/>
        <v>0</v>
      </c>
      <c r="BB273" s="16"/>
      <c r="BC273" s="287">
        <f t="shared" si="164"/>
        <v>0</v>
      </c>
      <c r="BD273" s="287">
        <f t="shared" si="165"/>
        <v>0</v>
      </c>
      <c r="BE273" s="287">
        <f t="shared" si="166"/>
        <v>0</v>
      </c>
      <c r="BF273" s="287">
        <f t="shared" si="167"/>
        <v>0</v>
      </c>
      <c r="BG273" s="287">
        <f t="shared" si="168"/>
        <v>0</v>
      </c>
      <c r="BH273" s="287">
        <f t="shared" si="169"/>
        <v>0</v>
      </c>
      <c r="BI273" s="287">
        <f t="shared" si="170"/>
        <v>0</v>
      </c>
      <c r="BJ273" s="287">
        <f t="shared" si="171"/>
        <v>0</v>
      </c>
      <c r="BK273" s="287">
        <f t="shared" si="172"/>
        <v>0</v>
      </c>
      <c r="BL273" s="287">
        <f t="shared" si="173"/>
        <v>0</v>
      </c>
      <c r="BM273" s="16"/>
      <c r="BN273" s="287">
        <f t="shared" si="174"/>
        <v>0</v>
      </c>
      <c r="BO273" s="287">
        <f t="shared" si="175"/>
        <v>0</v>
      </c>
      <c r="BP273" s="432"/>
      <c r="BQ273" s="21"/>
      <c r="BR273" s="21"/>
      <c r="BS273" s="39"/>
      <c r="BT273" s="39"/>
      <c r="BU273" s="39"/>
      <c r="BV273" s="39"/>
      <c r="BW273" s="39"/>
      <c r="BX273" s="39"/>
      <c r="BY273" s="39"/>
      <c r="BZ273" s="39">
        <v>260</v>
      </c>
      <c r="CA273" s="39" t="str">
        <f t="shared" si="176"/>
        <v/>
      </c>
      <c r="CB273" s="39"/>
      <c r="CC273" s="39"/>
      <c r="CD273" s="39"/>
      <c r="CE273" s="39"/>
      <c r="CF273" s="39"/>
      <c r="CG273" s="39"/>
      <c r="CH273" s="39"/>
      <c r="CI273" s="39"/>
      <c r="CJ273" s="39"/>
      <c r="CK273" s="39"/>
    </row>
    <row r="274" spans="1:89" s="193" customFormat="1">
      <c r="A274" s="195"/>
      <c r="B274" s="21" t="str">
        <f t="shared" si="149"/>
        <v>N/A</v>
      </c>
      <c r="C274" s="21"/>
      <c r="D274" s="432">
        <v>3201515</v>
      </c>
      <c r="E274" s="439" t="s">
        <v>3626</v>
      </c>
      <c r="F274" s="439" t="s">
        <v>3833</v>
      </c>
      <c r="G274" s="273" t="s">
        <v>3385</v>
      </c>
      <c r="H274" s="358"/>
      <c r="I274" s="262" t="s">
        <v>3497</v>
      </c>
      <c r="J274" s="262" t="s">
        <v>3504</v>
      </c>
      <c r="K274" s="263">
        <v>136347</v>
      </c>
      <c r="L274" s="263">
        <v>131750</v>
      </c>
      <c r="M274" s="263">
        <v>58662</v>
      </c>
      <c r="N274" s="263">
        <v>71337</v>
      </c>
      <c r="O274" s="263">
        <v>16133</v>
      </c>
      <c r="P274" s="263">
        <v>211325</v>
      </c>
      <c r="Q274" s="263">
        <v>218510</v>
      </c>
      <c r="R274" s="263">
        <v>316126.03000000003</v>
      </c>
      <c r="S274" s="263">
        <v>326130.01</v>
      </c>
      <c r="T274" s="263">
        <v>326130.01</v>
      </c>
      <c r="U274" s="263">
        <f t="shared" si="144"/>
        <v>1812450.05</v>
      </c>
      <c r="V274" s="196" t="str">
        <f t="shared" si="150"/>
        <v>R</v>
      </c>
      <c r="W274" s="196" t="s">
        <v>1168</v>
      </c>
      <c r="X274" s="196" t="str">
        <f t="shared" si="145"/>
        <v>N</v>
      </c>
      <c r="Y274" s="197">
        <f t="shared" si="151"/>
        <v>1812450.05</v>
      </c>
      <c r="Z274" s="198"/>
      <c r="AA274" s="197">
        <f t="shared" si="152"/>
        <v>1812450.05</v>
      </c>
      <c r="AB274" s="196"/>
      <c r="AC274" s="196"/>
      <c r="AD274" s="275">
        <v>0</v>
      </c>
      <c r="AE274" s="275">
        <v>0</v>
      </c>
      <c r="AF274" s="275">
        <v>1</v>
      </c>
      <c r="AG274" s="442"/>
      <c r="AH274" s="442"/>
      <c r="AI274" s="200">
        <f t="shared" si="153"/>
        <v>0</v>
      </c>
      <c r="AJ274" s="203"/>
      <c r="AK274" s="203"/>
      <c r="AL274" s="197">
        <f t="shared" si="146"/>
        <v>1812450.05</v>
      </c>
      <c r="AM274" s="197">
        <f t="shared" si="147"/>
        <v>0</v>
      </c>
      <c r="AN274" s="197">
        <f t="shared" si="148"/>
        <v>0</v>
      </c>
      <c r="AO274" s="202"/>
      <c r="AP274" s="161" t="s">
        <v>3900</v>
      </c>
      <c r="AQ274" s="279"/>
      <c r="AR274" s="287">
        <f t="shared" si="154"/>
        <v>0</v>
      </c>
      <c r="AS274" s="287">
        <f t="shared" si="155"/>
        <v>0</v>
      </c>
      <c r="AT274" s="287">
        <f t="shared" si="156"/>
        <v>0</v>
      </c>
      <c r="AU274" s="287">
        <f t="shared" si="157"/>
        <v>0</v>
      </c>
      <c r="AV274" s="287">
        <f t="shared" si="158"/>
        <v>0</v>
      </c>
      <c r="AW274" s="287">
        <f t="shared" si="159"/>
        <v>0</v>
      </c>
      <c r="AX274" s="287">
        <f t="shared" si="160"/>
        <v>0</v>
      </c>
      <c r="AY274" s="287">
        <f t="shared" si="161"/>
        <v>0</v>
      </c>
      <c r="AZ274" s="287">
        <f t="shared" si="162"/>
        <v>0</v>
      </c>
      <c r="BA274" s="287">
        <f t="shared" si="163"/>
        <v>0</v>
      </c>
      <c r="BB274" s="16"/>
      <c r="BC274" s="287">
        <f t="shared" si="164"/>
        <v>0</v>
      </c>
      <c r="BD274" s="287">
        <f t="shared" si="165"/>
        <v>0</v>
      </c>
      <c r="BE274" s="287">
        <f t="shared" si="166"/>
        <v>0</v>
      </c>
      <c r="BF274" s="287">
        <f t="shared" si="167"/>
        <v>0</v>
      </c>
      <c r="BG274" s="287">
        <f t="shared" si="168"/>
        <v>0</v>
      </c>
      <c r="BH274" s="287">
        <f t="shared" si="169"/>
        <v>0</v>
      </c>
      <c r="BI274" s="287">
        <f t="shared" si="170"/>
        <v>0</v>
      </c>
      <c r="BJ274" s="287">
        <f t="shared" si="171"/>
        <v>0</v>
      </c>
      <c r="BK274" s="287">
        <f t="shared" si="172"/>
        <v>0</v>
      </c>
      <c r="BL274" s="287">
        <f t="shared" si="173"/>
        <v>0</v>
      </c>
      <c r="BM274" s="16"/>
      <c r="BN274" s="287">
        <f t="shared" si="174"/>
        <v>0</v>
      </c>
      <c r="BO274" s="287">
        <f t="shared" si="175"/>
        <v>0</v>
      </c>
      <c r="BP274" s="432"/>
      <c r="BQ274" s="21"/>
      <c r="BR274" s="21"/>
      <c r="BS274" s="39"/>
      <c r="BT274" s="39"/>
      <c r="BU274" s="39"/>
      <c r="BV274" s="39"/>
      <c r="BW274" s="39"/>
      <c r="BX274" s="39"/>
      <c r="BY274" s="39"/>
      <c r="BZ274" s="39">
        <v>261</v>
      </c>
      <c r="CA274" s="39" t="str">
        <f t="shared" si="176"/>
        <v/>
      </c>
      <c r="CB274" s="39"/>
      <c r="CC274" s="39"/>
      <c r="CD274" s="39"/>
      <c r="CE274" s="39"/>
      <c r="CF274" s="39"/>
      <c r="CG274" s="39"/>
      <c r="CH274" s="39"/>
      <c r="CI274" s="39"/>
      <c r="CJ274" s="39"/>
      <c r="CK274" s="39"/>
    </row>
    <row r="275" spans="1:89" s="193" customFormat="1">
      <c r="A275" s="195"/>
      <c r="B275" s="21" t="str">
        <f t="shared" si="149"/>
        <v>N/A</v>
      </c>
      <c r="C275" s="21"/>
      <c r="D275" s="432">
        <v>3201526</v>
      </c>
      <c r="E275" s="439" t="s">
        <v>3626</v>
      </c>
      <c r="F275" s="439" t="s">
        <v>3835</v>
      </c>
      <c r="G275" s="273" t="s">
        <v>3326</v>
      </c>
      <c r="H275" s="358"/>
      <c r="I275" s="262" t="s">
        <v>3492</v>
      </c>
      <c r="J275" s="262" t="s">
        <v>3504</v>
      </c>
      <c r="K275" s="263">
        <v>1837441</v>
      </c>
      <c r="L275" s="263">
        <v>2066954</v>
      </c>
      <c r="M275" s="263">
        <v>2110360</v>
      </c>
      <c r="N275" s="263">
        <v>2156788</v>
      </c>
      <c r="O275" s="263">
        <v>2206394</v>
      </c>
      <c r="P275" s="263">
        <v>2259348</v>
      </c>
      <c r="Q275" s="263">
        <v>2315831</v>
      </c>
      <c r="R275" s="263">
        <v>0</v>
      </c>
      <c r="S275" s="263">
        <v>0</v>
      </c>
      <c r="T275" s="263">
        <v>0</v>
      </c>
      <c r="U275" s="263">
        <f t="shared" si="144"/>
        <v>14953116</v>
      </c>
      <c r="V275" s="196" t="str">
        <f t="shared" si="150"/>
        <v>LOS</v>
      </c>
      <c r="W275" s="196" t="s">
        <v>1168</v>
      </c>
      <c r="X275" s="196" t="str">
        <f t="shared" si="145"/>
        <v>N</v>
      </c>
      <c r="Y275" s="197">
        <f t="shared" si="151"/>
        <v>14953116</v>
      </c>
      <c r="Z275" s="198"/>
      <c r="AA275" s="197">
        <f t="shared" si="152"/>
        <v>14953116</v>
      </c>
      <c r="AB275" s="196"/>
      <c r="AC275" s="196"/>
      <c r="AD275" s="275">
        <v>0</v>
      </c>
      <c r="AE275" s="275">
        <v>1</v>
      </c>
      <c r="AF275" s="275">
        <v>0</v>
      </c>
      <c r="AG275" s="442"/>
      <c r="AH275" s="442"/>
      <c r="AI275" s="200">
        <f t="shared" si="153"/>
        <v>0</v>
      </c>
      <c r="AJ275" s="203"/>
      <c r="AK275" s="203"/>
      <c r="AL275" s="197">
        <f t="shared" si="146"/>
        <v>14953116</v>
      </c>
      <c r="AM275" s="197">
        <f t="shared" si="147"/>
        <v>0</v>
      </c>
      <c r="AN275" s="197">
        <f t="shared" si="148"/>
        <v>0</v>
      </c>
      <c r="AO275" s="202"/>
      <c r="AP275" s="161" t="s">
        <v>3900</v>
      </c>
      <c r="AQ275" s="279"/>
      <c r="AR275" s="287">
        <f t="shared" si="154"/>
        <v>0</v>
      </c>
      <c r="AS275" s="287">
        <f t="shared" si="155"/>
        <v>0</v>
      </c>
      <c r="AT275" s="287">
        <f t="shared" si="156"/>
        <v>0</v>
      </c>
      <c r="AU275" s="287">
        <f t="shared" si="157"/>
        <v>0</v>
      </c>
      <c r="AV275" s="287">
        <f t="shared" si="158"/>
        <v>0</v>
      </c>
      <c r="AW275" s="287">
        <f t="shared" si="159"/>
        <v>0</v>
      </c>
      <c r="AX275" s="287">
        <f t="shared" si="160"/>
        <v>0</v>
      </c>
      <c r="AY275" s="287">
        <f t="shared" si="161"/>
        <v>0</v>
      </c>
      <c r="AZ275" s="287">
        <f t="shared" si="162"/>
        <v>0</v>
      </c>
      <c r="BA275" s="287">
        <f t="shared" si="163"/>
        <v>0</v>
      </c>
      <c r="BB275" s="16"/>
      <c r="BC275" s="287">
        <f t="shared" si="164"/>
        <v>0</v>
      </c>
      <c r="BD275" s="287">
        <f t="shared" si="165"/>
        <v>0</v>
      </c>
      <c r="BE275" s="287">
        <f t="shared" si="166"/>
        <v>0</v>
      </c>
      <c r="BF275" s="287">
        <f t="shared" si="167"/>
        <v>0</v>
      </c>
      <c r="BG275" s="287">
        <f t="shared" si="168"/>
        <v>0</v>
      </c>
      <c r="BH275" s="287">
        <f t="shared" si="169"/>
        <v>0</v>
      </c>
      <c r="BI275" s="287">
        <f t="shared" si="170"/>
        <v>0</v>
      </c>
      <c r="BJ275" s="287">
        <f t="shared" si="171"/>
        <v>0</v>
      </c>
      <c r="BK275" s="287">
        <f t="shared" si="172"/>
        <v>0</v>
      </c>
      <c r="BL275" s="287">
        <f t="shared" si="173"/>
        <v>0</v>
      </c>
      <c r="BM275" s="16"/>
      <c r="BN275" s="287">
        <f t="shared" si="174"/>
        <v>0</v>
      </c>
      <c r="BO275" s="287">
        <f t="shared" si="175"/>
        <v>0</v>
      </c>
      <c r="BP275" s="432"/>
      <c r="BQ275" s="21"/>
      <c r="BR275" s="21"/>
      <c r="BS275" s="39"/>
      <c r="BT275" s="39"/>
      <c r="BU275" s="39"/>
      <c r="BV275" s="39"/>
      <c r="BW275" s="39"/>
      <c r="BX275" s="39"/>
      <c r="BY275" s="39"/>
      <c r="BZ275" s="39">
        <v>262</v>
      </c>
      <c r="CA275" s="39" t="str">
        <f t="shared" si="176"/>
        <v/>
      </c>
      <c r="CB275" s="39"/>
      <c r="CC275" s="39"/>
      <c r="CD275" s="39"/>
      <c r="CE275" s="39"/>
      <c r="CF275" s="39"/>
      <c r="CG275" s="39"/>
      <c r="CH275" s="39"/>
      <c r="CI275" s="39"/>
      <c r="CJ275" s="39"/>
      <c r="CK275" s="39"/>
    </row>
    <row r="276" spans="1:89" s="193" customFormat="1">
      <c r="A276" s="195"/>
      <c r="B276" s="21" t="str">
        <f t="shared" si="149"/>
        <v>N/A</v>
      </c>
      <c r="C276" s="21"/>
      <c r="D276" s="432">
        <v>3201527</v>
      </c>
      <c r="E276" s="439" t="s">
        <v>3626</v>
      </c>
      <c r="F276" s="439" t="s">
        <v>3854</v>
      </c>
      <c r="G276" s="273" t="s">
        <v>3210</v>
      </c>
      <c r="H276" s="358"/>
      <c r="I276" s="262" t="s">
        <v>3492</v>
      </c>
      <c r="J276" s="262" t="s">
        <v>3516</v>
      </c>
      <c r="K276" s="263">
        <v>1345871</v>
      </c>
      <c r="L276" s="263">
        <v>363582</v>
      </c>
      <c r="M276" s="263">
        <v>373037</v>
      </c>
      <c r="N276" s="263">
        <v>380476</v>
      </c>
      <c r="O276" s="263">
        <v>388137</v>
      </c>
      <c r="P276" s="263">
        <v>396022</v>
      </c>
      <c r="Q276" s="263">
        <v>404139</v>
      </c>
      <c r="R276" s="263">
        <v>412491</v>
      </c>
      <c r="S276" s="263">
        <v>421411</v>
      </c>
      <c r="T276" s="263">
        <v>430585</v>
      </c>
      <c r="U276" s="263">
        <f t="shared" si="144"/>
        <v>4915751</v>
      </c>
      <c r="V276" s="196" t="str">
        <f t="shared" si="150"/>
        <v>LOS/R</v>
      </c>
      <c r="W276" s="196" t="s">
        <v>1168</v>
      </c>
      <c r="X276" s="196" t="str">
        <f t="shared" si="145"/>
        <v>N</v>
      </c>
      <c r="Y276" s="197">
        <f t="shared" si="151"/>
        <v>4915751</v>
      </c>
      <c r="Z276" s="198"/>
      <c r="AA276" s="197">
        <f t="shared" si="152"/>
        <v>4915751</v>
      </c>
      <c r="AB276" s="196"/>
      <c r="AC276" s="196"/>
      <c r="AD276" s="275">
        <v>0</v>
      </c>
      <c r="AE276" s="275">
        <v>0.36762443599280858</v>
      </c>
      <c r="AF276" s="275">
        <v>0.63237556400719153</v>
      </c>
      <c r="AG276" s="442"/>
      <c r="AH276" s="442"/>
      <c r="AI276" s="200">
        <f t="shared" si="153"/>
        <v>0</v>
      </c>
      <c r="AJ276" s="203"/>
      <c r="AK276" s="203"/>
      <c r="AL276" s="197">
        <f t="shared" si="146"/>
        <v>4915751</v>
      </c>
      <c r="AM276" s="197">
        <f t="shared" si="147"/>
        <v>0</v>
      </c>
      <c r="AN276" s="197">
        <f t="shared" si="148"/>
        <v>0</v>
      </c>
      <c r="AO276" s="202"/>
      <c r="AP276" s="161" t="s">
        <v>3900</v>
      </c>
      <c r="AQ276" s="279"/>
      <c r="AR276" s="287">
        <f t="shared" si="154"/>
        <v>0</v>
      </c>
      <c r="AS276" s="287">
        <f t="shared" si="155"/>
        <v>0</v>
      </c>
      <c r="AT276" s="287">
        <f t="shared" si="156"/>
        <v>0</v>
      </c>
      <c r="AU276" s="287">
        <f t="shared" si="157"/>
        <v>0</v>
      </c>
      <c r="AV276" s="287">
        <f t="shared" si="158"/>
        <v>0</v>
      </c>
      <c r="AW276" s="287">
        <f t="shared" si="159"/>
        <v>0</v>
      </c>
      <c r="AX276" s="287">
        <f t="shared" si="160"/>
        <v>0</v>
      </c>
      <c r="AY276" s="287">
        <f t="shared" si="161"/>
        <v>0</v>
      </c>
      <c r="AZ276" s="287">
        <f t="shared" si="162"/>
        <v>0</v>
      </c>
      <c r="BA276" s="287">
        <f t="shared" si="163"/>
        <v>0</v>
      </c>
      <c r="BB276" s="16"/>
      <c r="BC276" s="287">
        <f t="shared" si="164"/>
        <v>0</v>
      </c>
      <c r="BD276" s="287">
        <f t="shared" si="165"/>
        <v>0</v>
      </c>
      <c r="BE276" s="287">
        <f t="shared" si="166"/>
        <v>0</v>
      </c>
      <c r="BF276" s="287">
        <f t="shared" si="167"/>
        <v>0</v>
      </c>
      <c r="BG276" s="287">
        <f t="shared" si="168"/>
        <v>0</v>
      </c>
      <c r="BH276" s="287">
        <f t="shared" si="169"/>
        <v>0</v>
      </c>
      <c r="BI276" s="287">
        <f t="shared" si="170"/>
        <v>0</v>
      </c>
      <c r="BJ276" s="287">
        <f t="shared" si="171"/>
        <v>0</v>
      </c>
      <c r="BK276" s="287">
        <f t="shared" si="172"/>
        <v>0</v>
      </c>
      <c r="BL276" s="287">
        <f t="shared" si="173"/>
        <v>0</v>
      </c>
      <c r="BM276" s="16"/>
      <c r="BN276" s="287">
        <f t="shared" si="174"/>
        <v>0</v>
      </c>
      <c r="BO276" s="287">
        <f t="shared" si="175"/>
        <v>0</v>
      </c>
      <c r="BP276" s="432"/>
      <c r="BQ276" s="21"/>
      <c r="BR276" s="21"/>
      <c r="BS276" s="39"/>
      <c r="BT276" s="39"/>
      <c r="BU276" s="39"/>
      <c r="BV276" s="39"/>
      <c r="BW276" s="39"/>
      <c r="BX276" s="39"/>
      <c r="BY276" s="39"/>
      <c r="BZ276" s="39">
        <v>263</v>
      </c>
      <c r="CA276" s="39" t="str">
        <f t="shared" si="176"/>
        <v/>
      </c>
      <c r="CB276" s="39"/>
      <c r="CC276" s="39"/>
      <c r="CD276" s="39"/>
      <c r="CE276" s="39"/>
      <c r="CF276" s="39"/>
      <c r="CG276" s="39"/>
      <c r="CH276" s="39"/>
      <c r="CI276" s="39"/>
      <c r="CJ276" s="39"/>
      <c r="CK276" s="39"/>
    </row>
    <row r="277" spans="1:89" s="193" customFormat="1">
      <c r="A277" s="195"/>
      <c r="B277" s="21" t="str">
        <f t="shared" si="149"/>
        <v>N/A</v>
      </c>
      <c r="C277" s="21"/>
      <c r="D277" s="432">
        <v>3201527</v>
      </c>
      <c r="E277" s="439" t="s">
        <v>3626</v>
      </c>
      <c r="F277" s="439" t="s">
        <v>3840</v>
      </c>
      <c r="G277" s="273" t="s">
        <v>3214</v>
      </c>
      <c r="H277" s="358"/>
      <c r="I277" s="262" t="s">
        <v>3492</v>
      </c>
      <c r="J277" s="262" t="s">
        <v>3512</v>
      </c>
      <c r="K277" s="263">
        <v>1234217</v>
      </c>
      <c r="L277" s="263">
        <v>762553</v>
      </c>
      <c r="M277" s="263">
        <v>791641</v>
      </c>
      <c r="N277" s="263">
        <v>820864</v>
      </c>
      <c r="O277" s="263">
        <v>850969</v>
      </c>
      <c r="P277" s="263">
        <v>881982</v>
      </c>
      <c r="Q277" s="263">
        <v>913935</v>
      </c>
      <c r="R277" s="263">
        <v>946857</v>
      </c>
      <c r="S277" s="263">
        <v>979784</v>
      </c>
      <c r="T277" s="263">
        <v>1013716</v>
      </c>
      <c r="U277" s="263">
        <f t="shared" si="144"/>
        <v>9196518</v>
      </c>
      <c r="V277" s="196" t="str">
        <f t="shared" si="150"/>
        <v>G/LOS</v>
      </c>
      <c r="W277" s="196" t="s">
        <v>1168</v>
      </c>
      <c r="X277" s="196" t="str">
        <f t="shared" si="145"/>
        <v>Y</v>
      </c>
      <c r="Y277" s="197">
        <f t="shared" si="151"/>
        <v>9196518</v>
      </c>
      <c r="Z277" s="198"/>
      <c r="AA277" s="197">
        <f t="shared" si="152"/>
        <v>9196518</v>
      </c>
      <c r="AB277" s="196" t="s">
        <v>1168</v>
      </c>
      <c r="AC277" s="196"/>
      <c r="AD277" s="275">
        <v>0.34841083163221931</v>
      </c>
      <c r="AE277" s="275">
        <v>0.65158916836778058</v>
      </c>
      <c r="AF277" s="275">
        <v>0</v>
      </c>
      <c r="AG277" s="442"/>
      <c r="AH277" s="442"/>
      <c r="AI277" s="200">
        <f t="shared" si="153"/>
        <v>0</v>
      </c>
      <c r="AJ277" s="203"/>
      <c r="AK277" s="203"/>
      <c r="AL277" s="197">
        <f t="shared" si="146"/>
        <v>9196518</v>
      </c>
      <c r="AM277" s="197">
        <f t="shared" si="147"/>
        <v>0</v>
      </c>
      <c r="AN277" s="197">
        <f t="shared" si="148"/>
        <v>0</v>
      </c>
      <c r="AO277" s="202"/>
      <c r="AP277" s="161" t="s">
        <v>3900</v>
      </c>
      <c r="AQ277" s="279"/>
      <c r="AR277" s="287">
        <f t="shared" si="154"/>
        <v>0</v>
      </c>
      <c r="AS277" s="287">
        <f t="shared" si="155"/>
        <v>0</v>
      </c>
      <c r="AT277" s="287">
        <f t="shared" si="156"/>
        <v>0</v>
      </c>
      <c r="AU277" s="287">
        <f t="shared" si="157"/>
        <v>0</v>
      </c>
      <c r="AV277" s="287">
        <f t="shared" si="158"/>
        <v>0</v>
      </c>
      <c r="AW277" s="287">
        <f t="shared" si="159"/>
        <v>0</v>
      </c>
      <c r="AX277" s="287">
        <f t="shared" si="160"/>
        <v>0</v>
      </c>
      <c r="AY277" s="287">
        <f t="shared" si="161"/>
        <v>0</v>
      </c>
      <c r="AZ277" s="287">
        <f t="shared" si="162"/>
        <v>0</v>
      </c>
      <c r="BA277" s="287">
        <f t="shared" si="163"/>
        <v>0</v>
      </c>
      <c r="BB277" s="16"/>
      <c r="BC277" s="287">
        <f t="shared" si="164"/>
        <v>0</v>
      </c>
      <c r="BD277" s="287">
        <f t="shared" si="165"/>
        <v>0</v>
      </c>
      <c r="BE277" s="287">
        <f t="shared" si="166"/>
        <v>0</v>
      </c>
      <c r="BF277" s="287">
        <f t="shared" si="167"/>
        <v>0</v>
      </c>
      <c r="BG277" s="287">
        <f t="shared" si="168"/>
        <v>0</v>
      </c>
      <c r="BH277" s="287">
        <f t="shared" si="169"/>
        <v>0</v>
      </c>
      <c r="BI277" s="287">
        <f t="shared" si="170"/>
        <v>0</v>
      </c>
      <c r="BJ277" s="287">
        <f t="shared" si="171"/>
        <v>0</v>
      </c>
      <c r="BK277" s="287">
        <f t="shared" si="172"/>
        <v>0</v>
      </c>
      <c r="BL277" s="287">
        <f t="shared" si="173"/>
        <v>0</v>
      </c>
      <c r="BM277" s="16"/>
      <c r="BN277" s="287">
        <f t="shared" si="174"/>
        <v>0</v>
      </c>
      <c r="BO277" s="287">
        <f t="shared" si="175"/>
        <v>0</v>
      </c>
      <c r="BP277" s="432"/>
      <c r="BQ277" s="21"/>
      <c r="BR277" s="21"/>
      <c r="BS277" s="39"/>
      <c r="BT277" s="39"/>
      <c r="BU277" s="39"/>
      <c r="BV277" s="39"/>
      <c r="BW277" s="39"/>
      <c r="BX277" s="39"/>
      <c r="BY277" s="39"/>
      <c r="BZ277" s="39">
        <v>264</v>
      </c>
      <c r="CA277" s="39" t="str">
        <f t="shared" si="176"/>
        <v/>
      </c>
      <c r="CB277" s="39"/>
      <c r="CC277" s="39"/>
      <c r="CD277" s="39"/>
      <c r="CE277" s="39"/>
      <c r="CF277" s="39"/>
      <c r="CG277" s="39"/>
      <c r="CH277" s="39"/>
      <c r="CI277" s="39"/>
      <c r="CJ277" s="39"/>
      <c r="CK277" s="39"/>
    </row>
    <row r="278" spans="1:89" s="193" customFormat="1">
      <c r="A278" s="195"/>
      <c r="B278" s="21" t="str">
        <f t="shared" si="149"/>
        <v>N/A</v>
      </c>
      <c r="C278" s="21"/>
      <c r="D278" s="432">
        <v>3201527</v>
      </c>
      <c r="E278" s="439" t="s">
        <v>3626</v>
      </c>
      <c r="F278" s="439" t="s">
        <v>3856</v>
      </c>
      <c r="G278" s="273" t="s">
        <v>3208</v>
      </c>
      <c r="H278" s="358"/>
      <c r="I278" s="262" t="s">
        <v>3492</v>
      </c>
      <c r="J278" s="262" t="s">
        <v>3517</v>
      </c>
      <c r="K278" s="263">
        <v>1876813</v>
      </c>
      <c r="L278" s="263">
        <v>575778</v>
      </c>
      <c r="M278" s="263">
        <v>598623</v>
      </c>
      <c r="N278" s="263">
        <v>614774</v>
      </c>
      <c r="O278" s="263">
        <v>631407</v>
      </c>
      <c r="P278" s="263">
        <v>648537</v>
      </c>
      <c r="Q278" s="263">
        <v>666179</v>
      </c>
      <c r="R278" s="263">
        <v>684346</v>
      </c>
      <c r="S278" s="263">
        <v>702471</v>
      </c>
      <c r="T278" s="263">
        <v>721131</v>
      </c>
      <c r="U278" s="263">
        <f t="shared" si="144"/>
        <v>7720059</v>
      </c>
      <c r="V278" s="196" t="str">
        <f t="shared" si="150"/>
        <v>G/LOS</v>
      </c>
      <c r="W278" s="196" t="s">
        <v>1168</v>
      </c>
      <c r="X278" s="196" t="str">
        <f t="shared" si="145"/>
        <v>Y</v>
      </c>
      <c r="Y278" s="197">
        <f t="shared" si="151"/>
        <v>7720059</v>
      </c>
      <c r="Z278" s="198"/>
      <c r="AA278" s="197">
        <f t="shared" si="152"/>
        <v>7720059</v>
      </c>
      <c r="AB278" s="196" t="s">
        <v>1168</v>
      </c>
      <c r="AC278" s="196"/>
      <c r="AD278" s="275">
        <v>0.47713607891138654</v>
      </c>
      <c r="AE278" s="275">
        <v>0.52286392108861357</v>
      </c>
      <c r="AF278" s="275">
        <v>0</v>
      </c>
      <c r="AG278" s="442"/>
      <c r="AH278" s="442"/>
      <c r="AI278" s="200">
        <f t="shared" si="153"/>
        <v>0</v>
      </c>
      <c r="AJ278" s="203"/>
      <c r="AK278" s="203"/>
      <c r="AL278" s="197">
        <f t="shared" si="146"/>
        <v>7720059</v>
      </c>
      <c r="AM278" s="197">
        <f t="shared" si="147"/>
        <v>0</v>
      </c>
      <c r="AN278" s="197">
        <f t="shared" si="148"/>
        <v>0</v>
      </c>
      <c r="AO278" s="202"/>
      <c r="AP278" s="161" t="s">
        <v>3900</v>
      </c>
      <c r="AQ278" s="279"/>
      <c r="AR278" s="287">
        <f t="shared" si="154"/>
        <v>0</v>
      </c>
      <c r="AS278" s="287">
        <f t="shared" si="155"/>
        <v>0</v>
      </c>
      <c r="AT278" s="287">
        <f t="shared" si="156"/>
        <v>0</v>
      </c>
      <c r="AU278" s="287">
        <f t="shared" si="157"/>
        <v>0</v>
      </c>
      <c r="AV278" s="287">
        <f t="shared" si="158"/>
        <v>0</v>
      </c>
      <c r="AW278" s="287">
        <f t="shared" si="159"/>
        <v>0</v>
      </c>
      <c r="AX278" s="287">
        <f t="shared" si="160"/>
        <v>0</v>
      </c>
      <c r="AY278" s="287">
        <f t="shared" si="161"/>
        <v>0</v>
      </c>
      <c r="AZ278" s="287">
        <f t="shared" si="162"/>
        <v>0</v>
      </c>
      <c r="BA278" s="287">
        <f t="shared" si="163"/>
        <v>0</v>
      </c>
      <c r="BB278" s="16"/>
      <c r="BC278" s="287">
        <f t="shared" si="164"/>
        <v>0</v>
      </c>
      <c r="BD278" s="287">
        <f t="shared" si="165"/>
        <v>0</v>
      </c>
      <c r="BE278" s="287">
        <f t="shared" si="166"/>
        <v>0</v>
      </c>
      <c r="BF278" s="287">
        <f t="shared" si="167"/>
        <v>0</v>
      </c>
      <c r="BG278" s="287">
        <f t="shared" si="168"/>
        <v>0</v>
      </c>
      <c r="BH278" s="287">
        <f t="shared" si="169"/>
        <v>0</v>
      </c>
      <c r="BI278" s="287">
        <f t="shared" si="170"/>
        <v>0</v>
      </c>
      <c r="BJ278" s="287">
        <f t="shared" si="171"/>
        <v>0</v>
      </c>
      <c r="BK278" s="287">
        <f t="shared" si="172"/>
        <v>0</v>
      </c>
      <c r="BL278" s="287">
        <f t="shared" si="173"/>
        <v>0</v>
      </c>
      <c r="BM278" s="16"/>
      <c r="BN278" s="287">
        <f t="shared" si="174"/>
        <v>0</v>
      </c>
      <c r="BO278" s="287">
        <f t="shared" si="175"/>
        <v>0</v>
      </c>
      <c r="BP278" s="432"/>
      <c r="BQ278" s="21"/>
      <c r="BR278" s="21"/>
      <c r="BS278" s="39"/>
      <c r="BT278" s="39"/>
      <c r="BU278" s="39"/>
      <c r="BV278" s="39"/>
      <c r="BW278" s="39"/>
      <c r="BX278" s="39"/>
      <c r="BY278" s="39"/>
      <c r="BZ278" s="39">
        <v>265</v>
      </c>
      <c r="CA278" s="39" t="str">
        <f t="shared" si="176"/>
        <v/>
      </c>
      <c r="CB278" s="39"/>
      <c r="CC278" s="39"/>
      <c r="CD278" s="39"/>
      <c r="CE278" s="39"/>
      <c r="CF278" s="39"/>
      <c r="CG278" s="39"/>
      <c r="CH278" s="39"/>
      <c r="CI278" s="39"/>
      <c r="CJ278" s="39"/>
      <c r="CK278" s="39"/>
    </row>
    <row r="279" spans="1:89" s="193" customFormat="1">
      <c r="A279" s="195"/>
      <c r="B279" s="21" t="str">
        <f t="shared" si="149"/>
        <v>N/A</v>
      </c>
      <c r="C279" s="21"/>
      <c r="D279" s="432">
        <v>3201527</v>
      </c>
      <c r="E279" s="439" t="s">
        <v>3626</v>
      </c>
      <c r="F279" s="439" t="s">
        <v>3857</v>
      </c>
      <c r="G279" s="273" t="s">
        <v>3215</v>
      </c>
      <c r="H279" s="358"/>
      <c r="I279" s="262" t="s">
        <v>3492</v>
      </c>
      <c r="J279" s="262" t="s">
        <v>3519</v>
      </c>
      <c r="K279" s="263">
        <v>1192000</v>
      </c>
      <c r="L279" s="263">
        <v>4182000</v>
      </c>
      <c r="M279" s="263">
        <v>15780000</v>
      </c>
      <c r="N279" s="263">
        <v>30000000</v>
      </c>
      <c r="O279" s="263">
        <v>5000000</v>
      </c>
      <c r="P279" s="263">
        <v>5416000</v>
      </c>
      <c r="Q279" s="263">
        <v>21950000</v>
      </c>
      <c r="R279" s="263">
        <v>47680000</v>
      </c>
      <c r="S279" s="263">
        <v>34580000</v>
      </c>
      <c r="T279" s="263">
        <v>14220000</v>
      </c>
      <c r="U279" s="263">
        <f t="shared" si="144"/>
        <v>180000000</v>
      </c>
      <c r="V279" s="196" t="str">
        <f t="shared" si="150"/>
        <v>G/LOS</v>
      </c>
      <c r="W279" s="196" t="s">
        <v>1168</v>
      </c>
      <c r="X279" s="196" t="str">
        <f t="shared" si="145"/>
        <v>Y</v>
      </c>
      <c r="Y279" s="197">
        <f t="shared" si="151"/>
        <v>180000000</v>
      </c>
      <c r="Z279" s="198"/>
      <c r="AA279" s="197">
        <f t="shared" si="152"/>
        <v>180000000</v>
      </c>
      <c r="AB279" s="196" t="s">
        <v>1168</v>
      </c>
      <c r="AC279" s="196"/>
      <c r="AD279" s="275">
        <v>0.75</v>
      </c>
      <c r="AE279" s="275">
        <v>0.25</v>
      </c>
      <c r="AF279" s="275">
        <v>0</v>
      </c>
      <c r="AG279" s="442"/>
      <c r="AH279" s="442"/>
      <c r="AI279" s="200">
        <f t="shared" si="153"/>
        <v>0</v>
      </c>
      <c r="AJ279" s="203"/>
      <c r="AK279" s="203"/>
      <c r="AL279" s="197">
        <f t="shared" si="146"/>
        <v>180000000</v>
      </c>
      <c r="AM279" s="197">
        <f t="shared" si="147"/>
        <v>0</v>
      </c>
      <c r="AN279" s="197">
        <f t="shared" si="148"/>
        <v>0</v>
      </c>
      <c r="AO279" s="202"/>
      <c r="AP279" s="161" t="s">
        <v>3900</v>
      </c>
      <c r="AQ279" s="279"/>
      <c r="AR279" s="287">
        <f t="shared" si="154"/>
        <v>0</v>
      </c>
      <c r="AS279" s="287">
        <f t="shared" si="155"/>
        <v>0</v>
      </c>
      <c r="AT279" s="287">
        <f t="shared" si="156"/>
        <v>0</v>
      </c>
      <c r="AU279" s="287">
        <f t="shared" si="157"/>
        <v>0</v>
      </c>
      <c r="AV279" s="287">
        <f t="shared" si="158"/>
        <v>0</v>
      </c>
      <c r="AW279" s="287">
        <f t="shared" si="159"/>
        <v>0</v>
      </c>
      <c r="AX279" s="287">
        <f t="shared" si="160"/>
        <v>0</v>
      </c>
      <c r="AY279" s="287">
        <f t="shared" si="161"/>
        <v>0</v>
      </c>
      <c r="AZ279" s="287">
        <f t="shared" si="162"/>
        <v>0</v>
      </c>
      <c r="BA279" s="287">
        <f t="shared" si="163"/>
        <v>0</v>
      </c>
      <c r="BB279" s="16"/>
      <c r="BC279" s="287">
        <f t="shared" si="164"/>
        <v>0</v>
      </c>
      <c r="BD279" s="287">
        <f t="shared" si="165"/>
        <v>0</v>
      </c>
      <c r="BE279" s="287">
        <f t="shared" si="166"/>
        <v>0</v>
      </c>
      <c r="BF279" s="287">
        <f t="shared" si="167"/>
        <v>0</v>
      </c>
      <c r="BG279" s="287">
        <f t="shared" si="168"/>
        <v>0</v>
      </c>
      <c r="BH279" s="287">
        <f t="shared" si="169"/>
        <v>0</v>
      </c>
      <c r="BI279" s="287">
        <f t="shared" si="170"/>
        <v>0</v>
      </c>
      <c r="BJ279" s="287">
        <f t="shared" si="171"/>
        <v>0</v>
      </c>
      <c r="BK279" s="287">
        <f t="shared" si="172"/>
        <v>0</v>
      </c>
      <c r="BL279" s="287">
        <f t="shared" si="173"/>
        <v>0</v>
      </c>
      <c r="BM279" s="16"/>
      <c r="BN279" s="287">
        <f t="shared" si="174"/>
        <v>0</v>
      </c>
      <c r="BO279" s="287">
        <f t="shared" si="175"/>
        <v>0</v>
      </c>
      <c r="BP279" s="432"/>
      <c r="BQ279" s="21"/>
      <c r="BR279" s="21"/>
      <c r="BS279" s="39"/>
      <c r="BT279" s="39"/>
      <c r="BU279" s="39"/>
      <c r="BV279" s="39"/>
      <c r="BW279" s="39"/>
      <c r="BX279" s="39"/>
      <c r="BY279" s="39"/>
      <c r="BZ279" s="39">
        <v>266</v>
      </c>
      <c r="CA279" s="39" t="str">
        <f t="shared" si="176"/>
        <v/>
      </c>
      <c r="CB279" s="39"/>
      <c r="CC279" s="39"/>
      <c r="CD279" s="39"/>
      <c r="CE279" s="39"/>
      <c r="CF279" s="39"/>
      <c r="CG279" s="39"/>
      <c r="CH279" s="39"/>
      <c r="CI279" s="39"/>
      <c r="CJ279" s="39"/>
      <c r="CK279" s="39"/>
    </row>
    <row r="280" spans="1:89" s="193" customFormat="1">
      <c r="A280" s="195"/>
      <c r="B280" s="21" t="str">
        <f t="shared" si="149"/>
        <v>N/A</v>
      </c>
      <c r="C280" s="21"/>
      <c r="D280" s="432">
        <v>3201527</v>
      </c>
      <c r="E280" s="439" t="s">
        <v>3626</v>
      </c>
      <c r="F280" s="439" t="s">
        <v>3836</v>
      </c>
      <c r="G280" s="273" t="s">
        <v>3222</v>
      </c>
      <c r="H280" s="358"/>
      <c r="I280" s="262" t="s">
        <v>3492</v>
      </c>
      <c r="J280" s="262" t="s">
        <v>3515</v>
      </c>
      <c r="K280" s="263">
        <v>642526</v>
      </c>
      <c r="L280" s="263">
        <v>669946</v>
      </c>
      <c r="M280" s="263">
        <v>698454</v>
      </c>
      <c r="N280" s="263">
        <v>718756</v>
      </c>
      <c r="O280" s="263">
        <v>739666</v>
      </c>
      <c r="P280" s="263">
        <v>761203</v>
      </c>
      <c r="Q280" s="263">
        <v>783384</v>
      </c>
      <c r="R280" s="263">
        <v>806230</v>
      </c>
      <c r="S280" s="263">
        <v>829537</v>
      </c>
      <c r="T280" s="263">
        <v>853541</v>
      </c>
      <c r="U280" s="263">
        <f t="shared" si="144"/>
        <v>7503243</v>
      </c>
      <c r="V280" s="196" t="str">
        <f t="shared" si="150"/>
        <v>LOS/R</v>
      </c>
      <c r="W280" s="196" t="s">
        <v>1168</v>
      </c>
      <c r="X280" s="196" t="str">
        <f t="shared" si="145"/>
        <v>N</v>
      </c>
      <c r="Y280" s="197">
        <f t="shared" si="151"/>
        <v>7503243</v>
      </c>
      <c r="Z280" s="198"/>
      <c r="AA280" s="197">
        <f t="shared" si="152"/>
        <v>7503243</v>
      </c>
      <c r="AB280" s="196"/>
      <c r="AC280" s="196"/>
      <c r="AD280" s="275">
        <v>0</v>
      </c>
      <c r="AE280" s="275">
        <v>0.30501608748121922</v>
      </c>
      <c r="AF280" s="275">
        <v>0.69498391251878078</v>
      </c>
      <c r="AG280" s="442"/>
      <c r="AH280" s="442"/>
      <c r="AI280" s="200">
        <f t="shared" si="153"/>
        <v>0</v>
      </c>
      <c r="AJ280" s="203"/>
      <c r="AK280" s="203"/>
      <c r="AL280" s="197">
        <f t="shared" si="146"/>
        <v>7503243</v>
      </c>
      <c r="AM280" s="197">
        <f t="shared" si="147"/>
        <v>0</v>
      </c>
      <c r="AN280" s="197">
        <f t="shared" si="148"/>
        <v>0</v>
      </c>
      <c r="AO280" s="202"/>
      <c r="AP280" s="161" t="s">
        <v>3900</v>
      </c>
      <c r="AQ280" s="279"/>
      <c r="AR280" s="287">
        <f t="shared" si="154"/>
        <v>0</v>
      </c>
      <c r="AS280" s="287">
        <f t="shared" si="155"/>
        <v>0</v>
      </c>
      <c r="AT280" s="287">
        <f t="shared" si="156"/>
        <v>0</v>
      </c>
      <c r="AU280" s="287">
        <f t="shared" si="157"/>
        <v>0</v>
      </c>
      <c r="AV280" s="287">
        <f t="shared" si="158"/>
        <v>0</v>
      </c>
      <c r="AW280" s="287">
        <f t="shared" si="159"/>
        <v>0</v>
      </c>
      <c r="AX280" s="287">
        <f t="shared" si="160"/>
        <v>0</v>
      </c>
      <c r="AY280" s="287">
        <f t="shared" si="161"/>
        <v>0</v>
      </c>
      <c r="AZ280" s="287">
        <f t="shared" si="162"/>
        <v>0</v>
      </c>
      <c r="BA280" s="287">
        <f t="shared" si="163"/>
        <v>0</v>
      </c>
      <c r="BB280" s="16"/>
      <c r="BC280" s="287">
        <f t="shared" si="164"/>
        <v>0</v>
      </c>
      <c r="BD280" s="287">
        <f t="shared" si="165"/>
        <v>0</v>
      </c>
      <c r="BE280" s="287">
        <f t="shared" si="166"/>
        <v>0</v>
      </c>
      <c r="BF280" s="287">
        <f t="shared" si="167"/>
        <v>0</v>
      </c>
      <c r="BG280" s="287">
        <f t="shared" si="168"/>
        <v>0</v>
      </c>
      <c r="BH280" s="287">
        <f t="shared" si="169"/>
        <v>0</v>
      </c>
      <c r="BI280" s="287">
        <f t="shared" si="170"/>
        <v>0</v>
      </c>
      <c r="BJ280" s="287">
        <f t="shared" si="171"/>
        <v>0</v>
      </c>
      <c r="BK280" s="287">
        <f t="shared" si="172"/>
        <v>0</v>
      </c>
      <c r="BL280" s="287">
        <f t="shared" si="173"/>
        <v>0</v>
      </c>
      <c r="BM280" s="16"/>
      <c r="BN280" s="287">
        <f t="shared" si="174"/>
        <v>0</v>
      </c>
      <c r="BO280" s="287">
        <f t="shared" si="175"/>
        <v>0</v>
      </c>
      <c r="BP280" s="432"/>
      <c r="BQ280" s="21"/>
      <c r="BR280" s="21"/>
      <c r="BS280" s="39"/>
      <c r="BT280" s="39"/>
      <c r="BU280" s="39"/>
      <c r="BV280" s="39"/>
      <c r="BW280" s="39"/>
      <c r="BX280" s="39"/>
      <c r="BY280" s="39"/>
      <c r="BZ280" s="39">
        <v>267</v>
      </c>
      <c r="CA280" s="39" t="str">
        <f t="shared" si="176"/>
        <v/>
      </c>
      <c r="CB280" s="39"/>
      <c r="CC280" s="39"/>
      <c r="CD280" s="39"/>
      <c r="CE280" s="39"/>
      <c r="CF280" s="39"/>
      <c r="CG280" s="39"/>
      <c r="CH280" s="39"/>
      <c r="CI280" s="39"/>
      <c r="CJ280" s="39"/>
      <c r="CK280" s="39"/>
    </row>
    <row r="281" spans="1:89" s="193" customFormat="1">
      <c r="A281" s="195"/>
      <c r="B281" s="21" t="str">
        <f t="shared" si="149"/>
        <v>N/A</v>
      </c>
      <c r="C281" s="21"/>
      <c r="D281" s="432">
        <v>3201527</v>
      </c>
      <c r="E281" s="439" t="s">
        <v>3626</v>
      </c>
      <c r="F281" s="439" t="s">
        <v>3837</v>
      </c>
      <c r="G281" s="273" t="s">
        <v>3220</v>
      </c>
      <c r="H281" s="358"/>
      <c r="I281" s="262" t="s">
        <v>3492</v>
      </c>
      <c r="J281" s="262" t="s">
        <v>3508</v>
      </c>
      <c r="K281" s="263">
        <v>693978</v>
      </c>
      <c r="L281" s="263">
        <v>396775</v>
      </c>
      <c r="M281" s="263">
        <v>412165</v>
      </c>
      <c r="N281" s="263">
        <v>422596</v>
      </c>
      <c r="O281" s="263">
        <v>433338</v>
      </c>
      <c r="P281" s="263">
        <v>444401</v>
      </c>
      <c r="Q281" s="263">
        <v>455792</v>
      </c>
      <c r="R281" s="263">
        <v>467522</v>
      </c>
      <c r="S281" s="263">
        <v>479437</v>
      </c>
      <c r="T281" s="263">
        <v>491701</v>
      </c>
      <c r="U281" s="263">
        <f t="shared" si="144"/>
        <v>4697705</v>
      </c>
      <c r="V281" s="196" t="str">
        <f t="shared" si="150"/>
        <v>LOS/R</v>
      </c>
      <c r="W281" s="196" t="s">
        <v>1168</v>
      </c>
      <c r="X281" s="196" t="str">
        <f t="shared" si="145"/>
        <v>N</v>
      </c>
      <c r="Y281" s="197">
        <f t="shared" si="151"/>
        <v>4697705</v>
      </c>
      <c r="Z281" s="198"/>
      <c r="AA281" s="197">
        <f t="shared" si="152"/>
        <v>4697705</v>
      </c>
      <c r="AB281" s="196"/>
      <c r="AC281" s="196"/>
      <c r="AD281" s="275">
        <v>0</v>
      </c>
      <c r="AE281" s="275">
        <v>0.37847466234355875</v>
      </c>
      <c r="AF281" s="275">
        <v>0.62152533765644136</v>
      </c>
      <c r="AG281" s="442"/>
      <c r="AH281" s="442"/>
      <c r="AI281" s="200">
        <f t="shared" si="153"/>
        <v>0</v>
      </c>
      <c r="AJ281" s="203"/>
      <c r="AK281" s="203"/>
      <c r="AL281" s="197">
        <f t="shared" si="146"/>
        <v>4697705</v>
      </c>
      <c r="AM281" s="197">
        <f t="shared" si="147"/>
        <v>0</v>
      </c>
      <c r="AN281" s="197">
        <f t="shared" si="148"/>
        <v>0</v>
      </c>
      <c r="AO281" s="202"/>
      <c r="AP281" s="161" t="s">
        <v>3900</v>
      </c>
      <c r="AQ281" s="279"/>
      <c r="AR281" s="287">
        <f t="shared" si="154"/>
        <v>0</v>
      </c>
      <c r="AS281" s="287">
        <f t="shared" si="155"/>
        <v>0</v>
      </c>
      <c r="AT281" s="287">
        <f t="shared" si="156"/>
        <v>0</v>
      </c>
      <c r="AU281" s="287">
        <f t="shared" si="157"/>
        <v>0</v>
      </c>
      <c r="AV281" s="287">
        <f t="shared" si="158"/>
        <v>0</v>
      </c>
      <c r="AW281" s="287">
        <f t="shared" si="159"/>
        <v>0</v>
      </c>
      <c r="AX281" s="287">
        <f t="shared" si="160"/>
        <v>0</v>
      </c>
      <c r="AY281" s="287">
        <f t="shared" si="161"/>
        <v>0</v>
      </c>
      <c r="AZ281" s="287">
        <f t="shared" si="162"/>
        <v>0</v>
      </c>
      <c r="BA281" s="287">
        <f t="shared" si="163"/>
        <v>0</v>
      </c>
      <c r="BB281" s="16"/>
      <c r="BC281" s="287">
        <f t="shared" si="164"/>
        <v>0</v>
      </c>
      <c r="BD281" s="287">
        <f t="shared" si="165"/>
        <v>0</v>
      </c>
      <c r="BE281" s="287">
        <f t="shared" si="166"/>
        <v>0</v>
      </c>
      <c r="BF281" s="287">
        <f t="shared" si="167"/>
        <v>0</v>
      </c>
      <c r="BG281" s="287">
        <f t="shared" si="168"/>
        <v>0</v>
      </c>
      <c r="BH281" s="287">
        <f t="shared" si="169"/>
        <v>0</v>
      </c>
      <c r="BI281" s="287">
        <f t="shared" si="170"/>
        <v>0</v>
      </c>
      <c r="BJ281" s="287">
        <f t="shared" si="171"/>
        <v>0</v>
      </c>
      <c r="BK281" s="287">
        <f t="shared" si="172"/>
        <v>0</v>
      </c>
      <c r="BL281" s="287">
        <f t="shared" si="173"/>
        <v>0</v>
      </c>
      <c r="BM281" s="16"/>
      <c r="BN281" s="287">
        <f t="shared" si="174"/>
        <v>0</v>
      </c>
      <c r="BO281" s="287">
        <f t="shared" si="175"/>
        <v>0</v>
      </c>
      <c r="BP281" s="432"/>
      <c r="BQ281" s="21"/>
      <c r="BR281" s="21"/>
      <c r="BS281" s="39"/>
      <c r="BT281" s="39"/>
      <c r="BU281" s="39"/>
      <c r="BV281" s="39"/>
      <c r="BW281" s="39"/>
      <c r="BX281" s="39"/>
      <c r="BY281" s="39"/>
      <c r="BZ281" s="39">
        <v>268</v>
      </c>
      <c r="CA281" s="39" t="str">
        <f t="shared" si="176"/>
        <v/>
      </c>
      <c r="CB281" s="39"/>
      <c r="CC281" s="39"/>
      <c r="CD281" s="39"/>
      <c r="CE281" s="39"/>
      <c r="CF281" s="39"/>
      <c r="CG281" s="39"/>
      <c r="CH281" s="39"/>
      <c r="CI281" s="39"/>
      <c r="CJ281" s="39"/>
      <c r="CK281" s="39"/>
    </row>
    <row r="282" spans="1:89" s="193" customFormat="1">
      <c r="A282" s="195"/>
      <c r="B282" s="21" t="str">
        <f t="shared" si="149"/>
        <v>N/A</v>
      </c>
      <c r="C282" s="21"/>
      <c r="D282" s="432">
        <v>3201527</v>
      </c>
      <c r="E282" s="439" t="s">
        <v>3626</v>
      </c>
      <c r="F282" s="439" t="s">
        <v>3838</v>
      </c>
      <c r="G282" s="273" t="s">
        <v>3209</v>
      </c>
      <c r="H282" s="358"/>
      <c r="I282" s="262" t="s">
        <v>3492</v>
      </c>
      <c r="J282" s="262" t="s">
        <v>3524</v>
      </c>
      <c r="K282" s="263">
        <v>1696020</v>
      </c>
      <c r="L282" s="263">
        <v>659038</v>
      </c>
      <c r="M282" s="263">
        <v>689200</v>
      </c>
      <c r="N282" s="263">
        <v>718247</v>
      </c>
      <c r="O282" s="263">
        <v>748171</v>
      </c>
      <c r="P282" s="263">
        <v>779003</v>
      </c>
      <c r="Q282" s="263">
        <v>810772</v>
      </c>
      <c r="R282" s="263">
        <v>843511</v>
      </c>
      <c r="S282" s="263">
        <v>885712</v>
      </c>
      <c r="T282" s="263">
        <v>929242</v>
      </c>
      <c r="U282" s="263">
        <f t="shared" si="144"/>
        <v>8758916</v>
      </c>
      <c r="V282" s="196" t="str">
        <f t="shared" si="150"/>
        <v>G/LOS</v>
      </c>
      <c r="W282" s="196" t="s">
        <v>1168</v>
      </c>
      <c r="X282" s="196" t="str">
        <f t="shared" si="145"/>
        <v>Y</v>
      </c>
      <c r="Y282" s="197">
        <f t="shared" si="151"/>
        <v>8758916</v>
      </c>
      <c r="Z282" s="198"/>
      <c r="AA282" s="197">
        <f t="shared" si="152"/>
        <v>8758916</v>
      </c>
      <c r="AB282" s="196" t="s">
        <v>1168</v>
      </c>
      <c r="AC282" s="196"/>
      <c r="AD282" s="275">
        <v>0.34616237056035287</v>
      </c>
      <c r="AE282" s="275">
        <v>0.65383762943964707</v>
      </c>
      <c r="AF282" s="275">
        <v>0</v>
      </c>
      <c r="AG282" s="442"/>
      <c r="AH282" s="442"/>
      <c r="AI282" s="200">
        <f t="shared" si="153"/>
        <v>0</v>
      </c>
      <c r="AJ282" s="203"/>
      <c r="AK282" s="203"/>
      <c r="AL282" s="197">
        <f t="shared" si="146"/>
        <v>8758916</v>
      </c>
      <c r="AM282" s="197">
        <f t="shared" si="147"/>
        <v>0</v>
      </c>
      <c r="AN282" s="197">
        <f t="shared" si="148"/>
        <v>0</v>
      </c>
      <c r="AO282" s="202"/>
      <c r="AP282" s="161" t="s">
        <v>3900</v>
      </c>
      <c r="AQ282" s="279"/>
      <c r="AR282" s="287">
        <f t="shared" si="154"/>
        <v>0</v>
      </c>
      <c r="AS282" s="287">
        <f t="shared" si="155"/>
        <v>0</v>
      </c>
      <c r="AT282" s="287">
        <f t="shared" si="156"/>
        <v>0</v>
      </c>
      <c r="AU282" s="287">
        <f t="shared" si="157"/>
        <v>0</v>
      </c>
      <c r="AV282" s="287">
        <f t="shared" si="158"/>
        <v>0</v>
      </c>
      <c r="AW282" s="287">
        <f t="shared" si="159"/>
        <v>0</v>
      </c>
      <c r="AX282" s="287">
        <f t="shared" si="160"/>
        <v>0</v>
      </c>
      <c r="AY282" s="287">
        <f t="shared" si="161"/>
        <v>0</v>
      </c>
      <c r="AZ282" s="287">
        <f t="shared" si="162"/>
        <v>0</v>
      </c>
      <c r="BA282" s="287">
        <f t="shared" si="163"/>
        <v>0</v>
      </c>
      <c r="BB282" s="16"/>
      <c r="BC282" s="287">
        <f t="shared" si="164"/>
        <v>0</v>
      </c>
      <c r="BD282" s="287">
        <f t="shared" si="165"/>
        <v>0</v>
      </c>
      <c r="BE282" s="287">
        <f t="shared" si="166"/>
        <v>0</v>
      </c>
      <c r="BF282" s="287">
        <f t="shared" si="167"/>
        <v>0</v>
      </c>
      <c r="BG282" s="287">
        <f t="shared" si="168"/>
        <v>0</v>
      </c>
      <c r="BH282" s="287">
        <f t="shared" si="169"/>
        <v>0</v>
      </c>
      <c r="BI282" s="287">
        <f t="shared" si="170"/>
        <v>0</v>
      </c>
      <c r="BJ282" s="287">
        <f t="shared" si="171"/>
        <v>0</v>
      </c>
      <c r="BK282" s="287">
        <f t="shared" si="172"/>
        <v>0</v>
      </c>
      <c r="BL282" s="287">
        <f t="shared" si="173"/>
        <v>0</v>
      </c>
      <c r="BM282" s="16"/>
      <c r="BN282" s="287">
        <f t="shared" si="174"/>
        <v>0</v>
      </c>
      <c r="BO282" s="287">
        <f t="shared" si="175"/>
        <v>0</v>
      </c>
      <c r="BP282" s="432"/>
      <c r="BQ282" s="21"/>
      <c r="BR282" s="21"/>
      <c r="BS282" s="39"/>
      <c r="BT282" s="39"/>
      <c r="BU282" s="39"/>
      <c r="BV282" s="39"/>
      <c r="BW282" s="39"/>
      <c r="BX282" s="39"/>
      <c r="BY282" s="39"/>
      <c r="BZ282" s="39">
        <v>269</v>
      </c>
      <c r="CA282" s="39" t="str">
        <f t="shared" si="176"/>
        <v/>
      </c>
      <c r="CB282" s="39"/>
      <c r="CC282" s="39"/>
      <c r="CD282" s="39"/>
      <c r="CE282" s="39"/>
      <c r="CF282" s="39"/>
      <c r="CG282" s="39"/>
      <c r="CH282" s="39"/>
      <c r="CI282" s="39"/>
      <c r="CJ282" s="39"/>
      <c r="CK282" s="39"/>
    </row>
    <row r="283" spans="1:89" s="193" customFormat="1">
      <c r="A283" s="195"/>
      <c r="B283" s="21" t="str">
        <f t="shared" si="149"/>
        <v>N/A</v>
      </c>
      <c r="C283" s="21"/>
      <c r="D283" s="432">
        <v>3201527</v>
      </c>
      <c r="E283" s="439" t="s">
        <v>3626</v>
      </c>
      <c r="F283" s="439" t="s">
        <v>3839</v>
      </c>
      <c r="G283" s="273" t="s">
        <v>3228</v>
      </c>
      <c r="H283" s="358"/>
      <c r="I283" s="262" t="s">
        <v>3492</v>
      </c>
      <c r="J283" s="262" t="s">
        <v>3520</v>
      </c>
      <c r="K283" s="263">
        <v>218317</v>
      </c>
      <c r="L283" s="263">
        <v>227049</v>
      </c>
      <c r="M283" s="263">
        <v>236131</v>
      </c>
      <c r="N283" s="263">
        <v>243215</v>
      </c>
      <c r="O283" s="263">
        <v>250512</v>
      </c>
      <c r="P283" s="263">
        <v>258027</v>
      </c>
      <c r="Q283" s="263">
        <v>265768</v>
      </c>
      <c r="R283" s="263">
        <v>273741</v>
      </c>
      <c r="S283" s="263">
        <v>281953</v>
      </c>
      <c r="T283" s="263">
        <v>290412</v>
      </c>
      <c r="U283" s="263">
        <f t="shared" si="144"/>
        <v>2545125</v>
      </c>
      <c r="V283" s="196" t="str">
        <f t="shared" si="150"/>
        <v>LOS</v>
      </c>
      <c r="W283" s="196" t="s">
        <v>1168</v>
      </c>
      <c r="X283" s="196" t="str">
        <f t="shared" si="145"/>
        <v>N</v>
      </c>
      <c r="Y283" s="197">
        <f t="shared" si="151"/>
        <v>2545125</v>
      </c>
      <c r="Z283" s="198"/>
      <c r="AA283" s="197">
        <f t="shared" si="152"/>
        <v>2545125</v>
      </c>
      <c r="AB283" s="196"/>
      <c r="AC283" s="196"/>
      <c r="AD283" s="275">
        <v>0</v>
      </c>
      <c r="AE283" s="275">
        <v>1</v>
      </c>
      <c r="AF283" s="275">
        <v>0</v>
      </c>
      <c r="AG283" s="442"/>
      <c r="AH283" s="442"/>
      <c r="AI283" s="200">
        <f t="shared" si="153"/>
        <v>0</v>
      </c>
      <c r="AJ283" s="203"/>
      <c r="AK283" s="203"/>
      <c r="AL283" s="197">
        <f t="shared" si="146"/>
        <v>2545125</v>
      </c>
      <c r="AM283" s="197">
        <f t="shared" si="147"/>
        <v>0</v>
      </c>
      <c r="AN283" s="197">
        <f t="shared" si="148"/>
        <v>0</v>
      </c>
      <c r="AO283" s="202"/>
      <c r="AP283" s="161" t="s">
        <v>3900</v>
      </c>
      <c r="AQ283" s="279"/>
      <c r="AR283" s="287">
        <f t="shared" si="154"/>
        <v>0</v>
      </c>
      <c r="AS283" s="287">
        <f t="shared" si="155"/>
        <v>0</v>
      </c>
      <c r="AT283" s="287">
        <f t="shared" si="156"/>
        <v>0</v>
      </c>
      <c r="AU283" s="287">
        <f t="shared" si="157"/>
        <v>0</v>
      </c>
      <c r="AV283" s="287">
        <f t="shared" si="158"/>
        <v>0</v>
      </c>
      <c r="AW283" s="287">
        <f t="shared" si="159"/>
        <v>0</v>
      </c>
      <c r="AX283" s="287">
        <f t="shared" si="160"/>
        <v>0</v>
      </c>
      <c r="AY283" s="287">
        <f t="shared" si="161"/>
        <v>0</v>
      </c>
      <c r="AZ283" s="287">
        <f t="shared" si="162"/>
        <v>0</v>
      </c>
      <c r="BA283" s="287">
        <f t="shared" si="163"/>
        <v>0</v>
      </c>
      <c r="BB283" s="16"/>
      <c r="BC283" s="287">
        <f t="shared" si="164"/>
        <v>0</v>
      </c>
      <c r="BD283" s="287">
        <f t="shared" si="165"/>
        <v>0</v>
      </c>
      <c r="BE283" s="287">
        <f t="shared" si="166"/>
        <v>0</v>
      </c>
      <c r="BF283" s="287">
        <f t="shared" si="167"/>
        <v>0</v>
      </c>
      <c r="BG283" s="287">
        <f t="shared" si="168"/>
        <v>0</v>
      </c>
      <c r="BH283" s="287">
        <f t="shared" si="169"/>
        <v>0</v>
      </c>
      <c r="BI283" s="287">
        <f t="shared" si="170"/>
        <v>0</v>
      </c>
      <c r="BJ283" s="287">
        <f t="shared" si="171"/>
        <v>0</v>
      </c>
      <c r="BK283" s="287">
        <f t="shared" si="172"/>
        <v>0</v>
      </c>
      <c r="BL283" s="287">
        <f t="shared" si="173"/>
        <v>0</v>
      </c>
      <c r="BM283" s="16"/>
      <c r="BN283" s="287">
        <f t="shared" si="174"/>
        <v>0</v>
      </c>
      <c r="BO283" s="287">
        <f t="shared" si="175"/>
        <v>0</v>
      </c>
      <c r="BP283" s="432"/>
      <c r="BQ283" s="21"/>
      <c r="BR283" s="21"/>
      <c r="BS283" s="39"/>
      <c r="BT283" s="39"/>
      <c r="BU283" s="39"/>
      <c r="BV283" s="39"/>
      <c r="BW283" s="39"/>
      <c r="BX283" s="39"/>
      <c r="BY283" s="39"/>
      <c r="BZ283" s="39">
        <v>270</v>
      </c>
      <c r="CA283" s="39" t="str">
        <f t="shared" si="176"/>
        <v/>
      </c>
      <c r="CB283" s="39"/>
      <c r="CC283" s="39"/>
      <c r="CD283" s="39"/>
      <c r="CE283" s="39"/>
      <c r="CF283" s="39"/>
      <c r="CG283" s="39"/>
      <c r="CH283" s="39"/>
      <c r="CI283" s="39"/>
      <c r="CJ283" s="39"/>
      <c r="CK283" s="39"/>
    </row>
    <row r="284" spans="1:89" s="193" customFormat="1">
      <c r="A284" s="195"/>
      <c r="B284" s="21" t="str">
        <f t="shared" si="149"/>
        <v>N/A</v>
      </c>
      <c r="C284" s="21"/>
      <c r="D284" s="432">
        <v>3201527</v>
      </c>
      <c r="E284" s="439" t="s">
        <v>3626</v>
      </c>
      <c r="F284" s="439" t="s">
        <v>3841</v>
      </c>
      <c r="G284" s="273" t="s">
        <v>3223</v>
      </c>
      <c r="H284" s="358"/>
      <c r="I284" s="262" t="s">
        <v>3492</v>
      </c>
      <c r="J284" s="262" t="s">
        <v>3507</v>
      </c>
      <c r="K284" s="263">
        <v>640917</v>
      </c>
      <c r="L284" s="263">
        <v>666887</v>
      </c>
      <c r="M284" s="263">
        <v>693894</v>
      </c>
      <c r="N284" s="263">
        <v>710309</v>
      </c>
      <c r="O284" s="263">
        <v>727214</v>
      </c>
      <c r="P284" s="263">
        <v>744621</v>
      </c>
      <c r="Q284" s="263">
        <v>762543</v>
      </c>
      <c r="R284" s="263">
        <v>780994</v>
      </c>
      <c r="S284" s="263">
        <v>798983</v>
      </c>
      <c r="T284" s="263">
        <v>817492</v>
      </c>
      <c r="U284" s="263">
        <f t="shared" si="144"/>
        <v>7343854</v>
      </c>
      <c r="V284" s="196" t="str">
        <f t="shared" si="150"/>
        <v>LOS/R</v>
      </c>
      <c r="W284" s="196" t="s">
        <v>1168</v>
      </c>
      <c r="X284" s="196" t="str">
        <f t="shared" si="145"/>
        <v>N</v>
      </c>
      <c r="Y284" s="197">
        <f t="shared" si="151"/>
        <v>7343854</v>
      </c>
      <c r="Z284" s="198"/>
      <c r="AA284" s="197">
        <f t="shared" si="152"/>
        <v>7343854</v>
      </c>
      <c r="AB284" s="196"/>
      <c r="AC284" s="196"/>
      <c r="AD284" s="275">
        <v>0</v>
      </c>
      <c r="AE284" s="275">
        <v>0.33513172029154831</v>
      </c>
      <c r="AF284" s="275">
        <v>0.66486827970845164</v>
      </c>
      <c r="AG284" s="442"/>
      <c r="AH284" s="442"/>
      <c r="AI284" s="200">
        <f t="shared" si="153"/>
        <v>0</v>
      </c>
      <c r="AJ284" s="203"/>
      <c r="AK284" s="203"/>
      <c r="AL284" s="197">
        <f t="shared" si="146"/>
        <v>7343854</v>
      </c>
      <c r="AM284" s="197">
        <f t="shared" si="147"/>
        <v>0</v>
      </c>
      <c r="AN284" s="197">
        <f t="shared" si="148"/>
        <v>0</v>
      </c>
      <c r="AO284" s="202"/>
      <c r="AP284" s="161" t="s">
        <v>3900</v>
      </c>
      <c r="AQ284" s="279"/>
      <c r="AR284" s="287">
        <f t="shared" si="154"/>
        <v>0</v>
      </c>
      <c r="AS284" s="287">
        <f t="shared" si="155"/>
        <v>0</v>
      </c>
      <c r="AT284" s="287">
        <f t="shared" si="156"/>
        <v>0</v>
      </c>
      <c r="AU284" s="287">
        <f t="shared" si="157"/>
        <v>0</v>
      </c>
      <c r="AV284" s="287">
        <f t="shared" si="158"/>
        <v>0</v>
      </c>
      <c r="AW284" s="287">
        <f t="shared" si="159"/>
        <v>0</v>
      </c>
      <c r="AX284" s="287">
        <f t="shared" si="160"/>
        <v>0</v>
      </c>
      <c r="AY284" s="287">
        <f t="shared" si="161"/>
        <v>0</v>
      </c>
      <c r="AZ284" s="287">
        <f t="shared" si="162"/>
        <v>0</v>
      </c>
      <c r="BA284" s="287">
        <f t="shared" si="163"/>
        <v>0</v>
      </c>
      <c r="BB284" s="16"/>
      <c r="BC284" s="287">
        <f t="shared" si="164"/>
        <v>0</v>
      </c>
      <c r="BD284" s="287">
        <f t="shared" si="165"/>
        <v>0</v>
      </c>
      <c r="BE284" s="287">
        <f t="shared" si="166"/>
        <v>0</v>
      </c>
      <c r="BF284" s="287">
        <f t="shared" si="167"/>
        <v>0</v>
      </c>
      <c r="BG284" s="287">
        <f t="shared" si="168"/>
        <v>0</v>
      </c>
      <c r="BH284" s="287">
        <f t="shared" si="169"/>
        <v>0</v>
      </c>
      <c r="BI284" s="287">
        <f t="shared" si="170"/>
        <v>0</v>
      </c>
      <c r="BJ284" s="287">
        <f t="shared" si="171"/>
        <v>0</v>
      </c>
      <c r="BK284" s="287">
        <f t="shared" si="172"/>
        <v>0</v>
      </c>
      <c r="BL284" s="287">
        <f t="shared" si="173"/>
        <v>0</v>
      </c>
      <c r="BM284" s="16"/>
      <c r="BN284" s="287">
        <f t="shared" si="174"/>
        <v>0</v>
      </c>
      <c r="BO284" s="287">
        <f t="shared" si="175"/>
        <v>0</v>
      </c>
      <c r="BP284" s="432"/>
      <c r="BQ284" s="21"/>
      <c r="BR284" s="21"/>
      <c r="BS284" s="39"/>
      <c r="BT284" s="39"/>
      <c r="BU284" s="39"/>
      <c r="BV284" s="39"/>
      <c r="BW284" s="39"/>
      <c r="BX284" s="39"/>
      <c r="BY284" s="39"/>
      <c r="BZ284" s="39">
        <v>271</v>
      </c>
      <c r="CA284" s="39" t="str">
        <f t="shared" si="176"/>
        <v/>
      </c>
      <c r="CB284" s="39"/>
      <c r="CC284" s="39"/>
      <c r="CD284" s="39"/>
      <c r="CE284" s="39"/>
      <c r="CF284" s="39"/>
      <c r="CG284" s="39"/>
      <c r="CH284" s="39"/>
      <c r="CI284" s="39"/>
      <c r="CJ284" s="39"/>
      <c r="CK284" s="39"/>
    </row>
    <row r="285" spans="1:89" s="193" customFormat="1">
      <c r="A285" s="195"/>
      <c r="B285" s="21" t="str">
        <f t="shared" si="149"/>
        <v>N/A</v>
      </c>
      <c r="C285" s="21"/>
      <c r="D285" s="432">
        <v>3201527</v>
      </c>
      <c r="E285" s="439" t="s">
        <v>3626</v>
      </c>
      <c r="F285" s="439" t="s">
        <v>3842</v>
      </c>
      <c r="G285" s="273" t="s">
        <v>3207</v>
      </c>
      <c r="H285" s="358"/>
      <c r="I285" s="262" t="s">
        <v>3492</v>
      </c>
      <c r="J285" s="262" t="s">
        <v>3525</v>
      </c>
      <c r="K285" s="263">
        <v>3040729</v>
      </c>
      <c r="L285" s="263">
        <v>928355</v>
      </c>
      <c r="M285" s="263">
        <v>960232</v>
      </c>
      <c r="N285" s="263">
        <v>982244</v>
      </c>
      <c r="O285" s="263">
        <v>1004912</v>
      </c>
      <c r="P285" s="263">
        <v>1028252</v>
      </c>
      <c r="Q285" s="263">
        <v>1052282</v>
      </c>
      <c r="R285" s="263">
        <v>1077019</v>
      </c>
      <c r="S285" s="263">
        <v>1101883</v>
      </c>
      <c r="T285" s="263">
        <v>1127465</v>
      </c>
      <c r="U285" s="263">
        <f t="shared" ref="U285:U348" si="177">SUM(K285:T285)</f>
        <v>12303373</v>
      </c>
      <c r="V285" s="196" t="str">
        <f t="shared" si="150"/>
        <v>LOS/R</v>
      </c>
      <c r="W285" s="196" t="s">
        <v>1168</v>
      </c>
      <c r="X285" s="196" t="str">
        <f t="shared" si="145"/>
        <v>N</v>
      </c>
      <c r="Y285" s="197">
        <f t="shared" si="151"/>
        <v>12303373</v>
      </c>
      <c r="Z285" s="198"/>
      <c r="AA285" s="197">
        <f t="shared" si="152"/>
        <v>12303373</v>
      </c>
      <c r="AB285" s="196"/>
      <c r="AC285" s="196"/>
      <c r="AD285" s="275">
        <v>0</v>
      </c>
      <c r="AE285" s="275">
        <v>0.68044425948576648</v>
      </c>
      <c r="AF285" s="275">
        <v>0.31955574051423358</v>
      </c>
      <c r="AG285" s="442"/>
      <c r="AH285" s="442"/>
      <c r="AI285" s="200">
        <f t="shared" si="153"/>
        <v>0</v>
      </c>
      <c r="AJ285" s="203"/>
      <c r="AK285" s="203"/>
      <c r="AL285" s="197">
        <f t="shared" si="146"/>
        <v>12303373</v>
      </c>
      <c r="AM285" s="197">
        <f t="shared" si="147"/>
        <v>0</v>
      </c>
      <c r="AN285" s="197">
        <f t="shared" si="148"/>
        <v>0</v>
      </c>
      <c r="AO285" s="202"/>
      <c r="AP285" s="161" t="s">
        <v>3900</v>
      </c>
      <c r="AQ285" s="279"/>
      <c r="AR285" s="287">
        <f t="shared" si="154"/>
        <v>0</v>
      </c>
      <c r="AS285" s="287">
        <f t="shared" si="155"/>
        <v>0</v>
      </c>
      <c r="AT285" s="287">
        <f t="shared" si="156"/>
        <v>0</v>
      </c>
      <c r="AU285" s="287">
        <f t="shared" si="157"/>
        <v>0</v>
      </c>
      <c r="AV285" s="287">
        <f t="shared" si="158"/>
        <v>0</v>
      </c>
      <c r="AW285" s="287">
        <f t="shared" si="159"/>
        <v>0</v>
      </c>
      <c r="AX285" s="287">
        <f t="shared" si="160"/>
        <v>0</v>
      </c>
      <c r="AY285" s="287">
        <f t="shared" si="161"/>
        <v>0</v>
      </c>
      <c r="AZ285" s="287">
        <f t="shared" si="162"/>
        <v>0</v>
      </c>
      <c r="BA285" s="287">
        <f t="shared" si="163"/>
        <v>0</v>
      </c>
      <c r="BB285" s="16"/>
      <c r="BC285" s="287">
        <f t="shared" si="164"/>
        <v>0</v>
      </c>
      <c r="BD285" s="287">
        <f t="shared" si="165"/>
        <v>0</v>
      </c>
      <c r="BE285" s="287">
        <f t="shared" si="166"/>
        <v>0</v>
      </c>
      <c r="BF285" s="287">
        <f t="shared" si="167"/>
        <v>0</v>
      </c>
      <c r="BG285" s="287">
        <f t="shared" si="168"/>
        <v>0</v>
      </c>
      <c r="BH285" s="287">
        <f t="shared" si="169"/>
        <v>0</v>
      </c>
      <c r="BI285" s="287">
        <f t="shared" si="170"/>
        <v>0</v>
      </c>
      <c r="BJ285" s="287">
        <f t="shared" si="171"/>
        <v>0</v>
      </c>
      <c r="BK285" s="287">
        <f t="shared" si="172"/>
        <v>0</v>
      </c>
      <c r="BL285" s="287">
        <f t="shared" si="173"/>
        <v>0</v>
      </c>
      <c r="BM285" s="16"/>
      <c r="BN285" s="287">
        <f t="shared" si="174"/>
        <v>0</v>
      </c>
      <c r="BO285" s="287">
        <f t="shared" si="175"/>
        <v>0</v>
      </c>
      <c r="BP285" s="432"/>
      <c r="BQ285" s="21"/>
      <c r="BR285" s="21"/>
      <c r="BS285" s="39"/>
      <c r="BT285" s="39"/>
      <c r="BU285" s="39"/>
      <c r="BV285" s="39"/>
      <c r="BW285" s="39"/>
      <c r="BX285" s="39"/>
      <c r="BY285" s="39"/>
      <c r="BZ285" s="39">
        <v>272</v>
      </c>
      <c r="CA285" s="39" t="str">
        <f t="shared" si="176"/>
        <v/>
      </c>
      <c r="CB285" s="39"/>
      <c r="CC285" s="39"/>
      <c r="CD285" s="39"/>
      <c r="CE285" s="39"/>
      <c r="CF285" s="39"/>
      <c r="CG285" s="39"/>
      <c r="CH285" s="39"/>
      <c r="CI285" s="39"/>
      <c r="CJ285" s="39"/>
      <c r="CK285" s="39"/>
    </row>
    <row r="286" spans="1:89" s="193" customFormat="1">
      <c r="A286" s="195"/>
      <c r="B286" s="21" t="str">
        <f t="shared" si="149"/>
        <v>N/A</v>
      </c>
      <c r="C286" s="21"/>
      <c r="D286" s="432">
        <v>3201527</v>
      </c>
      <c r="E286" s="439" t="s">
        <v>3626</v>
      </c>
      <c r="F286" s="439" t="s">
        <v>3843</v>
      </c>
      <c r="G286" s="273" t="s">
        <v>3224</v>
      </c>
      <c r="H286" s="358"/>
      <c r="I286" s="262" t="s">
        <v>3492</v>
      </c>
      <c r="J286" s="262" t="s">
        <v>3506</v>
      </c>
      <c r="K286" s="263">
        <v>617913</v>
      </c>
      <c r="L286" s="263">
        <v>573016</v>
      </c>
      <c r="M286" s="263">
        <v>588758</v>
      </c>
      <c r="N286" s="263">
        <v>599807</v>
      </c>
      <c r="O286" s="263">
        <v>611183</v>
      </c>
      <c r="P286" s="263">
        <v>622893</v>
      </c>
      <c r="Q286" s="263">
        <v>634943</v>
      </c>
      <c r="R286" s="263">
        <v>647343</v>
      </c>
      <c r="S286" s="263">
        <v>660523</v>
      </c>
      <c r="T286" s="263">
        <v>674074</v>
      </c>
      <c r="U286" s="263">
        <f t="shared" si="177"/>
        <v>6230453</v>
      </c>
      <c r="V286" s="196" t="str">
        <f t="shared" si="150"/>
        <v>G/LOS</v>
      </c>
      <c r="W286" s="196" t="s">
        <v>1168</v>
      </c>
      <c r="X286" s="196" t="str">
        <f t="shared" si="145"/>
        <v>Y</v>
      </c>
      <c r="Y286" s="197">
        <f t="shared" si="151"/>
        <v>6230453</v>
      </c>
      <c r="Z286" s="198"/>
      <c r="AA286" s="197">
        <f t="shared" si="152"/>
        <v>6230453</v>
      </c>
      <c r="AB286" s="196" t="s">
        <v>1168</v>
      </c>
      <c r="AC286" s="196"/>
      <c r="AD286" s="275">
        <v>0.31025815153566288</v>
      </c>
      <c r="AE286" s="275">
        <v>0.68974184846433717</v>
      </c>
      <c r="AF286" s="275">
        <v>0</v>
      </c>
      <c r="AG286" s="442"/>
      <c r="AH286" s="442"/>
      <c r="AI286" s="200">
        <f t="shared" si="153"/>
        <v>0</v>
      </c>
      <c r="AJ286" s="203"/>
      <c r="AK286" s="203"/>
      <c r="AL286" s="197">
        <f t="shared" si="146"/>
        <v>6230453</v>
      </c>
      <c r="AM286" s="197">
        <f t="shared" si="147"/>
        <v>0</v>
      </c>
      <c r="AN286" s="197">
        <f t="shared" si="148"/>
        <v>0</v>
      </c>
      <c r="AO286" s="202"/>
      <c r="AP286" s="161" t="s">
        <v>3900</v>
      </c>
      <c r="AQ286" s="279"/>
      <c r="AR286" s="287">
        <f t="shared" si="154"/>
        <v>0</v>
      </c>
      <c r="AS286" s="287">
        <f t="shared" si="155"/>
        <v>0</v>
      </c>
      <c r="AT286" s="287">
        <f t="shared" si="156"/>
        <v>0</v>
      </c>
      <c r="AU286" s="287">
        <f t="shared" si="157"/>
        <v>0</v>
      </c>
      <c r="AV286" s="287">
        <f t="shared" si="158"/>
        <v>0</v>
      </c>
      <c r="AW286" s="287">
        <f t="shared" si="159"/>
        <v>0</v>
      </c>
      <c r="AX286" s="287">
        <f t="shared" si="160"/>
        <v>0</v>
      </c>
      <c r="AY286" s="287">
        <f t="shared" si="161"/>
        <v>0</v>
      </c>
      <c r="AZ286" s="287">
        <f t="shared" si="162"/>
        <v>0</v>
      </c>
      <c r="BA286" s="287">
        <f t="shared" si="163"/>
        <v>0</v>
      </c>
      <c r="BB286" s="16"/>
      <c r="BC286" s="287">
        <f t="shared" si="164"/>
        <v>0</v>
      </c>
      <c r="BD286" s="287">
        <f t="shared" si="165"/>
        <v>0</v>
      </c>
      <c r="BE286" s="287">
        <f t="shared" si="166"/>
        <v>0</v>
      </c>
      <c r="BF286" s="287">
        <f t="shared" si="167"/>
        <v>0</v>
      </c>
      <c r="BG286" s="287">
        <f t="shared" si="168"/>
        <v>0</v>
      </c>
      <c r="BH286" s="287">
        <f t="shared" si="169"/>
        <v>0</v>
      </c>
      <c r="BI286" s="287">
        <f t="shared" si="170"/>
        <v>0</v>
      </c>
      <c r="BJ286" s="287">
        <f t="shared" si="171"/>
        <v>0</v>
      </c>
      <c r="BK286" s="287">
        <f t="shared" si="172"/>
        <v>0</v>
      </c>
      <c r="BL286" s="287">
        <f t="shared" si="173"/>
        <v>0</v>
      </c>
      <c r="BM286" s="16"/>
      <c r="BN286" s="287">
        <f t="shared" si="174"/>
        <v>0</v>
      </c>
      <c r="BO286" s="287">
        <f t="shared" si="175"/>
        <v>0</v>
      </c>
      <c r="BP286" s="432"/>
      <c r="BQ286" s="21"/>
      <c r="BR286" s="21"/>
      <c r="BS286" s="39"/>
      <c r="BT286" s="39"/>
      <c r="BU286" s="39"/>
      <c r="BV286" s="39"/>
      <c r="BW286" s="39"/>
      <c r="BX286" s="39"/>
      <c r="BY286" s="39"/>
      <c r="BZ286" s="39">
        <v>273</v>
      </c>
      <c r="CA286" s="39" t="str">
        <f t="shared" si="176"/>
        <v/>
      </c>
      <c r="CB286" s="39"/>
      <c r="CC286" s="39"/>
      <c r="CD286" s="39"/>
      <c r="CE286" s="39"/>
      <c r="CF286" s="39"/>
      <c r="CG286" s="39"/>
      <c r="CH286" s="39"/>
      <c r="CI286" s="39"/>
      <c r="CJ286" s="39"/>
      <c r="CK286" s="39"/>
    </row>
    <row r="287" spans="1:89" s="193" customFormat="1">
      <c r="A287" s="195"/>
      <c r="B287" s="21" t="str">
        <f t="shared" si="149"/>
        <v>N/A</v>
      </c>
      <c r="C287" s="21"/>
      <c r="D287" s="432">
        <v>3201527</v>
      </c>
      <c r="E287" s="439" t="s">
        <v>3626</v>
      </c>
      <c r="F287" s="439" t="s">
        <v>3844</v>
      </c>
      <c r="G287" s="273" t="s">
        <v>3212</v>
      </c>
      <c r="H287" s="358"/>
      <c r="I287" s="262" t="s">
        <v>3492</v>
      </c>
      <c r="J287" s="262" t="s">
        <v>3523</v>
      </c>
      <c r="K287" s="263">
        <v>1286168</v>
      </c>
      <c r="L287" s="263">
        <v>538484</v>
      </c>
      <c r="M287" s="263">
        <v>557544</v>
      </c>
      <c r="N287" s="263">
        <v>569652</v>
      </c>
      <c r="O287" s="263">
        <v>582120</v>
      </c>
      <c r="P287" s="263">
        <v>594957</v>
      </c>
      <c r="Q287" s="263">
        <v>608172</v>
      </c>
      <c r="R287" s="263">
        <v>621774</v>
      </c>
      <c r="S287" s="263">
        <v>635322</v>
      </c>
      <c r="T287" s="263">
        <v>649256</v>
      </c>
      <c r="U287" s="263">
        <f t="shared" si="177"/>
        <v>6643449</v>
      </c>
      <c r="V287" s="196" t="str">
        <f t="shared" si="150"/>
        <v>G/LOS</v>
      </c>
      <c r="W287" s="196" t="s">
        <v>1168</v>
      </c>
      <c r="X287" s="196" t="str">
        <f t="shared" si="145"/>
        <v>Y</v>
      </c>
      <c r="Y287" s="197">
        <f t="shared" si="151"/>
        <v>6643449</v>
      </c>
      <c r="Z287" s="198"/>
      <c r="AA287" s="197">
        <f t="shared" si="152"/>
        <v>6643449</v>
      </c>
      <c r="AB287" s="196" t="s">
        <v>1168</v>
      </c>
      <c r="AC287" s="196"/>
      <c r="AD287" s="275">
        <v>0.32031876578522844</v>
      </c>
      <c r="AE287" s="275">
        <v>0.67968123421477156</v>
      </c>
      <c r="AF287" s="275">
        <v>0</v>
      </c>
      <c r="AG287" s="442"/>
      <c r="AH287" s="442"/>
      <c r="AI287" s="200">
        <f t="shared" si="153"/>
        <v>0</v>
      </c>
      <c r="AJ287" s="203"/>
      <c r="AK287" s="203"/>
      <c r="AL287" s="197">
        <f t="shared" si="146"/>
        <v>6643449</v>
      </c>
      <c r="AM287" s="197">
        <f t="shared" si="147"/>
        <v>0</v>
      </c>
      <c r="AN287" s="197">
        <f t="shared" si="148"/>
        <v>0</v>
      </c>
      <c r="AO287" s="202"/>
      <c r="AP287" s="161" t="s">
        <v>3900</v>
      </c>
      <c r="AQ287" s="279"/>
      <c r="AR287" s="287">
        <f t="shared" si="154"/>
        <v>0</v>
      </c>
      <c r="AS287" s="287">
        <f t="shared" si="155"/>
        <v>0</v>
      </c>
      <c r="AT287" s="287">
        <f t="shared" si="156"/>
        <v>0</v>
      </c>
      <c r="AU287" s="287">
        <f t="shared" si="157"/>
        <v>0</v>
      </c>
      <c r="AV287" s="287">
        <f t="shared" si="158"/>
        <v>0</v>
      </c>
      <c r="AW287" s="287">
        <f t="shared" si="159"/>
        <v>0</v>
      </c>
      <c r="AX287" s="287">
        <f t="shared" si="160"/>
        <v>0</v>
      </c>
      <c r="AY287" s="287">
        <f t="shared" si="161"/>
        <v>0</v>
      </c>
      <c r="AZ287" s="287">
        <f t="shared" si="162"/>
        <v>0</v>
      </c>
      <c r="BA287" s="287">
        <f t="shared" si="163"/>
        <v>0</v>
      </c>
      <c r="BB287" s="16"/>
      <c r="BC287" s="287">
        <f t="shared" si="164"/>
        <v>0</v>
      </c>
      <c r="BD287" s="287">
        <f t="shared" si="165"/>
        <v>0</v>
      </c>
      <c r="BE287" s="287">
        <f t="shared" si="166"/>
        <v>0</v>
      </c>
      <c r="BF287" s="287">
        <f t="shared" si="167"/>
        <v>0</v>
      </c>
      <c r="BG287" s="287">
        <f t="shared" si="168"/>
        <v>0</v>
      </c>
      <c r="BH287" s="287">
        <f t="shared" si="169"/>
        <v>0</v>
      </c>
      <c r="BI287" s="287">
        <f t="shared" si="170"/>
        <v>0</v>
      </c>
      <c r="BJ287" s="287">
        <f t="shared" si="171"/>
        <v>0</v>
      </c>
      <c r="BK287" s="287">
        <f t="shared" si="172"/>
        <v>0</v>
      </c>
      <c r="BL287" s="287">
        <f t="shared" si="173"/>
        <v>0</v>
      </c>
      <c r="BM287" s="16"/>
      <c r="BN287" s="287">
        <f t="shared" si="174"/>
        <v>0</v>
      </c>
      <c r="BO287" s="287">
        <f t="shared" si="175"/>
        <v>0</v>
      </c>
      <c r="BP287" s="432"/>
      <c r="BQ287" s="21"/>
      <c r="BR287" s="21"/>
      <c r="BS287" s="39"/>
      <c r="BT287" s="39"/>
      <c r="BU287" s="39"/>
      <c r="BV287" s="39"/>
      <c r="BW287" s="39"/>
      <c r="BX287" s="39"/>
      <c r="BY287" s="39"/>
      <c r="BZ287" s="39">
        <v>274</v>
      </c>
      <c r="CA287" s="39" t="str">
        <f t="shared" si="176"/>
        <v/>
      </c>
      <c r="CB287" s="39"/>
      <c r="CC287" s="39"/>
      <c r="CD287" s="39"/>
      <c r="CE287" s="39"/>
      <c r="CF287" s="39"/>
      <c r="CG287" s="39"/>
      <c r="CH287" s="39"/>
      <c r="CI287" s="39"/>
      <c r="CJ287" s="39"/>
      <c r="CK287" s="39"/>
    </row>
    <row r="288" spans="1:89" s="193" customFormat="1">
      <c r="A288" s="195"/>
      <c r="B288" s="21" t="str">
        <f t="shared" si="149"/>
        <v>N/A</v>
      </c>
      <c r="C288" s="21"/>
      <c r="D288" s="432">
        <v>3201527</v>
      </c>
      <c r="E288" s="439" t="s">
        <v>3626</v>
      </c>
      <c r="F288" s="439" t="s">
        <v>3845</v>
      </c>
      <c r="G288" s="273" t="s">
        <v>3211</v>
      </c>
      <c r="H288" s="358"/>
      <c r="I288" s="262" t="s">
        <v>3492</v>
      </c>
      <c r="J288" s="262" t="s">
        <v>3522</v>
      </c>
      <c r="K288" s="263">
        <v>1295988</v>
      </c>
      <c r="L288" s="263">
        <v>583631</v>
      </c>
      <c r="M288" s="263">
        <v>598897</v>
      </c>
      <c r="N288" s="263">
        <v>610635</v>
      </c>
      <c r="O288" s="263">
        <v>622720</v>
      </c>
      <c r="P288" s="263">
        <v>635160</v>
      </c>
      <c r="Q288" s="263">
        <v>647964</v>
      </c>
      <c r="R288" s="263">
        <v>661140</v>
      </c>
      <c r="S288" s="263">
        <v>675151</v>
      </c>
      <c r="T288" s="263">
        <v>689560</v>
      </c>
      <c r="U288" s="263">
        <f t="shared" si="177"/>
        <v>7020846</v>
      </c>
      <c r="V288" s="196" t="str">
        <f t="shared" si="150"/>
        <v>G/LOS</v>
      </c>
      <c r="W288" s="196" t="s">
        <v>1168</v>
      </c>
      <c r="X288" s="196" t="str">
        <f t="shared" si="145"/>
        <v>Y</v>
      </c>
      <c r="Y288" s="197">
        <f t="shared" si="151"/>
        <v>7020846</v>
      </c>
      <c r="Z288" s="198"/>
      <c r="AA288" s="197">
        <f t="shared" si="152"/>
        <v>7020846</v>
      </c>
      <c r="AB288" s="196" t="s">
        <v>1168</v>
      </c>
      <c r="AC288" s="196"/>
      <c r="AD288" s="275">
        <v>0.39641566729006467</v>
      </c>
      <c r="AE288" s="275">
        <v>0.60358433270993528</v>
      </c>
      <c r="AF288" s="275">
        <v>0</v>
      </c>
      <c r="AG288" s="442"/>
      <c r="AH288" s="442"/>
      <c r="AI288" s="200">
        <f t="shared" si="153"/>
        <v>0</v>
      </c>
      <c r="AJ288" s="203"/>
      <c r="AK288" s="203"/>
      <c r="AL288" s="197">
        <f t="shared" si="146"/>
        <v>7020846</v>
      </c>
      <c r="AM288" s="197">
        <f t="shared" si="147"/>
        <v>0</v>
      </c>
      <c r="AN288" s="197">
        <f t="shared" si="148"/>
        <v>0</v>
      </c>
      <c r="AO288" s="202"/>
      <c r="AP288" s="161" t="s">
        <v>3900</v>
      </c>
      <c r="AQ288" s="279"/>
      <c r="AR288" s="287">
        <f t="shared" si="154"/>
        <v>0</v>
      </c>
      <c r="AS288" s="287">
        <f t="shared" si="155"/>
        <v>0</v>
      </c>
      <c r="AT288" s="287">
        <f t="shared" si="156"/>
        <v>0</v>
      </c>
      <c r="AU288" s="287">
        <f t="shared" si="157"/>
        <v>0</v>
      </c>
      <c r="AV288" s="287">
        <f t="shared" si="158"/>
        <v>0</v>
      </c>
      <c r="AW288" s="287">
        <f t="shared" si="159"/>
        <v>0</v>
      </c>
      <c r="AX288" s="287">
        <f t="shared" si="160"/>
        <v>0</v>
      </c>
      <c r="AY288" s="287">
        <f t="shared" si="161"/>
        <v>0</v>
      </c>
      <c r="AZ288" s="287">
        <f t="shared" si="162"/>
        <v>0</v>
      </c>
      <c r="BA288" s="287">
        <f t="shared" si="163"/>
        <v>0</v>
      </c>
      <c r="BB288" s="16"/>
      <c r="BC288" s="287">
        <f t="shared" si="164"/>
        <v>0</v>
      </c>
      <c r="BD288" s="287">
        <f t="shared" si="165"/>
        <v>0</v>
      </c>
      <c r="BE288" s="287">
        <f t="shared" si="166"/>
        <v>0</v>
      </c>
      <c r="BF288" s="287">
        <f t="shared" si="167"/>
        <v>0</v>
      </c>
      <c r="BG288" s="287">
        <f t="shared" si="168"/>
        <v>0</v>
      </c>
      <c r="BH288" s="287">
        <f t="shared" si="169"/>
        <v>0</v>
      </c>
      <c r="BI288" s="287">
        <f t="shared" si="170"/>
        <v>0</v>
      </c>
      <c r="BJ288" s="287">
        <f t="shared" si="171"/>
        <v>0</v>
      </c>
      <c r="BK288" s="287">
        <f t="shared" si="172"/>
        <v>0</v>
      </c>
      <c r="BL288" s="287">
        <f t="shared" si="173"/>
        <v>0</v>
      </c>
      <c r="BM288" s="16"/>
      <c r="BN288" s="287">
        <f t="shared" si="174"/>
        <v>0</v>
      </c>
      <c r="BO288" s="287">
        <f t="shared" si="175"/>
        <v>0</v>
      </c>
      <c r="BP288" s="432"/>
      <c r="BQ288" s="21"/>
      <c r="BR288" s="21"/>
      <c r="BS288" s="39"/>
      <c r="BT288" s="39"/>
      <c r="BU288" s="39"/>
      <c r="BV288" s="39"/>
      <c r="BW288" s="39"/>
      <c r="BX288" s="39"/>
      <c r="BY288" s="39"/>
      <c r="BZ288" s="39">
        <v>275</v>
      </c>
      <c r="CA288" s="39" t="str">
        <f t="shared" si="176"/>
        <v/>
      </c>
      <c r="CB288" s="39"/>
      <c r="CC288" s="39"/>
      <c r="CD288" s="39"/>
      <c r="CE288" s="39"/>
      <c r="CF288" s="39"/>
      <c r="CG288" s="39"/>
      <c r="CH288" s="39"/>
      <c r="CI288" s="39"/>
      <c r="CJ288" s="39"/>
      <c r="CK288" s="39"/>
    </row>
    <row r="289" spans="1:89" s="193" customFormat="1">
      <c r="A289" s="195"/>
      <c r="B289" s="21" t="str">
        <f t="shared" si="149"/>
        <v>N/A</v>
      </c>
      <c r="C289" s="21"/>
      <c r="D289" s="432">
        <v>3201527</v>
      </c>
      <c r="E289" s="439" t="s">
        <v>3626</v>
      </c>
      <c r="F289" s="439" t="s">
        <v>3846</v>
      </c>
      <c r="G289" s="273" t="s">
        <v>3218</v>
      </c>
      <c r="H289" s="358"/>
      <c r="I289" s="262" t="s">
        <v>3492</v>
      </c>
      <c r="J289" s="262" t="s">
        <v>3511</v>
      </c>
      <c r="K289" s="263">
        <v>1018700</v>
      </c>
      <c r="L289" s="263">
        <v>583123</v>
      </c>
      <c r="M289" s="263">
        <v>613687</v>
      </c>
      <c r="N289" s="263">
        <v>634792</v>
      </c>
      <c r="O289" s="263">
        <v>656531</v>
      </c>
      <c r="P289" s="263">
        <v>678926</v>
      </c>
      <c r="Q289" s="263">
        <v>701997</v>
      </c>
      <c r="R289" s="263">
        <v>725765</v>
      </c>
      <c r="S289" s="263">
        <v>749262</v>
      </c>
      <c r="T289" s="263">
        <v>773471</v>
      </c>
      <c r="U289" s="263">
        <f t="shared" si="177"/>
        <v>7136254</v>
      </c>
      <c r="V289" s="196" t="str">
        <f t="shared" si="150"/>
        <v>G/LOS</v>
      </c>
      <c r="W289" s="196" t="s">
        <v>1168</v>
      </c>
      <c r="X289" s="196" t="str">
        <f t="shared" si="145"/>
        <v>Y</v>
      </c>
      <c r="Y289" s="197">
        <f t="shared" si="151"/>
        <v>7136254</v>
      </c>
      <c r="Z289" s="198"/>
      <c r="AA289" s="197">
        <f t="shared" si="152"/>
        <v>7136254</v>
      </c>
      <c r="AB289" s="196" t="s">
        <v>1168</v>
      </c>
      <c r="AC289" s="196"/>
      <c r="AD289" s="275">
        <v>0.34103003461599263</v>
      </c>
      <c r="AE289" s="275">
        <v>0.65896996538400732</v>
      </c>
      <c r="AF289" s="275">
        <v>0</v>
      </c>
      <c r="AG289" s="442"/>
      <c r="AH289" s="442"/>
      <c r="AI289" s="200">
        <f t="shared" si="153"/>
        <v>0</v>
      </c>
      <c r="AJ289" s="203"/>
      <c r="AK289" s="203"/>
      <c r="AL289" s="197">
        <f t="shared" si="146"/>
        <v>7136254</v>
      </c>
      <c r="AM289" s="197">
        <f t="shared" si="147"/>
        <v>0</v>
      </c>
      <c r="AN289" s="197">
        <f t="shared" si="148"/>
        <v>0</v>
      </c>
      <c r="AO289" s="202"/>
      <c r="AP289" s="161" t="s">
        <v>3900</v>
      </c>
      <c r="AQ289" s="279"/>
      <c r="AR289" s="287">
        <f t="shared" si="154"/>
        <v>0</v>
      </c>
      <c r="AS289" s="287">
        <f t="shared" si="155"/>
        <v>0</v>
      </c>
      <c r="AT289" s="287">
        <f t="shared" si="156"/>
        <v>0</v>
      </c>
      <c r="AU289" s="287">
        <f t="shared" si="157"/>
        <v>0</v>
      </c>
      <c r="AV289" s="287">
        <f t="shared" si="158"/>
        <v>0</v>
      </c>
      <c r="AW289" s="287">
        <f t="shared" si="159"/>
        <v>0</v>
      </c>
      <c r="AX289" s="287">
        <f t="shared" si="160"/>
        <v>0</v>
      </c>
      <c r="AY289" s="287">
        <f t="shared" si="161"/>
        <v>0</v>
      </c>
      <c r="AZ289" s="287">
        <f t="shared" si="162"/>
        <v>0</v>
      </c>
      <c r="BA289" s="287">
        <f t="shared" si="163"/>
        <v>0</v>
      </c>
      <c r="BB289" s="16"/>
      <c r="BC289" s="287">
        <f t="shared" si="164"/>
        <v>0</v>
      </c>
      <c r="BD289" s="287">
        <f t="shared" si="165"/>
        <v>0</v>
      </c>
      <c r="BE289" s="287">
        <f t="shared" si="166"/>
        <v>0</v>
      </c>
      <c r="BF289" s="287">
        <f t="shared" si="167"/>
        <v>0</v>
      </c>
      <c r="BG289" s="287">
        <f t="shared" si="168"/>
        <v>0</v>
      </c>
      <c r="BH289" s="287">
        <f t="shared" si="169"/>
        <v>0</v>
      </c>
      <c r="BI289" s="287">
        <f t="shared" si="170"/>
        <v>0</v>
      </c>
      <c r="BJ289" s="287">
        <f t="shared" si="171"/>
        <v>0</v>
      </c>
      <c r="BK289" s="287">
        <f t="shared" si="172"/>
        <v>0</v>
      </c>
      <c r="BL289" s="287">
        <f t="shared" si="173"/>
        <v>0</v>
      </c>
      <c r="BM289" s="16"/>
      <c r="BN289" s="287">
        <f t="shared" si="174"/>
        <v>0</v>
      </c>
      <c r="BO289" s="287">
        <f t="shared" si="175"/>
        <v>0</v>
      </c>
      <c r="BP289" s="432"/>
      <c r="BQ289" s="21"/>
      <c r="BR289" s="21"/>
      <c r="BS289" s="39"/>
      <c r="BT289" s="39"/>
      <c r="BU289" s="39"/>
      <c r="BV289" s="39"/>
      <c r="BW289" s="39"/>
      <c r="BX289" s="39"/>
      <c r="BY289" s="39"/>
      <c r="BZ289" s="39">
        <v>276</v>
      </c>
      <c r="CA289" s="39" t="str">
        <f t="shared" si="176"/>
        <v/>
      </c>
      <c r="CB289" s="39"/>
      <c r="CC289" s="39"/>
      <c r="CD289" s="39"/>
      <c r="CE289" s="39"/>
      <c r="CF289" s="39"/>
      <c r="CG289" s="39"/>
      <c r="CH289" s="39"/>
      <c r="CI289" s="39"/>
      <c r="CJ289" s="39"/>
      <c r="CK289" s="39"/>
    </row>
    <row r="290" spans="1:89" s="193" customFormat="1">
      <c r="A290" s="195"/>
      <c r="B290" s="21" t="str">
        <f t="shared" si="149"/>
        <v>N/A</v>
      </c>
      <c r="C290" s="21"/>
      <c r="D290" s="432">
        <v>3201527</v>
      </c>
      <c r="E290" s="439" t="s">
        <v>3626</v>
      </c>
      <c r="F290" s="439" t="s">
        <v>3847</v>
      </c>
      <c r="G290" s="273" t="s">
        <v>3225</v>
      </c>
      <c r="H290" s="358"/>
      <c r="I290" s="262" t="s">
        <v>3492</v>
      </c>
      <c r="J290" s="262" t="s">
        <v>3514</v>
      </c>
      <c r="K290" s="263">
        <v>536419</v>
      </c>
      <c r="L290" s="263">
        <v>557314</v>
      </c>
      <c r="M290" s="263">
        <v>579047</v>
      </c>
      <c r="N290" s="263">
        <v>595199</v>
      </c>
      <c r="O290" s="263">
        <v>611833</v>
      </c>
      <c r="P290" s="263">
        <v>628966</v>
      </c>
      <c r="Q290" s="263">
        <v>646611</v>
      </c>
      <c r="R290" s="263">
        <v>664782</v>
      </c>
      <c r="S290" s="263">
        <v>683179</v>
      </c>
      <c r="T290" s="263">
        <v>702122</v>
      </c>
      <c r="U290" s="263">
        <f t="shared" si="177"/>
        <v>6205472</v>
      </c>
      <c r="V290" s="196" t="str">
        <f t="shared" si="150"/>
        <v>G/LOS</v>
      </c>
      <c r="W290" s="196" t="s">
        <v>1168</v>
      </c>
      <c r="X290" s="196" t="str">
        <f t="shared" si="145"/>
        <v>Y</v>
      </c>
      <c r="Y290" s="197">
        <f t="shared" si="151"/>
        <v>6205472</v>
      </c>
      <c r="Z290" s="198"/>
      <c r="AA290" s="197">
        <f t="shared" si="152"/>
        <v>6205472</v>
      </c>
      <c r="AB290" s="196" t="s">
        <v>1168</v>
      </c>
      <c r="AC290" s="196"/>
      <c r="AD290" s="275">
        <v>0.33339801998667151</v>
      </c>
      <c r="AE290" s="275">
        <v>0.66660198001332849</v>
      </c>
      <c r="AF290" s="275">
        <v>0</v>
      </c>
      <c r="AG290" s="442"/>
      <c r="AH290" s="442"/>
      <c r="AI290" s="200">
        <f t="shared" si="153"/>
        <v>0</v>
      </c>
      <c r="AJ290" s="203"/>
      <c r="AK290" s="203"/>
      <c r="AL290" s="197">
        <f t="shared" si="146"/>
        <v>6205472</v>
      </c>
      <c r="AM290" s="197">
        <f t="shared" si="147"/>
        <v>0</v>
      </c>
      <c r="AN290" s="197">
        <f t="shared" si="148"/>
        <v>0</v>
      </c>
      <c r="AO290" s="202"/>
      <c r="AP290" s="161" t="s">
        <v>3900</v>
      </c>
      <c r="AQ290" s="279"/>
      <c r="AR290" s="287">
        <f t="shared" si="154"/>
        <v>0</v>
      </c>
      <c r="AS290" s="287">
        <f t="shared" si="155"/>
        <v>0</v>
      </c>
      <c r="AT290" s="287">
        <f t="shared" si="156"/>
        <v>0</v>
      </c>
      <c r="AU290" s="287">
        <f t="shared" si="157"/>
        <v>0</v>
      </c>
      <c r="AV290" s="287">
        <f t="shared" si="158"/>
        <v>0</v>
      </c>
      <c r="AW290" s="287">
        <f t="shared" si="159"/>
        <v>0</v>
      </c>
      <c r="AX290" s="287">
        <f t="shared" si="160"/>
        <v>0</v>
      </c>
      <c r="AY290" s="287">
        <f t="shared" si="161"/>
        <v>0</v>
      </c>
      <c r="AZ290" s="287">
        <f t="shared" si="162"/>
        <v>0</v>
      </c>
      <c r="BA290" s="287">
        <f t="shared" si="163"/>
        <v>0</v>
      </c>
      <c r="BB290" s="16"/>
      <c r="BC290" s="287">
        <f t="shared" si="164"/>
        <v>0</v>
      </c>
      <c r="BD290" s="287">
        <f t="shared" si="165"/>
        <v>0</v>
      </c>
      <c r="BE290" s="287">
        <f t="shared" si="166"/>
        <v>0</v>
      </c>
      <c r="BF290" s="287">
        <f t="shared" si="167"/>
        <v>0</v>
      </c>
      <c r="BG290" s="287">
        <f t="shared" si="168"/>
        <v>0</v>
      </c>
      <c r="BH290" s="287">
        <f t="shared" si="169"/>
        <v>0</v>
      </c>
      <c r="BI290" s="287">
        <f t="shared" si="170"/>
        <v>0</v>
      </c>
      <c r="BJ290" s="287">
        <f t="shared" si="171"/>
        <v>0</v>
      </c>
      <c r="BK290" s="287">
        <f t="shared" si="172"/>
        <v>0</v>
      </c>
      <c r="BL290" s="287">
        <f t="shared" si="173"/>
        <v>0</v>
      </c>
      <c r="BM290" s="16"/>
      <c r="BN290" s="287">
        <f t="shared" si="174"/>
        <v>0</v>
      </c>
      <c r="BO290" s="287">
        <f t="shared" si="175"/>
        <v>0</v>
      </c>
      <c r="BP290" s="432"/>
      <c r="BQ290" s="21"/>
      <c r="BR290" s="21"/>
      <c r="BS290" s="39"/>
      <c r="BT290" s="39"/>
      <c r="BU290" s="39"/>
      <c r="BV290" s="39"/>
      <c r="BW290" s="39"/>
      <c r="BX290" s="39"/>
      <c r="BY290" s="39"/>
      <c r="BZ290" s="39">
        <v>277</v>
      </c>
      <c r="CA290" s="39" t="str">
        <f t="shared" si="176"/>
        <v/>
      </c>
      <c r="CB290" s="39"/>
      <c r="CC290" s="39"/>
      <c r="CD290" s="39"/>
      <c r="CE290" s="39"/>
      <c r="CF290" s="39"/>
      <c r="CG290" s="39"/>
      <c r="CH290" s="39"/>
      <c r="CI290" s="39"/>
      <c r="CJ290" s="39"/>
      <c r="CK290" s="39"/>
    </row>
    <row r="291" spans="1:89" s="193" customFormat="1">
      <c r="A291" s="195"/>
      <c r="B291" s="21" t="str">
        <f t="shared" si="149"/>
        <v>N/A</v>
      </c>
      <c r="C291" s="21"/>
      <c r="D291" s="432">
        <v>3201527</v>
      </c>
      <c r="E291" s="439" t="s">
        <v>3626</v>
      </c>
      <c r="F291" s="439" t="s">
        <v>3848</v>
      </c>
      <c r="G291" s="273" t="s">
        <v>3217</v>
      </c>
      <c r="H291" s="358"/>
      <c r="I291" s="262" t="s">
        <v>3492</v>
      </c>
      <c r="J291" s="262" t="s">
        <v>3521</v>
      </c>
      <c r="K291" s="263">
        <v>1071846</v>
      </c>
      <c r="L291" s="263">
        <v>561771</v>
      </c>
      <c r="M291" s="263">
        <v>580432</v>
      </c>
      <c r="N291" s="263">
        <v>592944</v>
      </c>
      <c r="O291" s="263">
        <v>605826</v>
      </c>
      <c r="P291" s="263">
        <v>619090</v>
      </c>
      <c r="Q291" s="263">
        <v>632744</v>
      </c>
      <c r="R291" s="263">
        <v>646798</v>
      </c>
      <c r="S291" s="263">
        <v>661341</v>
      </c>
      <c r="T291" s="263">
        <v>676302</v>
      </c>
      <c r="U291" s="263">
        <f t="shared" si="177"/>
        <v>6649094</v>
      </c>
      <c r="V291" s="196" t="str">
        <f t="shared" si="150"/>
        <v>G/LOS</v>
      </c>
      <c r="W291" s="196" t="s">
        <v>1168</v>
      </c>
      <c r="X291" s="196" t="str">
        <f t="shared" si="145"/>
        <v>Y</v>
      </c>
      <c r="Y291" s="197">
        <f t="shared" si="151"/>
        <v>6649094</v>
      </c>
      <c r="Z291" s="198"/>
      <c r="AA291" s="197">
        <f t="shared" si="152"/>
        <v>6649094</v>
      </c>
      <c r="AB291" s="196" t="s">
        <v>1168</v>
      </c>
      <c r="AC291" s="196"/>
      <c r="AD291" s="275">
        <v>0.32478054706162668</v>
      </c>
      <c r="AE291" s="275">
        <v>0.67521945293837327</v>
      </c>
      <c r="AF291" s="275">
        <v>0</v>
      </c>
      <c r="AG291" s="442"/>
      <c r="AH291" s="442"/>
      <c r="AI291" s="200">
        <f t="shared" si="153"/>
        <v>0</v>
      </c>
      <c r="AJ291" s="203"/>
      <c r="AK291" s="203"/>
      <c r="AL291" s="197">
        <f t="shared" si="146"/>
        <v>6649094</v>
      </c>
      <c r="AM291" s="197">
        <f t="shared" si="147"/>
        <v>0</v>
      </c>
      <c r="AN291" s="197">
        <f t="shared" si="148"/>
        <v>0</v>
      </c>
      <c r="AO291" s="202"/>
      <c r="AP291" s="161" t="s">
        <v>3900</v>
      </c>
      <c r="AQ291" s="279"/>
      <c r="AR291" s="287">
        <f t="shared" si="154"/>
        <v>0</v>
      </c>
      <c r="AS291" s="287">
        <f t="shared" si="155"/>
        <v>0</v>
      </c>
      <c r="AT291" s="287">
        <f t="shared" si="156"/>
        <v>0</v>
      </c>
      <c r="AU291" s="287">
        <f t="shared" si="157"/>
        <v>0</v>
      </c>
      <c r="AV291" s="287">
        <f t="shared" si="158"/>
        <v>0</v>
      </c>
      <c r="AW291" s="287">
        <f t="shared" si="159"/>
        <v>0</v>
      </c>
      <c r="AX291" s="287">
        <f t="shared" si="160"/>
        <v>0</v>
      </c>
      <c r="AY291" s="287">
        <f t="shared" si="161"/>
        <v>0</v>
      </c>
      <c r="AZ291" s="287">
        <f t="shared" si="162"/>
        <v>0</v>
      </c>
      <c r="BA291" s="287">
        <f t="shared" si="163"/>
        <v>0</v>
      </c>
      <c r="BB291" s="16"/>
      <c r="BC291" s="287">
        <f t="shared" si="164"/>
        <v>0</v>
      </c>
      <c r="BD291" s="287">
        <f t="shared" si="165"/>
        <v>0</v>
      </c>
      <c r="BE291" s="287">
        <f t="shared" si="166"/>
        <v>0</v>
      </c>
      <c r="BF291" s="287">
        <f t="shared" si="167"/>
        <v>0</v>
      </c>
      <c r="BG291" s="287">
        <f t="shared" si="168"/>
        <v>0</v>
      </c>
      <c r="BH291" s="287">
        <f t="shared" si="169"/>
        <v>0</v>
      </c>
      <c r="BI291" s="287">
        <f t="shared" si="170"/>
        <v>0</v>
      </c>
      <c r="BJ291" s="287">
        <f t="shared" si="171"/>
        <v>0</v>
      </c>
      <c r="BK291" s="287">
        <f t="shared" si="172"/>
        <v>0</v>
      </c>
      <c r="BL291" s="287">
        <f t="shared" si="173"/>
        <v>0</v>
      </c>
      <c r="BM291" s="16"/>
      <c r="BN291" s="287">
        <f t="shared" si="174"/>
        <v>0</v>
      </c>
      <c r="BO291" s="287">
        <f t="shared" si="175"/>
        <v>0</v>
      </c>
      <c r="BP291" s="432"/>
      <c r="BQ291" s="21"/>
      <c r="BR291" s="21"/>
      <c r="BS291" s="39"/>
      <c r="BT291" s="39"/>
      <c r="BU291" s="39"/>
      <c r="BV291" s="39"/>
      <c r="BW291" s="39"/>
      <c r="BX291" s="39"/>
      <c r="BY291" s="39"/>
      <c r="BZ291" s="39">
        <v>278</v>
      </c>
      <c r="CA291" s="39" t="str">
        <f t="shared" si="176"/>
        <v/>
      </c>
      <c r="CB291" s="39"/>
      <c r="CC291" s="39"/>
      <c r="CD291" s="39"/>
      <c r="CE291" s="39"/>
      <c r="CF291" s="39"/>
      <c r="CG291" s="39"/>
      <c r="CH291" s="39"/>
      <c r="CI291" s="39"/>
      <c r="CJ291" s="39"/>
      <c r="CK291" s="39"/>
    </row>
    <row r="292" spans="1:89" s="193" customFormat="1">
      <c r="A292" s="195"/>
      <c r="B292" s="21" t="str">
        <f t="shared" si="149"/>
        <v>N/A</v>
      </c>
      <c r="C292" s="21"/>
      <c r="D292" s="432">
        <v>3201527</v>
      </c>
      <c r="E292" s="439" t="s">
        <v>3626</v>
      </c>
      <c r="F292" s="439" t="s">
        <v>3849</v>
      </c>
      <c r="G292" s="273" t="s">
        <v>3213</v>
      </c>
      <c r="H292" s="358"/>
      <c r="I292" s="262" t="s">
        <v>3492</v>
      </c>
      <c r="J292" s="262" t="s">
        <v>3526</v>
      </c>
      <c r="K292" s="263">
        <v>1274978</v>
      </c>
      <c r="L292" s="263">
        <v>384736</v>
      </c>
      <c r="M292" s="263">
        <v>405259</v>
      </c>
      <c r="N292" s="263">
        <v>421673</v>
      </c>
      <c r="O292" s="263">
        <v>438582</v>
      </c>
      <c r="P292" s="263">
        <v>456004</v>
      </c>
      <c r="Q292" s="263">
        <v>473954</v>
      </c>
      <c r="R292" s="263">
        <v>492452</v>
      </c>
      <c r="S292" s="263">
        <v>511053</v>
      </c>
      <c r="T292" s="263">
        <v>530227</v>
      </c>
      <c r="U292" s="263">
        <f t="shared" si="177"/>
        <v>5388918</v>
      </c>
      <c r="V292" s="196" t="str">
        <f t="shared" si="150"/>
        <v>G/LOS</v>
      </c>
      <c r="W292" s="196" t="s">
        <v>1168</v>
      </c>
      <c r="X292" s="196" t="str">
        <f t="shared" si="145"/>
        <v>Y</v>
      </c>
      <c r="Y292" s="197">
        <f t="shared" si="151"/>
        <v>5388918</v>
      </c>
      <c r="Z292" s="198"/>
      <c r="AA292" s="197">
        <f t="shared" si="152"/>
        <v>5388918</v>
      </c>
      <c r="AB292" s="196" t="s">
        <v>1168</v>
      </c>
      <c r="AC292" s="196"/>
      <c r="AD292" s="275">
        <v>0.53850541638035354</v>
      </c>
      <c r="AE292" s="275">
        <v>0.46149458361964635</v>
      </c>
      <c r="AF292" s="275">
        <v>0</v>
      </c>
      <c r="AG292" s="442"/>
      <c r="AH292" s="442"/>
      <c r="AI292" s="200">
        <f t="shared" si="153"/>
        <v>0</v>
      </c>
      <c r="AJ292" s="203"/>
      <c r="AK292" s="203"/>
      <c r="AL292" s="197">
        <f t="shared" si="146"/>
        <v>5388918</v>
      </c>
      <c r="AM292" s="197">
        <f t="shared" si="147"/>
        <v>0</v>
      </c>
      <c r="AN292" s="197">
        <f t="shared" si="148"/>
        <v>0</v>
      </c>
      <c r="AO292" s="202"/>
      <c r="AP292" s="161" t="s">
        <v>3900</v>
      </c>
      <c r="AQ292" s="279"/>
      <c r="AR292" s="287">
        <f t="shared" si="154"/>
        <v>0</v>
      </c>
      <c r="AS292" s="287">
        <f t="shared" si="155"/>
        <v>0</v>
      </c>
      <c r="AT292" s="287">
        <f t="shared" si="156"/>
        <v>0</v>
      </c>
      <c r="AU292" s="287">
        <f t="shared" si="157"/>
        <v>0</v>
      </c>
      <c r="AV292" s="287">
        <f t="shared" si="158"/>
        <v>0</v>
      </c>
      <c r="AW292" s="287">
        <f t="shared" si="159"/>
        <v>0</v>
      </c>
      <c r="AX292" s="287">
        <f t="shared" si="160"/>
        <v>0</v>
      </c>
      <c r="AY292" s="287">
        <f t="shared" si="161"/>
        <v>0</v>
      </c>
      <c r="AZ292" s="287">
        <f t="shared" si="162"/>
        <v>0</v>
      </c>
      <c r="BA292" s="287">
        <f t="shared" si="163"/>
        <v>0</v>
      </c>
      <c r="BB292" s="16"/>
      <c r="BC292" s="287">
        <f t="shared" si="164"/>
        <v>0</v>
      </c>
      <c r="BD292" s="287">
        <f t="shared" si="165"/>
        <v>0</v>
      </c>
      <c r="BE292" s="287">
        <f t="shared" si="166"/>
        <v>0</v>
      </c>
      <c r="BF292" s="287">
        <f t="shared" si="167"/>
        <v>0</v>
      </c>
      <c r="BG292" s="287">
        <f t="shared" si="168"/>
        <v>0</v>
      </c>
      <c r="BH292" s="287">
        <f t="shared" si="169"/>
        <v>0</v>
      </c>
      <c r="BI292" s="287">
        <f t="shared" si="170"/>
        <v>0</v>
      </c>
      <c r="BJ292" s="287">
        <f t="shared" si="171"/>
        <v>0</v>
      </c>
      <c r="BK292" s="287">
        <f t="shared" si="172"/>
        <v>0</v>
      </c>
      <c r="BL292" s="287">
        <f t="shared" si="173"/>
        <v>0</v>
      </c>
      <c r="BM292" s="16"/>
      <c r="BN292" s="287">
        <f t="shared" si="174"/>
        <v>0</v>
      </c>
      <c r="BO292" s="287">
        <f t="shared" si="175"/>
        <v>0</v>
      </c>
      <c r="BP292" s="432"/>
      <c r="BQ292" s="21"/>
      <c r="BR292" s="21"/>
      <c r="BS292" s="39"/>
      <c r="BT292" s="39"/>
      <c r="BU292" s="39"/>
      <c r="BV292" s="39"/>
      <c r="BW292" s="39"/>
      <c r="BX292" s="39"/>
      <c r="BY292" s="39"/>
      <c r="BZ292" s="39">
        <v>279</v>
      </c>
      <c r="CA292" s="39" t="str">
        <f t="shared" si="176"/>
        <v/>
      </c>
      <c r="CB292" s="39"/>
      <c r="CC292" s="39"/>
      <c r="CD292" s="39"/>
      <c r="CE292" s="39"/>
      <c r="CF292" s="39"/>
      <c r="CG292" s="39"/>
      <c r="CH292" s="39"/>
      <c r="CI292" s="39"/>
      <c r="CJ292" s="39"/>
      <c r="CK292" s="39"/>
    </row>
    <row r="293" spans="1:89" s="193" customFormat="1">
      <c r="A293" s="195"/>
      <c r="B293" s="21" t="str">
        <f t="shared" si="149"/>
        <v>N/A</v>
      </c>
      <c r="C293" s="21"/>
      <c r="D293" s="432">
        <v>3201527</v>
      </c>
      <c r="E293" s="439" t="s">
        <v>3626</v>
      </c>
      <c r="F293" s="439" t="s">
        <v>3850</v>
      </c>
      <c r="G293" s="273" t="s">
        <v>3227</v>
      </c>
      <c r="H293" s="358"/>
      <c r="I293" s="262" t="s">
        <v>3492</v>
      </c>
      <c r="J293" s="262" t="s">
        <v>3518</v>
      </c>
      <c r="K293" s="263">
        <v>401866</v>
      </c>
      <c r="L293" s="263">
        <v>418316</v>
      </c>
      <c r="M293" s="263">
        <v>435422</v>
      </c>
      <c r="N293" s="263">
        <v>447651</v>
      </c>
      <c r="O293" s="263">
        <v>460247</v>
      </c>
      <c r="P293" s="263">
        <v>473219</v>
      </c>
      <c r="Q293" s="263">
        <v>486580</v>
      </c>
      <c r="R293" s="263">
        <v>500339</v>
      </c>
      <c r="S293" s="263">
        <v>514207</v>
      </c>
      <c r="T293" s="263">
        <v>528488</v>
      </c>
      <c r="U293" s="263">
        <f t="shared" si="177"/>
        <v>4666335</v>
      </c>
      <c r="V293" s="196" t="str">
        <f t="shared" si="150"/>
        <v>LOS</v>
      </c>
      <c r="W293" s="196" t="s">
        <v>1168</v>
      </c>
      <c r="X293" s="196" t="str">
        <f t="shared" si="145"/>
        <v>N</v>
      </c>
      <c r="Y293" s="197">
        <f t="shared" si="151"/>
        <v>4666335</v>
      </c>
      <c r="Z293" s="198"/>
      <c r="AA293" s="197">
        <f t="shared" si="152"/>
        <v>4666335</v>
      </c>
      <c r="AB293" s="196"/>
      <c r="AC293" s="196"/>
      <c r="AD293" s="275">
        <v>0</v>
      </c>
      <c r="AE293" s="275">
        <v>1</v>
      </c>
      <c r="AF293" s="275">
        <v>0</v>
      </c>
      <c r="AG293" s="442"/>
      <c r="AH293" s="442"/>
      <c r="AI293" s="200">
        <f t="shared" si="153"/>
        <v>0</v>
      </c>
      <c r="AJ293" s="203"/>
      <c r="AK293" s="203"/>
      <c r="AL293" s="197">
        <f t="shared" si="146"/>
        <v>4666335</v>
      </c>
      <c r="AM293" s="197">
        <f t="shared" si="147"/>
        <v>0</v>
      </c>
      <c r="AN293" s="197">
        <f t="shared" si="148"/>
        <v>0</v>
      </c>
      <c r="AO293" s="202"/>
      <c r="AP293" s="161" t="s">
        <v>3900</v>
      </c>
      <c r="AQ293" s="279"/>
      <c r="AR293" s="287">
        <f t="shared" si="154"/>
        <v>0</v>
      </c>
      <c r="AS293" s="287">
        <f t="shared" si="155"/>
        <v>0</v>
      </c>
      <c r="AT293" s="287">
        <f t="shared" si="156"/>
        <v>0</v>
      </c>
      <c r="AU293" s="287">
        <f t="shared" si="157"/>
        <v>0</v>
      </c>
      <c r="AV293" s="287">
        <f t="shared" si="158"/>
        <v>0</v>
      </c>
      <c r="AW293" s="287">
        <f t="shared" si="159"/>
        <v>0</v>
      </c>
      <c r="AX293" s="287">
        <f t="shared" si="160"/>
        <v>0</v>
      </c>
      <c r="AY293" s="287">
        <f t="shared" si="161"/>
        <v>0</v>
      </c>
      <c r="AZ293" s="287">
        <f t="shared" si="162"/>
        <v>0</v>
      </c>
      <c r="BA293" s="287">
        <f t="shared" si="163"/>
        <v>0</v>
      </c>
      <c r="BB293" s="16"/>
      <c r="BC293" s="287">
        <f t="shared" si="164"/>
        <v>0</v>
      </c>
      <c r="BD293" s="287">
        <f t="shared" si="165"/>
        <v>0</v>
      </c>
      <c r="BE293" s="287">
        <f t="shared" si="166"/>
        <v>0</v>
      </c>
      <c r="BF293" s="287">
        <f t="shared" si="167"/>
        <v>0</v>
      </c>
      <c r="BG293" s="287">
        <f t="shared" si="168"/>
        <v>0</v>
      </c>
      <c r="BH293" s="287">
        <f t="shared" si="169"/>
        <v>0</v>
      </c>
      <c r="BI293" s="287">
        <f t="shared" si="170"/>
        <v>0</v>
      </c>
      <c r="BJ293" s="287">
        <f t="shared" si="171"/>
        <v>0</v>
      </c>
      <c r="BK293" s="287">
        <f t="shared" si="172"/>
        <v>0</v>
      </c>
      <c r="BL293" s="287">
        <f t="shared" si="173"/>
        <v>0</v>
      </c>
      <c r="BM293" s="16"/>
      <c r="BN293" s="287">
        <f t="shared" si="174"/>
        <v>0</v>
      </c>
      <c r="BO293" s="287">
        <f t="shared" si="175"/>
        <v>0</v>
      </c>
      <c r="BP293" s="432"/>
      <c r="BQ293" s="21"/>
      <c r="BR293" s="21"/>
      <c r="BS293" s="39"/>
      <c r="BT293" s="39"/>
      <c r="BU293" s="39"/>
      <c r="BV293" s="39"/>
      <c r="BW293" s="39"/>
      <c r="BX293" s="39"/>
      <c r="BY293" s="39"/>
      <c r="BZ293" s="39">
        <v>280</v>
      </c>
      <c r="CA293" s="39" t="str">
        <f t="shared" si="176"/>
        <v/>
      </c>
      <c r="CB293" s="39"/>
      <c r="CC293" s="39"/>
      <c r="CD293" s="39"/>
      <c r="CE293" s="39"/>
      <c r="CF293" s="39"/>
      <c r="CG293" s="39"/>
      <c r="CH293" s="39"/>
      <c r="CI293" s="39"/>
      <c r="CJ293" s="39"/>
      <c r="CK293" s="39"/>
    </row>
    <row r="294" spans="1:89" s="193" customFormat="1">
      <c r="A294" s="195"/>
      <c r="B294" s="21" t="str">
        <f t="shared" si="149"/>
        <v>N/A</v>
      </c>
      <c r="C294" s="21"/>
      <c r="D294" s="432">
        <v>3201527</v>
      </c>
      <c r="E294" s="439" t="s">
        <v>3626</v>
      </c>
      <c r="F294" s="439" t="s">
        <v>3851</v>
      </c>
      <c r="G294" s="273" t="s">
        <v>3221</v>
      </c>
      <c r="H294" s="358"/>
      <c r="I294" s="262" t="s">
        <v>3492</v>
      </c>
      <c r="J294" s="262" t="s">
        <v>3505</v>
      </c>
      <c r="K294" s="263">
        <v>675854</v>
      </c>
      <c r="L294" s="263">
        <v>703424</v>
      </c>
      <c r="M294" s="263">
        <v>732094</v>
      </c>
      <c r="N294" s="263">
        <v>762685</v>
      </c>
      <c r="O294" s="263">
        <v>794199</v>
      </c>
      <c r="P294" s="263">
        <v>826669</v>
      </c>
      <c r="Q294" s="263">
        <v>860127</v>
      </c>
      <c r="R294" s="263">
        <v>894605</v>
      </c>
      <c r="S294" s="263">
        <v>930891</v>
      </c>
      <c r="T294" s="263">
        <v>968301</v>
      </c>
      <c r="U294" s="263">
        <f t="shared" si="177"/>
        <v>8148849</v>
      </c>
      <c r="V294" s="196" t="str">
        <f t="shared" si="150"/>
        <v>G/LOS</v>
      </c>
      <c r="W294" s="196" t="s">
        <v>1168</v>
      </c>
      <c r="X294" s="196" t="str">
        <f t="shared" si="145"/>
        <v>Y</v>
      </c>
      <c r="Y294" s="197">
        <f t="shared" si="151"/>
        <v>8148849</v>
      </c>
      <c r="Z294" s="198"/>
      <c r="AA294" s="197">
        <f t="shared" si="152"/>
        <v>8148849</v>
      </c>
      <c r="AB294" s="196" t="s">
        <v>1168</v>
      </c>
      <c r="AC294" s="196"/>
      <c r="AD294" s="275">
        <v>0.69511600246393479</v>
      </c>
      <c r="AE294" s="275">
        <v>0.30488399753606521</v>
      </c>
      <c r="AF294" s="275">
        <v>0</v>
      </c>
      <c r="AG294" s="442"/>
      <c r="AH294" s="442"/>
      <c r="AI294" s="200">
        <f t="shared" si="153"/>
        <v>0</v>
      </c>
      <c r="AJ294" s="203"/>
      <c r="AK294" s="203"/>
      <c r="AL294" s="197">
        <f t="shared" si="146"/>
        <v>8148849</v>
      </c>
      <c r="AM294" s="197">
        <f t="shared" si="147"/>
        <v>0</v>
      </c>
      <c r="AN294" s="197">
        <f t="shared" si="148"/>
        <v>0</v>
      </c>
      <c r="AO294" s="202"/>
      <c r="AP294" s="161" t="s">
        <v>3900</v>
      </c>
      <c r="AQ294" s="279"/>
      <c r="AR294" s="287">
        <f t="shared" si="154"/>
        <v>0</v>
      </c>
      <c r="AS294" s="287">
        <f t="shared" si="155"/>
        <v>0</v>
      </c>
      <c r="AT294" s="287">
        <f t="shared" si="156"/>
        <v>0</v>
      </c>
      <c r="AU294" s="287">
        <f t="shared" si="157"/>
        <v>0</v>
      </c>
      <c r="AV294" s="287">
        <f t="shared" si="158"/>
        <v>0</v>
      </c>
      <c r="AW294" s="287">
        <f t="shared" si="159"/>
        <v>0</v>
      </c>
      <c r="AX294" s="287">
        <f t="shared" si="160"/>
        <v>0</v>
      </c>
      <c r="AY294" s="287">
        <f t="shared" si="161"/>
        <v>0</v>
      </c>
      <c r="AZ294" s="287">
        <f t="shared" si="162"/>
        <v>0</v>
      </c>
      <c r="BA294" s="287">
        <f t="shared" si="163"/>
        <v>0</v>
      </c>
      <c r="BB294" s="16"/>
      <c r="BC294" s="287">
        <f t="shared" si="164"/>
        <v>0</v>
      </c>
      <c r="BD294" s="287">
        <f t="shared" si="165"/>
        <v>0</v>
      </c>
      <c r="BE294" s="287">
        <f t="shared" si="166"/>
        <v>0</v>
      </c>
      <c r="BF294" s="287">
        <f t="shared" si="167"/>
        <v>0</v>
      </c>
      <c r="BG294" s="287">
        <f t="shared" si="168"/>
        <v>0</v>
      </c>
      <c r="BH294" s="287">
        <f t="shared" si="169"/>
        <v>0</v>
      </c>
      <c r="BI294" s="287">
        <f t="shared" si="170"/>
        <v>0</v>
      </c>
      <c r="BJ294" s="287">
        <f t="shared" si="171"/>
        <v>0</v>
      </c>
      <c r="BK294" s="287">
        <f t="shared" si="172"/>
        <v>0</v>
      </c>
      <c r="BL294" s="287">
        <f t="shared" si="173"/>
        <v>0</v>
      </c>
      <c r="BM294" s="16"/>
      <c r="BN294" s="287">
        <f t="shared" si="174"/>
        <v>0</v>
      </c>
      <c r="BO294" s="287">
        <f t="shared" si="175"/>
        <v>0</v>
      </c>
      <c r="BP294" s="432"/>
      <c r="BQ294" s="21"/>
      <c r="BR294" s="21"/>
      <c r="BS294" s="39"/>
      <c r="BT294" s="39"/>
      <c r="BU294" s="39"/>
      <c r="BV294" s="39"/>
      <c r="BW294" s="39"/>
      <c r="BX294" s="39"/>
      <c r="BY294" s="39"/>
      <c r="BZ294" s="39">
        <v>281</v>
      </c>
      <c r="CA294" s="39" t="str">
        <f t="shared" si="176"/>
        <v/>
      </c>
      <c r="CB294" s="39"/>
      <c r="CC294" s="39"/>
      <c r="CD294" s="39"/>
      <c r="CE294" s="39"/>
      <c r="CF294" s="39"/>
      <c r="CG294" s="39"/>
      <c r="CH294" s="39"/>
      <c r="CI294" s="39"/>
      <c r="CJ294" s="39"/>
      <c r="CK294" s="39"/>
    </row>
    <row r="295" spans="1:89" s="193" customFormat="1">
      <c r="A295" s="195"/>
      <c r="B295" s="21" t="str">
        <f t="shared" si="149"/>
        <v>N/A</v>
      </c>
      <c r="C295" s="21"/>
      <c r="D295" s="432">
        <v>3201527</v>
      </c>
      <c r="E295" s="439" t="s">
        <v>3626</v>
      </c>
      <c r="F295" s="439" t="s">
        <v>3852</v>
      </c>
      <c r="G295" s="273" t="s">
        <v>3216</v>
      </c>
      <c r="H295" s="358"/>
      <c r="I295" s="262" t="s">
        <v>3492</v>
      </c>
      <c r="J295" s="262" t="s">
        <v>3509</v>
      </c>
      <c r="K295" s="263">
        <v>1083019</v>
      </c>
      <c r="L295" s="263">
        <v>452192</v>
      </c>
      <c r="M295" s="263">
        <v>481438</v>
      </c>
      <c r="N295" s="263">
        <v>507217</v>
      </c>
      <c r="O295" s="263">
        <v>533777</v>
      </c>
      <c r="P295" s="263">
        <v>561147</v>
      </c>
      <c r="Q295" s="263">
        <v>589356</v>
      </c>
      <c r="R295" s="263">
        <v>618433</v>
      </c>
      <c r="S295" s="263">
        <v>645370</v>
      </c>
      <c r="T295" s="263">
        <v>673148</v>
      </c>
      <c r="U295" s="263">
        <f t="shared" si="177"/>
        <v>6145097</v>
      </c>
      <c r="V295" s="196" t="str">
        <f t="shared" si="150"/>
        <v>LOS</v>
      </c>
      <c r="W295" s="196" t="s">
        <v>1168</v>
      </c>
      <c r="X295" s="196" t="str">
        <f t="shared" si="145"/>
        <v>N</v>
      </c>
      <c r="Y295" s="197">
        <f t="shared" si="151"/>
        <v>6145097</v>
      </c>
      <c r="Z295" s="198"/>
      <c r="AA295" s="197">
        <f t="shared" si="152"/>
        <v>6145097</v>
      </c>
      <c r="AB295" s="196"/>
      <c r="AC295" s="196"/>
      <c r="AD295" s="275">
        <v>0</v>
      </c>
      <c r="AE295" s="275">
        <v>1</v>
      </c>
      <c r="AF295" s="275">
        <v>0</v>
      </c>
      <c r="AG295" s="442"/>
      <c r="AH295" s="442"/>
      <c r="AI295" s="200">
        <f t="shared" si="153"/>
        <v>0</v>
      </c>
      <c r="AJ295" s="203"/>
      <c r="AK295" s="203"/>
      <c r="AL295" s="197">
        <f t="shared" si="146"/>
        <v>6145097</v>
      </c>
      <c r="AM295" s="197">
        <f t="shared" si="147"/>
        <v>0</v>
      </c>
      <c r="AN295" s="197">
        <f t="shared" si="148"/>
        <v>0</v>
      </c>
      <c r="AO295" s="202"/>
      <c r="AP295" s="161" t="s">
        <v>3900</v>
      </c>
      <c r="AQ295" s="279"/>
      <c r="AR295" s="287">
        <f t="shared" si="154"/>
        <v>0</v>
      </c>
      <c r="AS295" s="287">
        <f t="shared" si="155"/>
        <v>0</v>
      </c>
      <c r="AT295" s="287">
        <f t="shared" si="156"/>
        <v>0</v>
      </c>
      <c r="AU295" s="287">
        <f t="shared" si="157"/>
        <v>0</v>
      </c>
      <c r="AV295" s="287">
        <f t="shared" si="158"/>
        <v>0</v>
      </c>
      <c r="AW295" s="287">
        <f t="shared" si="159"/>
        <v>0</v>
      </c>
      <c r="AX295" s="287">
        <f t="shared" si="160"/>
        <v>0</v>
      </c>
      <c r="AY295" s="287">
        <f t="shared" si="161"/>
        <v>0</v>
      </c>
      <c r="AZ295" s="287">
        <f t="shared" si="162"/>
        <v>0</v>
      </c>
      <c r="BA295" s="287">
        <f t="shared" si="163"/>
        <v>0</v>
      </c>
      <c r="BB295" s="16"/>
      <c r="BC295" s="287">
        <f t="shared" si="164"/>
        <v>0</v>
      </c>
      <c r="BD295" s="287">
        <f t="shared" si="165"/>
        <v>0</v>
      </c>
      <c r="BE295" s="287">
        <f t="shared" si="166"/>
        <v>0</v>
      </c>
      <c r="BF295" s="287">
        <f t="shared" si="167"/>
        <v>0</v>
      </c>
      <c r="BG295" s="287">
        <f t="shared" si="168"/>
        <v>0</v>
      </c>
      <c r="BH295" s="287">
        <f t="shared" si="169"/>
        <v>0</v>
      </c>
      <c r="BI295" s="287">
        <f t="shared" si="170"/>
        <v>0</v>
      </c>
      <c r="BJ295" s="287">
        <f t="shared" si="171"/>
        <v>0</v>
      </c>
      <c r="BK295" s="287">
        <f t="shared" si="172"/>
        <v>0</v>
      </c>
      <c r="BL295" s="287">
        <f t="shared" si="173"/>
        <v>0</v>
      </c>
      <c r="BM295" s="16"/>
      <c r="BN295" s="287">
        <f t="shared" si="174"/>
        <v>0</v>
      </c>
      <c r="BO295" s="287">
        <f t="shared" si="175"/>
        <v>0</v>
      </c>
      <c r="BP295" s="432"/>
      <c r="BQ295" s="21"/>
      <c r="BR295" s="21"/>
      <c r="BS295" s="39"/>
      <c r="BT295" s="39"/>
      <c r="BU295" s="39"/>
      <c r="BV295" s="39"/>
      <c r="BW295" s="39"/>
      <c r="BX295" s="39"/>
      <c r="BY295" s="39"/>
      <c r="BZ295" s="39">
        <v>282</v>
      </c>
      <c r="CA295" s="39" t="str">
        <f t="shared" si="176"/>
        <v/>
      </c>
      <c r="CB295" s="39"/>
      <c r="CC295" s="39"/>
      <c r="CD295" s="39"/>
      <c r="CE295" s="39"/>
      <c r="CF295" s="39"/>
      <c r="CG295" s="39"/>
      <c r="CH295" s="39"/>
      <c r="CI295" s="39"/>
      <c r="CJ295" s="39"/>
      <c r="CK295" s="39"/>
    </row>
    <row r="296" spans="1:89" s="193" customFormat="1">
      <c r="A296" s="195"/>
      <c r="B296" s="21" t="str">
        <f t="shared" si="149"/>
        <v>N/A</v>
      </c>
      <c r="C296" s="21"/>
      <c r="D296" s="432">
        <v>3201527</v>
      </c>
      <c r="E296" s="439" t="s">
        <v>3626</v>
      </c>
      <c r="F296" s="439" t="s">
        <v>3853</v>
      </c>
      <c r="G296" s="273" t="s">
        <v>3226</v>
      </c>
      <c r="H296" s="358"/>
      <c r="I296" s="262" t="s">
        <v>3492</v>
      </c>
      <c r="J296" s="262" t="s">
        <v>3513</v>
      </c>
      <c r="K296" s="263">
        <v>495158</v>
      </c>
      <c r="L296" s="263">
        <v>113525</v>
      </c>
      <c r="M296" s="263">
        <v>118066</v>
      </c>
      <c r="N296" s="263">
        <v>121608</v>
      </c>
      <c r="O296" s="263">
        <v>125256</v>
      </c>
      <c r="P296" s="263">
        <v>129014</v>
      </c>
      <c r="Q296" s="263">
        <v>132884</v>
      </c>
      <c r="R296" s="263">
        <v>136871</v>
      </c>
      <c r="S296" s="263">
        <v>140977</v>
      </c>
      <c r="T296" s="263">
        <v>145206</v>
      </c>
      <c r="U296" s="263">
        <f t="shared" si="177"/>
        <v>1658565</v>
      </c>
      <c r="V296" s="196" t="str">
        <f t="shared" si="150"/>
        <v>LOS/R</v>
      </c>
      <c r="W296" s="196" t="s">
        <v>1168</v>
      </c>
      <c r="X296" s="196" t="str">
        <f t="shared" si="145"/>
        <v>N</v>
      </c>
      <c r="Y296" s="197">
        <f t="shared" si="151"/>
        <v>1658565</v>
      </c>
      <c r="Z296" s="198"/>
      <c r="AA296" s="197">
        <f t="shared" si="152"/>
        <v>1658565</v>
      </c>
      <c r="AB296" s="196"/>
      <c r="AC296" s="196"/>
      <c r="AD296" s="275">
        <v>0</v>
      </c>
      <c r="AE296" s="275">
        <v>0.4180538344895583</v>
      </c>
      <c r="AF296" s="275">
        <v>0.58194616551044165</v>
      </c>
      <c r="AG296" s="442"/>
      <c r="AH296" s="442"/>
      <c r="AI296" s="200">
        <f t="shared" si="153"/>
        <v>0</v>
      </c>
      <c r="AJ296" s="203"/>
      <c r="AK296" s="203"/>
      <c r="AL296" s="197">
        <f t="shared" si="146"/>
        <v>1658565</v>
      </c>
      <c r="AM296" s="197">
        <f t="shared" si="147"/>
        <v>0</v>
      </c>
      <c r="AN296" s="197">
        <f t="shared" si="148"/>
        <v>0</v>
      </c>
      <c r="AO296" s="202"/>
      <c r="AP296" s="161" t="s">
        <v>3900</v>
      </c>
      <c r="AQ296" s="279"/>
      <c r="AR296" s="287">
        <f t="shared" si="154"/>
        <v>0</v>
      </c>
      <c r="AS296" s="287">
        <f t="shared" si="155"/>
        <v>0</v>
      </c>
      <c r="AT296" s="287">
        <f t="shared" si="156"/>
        <v>0</v>
      </c>
      <c r="AU296" s="287">
        <f t="shared" si="157"/>
        <v>0</v>
      </c>
      <c r="AV296" s="287">
        <f t="shared" si="158"/>
        <v>0</v>
      </c>
      <c r="AW296" s="287">
        <f t="shared" si="159"/>
        <v>0</v>
      </c>
      <c r="AX296" s="287">
        <f t="shared" si="160"/>
        <v>0</v>
      </c>
      <c r="AY296" s="287">
        <f t="shared" si="161"/>
        <v>0</v>
      </c>
      <c r="AZ296" s="287">
        <f t="shared" si="162"/>
        <v>0</v>
      </c>
      <c r="BA296" s="287">
        <f t="shared" si="163"/>
        <v>0</v>
      </c>
      <c r="BB296" s="16"/>
      <c r="BC296" s="287">
        <f t="shared" si="164"/>
        <v>0</v>
      </c>
      <c r="BD296" s="287">
        <f t="shared" si="165"/>
        <v>0</v>
      </c>
      <c r="BE296" s="287">
        <f t="shared" si="166"/>
        <v>0</v>
      </c>
      <c r="BF296" s="287">
        <f t="shared" si="167"/>
        <v>0</v>
      </c>
      <c r="BG296" s="287">
        <f t="shared" si="168"/>
        <v>0</v>
      </c>
      <c r="BH296" s="287">
        <f t="shared" si="169"/>
        <v>0</v>
      </c>
      <c r="BI296" s="287">
        <f t="shared" si="170"/>
        <v>0</v>
      </c>
      <c r="BJ296" s="287">
        <f t="shared" si="171"/>
        <v>0</v>
      </c>
      <c r="BK296" s="287">
        <f t="shared" si="172"/>
        <v>0</v>
      </c>
      <c r="BL296" s="287">
        <f t="shared" si="173"/>
        <v>0</v>
      </c>
      <c r="BM296" s="16"/>
      <c r="BN296" s="287">
        <f t="shared" si="174"/>
        <v>0</v>
      </c>
      <c r="BO296" s="287">
        <f t="shared" si="175"/>
        <v>0</v>
      </c>
      <c r="BP296" s="432"/>
      <c r="BQ296" s="21"/>
      <c r="BR296" s="21"/>
      <c r="BS296" s="39"/>
      <c r="BT296" s="39"/>
      <c r="BU296" s="39"/>
      <c r="BV296" s="39"/>
      <c r="BW296" s="39"/>
      <c r="BX296" s="39"/>
      <c r="BY296" s="39"/>
      <c r="BZ296" s="39">
        <v>283</v>
      </c>
      <c r="CA296" s="39" t="str">
        <f t="shared" si="176"/>
        <v/>
      </c>
      <c r="CB296" s="39"/>
      <c r="CC296" s="39"/>
      <c r="CD296" s="39"/>
      <c r="CE296" s="39"/>
      <c r="CF296" s="39"/>
      <c r="CG296" s="39"/>
      <c r="CH296" s="39"/>
      <c r="CI296" s="39"/>
      <c r="CJ296" s="39"/>
      <c r="CK296" s="39"/>
    </row>
    <row r="297" spans="1:89" s="193" customFormat="1">
      <c r="A297" s="195"/>
      <c r="B297" s="21" t="str">
        <f t="shared" si="149"/>
        <v>N/A</v>
      </c>
      <c r="C297" s="21"/>
      <c r="D297" s="432">
        <v>3201527</v>
      </c>
      <c r="E297" s="439" t="s">
        <v>3626</v>
      </c>
      <c r="F297" s="439" t="s">
        <v>3855</v>
      </c>
      <c r="G297" s="273" t="s">
        <v>3219</v>
      </c>
      <c r="H297" s="358"/>
      <c r="I297" s="262" t="s">
        <v>3492</v>
      </c>
      <c r="J297" s="262" t="s">
        <v>3510</v>
      </c>
      <c r="K297" s="263">
        <v>826525</v>
      </c>
      <c r="L297" s="263">
        <v>632979</v>
      </c>
      <c r="M297" s="263">
        <v>662550</v>
      </c>
      <c r="N297" s="263">
        <v>685427</v>
      </c>
      <c r="O297" s="263">
        <v>708992</v>
      </c>
      <c r="P297" s="263">
        <v>733268</v>
      </c>
      <c r="Q297" s="263">
        <v>758277</v>
      </c>
      <c r="R297" s="263">
        <v>784042</v>
      </c>
      <c r="S297" s="263">
        <v>809218</v>
      </c>
      <c r="T297" s="263">
        <v>835157</v>
      </c>
      <c r="U297" s="263">
        <f t="shared" si="177"/>
        <v>7436435</v>
      </c>
      <c r="V297" s="196" t="str">
        <f t="shared" si="150"/>
        <v>G/LOS/R</v>
      </c>
      <c r="W297" s="196" t="s">
        <v>1168</v>
      </c>
      <c r="X297" s="196" t="str">
        <f t="shared" si="145"/>
        <v>Y</v>
      </c>
      <c r="Y297" s="197">
        <f t="shared" si="151"/>
        <v>7436435</v>
      </c>
      <c r="Z297" s="198"/>
      <c r="AA297" s="197">
        <f t="shared" si="152"/>
        <v>7436435</v>
      </c>
      <c r="AB297" s="196" t="s">
        <v>1168</v>
      </c>
      <c r="AC297" s="196"/>
      <c r="AD297" s="275">
        <v>0.22566283684154143</v>
      </c>
      <c r="AE297" s="275">
        <v>0.54183605853384009</v>
      </c>
      <c r="AF297" s="275">
        <v>0.23250110462461845</v>
      </c>
      <c r="AG297" s="442"/>
      <c r="AH297" s="442"/>
      <c r="AI297" s="200">
        <f t="shared" si="153"/>
        <v>0</v>
      </c>
      <c r="AJ297" s="203"/>
      <c r="AK297" s="203"/>
      <c r="AL297" s="197">
        <f t="shared" si="146"/>
        <v>7436435</v>
      </c>
      <c r="AM297" s="197">
        <f t="shared" si="147"/>
        <v>0</v>
      </c>
      <c r="AN297" s="197">
        <f t="shared" si="148"/>
        <v>0</v>
      </c>
      <c r="AO297" s="202"/>
      <c r="AP297" s="161" t="s">
        <v>3900</v>
      </c>
      <c r="AQ297" s="279"/>
      <c r="AR297" s="287">
        <f t="shared" si="154"/>
        <v>0</v>
      </c>
      <c r="AS297" s="287">
        <f t="shared" si="155"/>
        <v>0</v>
      </c>
      <c r="AT297" s="287">
        <f t="shared" si="156"/>
        <v>0</v>
      </c>
      <c r="AU297" s="287">
        <f t="shared" si="157"/>
        <v>0</v>
      </c>
      <c r="AV297" s="287">
        <f t="shared" si="158"/>
        <v>0</v>
      </c>
      <c r="AW297" s="287">
        <f t="shared" si="159"/>
        <v>0</v>
      </c>
      <c r="AX297" s="287">
        <f t="shared" si="160"/>
        <v>0</v>
      </c>
      <c r="AY297" s="287">
        <f t="shared" si="161"/>
        <v>0</v>
      </c>
      <c r="AZ297" s="287">
        <f t="shared" si="162"/>
        <v>0</v>
      </c>
      <c r="BA297" s="287">
        <f t="shared" si="163"/>
        <v>0</v>
      </c>
      <c r="BB297" s="16"/>
      <c r="BC297" s="287">
        <f t="shared" si="164"/>
        <v>0</v>
      </c>
      <c r="BD297" s="287">
        <f t="shared" si="165"/>
        <v>0</v>
      </c>
      <c r="BE297" s="287">
        <f t="shared" si="166"/>
        <v>0</v>
      </c>
      <c r="BF297" s="287">
        <f t="shared" si="167"/>
        <v>0</v>
      </c>
      <c r="BG297" s="287">
        <f t="shared" si="168"/>
        <v>0</v>
      </c>
      <c r="BH297" s="287">
        <f t="shared" si="169"/>
        <v>0</v>
      </c>
      <c r="BI297" s="287">
        <f t="shared" si="170"/>
        <v>0</v>
      </c>
      <c r="BJ297" s="287">
        <f t="shared" si="171"/>
        <v>0</v>
      </c>
      <c r="BK297" s="287">
        <f t="shared" si="172"/>
        <v>0</v>
      </c>
      <c r="BL297" s="287">
        <f t="shared" si="173"/>
        <v>0</v>
      </c>
      <c r="BM297" s="16"/>
      <c r="BN297" s="287">
        <f t="shared" si="174"/>
        <v>0</v>
      </c>
      <c r="BO297" s="287">
        <f t="shared" si="175"/>
        <v>0</v>
      </c>
      <c r="BP297" s="432"/>
      <c r="BQ297" s="21"/>
      <c r="BR297" s="21"/>
      <c r="BS297" s="39"/>
      <c r="BT297" s="39"/>
      <c r="BU297" s="39"/>
      <c r="BV297" s="39"/>
      <c r="BW297" s="39"/>
      <c r="BX297" s="39"/>
      <c r="BY297" s="39"/>
      <c r="BZ297" s="39">
        <v>284</v>
      </c>
      <c r="CA297" s="39" t="str">
        <f t="shared" si="176"/>
        <v/>
      </c>
      <c r="CB297" s="39"/>
      <c r="CC297" s="39"/>
      <c r="CD297" s="39"/>
      <c r="CE297" s="39"/>
      <c r="CF297" s="39"/>
      <c r="CG297" s="39"/>
      <c r="CH297" s="39"/>
      <c r="CI297" s="39"/>
      <c r="CJ297" s="39"/>
      <c r="CK297" s="39"/>
    </row>
    <row r="298" spans="1:89" s="193" customFormat="1">
      <c r="A298" s="195"/>
      <c r="B298" s="21" t="str">
        <f t="shared" si="149"/>
        <v>N/A</v>
      </c>
      <c r="C298" s="21"/>
      <c r="D298" s="432">
        <v>3201527</v>
      </c>
      <c r="E298" s="439" t="s">
        <v>3626</v>
      </c>
      <c r="F298" s="439" t="s">
        <v>3457</v>
      </c>
      <c r="G298" s="273" t="s">
        <v>3229</v>
      </c>
      <c r="H298" s="358"/>
      <c r="I298" s="262" t="s">
        <v>1208</v>
      </c>
      <c r="J298" s="262" t="s">
        <v>3519</v>
      </c>
      <c r="K298" s="263">
        <v>5000000</v>
      </c>
      <c r="L298" s="263">
        <v>15000000</v>
      </c>
      <c r="M298" s="263">
        <v>0</v>
      </c>
      <c r="N298" s="263">
        <v>0</v>
      </c>
      <c r="O298" s="263">
        <v>0</v>
      </c>
      <c r="P298" s="263">
        <v>0</v>
      </c>
      <c r="Q298" s="263">
        <v>0</v>
      </c>
      <c r="R298" s="263">
        <v>0</v>
      </c>
      <c r="S298" s="263">
        <v>0</v>
      </c>
      <c r="T298" s="263">
        <v>0</v>
      </c>
      <c r="U298" s="263">
        <f t="shared" si="177"/>
        <v>20000000</v>
      </c>
      <c r="V298" s="196" t="str">
        <f t="shared" si="150"/>
        <v>R</v>
      </c>
      <c r="W298" s="196" t="s">
        <v>1168</v>
      </c>
      <c r="X298" s="196" t="str">
        <f t="shared" si="145"/>
        <v>N</v>
      </c>
      <c r="Y298" s="197">
        <f t="shared" si="151"/>
        <v>20000000</v>
      </c>
      <c r="Z298" s="198"/>
      <c r="AA298" s="197">
        <f t="shared" si="152"/>
        <v>20000000</v>
      </c>
      <c r="AB298" s="196"/>
      <c r="AC298" s="196"/>
      <c r="AD298" s="275">
        <v>0</v>
      </c>
      <c r="AE298" s="275">
        <v>0</v>
      </c>
      <c r="AF298" s="275">
        <v>1</v>
      </c>
      <c r="AG298" s="199"/>
      <c r="AH298" s="199"/>
      <c r="AI298" s="377">
        <f t="shared" si="153"/>
        <v>0</v>
      </c>
      <c r="AJ298" s="203"/>
      <c r="AK298" s="203"/>
      <c r="AL298" s="197">
        <f t="shared" si="146"/>
        <v>20000000</v>
      </c>
      <c r="AM298" s="197">
        <f t="shared" si="147"/>
        <v>0</v>
      </c>
      <c r="AN298" s="197">
        <f t="shared" si="148"/>
        <v>0</v>
      </c>
      <c r="AO298" s="202"/>
      <c r="AP298" s="161" t="s">
        <v>3900</v>
      </c>
      <c r="AQ298" s="279"/>
      <c r="AR298" s="287">
        <f t="shared" si="154"/>
        <v>0</v>
      </c>
      <c r="AS298" s="287">
        <f t="shared" si="155"/>
        <v>0</v>
      </c>
      <c r="AT298" s="287">
        <f t="shared" si="156"/>
        <v>0</v>
      </c>
      <c r="AU298" s="287">
        <f t="shared" si="157"/>
        <v>0</v>
      </c>
      <c r="AV298" s="287">
        <f t="shared" si="158"/>
        <v>0</v>
      </c>
      <c r="AW298" s="287">
        <f t="shared" si="159"/>
        <v>0</v>
      </c>
      <c r="AX298" s="287">
        <f t="shared" si="160"/>
        <v>0</v>
      </c>
      <c r="AY298" s="287">
        <f t="shared" si="161"/>
        <v>0</v>
      </c>
      <c r="AZ298" s="287">
        <f t="shared" si="162"/>
        <v>0</v>
      </c>
      <c r="BA298" s="287">
        <f t="shared" si="163"/>
        <v>0</v>
      </c>
      <c r="BB298" s="16"/>
      <c r="BC298" s="287">
        <f t="shared" si="164"/>
        <v>0</v>
      </c>
      <c r="BD298" s="287">
        <f t="shared" si="165"/>
        <v>0</v>
      </c>
      <c r="BE298" s="287">
        <f t="shared" si="166"/>
        <v>0</v>
      </c>
      <c r="BF298" s="287">
        <f t="shared" si="167"/>
        <v>0</v>
      </c>
      <c r="BG298" s="287">
        <f t="shared" si="168"/>
        <v>0</v>
      </c>
      <c r="BH298" s="287">
        <f t="shared" si="169"/>
        <v>0</v>
      </c>
      <c r="BI298" s="287">
        <f t="shared" si="170"/>
        <v>0</v>
      </c>
      <c r="BJ298" s="287">
        <f t="shared" si="171"/>
        <v>0</v>
      </c>
      <c r="BK298" s="287">
        <f t="shared" si="172"/>
        <v>0</v>
      </c>
      <c r="BL298" s="287">
        <f t="shared" si="173"/>
        <v>0</v>
      </c>
      <c r="BM298" s="16"/>
      <c r="BN298" s="287">
        <f t="shared" si="174"/>
        <v>0</v>
      </c>
      <c r="BO298" s="287">
        <f t="shared" si="175"/>
        <v>0</v>
      </c>
      <c r="BP298" s="432"/>
      <c r="BQ298" s="21"/>
      <c r="BR298" s="21"/>
      <c r="BS298" s="39"/>
      <c r="BT298" s="39"/>
      <c r="BU298" s="334">
        <v>55500</v>
      </c>
      <c r="BV298" s="334">
        <v>0</v>
      </c>
      <c r="BW298" s="39"/>
      <c r="BX298" s="39"/>
      <c r="BY298" s="39"/>
      <c r="BZ298" s="39">
        <v>285</v>
      </c>
      <c r="CA298" s="39" t="str">
        <f t="shared" si="176"/>
        <v/>
      </c>
      <c r="CB298" s="39"/>
      <c r="CC298" s="39"/>
      <c r="CD298" s="39"/>
      <c r="CE298" s="39"/>
      <c r="CF298" s="39"/>
      <c r="CG298" s="39"/>
      <c r="CH298" s="39"/>
      <c r="CI298" s="39"/>
      <c r="CJ298" s="39"/>
      <c r="CK298" s="39"/>
    </row>
    <row r="299" spans="1:89" s="193" customFormat="1">
      <c r="A299" s="195"/>
      <c r="B299" s="21" t="str">
        <f t="shared" si="149"/>
        <v>N/A</v>
      </c>
      <c r="C299" s="21"/>
      <c r="D299" s="432">
        <v>3201528</v>
      </c>
      <c r="E299" s="439" t="s">
        <v>3626</v>
      </c>
      <c r="F299" s="439" t="s">
        <v>3470</v>
      </c>
      <c r="G299" s="273" t="s">
        <v>3308</v>
      </c>
      <c r="H299" s="358"/>
      <c r="I299" s="262" t="s">
        <v>3497</v>
      </c>
      <c r="J299" s="262" t="s">
        <v>3504</v>
      </c>
      <c r="K299" s="263">
        <v>1412329</v>
      </c>
      <c r="L299" s="263">
        <v>3292151</v>
      </c>
      <c r="M299" s="263">
        <v>3286393</v>
      </c>
      <c r="N299" s="263">
        <v>2986684</v>
      </c>
      <c r="O299" s="263">
        <v>79186</v>
      </c>
      <c r="P299" s="263">
        <v>0</v>
      </c>
      <c r="Q299" s="263">
        <v>0</v>
      </c>
      <c r="R299" s="263">
        <v>135979</v>
      </c>
      <c r="S299" s="263">
        <v>2903886</v>
      </c>
      <c r="T299" s="263">
        <v>2737604</v>
      </c>
      <c r="U299" s="263">
        <f t="shared" si="177"/>
        <v>16834212</v>
      </c>
      <c r="V299" s="196" t="str">
        <f t="shared" si="150"/>
        <v>G/LOS</v>
      </c>
      <c r="W299" s="196" t="s">
        <v>1168</v>
      </c>
      <c r="X299" s="196" t="str">
        <f t="shared" si="145"/>
        <v>Y</v>
      </c>
      <c r="Y299" s="197">
        <f t="shared" si="151"/>
        <v>16834212</v>
      </c>
      <c r="Z299" s="198"/>
      <c r="AA299" s="197">
        <f t="shared" si="152"/>
        <v>16834212</v>
      </c>
      <c r="AB299" s="196" t="s">
        <v>1168</v>
      </c>
      <c r="AC299" s="196"/>
      <c r="AD299" s="275">
        <v>0.53</v>
      </c>
      <c r="AE299" s="275">
        <v>0.46999999999999992</v>
      </c>
      <c r="AF299" s="275">
        <v>0</v>
      </c>
      <c r="AG299" s="442"/>
      <c r="AH299" s="442"/>
      <c r="AI299" s="200">
        <f t="shared" si="153"/>
        <v>0</v>
      </c>
      <c r="AJ299" s="203"/>
      <c r="AK299" s="203"/>
      <c r="AL299" s="197">
        <f t="shared" si="146"/>
        <v>16834212</v>
      </c>
      <c r="AM299" s="197">
        <f t="shared" si="147"/>
        <v>0</v>
      </c>
      <c r="AN299" s="197">
        <f t="shared" si="148"/>
        <v>0</v>
      </c>
      <c r="AO299" s="202"/>
      <c r="AP299" s="161" t="s">
        <v>3900</v>
      </c>
      <c r="AQ299" s="279"/>
      <c r="AR299" s="287">
        <f t="shared" si="154"/>
        <v>0</v>
      </c>
      <c r="AS299" s="287">
        <f t="shared" si="155"/>
        <v>0</v>
      </c>
      <c r="AT299" s="287">
        <f t="shared" si="156"/>
        <v>0</v>
      </c>
      <c r="AU299" s="287">
        <f t="shared" si="157"/>
        <v>0</v>
      </c>
      <c r="AV299" s="287">
        <f t="shared" si="158"/>
        <v>0</v>
      </c>
      <c r="AW299" s="287">
        <f t="shared" si="159"/>
        <v>0</v>
      </c>
      <c r="AX299" s="287">
        <f t="shared" si="160"/>
        <v>0</v>
      </c>
      <c r="AY299" s="287">
        <f t="shared" si="161"/>
        <v>0</v>
      </c>
      <c r="AZ299" s="287">
        <f t="shared" si="162"/>
        <v>0</v>
      </c>
      <c r="BA299" s="287">
        <f t="shared" si="163"/>
        <v>0</v>
      </c>
      <c r="BB299" s="16"/>
      <c r="BC299" s="287">
        <f t="shared" si="164"/>
        <v>0</v>
      </c>
      <c r="BD299" s="287">
        <f t="shared" si="165"/>
        <v>0</v>
      </c>
      <c r="BE299" s="287">
        <f t="shared" si="166"/>
        <v>0</v>
      </c>
      <c r="BF299" s="287">
        <f t="shared" si="167"/>
        <v>0</v>
      </c>
      <c r="BG299" s="287">
        <f t="shared" si="168"/>
        <v>0</v>
      </c>
      <c r="BH299" s="287">
        <f t="shared" si="169"/>
        <v>0</v>
      </c>
      <c r="BI299" s="287">
        <f t="shared" si="170"/>
        <v>0</v>
      </c>
      <c r="BJ299" s="287">
        <f t="shared" si="171"/>
        <v>0</v>
      </c>
      <c r="BK299" s="287">
        <f t="shared" si="172"/>
        <v>0</v>
      </c>
      <c r="BL299" s="287">
        <f t="shared" si="173"/>
        <v>0</v>
      </c>
      <c r="BM299" s="16"/>
      <c r="BN299" s="287">
        <f t="shared" si="174"/>
        <v>0</v>
      </c>
      <c r="BO299" s="287">
        <f t="shared" si="175"/>
        <v>0</v>
      </c>
      <c r="BP299" s="432"/>
      <c r="BQ299" s="21"/>
      <c r="BR299" s="21"/>
      <c r="BS299" s="39"/>
      <c r="BT299" s="39"/>
      <c r="BU299" s="39"/>
      <c r="BV299" s="39"/>
      <c r="BW299" s="39"/>
      <c r="BX299" s="39"/>
      <c r="BY299" s="39"/>
      <c r="BZ299" s="39">
        <v>286</v>
      </c>
      <c r="CA299" s="39" t="str">
        <f t="shared" si="176"/>
        <v/>
      </c>
      <c r="CB299" s="39"/>
      <c r="CC299" s="39"/>
      <c r="CD299" s="39"/>
      <c r="CE299" s="39"/>
      <c r="CF299" s="39"/>
      <c r="CG299" s="39"/>
      <c r="CH299" s="39"/>
      <c r="CI299" s="39"/>
      <c r="CJ299" s="39"/>
      <c r="CK299" s="39"/>
    </row>
    <row r="300" spans="1:89" s="193" customFormat="1">
      <c r="A300" s="195"/>
      <c r="B300" s="21" t="str">
        <f t="shared" si="149"/>
        <v>N/A</v>
      </c>
      <c r="C300" s="21"/>
      <c r="D300" s="432">
        <v>3201528</v>
      </c>
      <c r="E300" s="439" t="s">
        <v>3626</v>
      </c>
      <c r="F300" s="439" t="s">
        <v>3858</v>
      </c>
      <c r="G300" s="273" t="s">
        <v>3307</v>
      </c>
      <c r="H300" s="358"/>
      <c r="I300" s="262" t="s">
        <v>3497</v>
      </c>
      <c r="J300" s="262" t="s">
        <v>3504</v>
      </c>
      <c r="K300" s="263">
        <v>3139510</v>
      </c>
      <c r="L300" s="263">
        <v>2813021</v>
      </c>
      <c r="M300" s="263">
        <v>2780347</v>
      </c>
      <c r="N300" s="263">
        <v>2969668</v>
      </c>
      <c r="O300" s="263">
        <v>8634109</v>
      </c>
      <c r="P300" s="263">
        <v>5114613</v>
      </c>
      <c r="Q300" s="263">
        <v>9268078</v>
      </c>
      <c r="R300" s="263">
        <v>9500395.2599999998</v>
      </c>
      <c r="S300" s="263">
        <v>9686677.5199999996</v>
      </c>
      <c r="T300" s="263">
        <v>9872959.7799999993</v>
      </c>
      <c r="U300" s="263">
        <f t="shared" si="177"/>
        <v>63779378.560000002</v>
      </c>
      <c r="V300" s="196" t="str">
        <f t="shared" si="150"/>
        <v>G/LOS</v>
      </c>
      <c r="W300" s="196" t="s">
        <v>1168</v>
      </c>
      <c r="X300" s="196" t="str">
        <f t="shared" si="145"/>
        <v>Y</v>
      </c>
      <c r="Y300" s="197">
        <f t="shared" si="151"/>
        <v>63779378.560000002</v>
      </c>
      <c r="Z300" s="198"/>
      <c r="AA300" s="197">
        <f t="shared" si="152"/>
        <v>63779378.560000002</v>
      </c>
      <c r="AB300" s="196" t="s">
        <v>1168</v>
      </c>
      <c r="AC300" s="196"/>
      <c r="AD300" s="275">
        <v>0.53</v>
      </c>
      <c r="AE300" s="275">
        <v>0.46999999999999992</v>
      </c>
      <c r="AF300" s="275">
        <v>0</v>
      </c>
      <c r="AG300" s="442"/>
      <c r="AH300" s="442"/>
      <c r="AI300" s="200">
        <f t="shared" si="153"/>
        <v>0</v>
      </c>
      <c r="AJ300" s="203"/>
      <c r="AK300" s="203"/>
      <c r="AL300" s="197">
        <f t="shared" si="146"/>
        <v>63779378.560000002</v>
      </c>
      <c r="AM300" s="197">
        <f t="shared" si="147"/>
        <v>0</v>
      </c>
      <c r="AN300" s="197">
        <f t="shared" si="148"/>
        <v>0</v>
      </c>
      <c r="AO300" s="202"/>
      <c r="AP300" s="161" t="s">
        <v>3900</v>
      </c>
      <c r="AQ300" s="279"/>
      <c r="AR300" s="287">
        <f t="shared" si="154"/>
        <v>0</v>
      </c>
      <c r="AS300" s="287">
        <f t="shared" si="155"/>
        <v>0</v>
      </c>
      <c r="AT300" s="287">
        <f t="shared" si="156"/>
        <v>0</v>
      </c>
      <c r="AU300" s="287">
        <f t="shared" si="157"/>
        <v>0</v>
      </c>
      <c r="AV300" s="287">
        <f t="shared" si="158"/>
        <v>0</v>
      </c>
      <c r="AW300" s="287">
        <f t="shared" si="159"/>
        <v>0</v>
      </c>
      <c r="AX300" s="287">
        <f t="shared" si="160"/>
        <v>0</v>
      </c>
      <c r="AY300" s="287">
        <f t="shared" si="161"/>
        <v>0</v>
      </c>
      <c r="AZ300" s="287">
        <f t="shared" si="162"/>
        <v>0</v>
      </c>
      <c r="BA300" s="287">
        <f t="shared" si="163"/>
        <v>0</v>
      </c>
      <c r="BB300" s="16"/>
      <c r="BC300" s="287">
        <f t="shared" si="164"/>
        <v>0</v>
      </c>
      <c r="BD300" s="287">
        <f t="shared" si="165"/>
        <v>0</v>
      </c>
      <c r="BE300" s="287">
        <f t="shared" si="166"/>
        <v>0</v>
      </c>
      <c r="BF300" s="287">
        <f t="shared" si="167"/>
        <v>0</v>
      </c>
      <c r="BG300" s="287">
        <f t="shared" si="168"/>
        <v>0</v>
      </c>
      <c r="BH300" s="287">
        <f t="shared" si="169"/>
        <v>0</v>
      </c>
      <c r="BI300" s="287">
        <f t="shared" si="170"/>
        <v>0</v>
      </c>
      <c r="BJ300" s="287">
        <f t="shared" si="171"/>
        <v>0</v>
      </c>
      <c r="BK300" s="287">
        <f t="shared" si="172"/>
        <v>0</v>
      </c>
      <c r="BL300" s="287">
        <f t="shared" si="173"/>
        <v>0</v>
      </c>
      <c r="BM300" s="16"/>
      <c r="BN300" s="287">
        <f t="shared" si="174"/>
        <v>0</v>
      </c>
      <c r="BO300" s="287">
        <f t="shared" si="175"/>
        <v>0</v>
      </c>
      <c r="BP300" s="432"/>
      <c r="BQ300" s="21"/>
      <c r="BR300" s="21"/>
      <c r="BS300" s="39"/>
      <c r="BT300" s="39"/>
      <c r="BU300" s="39"/>
      <c r="BV300" s="39"/>
      <c r="BW300" s="39"/>
      <c r="BX300" s="39"/>
      <c r="BY300" s="39"/>
      <c r="BZ300" s="39">
        <v>287</v>
      </c>
      <c r="CA300" s="39" t="str">
        <f t="shared" si="176"/>
        <v/>
      </c>
      <c r="CB300" s="39"/>
      <c r="CC300" s="39"/>
      <c r="CD300" s="39"/>
      <c r="CE300" s="39"/>
      <c r="CF300" s="39"/>
      <c r="CG300" s="39"/>
      <c r="CH300" s="39"/>
      <c r="CI300" s="39"/>
      <c r="CJ300" s="39"/>
      <c r="CK300" s="39"/>
    </row>
    <row r="301" spans="1:89" s="193" customFormat="1">
      <c r="A301" s="195"/>
      <c r="B301" s="21" t="str">
        <f t="shared" si="149"/>
        <v>N/A</v>
      </c>
      <c r="C301" s="21"/>
      <c r="D301" s="432">
        <v>3201537</v>
      </c>
      <c r="E301" s="439" t="s">
        <v>3626</v>
      </c>
      <c r="F301" s="439" t="s">
        <v>3859</v>
      </c>
      <c r="G301" s="273" t="s">
        <v>3400</v>
      </c>
      <c r="H301" s="358"/>
      <c r="I301" s="262" t="s">
        <v>3491</v>
      </c>
      <c r="J301" s="262" t="s">
        <v>3504</v>
      </c>
      <c r="K301" s="263">
        <v>50000.04</v>
      </c>
      <c r="L301" s="263">
        <v>0</v>
      </c>
      <c r="M301" s="263">
        <v>0</v>
      </c>
      <c r="N301" s="263">
        <v>0</v>
      </c>
      <c r="O301" s="263">
        <v>0</v>
      </c>
      <c r="P301" s="263">
        <v>0</v>
      </c>
      <c r="Q301" s="263">
        <v>0</v>
      </c>
      <c r="R301" s="263">
        <v>0</v>
      </c>
      <c r="S301" s="263">
        <v>0</v>
      </c>
      <c r="T301" s="263">
        <v>0</v>
      </c>
      <c r="U301" s="263">
        <f t="shared" si="177"/>
        <v>50000.04</v>
      </c>
      <c r="V301" s="196" t="str">
        <f t="shared" si="150"/>
        <v>LOS</v>
      </c>
      <c r="W301" s="196" t="s">
        <v>1168</v>
      </c>
      <c r="X301" s="196" t="str">
        <f t="shared" si="145"/>
        <v>N</v>
      </c>
      <c r="Y301" s="197">
        <f t="shared" si="151"/>
        <v>50000.04</v>
      </c>
      <c r="Z301" s="198"/>
      <c r="AA301" s="197">
        <f t="shared" si="152"/>
        <v>50000.04</v>
      </c>
      <c r="AB301" s="196"/>
      <c r="AC301" s="196"/>
      <c r="AD301" s="275">
        <v>0</v>
      </c>
      <c r="AE301" s="275">
        <v>1</v>
      </c>
      <c r="AF301" s="275">
        <v>0</v>
      </c>
      <c r="AG301" s="442"/>
      <c r="AH301" s="442"/>
      <c r="AI301" s="200">
        <f t="shared" si="153"/>
        <v>0</v>
      </c>
      <c r="AJ301" s="203"/>
      <c r="AK301" s="203"/>
      <c r="AL301" s="197">
        <f t="shared" si="146"/>
        <v>50000.04</v>
      </c>
      <c r="AM301" s="197">
        <f t="shared" si="147"/>
        <v>0</v>
      </c>
      <c r="AN301" s="197">
        <f t="shared" si="148"/>
        <v>0</v>
      </c>
      <c r="AO301" s="202"/>
      <c r="AP301" s="161" t="s">
        <v>3900</v>
      </c>
      <c r="AQ301" s="279"/>
      <c r="AR301" s="287">
        <f t="shared" si="154"/>
        <v>0</v>
      </c>
      <c r="AS301" s="287">
        <f t="shared" si="155"/>
        <v>0</v>
      </c>
      <c r="AT301" s="287">
        <f t="shared" si="156"/>
        <v>0</v>
      </c>
      <c r="AU301" s="287">
        <f t="shared" si="157"/>
        <v>0</v>
      </c>
      <c r="AV301" s="287">
        <f t="shared" si="158"/>
        <v>0</v>
      </c>
      <c r="AW301" s="287">
        <f t="shared" si="159"/>
        <v>0</v>
      </c>
      <c r="AX301" s="287">
        <f t="shared" si="160"/>
        <v>0</v>
      </c>
      <c r="AY301" s="287">
        <f t="shared" si="161"/>
        <v>0</v>
      </c>
      <c r="AZ301" s="287">
        <f t="shared" si="162"/>
        <v>0</v>
      </c>
      <c r="BA301" s="287">
        <f t="shared" si="163"/>
        <v>0</v>
      </c>
      <c r="BB301" s="16"/>
      <c r="BC301" s="287">
        <f t="shared" si="164"/>
        <v>0</v>
      </c>
      <c r="BD301" s="287">
        <f t="shared" si="165"/>
        <v>0</v>
      </c>
      <c r="BE301" s="287">
        <f t="shared" si="166"/>
        <v>0</v>
      </c>
      <c r="BF301" s="287">
        <f t="shared" si="167"/>
        <v>0</v>
      </c>
      <c r="BG301" s="287">
        <f t="shared" si="168"/>
        <v>0</v>
      </c>
      <c r="BH301" s="287">
        <f t="shared" si="169"/>
        <v>0</v>
      </c>
      <c r="BI301" s="287">
        <f t="shared" si="170"/>
        <v>0</v>
      </c>
      <c r="BJ301" s="287">
        <f t="shared" si="171"/>
        <v>0</v>
      </c>
      <c r="BK301" s="287">
        <f t="shared" si="172"/>
        <v>0</v>
      </c>
      <c r="BL301" s="287">
        <f t="shared" si="173"/>
        <v>0</v>
      </c>
      <c r="BM301" s="16"/>
      <c r="BN301" s="287">
        <f t="shared" si="174"/>
        <v>0</v>
      </c>
      <c r="BO301" s="287">
        <f t="shared" si="175"/>
        <v>0</v>
      </c>
      <c r="BP301" s="432"/>
      <c r="BQ301" s="21"/>
      <c r="BR301" s="21"/>
      <c r="BS301" s="39"/>
      <c r="BT301" s="39"/>
      <c r="BU301" s="39"/>
      <c r="BV301" s="39"/>
      <c r="BW301" s="39"/>
      <c r="BX301" s="39"/>
      <c r="BY301" s="39"/>
      <c r="BZ301" s="39">
        <v>288</v>
      </c>
      <c r="CA301" s="39" t="str">
        <f t="shared" si="176"/>
        <v/>
      </c>
      <c r="CB301" s="39"/>
      <c r="CC301" s="39"/>
      <c r="CD301" s="39"/>
      <c r="CE301" s="39"/>
      <c r="CF301" s="39"/>
      <c r="CG301" s="39"/>
      <c r="CH301" s="39"/>
      <c r="CI301" s="39"/>
      <c r="CJ301" s="39"/>
      <c r="CK301" s="39"/>
    </row>
    <row r="302" spans="1:89" s="193" customFormat="1">
      <c r="A302" s="195"/>
      <c r="B302" s="21" t="str">
        <f t="shared" si="149"/>
        <v>N/A</v>
      </c>
      <c r="C302" s="21"/>
      <c r="D302" s="432">
        <v>3201538</v>
      </c>
      <c r="E302" s="439" t="s">
        <v>3626</v>
      </c>
      <c r="F302" s="439" t="s">
        <v>3860</v>
      </c>
      <c r="G302" s="273" t="s">
        <v>3351</v>
      </c>
      <c r="H302" s="358"/>
      <c r="I302" s="262" t="s">
        <v>3491</v>
      </c>
      <c r="J302" s="262" t="s">
        <v>3504</v>
      </c>
      <c r="K302" s="263">
        <v>450000</v>
      </c>
      <c r="L302" s="263">
        <v>0</v>
      </c>
      <c r="M302" s="263">
        <v>0</v>
      </c>
      <c r="N302" s="263">
        <v>0</v>
      </c>
      <c r="O302" s="263">
        <v>0</v>
      </c>
      <c r="P302" s="263">
        <v>0</v>
      </c>
      <c r="Q302" s="263">
        <v>0</v>
      </c>
      <c r="R302" s="263">
        <v>0</v>
      </c>
      <c r="S302" s="263">
        <v>0</v>
      </c>
      <c r="T302" s="263">
        <v>0</v>
      </c>
      <c r="U302" s="263">
        <f t="shared" si="177"/>
        <v>450000</v>
      </c>
      <c r="V302" s="196" t="str">
        <f t="shared" si="150"/>
        <v>LOS</v>
      </c>
      <c r="W302" s="196" t="s">
        <v>1168</v>
      </c>
      <c r="X302" s="196" t="str">
        <f t="shared" ref="X302:X365" si="178">IF(LEFT(V302,1)="G","Y","N")</f>
        <v>N</v>
      </c>
      <c r="Y302" s="197">
        <f t="shared" si="151"/>
        <v>450000</v>
      </c>
      <c r="Z302" s="198"/>
      <c r="AA302" s="197">
        <f t="shared" si="152"/>
        <v>450000</v>
      </c>
      <c r="AB302" s="196"/>
      <c r="AC302" s="196"/>
      <c r="AD302" s="275">
        <v>0</v>
      </c>
      <c r="AE302" s="275">
        <v>1</v>
      </c>
      <c r="AF302" s="275">
        <v>0</v>
      </c>
      <c r="AG302" s="442"/>
      <c r="AH302" s="442"/>
      <c r="AI302" s="200">
        <f t="shared" si="153"/>
        <v>0</v>
      </c>
      <c r="AJ302" s="203"/>
      <c r="AK302" s="203"/>
      <c r="AL302" s="197">
        <f t="shared" si="146"/>
        <v>450000</v>
      </c>
      <c r="AM302" s="197">
        <f t="shared" si="147"/>
        <v>0</v>
      </c>
      <c r="AN302" s="197">
        <f t="shared" si="148"/>
        <v>0</v>
      </c>
      <c r="AO302" s="202"/>
      <c r="AP302" s="161" t="s">
        <v>3900</v>
      </c>
      <c r="AQ302" s="279"/>
      <c r="AR302" s="287">
        <f t="shared" si="154"/>
        <v>0</v>
      </c>
      <c r="AS302" s="287">
        <f t="shared" si="155"/>
        <v>0</v>
      </c>
      <c r="AT302" s="287">
        <f t="shared" si="156"/>
        <v>0</v>
      </c>
      <c r="AU302" s="287">
        <f t="shared" si="157"/>
        <v>0</v>
      </c>
      <c r="AV302" s="287">
        <f t="shared" si="158"/>
        <v>0</v>
      </c>
      <c r="AW302" s="287">
        <f t="shared" si="159"/>
        <v>0</v>
      </c>
      <c r="AX302" s="287">
        <f t="shared" si="160"/>
        <v>0</v>
      </c>
      <c r="AY302" s="287">
        <f t="shared" si="161"/>
        <v>0</v>
      </c>
      <c r="AZ302" s="287">
        <f t="shared" si="162"/>
        <v>0</v>
      </c>
      <c r="BA302" s="287">
        <f t="shared" si="163"/>
        <v>0</v>
      </c>
      <c r="BB302" s="16"/>
      <c r="BC302" s="287">
        <f t="shared" si="164"/>
        <v>0</v>
      </c>
      <c r="BD302" s="287">
        <f t="shared" si="165"/>
        <v>0</v>
      </c>
      <c r="BE302" s="287">
        <f t="shared" si="166"/>
        <v>0</v>
      </c>
      <c r="BF302" s="287">
        <f t="shared" si="167"/>
        <v>0</v>
      </c>
      <c r="BG302" s="287">
        <f t="shared" si="168"/>
        <v>0</v>
      </c>
      <c r="BH302" s="287">
        <f t="shared" si="169"/>
        <v>0</v>
      </c>
      <c r="BI302" s="287">
        <f t="shared" si="170"/>
        <v>0</v>
      </c>
      <c r="BJ302" s="287">
        <f t="shared" si="171"/>
        <v>0</v>
      </c>
      <c r="BK302" s="287">
        <f t="shared" si="172"/>
        <v>0</v>
      </c>
      <c r="BL302" s="287">
        <f t="shared" si="173"/>
        <v>0</v>
      </c>
      <c r="BM302" s="16"/>
      <c r="BN302" s="287">
        <f t="shared" si="174"/>
        <v>0</v>
      </c>
      <c r="BO302" s="287">
        <f t="shared" si="175"/>
        <v>0</v>
      </c>
      <c r="BP302" s="432"/>
      <c r="BQ302" s="21"/>
      <c r="BR302" s="21"/>
      <c r="BS302" s="39"/>
      <c r="BT302" s="39"/>
      <c r="BU302" s="39"/>
      <c r="BV302" s="39"/>
      <c r="BW302" s="39"/>
      <c r="BX302" s="39"/>
      <c r="BY302" s="39"/>
      <c r="BZ302" s="39">
        <v>289</v>
      </c>
      <c r="CA302" s="39" t="str">
        <f t="shared" si="176"/>
        <v/>
      </c>
      <c r="CB302" s="39"/>
      <c r="CC302" s="39"/>
      <c r="CD302" s="39"/>
      <c r="CE302" s="39"/>
      <c r="CF302" s="39"/>
      <c r="CG302" s="39"/>
      <c r="CH302" s="39"/>
      <c r="CI302" s="39"/>
      <c r="CJ302" s="39"/>
      <c r="CK302" s="39"/>
    </row>
    <row r="303" spans="1:89" s="193" customFormat="1">
      <c r="A303" s="195"/>
      <c r="B303" s="21" t="str">
        <f t="shared" si="149"/>
        <v>N/A</v>
      </c>
      <c r="C303" s="21"/>
      <c r="D303" s="432">
        <v>3201540</v>
      </c>
      <c r="E303" s="439" t="s">
        <v>3626</v>
      </c>
      <c r="F303" s="439" t="s">
        <v>3861</v>
      </c>
      <c r="G303" s="273" t="s">
        <v>3438</v>
      </c>
      <c r="H303" s="358"/>
      <c r="I303" s="262" t="s">
        <v>3491</v>
      </c>
      <c r="J303" s="262" t="s">
        <v>3504</v>
      </c>
      <c r="K303" s="263">
        <v>-375000</v>
      </c>
      <c r="L303" s="263">
        <v>0</v>
      </c>
      <c r="M303" s="263">
        <v>0</v>
      </c>
      <c r="N303" s="263">
        <v>0</v>
      </c>
      <c r="O303" s="263">
        <v>0</v>
      </c>
      <c r="P303" s="263">
        <v>0</v>
      </c>
      <c r="Q303" s="263">
        <v>0</v>
      </c>
      <c r="R303" s="263">
        <v>0</v>
      </c>
      <c r="S303" s="263">
        <v>0</v>
      </c>
      <c r="T303" s="263">
        <v>0</v>
      </c>
      <c r="U303" s="263">
        <f t="shared" si="177"/>
        <v>-375000</v>
      </c>
      <c r="V303" s="196" t="str">
        <f t="shared" si="150"/>
        <v>LOS</v>
      </c>
      <c r="W303" s="196" t="s">
        <v>1168</v>
      </c>
      <c r="X303" s="196" t="str">
        <f t="shared" si="178"/>
        <v>N</v>
      </c>
      <c r="Y303" s="197">
        <f t="shared" si="151"/>
        <v>-375000</v>
      </c>
      <c r="Z303" s="198"/>
      <c r="AA303" s="197">
        <f t="shared" si="152"/>
        <v>-375000</v>
      </c>
      <c r="AB303" s="196"/>
      <c r="AC303" s="196"/>
      <c r="AD303" s="275">
        <v>0</v>
      </c>
      <c r="AE303" s="275">
        <v>1</v>
      </c>
      <c r="AF303" s="275">
        <v>0</v>
      </c>
      <c r="AG303" s="442"/>
      <c r="AH303" s="442"/>
      <c r="AI303" s="200">
        <f t="shared" si="153"/>
        <v>0</v>
      </c>
      <c r="AJ303" s="203"/>
      <c r="AK303" s="203"/>
      <c r="AL303" s="197">
        <f t="shared" si="146"/>
        <v>-375000</v>
      </c>
      <c r="AM303" s="197">
        <f t="shared" si="147"/>
        <v>0</v>
      </c>
      <c r="AN303" s="197">
        <f t="shared" si="148"/>
        <v>0</v>
      </c>
      <c r="AO303" s="202"/>
      <c r="AP303" s="161" t="s">
        <v>3900</v>
      </c>
      <c r="AQ303" s="279"/>
      <c r="AR303" s="287">
        <f t="shared" si="154"/>
        <v>0</v>
      </c>
      <c r="AS303" s="287">
        <f t="shared" si="155"/>
        <v>0</v>
      </c>
      <c r="AT303" s="287">
        <f t="shared" si="156"/>
        <v>0</v>
      </c>
      <c r="AU303" s="287">
        <f t="shared" si="157"/>
        <v>0</v>
      </c>
      <c r="AV303" s="287">
        <f t="shared" si="158"/>
        <v>0</v>
      </c>
      <c r="AW303" s="287">
        <f t="shared" si="159"/>
        <v>0</v>
      </c>
      <c r="AX303" s="287">
        <f t="shared" si="160"/>
        <v>0</v>
      </c>
      <c r="AY303" s="287">
        <f t="shared" si="161"/>
        <v>0</v>
      </c>
      <c r="AZ303" s="287">
        <f t="shared" si="162"/>
        <v>0</v>
      </c>
      <c r="BA303" s="287">
        <f t="shared" si="163"/>
        <v>0</v>
      </c>
      <c r="BB303" s="16"/>
      <c r="BC303" s="287">
        <f t="shared" si="164"/>
        <v>0</v>
      </c>
      <c r="BD303" s="287">
        <f t="shared" si="165"/>
        <v>0</v>
      </c>
      <c r="BE303" s="287">
        <f t="shared" si="166"/>
        <v>0</v>
      </c>
      <c r="BF303" s="287">
        <f t="shared" si="167"/>
        <v>0</v>
      </c>
      <c r="BG303" s="287">
        <f t="shared" si="168"/>
        <v>0</v>
      </c>
      <c r="BH303" s="287">
        <f t="shared" si="169"/>
        <v>0</v>
      </c>
      <c r="BI303" s="287">
        <f t="shared" si="170"/>
        <v>0</v>
      </c>
      <c r="BJ303" s="287">
        <f t="shared" si="171"/>
        <v>0</v>
      </c>
      <c r="BK303" s="287">
        <f t="shared" si="172"/>
        <v>0</v>
      </c>
      <c r="BL303" s="287">
        <f t="shared" si="173"/>
        <v>0</v>
      </c>
      <c r="BM303" s="16"/>
      <c r="BN303" s="287">
        <f t="shared" si="174"/>
        <v>0</v>
      </c>
      <c r="BO303" s="287">
        <f t="shared" si="175"/>
        <v>0</v>
      </c>
      <c r="BP303" s="432"/>
      <c r="BQ303" s="21"/>
      <c r="BR303" s="21"/>
      <c r="BS303" s="39"/>
      <c r="BT303" s="39"/>
      <c r="BU303" s="39"/>
      <c r="BV303" s="39"/>
      <c r="BW303" s="39"/>
      <c r="BX303" s="39"/>
      <c r="BY303" s="39"/>
      <c r="BZ303" s="39">
        <v>290</v>
      </c>
      <c r="CA303" s="39" t="str">
        <f t="shared" si="176"/>
        <v/>
      </c>
      <c r="CB303" s="39"/>
      <c r="CC303" s="39"/>
      <c r="CD303" s="39"/>
      <c r="CE303" s="39"/>
      <c r="CF303" s="39"/>
      <c r="CG303" s="39"/>
      <c r="CH303" s="39"/>
      <c r="CI303" s="39"/>
      <c r="CJ303" s="39"/>
      <c r="CK303" s="39"/>
    </row>
    <row r="304" spans="1:89" s="193" customFormat="1">
      <c r="A304" s="195"/>
      <c r="B304" s="21" t="str">
        <f t="shared" si="149"/>
        <v>N/A</v>
      </c>
      <c r="C304" s="21"/>
      <c r="D304" s="432">
        <v>3201541</v>
      </c>
      <c r="E304" s="439" t="s">
        <v>3626</v>
      </c>
      <c r="F304" s="439" t="s">
        <v>3862</v>
      </c>
      <c r="G304" s="273" t="s">
        <v>3293</v>
      </c>
      <c r="H304" s="358"/>
      <c r="I304" s="262" t="s">
        <v>3491</v>
      </c>
      <c r="J304" s="262" t="s">
        <v>3504</v>
      </c>
      <c r="K304" s="263">
        <v>6030000</v>
      </c>
      <c r="L304" s="263">
        <v>1060000</v>
      </c>
      <c r="M304" s="263">
        <v>125000</v>
      </c>
      <c r="N304" s="263">
        <v>0</v>
      </c>
      <c r="O304" s="263">
        <v>0</v>
      </c>
      <c r="P304" s="263">
        <v>0</v>
      </c>
      <c r="Q304" s="263">
        <v>0</v>
      </c>
      <c r="R304" s="263">
        <v>0</v>
      </c>
      <c r="S304" s="263">
        <v>0</v>
      </c>
      <c r="T304" s="263">
        <v>0</v>
      </c>
      <c r="U304" s="263">
        <f t="shared" si="177"/>
        <v>7215000</v>
      </c>
      <c r="V304" s="196" t="str">
        <f t="shared" si="150"/>
        <v>LOS</v>
      </c>
      <c r="W304" s="196" t="s">
        <v>1168</v>
      </c>
      <c r="X304" s="196" t="str">
        <f t="shared" si="178"/>
        <v>N</v>
      </c>
      <c r="Y304" s="197">
        <f t="shared" si="151"/>
        <v>7215000</v>
      </c>
      <c r="Z304" s="198"/>
      <c r="AA304" s="197">
        <f t="shared" si="152"/>
        <v>7215000</v>
      </c>
      <c r="AB304" s="196"/>
      <c r="AC304" s="196"/>
      <c r="AD304" s="275">
        <v>0</v>
      </c>
      <c r="AE304" s="275">
        <v>1</v>
      </c>
      <c r="AF304" s="275">
        <v>0</v>
      </c>
      <c r="AG304" s="442"/>
      <c r="AH304" s="442"/>
      <c r="AI304" s="200">
        <f t="shared" si="153"/>
        <v>0</v>
      </c>
      <c r="AJ304" s="203"/>
      <c r="AK304" s="203"/>
      <c r="AL304" s="197">
        <f t="shared" si="146"/>
        <v>7215000</v>
      </c>
      <c r="AM304" s="197">
        <f t="shared" si="147"/>
        <v>0</v>
      </c>
      <c r="AN304" s="197">
        <f t="shared" si="148"/>
        <v>0</v>
      </c>
      <c r="AO304" s="202"/>
      <c r="AP304" s="161" t="s">
        <v>3900</v>
      </c>
      <c r="AQ304" s="279"/>
      <c r="AR304" s="287">
        <f t="shared" si="154"/>
        <v>0</v>
      </c>
      <c r="AS304" s="287">
        <f t="shared" si="155"/>
        <v>0</v>
      </c>
      <c r="AT304" s="287">
        <f t="shared" si="156"/>
        <v>0</v>
      </c>
      <c r="AU304" s="287">
        <f t="shared" si="157"/>
        <v>0</v>
      </c>
      <c r="AV304" s="287">
        <f t="shared" si="158"/>
        <v>0</v>
      </c>
      <c r="AW304" s="287">
        <f t="shared" si="159"/>
        <v>0</v>
      </c>
      <c r="AX304" s="287">
        <f t="shared" si="160"/>
        <v>0</v>
      </c>
      <c r="AY304" s="287">
        <f t="shared" si="161"/>
        <v>0</v>
      </c>
      <c r="AZ304" s="287">
        <f t="shared" si="162"/>
        <v>0</v>
      </c>
      <c r="BA304" s="287">
        <f t="shared" si="163"/>
        <v>0</v>
      </c>
      <c r="BB304" s="16"/>
      <c r="BC304" s="287">
        <f t="shared" si="164"/>
        <v>0</v>
      </c>
      <c r="BD304" s="287">
        <f t="shared" si="165"/>
        <v>0</v>
      </c>
      <c r="BE304" s="287">
        <f t="shared" si="166"/>
        <v>0</v>
      </c>
      <c r="BF304" s="287">
        <f t="shared" si="167"/>
        <v>0</v>
      </c>
      <c r="BG304" s="287">
        <f t="shared" si="168"/>
        <v>0</v>
      </c>
      <c r="BH304" s="287">
        <f t="shared" si="169"/>
        <v>0</v>
      </c>
      <c r="BI304" s="287">
        <f t="shared" si="170"/>
        <v>0</v>
      </c>
      <c r="BJ304" s="287">
        <f t="shared" si="171"/>
        <v>0</v>
      </c>
      <c r="BK304" s="287">
        <f t="shared" si="172"/>
        <v>0</v>
      </c>
      <c r="BL304" s="287">
        <f t="shared" si="173"/>
        <v>0</v>
      </c>
      <c r="BM304" s="16"/>
      <c r="BN304" s="287">
        <f t="shared" si="174"/>
        <v>0</v>
      </c>
      <c r="BO304" s="287">
        <f t="shared" si="175"/>
        <v>0</v>
      </c>
      <c r="BP304" s="432"/>
      <c r="BQ304" s="21"/>
      <c r="BR304" s="21"/>
      <c r="BS304" s="39"/>
      <c r="BT304" s="39"/>
      <c r="BU304" s="39"/>
      <c r="BV304" s="39"/>
      <c r="BW304" s="39"/>
      <c r="BX304" s="39"/>
      <c r="BY304" s="39"/>
      <c r="BZ304" s="39">
        <v>291</v>
      </c>
      <c r="CA304" s="39" t="str">
        <f t="shared" si="176"/>
        <v/>
      </c>
      <c r="CB304" s="39"/>
      <c r="CC304" s="39"/>
      <c r="CD304" s="39"/>
      <c r="CE304" s="39"/>
      <c r="CF304" s="39"/>
      <c r="CG304" s="39"/>
      <c r="CH304" s="39"/>
      <c r="CI304" s="39"/>
      <c r="CJ304" s="39"/>
      <c r="CK304" s="39"/>
    </row>
    <row r="305" spans="1:89" s="193" customFormat="1">
      <c r="A305" s="195"/>
      <c r="B305" s="21" t="str">
        <f t="shared" si="149"/>
        <v>N/A</v>
      </c>
      <c r="C305" s="21"/>
      <c r="D305" s="432">
        <v>3201543</v>
      </c>
      <c r="E305" s="439" t="s">
        <v>3906</v>
      </c>
      <c r="F305" s="439" t="s">
        <v>3863</v>
      </c>
      <c r="G305" s="273" t="s">
        <v>3311</v>
      </c>
      <c r="H305" s="358"/>
      <c r="I305" s="262" t="s">
        <v>3493</v>
      </c>
      <c r="J305" s="262" t="s">
        <v>3504</v>
      </c>
      <c r="K305" s="263">
        <v>3000000</v>
      </c>
      <c r="L305" s="263">
        <v>1767837</v>
      </c>
      <c r="M305" s="263">
        <v>1500000</v>
      </c>
      <c r="N305" s="263">
        <v>6021869</v>
      </c>
      <c r="O305" s="263">
        <v>1500000</v>
      </c>
      <c r="P305" s="263">
        <v>1500001</v>
      </c>
      <c r="Q305" s="263">
        <v>1500000</v>
      </c>
      <c r="R305" s="263">
        <v>0</v>
      </c>
      <c r="S305" s="263">
        <v>0</v>
      </c>
      <c r="T305" s="263">
        <v>0</v>
      </c>
      <c r="U305" s="263">
        <f t="shared" si="177"/>
        <v>16789707</v>
      </c>
      <c r="V305" s="196" t="str">
        <f t="shared" si="150"/>
        <v>G/LOS</v>
      </c>
      <c r="W305" s="196" t="s">
        <v>1168</v>
      </c>
      <c r="X305" s="196" t="str">
        <f t="shared" si="178"/>
        <v>Y</v>
      </c>
      <c r="Y305" s="197">
        <f t="shared" si="151"/>
        <v>16789707</v>
      </c>
      <c r="Z305" s="198"/>
      <c r="AA305" s="197">
        <f t="shared" si="152"/>
        <v>16789707</v>
      </c>
      <c r="AB305" s="196" t="s">
        <v>1168</v>
      </c>
      <c r="AC305" s="196"/>
      <c r="AD305" s="275">
        <v>0.56999999999999995</v>
      </c>
      <c r="AE305" s="275">
        <f>1-AD305</f>
        <v>0.43000000000000005</v>
      </c>
      <c r="AF305" s="275">
        <v>0</v>
      </c>
      <c r="AG305" s="199"/>
      <c r="AH305" s="199"/>
      <c r="AI305" s="377">
        <f t="shared" si="153"/>
        <v>0</v>
      </c>
      <c r="AJ305" s="203"/>
      <c r="AK305" s="203"/>
      <c r="AL305" s="197">
        <f t="shared" si="146"/>
        <v>16789707</v>
      </c>
      <c r="AM305" s="197">
        <f t="shared" si="147"/>
        <v>0</v>
      </c>
      <c r="AN305" s="197">
        <f t="shared" si="148"/>
        <v>0</v>
      </c>
      <c r="AO305" s="202"/>
      <c r="AP305" s="161" t="s">
        <v>3900</v>
      </c>
      <c r="AQ305" s="279"/>
      <c r="AR305" s="287">
        <f t="shared" si="154"/>
        <v>0</v>
      </c>
      <c r="AS305" s="287">
        <f t="shared" si="155"/>
        <v>0</v>
      </c>
      <c r="AT305" s="287">
        <f t="shared" si="156"/>
        <v>0</v>
      </c>
      <c r="AU305" s="287">
        <f t="shared" si="157"/>
        <v>0</v>
      </c>
      <c r="AV305" s="287">
        <f t="shared" si="158"/>
        <v>0</v>
      </c>
      <c r="AW305" s="287">
        <f t="shared" si="159"/>
        <v>0</v>
      </c>
      <c r="AX305" s="287">
        <f t="shared" si="160"/>
        <v>0</v>
      </c>
      <c r="AY305" s="287">
        <f t="shared" si="161"/>
        <v>0</v>
      </c>
      <c r="AZ305" s="287">
        <f t="shared" si="162"/>
        <v>0</v>
      </c>
      <c r="BA305" s="287">
        <f t="shared" si="163"/>
        <v>0</v>
      </c>
      <c r="BB305" s="16"/>
      <c r="BC305" s="287">
        <f t="shared" si="164"/>
        <v>0</v>
      </c>
      <c r="BD305" s="287">
        <f t="shared" si="165"/>
        <v>0</v>
      </c>
      <c r="BE305" s="287">
        <f t="shared" si="166"/>
        <v>0</v>
      </c>
      <c r="BF305" s="287">
        <f t="shared" si="167"/>
        <v>0</v>
      </c>
      <c r="BG305" s="287">
        <f t="shared" si="168"/>
        <v>0</v>
      </c>
      <c r="BH305" s="287">
        <f t="shared" si="169"/>
        <v>0</v>
      </c>
      <c r="BI305" s="287">
        <f t="shared" si="170"/>
        <v>0</v>
      </c>
      <c r="BJ305" s="287">
        <f t="shared" si="171"/>
        <v>0</v>
      </c>
      <c r="BK305" s="287">
        <f t="shared" si="172"/>
        <v>0</v>
      </c>
      <c r="BL305" s="287">
        <f t="shared" si="173"/>
        <v>0</v>
      </c>
      <c r="BM305" s="16"/>
      <c r="BN305" s="287">
        <f t="shared" si="174"/>
        <v>0</v>
      </c>
      <c r="BO305" s="287">
        <f t="shared" si="175"/>
        <v>0</v>
      </c>
      <c r="BP305" s="432"/>
      <c r="BQ305" s="21"/>
      <c r="BR305" s="21"/>
      <c r="BS305" s="39"/>
      <c r="BT305" s="39"/>
      <c r="BU305" s="334">
        <v>304200</v>
      </c>
      <c r="BV305" s="334">
        <v>0</v>
      </c>
      <c r="BW305" s="39"/>
      <c r="BX305" s="39"/>
      <c r="BY305" s="39"/>
      <c r="BZ305" s="39">
        <v>292</v>
      </c>
      <c r="CA305" s="39" t="str">
        <f t="shared" si="176"/>
        <v/>
      </c>
      <c r="CB305" s="39"/>
      <c r="CC305" s="39"/>
      <c r="CD305" s="39"/>
      <c r="CE305" s="39"/>
      <c r="CF305" s="39"/>
      <c r="CG305" s="39"/>
      <c r="CH305" s="39"/>
      <c r="CI305" s="39"/>
      <c r="CJ305" s="39"/>
      <c r="CK305" s="39"/>
    </row>
    <row r="306" spans="1:89" s="193" customFormat="1">
      <c r="A306" s="195"/>
      <c r="B306" s="21" t="str">
        <f t="shared" si="149"/>
        <v>N/A</v>
      </c>
      <c r="C306" s="21"/>
      <c r="D306" s="432">
        <v>3201544</v>
      </c>
      <c r="E306" s="439" t="s">
        <v>3626</v>
      </c>
      <c r="F306" s="439" t="s">
        <v>2499</v>
      </c>
      <c r="G306" s="273" t="s">
        <v>3598</v>
      </c>
      <c r="H306" s="358"/>
      <c r="I306" s="262" t="s">
        <v>3531</v>
      </c>
      <c r="J306" s="262" t="s">
        <v>3504</v>
      </c>
      <c r="K306" s="263">
        <v>4000000</v>
      </c>
      <c r="L306" s="263">
        <v>1200000</v>
      </c>
      <c r="M306" s="263">
        <v>1200000</v>
      </c>
      <c r="N306" s="263">
        <v>1223905</v>
      </c>
      <c r="O306" s="263">
        <v>0</v>
      </c>
      <c r="P306" s="263">
        <v>0</v>
      </c>
      <c r="Q306" s="263">
        <v>0</v>
      </c>
      <c r="R306" s="263">
        <v>0</v>
      </c>
      <c r="S306" s="263">
        <v>0</v>
      </c>
      <c r="T306" s="263">
        <v>0</v>
      </c>
      <c r="U306" s="263">
        <f t="shared" si="177"/>
        <v>7623905</v>
      </c>
      <c r="V306" s="196" t="str">
        <f t="shared" si="150"/>
        <v>LOS</v>
      </c>
      <c r="W306" s="196" t="s">
        <v>1168</v>
      </c>
      <c r="X306" s="196" t="str">
        <f t="shared" si="178"/>
        <v>N</v>
      </c>
      <c r="Y306" s="197">
        <f t="shared" si="151"/>
        <v>7623905</v>
      </c>
      <c r="Z306" s="198"/>
      <c r="AA306" s="197">
        <f t="shared" si="152"/>
        <v>7623905</v>
      </c>
      <c r="AB306" s="196"/>
      <c r="AC306" s="196"/>
      <c r="AD306" s="275">
        <v>0</v>
      </c>
      <c r="AE306" s="275">
        <v>1</v>
      </c>
      <c r="AF306" s="275">
        <v>0</v>
      </c>
      <c r="AG306" s="442"/>
      <c r="AH306" s="442"/>
      <c r="AI306" s="200">
        <f t="shared" si="153"/>
        <v>0</v>
      </c>
      <c r="AJ306" s="203"/>
      <c r="AK306" s="203"/>
      <c r="AL306" s="197">
        <f t="shared" si="146"/>
        <v>7623905</v>
      </c>
      <c r="AM306" s="197">
        <f t="shared" si="147"/>
        <v>0</v>
      </c>
      <c r="AN306" s="197">
        <f t="shared" si="148"/>
        <v>0</v>
      </c>
      <c r="AO306" s="202"/>
      <c r="AP306" s="161" t="s">
        <v>3900</v>
      </c>
      <c r="AQ306" s="279"/>
      <c r="AR306" s="287">
        <f t="shared" si="154"/>
        <v>0</v>
      </c>
      <c r="AS306" s="287">
        <f t="shared" si="155"/>
        <v>0</v>
      </c>
      <c r="AT306" s="287">
        <f t="shared" si="156"/>
        <v>0</v>
      </c>
      <c r="AU306" s="287">
        <f t="shared" si="157"/>
        <v>0</v>
      </c>
      <c r="AV306" s="287">
        <f t="shared" si="158"/>
        <v>0</v>
      </c>
      <c r="AW306" s="287">
        <f t="shared" si="159"/>
        <v>0</v>
      </c>
      <c r="AX306" s="287">
        <f t="shared" si="160"/>
        <v>0</v>
      </c>
      <c r="AY306" s="287">
        <f t="shared" si="161"/>
        <v>0</v>
      </c>
      <c r="AZ306" s="287">
        <f t="shared" si="162"/>
        <v>0</v>
      </c>
      <c r="BA306" s="287">
        <f t="shared" si="163"/>
        <v>0</v>
      </c>
      <c r="BB306" s="16"/>
      <c r="BC306" s="287">
        <f t="shared" si="164"/>
        <v>0</v>
      </c>
      <c r="BD306" s="287">
        <f t="shared" si="165"/>
        <v>0</v>
      </c>
      <c r="BE306" s="287">
        <f t="shared" si="166"/>
        <v>0</v>
      </c>
      <c r="BF306" s="287">
        <f t="shared" si="167"/>
        <v>0</v>
      </c>
      <c r="BG306" s="287">
        <f t="shared" si="168"/>
        <v>0</v>
      </c>
      <c r="BH306" s="287">
        <f t="shared" si="169"/>
        <v>0</v>
      </c>
      <c r="BI306" s="287">
        <f t="shared" si="170"/>
        <v>0</v>
      </c>
      <c r="BJ306" s="287">
        <f t="shared" si="171"/>
        <v>0</v>
      </c>
      <c r="BK306" s="287">
        <f t="shared" si="172"/>
        <v>0</v>
      </c>
      <c r="BL306" s="287">
        <f t="shared" si="173"/>
        <v>0</v>
      </c>
      <c r="BM306" s="16"/>
      <c r="BN306" s="287">
        <f t="shared" si="174"/>
        <v>0</v>
      </c>
      <c r="BO306" s="287">
        <f t="shared" si="175"/>
        <v>0</v>
      </c>
      <c r="BP306" s="432"/>
      <c r="BQ306" s="21"/>
      <c r="BR306" s="21"/>
      <c r="BS306" s="39"/>
      <c r="BT306" s="39"/>
      <c r="BU306" s="39"/>
      <c r="BV306" s="39"/>
      <c r="BW306" s="39"/>
      <c r="BX306" s="39"/>
      <c r="BY306" s="39"/>
      <c r="BZ306" s="39">
        <v>293</v>
      </c>
      <c r="CA306" s="39" t="str">
        <f t="shared" si="176"/>
        <v/>
      </c>
      <c r="CB306" s="39"/>
      <c r="CC306" s="39"/>
      <c r="CD306" s="39"/>
      <c r="CE306" s="39"/>
      <c r="CF306" s="39"/>
      <c r="CG306" s="39"/>
      <c r="CH306" s="39"/>
      <c r="CI306" s="39"/>
      <c r="CJ306" s="39"/>
      <c r="CK306" s="39"/>
    </row>
    <row r="307" spans="1:89" s="193" customFormat="1">
      <c r="A307" s="195"/>
      <c r="B307" s="21" t="str">
        <f t="shared" si="149"/>
        <v>N/A</v>
      </c>
      <c r="C307" s="21"/>
      <c r="D307" s="432">
        <v>3201545</v>
      </c>
      <c r="E307" s="439" t="s">
        <v>3626</v>
      </c>
      <c r="F307" s="439" t="s">
        <v>2499</v>
      </c>
      <c r="G307" s="273" t="s">
        <v>3590</v>
      </c>
      <c r="H307" s="358"/>
      <c r="I307" s="262" t="s">
        <v>3531</v>
      </c>
      <c r="J307" s="262" t="s">
        <v>3504</v>
      </c>
      <c r="K307" s="263">
        <v>100000</v>
      </c>
      <c r="L307" s="263">
        <v>2900000</v>
      </c>
      <c r="M307" s="263">
        <v>0</v>
      </c>
      <c r="N307" s="263">
        <v>0</v>
      </c>
      <c r="O307" s="263">
        <v>0</v>
      </c>
      <c r="P307" s="263">
        <v>0</v>
      </c>
      <c r="Q307" s="263">
        <v>0</v>
      </c>
      <c r="R307" s="263">
        <v>0</v>
      </c>
      <c r="S307" s="263">
        <v>0</v>
      </c>
      <c r="T307" s="263">
        <v>0</v>
      </c>
      <c r="U307" s="263">
        <f t="shared" si="177"/>
        <v>3000000</v>
      </c>
      <c r="V307" s="196" t="str">
        <f t="shared" si="150"/>
        <v>G/LOS</v>
      </c>
      <c r="W307" s="196" t="s">
        <v>1168</v>
      </c>
      <c r="X307" s="196" t="str">
        <f t="shared" si="178"/>
        <v>Y</v>
      </c>
      <c r="Y307" s="197">
        <f t="shared" si="151"/>
        <v>3000000</v>
      </c>
      <c r="Z307" s="198"/>
      <c r="AA307" s="197">
        <f t="shared" si="152"/>
        <v>3000000</v>
      </c>
      <c r="AB307" s="196" t="s">
        <v>1168</v>
      </c>
      <c r="AC307" s="196"/>
      <c r="AD307" s="275">
        <v>0.65</v>
      </c>
      <c r="AE307" s="275">
        <v>0.35</v>
      </c>
      <c r="AF307" s="275">
        <v>0</v>
      </c>
      <c r="AG307" s="442"/>
      <c r="AH307" s="442"/>
      <c r="AI307" s="200">
        <f t="shared" si="153"/>
        <v>0</v>
      </c>
      <c r="AJ307" s="203"/>
      <c r="AK307" s="203"/>
      <c r="AL307" s="197">
        <f t="shared" si="146"/>
        <v>3000000</v>
      </c>
      <c r="AM307" s="197">
        <f t="shared" si="147"/>
        <v>0</v>
      </c>
      <c r="AN307" s="197">
        <f t="shared" si="148"/>
        <v>0</v>
      </c>
      <c r="AO307" s="202"/>
      <c r="AP307" s="161" t="s">
        <v>3900</v>
      </c>
      <c r="AQ307" s="279"/>
      <c r="AR307" s="287">
        <f t="shared" si="154"/>
        <v>0</v>
      </c>
      <c r="AS307" s="287">
        <f t="shared" si="155"/>
        <v>0</v>
      </c>
      <c r="AT307" s="287">
        <f t="shared" si="156"/>
        <v>0</v>
      </c>
      <c r="AU307" s="287">
        <f t="shared" si="157"/>
        <v>0</v>
      </c>
      <c r="AV307" s="287">
        <f t="shared" si="158"/>
        <v>0</v>
      </c>
      <c r="AW307" s="287">
        <f t="shared" si="159"/>
        <v>0</v>
      </c>
      <c r="AX307" s="287">
        <f t="shared" si="160"/>
        <v>0</v>
      </c>
      <c r="AY307" s="287">
        <f t="shared" si="161"/>
        <v>0</v>
      </c>
      <c r="AZ307" s="287">
        <f t="shared" si="162"/>
        <v>0</v>
      </c>
      <c r="BA307" s="287">
        <f t="shared" si="163"/>
        <v>0</v>
      </c>
      <c r="BB307" s="16"/>
      <c r="BC307" s="287">
        <f t="shared" si="164"/>
        <v>0</v>
      </c>
      <c r="BD307" s="287">
        <f t="shared" si="165"/>
        <v>0</v>
      </c>
      <c r="BE307" s="287">
        <f t="shared" si="166"/>
        <v>0</v>
      </c>
      <c r="BF307" s="287">
        <f t="shared" si="167"/>
        <v>0</v>
      </c>
      <c r="BG307" s="287">
        <f t="shared" si="168"/>
        <v>0</v>
      </c>
      <c r="BH307" s="287">
        <f t="shared" si="169"/>
        <v>0</v>
      </c>
      <c r="BI307" s="287">
        <f t="shared" si="170"/>
        <v>0</v>
      </c>
      <c r="BJ307" s="287">
        <f t="shared" si="171"/>
        <v>0</v>
      </c>
      <c r="BK307" s="287">
        <f t="shared" si="172"/>
        <v>0</v>
      </c>
      <c r="BL307" s="287">
        <f t="shared" si="173"/>
        <v>0</v>
      </c>
      <c r="BM307" s="16"/>
      <c r="BN307" s="287">
        <f t="shared" si="174"/>
        <v>0</v>
      </c>
      <c r="BO307" s="287">
        <f t="shared" si="175"/>
        <v>0</v>
      </c>
      <c r="BP307" s="432"/>
      <c r="BQ307" s="21"/>
      <c r="BR307" s="21"/>
      <c r="BS307" s="39"/>
      <c r="BT307" s="39"/>
      <c r="BU307" s="39"/>
      <c r="BV307" s="39"/>
      <c r="BW307" s="39"/>
      <c r="BX307" s="39"/>
      <c r="BY307" s="39"/>
      <c r="BZ307" s="39">
        <v>294</v>
      </c>
      <c r="CA307" s="39" t="str">
        <f t="shared" si="176"/>
        <v/>
      </c>
      <c r="CB307" s="39"/>
      <c r="CC307" s="39"/>
      <c r="CD307" s="39"/>
      <c r="CE307" s="39"/>
      <c r="CF307" s="39"/>
      <c r="CG307" s="39"/>
      <c r="CH307" s="39"/>
      <c r="CI307" s="39"/>
      <c r="CJ307" s="39"/>
      <c r="CK307" s="39"/>
    </row>
    <row r="308" spans="1:89" s="193" customFormat="1">
      <c r="A308" s="195"/>
      <c r="B308" s="21" t="str">
        <f t="shared" si="149"/>
        <v>N/A</v>
      </c>
      <c r="C308" s="21"/>
      <c r="D308" s="432">
        <v>3201546</v>
      </c>
      <c r="E308" s="439" t="s">
        <v>3626</v>
      </c>
      <c r="F308" s="439" t="s">
        <v>2499</v>
      </c>
      <c r="G308" s="273" t="s">
        <v>3589</v>
      </c>
      <c r="H308" s="358"/>
      <c r="I308" s="262" t="s">
        <v>3531</v>
      </c>
      <c r="J308" s="262" t="s">
        <v>3504</v>
      </c>
      <c r="K308" s="263">
        <v>864586.51</v>
      </c>
      <c r="L308" s="263">
        <v>0</v>
      </c>
      <c r="M308" s="263">
        <v>0</v>
      </c>
      <c r="N308" s="263">
        <v>0</v>
      </c>
      <c r="O308" s="263">
        <v>0</v>
      </c>
      <c r="P308" s="263">
        <v>0</v>
      </c>
      <c r="Q308" s="263">
        <v>0</v>
      </c>
      <c r="R308" s="263">
        <v>0</v>
      </c>
      <c r="S308" s="263">
        <v>0</v>
      </c>
      <c r="T308" s="263">
        <v>0</v>
      </c>
      <c r="U308" s="263">
        <f t="shared" si="177"/>
        <v>864586.51</v>
      </c>
      <c r="V308" s="196" t="str">
        <f t="shared" si="150"/>
        <v>G/LOS</v>
      </c>
      <c r="W308" s="196" t="s">
        <v>1168</v>
      </c>
      <c r="X308" s="196" t="str">
        <f t="shared" si="178"/>
        <v>Y</v>
      </c>
      <c r="Y308" s="197">
        <f t="shared" si="151"/>
        <v>864586.51</v>
      </c>
      <c r="Z308" s="198"/>
      <c r="AA308" s="197">
        <f t="shared" si="152"/>
        <v>864586.51</v>
      </c>
      <c r="AB308" s="196" t="s">
        <v>1168</v>
      </c>
      <c r="AC308" s="196"/>
      <c r="AD308" s="275">
        <v>0.65</v>
      </c>
      <c r="AE308" s="275">
        <v>0.34999999999999992</v>
      </c>
      <c r="AF308" s="275">
        <v>0</v>
      </c>
      <c r="AG308" s="442"/>
      <c r="AH308" s="442"/>
      <c r="AI308" s="200">
        <f t="shared" si="153"/>
        <v>0</v>
      </c>
      <c r="AJ308" s="203"/>
      <c r="AK308" s="203"/>
      <c r="AL308" s="197">
        <f t="shared" si="146"/>
        <v>864586.51</v>
      </c>
      <c r="AM308" s="197">
        <f t="shared" si="147"/>
        <v>0</v>
      </c>
      <c r="AN308" s="197">
        <f t="shared" si="148"/>
        <v>0</v>
      </c>
      <c r="AO308" s="202"/>
      <c r="AP308" s="161" t="s">
        <v>3900</v>
      </c>
      <c r="AQ308" s="279"/>
      <c r="AR308" s="287">
        <f t="shared" si="154"/>
        <v>0</v>
      </c>
      <c r="AS308" s="287">
        <f t="shared" si="155"/>
        <v>0</v>
      </c>
      <c r="AT308" s="287">
        <f t="shared" si="156"/>
        <v>0</v>
      </c>
      <c r="AU308" s="287">
        <f t="shared" si="157"/>
        <v>0</v>
      </c>
      <c r="AV308" s="287">
        <f t="shared" si="158"/>
        <v>0</v>
      </c>
      <c r="AW308" s="287">
        <f t="shared" si="159"/>
        <v>0</v>
      </c>
      <c r="AX308" s="287">
        <f t="shared" si="160"/>
        <v>0</v>
      </c>
      <c r="AY308" s="287">
        <f t="shared" si="161"/>
        <v>0</v>
      </c>
      <c r="AZ308" s="287">
        <f t="shared" si="162"/>
        <v>0</v>
      </c>
      <c r="BA308" s="287">
        <f t="shared" si="163"/>
        <v>0</v>
      </c>
      <c r="BB308" s="16"/>
      <c r="BC308" s="287">
        <f t="shared" si="164"/>
        <v>0</v>
      </c>
      <c r="BD308" s="287">
        <f t="shared" si="165"/>
        <v>0</v>
      </c>
      <c r="BE308" s="287">
        <f t="shared" si="166"/>
        <v>0</v>
      </c>
      <c r="BF308" s="287">
        <f t="shared" si="167"/>
        <v>0</v>
      </c>
      <c r="BG308" s="287">
        <f t="shared" si="168"/>
        <v>0</v>
      </c>
      <c r="BH308" s="287">
        <f t="shared" si="169"/>
        <v>0</v>
      </c>
      <c r="BI308" s="287">
        <f t="shared" si="170"/>
        <v>0</v>
      </c>
      <c r="BJ308" s="287">
        <f t="shared" si="171"/>
        <v>0</v>
      </c>
      <c r="BK308" s="287">
        <f t="shared" si="172"/>
        <v>0</v>
      </c>
      <c r="BL308" s="287">
        <f t="shared" si="173"/>
        <v>0</v>
      </c>
      <c r="BM308" s="16"/>
      <c r="BN308" s="287">
        <f t="shared" si="174"/>
        <v>0</v>
      </c>
      <c r="BO308" s="287">
        <f t="shared" si="175"/>
        <v>0</v>
      </c>
      <c r="BP308" s="432"/>
      <c r="BQ308" s="21"/>
      <c r="BR308" s="21"/>
      <c r="BS308" s="39"/>
      <c r="BT308" s="39"/>
      <c r="BU308" s="39"/>
      <c r="BV308" s="39"/>
      <c r="BW308" s="39"/>
      <c r="BX308" s="39"/>
      <c r="BY308" s="39"/>
      <c r="BZ308" s="39">
        <v>295</v>
      </c>
      <c r="CA308" s="39" t="str">
        <f t="shared" si="176"/>
        <v/>
      </c>
      <c r="CB308" s="39"/>
      <c r="CC308" s="39"/>
      <c r="CD308" s="39"/>
      <c r="CE308" s="39"/>
      <c r="CF308" s="39"/>
      <c r="CG308" s="39"/>
      <c r="CH308" s="39"/>
      <c r="CI308" s="39"/>
      <c r="CJ308" s="39"/>
      <c r="CK308" s="39"/>
    </row>
    <row r="309" spans="1:89" s="193" customFormat="1">
      <c r="A309" s="195"/>
      <c r="B309" s="21" t="str">
        <f t="shared" si="149"/>
        <v>N/A</v>
      </c>
      <c r="C309" s="21"/>
      <c r="D309" s="432">
        <v>3201553</v>
      </c>
      <c r="E309" s="439" t="s">
        <v>3626</v>
      </c>
      <c r="F309" s="439" t="s">
        <v>3480</v>
      </c>
      <c r="G309" s="273" t="s">
        <v>3414</v>
      </c>
      <c r="H309" s="358"/>
      <c r="I309" s="262" t="s">
        <v>3492</v>
      </c>
      <c r="J309" s="262" t="s">
        <v>3506</v>
      </c>
      <c r="K309" s="263">
        <v>14000</v>
      </c>
      <c r="L309" s="263">
        <v>0</v>
      </c>
      <c r="M309" s="263">
        <v>0</v>
      </c>
      <c r="N309" s="263">
        <v>0</v>
      </c>
      <c r="O309" s="263">
        <v>0</v>
      </c>
      <c r="P309" s="263">
        <v>0</v>
      </c>
      <c r="Q309" s="263">
        <v>0</v>
      </c>
      <c r="R309" s="263">
        <v>0</v>
      </c>
      <c r="S309" s="263">
        <v>0</v>
      </c>
      <c r="T309" s="263">
        <v>0</v>
      </c>
      <c r="U309" s="263">
        <f t="shared" si="177"/>
        <v>14000</v>
      </c>
      <c r="V309" s="196" t="str">
        <f t="shared" si="150"/>
        <v>LOS</v>
      </c>
      <c r="W309" s="196" t="s">
        <v>1168</v>
      </c>
      <c r="X309" s="196" t="str">
        <f t="shared" si="178"/>
        <v>N</v>
      </c>
      <c r="Y309" s="197">
        <f t="shared" si="151"/>
        <v>14000</v>
      </c>
      <c r="Z309" s="198"/>
      <c r="AA309" s="197">
        <f t="shared" si="152"/>
        <v>14000</v>
      </c>
      <c r="AB309" s="196"/>
      <c r="AC309" s="196"/>
      <c r="AD309" s="275">
        <v>0</v>
      </c>
      <c r="AE309" s="275">
        <v>1</v>
      </c>
      <c r="AF309" s="275">
        <v>0</v>
      </c>
      <c r="AG309" s="442"/>
      <c r="AH309" s="442"/>
      <c r="AI309" s="200">
        <f t="shared" si="153"/>
        <v>0</v>
      </c>
      <c r="AJ309" s="203"/>
      <c r="AK309" s="203"/>
      <c r="AL309" s="197">
        <f t="shared" si="146"/>
        <v>14000</v>
      </c>
      <c r="AM309" s="197">
        <f t="shared" si="147"/>
        <v>0</v>
      </c>
      <c r="AN309" s="197">
        <f t="shared" si="148"/>
        <v>0</v>
      </c>
      <c r="AO309" s="202"/>
      <c r="AP309" s="161" t="s">
        <v>3900</v>
      </c>
      <c r="AQ309" s="279"/>
      <c r="AR309" s="287">
        <f t="shared" si="154"/>
        <v>0</v>
      </c>
      <c r="AS309" s="287">
        <f t="shared" si="155"/>
        <v>0</v>
      </c>
      <c r="AT309" s="287">
        <f t="shared" si="156"/>
        <v>0</v>
      </c>
      <c r="AU309" s="287">
        <f t="shared" si="157"/>
        <v>0</v>
      </c>
      <c r="AV309" s="287">
        <f t="shared" si="158"/>
        <v>0</v>
      </c>
      <c r="AW309" s="287">
        <f t="shared" si="159"/>
        <v>0</v>
      </c>
      <c r="AX309" s="287">
        <f t="shared" si="160"/>
        <v>0</v>
      </c>
      <c r="AY309" s="287">
        <f t="shared" si="161"/>
        <v>0</v>
      </c>
      <c r="AZ309" s="287">
        <f t="shared" si="162"/>
        <v>0</v>
      </c>
      <c r="BA309" s="287">
        <f t="shared" si="163"/>
        <v>0</v>
      </c>
      <c r="BB309" s="16"/>
      <c r="BC309" s="287">
        <f t="shared" si="164"/>
        <v>0</v>
      </c>
      <c r="BD309" s="287">
        <f t="shared" si="165"/>
        <v>0</v>
      </c>
      <c r="BE309" s="287">
        <f t="shared" si="166"/>
        <v>0</v>
      </c>
      <c r="BF309" s="287">
        <f t="shared" si="167"/>
        <v>0</v>
      </c>
      <c r="BG309" s="287">
        <f t="shared" si="168"/>
        <v>0</v>
      </c>
      <c r="BH309" s="287">
        <f t="shared" si="169"/>
        <v>0</v>
      </c>
      <c r="BI309" s="287">
        <f t="shared" si="170"/>
        <v>0</v>
      </c>
      <c r="BJ309" s="287">
        <f t="shared" si="171"/>
        <v>0</v>
      </c>
      <c r="BK309" s="287">
        <f t="shared" si="172"/>
        <v>0</v>
      </c>
      <c r="BL309" s="287">
        <f t="shared" si="173"/>
        <v>0</v>
      </c>
      <c r="BM309" s="16"/>
      <c r="BN309" s="287">
        <f t="shared" si="174"/>
        <v>0</v>
      </c>
      <c r="BO309" s="287">
        <f t="shared" si="175"/>
        <v>0</v>
      </c>
      <c r="BP309" s="432"/>
      <c r="BQ309" s="21"/>
      <c r="BR309" s="21"/>
      <c r="BS309" s="39"/>
      <c r="BT309" s="39"/>
      <c r="BU309" s="39"/>
      <c r="BV309" s="39"/>
      <c r="BW309" s="39"/>
      <c r="BX309" s="39"/>
      <c r="BY309" s="39"/>
      <c r="BZ309" s="39">
        <v>296</v>
      </c>
      <c r="CA309" s="39" t="str">
        <f t="shared" si="176"/>
        <v/>
      </c>
      <c r="CB309" s="39"/>
      <c r="CC309" s="39"/>
      <c r="CD309" s="39"/>
      <c r="CE309" s="39"/>
      <c r="CF309" s="39"/>
      <c r="CG309" s="39"/>
      <c r="CH309" s="39"/>
      <c r="CI309" s="39"/>
      <c r="CJ309" s="39"/>
      <c r="CK309" s="39"/>
    </row>
    <row r="310" spans="1:89" s="193" customFormat="1">
      <c r="A310" s="195"/>
      <c r="B310" s="21" t="str">
        <f t="shared" si="149"/>
        <v>N/A</v>
      </c>
      <c r="C310" s="21"/>
      <c r="D310" s="432">
        <v>3201559</v>
      </c>
      <c r="E310" s="439" t="s">
        <v>3626</v>
      </c>
      <c r="F310" s="439" t="s">
        <v>3478</v>
      </c>
      <c r="G310" s="273" t="s">
        <v>4413</v>
      </c>
      <c r="H310" s="358"/>
      <c r="I310" s="262" t="s">
        <v>3492</v>
      </c>
      <c r="J310" s="262" t="s">
        <v>3514</v>
      </c>
      <c r="K310" s="263">
        <v>70000</v>
      </c>
      <c r="L310" s="263">
        <v>332927</v>
      </c>
      <c r="M310" s="263">
        <v>0</v>
      </c>
      <c r="N310" s="263">
        <v>0</v>
      </c>
      <c r="O310" s="263">
        <v>0</v>
      </c>
      <c r="P310" s="263">
        <v>0</v>
      </c>
      <c r="Q310" s="263">
        <v>0</v>
      </c>
      <c r="R310" s="263">
        <v>0</v>
      </c>
      <c r="S310" s="263">
        <v>0</v>
      </c>
      <c r="T310" s="263">
        <v>0</v>
      </c>
      <c r="U310" s="263">
        <f t="shared" si="177"/>
        <v>402927</v>
      </c>
      <c r="V310" s="196" t="str">
        <f t="shared" si="150"/>
        <v>LOS/R</v>
      </c>
      <c r="W310" s="196" t="s">
        <v>1168</v>
      </c>
      <c r="X310" s="196" t="str">
        <f t="shared" si="178"/>
        <v>N</v>
      </c>
      <c r="Y310" s="197">
        <f t="shared" si="151"/>
        <v>402927</v>
      </c>
      <c r="Z310" s="198"/>
      <c r="AA310" s="197">
        <f t="shared" si="152"/>
        <v>402927</v>
      </c>
      <c r="AB310" s="196"/>
      <c r="AC310" s="196"/>
      <c r="AD310" s="275">
        <v>0</v>
      </c>
      <c r="AE310" s="275">
        <v>8.1090618447593438E-2</v>
      </c>
      <c r="AF310" s="275">
        <v>0.91890938155240653</v>
      </c>
      <c r="AG310" s="442"/>
      <c r="AH310" s="442"/>
      <c r="AI310" s="200">
        <f t="shared" si="153"/>
        <v>0</v>
      </c>
      <c r="AJ310" s="203"/>
      <c r="AK310" s="203"/>
      <c r="AL310" s="197">
        <f t="shared" si="146"/>
        <v>402927</v>
      </c>
      <c r="AM310" s="197">
        <f t="shared" si="147"/>
        <v>0</v>
      </c>
      <c r="AN310" s="197">
        <f t="shared" si="148"/>
        <v>0</v>
      </c>
      <c r="AO310" s="202"/>
      <c r="AP310" s="161" t="s">
        <v>3900</v>
      </c>
      <c r="AQ310" s="279"/>
      <c r="AR310" s="287">
        <f t="shared" si="154"/>
        <v>0</v>
      </c>
      <c r="AS310" s="287">
        <f t="shared" si="155"/>
        <v>0</v>
      </c>
      <c r="AT310" s="287">
        <f t="shared" si="156"/>
        <v>0</v>
      </c>
      <c r="AU310" s="287">
        <f t="shared" si="157"/>
        <v>0</v>
      </c>
      <c r="AV310" s="287">
        <f t="shared" si="158"/>
        <v>0</v>
      </c>
      <c r="AW310" s="287">
        <f t="shared" si="159"/>
        <v>0</v>
      </c>
      <c r="AX310" s="287">
        <f t="shared" si="160"/>
        <v>0</v>
      </c>
      <c r="AY310" s="287">
        <f t="shared" si="161"/>
        <v>0</v>
      </c>
      <c r="AZ310" s="287">
        <f t="shared" si="162"/>
        <v>0</v>
      </c>
      <c r="BA310" s="287">
        <f t="shared" si="163"/>
        <v>0</v>
      </c>
      <c r="BB310" s="16"/>
      <c r="BC310" s="287">
        <f t="shared" si="164"/>
        <v>0</v>
      </c>
      <c r="BD310" s="287">
        <f t="shared" si="165"/>
        <v>0</v>
      </c>
      <c r="BE310" s="287">
        <f t="shared" si="166"/>
        <v>0</v>
      </c>
      <c r="BF310" s="287">
        <f t="shared" si="167"/>
        <v>0</v>
      </c>
      <c r="BG310" s="287">
        <f t="shared" si="168"/>
        <v>0</v>
      </c>
      <c r="BH310" s="287">
        <f t="shared" si="169"/>
        <v>0</v>
      </c>
      <c r="BI310" s="287">
        <f t="shared" si="170"/>
        <v>0</v>
      </c>
      <c r="BJ310" s="287">
        <f t="shared" si="171"/>
        <v>0</v>
      </c>
      <c r="BK310" s="287">
        <f t="shared" si="172"/>
        <v>0</v>
      </c>
      <c r="BL310" s="287">
        <f t="shared" si="173"/>
        <v>0</v>
      </c>
      <c r="BM310" s="16"/>
      <c r="BN310" s="287">
        <f t="shared" si="174"/>
        <v>0</v>
      </c>
      <c r="BO310" s="287">
        <f t="shared" si="175"/>
        <v>0</v>
      </c>
      <c r="BP310" s="432"/>
      <c r="BQ310" s="21"/>
      <c r="BR310" s="21"/>
      <c r="BS310" s="39"/>
      <c r="BT310" s="39"/>
      <c r="BU310" s="39"/>
      <c r="BV310" s="39"/>
      <c r="BW310" s="39"/>
      <c r="BX310" s="39"/>
      <c r="BY310" s="39"/>
      <c r="BZ310" s="39">
        <v>297</v>
      </c>
      <c r="CA310" s="39" t="str">
        <f t="shared" si="176"/>
        <v/>
      </c>
      <c r="CB310" s="39"/>
      <c r="CC310" s="39"/>
      <c r="CD310" s="39"/>
      <c r="CE310" s="39"/>
      <c r="CF310" s="39"/>
      <c r="CG310" s="39"/>
      <c r="CH310" s="39"/>
      <c r="CI310" s="39"/>
      <c r="CJ310" s="39"/>
      <c r="CK310" s="39"/>
    </row>
    <row r="311" spans="1:89" s="193" customFormat="1">
      <c r="A311" s="195"/>
      <c r="B311" s="21" t="str">
        <f t="shared" si="149"/>
        <v>N/A</v>
      </c>
      <c r="C311" s="21"/>
      <c r="D311" s="432">
        <v>3201562</v>
      </c>
      <c r="E311" s="439" t="s">
        <v>3626</v>
      </c>
      <c r="F311" s="439" t="s">
        <v>3886</v>
      </c>
      <c r="G311" s="273" t="s">
        <v>3198</v>
      </c>
      <c r="H311" s="358"/>
      <c r="I311" s="262" t="s">
        <v>3492</v>
      </c>
      <c r="J311" s="262" t="s">
        <v>3527</v>
      </c>
      <c r="K311" s="263">
        <v>2000000</v>
      </c>
      <c r="L311" s="263">
        <v>2080000</v>
      </c>
      <c r="M311" s="263">
        <v>1665000.0000000002</v>
      </c>
      <c r="N311" s="263">
        <v>1714950.0000000002</v>
      </c>
      <c r="O311" s="263">
        <v>1766398.5000000002</v>
      </c>
      <c r="P311" s="263">
        <v>1819390.4550000003</v>
      </c>
      <c r="Q311" s="263">
        <v>1873972.1686500004</v>
      </c>
      <c r="R311" s="263">
        <v>1930191.3337095005</v>
      </c>
      <c r="S311" s="263">
        <v>1988097.0737207856</v>
      </c>
      <c r="T311" s="263">
        <v>2047739.9859324091</v>
      </c>
      <c r="U311" s="263">
        <f t="shared" si="177"/>
        <v>18885739.517012697</v>
      </c>
      <c r="V311" s="196" t="str">
        <f t="shared" si="150"/>
        <v>R</v>
      </c>
      <c r="W311" s="196" t="s">
        <v>1168</v>
      </c>
      <c r="X311" s="196" t="str">
        <f t="shared" si="178"/>
        <v>N</v>
      </c>
      <c r="Y311" s="197">
        <f t="shared" si="151"/>
        <v>18885739.517012697</v>
      </c>
      <c r="Z311" s="198"/>
      <c r="AA311" s="197">
        <f t="shared" si="152"/>
        <v>18885739.517012697</v>
      </c>
      <c r="AB311" s="196"/>
      <c r="AC311" s="196"/>
      <c r="AD311" s="275">
        <v>0</v>
      </c>
      <c r="AE311" s="275">
        <v>0</v>
      </c>
      <c r="AF311" s="275">
        <v>1</v>
      </c>
      <c r="AG311" s="442"/>
      <c r="AH311" s="442"/>
      <c r="AI311" s="200">
        <f t="shared" si="153"/>
        <v>0</v>
      </c>
      <c r="AJ311" s="203"/>
      <c r="AK311" s="203"/>
      <c r="AL311" s="197">
        <f t="shared" si="146"/>
        <v>18885739.517012697</v>
      </c>
      <c r="AM311" s="197">
        <f t="shared" si="147"/>
        <v>0</v>
      </c>
      <c r="AN311" s="197">
        <f t="shared" si="148"/>
        <v>0</v>
      </c>
      <c r="AO311" s="202"/>
      <c r="AP311" s="161" t="s">
        <v>3900</v>
      </c>
      <c r="AQ311" s="279"/>
      <c r="AR311" s="287">
        <f t="shared" si="154"/>
        <v>0</v>
      </c>
      <c r="AS311" s="287">
        <f t="shared" si="155"/>
        <v>0</v>
      </c>
      <c r="AT311" s="287">
        <f t="shared" si="156"/>
        <v>0</v>
      </c>
      <c r="AU311" s="287">
        <f t="shared" si="157"/>
        <v>0</v>
      </c>
      <c r="AV311" s="287">
        <f t="shared" si="158"/>
        <v>0</v>
      </c>
      <c r="AW311" s="287">
        <f t="shared" si="159"/>
        <v>0</v>
      </c>
      <c r="AX311" s="287">
        <f t="shared" si="160"/>
        <v>0</v>
      </c>
      <c r="AY311" s="287">
        <f t="shared" si="161"/>
        <v>0</v>
      </c>
      <c r="AZ311" s="287">
        <f t="shared" si="162"/>
        <v>0</v>
      </c>
      <c r="BA311" s="287">
        <f t="shared" si="163"/>
        <v>0</v>
      </c>
      <c r="BB311" s="16"/>
      <c r="BC311" s="287">
        <f t="shared" si="164"/>
        <v>0</v>
      </c>
      <c r="BD311" s="287">
        <f t="shared" si="165"/>
        <v>0</v>
      </c>
      <c r="BE311" s="287">
        <f t="shared" si="166"/>
        <v>0</v>
      </c>
      <c r="BF311" s="287">
        <f t="shared" si="167"/>
        <v>0</v>
      </c>
      <c r="BG311" s="287">
        <f t="shared" si="168"/>
        <v>0</v>
      </c>
      <c r="BH311" s="287">
        <f t="shared" si="169"/>
        <v>0</v>
      </c>
      <c r="BI311" s="287">
        <f t="shared" si="170"/>
        <v>0</v>
      </c>
      <c r="BJ311" s="287">
        <f t="shared" si="171"/>
        <v>0</v>
      </c>
      <c r="BK311" s="287">
        <f t="shared" si="172"/>
        <v>0</v>
      </c>
      <c r="BL311" s="287">
        <f t="shared" si="173"/>
        <v>0</v>
      </c>
      <c r="BM311" s="16"/>
      <c r="BN311" s="287">
        <f t="shared" si="174"/>
        <v>0</v>
      </c>
      <c r="BO311" s="287">
        <f t="shared" si="175"/>
        <v>0</v>
      </c>
      <c r="BP311" s="432"/>
      <c r="BQ311" s="21"/>
      <c r="BR311" s="21"/>
      <c r="BS311" s="39"/>
      <c r="BT311" s="39"/>
      <c r="BU311" s="39"/>
      <c r="BV311" s="39"/>
      <c r="BW311" s="39"/>
      <c r="BX311" s="39"/>
      <c r="BY311" s="39"/>
      <c r="BZ311" s="39">
        <v>298</v>
      </c>
      <c r="CA311" s="39" t="str">
        <f t="shared" si="176"/>
        <v/>
      </c>
      <c r="CB311" s="39"/>
      <c r="CC311" s="39"/>
      <c r="CD311" s="39"/>
      <c r="CE311" s="39"/>
      <c r="CF311" s="39"/>
      <c r="CG311" s="39"/>
      <c r="CH311" s="39"/>
      <c r="CI311" s="39"/>
      <c r="CJ311" s="39"/>
      <c r="CK311" s="39"/>
    </row>
    <row r="312" spans="1:89" s="193" customFormat="1">
      <c r="A312" s="195"/>
      <c r="B312" s="21" t="str">
        <f t="shared" si="149"/>
        <v>N/A</v>
      </c>
      <c r="C312" s="21"/>
      <c r="D312" s="432">
        <v>3201562</v>
      </c>
      <c r="E312" s="439" t="s">
        <v>3626</v>
      </c>
      <c r="F312" s="439" t="s">
        <v>3864</v>
      </c>
      <c r="G312" s="273" t="s">
        <v>3186</v>
      </c>
      <c r="H312" s="358"/>
      <c r="I312" s="262" t="s">
        <v>3492</v>
      </c>
      <c r="J312" s="262" t="s">
        <v>3515</v>
      </c>
      <c r="K312" s="263">
        <v>1531567</v>
      </c>
      <c r="L312" s="263">
        <v>2356250</v>
      </c>
      <c r="M312" s="263">
        <v>2231143.9700000002</v>
      </c>
      <c r="N312" s="263">
        <v>1533480.34</v>
      </c>
      <c r="O312" s="263">
        <v>1393048.88</v>
      </c>
      <c r="P312" s="263">
        <v>1751782.13</v>
      </c>
      <c r="Q312" s="263">
        <v>1866661.34</v>
      </c>
      <c r="R312" s="263">
        <v>2406321.79</v>
      </c>
      <c r="S312" s="263">
        <v>2219051.56</v>
      </c>
      <c r="T312" s="263">
        <v>2246235.9500000002</v>
      </c>
      <c r="U312" s="263">
        <f t="shared" si="177"/>
        <v>19535542.959999997</v>
      </c>
      <c r="V312" s="196" t="str">
        <f t="shared" si="150"/>
        <v>R</v>
      </c>
      <c r="W312" s="196" t="s">
        <v>1168</v>
      </c>
      <c r="X312" s="196" t="str">
        <f t="shared" si="178"/>
        <v>N</v>
      </c>
      <c r="Y312" s="197">
        <f t="shared" si="151"/>
        <v>19535542.959999997</v>
      </c>
      <c r="Z312" s="198"/>
      <c r="AA312" s="197">
        <f t="shared" si="152"/>
        <v>19535542.959999997</v>
      </c>
      <c r="AB312" s="196"/>
      <c r="AC312" s="196"/>
      <c r="AD312" s="275">
        <v>0</v>
      </c>
      <c r="AE312" s="275">
        <v>0</v>
      </c>
      <c r="AF312" s="275">
        <v>1</v>
      </c>
      <c r="AG312" s="442"/>
      <c r="AH312" s="442"/>
      <c r="AI312" s="200">
        <f t="shared" si="153"/>
        <v>0</v>
      </c>
      <c r="AJ312" s="203"/>
      <c r="AK312" s="203"/>
      <c r="AL312" s="197">
        <f t="shared" si="146"/>
        <v>19535542.959999997</v>
      </c>
      <c r="AM312" s="197">
        <f t="shared" si="147"/>
        <v>0</v>
      </c>
      <c r="AN312" s="197">
        <f t="shared" si="148"/>
        <v>0</v>
      </c>
      <c r="AO312" s="202"/>
      <c r="AP312" s="161" t="s">
        <v>3900</v>
      </c>
      <c r="AQ312" s="279"/>
      <c r="AR312" s="287">
        <f t="shared" si="154"/>
        <v>0</v>
      </c>
      <c r="AS312" s="287">
        <f t="shared" si="155"/>
        <v>0</v>
      </c>
      <c r="AT312" s="287">
        <f t="shared" si="156"/>
        <v>0</v>
      </c>
      <c r="AU312" s="287">
        <f t="shared" si="157"/>
        <v>0</v>
      </c>
      <c r="AV312" s="287">
        <f t="shared" si="158"/>
        <v>0</v>
      </c>
      <c r="AW312" s="287">
        <f t="shared" si="159"/>
        <v>0</v>
      </c>
      <c r="AX312" s="287">
        <f t="shared" si="160"/>
        <v>0</v>
      </c>
      <c r="AY312" s="287">
        <f t="shared" si="161"/>
        <v>0</v>
      </c>
      <c r="AZ312" s="287">
        <f t="shared" si="162"/>
        <v>0</v>
      </c>
      <c r="BA312" s="287">
        <f t="shared" si="163"/>
        <v>0</v>
      </c>
      <c r="BB312" s="16"/>
      <c r="BC312" s="287">
        <f t="shared" si="164"/>
        <v>0</v>
      </c>
      <c r="BD312" s="287">
        <f t="shared" si="165"/>
        <v>0</v>
      </c>
      <c r="BE312" s="287">
        <f t="shared" si="166"/>
        <v>0</v>
      </c>
      <c r="BF312" s="287">
        <f t="shared" si="167"/>
        <v>0</v>
      </c>
      <c r="BG312" s="287">
        <f t="shared" si="168"/>
        <v>0</v>
      </c>
      <c r="BH312" s="287">
        <f t="shared" si="169"/>
        <v>0</v>
      </c>
      <c r="BI312" s="287">
        <f t="shared" si="170"/>
        <v>0</v>
      </c>
      <c r="BJ312" s="287">
        <f t="shared" si="171"/>
        <v>0</v>
      </c>
      <c r="BK312" s="287">
        <f t="shared" si="172"/>
        <v>0</v>
      </c>
      <c r="BL312" s="287">
        <f t="shared" si="173"/>
        <v>0</v>
      </c>
      <c r="BM312" s="16"/>
      <c r="BN312" s="287">
        <f t="shared" si="174"/>
        <v>0</v>
      </c>
      <c r="BO312" s="287">
        <f t="shared" si="175"/>
        <v>0</v>
      </c>
      <c r="BP312" s="432"/>
      <c r="BQ312" s="21"/>
      <c r="BR312" s="21"/>
      <c r="BS312" s="39"/>
      <c r="BT312" s="39"/>
      <c r="BU312" s="39"/>
      <c r="BV312" s="39"/>
      <c r="BW312" s="39"/>
      <c r="BX312" s="39"/>
      <c r="BY312" s="39"/>
      <c r="BZ312" s="39">
        <v>299</v>
      </c>
      <c r="CA312" s="39" t="str">
        <f t="shared" si="176"/>
        <v/>
      </c>
      <c r="CB312" s="39"/>
      <c r="CC312" s="39"/>
      <c r="CD312" s="39"/>
      <c r="CE312" s="39"/>
      <c r="CF312" s="39"/>
      <c r="CG312" s="39"/>
      <c r="CH312" s="39"/>
      <c r="CI312" s="39"/>
      <c r="CJ312" s="39"/>
      <c r="CK312" s="39"/>
    </row>
    <row r="313" spans="1:89" s="193" customFormat="1">
      <c r="A313" s="195"/>
      <c r="B313" s="21" t="str">
        <f t="shared" si="149"/>
        <v>N/A</v>
      </c>
      <c r="C313" s="21"/>
      <c r="D313" s="432">
        <v>3201562</v>
      </c>
      <c r="E313" s="439" t="s">
        <v>3626</v>
      </c>
      <c r="F313" s="439" t="s">
        <v>3865</v>
      </c>
      <c r="G313" s="273" t="s">
        <v>3179</v>
      </c>
      <c r="H313" s="358"/>
      <c r="I313" s="262" t="s">
        <v>3492</v>
      </c>
      <c r="J313" s="262" t="s">
        <v>3508</v>
      </c>
      <c r="K313" s="263">
        <v>2686150</v>
      </c>
      <c r="L313" s="263">
        <v>4029000</v>
      </c>
      <c r="M313" s="263">
        <v>3990888.13</v>
      </c>
      <c r="N313" s="263">
        <v>4043895.34</v>
      </c>
      <c r="O313" s="263">
        <v>2936934.29</v>
      </c>
      <c r="P313" s="263">
        <v>4001609.55</v>
      </c>
      <c r="Q313" s="263">
        <v>3198450.54</v>
      </c>
      <c r="R313" s="263">
        <v>4123137.43</v>
      </c>
      <c r="S313" s="263">
        <v>3802257.28</v>
      </c>
      <c r="T313" s="263">
        <v>3848836.66</v>
      </c>
      <c r="U313" s="263">
        <f t="shared" si="177"/>
        <v>36661159.219999999</v>
      </c>
      <c r="V313" s="196" t="str">
        <f t="shared" si="150"/>
        <v>R</v>
      </c>
      <c r="W313" s="196" t="s">
        <v>1168</v>
      </c>
      <c r="X313" s="196" t="str">
        <f t="shared" si="178"/>
        <v>N</v>
      </c>
      <c r="Y313" s="197">
        <f t="shared" si="151"/>
        <v>36661159.219999999</v>
      </c>
      <c r="Z313" s="198"/>
      <c r="AA313" s="197">
        <f t="shared" si="152"/>
        <v>36661159.219999999</v>
      </c>
      <c r="AB313" s="196"/>
      <c r="AC313" s="196"/>
      <c r="AD313" s="275">
        <v>0</v>
      </c>
      <c r="AE313" s="275">
        <v>0</v>
      </c>
      <c r="AF313" s="275">
        <v>1</v>
      </c>
      <c r="AG313" s="442"/>
      <c r="AH313" s="442"/>
      <c r="AI313" s="200">
        <f t="shared" si="153"/>
        <v>0</v>
      </c>
      <c r="AJ313" s="203"/>
      <c r="AK313" s="203"/>
      <c r="AL313" s="197">
        <f t="shared" si="146"/>
        <v>36661159.219999999</v>
      </c>
      <c r="AM313" s="197">
        <f t="shared" si="147"/>
        <v>0</v>
      </c>
      <c r="AN313" s="197">
        <f t="shared" si="148"/>
        <v>0</v>
      </c>
      <c r="AO313" s="202"/>
      <c r="AP313" s="161" t="s">
        <v>3900</v>
      </c>
      <c r="AQ313" s="279"/>
      <c r="AR313" s="287">
        <f t="shared" si="154"/>
        <v>0</v>
      </c>
      <c r="AS313" s="287">
        <f t="shared" si="155"/>
        <v>0</v>
      </c>
      <c r="AT313" s="287">
        <f t="shared" si="156"/>
        <v>0</v>
      </c>
      <c r="AU313" s="287">
        <f t="shared" si="157"/>
        <v>0</v>
      </c>
      <c r="AV313" s="287">
        <f t="shared" si="158"/>
        <v>0</v>
      </c>
      <c r="AW313" s="287">
        <f t="shared" si="159"/>
        <v>0</v>
      </c>
      <c r="AX313" s="287">
        <f t="shared" si="160"/>
        <v>0</v>
      </c>
      <c r="AY313" s="287">
        <f t="shared" si="161"/>
        <v>0</v>
      </c>
      <c r="AZ313" s="287">
        <f t="shared" si="162"/>
        <v>0</v>
      </c>
      <c r="BA313" s="287">
        <f t="shared" si="163"/>
        <v>0</v>
      </c>
      <c r="BB313" s="16"/>
      <c r="BC313" s="287">
        <f t="shared" si="164"/>
        <v>0</v>
      </c>
      <c r="BD313" s="287">
        <f t="shared" si="165"/>
        <v>0</v>
      </c>
      <c r="BE313" s="287">
        <f t="shared" si="166"/>
        <v>0</v>
      </c>
      <c r="BF313" s="287">
        <f t="shared" si="167"/>
        <v>0</v>
      </c>
      <c r="BG313" s="287">
        <f t="shared" si="168"/>
        <v>0</v>
      </c>
      <c r="BH313" s="287">
        <f t="shared" si="169"/>
        <v>0</v>
      </c>
      <c r="BI313" s="287">
        <f t="shared" si="170"/>
        <v>0</v>
      </c>
      <c r="BJ313" s="287">
        <f t="shared" si="171"/>
        <v>0</v>
      </c>
      <c r="BK313" s="287">
        <f t="shared" si="172"/>
        <v>0</v>
      </c>
      <c r="BL313" s="287">
        <f t="shared" si="173"/>
        <v>0</v>
      </c>
      <c r="BM313" s="16"/>
      <c r="BN313" s="287">
        <f t="shared" si="174"/>
        <v>0</v>
      </c>
      <c r="BO313" s="287">
        <f t="shared" si="175"/>
        <v>0</v>
      </c>
      <c r="BP313" s="432"/>
      <c r="BQ313" s="21"/>
      <c r="BR313" s="21"/>
      <c r="BS313" s="39"/>
      <c r="BT313" s="39"/>
      <c r="BU313" s="39"/>
      <c r="BV313" s="39"/>
      <c r="BW313" s="39"/>
      <c r="BX313" s="39"/>
      <c r="BY313" s="39"/>
      <c r="BZ313" s="39">
        <v>300</v>
      </c>
      <c r="CA313" s="39" t="str">
        <f t="shared" si="176"/>
        <v/>
      </c>
      <c r="CB313" s="39"/>
      <c r="CC313" s="39"/>
      <c r="CD313" s="39"/>
      <c r="CE313" s="39"/>
      <c r="CF313" s="39"/>
      <c r="CG313" s="39"/>
      <c r="CH313" s="39"/>
      <c r="CI313" s="39"/>
      <c r="CJ313" s="39"/>
      <c r="CK313" s="39"/>
    </row>
    <row r="314" spans="1:89" s="193" customFormat="1">
      <c r="A314" s="195"/>
      <c r="B314" s="21" t="str">
        <f t="shared" si="149"/>
        <v>N/A</v>
      </c>
      <c r="C314" s="21"/>
      <c r="D314" s="432">
        <v>3201562</v>
      </c>
      <c r="E314" s="439" t="s">
        <v>3626</v>
      </c>
      <c r="F314" s="439" t="s">
        <v>3866</v>
      </c>
      <c r="G314" s="273" t="s">
        <v>3195</v>
      </c>
      <c r="H314" s="358"/>
      <c r="I314" s="262" t="s">
        <v>3492</v>
      </c>
      <c r="J314" s="262" t="s">
        <v>3524</v>
      </c>
      <c r="K314" s="263">
        <v>2505710</v>
      </c>
      <c r="L314" s="263">
        <v>3000573</v>
      </c>
      <c r="M314" s="263">
        <v>7036113.4199999999</v>
      </c>
      <c r="N314" s="263">
        <v>1777590.63</v>
      </c>
      <c r="O314" s="263">
        <v>2026710.29</v>
      </c>
      <c r="P314" s="263">
        <v>2573621.88</v>
      </c>
      <c r="Q314" s="263">
        <v>2715756.64</v>
      </c>
      <c r="R314" s="263">
        <v>3500894.48</v>
      </c>
      <c r="S314" s="263">
        <v>3228439.93</v>
      </c>
      <c r="T314" s="263">
        <v>3267989.78</v>
      </c>
      <c r="U314" s="263">
        <f t="shared" si="177"/>
        <v>31633400.050000001</v>
      </c>
      <c r="V314" s="196" t="str">
        <f t="shared" si="150"/>
        <v>R</v>
      </c>
      <c r="W314" s="196" t="s">
        <v>1168</v>
      </c>
      <c r="X314" s="196" t="str">
        <f t="shared" si="178"/>
        <v>N</v>
      </c>
      <c r="Y314" s="197">
        <f t="shared" si="151"/>
        <v>31633400.050000001</v>
      </c>
      <c r="Z314" s="198"/>
      <c r="AA314" s="197">
        <f t="shared" si="152"/>
        <v>31633400.050000001</v>
      </c>
      <c r="AB314" s="196"/>
      <c r="AC314" s="196"/>
      <c r="AD314" s="275">
        <v>0</v>
      </c>
      <c r="AE314" s="275">
        <v>0</v>
      </c>
      <c r="AF314" s="275">
        <v>1</v>
      </c>
      <c r="AG314" s="442"/>
      <c r="AH314" s="442"/>
      <c r="AI314" s="200">
        <f t="shared" si="153"/>
        <v>0</v>
      </c>
      <c r="AJ314" s="203"/>
      <c r="AK314" s="203"/>
      <c r="AL314" s="197">
        <f t="shared" si="146"/>
        <v>31633400.050000001</v>
      </c>
      <c r="AM314" s="197">
        <f t="shared" si="147"/>
        <v>0</v>
      </c>
      <c r="AN314" s="197">
        <f t="shared" si="148"/>
        <v>0</v>
      </c>
      <c r="AO314" s="202"/>
      <c r="AP314" s="161" t="s">
        <v>3900</v>
      </c>
      <c r="AQ314" s="279"/>
      <c r="AR314" s="287">
        <f t="shared" si="154"/>
        <v>0</v>
      </c>
      <c r="AS314" s="287">
        <f t="shared" si="155"/>
        <v>0</v>
      </c>
      <c r="AT314" s="287">
        <f t="shared" si="156"/>
        <v>0</v>
      </c>
      <c r="AU314" s="287">
        <f t="shared" si="157"/>
        <v>0</v>
      </c>
      <c r="AV314" s="287">
        <f t="shared" si="158"/>
        <v>0</v>
      </c>
      <c r="AW314" s="287">
        <f t="shared" si="159"/>
        <v>0</v>
      </c>
      <c r="AX314" s="287">
        <f t="shared" si="160"/>
        <v>0</v>
      </c>
      <c r="AY314" s="287">
        <f t="shared" si="161"/>
        <v>0</v>
      </c>
      <c r="AZ314" s="287">
        <f t="shared" si="162"/>
        <v>0</v>
      </c>
      <c r="BA314" s="287">
        <f t="shared" si="163"/>
        <v>0</v>
      </c>
      <c r="BB314" s="16"/>
      <c r="BC314" s="287">
        <f t="shared" si="164"/>
        <v>0</v>
      </c>
      <c r="BD314" s="287">
        <f t="shared" si="165"/>
        <v>0</v>
      </c>
      <c r="BE314" s="287">
        <f t="shared" si="166"/>
        <v>0</v>
      </c>
      <c r="BF314" s="287">
        <f t="shared" si="167"/>
        <v>0</v>
      </c>
      <c r="BG314" s="287">
        <f t="shared" si="168"/>
        <v>0</v>
      </c>
      <c r="BH314" s="287">
        <f t="shared" si="169"/>
        <v>0</v>
      </c>
      <c r="BI314" s="287">
        <f t="shared" si="170"/>
        <v>0</v>
      </c>
      <c r="BJ314" s="287">
        <f t="shared" si="171"/>
        <v>0</v>
      </c>
      <c r="BK314" s="287">
        <f t="shared" si="172"/>
        <v>0</v>
      </c>
      <c r="BL314" s="287">
        <f t="shared" si="173"/>
        <v>0</v>
      </c>
      <c r="BM314" s="16"/>
      <c r="BN314" s="287">
        <f t="shared" si="174"/>
        <v>0</v>
      </c>
      <c r="BO314" s="287">
        <f t="shared" si="175"/>
        <v>0</v>
      </c>
      <c r="BP314" s="432"/>
      <c r="BQ314" s="21"/>
      <c r="BR314" s="21"/>
      <c r="BS314" s="39"/>
      <c r="BT314" s="39"/>
      <c r="BU314" s="39"/>
      <c r="BV314" s="39"/>
      <c r="BW314" s="39"/>
      <c r="BX314" s="39"/>
      <c r="BY314" s="39"/>
      <c r="BZ314" s="39">
        <v>301</v>
      </c>
      <c r="CA314" s="39" t="str">
        <f t="shared" si="176"/>
        <v/>
      </c>
      <c r="CB314" s="39"/>
      <c r="CC314" s="39"/>
      <c r="CD314" s="39"/>
      <c r="CE314" s="39"/>
      <c r="CF314" s="39"/>
      <c r="CG314" s="39"/>
      <c r="CH314" s="39"/>
      <c r="CI314" s="39"/>
      <c r="CJ314" s="39"/>
      <c r="CK314" s="39"/>
    </row>
    <row r="315" spans="1:89" s="193" customFormat="1">
      <c r="A315" s="195"/>
      <c r="B315" s="21" t="str">
        <f t="shared" si="149"/>
        <v>N/A</v>
      </c>
      <c r="C315" s="21"/>
      <c r="D315" s="432">
        <v>3201562</v>
      </c>
      <c r="E315" s="439" t="s">
        <v>3626</v>
      </c>
      <c r="F315" s="439" t="s">
        <v>3867</v>
      </c>
      <c r="G315" s="273" t="s">
        <v>3191</v>
      </c>
      <c r="H315" s="358"/>
      <c r="I315" s="262" t="s">
        <v>3492</v>
      </c>
      <c r="J315" s="262" t="s">
        <v>3520</v>
      </c>
      <c r="K315" s="263">
        <v>134400</v>
      </c>
      <c r="L315" s="263">
        <v>323000</v>
      </c>
      <c r="M315" s="263">
        <v>77594.42</v>
      </c>
      <c r="N315" s="263">
        <v>91587.88</v>
      </c>
      <c r="O315" s="263">
        <v>163891.6</v>
      </c>
      <c r="P315" s="263">
        <v>206096.42</v>
      </c>
      <c r="Q315" s="263">
        <v>219611.91</v>
      </c>
      <c r="R315" s="263">
        <v>283102.73</v>
      </c>
      <c r="S315" s="263">
        <v>261070.46</v>
      </c>
      <c r="T315" s="263">
        <v>264268.69</v>
      </c>
      <c r="U315" s="263">
        <f t="shared" si="177"/>
        <v>2024624.1099999999</v>
      </c>
      <c r="V315" s="196" t="str">
        <f t="shared" si="150"/>
        <v>R</v>
      </c>
      <c r="W315" s="196" t="s">
        <v>1168</v>
      </c>
      <c r="X315" s="196" t="str">
        <f t="shared" si="178"/>
        <v>N</v>
      </c>
      <c r="Y315" s="197">
        <f t="shared" si="151"/>
        <v>2024624.1099999999</v>
      </c>
      <c r="Z315" s="198"/>
      <c r="AA315" s="197">
        <f t="shared" si="152"/>
        <v>2024624.1099999999</v>
      </c>
      <c r="AB315" s="196"/>
      <c r="AC315" s="196"/>
      <c r="AD315" s="275">
        <v>0</v>
      </c>
      <c r="AE315" s="275">
        <v>0</v>
      </c>
      <c r="AF315" s="275">
        <v>1</v>
      </c>
      <c r="AG315" s="442"/>
      <c r="AH315" s="442"/>
      <c r="AI315" s="200">
        <f t="shared" si="153"/>
        <v>0</v>
      </c>
      <c r="AJ315" s="203"/>
      <c r="AK315" s="203"/>
      <c r="AL315" s="197">
        <f t="shared" si="146"/>
        <v>2024624.1099999999</v>
      </c>
      <c r="AM315" s="197">
        <f t="shared" si="147"/>
        <v>0</v>
      </c>
      <c r="AN315" s="197">
        <f t="shared" si="148"/>
        <v>0</v>
      </c>
      <c r="AO315" s="202"/>
      <c r="AP315" s="161" t="s">
        <v>3900</v>
      </c>
      <c r="AQ315" s="279"/>
      <c r="AR315" s="287">
        <f t="shared" si="154"/>
        <v>0</v>
      </c>
      <c r="AS315" s="287">
        <f t="shared" si="155"/>
        <v>0</v>
      </c>
      <c r="AT315" s="287">
        <f t="shared" si="156"/>
        <v>0</v>
      </c>
      <c r="AU315" s="287">
        <f t="shared" si="157"/>
        <v>0</v>
      </c>
      <c r="AV315" s="287">
        <f t="shared" si="158"/>
        <v>0</v>
      </c>
      <c r="AW315" s="287">
        <f t="shared" si="159"/>
        <v>0</v>
      </c>
      <c r="AX315" s="287">
        <f t="shared" si="160"/>
        <v>0</v>
      </c>
      <c r="AY315" s="287">
        <f t="shared" si="161"/>
        <v>0</v>
      </c>
      <c r="AZ315" s="287">
        <f t="shared" si="162"/>
        <v>0</v>
      </c>
      <c r="BA315" s="287">
        <f t="shared" si="163"/>
        <v>0</v>
      </c>
      <c r="BB315" s="16"/>
      <c r="BC315" s="287">
        <f t="shared" si="164"/>
        <v>0</v>
      </c>
      <c r="BD315" s="287">
        <f t="shared" si="165"/>
        <v>0</v>
      </c>
      <c r="BE315" s="287">
        <f t="shared" si="166"/>
        <v>0</v>
      </c>
      <c r="BF315" s="287">
        <f t="shared" si="167"/>
        <v>0</v>
      </c>
      <c r="BG315" s="287">
        <f t="shared" si="168"/>
        <v>0</v>
      </c>
      <c r="BH315" s="287">
        <f t="shared" si="169"/>
        <v>0</v>
      </c>
      <c r="BI315" s="287">
        <f t="shared" si="170"/>
        <v>0</v>
      </c>
      <c r="BJ315" s="287">
        <f t="shared" si="171"/>
        <v>0</v>
      </c>
      <c r="BK315" s="287">
        <f t="shared" si="172"/>
        <v>0</v>
      </c>
      <c r="BL315" s="287">
        <f t="shared" si="173"/>
        <v>0</v>
      </c>
      <c r="BM315" s="16"/>
      <c r="BN315" s="287">
        <f t="shared" si="174"/>
        <v>0</v>
      </c>
      <c r="BO315" s="287">
        <f t="shared" si="175"/>
        <v>0</v>
      </c>
      <c r="BP315" s="432"/>
      <c r="BQ315" s="21"/>
      <c r="BR315" s="21"/>
      <c r="BS315" s="39"/>
      <c r="BT315" s="39"/>
      <c r="BU315" s="39"/>
      <c r="BV315" s="39"/>
      <c r="BW315" s="39"/>
      <c r="BX315" s="39"/>
      <c r="BY315" s="39"/>
      <c r="BZ315" s="39">
        <v>302</v>
      </c>
      <c r="CA315" s="39" t="str">
        <f t="shared" si="176"/>
        <v/>
      </c>
      <c r="CB315" s="39"/>
      <c r="CC315" s="39"/>
      <c r="CD315" s="39"/>
      <c r="CE315" s="39"/>
      <c r="CF315" s="39"/>
      <c r="CG315" s="39"/>
      <c r="CH315" s="39"/>
      <c r="CI315" s="39"/>
      <c r="CJ315" s="39"/>
      <c r="CK315" s="39"/>
    </row>
    <row r="316" spans="1:89" s="193" customFormat="1">
      <c r="A316" s="195"/>
      <c r="B316" s="21" t="str">
        <f t="shared" si="149"/>
        <v>N/A</v>
      </c>
      <c r="C316" s="21"/>
      <c r="D316" s="432">
        <v>3201562</v>
      </c>
      <c r="E316" s="439" t="s">
        <v>3626</v>
      </c>
      <c r="F316" s="439" t="s">
        <v>3868</v>
      </c>
      <c r="G316" s="273" t="s">
        <v>3183</v>
      </c>
      <c r="H316" s="358"/>
      <c r="I316" s="262" t="s">
        <v>3492</v>
      </c>
      <c r="J316" s="262" t="s">
        <v>3512</v>
      </c>
      <c r="K316" s="263">
        <v>2362978</v>
      </c>
      <c r="L316" s="263">
        <v>4861450</v>
      </c>
      <c r="M316" s="263">
        <v>8514999.0500000007</v>
      </c>
      <c r="N316" s="263">
        <v>2525682.64</v>
      </c>
      <c r="O316" s="263">
        <v>3330127.39</v>
      </c>
      <c r="P316" s="263">
        <v>3458180.58</v>
      </c>
      <c r="Q316" s="263">
        <v>3658323.35</v>
      </c>
      <c r="R316" s="263">
        <v>4715961.59</v>
      </c>
      <c r="S316" s="263">
        <v>4348945.34</v>
      </c>
      <c r="T316" s="263">
        <v>4402221.8899999997</v>
      </c>
      <c r="U316" s="263">
        <f t="shared" si="177"/>
        <v>42178869.830000006</v>
      </c>
      <c r="V316" s="196" t="str">
        <f t="shared" si="150"/>
        <v>R</v>
      </c>
      <c r="W316" s="196" t="s">
        <v>1168</v>
      </c>
      <c r="X316" s="196" t="str">
        <f t="shared" si="178"/>
        <v>N</v>
      </c>
      <c r="Y316" s="197">
        <f t="shared" si="151"/>
        <v>42178869.830000006</v>
      </c>
      <c r="Z316" s="198"/>
      <c r="AA316" s="197">
        <f t="shared" si="152"/>
        <v>42178869.830000006</v>
      </c>
      <c r="AB316" s="196"/>
      <c r="AC316" s="196"/>
      <c r="AD316" s="275">
        <v>0</v>
      </c>
      <c r="AE316" s="275">
        <v>0</v>
      </c>
      <c r="AF316" s="275">
        <v>1</v>
      </c>
      <c r="AG316" s="442"/>
      <c r="AH316" s="442"/>
      <c r="AI316" s="200">
        <f t="shared" si="153"/>
        <v>0</v>
      </c>
      <c r="AJ316" s="203"/>
      <c r="AK316" s="203"/>
      <c r="AL316" s="197">
        <f t="shared" si="146"/>
        <v>42178869.830000006</v>
      </c>
      <c r="AM316" s="197">
        <f t="shared" si="147"/>
        <v>0</v>
      </c>
      <c r="AN316" s="197">
        <f t="shared" si="148"/>
        <v>0</v>
      </c>
      <c r="AO316" s="202"/>
      <c r="AP316" s="161" t="s">
        <v>3900</v>
      </c>
      <c r="AQ316" s="279"/>
      <c r="AR316" s="287">
        <f t="shared" si="154"/>
        <v>0</v>
      </c>
      <c r="AS316" s="287">
        <f t="shared" si="155"/>
        <v>0</v>
      </c>
      <c r="AT316" s="287">
        <f t="shared" si="156"/>
        <v>0</v>
      </c>
      <c r="AU316" s="287">
        <f t="shared" si="157"/>
        <v>0</v>
      </c>
      <c r="AV316" s="287">
        <f t="shared" si="158"/>
        <v>0</v>
      </c>
      <c r="AW316" s="287">
        <f t="shared" si="159"/>
        <v>0</v>
      </c>
      <c r="AX316" s="287">
        <f t="shared" si="160"/>
        <v>0</v>
      </c>
      <c r="AY316" s="287">
        <f t="shared" si="161"/>
        <v>0</v>
      </c>
      <c r="AZ316" s="287">
        <f t="shared" si="162"/>
        <v>0</v>
      </c>
      <c r="BA316" s="287">
        <f t="shared" si="163"/>
        <v>0</v>
      </c>
      <c r="BB316" s="16"/>
      <c r="BC316" s="287">
        <f t="shared" si="164"/>
        <v>0</v>
      </c>
      <c r="BD316" s="287">
        <f t="shared" si="165"/>
        <v>0</v>
      </c>
      <c r="BE316" s="287">
        <f t="shared" si="166"/>
        <v>0</v>
      </c>
      <c r="BF316" s="287">
        <f t="shared" si="167"/>
        <v>0</v>
      </c>
      <c r="BG316" s="287">
        <f t="shared" si="168"/>
        <v>0</v>
      </c>
      <c r="BH316" s="287">
        <f t="shared" si="169"/>
        <v>0</v>
      </c>
      <c r="BI316" s="287">
        <f t="shared" si="170"/>
        <v>0</v>
      </c>
      <c r="BJ316" s="287">
        <f t="shared" si="171"/>
        <v>0</v>
      </c>
      <c r="BK316" s="287">
        <f t="shared" si="172"/>
        <v>0</v>
      </c>
      <c r="BL316" s="287">
        <f t="shared" si="173"/>
        <v>0</v>
      </c>
      <c r="BM316" s="16"/>
      <c r="BN316" s="287">
        <f t="shared" si="174"/>
        <v>0</v>
      </c>
      <c r="BO316" s="287">
        <f t="shared" si="175"/>
        <v>0</v>
      </c>
      <c r="BP316" s="432"/>
      <c r="BQ316" s="21"/>
      <c r="BR316" s="21"/>
      <c r="BS316" s="39"/>
      <c r="BT316" s="39"/>
      <c r="BU316" s="39"/>
      <c r="BV316" s="39"/>
      <c r="BW316" s="39"/>
      <c r="BX316" s="39"/>
      <c r="BY316" s="39"/>
      <c r="BZ316" s="39">
        <v>303</v>
      </c>
      <c r="CA316" s="39" t="str">
        <f t="shared" si="176"/>
        <v/>
      </c>
      <c r="CB316" s="39"/>
      <c r="CC316" s="39"/>
      <c r="CD316" s="39"/>
      <c r="CE316" s="39"/>
      <c r="CF316" s="39"/>
      <c r="CG316" s="39"/>
      <c r="CH316" s="39"/>
      <c r="CI316" s="39"/>
      <c r="CJ316" s="39"/>
      <c r="CK316" s="39"/>
    </row>
    <row r="317" spans="1:89" s="193" customFormat="1">
      <c r="A317" s="195"/>
      <c r="B317" s="21" t="str">
        <f t="shared" si="149"/>
        <v>N/A</v>
      </c>
      <c r="C317" s="21"/>
      <c r="D317" s="432">
        <v>3201562</v>
      </c>
      <c r="E317" s="439" t="s">
        <v>3626</v>
      </c>
      <c r="F317" s="439" t="s">
        <v>3869</v>
      </c>
      <c r="G317" s="273" t="s">
        <v>3178</v>
      </c>
      <c r="H317" s="358"/>
      <c r="I317" s="262" t="s">
        <v>3492</v>
      </c>
      <c r="J317" s="262" t="s">
        <v>3507</v>
      </c>
      <c r="K317" s="263">
        <v>4116176</v>
      </c>
      <c r="L317" s="263">
        <v>4965000</v>
      </c>
      <c r="M317" s="263">
        <v>2834275.75</v>
      </c>
      <c r="N317" s="263">
        <v>4107422.98</v>
      </c>
      <c r="O317" s="263">
        <v>3323758.97</v>
      </c>
      <c r="P317" s="263">
        <v>4179682.16</v>
      </c>
      <c r="Q317" s="263">
        <v>4453779.37</v>
      </c>
      <c r="R317" s="263">
        <v>5741387.6399999997</v>
      </c>
      <c r="S317" s="263">
        <v>5294568.3499999996</v>
      </c>
      <c r="T317" s="263">
        <v>5359429.22</v>
      </c>
      <c r="U317" s="263">
        <f t="shared" si="177"/>
        <v>44375480.439999998</v>
      </c>
      <c r="V317" s="196" t="str">
        <f t="shared" si="150"/>
        <v>R</v>
      </c>
      <c r="W317" s="196" t="s">
        <v>1168</v>
      </c>
      <c r="X317" s="196" t="str">
        <f t="shared" si="178"/>
        <v>N</v>
      </c>
      <c r="Y317" s="197">
        <f t="shared" si="151"/>
        <v>44375480.439999998</v>
      </c>
      <c r="Z317" s="198"/>
      <c r="AA317" s="197">
        <f t="shared" si="152"/>
        <v>44375480.439999998</v>
      </c>
      <c r="AB317" s="196"/>
      <c r="AC317" s="196"/>
      <c r="AD317" s="275">
        <v>0</v>
      </c>
      <c r="AE317" s="275">
        <v>0</v>
      </c>
      <c r="AF317" s="275">
        <v>1</v>
      </c>
      <c r="AG317" s="442"/>
      <c r="AH317" s="442"/>
      <c r="AI317" s="200">
        <f t="shared" si="153"/>
        <v>0</v>
      </c>
      <c r="AJ317" s="203"/>
      <c r="AK317" s="203"/>
      <c r="AL317" s="197">
        <f t="shared" si="146"/>
        <v>44375480.439999998</v>
      </c>
      <c r="AM317" s="197">
        <f t="shared" si="147"/>
        <v>0</v>
      </c>
      <c r="AN317" s="197">
        <f t="shared" si="148"/>
        <v>0</v>
      </c>
      <c r="AO317" s="202"/>
      <c r="AP317" s="161" t="s">
        <v>3900</v>
      </c>
      <c r="AQ317" s="279"/>
      <c r="AR317" s="287">
        <f t="shared" si="154"/>
        <v>0</v>
      </c>
      <c r="AS317" s="287">
        <f t="shared" si="155"/>
        <v>0</v>
      </c>
      <c r="AT317" s="287">
        <f t="shared" si="156"/>
        <v>0</v>
      </c>
      <c r="AU317" s="287">
        <f t="shared" si="157"/>
        <v>0</v>
      </c>
      <c r="AV317" s="287">
        <f t="shared" si="158"/>
        <v>0</v>
      </c>
      <c r="AW317" s="287">
        <f t="shared" si="159"/>
        <v>0</v>
      </c>
      <c r="AX317" s="287">
        <f t="shared" si="160"/>
        <v>0</v>
      </c>
      <c r="AY317" s="287">
        <f t="shared" si="161"/>
        <v>0</v>
      </c>
      <c r="AZ317" s="287">
        <f t="shared" si="162"/>
        <v>0</v>
      </c>
      <c r="BA317" s="287">
        <f t="shared" si="163"/>
        <v>0</v>
      </c>
      <c r="BB317" s="16"/>
      <c r="BC317" s="287">
        <f t="shared" si="164"/>
        <v>0</v>
      </c>
      <c r="BD317" s="287">
        <f t="shared" si="165"/>
        <v>0</v>
      </c>
      <c r="BE317" s="287">
        <f t="shared" si="166"/>
        <v>0</v>
      </c>
      <c r="BF317" s="287">
        <f t="shared" si="167"/>
        <v>0</v>
      </c>
      <c r="BG317" s="287">
        <f t="shared" si="168"/>
        <v>0</v>
      </c>
      <c r="BH317" s="287">
        <f t="shared" si="169"/>
        <v>0</v>
      </c>
      <c r="BI317" s="287">
        <f t="shared" si="170"/>
        <v>0</v>
      </c>
      <c r="BJ317" s="287">
        <f t="shared" si="171"/>
        <v>0</v>
      </c>
      <c r="BK317" s="287">
        <f t="shared" si="172"/>
        <v>0</v>
      </c>
      <c r="BL317" s="287">
        <f t="shared" si="173"/>
        <v>0</v>
      </c>
      <c r="BM317" s="16"/>
      <c r="BN317" s="287">
        <f t="shared" si="174"/>
        <v>0</v>
      </c>
      <c r="BO317" s="287">
        <f t="shared" si="175"/>
        <v>0</v>
      </c>
      <c r="BP317" s="432"/>
      <c r="BQ317" s="21"/>
      <c r="BR317" s="21"/>
      <c r="BS317" s="39"/>
      <c r="BT317" s="39"/>
      <c r="BU317" s="39"/>
      <c r="BV317" s="39"/>
      <c r="BW317" s="39"/>
      <c r="BX317" s="39"/>
      <c r="BY317" s="39"/>
      <c r="BZ317" s="39">
        <v>304</v>
      </c>
      <c r="CA317" s="39" t="str">
        <f t="shared" si="176"/>
        <v/>
      </c>
      <c r="CB317" s="39"/>
      <c r="CC317" s="39"/>
      <c r="CD317" s="39"/>
      <c r="CE317" s="39"/>
      <c r="CF317" s="39"/>
      <c r="CG317" s="39"/>
      <c r="CH317" s="39"/>
      <c r="CI317" s="39"/>
      <c r="CJ317" s="39"/>
      <c r="CK317" s="39"/>
    </row>
    <row r="318" spans="1:89" s="193" customFormat="1">
      <c r="A318" s="195"/>
      <c r="B318" s="21" t="str">
        <f t="shared" si="149"/>
        <v>N/A</v>
      </c>
      <c r="C318" s="21"/>
      <c r="D318" s="432">
        <v>3201562</v>
      </c>
      <c r="E318" s="439" t="s">
        <v>3626</v>
      </c>
      <c r="F318" s="439" t="s">
        <v>3870</v>
      </c>
      <c r="G318" s="273" t="s">
        <v>3196</v>
      </c>
      <c r="H318" s="358"/>
      <c r="I318" s="262" t="s">
        <v>3492</v>
      </c>
      <c r="J318" s="262" t="s">
        <v>3525</v>
      </c>
      <c r="K318" s="263">
        <v>2355790</v>
      </c>
      <c r="L318" s="263">
        <v>2533000</v>
      </c>
      <c r="M318" s="263">
        <v>1405374.64</v>
      </c>
      <c r="N318" s="263">
        <v>2449239.02</v>
      </c>
      <c r="O318" s="263">
        <v>2136804.4700000002</v>
      </c>
      <c r="P318" s="263">
        <v>2460714.15</v>
      </c>
      <c r="Q318" s="263">
        <v>2622084.04</v>
      </c>
      <c r="R318" s="263">
        <v>3380140.7</v>
      </c>
      <c r="S318" s="263">
        <v>3117083.73</v>
      </c>
      <c r="T318" s="263">
        <v>3155269.42</v>
      </c>
      <c r="U318" s="263">
        <f t="shared" si="177"/>
        <v>25615500.170000002</v>
      </c>
      <c r="V318" s="196" t="str">
        <f t="shared" si="150"/>
        <v>R</v>
      </c>
      <c r="W318" s="196" t="s">
        <v>1168</v>
      </c>
      <c r="X318" s="196" t="str">
        <f t="shared" si="178"/>
        <v>N</v>
      </c>
      <c r="Y318" s="197">
        <f t="shared" si="151"/>
        <v>25615500.170000002</v>
      </c>
      <c r="Z318" s="198"/>
      <c r="AA318" s="197">
        <f t="shared" si="152"/>
        <v>25615500.170000002</v>
      </c>
      <c r="AB318" s="196"/>
      <c r="AC318" s="196"/>
      <c r="AD318" s="275">
        <v>0</v>
      </c>
      <c r="AE318" s="275">
        <v>0</v>
      </c>
      <c r="AF318" s="275">
        <v>1</v>
      </c>
      <c r="AG318" s="442"/>
      <c r="AH318" s="442"/>
      <c r="AI318" s="200">
        <f t="shared" si="153"/>
        <v>0</v>
      </c>
      <c r="AJ318" s="203"/>
      <c r="AK318" s="203"/>
      <c r="AL318" s="197">
        <f t="shared" si="146"/>
        <v>25615500.170000002</v>
      </c>
      <c r="AM318" s="197">
        <f t="shared" si="147"/>
        <v>0</v>
      </c>
      <c r="AN318" s="197">
        <f t="shared" si="148"/>
        <v>0</v>
      </c>
      <c r="AO318" s="202"/>
      <c r="AP318" s="161" t="s">
        <v>3900</v>
      </c>
      <c r="AQ318" s="279"/>
      <c r="AR318" s="287">
        <f t="shared" si="154"/>
        <v>0</v>
      </c>
      <c r="AS318" s="287">
        <f t="shared" si="155"/>
        <v>0</v>
      </c>
      <c r="AT318" s="287">
        <f t="shared" si="156"/>
        <v>0</v>
      </c>
      <c r="AU318" s="287">
        <f t="shared" si="157"/>
        <v>0</v>
      </c>
      <c r="AV318" s="287">
        <f t="shared" si="158"/>
        <v>0</v>
      </c>
      <c r="AW318" s="287">
        <f t="shared" si="159"/>
        <v>0</v>
      </c>
      <c r="AX318" s="287">
        <f t="shared" si="160"/>
        <v>0</v>
      </c>
      <c r="AY318" s="287">
        <f t="shared" si="161"/>
        <v>0</v>
      </c>
      <c r="AZ318" s="287">
        <f t="shared" si="162"/>
        <v>0</v>
      </c>
      <c r="BA318" s="287">
        <f t="shared" si="163"/>
        <v>0</v>
      </c>
      <c r="BB318" s="16"/>
      <c r="BC318" s="287">
        <f t="shared" si="164"/>
        <v>0</v>
      </c>
      <c r="BD318" s="287">
        <f t="shared" si="165"/>
        <v>0</v>
      </c>
      <c r="BE318" s="287">
        <f t="shared" si="166"/>
        <v>0</v>
      </c>
      <c r="BF318" s="287">
        <f t="shared" si="167"/>
        <v>0</v>
      </c>
      <c r="BG318" s="287">
        <f t="shared" si="168"/>
        <v>0</v>
      </c>
      <c r="BH318" s="287">
        <f t="shared" si="169"/>
        <v>0</v>
      </c>
      <c r="BI318" s="287">
        <f t="shared" si="170"/>
        <v>0</v>
      </c>
      <c r="BJ318" s="287">
        <f t="shared" si="171"/>
        <v>0</v>
      </c>
      <c r="BK318" s="287">
        <f t="shared" si="172"/>
        <v>0</v>
      </c>
      <c r="BL318" s="287">
        <f t="shared" si="173"/>
        <v>0</v>
      </c>
      <c r="BM318" s="16"/>
      <c r="BN318" s="287">
        <f t="shared" si="174"/>
        <v>0</v>
      </c>
      <c r="BO318" s="287">
        <f t="shared" si="175"/>
        <v>0</v>
      </c>
      <c r="BP318" s="432"/>
      <c r="BQ318" s="21"/>
      <c r="BR318" s="21"/>
      <c r="BS318" s="39"/>
      <c r="BT318" s="39"/>
      <c r="BU318" s="39"/>
      <c r="BV318" s="39"/>
      <c r="BW318" s="39"/>
      <c r="BX318" s="39"/>
      <c r="BY318" s="39"/>
      <c r="BZ318" s="39">
        <v>305</v>
      </c>
      <c r="CA318" s="39" t="str">
        <f t="shared" si="176"/>
        <v/>
      </c>
      <c r="CB318" s="39"/>
      <c r="CC318" s="39"/>
      <c r="CD318" s="39"/>
      <c r="CE318" s="39"/>
      <c r="CF318" s="39"/>
      <c r="CG318" s="39"/>
      <c r="CH318" s="39"/>
      <c r="CI318" s="39"/>
      <c r="CJ318" s="39"/>
      <c r="CK318" s="39"/>
    </row>
    <row r="319" spans="1:89" s="193" customFormat="1">
      <c r="A319" s="195"/>
      <c r="B319" s="21" t="str">
        <f t="shared" si="149"/>
        <v>N/A</v>
      </c>
      <c r="C319" s="21"/>
      <c r="D319" s="432">
        <v>3201562</v>
      </c>
      <c r="E319" s="439" t="s">
        <v>3626</v>
      </c>
      <c r="F319" s="439" t="s">
        <v>3871</v>
      </c>
      <c r="G319" s="273" t="s">
        <v>3177</v>
      </c>
      <c r="H319" s="358"/>
      <c r="I319" s="262" t="s">
        <v>3492</v>
      </c>
      <c r="J319" s="262" t="s">
        <v>3506</v>
      </c>
      <c r="K319" s="263">
        <v>6259592</v>
      </c>
      <c r="L319" s="263">
        <v>7275028</v>
      </c>
      <c r="M319" s="263">
        <v>8897419.4199999999</v>
      </c>
      <c r="N319" s="263">
        <v>5879022.0300000003</v>
      </c>
      <c r="O319" s="263">
        <v>5455632.5</v>
      </c>
      <c r="P319" s="263">
        <v>6730773.8300000001</v>
      </c>
      <c r="Q319" s="263">
        <v>6963969.0099999998</v>
      </c>
      <c r="R319" s="263">
        <v>8655008.5999999996</v>
      </c>
      <c r="S319" s="263">
        <v>7981438.8899999997</v>
      </c>
      <c r="T319" s="263">
        <v>8079215.1399999997</v>
      </c>
      <c r="U319" s="263">
        <f t="shared" si="177"/>
        <v>72177099.420000002</v>
      </c>
      <c r="V319" s="196" t="str">
        <f t="shared" si="150"/>
        <v>R</v>
      </c>
      <c r="W319" s="196" t="s">
        <v>1168</v>
      </c>
      <c r="X319" s="196" t="str">
        <f t="shared" si="178"/>
        <v>N</v>
      </c>
      <c r="Y319" s="197">
        <f t="shared" si="151"/>
        <v>72177099.420000002</v>
      </c>
      <c r="Z319" s="198"/>
      <c r="AA319" s="197">
        <f t="shared" si="152"/>
        <v>72177099.420000002</v>
      </c>
      <c r="AB319" s="196"/>
      <c r="AC319" s="196"/>
      <c r="AD319" s="275">
        <v>0</v>
      </c>
      <c r="AE319" s="275">
        <v>0</v>
      </c>
      <c r="AF319" s="275">
        <v>1</v>
      </c>
      <c r="AG319" s="442"/>
      <c r="AH319" s="442"/>
      <c r="AI319" s="200">
        <f t="shared" si="153"/>
        <v>0</v>
      </c>
      <c r="AJ319" s="203"/>
      <c r="AK319" s="203"/>
      <c r="AL319" s="197">
        <f t="shared" si="146"/>
        <v>72177099.420000002</v>
      </c>
      <c r="AM319" s="197">
        <f t="shared" si="147"/>
        <v>0</v>
      </c>
      <c r="AN319" s="197">
        <f t="shared" si="148"/>
        <v>0</v>
      </c>
      <c r="AO319" s="202"/>
      <c r="AP319" s="161" t="s">
        <v>3900</v>
      </c>
      <c r="AQ319" s="279"/>
      <c r="AR319" s="287">
        <f t="shared" si="154"/>
        <v>0</v>
      </c>
      <c r="AS319" s="287">
        <f t="shared" si="155"/>
        <v>0</v>
      </c>
      <c r="AT319" s="287">
        <f t="shared" si="156"/>
        <v>0</v>
      </c>
      <c r="AU319" s="287">
        <f t="shared" si="157"/>
        <v>0</v>
      </c>
      <c r="AV319" s="287">
        <f t="shared" si="158"/>
        <v>0</v>
      </c>
      <c r="AW319" s="287">
        <f t="shared" si="159"/>
        <v>0</v>
      </c>
      <c r="AX319" s="287">
        <f t="shared" si="160"/>
        <v>0</v>
      </c>
      <c r="AY319" s="287">
        <f t="shared" si="161"/>
        <v>0</v>
      </c>
      <c r="AZ319" s="287">
        <f t="shared" si="162"/>
        <v>0</v>
      </c>
      <c r="BA319" s="287">
        <f t="shared" si="163"/>
        <v>0</v>
      </c>
      <c r="BB319" s="16"/>
      <c r="BC319" s="287">
        <f t="shared" si="164"/>
        <v>0</v>
      </c>
      <c r="BD319" s="287">
        <f t="shared" si="165"/>
        <v>0</v>
      </c>
      <c r="BE319" s="287">
        <f t="shared" si="166"/>
        <v>0</v>
      </c>
      <c r="BF319" s="287">
        <f t="shared" si="167"/>
        <v>0</v>
      </c>
      <c r="BG319" s="287">
        <f t="shared" si="168"/>
        <v>0</v>
      </c>
      <c r="BH319" s="287">
        <f t="shared" si="169"/>
        <v>0</v>
      </c>
      <c r="BI319" s="287">
        <f t="shared" si="170"/>
        <v>0</v>
      </c>
      <c r="BJ319" s="287">
        <f t="shared" si="171"/>
        <v>0</v>
      </c>
      <c r="BK319" s="287">
        <f t="shared" si="172"/>
        <v>0</v>
      </c>
      <c r="BL319" s="287">
        <f t="shared" si="173"/>
        <v>0</v>
      </c>
      <c r="BM319" s="16"/>
      <c r="BN319" s="287">
        <f t="shared" si="174"/>
        <v>0</v>
      </c>
      <c r="BO319" s="287">
        <f t="shared" si="175"/>
        <v>0</v>
      </c>
      <c r="BP319" s="432"/>
      <c r="BQ319" s="21"/>
      <c r="BR319" s="21"/>
      <c r="BS319" s="39"/>
      <c r="BT319" s="39"/>
      <c r="BU319" s="39"/>
      <c r="BV319" s="39"/>
      <c r="BW319" s="39"/>
      <c r="BX319" s="39"/>
      <c r="BY319" s="39"/>
      <c r="BZ319" s="39">
        <v>306</v>
      </c>
      <c r="CA319" s="39" t="str">
        <f t="shared" si="176"/>
        <v/>
      </c>
      <c r="CB319" s="39"/>
      <c r="CC319" s="39"/>
      <c r="CD319" s="39"/>
      <c r="CE319" s="39"/>
      <c r="CF319" s="39"/>
      <c r="CG319" s="39"/>
      <c r="CH319" s="39"/>
      <c r="CI319" s="39"/>
      <c r="CJ319" s="39"/>
      <c r="CK319" s="39"/>
    </row>
    <row r="320" spans="1:89" s="193" customFormat="1">
      <c r="A320" s="195"/>
      <c r="B320" s="21" t="str">
        <f t="shared" si="149"/>
        <v>N/A</v>
      </c>
      <c r="C320" s="21"/>
      <c r="D320" s="432">
        <v>3201562</v>
      </c>
      <c r="E320" s="439" t="s">
        <v>3626</v>
      </c>
      <c r="F320" s="439" t="s">
        <v>3872</v>
      </c>
      <c r="G320" s="273" t="s">
        <v>3194</v>
      </c>
      <c r="H320" s="358"/>
      <c r="I320" s="262" t="s">
        <v>3492</v>
      </c>
      <c r="J320" s="262" t="s">
        <v>3523</v>
      </c>
      <c r="K320" s="263">
        <v>2512482</v>
      </c>
      <c r="L320" s="263">
        <v>3283750</v>
      </c>
      <c r="M320" s="263">
        <v>2832827.71</v>
      </c>
      <c r="N320" s="263">
        <v>2270613.44</v>
      </c>
      <c r="O320" s="263">
        <v>2336855.6</v>
      </c>
      <c r="P320" s="263">
        <v>2641680.4500000002</v>
      </c>
      <c r="Q320" s="263">
        <v>2782950.48</v>
      </c>
      <c r="R320" s="263">
        <v>3587514.38</v>
      </c>
      <c r="S320" s="263">
        <v>3308318.7</v>
      </c>
      <c r="T320" s="263">
        <v>3348847.1</v>
      </c>
      <c r="U320" s="263">
        <f t="shared" si="177"/>
        <v>28905839.859999999</v>
      </c>
      <c r="V320" s="196" t="str">
        <f t="shared" si="150"/>
        <v>R</v>
      </c>
      <c r="W320" s="196" t="s">
        <v>1168</v>
      </c>
      <c r="X320" s="196" t="str">
        <f t="shared" si="178"/>
        <v>N</v>
      </c>
      <c r="Y320" s="197">
        <f t="shared" si="151"/>
        <v>28905839.859999999</v>
      </c>
      <c r="Z320" s="198"/>
      <c r="AA320" s="197">
        <f t="shared" si="152"/>
        <v>28905839.859999999</v>
      </c>
      <c r="AB320" s="196"/>
      <c r="AC320" s="196"/>
      <c r="AD320" s="275">
        <v>0</v>
      </c>
      <c r="AE320" s="275">
        <v>0</v>
      </c>
      <c r="AF320" s="275">
        <v>1</v>
      </c>
      <c r="AG320" s="442"/>
      <c r="AH320" s="442"/>
      <c r="AI320" s="200">
        <f t="shared" si="153"/>
        <v>0</v>
      </c>
      <c r="AJ320" s="203"/>
      <c r="AK320" s="203"/>
      <c r="AL320" s="197">
        <f t="shared" si="146"/>
        <v>28905839.859999999</v>
      </c>
      <c r="AM320" s="197">
        <f t="shared" si="147"/>
        <v>0</v>
      </c>
      <c r="AN320" s="197">
        <f t="shared" si="148"/>
        <v>0</v>
      </c>
      <c r="AO320" s="202"/>
      <c r="AP320" s="161" t="s">
        <v>3900</v>
      </c>
      <c r="AQ320" s="279"/>
      <c r="AR320" s="287">
        <f t="shared" si="154"/>
        <v>0</v>
      </c>
      <c r="AS320" s="287">
        <f t="shared" si="155"/>
        <v>0</v>
      </c>
      <c r="AT320" s="287">
        <f t="shared" si="156"/>
        <v>0</v>
      </c>
      <c r="AU320" s="287">
        <f t="shared" si="157"/>
        <v>0</v>
      </c>
      <c r="AV320" s="287">
        <f t="shared" si="158"/>
        <v>0</v>
      </c>
      <c r="AW320" s="287">
        <f t="shared" si="159"/>
        <v>0</v>
      </c>
      <c r="AX320" s="287">
        <f t="shared" si="160"/>
        <v>0</v>
      </c>
      <c r="AY320" s="287">
        <f t="shared" si="161"/>
        <v>0</v>
      </c>
      <c r="AZ320" s="287">
        <f t="shared" si="162"/>
        <v>0</v>
      </c>
      <c r="BA320" s="287">
        <f t="shared" si="163"/>
        <v>0</v>
      </c>
      <c r="BB320" s="16"/>
      <c r="BC320" s="287">
        <f t="shared" si="164"/>
        <v>0</v>
      </c>
      <c r="BD320" s="287">
        <f t="shared" si="165"/>
        <v>0</v>
      </c>
      <c r="BE320" s="287">
        <f t="shared" si="166"/>
        <v>0</v>
      </c>
      <c r="BF320" s="287">
        <f t="shared" si="167"/>
        <v>0</v>
      </c>
      <c r="BG320" s="287">
        <f t="shared" si="168"/>
        <v>0</v>
      </c>
      <c r="BH320" s="287">
        <f t="shared" si="169"/>
        <v>0</v>
      </c>
      <c r="BI320" s="287">
        <f t="shared" si="170"/>
        <v>0</v>
      </c>
      <c r="BJ320" s="287">
        <f t="shared" si="171"/>
        <v>0</v>
      </c>
      <c r="BK320" s="287">
        <f t="shared" si="172"/>
        <v>0</v>
      </c>
      <c r="BL320" s="287">
        <f t="shared" si="173"/>
        <v>0</v>
      </c>
      <c r="BM320" s="16"/>
      <c r="BN320" s="287">
        <f t="shared" si="174"/>
        <v>0</v>
      </c>
      <c r="BO320" s="287">
        <f t="shared" si="175"/>
        <v>0</v>
      </c>
      <c r="BP320" s="432"/>
      <c r="BQ320" s="21"/>
      <c r="BR320" s="21"/>
      <c r="BS320" s="39"/>
      <c r="BT320" s="39"/>
      <c r="BU320" s="39"/>
      <c r="BV320" s="39"/>
      <c r="BW320" s="39"/>
      <c r="BX320" s="39"/>
      <c r="BY320" s="39"/>
      <c r="BZ320" s="39">
        <v>307</v>
      </c>
      <c r="CA320" s="39" t="str">
        <f t="shared" si="176"/>
        <v/>
      </c>
      <c r="CB320" s="39"/>
      <c r="CC320" s="39"/>
      <c r="CD320" s="39"/>
      <c r="CE320" s="39"/>
      <c r="CF320" s="39"/>
      <c r="CG320" s="39"/>
      <c r="CH320" s="39"/>
      <c r="CI320" s="39"/>
      <c r="CJ320" s="39"/>
      <c r="CK320" s="39"/>
    </row>
    <row r="321" spans="1:89" s="193" customFormat="1">
      <c r="A321" s="195"/>
      <c r="B321" s="21" t="str">
        <f t="shared" si="149"/>
        <v>N/A</v>
      </c>
      <c r="C321" s="21"/>
      <c r="D321" s="432">
        <v>3201562</v>
      </c>
      <c r="E321" s="439" t="s">
        <v>3626</v>
      </c>
      <c r="F321" s="439" t="s">
        <v>3873</v>
      </c>
      <c r="G321" s="273" t="s">
        <v>3193</v>
      </c>
      <c r="H321" s="358"/>
      <c r="I321" s="262" t="s">
        <v>3492</v>
      </c>
      <c r="J321" s="262" t="s">
        <v>3522</v>
      </c>
      <c r="K321" s="263">
        <v>3132444</v>
      </c>
      <c r="L321" s="263">
        <v>1504000</v>
      </c>
      <c r="M321" s="263">
        <v>2233441.81</v>
      </c>
      <c r="N321" s="263">
        <v>1398850.3</v>
      </c>
      <c r="O321" s="263">
        <v>1981290.42</v>
      </c>
      <c r="P321" s="263">
        <v>2089100.32</v>
      </c>
      <c r="Q321" s="263">
        <v>2226100.35</v>
      </c>
      <c r="R321" s="263">
        <v>2869676.29</v>
      </c>
      <c r="S321" s="263">
        <v>2646345.83</v>
      </c>
      <c r="T321" s="263">
        <v>2678764.77</v>
      </c>
      <c r="U321" s="263">
        <f t="shared" si="177"/>
        <v>22760014.09</v>
      </c>
      <c r="V321" s="196" t="str">
        <f t="shared" si="150"/>
        <v>R</v>
      </c>
      <c r="W321" s="196" t="s">
        <v>1168</v>
      </c>
      <c r="X321" s="196" t="str">
        <f t="shared" si="178"/>
        <v>N</v>
      </c>
      <c r="Y321" s="197">
        <f t="shared" si="151"/>
        <v>22760014.09</v>
      </c>
      <c r="Z321" s="198"/>
      <c r="AA321" s="197">
        <f t="shared" si="152"/>
        <v>22760014.09</v>
      </c>
      <c r="AB321" s="196"/>
      <c r="AC321" s="196"/>
      <c r="AD321" s="275">
        <v>0</v>
      </c>
      <c r="AE321" s="275">
        <v>0</v>
      </c>
      <c r="AF321" s="275">
        <v>1</v>
      </c>
      <c r="AG321" s="442"/>
      <c r="AH321" s="442"/>
      <c r="AI321" s="200">
        <f t="shared" si="153"/>
        <v>0</v>
      </c>
      <c r="AJ321" s="203"/>
      <c r="AK321" s="203"/>
      <c r="AL321" s="197">
        <f t="shared" si="146"/>
        <v>22760014.09</v>
      </c>
      <c r="AM321" s="197">
        <f t="shared" si="147"/>
        <v>0</v>
      </c>
      <c r="AN321" s="197">
        <f t="shared" si="148"/>
        <v>0</v>
      </c>
      <c r="AO321" s="202"/>
      <c r="AP321" s="161" t="s">
        <v>3900</v>
      </c>
      <c r="AQ321" s="279"/>
      <c r="AR321" s="287">
        <f t="shared" si="154"/>
        <v>0</v>
      </c>
      <c r="AS321" s="287">
        <f t="shared" si="155"/>
        <v>0</v>
      </c>
      <c r="AT321" s="287">
        <f t="shared" si="156"/>
        <v>0</v>
      </c>
      <c r="AU321" s="287">
        <f t="shared" si="157"/>
        <v>0</v>
      </c>
      <c r="AV321" s="287">
        <f t="shared" si="158"/>
        <v>0</v>
      </c>
      <c r="AW321" s="287">
        <f t="shared" si="159"/>
        <v>0</v>
      </c>
      <c r="AX321" s="287">
        <f t="shared" si="160"/>
        <v>0</v>
      </c>
      <c r="AY321" s="287">
        <f t="shared" si="161"/>
        <v>0</v>
      </c>
      <c r="AZ321" s="287">
        <f t="shared" si="162"/>
        <v>0</v>
      </c>
      <c r="BA321" s="287">
        <f t="shared" si="163"/>
        <v>0</v>
      </c>
      <c r="BB321" s="16"/>
      <c r="BC321" s="287">
        <f t="shared" si="164"/>
        <v>0</v>
      </c>
      <c r="BD321" s="287">
        <f t="shared" si="165"/>
        <v>0</v>
      </c>
      <c r="BE321" s="287">
        <f t="shared" si="166"/>
        <v>0</v>
      </c>
      <c r="BF321" s="287">
        <f t="shared" si="167"/>
        <v>0</v>
      </c>
      <c r="BG321" s="287">
        <f t="shared" si="168"/>
        <v>0</v>
      </c>
      <c r="BH321" s="287">
        <f t="shared" si="169"/>
        <v>0</v>
      </c>
      <c r="BI321" s="287">
        <f t="shared" si="170"/>
        <v>0</v>
      </c>
      <c r="BJ321" s="287">
        <f t="shared" si="171"/>
        <v>0</v>
      </c>
      <c r="BK321" s="287">
        <f t="shared" si="172"/>
        <v>0</v>
      </c>
      <c r="BL321" s="287">
        <f t="shared" si="173"/>
        <v>0</v>
      </c>
      <c r="BM321" s="16"/>
      <c r="BN321" s="287">
        <f t="shared" si="174"/>
        <v>0</v>
      </c>
      <c r="BO321" s="287">
        <f t="shared" si="175"/>
        <v>0</v>
      </c>
      <c r="BP321" s="432"/>
      <c r="BQ321" s="21"/>
      <c r="BR321" s="21"/>
      <c r="BS321" s="39"/>
      <c r="BT321" s="39"/>
      <c r="BU321" s="39"/>
      <c r="BV321" s="39"/>
      <c r="BW321" s="39"/>
      <c r="BX321" s="39"/>
      <c r="BY321" s="39"/>
      <c r="BZ321" s="39">
        <v>308</v>
      </c>
      <c r="CA321" s="39" t="str">
        <f t="shared" si="176"/>
        <v/>
      </c>
      <c r="CB321" s="39"/>
      <c r="CC321" s="39"/>
      <c r="CD321" s="39"/>
      <c r="CE321" s="39"/>
      <c r="CF321" s="39"/>
      <c r="CG321" s="39"/>
      <c r="CH321" s="39"/>
      <c r="CI321" s="39"/>
      <c r="CJ321" s="39"/>
      <c r="CK321" s="39"/>
    </row>
    <row r="322" spans="1:89" s="193" customFormat="1">
      <c r="A322" s="195"/>
      <c r="B322" s="21" t="str">
        <f t="shared" si="149"/>
        <v>N/A</v>
      </c>
      <c r="C322" s="21"/>
      <c r="D322" s="432">
        <v>3201562</v>
      </c>
      <c r="E322" s="439" t="s">
        <v>3626</v>
      </c>
      <c r="F322" s="439" t="s">
        <v>3874</v>
      </c>
      <c r="G322" s="273" t="s">
        <v>3182</v>
      </c>
      <c r="H322" s="358"/>
      <c r="I322" s="262" t="s">
        <v>3492</v>
      </c>
      <c r="J322" s="262" t="s">
        <v>3511</v>
      </c>
      <c r="K322" s="263">
        <v>2604104</v>
      </c>
      <c r="L322" s="263">
        <v>2752143</v>
      </c>
      <c r="M322" s="263">
        <v>3381052.59</v>
      </c>
      <c r="N322" s="263">
        <v>2541129.2799999998</v>
      </c>
      <c r="O322" s="263">
        <v>3383309</v>
      </c>
      <c r="P322" s="263">
        <v>2481468.88</v>
      </c>
      <c r="Q322" s="263">
        <v>2644199.84</v>
      </c>
      <c r="R322" s="263">
        <v>3408650.27</v>
      </c>
      <c r="S322" s="263">
        <v>3143374.56</v>
      </c>
      <c r="T322" s="263">
        <v>3181882.33</v>
      </c>
      <c r="U322" s="263">
        <f t="shared" si="177"/>
        <v>29521313.75</v>
      </c>
      <c r="V322" s="196" t="str">
        <f t="shared" si="150"/>
        <v>R</v>
      </c>
      <c r="W322" s="196" t="s">
        <v>1168</v>
      </c>
      <c r="X322" s="196" t="str">
        <f t="shared" si="178"/>
        <v>N</v>
      </c>
      <c r="Y322" s="197">
        <f t="shared" si="151"/>
        <v>29521313.75</v>
      </c>
      <c r="Z322" s="198"/>
      <c r="AA322" s="197">
        <f t="shared" si="152"/>
        <v>29521313.75</v>
      </c>
      <c r="AB322" s="196"/>
      <c r="AC322" s="196"/>
      <c r="AD322" s="275">
        <v>0</v>
      </c>
      <c r="AE322" s="275">
        <v>0</v>
      </c>
      <c r="AF322" s="275">
        <v>1</v>
      </c>
      <c r="AG322" s="442"/>
      <c r="AH322" s="442"/>
      <c r="AI322" s="200">
        <f t="shared" si="153"/>
        <v>0</v>
      </c>
      <c r="AJ322" s="203"/>
      <c r="AK322" s="203"/>
      <c r="AL322" s="197">
        <f t="shared" si="146"/>
        <v>29521313.75</v>
      </c>
      <c r="AM322" s="197">
        <f t="shared" si="147"/>
        <v>0</v>
      </c>
      <c r="AN322" s="197">
        <f t="shared" si="148"/>
        <v>0</v>
      </c>
      <c r="AO322" s="202"/>
      <c r="AP322" s="161" t="s">
        <v>3900</v>
      </c>
      <c r="AQ322" s="279"/>
      <c r="AR322" s="287">
        <f t="shared" si="154"/>
        <v>0</v>
      </c>
      <c r="AS322" s="287">
        <f t="shared" si="155"/>
        <v>0</v>
      </c>
      <c r="AT322" s="287">
        <f t="shared" si="156"/>
        <v>0</v>
      </c>
      <c r="AU322" s="287">
        <f t="shared" si="157"/>
        <v>0</v>
      </c>
      <c r="AV322" s="287">
        <f t="shared" si="158"/>
        <v>0</v>
      </c>
      <c r="AW322" s="287">
        <f t="shared" si="159"/>
        <v>0</v>
      </c>
      <c r="AX322" s="287">
        <f t="shared" si="160"/>
        <v>0</v>
      </c>
      <c r="AY322" s="287">
        <f t="shared" si="161"/>
        <v>0</v>
      </c>
      <c r="AZ322" s="287">
        <f t="shared" si="162"/>
        <v>0</v>
      </c>
      <c r="BA322" s="287">
        <f t="shared" si="163"/>
        <v>0</v>
      </c>
      <c r="BB322" s="16"/>
      <c r="BC322" s="287">
        <f t="shared" si="164"/>
        <v>0</v>
      </c>
      <c r="BD322" s="287">
        <f t="shared" si="165"/>
        <v>0</v>
      </c>
      <c r="BE322" s="287">
        <f t="shared" si="166"/>
        <v>0</v>
      </c>
      <c r="BF322" s="287">
        <f t="shared" si="167"/>
        <v>0</v>
      </c>
      <c r="BG322" s="287">
        <f t="shared" si="168"/>
        <v>0</v>
      </c>
      <c r="BH322" s="287">
        <f t="shared" si="169"/>
        <v>0</v>
      </c>
      <c r="BI322" s="287">
        <f t="shared" si="170"/>
        <v>0</v>
      </c>
      <c r="BJ322" s="287">
        <f t="shared" si="171"/>
        <v>0</v>
      </c>
      <c r="BK322" s="287">
        <f t="shared" si="172"/>
        <v>0</v>
      </c>
      <c r="BL322" s="287">
        <f t="shared" si="173"/>
        <v>0</v>
      </c>
      <c r="BM322" s="16"/>
      <c r="BN322" s="287">
        <f t="shared" si="174"/>
        <v>0</v>
      </c>
      <c r="BO322" s="287">
        <f t="shared" si="175"/>
        <v>0</v>
      </c>
      <c r="BP322" s="432"/>
      <c r="BQ322" s="21"/>
      <c r="BR322" s="21"/>
      <c r="BS322" s="39"/>
      <c r="BT322" s="39"/>
      <c r="BU322" s="39"/>
      <c r="BV322" s="39"/>
      <c r="BW322" s="39"/>
      <c r="BX322" s="39"/>
      <c r="BY322" s="39"/>
      <c r="BZ322" s="39">
        <v>309</v>
      </c>
      <c r="CA322" s="39" t="str">
        <f t="shared" si="176"/>
        <v/>
      </c>
      <c r="CB322" s="39"/>
      <c r="CC322" s="39"/>
      <c r="CD322" s="39"/>
      <c r="CE322" s="39"/>
      <c r="CF322" s="39"/>
      <c r="CG322" s="39"/>
      <c r="CH322" s="39"/>
      <c r="CI322" s="39"/>
      <c r="CJ322" s="39"/>
      <c r="CK322" s="39"/>
    </row>
    <row r="323" spans="1:89" s="193" customFormat="1">
      <c r="A323" s="195"/>
      <c r="B323" s="21" t="str">
        <f t="shared" si="149"/>
        <v>N/A</v>
      </c>
      <c r="C323" s="21"/>
      <c r="D323" s="432">
        <v>3201562</v>
      </c>
      <c r="E323" s="439" t="s">
        <v>3626</v>
      </c>
      <c r="F323" s="439" t="s">
        <v>3875</v>
      </c>
      <c r="G323" s="273" t="s">
        <v>3185</v>
      </c>
      <c r="H323" s="358"/>
      <c r="I323" s="262" t="s">
        <v>3492</v>
      </c>
      <c r="J323" s="262" t="s">
        <v>3514</v>
      </c>
      <c r="K323" s="263">
        <v>2175370</v>
      </c>
      <c r="L323" s="263">
        <v>3515000</v>
      </c>
      <c r="M323" s="263">
        <v>1114621.31</v>
      </c>
      <c r="N323" s="263">
        <v>2409074.7799999998</v>
      </c>
      <c r="O323" s="263">
        <v>2259891.19</v>
      </c>
      <c r="P323" s="263">
        <v>2653223.25</v>
      </c>
      <c r="Q323" s="263">
        <v>2827217.6</v>
      </c>
      <c r="R323" s="263">
        <v>3644579.32</v>
      </c>
      <c r="S323" s="263">
        <v>3360942.6</v>
      </c>
      <c r="T323" s="263">
        <v>3402115.68</v>
      </c>
      <c r="U323" s="263">
        <f t="shared" si="177"/>
        <v>27362035.73</v>
      </c>
      <c r="V323" s="196" t="str">
        <f t="shared" si="150"/>
        <v>R</v>
      </c>
      <c r="W323" s="196" t="s">
        <v>1168</v>
      </c>
      <c r="X323" s="196" t="str">
        <f t="shared" si="178"/>
        <v>N</v>
      </c>
      <c r="Y323" s="197">
        <f t="shared" si="151"/>
        <v>27362035.73</v>
      </c>
      <c r="Z323" s="198"/>
      <c r="AA323" s="197">
        <f t="shared" si="152"/>
        <v>27362035.73</v>
      </c>
      <c r="AB323" s="196"/>
      <c r="AC323" s="196"/>
      <c r="AD323" s="275">
        <v>0</v>
      </c>
      <c r="AE323" s="275">
        <v>0</v>
      </c>
      <c r="AF323" s="275">
        <v>1</v>
      </c>
      <c r="AG323" s="442"/>
      <c r="AH323" s="442"/>
      <c r="AI323" s="200">
        <f t="shared" si="153"/>
        <v>0</v>
      </c>
      <c r="AJ323" s="203"/>
      <c r="AK323" s="203"/>
      <c r="AL323" s="197">
        <f t="shared" si="146"/>
        <v>27362035.73</v>
      </c>
      <c r="AM323" s="197">
        <f t="shared" si="147"/>
        <v>0</v>
      </c>
      <c r="AN323" s="197">
        <f t="shared" si="148"/>
        <v>0</v>
      </c>
      <c r="AO323" s="202"/>
      <c r="AP323" s="161" t="s">
        <v>3900</v>
      </c>
      <c r="AQ323" s="279"/>
      <c r="AR323" s="287">
        <f t="shared" si="154"/>
        <v>0</v>
      </c>
      <c r="AS323" s="287">
        <f t="shared" si="155"/>
        <v>0</v>
      </c>
      <c r="AT323" s="287">
        <f t="shared" si="156"/>
        <v>0</v>
      </c>
      <c r="AU323" s="287">
        <f t="shared" si="157"/>
        <v>0</v>
      </c>
      <c r="AV323" s="287">
        <f t="shared" si="158"/>
        <v>0</v>
      </c>
      <c r="AW323" s="287">
        <f t="shared" si="159"/>
        <v>0</v>
      </c>
      <c r="AX323" s="287">
        <f t="shared" si="160"/>
        <v>0</v>
      </c>
      <c r="AY323" s="287">
        <f t="shared" si="161"/>
        <v>0</v>
      </c>
      <c r="AZ323" s="287">
        <f t="shared" si="162"/>
        <v>0</v>
      </c>
      <c r="BA323" s="287">
        <f t="shared" si="163"/>
        <v>0</v>
      </c>
      <c r="BB323" s="16"/>
      <c r="BC323" s="287">
        <f t="shared" si="164"/>
        <v>0</v>
      </c>
      <c r="BD323" s="287">
        <f t="shared" si="165"/>
        <v>0</v>
      </c>
      <c r="BE323" s="287">
        <f t="shared" si="166"/>
        <v>0</v>
      </c>
      <c r="BF323" s="287">
        <f t="shared" si="167"/>
        <v>0</v>
      </c>
      <c r="BG323" s="287">
        <f t="shared" si="168"/>
        <v>0</v>
      </c>
      <c r="BH323" s="287">
        <f t="shared" si="169"/>
        <v>0</v>
      </c>
      <c r="BI323" s="287">
        <f t="shared" si="170"/>
        <v>0</v>
      </c>
      <c r="BJ323" s="287">
        <f t="shared" si="171"/>
        <v>0</v>
      </c>
      <c r="BK323" s="287">
        <f t="shared" si="172"/>
        <v>0</v>
      </c>
      <c r="BL323" s="287">
        <f t="shared" si="173"/>
        <v>0</v>
      </c>
      <c r="BM323" s="16"/>
      <c r="BN323" s="287">
        <f t="shared" si="174"/>
        <v>0</v>
      </c>
      <c r="BO323" s="287">
        <f t="shared" si="175"/>
        <v>0</v>
      </c>
      <c r="BP323" s="432"/>
      <c r="BQ323" s="21"/>
      <c r="BR323" s="21"/>
      <c r="BS323" s="39"/>
      <c r="BT323" s="39"/>
      <c r="BU323" s="39"/>
      <c r="BV323" s="39"/>
      <c r="BW323" s="39"/>
      <c r="BX323" s="39"/>
      <c r="BY323" s="39"/>
      <c r="BZ323" s="39">
        <v>310</v>
      </c>
      <c r="CA323" s="39" t="str">
        <f t="shared" si="176"/>
        <v/>
      </c>
      <c r="CB323" s="39"/>
      <c r="CC323" s="39"/>
      <c r="CD323" s="39"/>
      <c r="CE323" s="39"/>
      <c r="CF323" s="39"/>
      <c r="CG323" s="39"/>
      <c r="CH323" s="39"/>
      <c r="CI323" s="39"/>
      <c r="CJ323" s="39"/>
      <c r="CK323" s="39"/>
    </row>
    <row r="324" spans="1:89" s="193" customFormat="1">
      <c r="A324" s="195"/>
      <c r="B324" s="21" t="str">
        <f t="shared" si="149"/>
        <v>N/A</v>
      </c>
      <c r="C324" s="21"/>
      <c r="D324" s="432">
        <v>3201562</v>
      </c>
      <c r="E324" s="439" t="s">
        <v>3626</v>
      </c>
      <c r="F324" s="439" t="s">
        <v>3876</v>
      </c>
      <c r="G324" s="273" t="s">
        <v>3192</v>
      </c>
      <c r="H324" s="358"/>
      <c r="I324" s="262" t="s">
        <v>3492</v>
      </c>
      <c r="J324" s="262" t="s">
        <v>3521</v>
      </c>
      <c r="K324" s="263">
        <v>4611920</v>
      </c>
      <c r="L324" s="263">
        <v>3265543</v>
      </c>
      <c r="M324" s="263">
        <v>2379683.69</v>
      </c>
      <c r="N324" s="263">
        <v>2537350.5</v>
      </c>
      <c r="O324" s="263">
        <v>3222584.25</v>
      </c>
      <c r="P324" s="263">
        <v>3549446.62</v>
      </c>
      <c r="Q324" s="263">
        <v>3782213.94</v>
      </c>
      <c r="R324" s="263">
        <v>4875669.53</v>
      </c>
      <c r="S324" s="263">
        <v>4496224.12</v>
      </c>
      <c r="T324" s="263">
        <v>4551304.91</v>
      </c>
      <c r="U324" s="263">
        <f t="shared" si="177"/>
        <v>37271940.560000002</v>
      </c>
      <c r="V324" s="196" t="str">
        <f t="shared" si="150"/>
        <v>R</v>
      </c>
      <c r="W324" s="196" t="s">
        <v>1168</v>
      </c>
      <c r="X324" s="196" t="str">
        <f t="shared" si="178"/>
        <v>N</v>
      </c>
      <c r="Y324" s="197">
        <f t="shared" si="151"/>
        <v>37271940.560000002</v>
      </c>
      <c r="Z324" s="198"/>
      <c r="AA324" s="197">
        <f t="shared" si="152"/>
        <v>37271940.560000002</v>
      </c>
      <c r="AB324" s="196"/>
      <c r="AC324" s="196"/>
      <c r="AD324" s="275">
        <v>0</v>
      </c>
      <c r="AE324" s="275">
        <v>0</v>
      </c>
      <c r="AF324" s="275">
        <v>1</v>
      </c>
      <c r="AG324" s="442"/>
      <c r="AH324" s="442"/>
      <c r="AI324" s="200">
        <f t="shared" si="153"/>
        <v>0</v>
      </c>
      <c r="AJ324" s="203"/>
      <c r="AK324" s="203"/>
      <c r="AL324" s="197">
        <f t="shared" si="146"/>
        <v>37271940.560000002</v>
      </c>
      <c r="AM324" s="197">
        <f t="shared" si="147"/>
        <v>0</v>
      </c>
      <c r="AN324" s="197">
        <f t="shared" si="148"/>
        <v>0</v>
      </c>
      <c r="AO324" s="202"/>
      <c r="AP324" s="161" t="s">
        <v>3900</v>
      </c>
      <c r="AQ324" s="279"/>
      <c r="AR324" s="287">
        <f t="shared" si="154"/>
        <v>0</v>
      </c>
      <c r="AS324" s="287">
        <f t="shared" si="155"/>
        <v>0</v>
      </c>
      <c r="AT324" s="287">
        <f t="shared" si="156"/>
        <v>0</v>
      </c>
      <c r="AU324" s="287">
        <f t="shared" si="157"/>
        <v>0</v>
      </c>
      <c r="AV324" s="287">
        <f t="shared" si="158"/>
        <v>0</v>
      </c>
      <c r="AW324" s="287">
        <f t="shared" si="159"/>
        <v>0</v>
      </c>
      <c r="AX324" s="287">
        <f t="shared" si="160"/>
        <v>0</v>
      </c>
      <c r="AY324" s="287">
        <f t="shared" si="161"/>
        <v>0</v>
      </c>
      <c r="AZ324" s="287">
        <f t="shared" si="162"/>
        <v>0</v>
      </c>
      <c r="BA324" s="287">
        <f t="shared" si="163"/>
        <v>0</v>
      </c>
      <c r="BB324" s="16"/>
      <c r="BC324" s="287">
        <f t="shared" si="164"/>
        <v>0</v>
      </c>
      <c r="BD324" s="287">
        <f t="shared" si="165"/>
        <v>0</v>
      </c>
      <c r="BE324" s="287">
        <f t="shared" si="166"/>
        <v>0</v>
      </c>
      <c r="BF324" s="287">
        <f t="shared" si="167"/>
        <v>0</v>
      </c>
      <c r="BG324" s="287">
        <f t="shared" si="168"/>
        <v>0</v>
      </c>
      <c r="BH324" s="287">
        <f t="shared" si="169"/>
        <v>0</v>
      </c>
      <c r="BI324" s="287">
        <f t="shared" si="170"/>
        <v>0</v>
      </c>
      <c r="BJ324" s="287">
        <f t="shared" si="171"/>
        <v>0</v>
      </c>
      <c r="BK324" s="287">
        <f t="shared" si="172"/>
        <v>0</v>
      </c>
      <c r="BL324" s="287">
        <f t="shared" si="173"/>
        <v>0</v>
      </c>
      <c r="BM324" s="16"/>
      <c r="BN324" s="287">
        <f t="shared" si="174"/>
        <v>0</v>
      </c>
      <c r="BO324" s="287">
        <f t="shared" si="175"/>
        <v>0</v>
      </c>
      <c r="BP324" s="432"/>
      <c r="BQ324" s="21"/>
      <c r="BR324" s="21"/>
      <c r="BS324" s="39"/>
      <c r="BT324" s="39"/>
      <c r="BU324" s="39"/>
      <c r="BV324" s="39"/>
      <c r="BW324" s="39"/>
      <c r="BX324" s="39"/>
      <c r="BY324" s="39"/>
      <c r="BZ324" s="39">
        <v>311</v>
      </c>
      <c r="CA324" s="39" t="str">
        <f t="shared" si="176"/>
        <v/>
      </c>
      <c r="CB324" s="39"/>
      <c r="CC324" s="39"/>
      <c r="CD324" s="39"/>
      <c r="CE324" s="39"/>
      <c r="CF324" s="39"/>
      <c r="CG324" s="39"/>
      <c r="CH324" s="39"/>
      <c r="CI324" s="39"/>
      <c r="CJ324" s="39"/>
      <c r="CK324" s="39"/>
    </row>
    <row r="325" spans="1:89" s="193" customFormat="1">
      <c r="A325" s="195"/>
      <c r="B325" s="21" t="str">
        <f t="shared" si="149"/>
        <v>N/A</v>
      </c>
      <c r="C325" s="21"/>
      <c r="D325" s="432">
        <v>3201562</v>
      </c>
      <c r="E325" s="439" t="s">
        <v>3626</v>
      </c>
      <c r="F325" s="439" t="s">
        <v>3877</v>
      </c>
      <c r="G325" s="273" t="s">
        <v>3197</v>
      </c>
      <c r="H325" s="358"/>
      <c r="I325" s="262" t="s">
        <v>3492</v>
      </c>
      <c r="J325" s="262" t="s">
        <v>3526</v>
      </c>
      <c r="K325" s="263">
        <v>1184011</v>
      </c>
      <c r="L325" s="263">
        <v>1942000</v>
      </c>
      <c r="M325" s="263">
        <v>1678107.24</v>
      </c>
      <c r="N325" s="263">
        <v>2067541.35</v>
      </c>
      <c r="O325" s="263">
        <v>2002951.65</v>
      </c>
      <c r="P325" s="263">
        <v>1412130.37</v>
      </c>
      <c r="Q325" s="263">
        <v>1504735.74</v>
      </c>
      <c r="R325" s="263">
        <v>1939761.82</v>
      </c>
      <c r="S325" s="263">
        <v>1788801.28</v>
      </c>
      <c r="T325" s="263">
        <v>1810714.9</v>
      </c>
      <c r="U325" s="263">
        <f t="shared" si="177"/>
        <v>17330755.349999998</v>
      </c>
      <c r="V325" s="196" t="str">
        <f t="shared" si="150"/>
        <v>R</v>
      </c>
      <c r="W325" s="196" t="s">
        <v>1168</v>
      </c>
      <c r="X325" s="196" t="str">
        <f t="shared" si="178"/>
        <v>N</v>
      </c>
      <c r="Y325" s="197">
        <f t="shared" si="151"/>
        <v>17330755.349999998</v>
      </c>
      <c r="Z325" s="198"/>
      <c r="AA325" s="197">
        <f t="shared" si="152"/>
        <v>17330755.349999998</v>
      </c>
      <c r="AB325" s="196"/>
      <c r="AC325" s="196"/>
      <c r="AD325" s="275">
        <v>0</v>
      </c>
      <c r="AE325" s="275">
        <v>0</v>
      </c>
      <c r="AF325" s="275">
        <v>1</v>
      </c>
      <c r="AG325" s="442"/>
      <c r="AH325" s="442"/>
      <c r="AI325" s="200">
        <f t="shared" si="153"/>
        <v>0</v>
      </c>
      <c r="AJ325" s="203"/>
      <c r="AK325" s="203"/>
      <c r="AL325" s="197">
        <f t="shared" si="146"/>
        <v>17330755.349999998</v>
      </c>
      <c r="AM325" s="197">
        <f t="shared" si="147"/>
        <v>0</v>
      </c>
      <c r="AN325" s="197">
        <f t="shared" si="148"/>
        <v>0</v>
      </c>
      <c r="AO325" s="202"/>
      <c r="AP325" s="161" t="s">
        <v>3900</v>
      </c>
      <c r="AQ325" s="279"/>
      <c r="AR325" s="287">
        <f t="shared" si="154"/>
        <v>0</v>
      </c>
      <c r="AS325" s="287">
        <f t="shared" si="155"/>
        <v>0</v>
      </c>
      <c r="AT325" s="287">
        <f t="shared" si="156"/>
        <v>0</v>
      </c>
      <c r="AU325" s="287">
        <f t="shared" si="157"/>
        <v>0</v>
      </c>
      <c r="AV325" s="287">
        <f t="shared" si="158"/>
        <v>0</v>
      </c>
      <c r="AW325" s="287">
        <f t="shared" si="159"/>
        <v>0</v>
      </c>
      <c r="AX325" s="287">
        <f t="shared" si="160"/>
        <v>0</v>
      </c>
      <c r="AY325" s="287">
        <f t="shared" si="161"/>
        <v>0</v>
      </c>
      <c r="AZ325" s="287">
        <f t="shared" si="162"/>
        <v>0</v>
      </c>
      <c r="BA325" s="287">
        <f t="shared" si="163"/>
        <v>0</v>
      </c>
      <c r="BB325" s="16"/>
      <c r="BC325" s="287">
        <f t="shared" si="164"/>
        <v>0</v>
      </c>
      <c r="BD325" s="287">
        <f t="shared" si="165"/>
        <v>0</v>
      </c>
      <c r="BE325" s="287">
        <f t="shared" si="166"/>
        <v>0</v>
      </c>
      <c r="BF325" s="287">
        <f t="shared" si="167"/>
        <v>0</v>
      </c>
      <c r="BG325" s="287">
        <f t="shared" si="168"/>
        <v>0</v>
      </c>
      <c r="BH325" s="287">
        <f t="shared" si="169"/>
        <v>0</v>
      </c>
      <c r="BI325" s="287">
        <f t="shared" si="170"/>
        <v>0</v>
      </c>
      <c r="BJ325" s="287">
        <f t="shared" si="171"/>
        <v>0</v>
      </c>
      <c r="BK325" s="287">
        <f t="shared" si="172"/>
        <v>0</v>
      </c>
      <c r="BL325" s="287">
        <f t="shared" si="173"/>
        <v>0</v>
      </c>
      <c r="BM325" s="16"/>
      <c r="BN325" s="287">
        <f t="shared" si="174"/>
        <v>0</v>
      </c>
      <c r="BO325" s="287">
        <f t="shared" si="175"/>
        <v>0</v>
      </c>
      <c r="BP325" s="432"/>
      <c r="BQ325" s="21"/>
      <c r="BR325" s="21"/>
      <c r="BS325" s="39"/>
      <c r="BT325" s="39"/>
      <c r="BU325" s="39"/>
      <c r="BV325" s="39"/>
      <c r="BW325" s="39"/>
      <c r="BX325" s="39"/>
      <c r="BY325" s="39"/>
      <c r="BZ325" s="39">
        <v>312</v>
      </c>
      <c r="CA325" s="39" t="str">
        <f t="shared" si="176"/>
        <v/>
      </c>
      <c r="CB325" s="39"/>
      <c r="CC325" s="39"/>
      <c r="CD325" s="39"/>
      <c r="CE325" s="39"/>
      <c r="CF325" s="39"/>
      <c r="CG325" s="39"/>
      <c r="CH325" s="39"/>
      <c r="CI325" s="39"/>
      <c r="CJ325" s="39"/>
      <c r="CK325" s="39"/>
    </row>
    <row r="326" spans="1:89" s="193" customFormat="1">
      <c r="A326" s="195"/>
      <c r="B326" s="21" t="str">
        <f t="shared" si="149"/>
        <v>N/A</v>
      </c>
      <c r="C326" s="21"/>
      <c r="D326" s="432">
        <v>3201562</v>
      </c>
      <c r="E326" s="439" t="s">
        <v>3626</v>
      </c>
      <c r="F326" s="439" t="s">
        <v>3878</v>
      </c>
      <c r="G326" s="273" t="s">
        <v>3189</v>
      </c>
      <c r="H326" s="358"/>
      <c r="I326" s="262" t="s">
        <v>3492</v>
      </c>
      <c r="J326" s="262" t="s">
        <v>3518</v>
      </c>
      <c r="K326" s="263">
        <v>1019070</v>
      </c>
      <c r="L326" s="263">
        <v>1088060</v>
      </c>
      <c r="M326" s="263">
        <v>706546.25</v>
      </c>
      <c r="N326" s="263">
        <v>496741.56</v>
      </c>
      <c r="O326" s="263">
        <v>1005209.02</v>
      </c>
      <c r="P326" s="263">
        <v>1050289.23</v>
      </c>
      <c r="Q326" s="263">
        <v>1119165.6000000001</v>
      </c>
      <c r="R326" s="263">
        <v>1442721.57</v>
      </c>
      <c r="S326" s="263">
        <v>1330442.82</v>
      </c>
      <c r="T326" s="263">
        <v>1346741.35</v>
      </c>
      <c r="U326" s="263">
        <f t="shared" si="177"/>
        <v>10604987.4</v>
      </c>
      <c r="V326" s="196" t="str">
        <f t="shared" si="150"/>
        <v>R</v>
      </c>
      <c r="W326" s="196" t="s">
        <v>1168</v>
      </c>
      <c r="X326" s="196" t="str">
        <f t="shared" si="178"/>
        <v>N</v>
      </c>
      <c r="Y326" s="197">
        <f t="shared" si="151"/>
        <v>10604987.4</v>
      </c>
      <c r="Z326" s="198"/>
      <c r="AA326" s="197">
        <f t="shared" si="152"/>
        <v>10604987.4</v>
      </c>
      <c r="AB326" s="196"/>
      <c r="AC326" s="196"/>
      <c r="AD326" s="275">
        <v>0</v>
      </c>
      <c r="AE326" s="275">
        <v>0</v>
      </c>
      <c r="AF326" s="275">
        <v>1</v>
      </c>
      <c r="AG326" s="442"/>
      <c r="AH326" s="442"/>
      <c r="AI326" s="200">
        <f t="shared" si="153"/>
        <v>0</v>
      </c>
      <c r="AJ326" s="203"/>
      <c r="AK326" s="203"/>
      <c r="AL326" s="197">
        <f t="shared" si="146"/>
        <v>10604987.4</v>
      </c>
      <c r="AM326" s="197">
        <f t="shared" si="147"/>
        <v>0</v>
      </c>
      <c r="AN326" s="197">
        <f t="shared" si="148"/>
        <v>0</v>
      </c>
      <c r="AO326" s="202"/>
      <c r="AP326" s="161" t="s">
        <v>3900</v>
      </c>
      <c r="AQ326" s="279"/>
      <c r="AR326" s="287">
        <f t="shared" si="154"/>
        <v>0</v>
      </c>
      <c r="AS326" s="287">
        <f t="shared" si="155"/>
        <v>0</v>
      </c>
      <c r="AT326" s="287">
        <f t="shared" si="156"/>
        <v>0</v>
      </c>
      <c r="AU326" s="287">
        <f t="shared" si="157"/>
        <v>0</v>
      </c>
      <c r="AV326" s="287">
        <f t="shared" si="158"/>
        <v>0</v>
      </c>
      <c r="AW326" s="287">
        <f t="shared" si="159"/>
        <v>0</v>
      </c>
      <c r="AX326" s="287">
        <f t="shared" si="160"/>
        <v>0</v>
      </c>
      <c r="AY326" s="287">
        <f t="shared" si="161"/>
        <v>0</v>
      </c>
      <c r="AZ326" s="287">
        <f t="shared" si="162"/>
        <v>0</v>
      </c>
      <c r="BA326" s="287">
        <f t="shared" si="163"/>
        <v>0</v>
      </c>
      <c r="BB326" s="16"/>
      <c r="BC326" s="287">
        <f t="shared" si="164"/>
        <v>0</v>
      </c>
      <c r="BD326" s="287">
        <f t="shared" si="165"/>
        <v>0</v>
      </c>
      <c r="BE326" s="287">
        <f t="shared" si="166"/>
        <v>0</v>
      </c>
      <c r="BF326" s="287">
        <f t="shared" si="167"/>
        <v>0</v>
      </c>
      <c r="BG326" s="287">
        <f t="shared" si="168"/>
        <v>0</v>
      </c>
      <c r="BH326" s="287">
        <f t="shared" si="169"/>
        <v>0</v>
      </c>
      <c r="BI326" s="287">
        <f t="shared" si="170"/>
        <v>0</v>
      </c>
      <c r="BJ326" s="287">
        <f t="shared" si="171"/>
        <v>0</v>
      </c>
      <c r="BK326" s="287">
        <f t="shared" si="172"/>
        <v>0</v>
      </c>
      <c r="BL326" s="287">
        <f t="shared" si="173"/>
        <v>0</v>
      </c>
      <c r="BM326" s="16"/>
      <c r="BN326" s="287">
        <f t="shared" si="174"/>
        <v>0</v>
      </c>
      <c r="BO326" s="287">
        <f t="shared" si="175"/>
        <v>0</v>
      </c>
      <c r="BP326" s="432"/>
      <c r="BQ326" s="21"/>
      <c r="BR326" s="21"/>
      <c r="BS326" s="39"/>
      <c r="BT326" s="39"/>
      <c r="BU326" s="39"/>
      <c r="BV326" s="39"/>
      <c r="BW326" s="39"/>
      <c r="BX326" s="39"/>
      <c r="BY326" s="39"/>
      <c r="BZ326" s="39">
        <v>313</v>
      </c>
      <c r="CA326" s="39" t="str">
        <f t="shared" si="176"/>
        <v/>
      </c>
      <c r="CB326" s="39"/>
      <c r="CC326" s="39"/>
      <c r="CD326" s="39"/>
      <c r="CE326" s="39"/>
      <c r="CF326" s="39"/>
      <c r="CG326" s="39"/>
      <c r="CH326" s="39"/>
      <c r="CI326" s="39"/>
      <c r="CJ326" s="39"/>
      <c r="CK326" s="39"/>
    </row>
    <row r="327" spans="1:89" s="193" customFormat="1">
      <c r="A327" s="195"/>
      <c r="B327" s="21" t="str">
        <f t="shared" si="149"/>
        <v>N/A</v>
      </c>
      <c r="C327" s="21"/>
      <c r="D327" s="432">
        <v>3201562</v>
      </c>
      <c r="E327" s="439" t="s">
        <v>3626</v>
      </c>
      <c r="F327" s="439" t="s">
        <v>3879</v>
      </c>
      <c r="G327" s="273" t="s">
        <v>3176</v>
      </c>
      <c r="H327" s="358"/>
      <c r="I327" s="262" t="s">
        <v>3492</v>
      </c>
      <c r="J327" s="262" t="s">
        <v>3505</v>
      </c>
      <c r="K327" s="263">
        <v>6630648</v>
      </c>
      <c r="L327" s="263">
        <v>3117680</v>
      </c>
      <c r="M327" s="263">
        <v>4454229.66</v>
      </c>
      <c r="N327" s="263">
        <v>2439479.71</v>
      </c>
      <c r="O327" s="263">
        <v>3874537.16</v>
      </c>
      <c r="P327" s="263">
        <v>5123131.47</v>
      </c>
      <c r="Q327" s="263">
        <v>5118113.54</v>
      </c>
      <c r="R327" s="263">
        <v>6597783.9100000001</v>
      </c>
      <c r="S327" s="263">
        <v>6084316.21</v>
      </c>
      <c r="T327" s="263">
        <v>6158851.8399999999</v>
      </c>
      <c r="U327" s="263">
        <f t="shared" si="177"/>
        <v>49598771.5</v>
      </c>
      <c r="V327" s="196" t="str">
        <f t="shared" si="150"/>
        <v>R</v>
      </c>
      <c r="W327" s="196" t="s">
        <v>1168</v>
      </c>
      <c r="X327" s="196" t="str">
        <f t="shared" si="178"/>
        <v>N</v>
      </c>
      <c r="Y327" s="197">
        <f t="shared" si="151"/>
        <v>49598771.5</v>
      </c>
      <c r="Z327" s="198"/>
      <c r="AA327" s="197">
        <f t="shared" si="152"/>
        <v>49598771.5</v>
      </c>
      <c r="AB327" s="196"/>
      <c r="AC327" s="196"/>
      <c r="AD327" s="275">
        <v>0</v>
      </c>
      <c r="AE327" s="275">
        <v>0</v>
      </c>
      <c r="AF327" s="275">
        <v>1</v>
      </c>
      <c r="AG327" s="442"/>
      <c r="AH327" s="442"/>
      <c r="AI327" s="200">
        <f t="shared" si="153"/>
        <v>0</v>
      </c>
      <c r="AJ327" s="203"/>
      <c r="AK327" s="203"/>
      <c r="AL327" s="197">
        <f t="shared" si="146"/>
        <v>49598771.5</v>
      </c>
      <c r="AM327" s="197">
        <f t="shared" si="147"/>
        <v>0</v>
      </c>
      <c r="AN327" s="197">
        <f t="shared" si="148"/>
        <v>0</v>
      </c>
      <c r="AO327" s="202"/>
      <c r="AP327" s="161" t="s">
        <v>3900</v>
      </c>
      <c r="AQ327" s="279"/>
      <c r="AR327" s="287">
        <f t="shared" si="154"/>
        <v>0</v>
      </c>
      <c r="AS327" s="287">
        <f t="shared" si="155"/>
        <v>0</v>
      </c>
      <c r="AT327" s="287">
        <f t="shared" si="156"/>
        <v>0</v>
      </c>
      <c r="AU327" s="287">
        <f t="shared" si="157"/>
        <v>0</v>
      </c>
      <c r="AV327" s="287">
        <f t="shared" si="158"/>
        <v>0</v>
      </c>
      <c r="AW327" s="287">
        <f t="shared" si="159"/>
        <v>0</v>
      </c>
      <c r="AX327" s="287">
        <f t="shared" si="160"/>
        <v>0</v>
      </c>
      <c r="AY327" s="287">
        <f t="shared" si="161"/>
        <v>0</v>
      </c>
      <c r="AZ327" s="287">
        <f t="shared" si="162"/>
        <v>0</v>
      </c>
      <c r="BA327" s="287">
        <f t="shared" si="163"/>
        <v>0</v>
      </c>
      <c r="BB327" s="16"/>
      <c r="BC327" s="287">
        <f t="shared" si="164"/>
        <v>0</v>
      </c>
      <c r="BD327" s="287">
        <f t="shared" si="165"/>
        <v>0</v>
      </c>
      <c r="BE327" s="287">
        <f t="shared" si="166"/>
        <v>0</v>
      </c>
      <c r="BF327" s="287">
        <f t="shared" si="167"/>
        <v>0</v>
      </c>
      <c r="BG327" s="287">
        <f t="shared" si="168"/>
        <v>0</v>
      </c>
      <c r="BH327" s="287">
        <f t="shared" si="169"/>
        <v>0</v>
      </c>
      <c r="BI327" s="287">
        <f t="shared" si="170"/>
        <v>0</v>
      </c>
      <c r="BJ327" s="287">
        <f t="shared" si="171"/>
        <v>0</v>
      </c>
      <c r="BK327" s="287">
        <f t="shared" si="172"/>
        <v>0</v>
      </c>
      <c r="BL327" s="287">
        <f t="shared" si="173"/>
        <v>0</v>
      </c>
      <c r="BM327" s="16"/>
      <c r="BN327" s="287">
        <f t="shared" si="174"/>
        <v>0</v>
      </c>
      <c r="BO327" s="287">
        <f t="shared" si="175"/>
        <v>0</v>
      </c>
      <c r="BP327" s="432"/>
      <c r="BQ327" s="21"/>
      <c r="BR327" s="21"/>
      <c r="BS327" s="39"/>
      <c r="BT327" s="39"/>
      <c r="BU327" s="39"/>
      <c r="BV327" s="39"/>
      <c r="BW327" s="39"/>
      <c r="BX327" s="39"/>
      <c r="BY327" s="39"/>
      <c r="BZ327" s="39">
        <v>314</v>
      </c>
      <c r="CA327" s="39" t="str">
        <f t="shared" si="176"/>
        <v/>
      </c>
      <c r="CB327" s="39"/>
      <c r="CC327" s="39"/>
      <c r="CD327" s="39"/>
      <c r="CE327" s="39"/>
      <c r="CF327" s="39"/>
      <c r="CG327" s="39"/>
      <c r="CH327" s="39"/>
      <c r="CI327" s="39"/>
      <c r="CJ327" s="39"/>
      <c r="CK327" s="39"/>
    </row>
    <row r="328" spans="1:89" s="193" customFormat="1">
      <c r="A328" s="195"/>
      <c r="B328" s="21" t="str">
        <f t="shared" si="149"/>
        <v>N/A</v>
      </c>
      <c r="C328" s="21"/>
      <c r="D328" s="432">
        <v>3201562</v>
      </c>
      <c r="E328" s="439" t="s">
        <v>3626</v>
      </c>
      <c r="F328" s="439" t="s">
        <v>3880</v>
      </c>
      <c r="G328" s="273" t="s">
        <v>3180</v>
      </c>
      <c r="H328" s="358"/>
      <c r="I328" s="262" t="s">
        <v>3492</v>
      </c>
      <c r="J328" s="262" t="s">
        <v>3509</v>
      </c>
      <c r="K328" s="263">
        <v>1467750</v>
      </c>
      <c r="L328" s="263">
        <v>833000</v>
      </c>
      <c r="M328" s="263">
        <v>489402.87</v>
      </c>
      <c r="N328" s="263">
        <v>870692.63</v>
      </c>
      <c r="O328" s="263">
        <v>1074384.8</v>
      </c>
      <c r="P328" s="263">
        <v>1036677.58</v>
      </c>
      <c r="Q328" s="263">
        <v>1104661.33</v>
      </c>
      <c r="R328" s="263">
        <v>1424024.04</v>
      </c>
      <c r="S328" s="263">
        <v>1313200.4099999999</v>
      </c>
      <c r="T328" s="263">
        <v>1329287.71</v>
      </c>
      <c r="U328" s="263">
        <f t="shared" si="177"/>
        <v>10943081.370000001</v>
      </c>
      <c r="V328" s="196" t="str">
        <f t="shared" si="150"/>
        <v>R</v>
      </c>
      <c r="W328" s="196" t="s">
        <v>1168</v>
      </c>
      <c r="X328" s="196" t="str">
        <f t="shared" si="178"/>
        <v>N</v>
      </c>
      <c r="Y328" s="197">
        <f t="shared" si="151"/>
        <v>10943081.370000001</v>
      </c>
      <c r="Z328" s="198"/>
      <c r="AA328" s="197">
        <f t="shared" si="152"/>
        <v>10943081.370000001</v>
      </c>
      <c r="AB328" s="196"/>
      <c r="AC328" s="196"/>
      <c r="AD328" s="275">
        <v>0</v>
      </c>
      <c r="AE328" s="275">
        <v>0</v>
      </c>
      <c r="AF328" s="275">
        <v>1</v>
      </c>
      <c r="AG328" s="442"/>
      <c r="AH328" s="442"/>
      <c r="AI328" s="200">
        <f t="shared" si="153"/>
        <v>0</v>
      </c>
      <c r="AJ328" s="203"/>
      <c r="AK328" s="203"/>
      <c r="AL328" s="197">
        <f t="shared" si="146"/>
        <v>10943081.370000001</v>
      </c>
      <c r="AM328" s="197">
        <f t="shared" si="147"/>
        <v>0</v>
      </c>
      <c r="AN328" s="197">
        <f t="shared" si="148"/>
        <v>0</v>
      </c>
      <c r="AO328" s="202"/>
      <c r="AP328" s="161" t="s">
        <v>3900</v>
      </c>
      <c r="AQ328" s="279"/>
      <c r="AR328" s="287">
        <f t="shared" si="154"/>
        <v>0</v>
      </c>
      <c r="AS328" s="287">
        <f t="shared" si="155"/>
        <v>0</v>
      </c>
      <c r="AT328" s="287">
        <f t="shared" si="156"/>
        <v>0</v>
      </c>
      <c r="AU328" s="287">
        <f t="shared" si="157"/>
        <v>0</v>
      </c>
      <c r="AV328" s="287">
        <f t="shared" si="158"/>
        <v>0</v>
      </c>
      <c r="AW328" s="287">
        <f t="shared" si="159"/>
        <v>0</v>
      </c>
      <c r="AX328" s="287">
        <f t="shared" si="160"/>
        <v>0</v>
      </c>
      <c r="AY328" s="287">
        <f t="shared" si="161"/>
        <v>0</v>
      </c>
      <c r="AZ328" s="287">
        <f t="shared" si="162"/>
        <v>0</v>
      </c>
      <c r="BA328" s="287">
        <f t="shared" si="163"/>
        <v>0</v>
      </c>
      <c r="BB328" s="16"/>
      <c r="BC328" s="287">
        <f t="shared" si="164"/>
        <v>0</v>
      </c>
      <c r="BD328" s="287">
        <f t="shared" si="165"/>
        <v>0</v>
      </c>
      <c r="BE328" s="287">
        <f t="shared" si="166"/>
        <v>0</v>
      </c>
      <c r="BF328" s="287">
        <f t="shared" si="167"/>
        <v>0</v>
      </c>
      <c r="BG328" s="287">
        <f t="shared" si="168"/>
        <v>0</v>
      </c>
      <c r="BH328" s="287">
        <f t="shared" si="169"/>
        <v>0</v>
      </c>
      <c r="BI328" s="287">
        <f t="shared" si="170"/>
        <v>0</v>
      </c>
      <c r="BJ328" s="287">
        <f t="shared" si="171"/>
        <v>0</v>
      </c>
      <c r="BK328" s="287">
        <f t="shared" si="172"/>
        <v>0</v>
      </c>
      <c r="BL328" s="287">
        <f t="shared" si="173"/>
        <v>0</v>
      </c>
      <c r="BM328" s="16"/>
      <c r="BN328" s="287">
        <f t="shared" si="174"/>
        <v>0</v>
      </c>
      <c r="BO328" s="287">
        <f t="shared" si="175"/>
        <v>0</v>
      </c>
      <c r="BP328" s="432"/>
      <c r="BQ328" s="21"/>
      <c r="BR328" s="21"/>
      <c r="BS328" s="39"/>
      <c r="BT328" s="39"/>
      <c r="BU328" s="39"/>
      <c r="BV328" s="39"/>
      <c r="BW328" s="39"/>
      <c r="BX328" s="39"/>
      <c r="BY328" s="39"/>
      <c r="BZ328" s="39">
        <v>315</v>
      </c>
      <c r="CA328" s="39" t="str">
        <f t="shared" si="176"/>
        <v/>
      </c>
      <c r="CB328" s="39"/>
      <c r="CC328" s="39"/>
      <c r="CD328" s="39"/>
      <c r="CE328" s="39"/>
      <c r="CF328" s="39"/>
      <c r="CG328" s="39"/>
      <c r="CH328" s="39"/>
      <c r="CI328" s="39"/>
      <c r="CJ328" s="39"/>
      <c r="CK328" s="39"/>
    </row>
    <row r="329" spans="1:89" s="193" customFormat="1">
      <c r="A329" s="195"/>
      <c r="B329" s="21" t="str">
        <f t="shared" si="149"/>
        <v>N/A</v>
      </c>
      <c r="C329" s="21"/>
      <c r="D329" s="432">
        <v>3201562</v>
      </c>
      <c r="E329" s="439" t="s">
        <v>3626</v>
      </c>
      <c r="F329" s="439" t="s">
        <v>3881</v>
      </c>
      <c r="G329" s="273" t="s">
        <v>3184</v>
      </c>
      <c r="H329" s="358"/>
      <c r="I329" s="262" t="s">
        <v>3492</v>
      </c>
      <c r="J329" s="262" t="s">
        <v>3513</v>
      </c>
      <c r="K329" s="263">
        <v>2237887</v>
      </c>
      <c r="L329" s="263">
        <v>790000</v>
      </c>
      <c r="M329" s="263">
        <v>890064.58</v>
      </c>
      <c r="N329" s="263">
        <v>1286154.53</v>
      </c>
      <c r="O329" s="263">
        <v>1284926.22</v>
      </c>
      <c r="P329" s="263">
        <v>1364312.76</v>
      </c>
      <c r="Q329" s="263">
        <v>1453782.32</v>
      </c>
      <c r="R329" s="263">
        <v>1874077.53</v>
      </c>
      <c r="S329" s="263">
        <v>1728228.82</v>
      </c>
      <c r="T329" s="263">
        <v>1749400.41</v>
      </c>
      <c r="U329" s="263">
        <f t="shared" si="177"/>
        <v>14658834.17</v>
      </c>
      <c r="V329" s="196" t="str">
        <f t="shared" si="150"/>
        <v>R</v>
      </c>
      <c r="W329" s="196" t="s">
        <v>1168</v>
      </c>
      <c r="X329" s="196" t="str">
        <f t="shared" si="178"/>
        <v>N</v>
      </c>
      <c r="Y329" s="197">
        <f t="shared" si="151"/>
        <v>14658834.17</v>
      </c>
      <c r="Z329" s="198"/>
      <c r="AA329" s="197">
        <f t="shared" si="152"/>
        <v>14658834.17</v>
      </c>
      <c r="AB329" s="196"/>
      <c r="AC329" s="196"/>
      <c r="AD329" s="275">
        <v>0</v>
      </c>
      <c r="AE329" s="275">
        <v>0</v>
      </c>
      <c r="AF329" s="275">
        <v>1</v>
      </c>
      <c r="AG329" s="442"/>
      <c r="AH329" s="442"/>
      <c r="AI329" s="200">
        <f t="shared" si="153"/>
        <v>0</v>
      </c>
      <c r="AJ329" s="203"/>
      <c r="AK329" s="203"/>
      <c r="AL329" s="197">
        <f t="shared" si="146"/>
        <v>14658834.17</v>
      </c>
      <c r="AM329" s="197">
        <f t="shared" si="147"/>
        <v>0</v>
      </c>
      <c r="AN329" s="197">
        <f t="shared" si="148"/>
        <v>0</v>
      </c>
      <c r="AO329" s="202"/>
      <c r="AP329" s="161" t="s">
        <v>3900</v>
      </c>
      <c r="AQ329" s="279"/>
      <c r="AR329" s="287">
        <f t="shared" si="154"/>
        <v>0</v>
      </c>
      <c r="AS329" s="287">
        <f t="shared" si="155"/>
        <v>0</v>
      </c>
      <c r="AT329" s="287">
        <f t="shared" si="156"/>
        <v>0</v>
      </c>
      <c r="AU329" s="287">
        <f t="shared" si="157"/>
        <v>0</v>
      </c>
      <c r="AV329" s="287">
        <f t="shared" si="158"/>
        <v>0</v>
      </c>
      <c r="AW329" s="287">
        <f t="shared" si="159"/>
        <v>0</v>
      </c>
      <c r="AX329" s="287">
        <f t="shared" si="160"/>
        <v>0</v>
      </c>
      <c r="AY329" s="287">
        <f t="shared" si="161"/>
        <v>0</v>
      </c>
      <c r="AZ329" s="287">
        <f t="shared" si="162"/>
        <v>0</v>
      </c>
      <c r="BA329" s="287">
        <f t="shared" si="163"/>
        <v>0</v>
      </c>
      <c r="BB329" s="16"/>
      <c r="BC329" s="287">
        <f t="shared" si="164"/>
        <v>0</v>
      </c>
      <c r="BD329" s="287">
        <f t="shared" si="165"/>
        <v>0</v>
      </c>
      <c r="BE329" s="287">
        <f t="shared" si="166"/>
        <v>0</v>
      </c>
      <c r="BF329" s="287">
        <f t="shared" si="167"/>
        <v>0</v>
      </c>
      <c r="BG329" s="287">
        <f t="shared" si="168"/>
        <v>0</v>
      </c>
      <c r="BH329" s="287">
        <f t="shared" si="169"/>
        <v>0</v>
      </c>
      <c r="BI329" s="287">
        <f t="shared" si="170"/>
        <v>0</v>
      </c>
      <c r="BJ329" s="287">
        <f t="shared" si="171"/>
        <v>0</v>
      </c>
      <c r="BK329" s="287">
        <f t="shared" si="172"/>
        <v>0</v>
      </c>
      <c r="BL329" s="287">
        <f t="shared" si="173"/>
        <v>0</v>
      </c>
      <c r="BM329" s="16"/>
      <c r="BN329" s="287">
        <f t="shared" si="174"/>
        <v>0</v>
      </c>
      <c r="BO329" s="287">
        <f t="shared" si="175"/>
        <v>0</v>
      </c>
      <c r="BP329" s="432"/>
      <c r="BQ329" s="21"/>
      <c r="BR329" s="21"/>
      <c r="BS329" s="39"/>
      <c r="BT329" s="39"/>
      <c r="BU329" s="39"/>
      <c r="BV329" s="39"/>
      <c r="BW329" s="39"/>
      <c r="BX329" s="39"/>
      <c r="BY329" s="39"/>
      <c r="BZ329" s="39">
        <v>316</v>
      </c>
      <c r="CA329" s="39" t="str">
        <f t="shared" si="176"/>
        <v/>
      </c>
      <c r="CB329" s="39"/>
      <c r="CC329" s="39"/>
      <c r="CD329" s="39"/>
      <c r="CE329" s="39"/>
      <c r="CF329" s="39"/>
      <c r="CG329" s="39"/>
      <c r="CH329" s="39"/>
      <c r="CI329" s="39"/>
      <c r="CJ329" s="39"/>
      <c r="CK329" s="39"/>
    </row>
    <row r="330" spans="1:89" s="193" customFormat="1">
      <c r="A330" s="195"/>
      <c r="B330" s="21" t="str">
        <f t="shared" si="149"/>
        <v>N/A</v>
      </c>
      <c r="C330" s="21"/>
      <c r="D330" s="432">
        <v>3201562</v>
      </c>
      <c r="E330" s="439" t="s">
        <v>3626</v>
      </c>
      <c r="F330" s="439" t="s">
        <v>3882</v>
      </c>
      <c r="G330" s="273" t="s">
        <v>3187</v>
      </c>
      <c r="H330" s="358"/>
      <c r="I330" s="262" t="s">
        <v>3492</v>
      </c>
      <c r="J330" s="262" t="s">
        <v>3516</v>
      </c>
      <c r="K330" s="263">
        <v>1529703</v>
      </c>
      <c r="L330" s="263">
        <v>1088793</v>
      </c>
      <c r="M330" s="263">
        <v>1404606.24</v>
      </c>
      <c r="N330" s="263">
        <v>1714219.13</v>
      </c>
      <c r="O330" s="263">
        <v>941819.9</v>
      </c>
      <c r="P330" s="263">
        <v>1184354.18</v>
      </c>
      <c r="Q330" s="263">
        <v>1262022.33</v>
      </c>
      <c r="R330" s="263">
        <v>1626878.84</v>
      </c>
      <c r="S330" s="263">
        <v>1500268.19</v>
      </c>
      <c r="T330" s="263">
        <v>1518647.15</v>
      </c>
      <c r="U330" s="263">
        <f t="shared" si="177"/>
        <v>13771311.960000001</v>
      </c>
      <c r="V330" s="196" t="str">
        <f t="shared" si="150"/>
        <v>R</v>
      </c>
      <c r="W330" s="196" t="s">
        <v>1168</v>
      </c>
      <c r="X330" s="196" t="str">
        <f t="shared" si="178"/>
        <v>N</v>
      </c>
      <c r="Y330" s="197">
        <f t="shared" si="151"/>
        <v>13771311.960000001</v>
      </c>
      <c r="Z330" s="198"/>
      <c r="AA330" s="197">
        <f t="shared" si="152"/>
        <v>13771311.960000001</v>
      </c>
      <c r="AB330" s="196"/>
      <c r="AC330" s="196"/>
      <c r="AD330" s="275">
        <v>0</v>
      </c>
      <c r="AE330" s="275">
        <v>0</v>
      </c>
      <c r="AF330" s="275">
        <v>1</v>
      </c>
      <c r="AG330" s="442"/>
      <c r="AH330" s="442"/>
      <c r="AI330" s="200">
        <f t="shared" si="153"/>
        <v>0</v>
      </c>
      <c r="AJ330" s="203"/>
      <c r="AK330" s="203"/>
      <c r="AL330" s="197">
        <f t="shared" ref="AL330:AL393" si="179">(100%-AI330)*AA330</f>
        <v>13771311.960000001</v>
      </c>
      <c r="AM330" s="197">
        <f t="shared" ref="AM330:AM393" si="180">AA330*AI330*AJ330</f>
        <v>0</v>
      </c>
      <c r="AN330" s="197">
        <f t="shared" ref="AN330:AN393" si="181">AA330*AI330*AK330</f>
        <v>0</v>
      </c>
      <c r="AO330" s="202"/>
      <c r="AP330" s="161" t="s">
        <v>3900</v>
      </c>
      <c r="AQ330" s="279"/>
      <c r="AR330" s="287">
        <f t="shared" si="154"/>
        <v>0</v>
      </c>
      <c r="AS330" s="287">
        <f t="shared" si="155"/>
        <v>0</v>
      </c>
      <c r="AT330" s="287">
        <f t="shared" si="156"/>
        <v>0</v>
      </c>
      <c r="AU330" s="287">
        <f t="shared" si="157"/>
        <v>0</v>
      </c>
      <c r="AV330" s="287">
        <f t="shared" si="158"/>
        <v>0</v>
      </c>
      <c r="AW330" s="287">
        <f t="shared" si="159"/>
        <v>0</v>
      </c>
      <c r="AX330" s="287">
        <f t="shared" si="160"/>
        <v>0</v>
      </c>
      <c r="AY330" s="287">
        <f t="shared" si="161"/>
        <v>0</v>
      </c>
      <c r="AZ330" s="287">
        <f t="shared" si="162"/>
        <v>0</v>
      </c>
      <c r="BA330" s="287">
        <f t="shared" si="163"/>
        <v>0</v>
      </c>
      <c r="BB330" s="16"/>
      <c r="BC330" s="287">
        <f t="shared" si="164"/>
        <v>0</v>
      </c>
      <c r="BD330" s="287">
        <f t="shared" si="165"/>
        <v>0</v>
      </c>
      <c r="BE330" s="287">
        <f t="shared" si="166"/>
        <v>0</v>
      </c>
      <c r="BF330" s="287">
        <f t="shared" si="167"/>
        <v>0</v>
      </c>
      <c r="BG330" s="287">
        <f t="shared" si="168"/>
        <v>0</v>
      </c>
      <c r="BH330" s="287">
        <f t="shared" si="169"/>
        <v>0</v>
      </c>
      <c r="BI330" s="287">
        <f t="shared" si="170"/>
        <v>0</v>
      </c>
      <c r="BJ330" s="287">
        <f t="shared" si="171"/>
        <v>0</v>
      </c>
      <c r="BK330" s="287">
        <f t="shared" si="172"/>
        <v>0</v>
      </c>
      <c r="BL330" s="287">
        <f t="shared" si="173"/>
        <v>0</v>
      </c>
      <c r="BM330" s="16"/>
      <c r="BN330" s="287">
        <f t="shared" si="174"/>
        <v>0</v>
      </c>
      <c r="BO330" s="287">
        <f t="shared" si="175"/>
        <v>0</v>
      </c>
      <c r="BP330" s="432"/>
      <c r="BQ330" s="21"/>
      <c r="BR330" s="21"/>
      <c r="BS330" s="39"/>
      <c r="BT330" s="39"/>
      <c r="BU330" s="39"/>
      <c r="BV330" s="39"/>
      <c r="BW330" s="39"/>
      <c r="BX330" s="39"/>
      <c r="BY330" s="39"/>
      <c r="BZ330" s="39">
        <v>317</v>
      </c>
      <c r="CA330" s="39" t="str">
        <f t="shared" si="176"/>
        <v/>
      </c>
      <c r="CB330" s="39"/>
      <c r="CC330" s="39"/>
      <c r="CD330" s="39"/>
      <c r="CE330" s="39"/>
      <c r="CF330" s="39"/>
      <c r="CG330" s="39"/>
      <c r="CH330" s="39"/>
      <c r="CI330" s="39"/>
      <c r="CJ330" s="39"/>
      <c r="CK330" s="39"/>
    </row>
    <row r="331" spans="1:89" s="193" customFormat="1">
      <c r="A331" s="195"/>
      <c r="B331" s="21" t="str">
        <f t="shared" si="149"/>
        <v>N/A</v>
      </c>
      <c r="C331" s="21"/>
      <c r="D331" s="432">
        <v>3201562</v>
      </c>
      <c r="E331" s="439" t="s">
        <v>3626</v>
      </c>
      <c r="F331" s="439" t="s">
        <v>3883</v>
      </c>
      <c r="G331" s="273" t="s">
        <v>3181</v>
      </c>
      <c r="H331" s="358"/>
      <c r="I331" s="262" t="s">
        <v>3492</v>
      </c>
      <c r="J331" s="262" t="s">
        <v>3510</v>
      </c>
      <c r="K331" s="263">
        <v>2620488</v>
      </c>
      <c r="L331" s="263">
        <v>4055642</v>
      </c>
      <c r="M331" s="263">
        <v>5684214.8600000003</v>
      </c>
      <c r="N331" s="263">
        <v>7786800.5599999996</v>
      </c>
      <c r="O331" s="263">
        <v>6892133.0300000003</v>
      </c>
      <c r="P331" s="263">
        <v>3008147.05</v>
      </c>
      <c r="Q331" s="263">
        <v>3205416.76</v>
      </c>
      <c r="R331" s="263">
        <v>4132117.62</v>
      </c>
      <c r="S331" s="263">
        <v>3810538.59</v>
      </c>
      <c r="T331" s="263">
        <v>3857219.42</v>
      </c>
      <c r="U331" s="263">
        <f t="shared" si="177"/>
        <v>45052717.890000001</v>
      </c>
      <c r="V331" s="196" t="str">
        <f t="shared" si="150"/>
        <v>R</v>
      </c>
      <c r="W331" s="196" t="s">
        <v>1168</v>
      </c>
      <c r="X331" s="196" t="str">
        <f t="shared" si="178"/>
        <v>N</v>
      </c>
      <c r="Y331" s="197">
        <f t="shared" si="151"/>
        <v>45052717.890000001</v>
      </c>
      <c r="Z331" s="198"/>
      <c r="AA331" s="197">
        <f t="shared" si="152"/>
        <v>45052717.890000001</v>
      </c>
      <c r="AB331" s="196"/>
      <c r="AC331" s="196"/>
      <c r="AD331" s="275">
        <v>0</v>
      </c>
      <c r="AE331" s="275">
        <v>0</v>
      </c>
      <c r="AF331" s="275">
        <v>1</v>
      </c>
      <c r="AG331" s="442"/>
      <c r="AH331" s="442"/>
      <c r="AI331" s="200">
        <f t="shared" si="153"/>
        <v>0</v>
      </c>
      <c r="AJ331" s="203"/>
      <c r="AK331" s="203"/>
      <c r="AL331" s="197">
        <f t="shared" si="179"/>
        <v>45052717.890000001</v>
      </c>
      <c r="AM331" s="197">
        <f t="shared" si="180"/>
        <v>0</v>
      </c>
      <c r="AN331" s="197">
        <f t="shared" si="181"/>
        <v>0</v>
      </c>
      <c r="AO331" s="202"/>
      <c r="AP331" s="161" t="s">
        <v>3900</v>
      </c>
      <c r="AQ331" s="279"/>
      <c r="AR331" s="287">
        <f t="shared" si="154"/>
        <v>0</v>
      </c>
      <c r="AS331" s="287">
        <f t="shared" si="155"/>
        <v>0</v>
      </c>
      <c r="AT331" s="287">
        <f t="shared" si="156"/>
        <v>0</v>
      </c>
      <c r="AU331" s="287">
        <f t="shared" si="157"/>
        <v>0</v>
      </c>
      <c r="AV331" s="287">
        <f t="shared" si="158"/>
        <v>0</v>
      </c>
      <c r="AW331" s="287">
        <f t="shared" si="159"/>
        <v>0</v>
      </c>
      <c r="AX331" s="287">
        <f t="shared" si="160"/>
        <v>0</v>
      </c>
      <c r="AY331" s="287">
        <f t="shared" si="161"/>
        <v>0</v>
      </c>
      <c r="AZ331" s="287">
        <f t="shared" si="162"/>
        <v>0</v>
      </c>
      <c r="BA331" s="287">
        <f t="shared" si="163"/>
        <v>0</v>
      </c>
      <c r="BB331" s="16"/>
      <c r="BC331" s="287">
        <f t="shared" si="164"/>
        <v>0</v>
      </c>
      <c r="BD331" s="287">
        <f t="shared" si="165"/>
        <v>0</v>
      </c>
      <c r="BE331" s="287">
        <f t="shared" si="166"/>
        <v>0</v>
      </c>
      <c r="BF331" s="287">
        <f t="shared" si="167"/>
        <v>0</v>
      </c>
      <c r="BG331" s="287">
        <f t="shared" si="168"/>
        <v>0</v>
      </c>
      <c r="BH331" s="287">
        <f t="shared" si="169"/>
        <v>0</v>
      </c>
      <c r="BI331" s="287">
        <f t="shared" si="170"/>
        <v>0</v>
      </c>
      <c r="BJ331" s="287">
        <f t="shared" si="171"/>
        <v>0</v>
      </c>
      <c r="BK331" s="287">
        <f t="shared" si="172"/>
        <v>0</v>
      </c>
      <c r="BL331" s="287">
        <f t="shared" si="173"/>
        <v>0</v>
      </c>
      <c r="BM331" s="16"/>
      <c r="BN331" s="287">
        <f t="shared" si="174"/>
        <v>0</v>
      </c>
      <c r="BO331" s="287">
        <f t="shared" si="175"/>
        <v>0</v>
      </c>
      <c r="BP331" s="432"/>
      <c r="BQ331" s="21"/>
      <c r="BR331" s="21"/>
      <c r="BS331" s="39"/>
      <c r="BT331" s="39"/>
      <c r="BU331" s="39"/>
      <c r="BV331" s="39"/>
      <c r="BW331" s="39"/>
      <c r="BX331" s="39"/>
      <c r="BY331" s="39"/>
      <c r="BZ331" s="39">
        <v>318</v>
      </c>
      <c r="CA331" s="39" t="str">
        <f t="shared" si="176"/>
        <v/>
      </c>
      <c r="CB331" s="39"/>
      <c r="CC331" s="39"/>
      <c r="CD331" s="39"/>
      <c r="CE331" s="39"/>
      <c r="CF331" s="39"/>
      <c r="CG331" s="39"/>
      <c r="CH331" s="39"/>
      <c r="CI331" s="39"/>
      <c r="CJ331" s="39"/>
      <c r="CK331" s="39"/>
    </row>
    <row r="332" spans="1:89" s="193" customFormat="1">
      <c r="A332" s="195"/>
      <c r="B332" s="21" t="str">
        <f t="shared" si="149"/>
        <v>N/A</v>
      </c>
      <c r="C332" s="21"/>
      <c r="D332" s="432">
        <v>3201562</v>
      </c>
      <c r="E332" s="439" t="s">
        <v>3626</v>
      </c>
      <c r="F332" s="439" t="s">
        <v>3884</v>
      </c>
      <c r="G332" s="273" t="s">
        <v>3188</v>
      </c>
      <c r="H332" s="358"/>
      <c r="I332" s="262" t="s">
        <v>3492</v>
      </c>
      <c r="J332" s="262" t="s">
        <v>3517</v>
      </c>
      <c r="K332" s="263">
        <v>1113995</v>
      </c>
      <c r="L332" s="263">
        <v>1261990</v>
      </c>
      <c r="M332" s="263">
        <v>1857931.39</v>
      </c>
      <c r="N332" s="263">
        <v>825757.37</v>
      </c>
      <c r="O332" s="263">
        <v>993628.35</v>
      </c>
      <c r="P332" s="263">
        <v>1070577.1599999999</v>
      </c>
      <c r="Q332" s="263">
        <v>1140783.98</v>
      </c>
      <c r="R332" s="263">
        <v>1470589.92</v>
      </c>
      <c r="S332" s="263">
        <v>1356142.34</v>
      </c>
      <c r="T332" s="263">
        <v>1372755.69</v>
      </c>
      <c r="U332" s="263">
        <f t="shared" si="177"/>
        <v>12464151.199999999</v>
      </c>
      <c r="V332" s="196" t="str">
        <f t="shared" si="150"/>
        <v>R</v>
      </c>
      <c r="W332" s="196" t="s">
        <v>1168</v>
      </c>
      <c r="X332" s="196" t="str">
        <f t="shared" si="178"/>
        <v>N</v>
      </c>
      <c r="Y332" s="197">
        <f t="shared" si="151"/>
        <v>12464151.199999999</v>
      </c>
      <c r="Z332" s="198"/>
      <c r="AA332" s="197">
        <f t="shared" si="152"/>
        <v>12464151.199999999</v>
      </c>
      <c r="AB332" s="196"/>
      <c r="AC332" s="196"/>
      <c r="AD332" s="275">
        <v>0</v>
      </c>
      <c r="AE332" s="275">
        <v>0</v>
      </c>
      <c r="AF332" s="275">
        <v>1</v>
      </c>
      <c r="AG332" s="442"/>
      <c r="AH332" s="442"/>
      <c r="AI332" s="200">
        <f t="shared" si="153"/>
        <v>0</v>
      </c>
      <c r="AJ332" s="203"/>
      <c r="AK332" s="203"/>
      <c r="AL332" s="197">
        <f t="shared" si="179"/>
        <v>12464151.199999999</v>
      </c>
      <c r="AM332" s="197">
        <f t="shared" si="180"/>
        <v>0</v>
      </c>
      <c r="AN332" s="197">
        <f t="shared" si="181"/>
        <v>0</v>
      </c>
      <c r="AO332" s="202"/>
      <c r="AP332" s="161" t="s">
        <v>3900</v>
      </c>
      <c r="AQ332" s="279"/>
      <c r="AR332" s="287">
        <f t="shared" si="154"/>
        <v>0</v>
      </c>
      <c r="AS332" s="287">
        <f t="shared" si="155"/>
        <v>0</v>
      </c>
      <c r="AT332" s="287">
        <f t="shared" si="156"/>
        <v>0</v>
      </c>
      <c r="AU332" s="287">
        <f t="shared" si="157"/>
        <v>0</v>
      </c>
      <c r="AV332" s="287">
        <f t="shared" si="158"/>
        <v>0</v>
      </c>
      <c r="AW332" s="287">
        <f t="shared" si="159"/>
        <v>0</v>
      </c>
      <c r="AX332" s="287">
        <f t="shared" si="160"/>
        <v>0</v>
      </c>
      <c r="AY332" s="287">
        <f t="shared" si="161"/>
        <v>0</v>
      </c>
      <c r="AZ332" s="287">
        <f t="shared" si="162"/>
        <v>0</v>
      </c>
      <c r="BA332" s="287">
        <f t="shared" si="163"/>
        <v>0</v>
      </c>
      <c r="BB332" s="16"/>
      <c r="BC332" s="287">
        <f t="shared" si="164"/>
        <v>0</v>
      </c>
      <c r="BD332" s="287">
        <f t="shared" si="165"/>
        <v>0</v>
      </c>
      <c r="BE332" s="287">
        <f t="shared" si="166"/>
        <v>0</v>
      </c>
      <c r="BF332" s="287">
        <f t="shared" si="167"/>
        <v>0</v>
      </c>
      <c r="BG332" s="287">
        <f t="shared" si="168"/>
        <v>0</v>
      </c>
      <c r="BH332" s="287">
        <f t="shared" si="169"/>
        <v>0</v>
      </c>
      <c r="BI332" s="287">
        <f t="shared" si="170"/>
        <v>0</v>
      </c>
      <c r="BJ332" s="287">
        <f t="shared" si="171"/>
        <v>0</v>
      </c>
      <c r="BK332" s="287">
        <f t="shared" si="172"/>
        <v>0</v>
      </c>
      <c r="BL332" s="287">
        <f t="shared" si="173"/>
        <v>0</v>
      </c>
      <c r="BM332" s="16"/>
      <c r="BN332" s="287">
        <f t="shared" si="174"/>
        <v>0</v>
      </c>
      <c r="BO332" s="287">
        <f t="shared" si="175"/>
        <v>0</v>
      </c>
      <c r="BP332" s="432"/>
      <c r="BQ332" s="21"/>
      <c r="BR332" s="21"/>
      <c r="BS332" s="39"/>
      <c r="BT332" s="39"/>
      <c r="BU332" s="39"/>
      <c r="BV332" s="39"/>
      <c r="BW332" s="39"/>
      <c r="BX332" s="39"/>
      <c r="BY332" s="39"/>
      <c r="BZ332" s="39">
        <v>319</v>
      </c>
      <c r="CA332" s="39" t="str">
        <f t="shared" si="176"/>
        <v/>
      </c>
      <c r="CB332" s="39"/>
      <c r="CC332" s="39"/>
      <c r="CD332" s="39"/>
      <c r="CE332" s="39"/>
      <c r="CF332" s="39"/>
      <c r="CG332" s="39"/>
      <c r="CH332" s="39"/>
      <c r="CI332" s="39"/>
      <c r="CJ332" s="39"/>
      <c r="CK332" s="39"/>
    </row>
    <row r="333" spans="1:89" s="193" customFormat="1">
      <c r="A333" s="195"/>
      <c r="B333" s="21" t="str">
        <f t="shared" si="149"/>
        <v>N/A</v>
      </c>
      <c r="C333" s="21"/>
      <c r="D333" s="432">
        <v>3201562</v>
      </c>
      <c r="E333" s="439" t="s">
        <v>3626</v>
      </c>
      <c r="F333" s="439" t="s">
        <v>3885</v>
      </c>
      <c r="G333" s="273" t="s">
        <v>3190</v>
      </c>
      <c r="H333" s="358"/>
      <c r="I333" s="262" t="s">
        <v>3492</v>
      </c>
      <c r="J333" s="262" t="s">
        <v>3519</v>
      </c>
      <c r="K333" s="263">
        <v>231768</v>
      </c>
      <c r="L333" s="263">
        <v>7187406</v>
      </c>
      <c r="M333" s="263">
        <v>8082428</v>
      </c>
      <c r="N333" s="263">
        <v>15513606</v>
      </c>
      <c r="O333" s="263">
        <v>27724954</v>
      </c>
      <c r="P333" s="263">
        <v>36046483</v>
      </c>
      <c r="Q333" s="263">
        <v>34764169</v>
      </c>
      <c r="R333" s="263">
        <v>47800000</v>
      </c>
      <c r="S333" s="263">
        <v>44080000</v>
      </c>
      <c r="T333" s="263">
        <v>44620000</v>
      </c>
      <c r="U333" s="263">
        <f t="shared" si="177"/>
        <v>266050814</v>
      </c>
      <c r="V333" s="196" t="str">
        <f t="shared" si="150"/>
        <v>R</v>
      </c>
      <c r="W333" s="196" t="s">
        <v>1168</v>
      </c>
      <c r="X333" s="196" t="str">
        <f t="shared" si="178"/>
        <v>N</v>
      </c>
      <c r="Y333" s="197">
        <f t="shared" si="151"/>
        <v>266050814</v>
      </c>
      <c r="Z333" s="198"/>
      <c r="AA333" s="197">
        <f t="shared" si="152"/>
        <v>266050814</v>
      </c>
      <c r="AB333" s="196"/>
      <c r="AC333" s="196"/>
      <c r="AD333" s="275">
        <v>0</v>
      </c>
      <c r="AE333" s="275">
        <v>0</v>
      </c>
      <c r="AF333" s="275">
        <v>1</v>
      </c>
      <c r="AG333" s="442"/>
      <c r="AH333" s="442"/>
      <c r="AI333" s="200">
        <f t="shared" si="153"/>
        <v>0</v>
      </c>
      <c r="AJ333" s="203"/>
      <c r="AK333" s="203"/>
      <c r="AL333" s="197">
        <f t="shared" si="179"/>
        <v>266050814</v>
      </c>
      <c r="AM333" s="197">
        <f t="shared" si="180"/>
        <v>0</v>
      </c>
      <c r="AN333" s="197">
        <f t="shared" si="181"/>
        <v>0</v>
      </c>
      <c r="AO333" s="202"/>
      <c r="AP333" s="161" t="s">
        <v>3900</v>
      </c>
      <c r="AQ333" s="279"/>
      <c r="AR333" s="287">
        <f t="shared" si="154"/>
        <v>0</v>
      </c>
      <c r="AS333" s="287">
        <f t="shared" si="155"/>
        <v>0</v>
      </c>
      <c r="AT333" s="287">
        <f t="shared" si="156"/>
        <v>0</v>
      </c>
      <c r="AU333" s="287">
        <f t="shared" si="157"/>
        <v>0</v>
      </c>
      <c r="AV333" s="287">
        <f t="shared" si="158"/>
        <v>0</v>
      </c>
      <c r="AW333" s="287">
        <f t="shared" si="159"/>
        <v>0</v>
      </c>
      <c r="AX333" s="287">
        <f t="shared" si="160"/>
        <v>0</v>
      </c>
      <c r="AY333" s="287">
        <f t="shared" si="161"/>
        <v>0</v>
      </c>
      <c r="AZ333" s="287">
        <f t="shared" si="162"/>
        <v>0</v>
      </c>
      <c r="BA333" s="287">
        <f t="shared" si="163"/>
        <v>0</v>
      </c>
      <c r="BB333" s="16"/>
      <c r="BC333" s="287">
        <f t="shared" si="164"/>
        <v>0</v>
      </c>
      <c r="BD333" s="287">
        <f t="shared" si="165"/>
        <v>0</v>
      </c>
      <c r="BE333" s="287">
        <f t="shared" si="166"/>
        <v>0</v>
      </c>
      <c r="BF333" s="287">
        <f t="shared" si="167"/>
        <v>0</v>
      </c>
      <c r="BG333" s="287">
        <f t="shared" si="168"/>
        <v>0</v>
      </c>
      <c r="BH333" s="287">
        <f t="shared" si="169"/>
        <v>0</v>
      </c>
      <c r="BI333" s="287">
        <f t="shared" si="170"/>
        <v>0</v>
      </c>
      <c r="BJ333" s="287">
        <f t="shared" si="171"/>
        <v>0</v>
      </c>
      <c r="BK333" s="287">
        <f t="shared" si="172"/>
        <v>0</v>
      </c>
      <c r="BL333" s="287">
        <f t="shared" si="173"/>
        <v>0</v>
      </c>
      <c r="BM333" s="16"/>
      <c r="BN333" s="287">
        <f t="shared" si="174"/>
        <v>0</v>
      </c>
      <c r="BO333" s="287">
        <f t="shared" si="175"/>
        <v>0</v>
      </c>
      <c r="BP333" s="432"/>
      <c r="BQ333" s="21"/>
      <c r="BR333" s="21"/>
      <c r="BS333" s="39"/>
      <c r="BT333" s="39"/>
      <c r="BU333" s="39"/>
      <c r="BV333" s="39"/>
      <c r="BW333" s="39"/>
      <c r="BX333" s="39"/>
      <c r="BY333" s="39"/>
      <c r="BZ333" s="39">
        <v>320</v>
      </c>
      <c r="CA333" s="39" t="str">
        <f t="shared" si="176"/>
        <v/>
      </c>
      <c r="CB333" s="39"/>
      <c r="CC333" s="39"/>
      <c r="CD333" s="39"/>
      <c r="CE333" s="39"/>
      <c r="CF333" s="39"/>
      <c r="CG333" s="39"/>
      <c r="CH333" s="39"/>
      <c r="CI333" s="39"/>
      <c r="CJ333" s="39"/>
      <c r="CK333" s="39"/>
    </row>
    <row r="334" spans="1:89" s="193" customFormat="1">
      <c r="A334" s="195"/>
      <c r="B334" s="21" t="str">
        <f t="shared" ref="B334:B397" si="182">LEFT(AP334,3)</f>
        <v>N/A</v>
      </c>
      <c r="C334" s="21"/>
      <c r="D334" s="432">
        <v>3201563</v>
      </c>
      <c r="E334" s="439" t="s">
        <v>3626</v>
      </c>
      <c r="F334" s="439" t="s">
        <v>3887</v>
      </c>
      <c r="G334" s="273" t="s">
        <v>3260</v>
      </c>
      <c r="H334" s="358"/>
      <c r="I334" s="262" t="s">
        <v>3492</v>
      </c>
      <c r="J334" s="262" t="s">
        <v>3504</v>
      </c>
      <c r="K334" s="263">
        <v>10429934</v>
      </c>
      <c r="L334" s="263">
        <v>5735110</v>
      </c>
      <c r="M334" s="263">
        <v>6051927</v>
      </c>
      <c r="N334" s="263">
        <v>8940000</v>
      </c>
      <c r="O334" s="263">
        <v>7020000</v>
      </c>
      <c r="P334" s="263">
        <v>8380000</v>
      </c>
      <c r="Q334" s="263">
        <v>6700000</v>
      </c>
      <c r="R334" s="263">
        <v>8000000</v>
      </c>
      <c r="S334" s="263">
        <v>9000000</v>
      </c>
      <c r="T334" s="263">
        <v>10000000</v>
      </c>
      <c r="U334" s="263">
        <f t="shared" si="177"/>
        <v>80256971</v>
      </c>
      <c r="V334" s="196" t="str">
        <f t="shared" ref="V334:V397" si="183">IF(AND(AD334&gt;0,AE334&gt;0,AF334&gt;0),"G/LOS/R",IF(AND(AD334&gt;0,AE334&gt;0),"G/LOS",IF(AND(AD334&gt;0,AF334&gt;0),"G/R",IF(AND(AE334&gt;0,AF334&gt;0),"LOS/R",IF(AD334&gt;0,"G",IF(AE334&gt;0,"LOS",IF(AF334&gt;0,"R","CHECK")))))))</f>
        <v>R</v>
      </c>
      <c r="W334" s="196" t="s">
        <v>1168</v>
      </c>
      <c r="X334" s="196" t="str">
        <f t="shared" si="178"/>
        <v>N</v>
      </c>
      <c r="Y334" s="197">
        <f t="shared" ref="Y334:Y388" si="184">SUM(K334:T334)</f>
        <v>80256971</v>
      </c>
      <c r="Z334" s="198"/>
      <c r="AA334" s="197">
        <f t="shared" ref="AA334:AA397" si="185">Y334-Z334</f>
        <v>80256971</v>
      </c>
      <c r="AB334" s="196"/>
      <c r="AC334" s="196"/>
      <c r="AD334" s="275">
        <v>0</v>
      </c>
      <c r="AE334" s="275">
        <v>0</v>
      </c>
      <c r="AF334" s="275">
        <v>1</v>
      </c>
      <c r="AG334" s="442"/>
      <c r="AH334" s="442"/>
      <c r="AI334" s="200">
        <f t="shared" ref="AI334:AI397" si="186">(AG334+AH334)/2</f>
        <v>0</v>
      </c>
      <c r="AJ334" s="203"/>
      <c r="AK334" s="203"/>
      <c r="AL334" s="197">
        <f t="shared" si="179"/>
        <v>80256971</v>
      </c>
      <c r="AM334" s="197">
        <f t="shared" si="180"/>
        <v>0</v>
      </c>
      <c r="AN334" s="197">
        <f t="shared" si="181"/>
        <v>0</v>
      </c>
      <c r="AO334" s="202"/>
      <c r="AP334" s="161" t="s">
        <v>3900</v>
      </c>
      <c r="AQ334" s="279"/>
      <c r="AR334" s="287">
        <f t="shared" si="154"/>
        <v>0</v>
      </c>
      <c r="AS334" s="287">
        <f t="shared" si="155"/>
        <v>0</v>
      </c>
      <c r="AT334" s="287">
        <f t="shared" si="156"/>
        <v>0</v>
      </c>
      <c r="AU334" s="287">
        <f t="shared" si="157"/>
        <v>0</v>
      </c>
      <c r="AV334" s="287">
        <f t="shared" si="158"/>
        <v>0</v>
      </c>
      <c r="AW334" s="287">
        <f t="shared" si="159"/>
        <v>0</v>
      </c>
      <c r="AX334" s="287">
        <f t="shared" si="160"/>
        <v>0</v>
      </c>
      <c r="AY334" s="287">
        <f t="shared" si="161"/>
        <v>0</v>
      </c>
      <c r="AZ334" s="287">
        <f t="shared" si="162"/>
        <v>0</v>
      </c>
      <c r="BA334" s="287">
        <f t="shared" si="163"/>
        <v>0</v>
      </c>
      <c r="BB334" s="16"/>
      <c r="BC334" s="287">
        <f t="shared" si="164"/>
        <v>0</v>
      </c>
      <c r="BD334" s="287">
        <f t="shared" si="165"/>
        <v>0</v>
      </c>
      <c r="BE334" s="287">
        <f t="shared" si="166"/>
        <v>0</v>
      </c>
      <c r="BF334" s="287">
        <f t="shared" si="167"/>
        <v>0</v>
      </c>
      <c r="BG334" s="287">
        <f t="shared" si="168"/>
        <v>0</v>
      </c>
      <c r="BH334" s="287">
        <f t="shared" si="169"/>
        <v>0</v>
      </c>
      <c r="BI334" s="287">
        <f t="shared" si="170"/>
        <v>0</v>
      </c>
      <c r="BJ334" s="287">
        <f t="shared" si="171"/>
        <v>0</v>
      </c>
      <c r="BK334" s="287">
        <f t="shared" si="172"/>
        <v>0</v>
      </c>
      <c r="BL334" s="287">
        <f t="shared" si="173"/>
        <v>0</v>
      </c>
      <c r="BM334" s="16"/>
      <c r="BN334" s="287">
        <f t="shared" si="174"/>
        <v>0</v>
      </c>
      <c r="BO334" s="287">
        <f t="shared" si="175"/>
        <v>0</v>
      </c>
      <c r="BP334" s="432"/>
      <c r="BQ334" s="21"/>
      <c r="BR334" s="21"/>
      <c r="BS334" s="39"/>
      <c r="BT334" s="39"/>
      <c r="BU334" s="39"/>
      <c r="BV334" s="39"/>
      <c r="BW334" s="39"/>
      <c r="BX334" s="39"/>
      <c r="BY334" s="39"/>
      <c r="BZ334" s="39">
        <v>321</v>
      </c>
      <c r="CA334" s="39" t="str">
        <f t="shared" si="176"/>
        <v/>
      </c>
      <c r="CB334" s="39"/>
      <c r="CC334" s="39"/>
      <c r="CD334" s="39"/>
      <c r="CE334" s="39"/>
      <c r="CF334" s="39"/>
      <c r="CG334" s="39"/>
      <c r="CH334" s="39"/>
      <c r="CI334" s="39"/>
      <c r="CJ334" s="39"/>
      <c r="CK334" s="39"/>
    </row>
    <row r="335" spans="1:89" s="193" customFormat="1">
      <c r="A335" s="195"/>
      <c r="B335" s="21" t="str">
        <f t="shared" si="182"/>
        <v>N/A</v>
      </c>
      <c r="C335" s="21"/>
      <c r="D335" s="432">
        <v>3201564</v>
      </c>
      <c r="E335" s="439" t="s">
        <v>3626</v>
      </c>
      <c r="F335" s="439" t="s">
        <v>3888</v>
      </c>
      <c r="G335" s="273" t="s">
        <v>3337</v>
      </c>
      <c r="H335" s="358"/>
      <c r="I335" s="262" t="s">
        <v>3492</v>
      </c>
      <c r="J335" s="262" t="s">
        <v>3504</v>
      </c>
      <c r="K335" s="263">
        <v>1000000</v>
      </c>
      <c r="L335" s="263">
        <v>800000</v>
      </c>
      <c r="M335" s="263">
        <v>200000</v>
      </c>
      <c r="N335" s="263">
        <v>500000</v>
      </c>
      <c r="O335" s="263">
        <v>600000</v>
      </c>
      <c r="P335" s="263">
        <v>700000</v>
      </c>
      <c r="Q335" s="263">
        <v>750000</v>
      </c>
      <c r="R335" s="263">
        <v>800000</v>
      </c>
      <c r="S335" s="263">
        <v>800000</v>
      </c>
      <c r="T335" s="263">
        <v>800000</v>
      </c>
      <c r="U335" s="263">
        <f t="shared" si="177"/>
        <v>6950000</v>
      </c>
      <c r="V335" s="196" t="str">
        <f t="shared" si="183"/>
        <v>R</v>
      </c>
      <c r="W335" s="196" t="s">
        <v>1168</v>
      </c>
      <c r="X335" s="196" t="str">
        <f t="shared" si="178"/>
        <v>N</v>
      </c>
      <c r="Y335" s="197">
        <f t="shared" si="184"/>
        <v>6950000</v>
      </c>
      <c r="Z335" s="198"/>
      <c r="AA335" s="197">
        <f t="shared" si="185"/>
        <v>6950000</v>
      </c>
      <c r="AB335" s="196"/>
      <c r="AC335" s="196"/>
      <c r="AD335" s="275">
        <v>0</v>
      </c>
      <c r="AE335" s="275">
        <v>0</v>
      </c>
      <c r="AF335" s="275">
        <v>1</v>
      </c>
      <c r="AG335" s="442"/>
      <c r="AH335" s="442"/>
      <c r="AI335" s="200">
        <f t="shared" si="186"/>
        <v>0</v>
      </c>
      <c r="AJ335" s="203"/>
      <c r="AK335" s="203"/>
      <c r="AL335" s="197">
        <f t="shared" si="179"/>
        <v>6950000</v>
      </c>
      <c r="AM335" s="197">
        <f t="shared" si="180"/>
        <v>0</v>
      </c>
      <c r="AN335" s="197">
        <f t="shared" si="181"/>
        <v>0</v>
      </c>
      <c r="AO335" s="202"/>
      <c r="AP335" s="161" t="s">
        <v>3900</v>
      </c>
      <c r="AQ335" s="279"/>
      <c r="AR335" s="287">
        <f t="shared" ref="AR335:AR398" si="187">K335*$AI335*$AJ335</f>
        <v>0</v>
      </c>
      <c r="AS335" s="287">
        <f t="shared" ref="AS335:AS398" si="188">L335*$AI335*$AJ335</f>
        <v>0</v>
      </c>
      <c r="AT335" s="287">
        <f t="shared" ref="AT335:AT398" si="189">M335*$AI335*$AJ335</f>
        <v>0</v>
      </c>
      <c r="AU335" s="287">
        <f t="shared" ref="AU335:AU398" si="190">N335*$AI335*$AJ335</f>
        <v>0</v>
      </c>
      <c r="AV335" s="287">
        <f t="shared" ref="AV335:AV398" si="191">O335*$AI335*$AJ335</f>
        <v>0</v>
      </c>
      <c r="AW335" s="287">
        <f t="shared" ref="AW335:AW398" si="192">P335*$AI335*$AJ335</f>
        <v>0</v>
      </c>
      <c r="AX335" s="287">
        <f t="shared" ref="AX335:AX398" si="193">Q335*$AI335*$AJ335</f>
        <v>0</v>
      </c>
      <c r="AY335" s="287">
        <f t="shared" ref="AY335:AY398" si="194">R335*$AI335*$AJ335</f>
        <v>0</v>
      </c>
      <c r="AZ335" s="287">
        <f t="shared" ref="AZ335:AZ398" si="195">S335*$AI335*$AJ335</f>
        <v>0</v>
      </c>
      <c r="BA335" s="287">
        <f t="shared" ref="BA335:BA398" si="196">T335*$AI335*$AJ335</f>
        <v>0</v>
      </c>
      <c r="BB335" s="16"/>
      <c r="BC335" s="287">
        <f t="shared" ref="BC335:BC398" si="197">K335*$AI335*$AK335</f>
        <v>0</v>
      </c>
      <c r="BD335" s="287">
        <f t="shared" ref="BD335:BD398" si="198">L335*$AI335*$AK335</f>
        <v>0</v>
      </c>
      <c r="BE335" s="287">
        <f t="shared" ref="BE335:BE398" si="199">M335*$AI335*$AK335</f>
        <v>0</v>
      </c>
      <c r="BF335" s="287">
        <f t="shared" ref="BF335:BF398" si="200">N335*$AI335*$AK335</f>
        <v>0</v>
      </c>
      <c r="BG335" s="287">
        <f t="shared" ref="BG335:BG398" si="201">O335*$AI335*$AK335</f>
        <v>0</v>
      </c>
      <c r="BH335" s="287">
        <f t="shared" ref="BH335:BH398" si="202">P335*$AI335*$AK335</f>
        <v>0</v>
      </c>
      <c r="BI335" s="287">
        <f t="shared" ref="BI335:BI398" si="203">Q335*$AI335*$AK335</f>
        <v>0</v>
      </c>
      <c r="BJ335" s="287">
        <f t="shared" ref="BJ335:BJ398" si="204">R335*$AI335*$AK335</f>
        <v>0</v>
      </c>
      <c r="BK335" s="287">
        <f t="shared" ref="BK335:BK398" si="205">S335*$AI335*$AK335</f>
        <v>0</v>
      </c>
      <c r="BL335" s="287">
        <f t="shared" ref="BL335:BL398" si="206">T335*$AI335*$AK335</f>
        <v>0</v>
      </c>
      <c r="BM335" s="16"/>
      <c r="BN335" s="287">
        <f t="shared" ref="BN335:BN398" si="207">SUM(AR335:BA335)</f>
        <v>0</v>
      </c>
      <c r="BO335" s="287">
        <f t="shared" ref="BO335:BO398" si="208">SUM(BC335:BL335)</f>
        <v>0</v>
      </c>
      <c r="BP335" s="432"/>
      <c r="BQ335" s="21"/>
      <c r="BR335" s="21"/>
      <c r="BS335" s="39"/>
      <c r="BT335" s="39"/>
      <c r="BU335" s="39"/>
      <c r="BV335" s="39"/>
      <c r="BW335" s="39"/>
      <c r="BX335" s="39"/>
      <c r="BY335" s="39"/>
      <c r="BZ335" s="39">
        <v>322</v>
      </c>
      <c r="CA335" s="39" t="str">
        <f t="shared" ref="CA335:CA398" si="209">IFERROR(ROUND(IF(AJ335=100%,2031,1/AJ335*10+2021),0),"")</f>
        <v/>
      </c>
      <c r="CB335" s="39"/>
      <c r="CC335" s="39"/>
      <c r="CD335" s="39"/>
      <c r="CE335" s="39"/>
      <c r="CF335" s="39"/>
      <c r="CG335" s="39"/>
      <c r="CH335" s="39"/>
      <c r="CI335" s="39"/>
      <c r="CJ335" s="39"/>
      <c r="CK335" s="39"/>
    </row>
    <row r="336" spans="1:89" s="193" customFormat="1">
      <c r="A336" s="195"/>
      <c r="B336" s="21" t="str">
        <f t="shared" si="182"/>
        <v>N/A</v>
      </c>
      <c r="C336" s="21"/>
      <c r="D336" s="432">
        <v>3201566</v>
      </c>
      <c r="E336" s="439" t="s">
        <v>3626</v>
      </c>
      <c r="F336" s="439" t="s">
        <v>3889</v>
      </c>
      <c r="G336" s="273" t="s">
        <v>3288</v>
      </c>
      <c r="H336" s="358"/>
      <c r="I336" s="262" t="s">
        <v>3498</v>
      </c>
      <c r="J336" s="262" t="s">
        <v>3504</v>
      </c>
      <c r="K336" s="263">
        <v>7000000</v>
      </c>
      <c r="L336" s="263">
        <v>5100000</v>
      </c>
      <c r="M336" s="263">
        <v>5202000</v>
      </c>
      <c r="N336" s="263">
        <v>7512040</v>
      </c>
      <c r="O336" s="263">
        <v>5412161</v>
      </c>
      <c r="P336" s="263">
        <v>5520404</v>
      </c>
      <c r="Q336" s="263">
        <v>8040812</v>
      </c>
      <c r="R336" s="263">
        <v>5743428</v>
      </c>
      <c r="S336" s="263">
        <v>5858297</v>
      </c>
      <c r="T336" s="263">
        <v>8605463</v>
      </c>
      <c r="U336" s="263">
        <f t="shared" si="177"/>
        <v>63994605</v>
      </c>
      <c r="V336" s="196" t="str">
        <f t="shared" si="183"/>
        <v>R</v>
      </c>
      <c r="W336" s="196" t="s">
        <v>1168</v>
      </c>
      <c r="X336" s="196" t="str">
        <f t="shared" si="178"/>
        <v>N</v>
      </c>
      <c r="Y336" s="197">
        <f t="shared" si="184"/>
        <v>63994605</v>
      </c>
      <c r="Z336" s="198"/>
      <c r="AA336" s="197">
        <f t="shared" si="185"/>
        <v>63994605</v>
      </c>
      <c r="AB336" s="196"/>
      <c r="AC336" s="196"/>
      <c r="AD336" s="275">
        <v>0</v>
      </c>
      <c r="AE336" s="275">
        <v>0</v>
      </c>
      <c r="AF336" s="275">
        <v>1</v>
      </c>
      <c r="AG336" s="442"/>
      <c r="AH336" s="442"/>
      <c r="AI336" s="200">
        <f t="shared" si="186"/>
        <v>0</v>
      </c>
      <c r="AJ336" s="203"/>
      <c r="AK336" s="203"/>
      <c r="AL336" s="197">
        <f t="shared" si="179"/>
        <v>63994605</v>
      </c>
      <c r="AM336" s="197">
        <f t="shared" si="180"/>
        <v>0</v>
      </c>
      <c r="AN336" s="197">
        <f t="shared" si="181"/>
        <v>0</v>
      </c>
      <c r="AO336" s="202"/>
      <c r="AP336" s="161" t="s">
        <v>3900</v>
      </c>
      <c r="AQ336" s="279"/>
      <c r="AR336" s="287">
        <f t="shared" si="187"/>
        <v>0</v>
      </c>
      <c r="AS336" s="287">
        <f t="shared" si="188"/>
        <v>0</v>
      </c>
      <c r="AT336" s="287">
        <f t="shared" si="189"/>
        <v>0</v>
      </c>
      <c r="AU336" s="287">
        <f t="shared" si="190"/>
        <v>0</v>
      </c>
      <c r="AV336" s="287">
        <f t="shared" si="191"/>
        <v>0</v>
      </c>
      <c r="AW336" s="287">
        <f t="shared" si="192"/>
        <v>0</v>
      </c>
      <c r="AX336" s="287">
        <f t="shared" si="193"/>
        <v>0</v>
      </c>
      <c r="AY336" s="287">
        <f t="shared" si="194"/>
        <v>0</v>
      </c>
      <c r="AZ336" s="287">
        <f t="shared" si="195"/>
        <v>0</v>
      </c>
      <c r="BA336" s="287">
        <f t="shared" si="196"/>
        <v>0</v>
      </c>
      <c r="BB336" s="16"/>
      <c r="BC336" s="287">
        <f t="shared" si="197"/>
        <v>0</v>
      </c>
      <c r="BD336" s="287">
        <f t="shared" si="198"/>
        <v>0</v>
      </c>
      <c r="BE336" s="287">
        <f t="shared" si="199"/>
        <v>0</v>
      </c>
      <c r="BF336" s="287">
        <f t="shared" si="200"/>
        <v>0</v>
      </c>
      <c r="BG336" s="287">
        <f t="shared" si="201"/>
        <v>0</v>
      </c>
      <c r="BH336" s="287">
        <f t="shared" si="202"/>
        <v>0</v>
      </c>
      <c r="BI336" s="287">
        <f t="shared" si="203"/>
        <v>0</v>
      </c>
      <c r="BJ336" s="287">
        <f t="shared" si="204"/>
        <v>0</v>
      </c>
      <c r="BK336" s="287">
        <f t="shared" si="205"/>
        <v>0</v>
      </c>
      <c r="BL336" s="287">
        <f t="shared" si="206"/>
        <v>0</v>
      </c>
      <c r="BM336" s="16"/>
      <c r="BN336" s="287">
        <f t="shared" si="207"/>
        <v>0</v>
      </c>
      <c r="BO336" s="287">
        <f t="shared" si="208"/>
        <v>0</v>
      </c>
      <c r="BP336" s="432"/>
      <c r="BQ336" s="21"/>
      <c r="BR336" s="21"/>
      <c r="BS336" s="39"/>
      <c r="BT336" s="39"/>
      <c r="BU336" s="39"/>
      <c r="BV336" s="39"/>
      <c r="BW336" s="39"/>
      <c r="BX336" s="39"/>
      <c r="BY336" s="39"/>
      <c r="BZ336" s="39">
        <v>323</v>
      </c>
      <c r="CA336" s="39" t="str">
        <f t="shared" si="209"/>
        <v/>
      </c>
      <c r="CB336" s="39"/>
      <c r="CC336" s="39"/>
      <c r="CD336" s="39"/>
      <c r="CE336" s="39"/>
      <c r="CF336" s="39"/>
      <c r="CG336" s="39"/>
      <c r="CH336" s="39"/>
      <c r="CI336" s="39"/>
      <c r="CJ336" s="39"/>
      <c r="CK336" s="39"/>
    </row>
    <row r="337" spans="1:89" s="193" customFormat="1">
      <c r="A337" s="195"/>
      <c r="B337" s="21" t="str">
        <f t="shared" si="182"/>
        <v>N/A</v>
      </c>
      <c r="C337" s="21"/>
      <c r="D337" s="432">
        <v>3201571</v>
      </c>
      <c r="E337" s="439" t="s">
        <v>3626</v>
      </c>
      <c r="F337" s="439" t="s">
        <v>3890</v>
      </c>
      <c r="G337" s="273" t="s">
        <v>3430</v>
      </c>
      <c r="H337" s="358"/>
      <c r="I337" s="262" t="s">
        <v>3491</v>
      </c>
      <c r="J337" s="262" t="s">
        <v>3504</v>
      </c>
      <c r="K337" s="263">
        <v>0</v>
      </c>
      <c r="L337" s="263">
        <v>0</v>
      </c>
      <c r="M337" s="263">
        <v>0</v>
      </c>
      <c r="N337" s="263">
        <v>1000000</v>
      </c>
      <c r="O337" s="263">
        <v>2000000</v>
      </c>
      <c r="P337" s="263">
        <v>0</v>
      </c>
      <c r="Q337" s="263">
        <v>0</v>
      </c>
      <c r="R337" s="263">
        <v>0</v>
      </c>
      <c r="S337" s="263">
        <v>0</v>
      </c>
      <c r="T337" s="263">
        <v>0</v>
      </c>
      <c r="U337" s="263">
        <f t="shared" si="177"/>
        <v>3000000</v>
      </c>
      <c r="V337" s="196" t="str">
        <f t="shared" si="183"/>
        <v>G/LOS/R</v>
      </c>
      <c r="W337" s="196" t="s">
        <v>1168</v>
      </c>
      <c r="X337" s="196" t="str">
        <f t="shared" si="178"/>
        <v>Y</v>
      </c>
      <c r="Y337" s="197">
        <f t="shared" si="184"/>
        <v>3000000</v>
      </c>
      <c r="Z337" s="198"/>
      <c r="AA337" s="197">
        <f t="shared" si="185"/>
        <v>3000000</v>
      </c>
      <c r="AB337" s="196" t="s">
        <v>1168</v>
      </c>
      <c r="AC337" s="196"/>
      <c r="AD337" s="275">
        <v>0.7</v>
      </c>
      <c r="AE337" s="275">
        <v>0.2</v>
      </c>
      <c r="AF337" s="275">
        <v>0.1</v>
      </c>
      <c r="AG337" s="442"/>
      <c r="AH337" s="442"/>
      <c r="AI337" s="200">
        <f t="shared" si="186"/>
        <v>0</v>
      </c>
      <c r="AJ337" s="203"/>
      <c r="AK337" s="203"/>
      <c r="AL337" s="197">
        <f t="shared" si="179"/>
        <v>3000000</v>
      </c>
      <c r="AM337" s="197">
        <f t="shared" si="180"/>
        <v>0</v>
      </c>
      <c r="AN337" s="197">
        <f t="shared" si="181"/>
        <v>0</v>
      </c>
      <c r="AO337" s="202"/>
      <c r="AP337" s="161" t="s">
        <v>3900</v>
      </c>
      <c r="AQ337" s="279"/>
      <c r="AR337" s="287">
        <f t="shared" si="187"/>
        <v>0</v>
      </c>
      <c r="AS337" s="287">
        <f t="shared" si="188"/>
        <v>0</v>
      </c>
      <c r="AT337" s="287">
        <f t="shared" si="189"/>
        <v>0</v>
      </c>
      <c r="AU337" s="287">
        <f t="shared" si="190"/>
        <v>0</v>
      </c>
      <c r="AV337" s="287">
        <f t="shared" si="191"/>
        <v>0</v>
      </c>
      <c r="AW337" s="287">
        <f t="shared" si="192"/>
        <v>0</v>
      </c>
      <c r="AX337" s="287">
        <f t="shared" si="193"/>
        <v>0</v>
      </c>
      <c r="AY337" s="287">
        <f t="shared" si="194"/>
        <v>0</v>
      </c>
      <c r="AZ337" s="287">
        <f t="shared" si="195"/>
        <v>0</v>
      </c>
      <c r="BA337" s="287">
        <f t="shared" si="196"/>
        <v>0</v>
      </c>
      <c r="BB337" s="16"/>
      <c r="BC337" s="287">
        <f t="shared" si="197"/>
        <v>0</v>
      </c>
      <c r="BD337" s="287">
        <f t="shared" si="198"/>
        <v>0</v>
      </c>
      <c r="BE337" s="287">
        <f t="shared" si="199"/>
        <v>0</v>
      </c>
      <c r="BF337" s="287">
        <f t="shared" si="200"/>
        <v>0</v>
      </c>
      <c r="BG337" s="287">
        <f t="shared" si="201"/>
        <v>0</v>
      </c>
      <c r="BH337" s="287">
        <f t="shared" si="202"/>
        <v>0</v>
      </c>
      <c r="BI337" s="287">
        <f t="shared" si="203"/>
        <v>0</v>
      </c>
      <c r="BJ337" s="287">
        <f t="shared" si="204"/>
        <v>0</v>
      </c>
      <c r="BK337" s="287">
        <f t="shared" si="205"/>
        <v>0</v>
      </c>
      <c r="BL337" s="287">
        <f t="shared" si="206"/>
        <v>0</v>
      </c>
      <c r="BM337" s="16"/>
      <c r="BN337" s="287">
        <f t="shared" si="207"/>
        <v>0</v>
      </c>
      <c r="BO337" s="287">
        <f t="shared" si="208"/>
        <v>0</v>
      </c>
      <c r="BP337" s="432"/>
      <c r="BQ337" s="21"/>
      <c r="BR337" s="21"/>
      <c r="BS337" s="39"/>
      <c r="BT337" s="39"/>
      <c r="BU337" s="39"/>
      <c r="BV337" s="39"/>
      <c r="BW337" s="39"/>
      <c r="BX337" s="39"/>
      <c r="BY337" s="39"/>
      <c r="BZ337" s="39">
        <v>324</v>
      </c>
      <c r="CA337" s="39" t="str">
        <f t="shared" si="209"/>
        <v/>
      </c>
      <c r="CB337" s="39"/>
      <c r="CC337" s="39"/>
      <c r="CD337" s="39"/>
      <c r="CE337" s="39"/>
      <c r="CF337" s="39"/>
      <c r="CG337" s="39"/>
      <c r="CH337" s="39"/>
      <c r="CI337" s="39"/>
      <c r="CJ337" s="39"/>
      <c r="CK337" s="39"/>
    </row>
    <row r="338" spans="1:89" s="193" customFormat="1">
      <c r="A338" s="195"/>
      <c r="B338" s="21" t="str">
        <f t="shared" si="182"/>
        <v>N/A</v>
      </c>
      <c r="C338" s="21"/>
      <c r="D338" s="432">
        <v>3201572</v>
      </c>
      <c r="E338" s="439" t="s">
        <v>3626</v>
      </c>
      <c r="F338" s="439" t="s">
        <v>3891</v>
      </c>
      <c r="G338" s="273" t="s">
        <v>3420</v>
      </c>
      <c r="H338" s="358"/>
      <c r="I338" s="262" t="s">
        <v>3491</v>
      </c>
      <c r="J338" s="262" t="s">
        <v>3504</v>
      </c>
      <c r="K338" s="263">
        <v>0</v>
      </c>
      <c r="L338" s="263">
        <v>0</v>
      </c>
      <c r="M338" s="263">
        <v>0</v>
      </c>
      <c r="N338" s="263">
        <v>0</v>
      </c>
      <c r="O338" s="263">
        <v>0</v>
      </c>
      <c r="P338" s="263">
        <v>0</v>
      </c>
      <c r="Q338" s="263">
        <v>1000000</v>
      </c>
      <c r="R338" s="263">
        <v>0</v>
      </c>
      <c r="S338" s="263">
        <v>0</v>
      </c>
      <c r="T338" s="263">
        <v>0</v>
      </c>
      <c r="U338" s="263">
        <f t="shared" si="177"/>
        <v>1000000</v>
      </c>
      <c r="V338" s="196" t="str">
        <f t="shared" si="183"/>
        <v>G/LOS/R</v>
      </c>
      <c r="W338" s="196" t="s">
        <v>1168</v>
      </c>
      <c r="X338" s="196" t="str">
        <f t="shared" si="178"/>
        <v>Y</v>
      </c>
      <c r="Y338" s="197">
        <f t="shared" si="184"/>
        <v>1000000</v>
      </c>
      <c r="Z338" s="198"/>
      <c r="AA338" s="197">
        <f t="shared" si="185"/>
        <v>1000000</v>
      </c>
      <c r="AB338" s="196" t="s">
        <v>1168</v>
      </c>
      <c r="AC338" s="196"/>
      <c r="AD338" s="275">
        <v>0.7</v>
      </c>
      <c r="AE338" s="275">
        <v>0.2</v>
      </c>
      <c r="AF338" s="275">
        <v>0.1</v>
      </c>
      <c r="AG338" s="442"/>
      <c r="AH338" s="442"/>
      <c r="AI338" s="200">
        <f t="shared" si="186"/>
        <v>0</v>
      </c>
      <c r="AJ338" s="203"/>
      <c r="AK338" s="203"/>
      <c r="AL338" s="197">
        <f t="shared" si="179"/>
        <v>1000000</v>
      </c>
      <c r="AM338" s="197">
        <f t="shared" si="180"/>
        <v>0</v>
      </c>
      <c r="AN338" s="197">
        <f t="shared" si="181"/>
        <v>0</v>
      </c>
      <c r="AO338" s="202"/>
      <c r="AP338" s="161" t="s">
        <v>3900</v>
      </c>
      <c r="AQ338" s="279"/>
      <c r="AR338" s="287">
        <f t="shared" si="187"/>
        <v>0</v>
      </c>
      <c r="AS338" s="287">
        <f t="shared" si="188"/>
        <v>0</v>
      </c>
      <c r="AT338" s="287">
        <f t="shared" si="189"/>
        <v>0</v>
      </c>
      <c r="AU338" s="287">
        <f t="shared" si="190"/>
        <v>0</v>
      </c>
      <c r="AV338" s="287">
        <f t="shared" si="191"/>
        <v>0</v>
      </c>
      <c r="AW338" s="287">
        <f t="shared" si="192"/>
        <v>0</v>
      </c>
      <c r="AX338" s="287">
        <f t="shared" si="193"/>
        <v>0</v>
      </c>
      <c r="AY338" s="287">
        <f t="shared" si="194"/>
        <v>0</v>
      </c>
      <c r="AZ338" s="287">
        <f t="shared" si="195"/>
        <v>0</v>
      </c>
      <c r="BA338" s="287">
        <f t="shared" si="196"/>
        <v>0</v>
      </c>
      <c r="BB338" s="16"/>
      <c r="BC338" s="287">
        <f t="shared" si="197"/>
        <v>0</v>
      </c>
      <c r="BD338" s="287">
        <f t="shared" si="198"/>
        <v>0</v>
      </c>
      <c r="BE338" s="287">
        <f t="shared" si="199"/>
        <v>0</v>
      </c>
      <c r="BF338" s="287">
        <f t="shared" si="200"/>
        <v>0</v>
      </c>
      <c r="BG338" s="287">
        <f t="shared" si="201"/>
        <v>0</v>
      </c>
      <c r="BH338" s="287">
        <f t="shared" si="202"/>
        <v>0</v>
      </c>
      <c r="BI338" s="287">
        <f t="shared" si="203"/>
        <v>0</v>
      </c>
      <c r="BJ338" s="287">
        <f t="shared" si="204"/>
        <v>0</v>
      </c>
      <c r="BK338" s="287">
        <f t="shared" si="205"/>
        <v>0</v>
      </c>
      <c r="BL338" s="287">
        <f t="shared" si="206"/>
        <v>0</v>
      </c>
      <c r="BM338" s="16"/>
      <c r="BN338" s="287">
        <f t="shared" si="207"/>
        <v>0</v>
      </c>
      <c r="BO338" s="287">
        <f t="shared" si="208"/>
        <v>0</v>
      </c>
      <c r="BP338" s="432"/>
      <c r="BQ338" s="21"/>
      <c r="BR338" s="21"/>
      <c r="BS338" s="39"/>
      <c r="BT338" s="39"/>
      <c r="BU338" s="39"/>
      <c r="BV338" s="39"/>
      <c r="BW338" s="39"/>
      <c r="BX338" s="39"/>
      <c r="BY338" s="39"/>
      <c r="BZ338" s="39">
        <v>325</v>
      </c>
      <c r="CA338" s="39" t="str">
        <f t="shared" si="209"/>
        <v/>
      </c>
      <c r="CB338" s="39"/>
      <c r="CC338" s="39"/>
      <c r="CD338" s="39"/>
      <c r="CE338" s="39"/>
      <c r="CF338" s="39"/>
      <c r="CG338" s="39"/>
      <c r="CH338" s="39"/>
      <c r="CI338" s="39"/>
      <c r="CJ338" s="39"/>
      <c r="CK338" s="39"/>
    </row>
    <row r="339" spans="1:89" s="193" customFormat="1">
      <c r="A339" s="195"/>
      <c r="B339" s="21" t="str">
        <f t="shared" si="182"/>
        <v>N/A</v>
      </c>
      <c r="C339" s="21"/>
      <c r="D339" s="432">
        <v>3201573</v>
      </c>
      <c r="E339" s="439" t="s">
        <v>3626</v>
      </c>
      <c r="F339" s="439" t="s">
        <v>3892</v>
      </c>
      <c r="G339" s="273" t="s">
        <v>3431</v>
      </c>
      <c r="H339" s="358"/>
      <c r="I339" s="262" t="s">
        <v>3491</v>
      </c>
      <c r="J339" s="262" t="s">
        <v>3504</v>
      </c>
      <c r="K339" s="263">
        <v>0</v>
      </c>
      <c r="L339" s="263">
        <v>0</v>
      </c>
      <c r="M339" s="263">
        <v>0</v>
      </c>
      <c r="N339" s="263">
        <v>0</v>
      </c>
      <c r="O339" s="263">
        <v>500000</v>
      </c>
      <c r="P339" s="263">
        <v>4500000</v>
      </c>
      <c r="Q339" s="263">
        <v>1000000</v>
      </c>
      <c r="R339" s="263">
        <v>0</v>
      </c>
      <c r="S339" s="263">
        <v>0</v>
      </c>
      <c r="T339" s="263">
        <v>0</v>
      </c>
      <c r="U339" s="263">
        <f t="shared" si="177"/>
        <v>6000000</v>
      </c>
      <c r="V339" s="196" t="str">
        <f t="shared" si="183"/>
        <v>G/LOS/R</v>
      </c>
      <c r="W339" s="196" t="s">
        <v>1168</v>
      </c>
      <c r="X339" s="196" t="str">
        <f t="shared" si="178"/>
        <v>Y</v>
      </c>
      <c r="Y339" s="197">
        <f t="shared" si="184"/>
        <v>6000000</v>
      </c>
      <c r="Z339" s="198"/>
      <c r="AA339" s="197">
        <f t="shared" si="185"/>
        <v>6000000</v>
      </c>
      <c r="AB339" s="196" t="s">
        <v>1168</v>
      </c>
      <c r="AC339" s="196"/>
      <c r="AD339" s="275">
        <v>0.7</v>
      </c>
      <c r="AE339" s="275">
        <v>0.2</v>
      </c>
      <c r="AF339" s="275">
        <v>0.1</v>
      </c>
      <c r="AG339" s="442"/>
      <c r="AH339" s="442"/>
      <c r="AI339" s="200">
        <f t="shared" si="186"/>
        <v>0</v>
      </c>
      <c r="AJ339" s="203"/>
      <c r="AK339" s="203"/>
      <c r="AL339" s="197">
        <f t="shared" si="179"/>
        <v>6000000</v>
      </c>
      <c r="AM339" s="197">
        <f t="shared" si="180"/>
        <v>0</v>
      </c>
      <c r="AN339" s="197">
        <f t="shared" si="181"/>
        <v>0</v>
      </c>
      <c r="AO339" s="202"/>
      <c r="AP339" s="161" t="s">
        <v>3900</v>
      </c>
      <c r="AQ339" s="279"/>
      <c r="AR339" s="287">
        <f t="shared" si="187"/>
        <v>0</v>
      </c>
      <c r="AS339" s="287">
        <f t="shared" si="188"/>
        <v>0</v>
      </c>
      <c r="AT339" s="287">
        <f t="shared" si="189"/>
        <v>0</v>
      </c>
      <c r="AU339" s="287">
        <f t="shared" si="190"/>
        <v>0</v>
      </c>
      <c r="AV339" s="287">
        <f t="shared" si="191"/>
        <v>0</v>
      </c>
      <c r="AW339" s="287">
        <f t="shared" si="192"/>
        <v>0</v>
      </c>
      <c r="AX339" s="287">
        <f t="shared" si="193"/>
        <v>0</v>
      </c>
      <c r="AY339" s="287">
        <f t="shared" si="194"/>
        <v>0</v>
      </c>
      <c r="AZ339" s="287">
        <f t="shared" si="195"/>
        <v>0</v>
      </c>
      <c r="BA339" s="287">
        <f t="shared" si="196"/>
        <v>0</v>
      </c>
      <c r="BB339" s="16"/>
      <c r="BC339" s="287">
        <f t="shared" si="197"/>
        <v>0</v>
      </c>
      <c r="BD339" s="287">
        <f t="shared" si="198"/>
        <v>0</v>
      </c>
      <c r="BE339" s="287">
        <f t="shared" si="199"/>
        <v>0</v>
      </c>
      <c r="BF339" s="287">
        <f t="shared" si="200"/>
        <v>0</v>
      </c>
      <c r="BG339" s="287">
        <f t="shared" si="201"/>
        <v>0</v>
      </c>
      <c r="BH339" s="287">
        <f t="shared" si="202"/>
        <v>0</v>
      </c>
      <c r="BI339" s="287">
        <f t="shared" si="203"/>
        <v>0</v>
      </c>
      <c r="BJ339" s="287">
        <f t="shared" si="204"/>
        <v>0</v>
      </c>
      <c r="BK339" s="287">
        <f t="shared" si="205"/>
        <v>0</v>
      </c>
      <c r="BL339" s="287">
        <f t="shared" si="206"/>
        <v>0</v>
      </c>
      <c r="BM339" s="16"/>
      <c r="BN339" s="287">
        <f t="shared" si="207"/>
        <v>0</v>
      </c>
      <c r="BO339" s="287">
        <f t="shared" si="208"/>
        <v>0</v>
      </c>
      <c r="BP339" s="432"/>
      <c r="BQ339" s="21"/>
      <c r="BR339" s="21"/>
      <c r="BS339" s="39"/>
      <c r="BT339" s="39"/>
      <c r="BU339" s="39"/>
      <c r="BV339" s="39"/>
      <c r="BW339" s="39"/>
      <c r="BX339" s="39"/>
      <c r="BY339" s="39"/>
      <c r="BZ339" s="39">
        <v>326</v>
      </c>
      <c r="CA339" s="39" t="str">
        <f t="shared" si="209"/>
        <v/>
      </c>
      <c r="CB339" s="39"/>
      <c r="CC339" s="39"/>
      <c r="CD339" s="39"/>
      <c r="CE339" s="39"/>
      <c r="CF339" s="39"/>
      <c r="CG339" s="39"/>
      <c r="CH339" s="39"/>
      <c r="CI339" s="39"/>
      <c r="CJ339" s="39"/>
      <c r="CK339" s="39"/>
    </row>
    <row r="340" spans="1:89" s="193" customFormat="1">
      <c r="A340" s="195"/>
      <c r="B340" s="21" t="str">
        <f t="shared" si="182"/>
        <v>N/A</v>
      </c>
      <c r="C340" s="21"/>
      <c r="D340" s="432">
        <v>3201574</v>
      </c>
      <c r="E340" s="439" t="s">
        <v>3626</v>
      </c>
      <c r="F340" s="439" t="s">
        <v>3893</v>
      </c>
      <c r="G340" s="273" t="s">
        <v>3429</v>
      </c>
      <c r="H340" s="358"/>
      <c r="I340" s="262" t="s">
        <v>3491</v>
      </c>
      <c r="J340" s="262" t="s">
        <v>3504</v>
      </c>
      <c r="K340" s="263">
        <v>0</v>
      </c>
      <c r="L340" s="263">
        <v>0</v>
      </c>
      <c r="M340" s="263">
        <v>1000000</v>
      </c>
      <c r="N340" s="263">
        <v>2000000</v>
      </c>
      <c r="O340" s="263">
        <v>3000000</v>
      </c>
      <c r="P340" s="263">
        <v>0</v>
      </c>
      <c r="Q340" s="263">
        <v>0</v>
      </c>
      <c r="R340" s="263">
        <v>0</v>
      </c>
      <c r="S340" s="263">
        <v>0</v>
      </c>
      <c r="T340" s="263">
        <v>0</v>
      </c>
      <c r="U340" s="263">
        <f t="shared" si="177"/>
        <v>6000000</v>
      </c>
      <c r="V340" s="196" t="str">
        <f t="shared" si="183"/>
        <v>G/LOS/R</v>
      </c>
      <c r="W340" s="196" t="s">
        <v>1168</v>
      </c>
      <c r="X340" s="196" t="str">
        <f t="shared" si="178"/>
        <v>Y</v>
      </c>
      <c r="Y340" s="197">
        <f t="shared" si="184"/>
        <v>6000000</v>
      </c>
      <c r="Z340" s="198"/>
      <c r="AA340" s="197">
        <f t="shared" si="185"/>
        <v>6000000</v>
      </c>
      <c r="AB340" s="196" t="s">
        <v>1168</v>
      </c>
      <c r="AC340" s="196"/>
      <c r="AD340" s="275">
        <v>0.7</v>
      </c>
      <c r="AE340" s="275">
        <v>0.2</v>
      </c>
      <c r="AF340" s="275">
        <v>0.1</v>
      </c>
      <c r="AG340" s="442"/>
      <c r="AH340" s="442"/>
      <c r="AI340" s="200">
        <f t="shared" si="186"/>
        <v>0</v>
      </c>
      <c r="AJ340" s="203"/>
      <c r="AK340" s="203"/>
      <c r="AL340" s="197">
        <f t="shared" si="179"/>
        <v>6000000</v>
      </c>
      <c r="AM340" s="197">
        <f t="shared" si="180"/>
        <v>0</v>
      </c>
      <c r="AN340" s="197">
        <f t="shared" si="181"/>
        <v>0</v>
      </c>
      <c r="AO340" s="202"/>
      <c r="AP340" s="161" t="s">
        <v>3900</v>
      </c>
      <c r="AQ340" s="279"/>
      <c r="AR340" s="287">
        <f t="shared" si="187"/>
        <v>0</v>
      </c>
      <c r="AS340" s="287">
        <f t="shared" si="188"/>
        <v>0</v>
      </c>
      <c r="AT340" s="287">
        <f t="shared" si="189"/>
        <v>0</v>
      </c>
      <c r="AU340" s="287">
        <f t="shared" si="190"/>
        <v>0</v>
      </c>
      <c r="AV340" s="287">
        <f t="shared" si="191"/>
        <v>0</v>
      </c>
      <c r="AW340" s="287">
        <f t="shared" si="192"/>
        <v>0</v>
      </c>
      <c r="AX340" s="287">
        <f t="shared" si="193"/>
        <v>0</v>
      </c>
      <c r="AY340" s="287">
        <f t="shared" si="194"/>
        <v>0</v>
      </c>
      <c r="AZ340" s="287">
        <f t="shared" si="195"/>
        <v>0</v>
      </c>
      <c r="BA340" s="287">
        <f t="shared" si="196"/>
        <v>0</v>
      </c>
      <c r="BB340" s="16"/>
      <c r="BC340" s="287">
        <f t="shared" si="197"/>
        <v>0</v>
      </c>
      <c r="BD340" s="287">
        <f t="shared" si="198"/>
        <v>0</v>
      </c>
      <c r="BE340" s="287">
        <f t="shared" si="199"/>
        <v>0</v>
      </c>
      <c r="BF340" s="287">
        <f t="shared" si="200"/>
        <v>0</v>
      </c>
      <c r="BG340" s="287">
        <f t="shared" si="201"/>
        <v>0</v>
      </c>
      <c r="BH340" s="287">
        <f t="shared" si="202"/>
        <v>0</v>
      </c>
      <c r="BI340" s="287">
        <f t="shared" si="203"/>
        <v>0</v>
      </c>
      <c r="BJ340" s="287">
        <f t="shared" si="204"/>
        <v>0</v>
      </c>
      <c r="BK340" s="287">
        <f t="shared" si="205"/>
        <v>0</v>
      </c>
      <c r="BL340" s="287">
        <f t="shared" si="206"/>
        <v>0</v>
      </c>
      <c r="BM340" s="16"/>
      <c r="BN340" s="287">
        <f t="shared" si="207"/>
        <v>0</v>
      </c>
      <c r="BO340" s="287">
        <f t="shared" si="208"/>
        <v>0</v>
      </c>
      <c r="BP340" s="432"/>
      <c r="BQ340" s="21"/>
      <c r="BR340" s="21"/>
      <c r="BS340" s="39"/>
      <c r="BT340" s="39"/>
      <c r="BU340" s="39"/>
      <c r="BV340" s="39"/>
      <c r="BW340" s="39"/>
      <c r="BX340" s="39"/>
      <c r="BY340" s="39"/>
      <c r="BZ340" s="39">
        <v>327</v>
      </c>
      <c r="CA340" s="39" t="str">
        <f t="shared" si="209"/>
        <v/>
      </c>
      <c r="CB340" s="39"/>
      <c r="CC340" s="39"/>
      <c r="CD340" s="39"/>
      <c r="CE340" s="39"/>
      <c r="CF340" s="39"/>
      <c r="CG340" s="39"/>
      <c r="CH340" s="39"/>
      <c r="CI340" s="39"/>
      <c r="CJ340" s="39"/>
      <c r="CK340" s="39"/>
    </row>
    <row r="341" spans="1:89" s="193" customFormat="1">
      <c r="A341" s="195"/>
      <c r="B341" s="21" t="str">
        <f t="shared" si="182"/>
        <v>N/A</v>
      </c>
      <c r="C341" s="21"/>
      <c r="D341" s="432">
        <v>3201579</v>
      </c>
      <c r="E341" s="439" t="s">
        <v>3626</v>
      </c>
      <c r="F341" s="439" t="s">
        <v>2499</v>
      </c>
      <c r="G341" s="273" t="s">
        <v>3593</v>
      </c>
      <c r="H341" s="358"/>
      <c r="I341" s="262" t="s">
        <v>3531</v>
      </c>
      <c r="J341" s="262" t="s">
        <v>3504</v>
      </c>
      <c r="K341" s="263">
        <v>0</v>
      </c>
      <c r="L341" s="263">
        <v>1499350</v>
      </c>
      <c r="M341" s="263">
        <v>975000</v>
      </c>
      <c r="N341" s="263">
        <v>379682</v>
      </c>
      <c r="O341" s="263">
        <v>250000</v>
      </c>
      <c r="P341" s="263">
        <v>520000</v>
      </c>
      <c r="Q341" s="263">
        <v>250000</v>
      </c>
      <c r="R341" s="263">
        <v>300000</v>
      </c>
      <c r="S341" s="263">
        <v>600000</v>
      </c>
      <c r="T341" s="263">
        <v>0</v>
      </c>
      <c r="U341" s="263">
        <f t="shared" si="177"/>
        <v>4774032</v>
      </c>
      <c r="V341" s="196" t="str">
        <f t="shared" si="183"/>
        <v>LOS</v>
      </c>
      <c r="W341" s="196" t="s">
        <v>1168</v>
      </c>
      <c r="X341" s="196" t="str">
        <f t="shared" si="178"/>
        <v>N</v>
      </c>
      <c r="Y341" s="197">
        <f t="shared" si="184"/>
        <v>4774032</v>
      </c>
      <c r="Z341" s="198"/>
      <c r="AA341" s="197">
        <f t="shared" si="185"/>
        <v>4774032</v>
      </c>
      <c r="AB341" s="196"/>
      <c r="AC341" s="196"/>
      <c r="AD341" s="275">
        <v>0</v>
      </c>
      <c r="AE341" s="275">
        <v>1</v>
      </c>
      <c r="AF341" s="275">
        <v>0</v>
      </c>
      <c r="AG341" s="442"/>
      <c r="AH341" s="442"/>
      <c r="AI341" s="200">
        <f t="shared" si="186"/>
        <v>0</v>
      </c>
      <c r="AJ341" s="203"/>
      <c r="AK341" s="203"/>
      <c r="AL341" s="197">
        <f t="shared" si="179"/>
        <v>4774032</v>
      </c>
      <c r="AM341" s="197">
        <f t="shared" si="180"/>
        <v>0</v>
      </c>
      <c r="AN341" s="197">
        <f t="shared" si="181"/>
        <v>0</v>
      </c>
      <c r="AO341" s="202"/>
      <c r="AP341" s="161" t="s">
        <v>3900</v>
      </c>
      <c r="AQ341" s="279"/>
      <c r="AR341" s="287">
        <f t="shared" si="187"/>
        <v>0</v>
      </c>
      <c r="AS341" s="287">
        <f t="shared" si="188"/>
        <v>0</v>
      </c>
      <c r="AT341" s="287">
        <f t="shared" si="189"/>
        <v>0</v>
      </c>
      <c r="AU341" s="287">
        <f t="shared" si="190"/>
        <v>0</v>
      </c>
      <c r="AV341" s="287">
        <f t="shared" si="191"/>
        <v>0</v>
      </c>
      <c r="AW341" s="287">
        <f t="shared" si="192"/>
        <v>0</v>
      </c>
      <c r="AX341" s="287">
        <f t="shared" si="193"/>
        <v>0</v>
      </c>
      <c r="AY341" s="287">
        <f t="shared" si="194"/>
        <v>0</v>
      </c>
      <c r="AZ341" s="287">
        <f t="shared" si="195"/>
        <v>0</v>
      </c>
      <c r="BA341" s="287">
        <f t="shared" si="196"/>
        <v>0</v>
      </c>
      <c r="BB341" s="16"/>
      <c r="BC341" s="287">
        <f t="shared" si="197"/>
        <v>0</v>
      </c>
      <c r="BD341" s="287">
        <f t="shared" si="198"/>
        <v>0</v>
      </c>
      <c r="BE341" s="287">
        <f t="shared" si="199"/>
        <v>0</v>
      </c>
      <c r="BF341" s="287">
        <f t="shared" si="200"/>
        <v>0</v>
      </c>
      <c r="BG341" s="287">
        <f t="shared" si="201"/>
        <v>0</v>
      </c>
      <c r="BH341" s="287">
        <f t="shared" si="202"/>
        <v>0</v>
      </c>
      <c r="BI341" s="287">
        <f t="shared" si="203"/>
        <v>0</v>
      </c>
      <c r="BJ341" s="287">
        <f t="shared" si="204"/>
        <v>0</v>
      </c>
      <c r="BK341" s="287">
        <f t="shared" si="205"/>
        <v>0</v>
      </c>
      <c r="BL341" s="287">
        <f t="shared" si="206"/>
        <v>0</v>
      </c>
      <c r="BM341" s="16"/>
      <c r="BN341" s="287">
        <f t="shared" si="207"/>
        <v>0</v>
      </c>
      <c r="BO341" s="287">
        <f t="shared" si="208"/>
        <v>0</v>
      </c>
      <c r="BP341" s="432"/>
      <c r="BQ341" s="21"/>
      <c r="BR341" s="21"/>
      <c r="BS341" s="39"/>
      <c r="BT341" s="39"/>
      <c r="BU341" s="39"/>
      <c r="BV341" s="39"/>
      <c r="BW341" s="39"/>
      <c r="BX341" s="39"/>
      <c r="BY341" s="39"/>
      <c r="BZ341" s="39">
        <v>328</v>
      </c>
      <c r="CA341" s="39" t="str">
        <f t="shared" si="209"/>
        <v/>
      </c>
      <c r="CB341" s="39"/>
      <c r="CC341" s="39"/>
      <c r="CD341" s="39"/>
      <c r="CE341" s="39"/>
      <c r="CF341" s="39"/>
      <c r="CG341" s="39"/>
      <c r="CH341" s="39"/>
      <c r="CI341" s="39"/>
      <c r="CJ341" s="39"/>
      <c r="CK341" s="39"/>
    </row>
    <row r="342" spans="1:89" s="193" customFormat="1">
      <c r="A342" s="195"/>
      <c r="B342" s="21" t="str">
        <f t="shared" si="182"/>
        <v>N/A</v>
      </c>
      <c r="C342" s="21"/>
      <c r="D342" s="432">
        <v>3201580</v>
      </c>
      <c r="E342" s="439" t="s">
        <v>3626</v>
      </c>
      <c r="F342" s="439" t="s">
        <v>2499</v>
      </c>
      <c r="G342" s="273" t="s">
        <v>3580</v>
      </c>
      <c r="H342" s="358"/>
      <c r="I342" s="262" t="s">
        <v>3531</v>
      </c>
      <c r="J342" s="262" t="s">
        <v>3504</v>
      </c>
      <c r="K342" s="263">
        <v>6100000</v>
      </c>
      <c r="L342" s="263">
        <v>0</v>
      </c>
      <c r="M342" s="263">
        <v>0</v>
      </c>
      <c r="N342" s="263">
        <v>0</v>
      </c>
      <c r="O342" s="263">
        <v>0</v>
      </c>
      <c r="P342" s="263">
        <v>0</v>
      </c>
      <c r="Q342" s="263">
        <v>0</v>
      </c>
      <c r="R342" s="263">
        <v>0</v>
      </c>
      <c r="S342" s="263">
        <v>0</v>
      </c>
      <c r="T342" s="263">
        <v>0</v>
      </c>
      <c r="U342" s="263">
        <f t="shared" si="177"/>
        <v>6100000</v>
      </c>
      <c r="V342" s="196" t="str">
        <f t="shared" si="183"/>
        <v>LOS</v>
      </c>
      <c r="W342" s="196" t="s">
        <v>1168</v>
      </c>
      <c r="X342" s="196" t="str">
        <f t="shared" si="178"/>
        <v>N</v>
      </c>
      <c r="Y342" s="197">
        <f t="shared" si="184"/>
        <v>6100000</v>
      </c>
      <c r="Z342" s="198"/>
      <c r="AA342" s="197">
        <f t="shared" si="185"/>
        <v>6100000</v>
      </c>
      <c r="AB342" s="196"/>
      <c r="AC342" s="196"/>
      <c r="AD342" s="275">
        <v>0</v>
      </c>
      <c r="AE342" s="275">
        <v>1</v>
      </c>
      <c r="AF342" s="275">
        <v>0</v>
      </c>
      <c r="AG342" s="442"/>
      <c r="AH342" s="442"/>
      <c r="AI342" s="200">
        <f t="shared" si="186"/>
        <v>0</v>
      </c>
      <c r="AJ342" s="203"/>
      <c r="AK342" s="203"/>
      <c r="AL342" s="197">
        <f t="shared" si="179"/>
        <v>6100000</v>
      </c>
      <c r="AM342" s="197">
        <f t="shared" si="180"/>
        <v>0</v>
      </c>
      <c r="AN342" s="197">
        <f t="shared" si="181"/>
        <v>0</v>
      </c>
      <c r="AO342" s="202"/>
      <c r="AP342" s="161" t="s">
        <v>3900</v>
      </c>
      <c r="AQ342" s="279"/>
      <c r="AR342" s="287">
        <f t="shared" si="187"/>
        <v>0</v>
      </c>
      <c r="AS342" s="287">
        <f t="shared" si="188"/>
        <v>0</v>
      </c>
      <c r="AT342" s="287">
        <f t="shared" si="189"/>
        <v>0</v>
      </c>
      <c r="AU342" s="287">
        <f t="shared" si="190"/>
        <v>0</v>
      </c>
      <c r="AV342" s="287">
        <f t="shared" si="191"/>
        <v>0</v>
      </c>
      <c r="AW342" s="287">
        <f t="shared" si="192"/>
        <v>0</v>
      </c>
      <c r="AX342" s="287">
        <f t="shared" si="193"/>
        <v>0</v>
      </c>
      <c r="AY342" s="287">
        <f t="shared" si="194"/>
        <v>0</v>
      </c>
      <c r="AZ342" s="287">
        <f t="shared" si="195"/>
        <v>0</v>
      </c>
      <c r="BA342" s="287">
        <f t="shared" si="196"/>
        <v>0</v>
      </c>
      <c r="BB342" s="16"/>
      <c r="BC342" s="287">
        <f t="shared" si="197"/>
        <v>0</v>
      </c>
      <c r="BD342" s="287">
        <f t="shared" si="198"/>
        <v>0</v>
      </c>
      <c r="BE342" s="287">
        <f t="shared" si="199"/>
        <v>0</v>
      </c>
      <c r="BF342" s="287">
        <f t="shared" si="200"/>
        <v>0</v>
      </c>
      <c r="BG342" s="287">
        <f t="shared" si="201"/>
        <v>0</v>
      </c>
      <c r="BH342" s="287">
        <f t="shared" si="202"/>
        <v>0</v>
      </c>
      <c r="BI342" s="287">
        <f t="shared" si="203"/>
        <v>0</v>
      </c>
      <c r="BJ342" s="287">
        <f t="shared" si="204"/>
        <v>0</v>
      </c>
      <c r="BK342" s="287">
        <f t="shared" si="205"/>
        <v>0</v>
      </c>
      <c r="BL342" s="287">
        <f t="shared" si="206"/>
        <v>0</v>
      </c>
      <c r="BM342" s="16"/>
      <c r="BN342" s="287">
        <f t="shared" si="207"/>
        <v>0</v>
      </c>
      <c r="BO342" s="287">
        <f t="shared" si="208"/>
        <v>0</v>
      </c>
      <c r="BP342" s="432"/>
      <c r="BQ342" s="21"/>
      <c r="BR342" s="21"/>
      <c r="BS342" s="39"/>
      <c r="BT342" s="39"/>
      <c r="BU342" s="39"/>
      <c r="BV342" s="39"/>
      <c r="BW342" s="39"/>
      <c r="BX342" s="39"/>
      <c r="BY342" s="39"/>
      <c r="BZ342" s="39">
        <v>329</v>
      </c>
      <c r="CA342" s="39" t="str">
        <f t="shared" si="209"/>
        <v/>
      </c>
      <c r="CB342" s="39"/>
      <c r="CC342" s="39"/>
      <c r="CD342" s="39"/>
      <c r="CE342" s="39"/>
      <c r="CF342" s="39"/>
      <c r="CG342" s="39"/>
      <c r="CH342" s="39"/>
      <c r="CI342" s="39"/>
      <c r="CJ342" s="39"/>
      <c r="CK342" s="39"/>
    </row>
    <row r="343" spans="1:89" s="193" customFormat="1">
      <c r="A343" s="195"/>
      <c r="B343" s="21" t="str">
        <f t="shared" si="182"/>
        <v>N/A</v>
      </c>
      <c r="C343" s="21"/>
      <c r="D343" s="432">
        <v>3201581</v>
      </c>
      <c r="E343" s="439" t="s">
        <v>3626</v>
      </c>
      <c r="F343" s="439" t="s">
        <v>2499</v>
      </c>
      <c r="G343" s="273" t="s">
        <v>3595</v>
      </c>
      <c r="H343" s="358"/>
      <c r="I343" s="262" t="s">
        <v>3531</v>
      </c>
      <c r="J343" s="262" t="s">
        <v>3504</v>
      </c>
      <c r="K343" s="263">
        <v>7597023.8600000003</v>
      </c>
      <c r="L343" s="263">
        <v>2000000</v>
      </c>
      <c r="M343" s="263">
        <v>0</v>
      </c>
      <c r="N343" s="263">
        <v>0</v>
      </c>
      <c r="O343" s="263">
        <v>0</v>
      </c>
      <c r="P343" s="263">
        <v>0</v>
      </c>
      <c r="Q343" s="263">
        <v>0</v>
      </c>
      <c r="R343" s="263">
        <v>0</v>
      </c>
      <c r="S343" s="263">
        <v>0</v>
      </c>
      <c r="T343" s="263">
        <v>0</v>
      </c>
      <c r="U343" s="263">
        <f t="shared" si="177"/>
        <v>9597023.8599999994</v>
      </c>
      <c r="V343" s="196" t="str">
        <f t="shared" si="183"/>
        <v>G</v>
      </c>
      <c r="W343" s="196" t="s">
        <v>1168</v>
      </c>
      <c r="X343" s="196" t="str">
        <f t="shared" si="178"/>
        <v>Y</v>
      </c>
      <c r="Y343" s="197">
        <f t="shared" si="184"/>
        <v>9597023.8599999994</v>
      </c>
      <c r="Z343" s="198"/>
      <c r="AA343" s="197">
        <f t="shared" si="185"/>
        <v>9597023.8599999994</v>
      </c>
      <c r="AB343" s="196" t="s">
        <v>1168</v>
      </c>
      <c r="AC343" s="196"/>
      <c r="AD343" s="275">
        <v>1</v>
      </c>
      <c r="AE343" s="275">
        <v>0</v>
      </c>
      <c r="AF343" s="275">
        <v>0</v>
      </c>
      <c r="AG343" s="442"/>
      <c r="AH343" s="442"/>
      <c r="AI343" s="200">
        <f t="shared" si="186"/>
        <v>0</v>
      </c>
      <c r="AJ343" s="203"/>
      <c r="AK343" s="203"/>
      <c r="AL343" s="197">
        <f t="shared" si="179"/>
        <v>9597023.8599999994</v>
      </c>
      <c r="AM343" s="197">
        <f t="shared" si="180"/>
        <v>0</v>
      </c>
      <c r="AN343" s="197">
        <f t="shared" si="181"/>
        <v>0</v>
      </c>
      <c r="AO343" s="202"/>
      <c r="AP343" s="161" t="s">
        <v>3900</v>
      </c>
      <c r="AQ343" s="279"/>
      <c r="AR343" s="287">
        <f t="shared" si="187"/>
        <v>0</v>
      </c>
      <c r="AS343" s="287">
        <f t="shared" si="188"/>
        <v>0</v>
      </c>
      <c r="AT343" s="287">
        <f t="shared" si="189"/>
        <v>0</v>
      </c>
      <c r="AU343" s="287">
        <f t="shared" si="190"/>
        <v>0</v>
      </c>
      <c r="AV343" s="287">
        <f t="shared" si="191"/>
        <v>0</v>
      </c>
      <c r="AW343" s="287">
        <f t="shared" si="192"/>
        <v>0</v>
      </c>
      <c r="AX343" s="287">
        <f t="shared" si="193"/>
        <v>0</v>
      </c>
      <c r="AY343" s="287">
        <f t="shared" si="194"/>
        <v>0</v>
      </c>
      <c r="AZ343" s="287">
        <f t="shared" si="195"/>
        <v>0</v>
      </c>
      <c r="BA343" s="287">
        <f t="shared" si="196"/>
        <v>0</v>
      </c>
      <c r="BB343" s="16"/>
      <c r="BC343" s="287">
        <f t="shared" si="197"/>
        <v>0</v>
      </c>
      <c r="BD343" s="287">
        <f t="shared" si="198"/>
        <v>0</v>
      </c>
      <c r="BE343" s="287">
        <f t="shared" si="199"/>
        <v>0</v>
      </c>
      <c r="BF343" s="287">
        <f t="shared" si="200"/>
        <v>0</v>
      </c>
      <c r="BG343" s="287">
        <f t="shared" si="201"/>
        <v>0</v>
      </c>
      <c r="BH343" s="287">
        <f t="shared" si="202"/>
        <v>0</v>
      </c>
      <c r="BI343" s="287">
        <f t="shared" si="203"/>
        <v>0</v>
      </c>
      <c r="BJ343" s="287">
        <f t="shared" si="204"/>
        <v>0</v>
      </c>
      <c r="BK343" s="287">
        <f t="shared" si="205"/>
        <v>0</v>
      </c>
      <c r="BL343" s="287">
        <f t="shared" si="206"/>
        <v>0</v>
      </c>
      <c r="BM343" s="16"/>
      <c r="BN343" s="287">
        <f t="shared" si="207"/>
        <v>0</v>
      </c>
      <c r="BO343" s="287">
        <f t="shared" si="208"/>
        <v>0</v>
      </c>
      <c r="BP343" s="432"/>
      <c r="BQ343" s="21"/>
      <c r="BR343" s="21"/>
      <c r="BS343" s="39"/>
      <c r="BT343" s="39"/>
      <c r="BU343" s="39"/>
      <c r="BV343" s="39"/>
      <c r="BW343" s="39"/>
      <c r="BX343" s="39"/>
      <c r="BY343" s="39"/>
      <c r="BZ343" s="39">
        <v>330</v>
      </c>
      <c r="CA343" s="39" t="str">
        <f t="shared" si="209"/>
        <v/>
      </c>
      <c r="CB343" s="39"/>
      <c r="CC343" s="39"/>
      <c r="CD343" s="39"/>
      <c r="CE343" s="39"/>
      <c r="CF343" s="39"/>
      <c r="CG343" s="39"/>
      <c r="CH343" s="39"/>
      <c r="CI343" s="39"/>
      <c r="CJ343" s="39"/>
      <c r="CK343" s="39"/>
    </row>
    <row r="344" spans="1:89" s="193" customFormat="1">
      <c r="A344" s="195"/>
      <c r="B344" s="21" t="str">
        <f t="shared" si="182"/>
        <v>N/A</v>
      </c>
      <c r="C344" s="21"/>
      <c r="D344" s="432">
        <v>3201582</v>
      </c>
      <c r="E344" s="439" t="s">
        <v>3626</v>
      </c>
      <c r="F344" s="439" t="s">
        <v>3894</v>
      </c>
      <c r="G344" s="273" t="s">
        <v>3331</v>
      </c>
      <c r="H344" s="358"/>
      <c r="I344" s="262" t="s">
        <v>3491</v>
      </c>
      <c r="J344" s="262" t="s">
        <v>3504</v>
      </c>
      <c r="K344" s="263">
        <v>1500000</v>
      </c>
      <c r="L344" s="263">
        <v>12135823</v>
      </c>
      <c r="M344" s="263">
        <v>12135823</v>
      </c>
      <c r="N344" s="263">
        <v>0</v>
      </c>
      <c r="O344" s="263">
        <v>0</v>
      </c>
      <c r="P344" s="263">
        <v>0</v>
      </c>
      <c r="Q344" s="263">
        <v>0</v>
      </c>
      <c r="R344" s="263">
        <v>0</v>
      </c>
      <c r="S344" s="263">
        <v>0</v>
      </c>
      <c r="T344" s="263">
        <v>0</v>
      </c>
      <c r="U344" s="263">
        <f t="shared" si="177"/>
        <v>25771646</v>
      </c>
      <c r="V344" s="196" t="str">
        <f t="shared" si="183"/>
        <v>LOS</v>
      </c>
      <c r="W344" s="196" t="s">
        <v>1168</v>
      </c>
      <c r="X344" s="196" t="str">
        <f t="shared" si="178"/>
        <v>N</v>
      </c>
      <c r="Y344" s="197">
        <f t="shared" si="184"/>
        <v>25771646</v>
      </c>
      <c r="Z344" s="198"/>
      <c r="AA344" s="197">
        <f t="shared" si="185"/>
        <v>25771646</v>
      </c>
      <c r="AB344" s="196"/>
      <c r="AC344" s="196"/>
      <c r="AD344" s="275">
        <v>0</v>
      </c>
      <c r="AE344" s="275">
        <v>1</v>
      </c>
      <c r="AF344" s="275">
        <v>0</v>
      </c>
      <c r="AG344" s="442"/>
      <c r="AH344" s="442"/>
      <c r="AI344" s="200">
        <f t="shared" si="186"/>
        <v>0</v>
      </c>
      <c r="AJ344" s="203"/>
      <c r="AK344" s="203"/>
      <c r="AL344" s="197">
        <f t="shared" si="179"/>
        <v>25771646</v>
      </c>
      <c r="AM344" s="197">
        <f t="shared" si="180"/>
        <v>0</v>
      </c>
      <c r="AN344" s="197">
        <f t="shared" si="181"/>
        <v>0</v>
      </c>
      <c r="AO344" s="202"/>
      <c r="AP344" s="161" t="s">
        <v>3900</v>
      </c>
      <c r="AQ344" s="279"/>
      <c r="AR344" s="287">
        <f t="shared" si="187"/>
        <v>0</v>
      </c>
      <c r="AS344" s="287">
        <f t="shared" si="188"/>
        <v>0</v>
      </c>
      <c r="AT344" s="287">
        <f t="shared" si="189"/>
        <v>0</v>
      </c>
      <c r="AU344" s="287">
        <f t="shared" si="190"/>
        <v>0</v>
      </c>
      <c r="AV344" s="287">
        <f t="shared" si="191"/>
        <v>0</v>
      </c>
      <c r="AW344" s="287">
        <f t="shared" si="192"/>
        <v>0</v>
      </c>
      <c r="AX344" s="287">
        <f t="shared" si="193"/>
        <v>0</v>
      </c>
      <c r="AY344" s="287">
        <f t="shared" si="194"/>
        <v>0</v>
      </c>
      <c r="AZ344" s="287">
        <f t="shared" si="195"/>
        <v>0</v>
      </c>
      <c r="BA344" s="287">
        <f t="shared" si="196"/>
        <v>0</v>
      </c>
      <c r="BB344" s="16"/>
      <c r="BC344" s="287">
        <f t="shared" si="197"/>
        <v>0</v>
      </c>
      <c r="BD344" s="287">
        <f t="shared" si="198"/>
        <v>0</v>
      </c>
      <c r="BE344" s="287">
        <f t="shared" si="199"/>
        <v>0</v>
      </c>
      <c r="BF344" s="287">
        <f t="shared" si="200"/>
        <v>0</v>
      </c>
      <c r="BG344" s="287">
        <f t="shared" si="201"/>
        <v>0</v>
      </c>
      <c r="BH344" s="287">
        <f t="shared" si="202"/>
        <v>0</v>
      </c>
      <c r="BI344" s="287">
        <f t="shared" si="203"/>
        <v>0</v>
      </c>
      <c r="BJ344" s="287">
        <f t="shared" si="204"/>
        <v>0</v>
      </c>
      <c r="BK344" s="287">
        <f t="shared" si="205"/>
        <v>0</v>
      </c>
      <c r="BL344" s="287">
        <f t="shared" si="206"/>
        <v>0</v>
      </c>
      <c r="BM344" s="16"/>
      <c r="BN344" s="287">
        <f t="shared" si="207"/>
        <v>0</v>
      </c>
      <c r="BO344" s="287">
        <f t="shared" si="208"/>
        <v>0</v>
      </c>
      <c r="BP344" s="432"/>
      <c r="BQ344" s="21"/>
      <c r="BR344" s="21"/>
      <c r="BS344" s="39"/>
      <c r="BT344" s="39"/>
      <c r="BU344" s="39"/>
      <c r="BV344" s="39"/>
      <c r="BW344" s="39"/>
      <c r="BX344" s="39"/>
      <c r="BY344" s="39"/>
      <c r="BZ344" s="39">
        <v>331</v>
      </c>
      <c r="CA344" s="39" t="str">
        <f t="shared" si="209"/>
        <v/>
      </c>
      <c r="CB344" s="39"/>
      <c r="CC344" s="39"/>
      <c r="CD344" s="39"/>
      <c r="CE344" s="39"/>
      <c r="CF344" s="39"/>
      <c r="CG344" s="39"/>
      <c r="CH344" s="39"/>
      <c r="CI344" s="39"/>
      <c r="CJ344" s="39"/>
      <c r="CK344" s="39"/>
    </row>
    <row r="345" spans="1:89" s="193" customFormat="1">
      <c r="A345" s="195"/>
      <c r="B345" s="21" t="str">
        <f t="shared" si="182"/>
        <v>N/A</v>
      </c>
      <c r="C345" s="21"/>
      <c r="D345" s="432">
        <v>3201586</v>
      </c>
      <c r="E345" s="439" t="s">
        <v>3626</v>
      </c>
      <c r="F345" s="439" t="s">
        <v>3895</v>
      </c>
      <c r="G345" s="273" t="s">
        <v>3404</v>
      </c>
      <c r="H345" s="358"/>
      <c r="I345" s="262" t="s">
        <v>3492</v>
      </c>
      <c r="J345" s="262" t="s">
        <v>3526</v>
      </c>
      <c r="K345" s="263">
        <v>50000</v>
      </c>
      <c r="L345" s="263">
        <v>200000</v>
      </c>
      <c r="M345" s="263">
        <v>1500000</v>
      </c>
      <c r="N345" s="263">
        <v>0</v>
      </c>
      <c r="O345" s="263">
        <v>0</v>
      </c>
      <c r="P345" s="263">
        <v>0</v>
      </c>
      <c r="Q345" s="263">
        <v>0</v>
      </c>
      <c r="R345" s="263">
        <v>0</v>
      </c>
      <c r="S345" s="263">
        <v>0</v>
      </c>
      <c r="T345" s="263">
        <v>0</v>
      </c>
      <c r="U345" s="263">
        <f t="shared" si="177"/>
        <v>1750000</v>
      </c>
      <c r="V345" s="196" t="str">
        <f t="shared" si="183"/>
        <v>LOS</v>
      </c>
      <c r="W345" s="196" t="s">
        <v>1168</v>
      </c>
      <c r="X345" s="196" t="str">
        <f t="shared" si="178"/>
        <v>N</v>
      </c>
      <c r="Y345" s="197">
        <f t="shared" si="184"/>
        <v>1750000</v>
      </c>
      <c r="Z345" s="198"/>
      <c r="AA345" s="197">
        <f t="shared" si="185"/>
        <v>1750000</v>
      </c>
      <c r="AB345" s="196"/>
      <c r="AC345" s="196"/>
      <c r="AD345" s="275">
        <v>0</v>
      </c>
      <c r="AE345" s="275">
        <v>1</v>
      </c>
      <c r="AF345" s="275">
        <v>0</v>
      </c>
      <c r="AG345" s="442"/>
      <c r="AH345" s="442"/>
      <c r="AI345" s="200">
        <f t="shared" si="186"/>
        <v>0</v>
      </c>
      <c r="AJ345" s="203"/>
      <c r="AK345" s="203"/>
      <c r="AL345" s="197">
        <f t="shared" si="179"/>
        <v>1750000</v>
      </c>
      <c r="AM345" s="197">
        <f t="shared" si="180"/>
        <v>0</v>
      </c>
      <c r="AN345" s="197">
        <f t="shared" si="181"/>
        <v>0</v>
      </c>
      <c r="AO345" s="202"/>
      <c r="AP345" s="161" t="s">
        <v>3900</v>
      </c>
      <c r="AQ345" s="279"/>
      <c r="AR345" s="287">
        <f t="shared" si="187"/>
        <v>0</v>
      </c>
      <c r="AS345" s="287">
        <f t="shared" si="188"/>
        <v>0</v>
      </c>
      <c r="AT345" s="287">
        <f t="shared" si="189"/>
        <v>0</v>
      </c>
      <c r="AU345" s="287">
        <f t="shared" si="190"/>
        <v>0</v>
      </c>
      <c r="AV345" s="287">
        <f t="shared" si="191"/>
        <v>0</v>
      </c>
      <c r="AW345" s="287">
        <f t="shared" si="192"/>
        <v>0</v>
      </c>
      <c r="AX345" s="287">
        <f t="shared" si="193"/>
        <v>0</v>
      </c>
      <c r="AY345" s="287">
        <f t="shared" si="194"/>
        <v>0</v>
      </c>
      <c r="AZ345" s="287">
        <f t="shared" si="195"/>
        <v>0</v>
      </c>
      <c r="BA345" s="287">
        <f t="shared" si="196"/>
        <v>0</v>
      </c>
      <c r="BB345" s="16"/>
      <c r="BC345" s="287">
        <f t="shared" si="197"/>
        <v>0</v>
      </c>
      <c r="BD345" s="287">
        <f t="shared" si="198"/>
        <v>0</v>
      </c>
      <c r="BE345" s="287">
        <f t="shared" si="199"/>
        <v>0</v>
      </c>
      <c r="BF345" s="287">
        <f t="shared" si="200"/>
        <v>0</v>
      </c>
      <c r="BG345" s="287">
        <f t="shared" si="201"/>
        <v>0</v>
      </c>
      <c r="BH345" s="287">
        <f t="shared" si="202"/>
        <v>0</v>
      </c>
      <c r="BI345" s="287">
        <f t="shared" si="203"/>
        <v>0</v>
      </c>
      <c r="BJ345" s="287">
        <f t="shared" si="204"/>
        <v>0</v>
      </c>
      <c r="BK345" s="287">
        <f t="shared" si="205"/>
        <v>0</v>
      </c>
      <c r="BL345" s="287">
        <f t="shared" si="206"/>
        <v>0</v>
      </c>
      <c r="BM345" s="16"/>
      <c r="BN345" s="287">
        <f t="shared" si="207"/>
        <v>0</v>
      </c>
      <c r="BO345" s="287">
        <f t="shared" si="208"/>
        <v>0</v>
      </c>
      <c r="BP345" s="432"/>
      <c r="BQ345" s="21"/>
      <c r="BR345" s="21"/>
      <c r="BS345" s="39"/>
      <c r="BT345" s="39"/>
      <c r="BU345" s="39"/>
      <c r="BV345" s="39"/>
      <c r="BW345" s="39"/>
      <c r="BX345" s="39"/>
      <c r="BY345" s="39"/>
      <c r="BZ345" s="39">
        <v>332</v>
      </c>
      <c r="CA345" s="39" t="str">
        <f t="shared" si="209"/>
        <v/>
      </c>
      <c r="CB345" s="39"/>
      <c r="CC345" s="39"/>
      <c r="CD345" s="39"/>
      <c r="CE345" s="39"/>
      <c r="CF345" s="39"/>
      <c r="CG345" s="39"/>
      <c r="CH345" s="39"/>
      <c r="CI345" s="39"/>
      <c r="CJ345" s="39"/>
      <c r="CK345" s="39"/>
    </row>
    <row r="346" spans="1:89" s="193" customFormat="1">
      <c r="A346" s="195"/>
      <c r="B346" s="21" t="str">
        <f t="shared" si="182"/>
        <v>N/A</v>
      </c>
      <c r="C346" s="21"/>
      <c r="D346" s="432" t="s">
        <v>4054</v>
      </c>
      <c r="E346" s="439" t="s">
        <v>3626</v>
      </c>
      <c r="F346" s="439" t="s">
        <v>4053</v>
      </c>
      <c r="G346" s="273" t="s">
        <v>4052</v>
      </c>
      <c r="H346" s="358"/>
      <c r="I346" s="262" t="s">
        <v>3491</v>
      </c>
      <c r="J346" s="262" t="s">
        <v>4190</v>
      </c>
      <c r="K346" s="263">
        <v>4550000</v>
      </c>
      <c r="L346" s="263">
        <v>0</v>
      </c>
      <c r="M346" s="263">
        <v>0</v>
      </c>
      <c r="N346" s="263">
        <v>0</v>
      </c>
      <c r="O346" s="263">
        <v>0</v>
      </c>
      <c r="P346" s="263">
        <v>0</v>
      </c>
      <c r="Q346" s="263">
        <v>0</v>
      </c>
      <c r="R346" s="263">
        <v>0</v>
      </c>
      <c r="S346" s="263">
        <v>0</v>
      </c>
      <c r="T346" s="263">
        <v>0</v>
      </c>
      <c r="U346" s="263">
        <f t="shared" si="177"/>
        <v>4550000</v>
      </c>
      <c r="V346" s="196" t="str">
        <f t="shared" si="183"/>
        <v>LOS/R</v>
      </c>
      <c r="W346" s="196" t="s">
        <v>1168</v>
      </c>
      <c r="X346" s="196" t="str">
        <f t="shared" si="178"/>
        <v>N</v>
      </c>
      <c r="Y346" s="197">
        <f t="shared" si="184"/>
        <v>4550000</v>
      </c>
      <c r="Z346" s="198"/>
      <c r="AA346" s="197">
        <f t="shared" si="185"/>
        <v>4550000</v>
      </c>
      <c r="AB346" s="196"/>
      <c r="AC346" s="196"/>
      <c r="AD346" s="275">
        <v>0</v>
      </c>
      <c r="AE346" s="275">
        <v>0.4</v>
      </c>
      <c r="AF346" s="275">
        <v>0.6</v>
      </c>
      <c r="AG346" s="442"/>
      <c r="AH346" s="442"/>
      <c r="AI346" s="200">
        <f t="shared" si="186"/>
        <v>0</v>
      </c>
      <c r="AJ346" s="203"/>
      <c r="AK346" s="203"/>
      <c r="AL346" s="197">
        <f t="shared" si="179"/>
        <v>4550000</v>
      </c>
      <c r="AM346" s="197">
        <f t="shared" si="180"/>
        <v>0</v>
      </c>
      <c r="AN346" s="197">
        <f t="shared" si="181"/>
        <v>0</v>
      </c>
      <c r="AO346" s="202"/>
      <c r="AP346" s="161" t="s">
        <v>3900</v>
      </c>
      <c r="AQ346" s="279"/>
      <c r="AR346" s="287">
        <f t="shared" si="187"/>
        <v>0</v>
      </c>
      <c r="AS346" s="287">
        <f t="shared" si="188"/>
        <v>0</v>
      </c>
      <c r="AT346" s="287">
        <f t="shared" si="189"/>
        <v>0</v>
      </c>
      <c r="AU346" s="287">
        <f t="shared" si="190"/>
        <v>0</v>
      </c>
      <c r="AV346" s="287">
        <f t="shared" si="191"/>
        <v>0</v>
      </c>
      <c r="AW346" s="287">
        <f t="shared" si="192"/>
        <v>0</v>
      </c>
      <c r="AX346" s="287">
        <f t="shared" si="193"/>
        <v>0</v>
      </c>
      <c r="AY346" s="287">
        <f t="shared" si="194"/>
        <v>0</v>
      </c>
      <c r="AZ346" s="287">
        <f t="shared" si="195"/>
        <v>0</v>
      </c>
      <c r="BA346" s="287">
        <f t="shared" si="196"/>
        <v>0</v>
      </c>
      <c r="BB346" s="16"/>
      <c r="BC346" s="287">
        <f t="shared" si="197"/>
        <v>0</v>
      </c>
      <c r="BD346" s="287">
        <f t="shared" si="198"/>
        <v>0</v>
      </c>
      <c r="BE346" s="287">
        <f t="shared" si="199"/>
        <v>0</v>
      </c>
      <c r="BF346" s="287">
        <f t="shared" si="200"/>
        <v>0</v>
      </c>
      <c r="BG346" s="287">
        <f t="shared" si="201"/>
        <v>0</v>
      </c>
      <c r="BH346" s="287">
        <f t="shared" si="202"/>
        <v>0</v>
      </c>
      <c r="BI346" s="287">
        <f t="shared" si="203"/>
        <v>0</v>
      </c>
      <c r="BJ346" s="287">
        <f t="shared" si="204"/>
        <v>0</v>
      </c>
      <c r="BK346" s="287">
        <f t="shared" si="205"/>
        <v>0</v>
      </c>
      <c r="BL346" s="287">
        <f t="shared" si="206"/>
        <v>0</v>
      </c>
      <c r="BM346" s="16"/>
      <c r="BN346" s="287">
        <f t="shared" si="207"/>
        <v>0</v>
      </c>
      <c r="BO346" s="287">
        <f t="shared" si="208"/>
        <v>0</v>
      </c>
      <c r="BP346" s="432"/>
      <c r="BQ346" s="21"/>
      <c r="BR346" s="21"/>
      <c r="BS346" s="39"/>
      <c r="BT346" s="39"/>
      <c r="BU346" s="39"/>
      <c r="BV346" s="39"/>
      <c r="BW346" s="39"/>
      <c r="BX346" s="39"/>
      <c r="BY346" s="39"/>
      <c r="BZ346" s="39">
        <v>333</v>
      </c>
      <c r="CA346" s="39" t="str">
        <f t="shared" si="209"/>
        <v/>
      </c>
      <c r="CB346" s="39"/>
      <c r="CC346" s="39"/>
      <c r="CD346" s="39"/>
      <c r="CE346" s="39"/>
      <c r="CF346" s="39"/>
      <c r="CG346" s="39"/>
      <c r="CH346" s="39"/>
      <c r="CI346" s="39"/>
      <c r="CJ346" s="39"/>
      <c r="CK346" s="39"/>
    </row>
    <row r="347" spans="1:89" s="193" customFormat="1">
      <c r="A347" s="195"/>
      <c r="B347" s="21" t="str">
        <f t="shared" si="182"/>
        <v>N/A</v>
      </c>
      <c r="C347" s="21"/>
      <c r="D347" s="432" t="s">
        <v>4063</v>
      </c>
      <c r="E347" s="439" t="s">
        <v>3626</v>
      </c>
      <c r="F347" s="439" t="s">
        <v>4124</v>
      </c>
      <c r="G347" s="273" t="s">
        <v>4125</v>
      </c>
      <c r="H347" s="358"/>
      <c r="I347" s="262" t="s">
        <v>3491</v>
      </c>
      <c r="J347" s="262" t="s">
        <v>3504</v>
      </c>
      <c r="K347" s="263">
        <v>500000</v>
      </c>
      <c r="L347" s="263">
        <v>500000</v>
      </c>
      <c r="M347" s="263">
        <v>1500000</v>
      </c>
      <c r="N347" s="263">
        <v>2000000</v>
      </c>
      <c r="O347" s="263">
        <v>0</v>
      </c>
      <c r="P347" s="263">
        <v>0</v>
      </c>
      <c r="Q347" s="263">
        <v>0</v>
      </c>
      <c r="R347" s="263">
        <v>0</v>
      </c>
      <c r="S347" s="263">
        <v>0</v>
      </c>
      <c r="T347" s="263">
        <v>0</v>
      </c>
      <c r="U347" s="263">
        <f t="shared" si="177"/>
        <v>4500000</v>
      </c>
      <c r="V347" s="196" t="str">
        <f t="shared" si="183"/>
        <v>R</v>
      </c>
      <c r="W347" s="196" t="s">
        <v>1168</v>
      </c>
      <c r="X347" s="196" t="str">
        <f t="shared" si="178"/>
        <v>N</v>
      </c>
      <c r="Y347" s="197">
        <f t="shared" si="184"/>
        <v>4500000</v>
      </c>
      <c r="Z347" s="198"/>
      <c r="AA347" s="197">
        <f t="shared" si="185"/>
        <v>4500000</v>
      </c>
      <c r="AB347" s="196"/>
      <c r="AC347" s="196"/>
      <c r="AD347" s="275">
        <v>0</v>
      </c>
      <c r="AE347" s="275">
        <v>0</v>
      </c>
      <c r="AF347" s="275">
        <v>1</v>
      </c>
      <c r="AG347" s="442"/>
      <c r="AH347" s="442"/>
      <c r="AI347" s="200">
        <f t="shared" si="186"/>
        <v>0</v>
      </c>
      <c r="AJ347" s="203"/>
      <c r="AK347" s="203"/>
      <c r="AL347" s="197">
        <f t="shared" si="179"/>
        <v>4500000</v>
      </c>
      <c r="AM347" s="197">
        <f t="shared" si="180"/>
        <v>0</v>
      </c>
      <c r="AN347" s="197">
        <f t="shared" si="181"/>
        <v>0</v>
      </c>
      <c r="AO347" s="202"/>
      <c r="AP347" s="161" t="s">
        <v>3900</v>
      </c>
      <c r="AQ347" s="279"/>
      <c r="AR347" s="287">
        <f t="shared" si="187"/>
        <v>0</v>
      </c>
      <c r="AS347" s="287">
        <f t="shared" si="188"/>
        <v>0</v>
      </c>
      <c r="AT347" s="287">
        <f t="shared" si="189"/>
        <v>0</v>
      </c>
      <c r="AU347" s="287">
        <f t="shared" si="190"/>
        <v>0</v>
      </c>
      <c r="AV347" s="287">
        <f t="shared" si="191"/>
        <v>0</v>
      </c>
      <c r="AW347" s="287">
        <f t="shared" si="192"/>
        <v>0</v>
      </c>
      <c r="AX347" s="287">
        <f t="shared" si="193"/>
        <v>0</v>
      </c>
      <c r="AY347" s="287">
        <f t="shared" si="194"/>
        <v>0</v>
      </c>
      <c r="AZ347" s="287">
        <f t="shared" si="195"/>
        <v>0</v>
      </c>
      <c r="BA347" s="287">
        <f t="shared" si="196"/>
        <v>0</v>
      </c>
      <c r="BB347" s="16"/>
      <c r="BC347" s="287">
        <f t="shared" si="197"/>
        <v>0</v>
      </c>
      <c r="BD347" s="287">
        <f t="shared" si="198"/>
        <v>0</v>
      </c>
      <c r="BE347" s="287">
        <f t="shared" si="199"/>
        <v>0</v>
      </c>
      <c r="BF347" s="287">
        <f t="shared" si="200"/>
        <v>0</v>
      </c>
      <c r="BG347" s="287">
        <f t="shared" si="201"/>
        <v>0</v>
      </c>
      <c r="BH347" s="287">
        <f t="shared" si="202"/>
        <v>0</v>
      </c>
      <c r="BI347" s="287">
        <f t="shared" si="203"/>
        <v>0</v>
      </c>
      <c r="BJ347" s="287">
        <f t="shared" si="204"/>
        <v>0</v>
      </c>
      <c r="BK347" s="287">
        <f t="shared" si="205"/>
        <v>0</v>
      </c>
      <c r="BL347" s="287">
        <f t="shared" si="206"/>
        <v>0</v>
      </c>
      <c r="BM347" s="16"/>
      <c r="BN347" s="287">
        <f t="shared" si="207"/>
        <v>0</v>
      </c>
      <c r="BO347" s="287">
        <f t="shared" si="208"/>
        <v>0</v>
      </c>
      <c r="BP347" s="432"/>
      <c r="BQ347" s="21"/>
      <c r="BR347" s="21"/>
      <c r="BS347" s="39"/>
      <c r="BT347" s="39"/>
      <c r="BU347" s="39"/>
      <c r="BV347" s="39"/>
      <c r="BW347" s="39"/>
      <c r="BX347" s="39"/>
      <c r="BY347" s="39"/>
      <c r="BZ347" s="39">
        <v>334</v>
      </c>
      <c r="CA347" s="39" t="str">
        <f t="shared" si="209"/>
        <v/>
      </c>
      <c r="CB347" s="39"/>
      <c r="CC347" s="39"/>
      <c r="CD347" s="39"/>
      <c r="CE347" s="39"/>
      <c r="CF347" s="39"/>
      <c r="CG347" s="39"/>
      <c r="CH347" s="39"/>
      <c r="CI347" s="39"/>
      <c r="CJ347" s="39"/>
      <c r="CK347" s="39"/>
    </row>
    <row r="348" spans="1:89" s="193" customFormat="1">
      <c r="A348" s="195"/>
      <c r="B348" s="21" t="str">
        <f t="shared" si="182"/>
        <v>N/A</v>
      </c>
      <c r="C348" s="21"/>
      <c r="D348" s="432" t="s">
        <v>4063</v>
      </c>
      <c r="E348" s="439" t="s">
        <v>3626</v>
      </c>
      <c r="F348" s="439" t="s">
        <v>4064</v>
      </c>
      <c r="G348" s="273" t="s">
        <v>4065</v>
      </c>
      <c r="H348" s="358"/>
      <c r="I348" s="262" t="s">
        <v>3491</v>
      </c>
      <c r="J348" s="262" t="s">
        <v>3504</v>
      </c>
      <c r="K348" s="263">
        <v>5800000</v>
      </c>
      <c r="L348" s="263">
        <v>5800000</v>
      </c>
      <c r="M348" s="263">
        <v>5800000</v>
      </c>
      <c r="N348" s="263">
        <v>0</v>
      </c>
      <c r="O348" s="263">
        <v>0</v>
      </c>
      <c r="P348" s="263">
        <v>0</v>
      </c>
      <c r="Q348" s="263">
        <v>0</v>
      </c>
      <c r="R348" s="263">
        <v>0</v>
      </c>
      <c r="S348" s="263">
        <v>0</v>
      </c>
      <c r="T348" s="263">
        <v>0</v>
      </c>
      <c r="U348" s="263">
        <f t="shared" si="177"/>
        <v>17400000</v>
      </c>
      <c r="V348" s="196" t="str">
        <f t="shared" si="183"/>
        <v>R</v>
      </c>
      <c r="W348" s="196" t="s">
        <v>1168</v>
      </c>
      <c r="X348" s="196" t="str">
        <f t="shared" si="178"/>
        <v>N</v>
      </c>
      <c r="Y348" s="197">
        <f t="shared" si="184"/>
        <v>17400000</v>
      </c>
      <c r="Z348" s="198"/>
      <c r="AA348" s="197">
        <f t="shared" si="185"/>
        <v>17400000</v>
      </c>
      <c r="AB348" s="196"/>
      <c r="AC348" s="196"/>
      <c r="AD348" s="275">
        <v>0</v>
      </c>
      <c r="AE348" s="275">
        <v>0</v>
      </c>
      <c r="AF348" s="275">
        <v>1</v>
      </c>
      <c r="AG348" s="442"/>
      <c r="AH348" s="442"/>
      <c r="AI348" s="200">
        <f t="shared" si="186"/>
        <v>0</v>
      </c>
      <c r="AJ348" s="203"/>
      <c r="AK348" s="203"/>
      <c r="AL348" s="197">
        <f t="shared" si="179"/>
        <v>17400000</v>
      </c>
      <c r="AM348" s="197">
        <f t="shared" si="180"/>
        <v>0</v>
      </c>
      <c r="AN348" s="197">
        <f t="shared" si="181"/>
        <v>0</v>
      </c>
      <c r="AO348" s="202"/>
      <c r="AP348" s="161" t="s">
        <v>3900</v>
      </c>
      <c r="AQ348" s="279"/>
      <c r="AR348" s="287">
        <f t="shared" si="187"/>
        <v>0</v>
      </c>
      <c r="AS348" s="287">
        <f t="shared" si="188"/>
        <v>0</v>
      </c>
      <c r="AT348" s="287">
        <f t="shared" si="189"/>
        <v>0</v>
      </c>
      <c r="AU348" s="287">
        <f t="shared" si="190"/>
        <v>0</v>
      </c>
      <c r="AV348" s="287">
        <f t="shared" si="191"/>
        <v>0</v>
      </c>
      <c r="AW348" s="287">
        <f t="shared" si="192"/>
        <v>0</v>
      </c>
      <c r="AX348" s="287">
        <f t="shared" si="193"/>
        <v>0</v>
      </c>
      <c r="AY348" s="287">
        <f t="shared" si="194"/>
        <v>0</v>
      </c>
      <c r="AZ348" s="287">
        <f t="shared" si="195"/>
        <v>0</v>
      </c>
      <c r="BA348" s="287">
        <f t="shared" si="196"/>
        <v>0</v>
      </c>
      <c r="BB348" s="16"/>
      <c r="BC348" s="287">
        <f t="shared" si="197"/>
        <v>0</v>
      </c>
      <c r="BD348" s="287">
        <f t="shared" si="198"/>
        <v>0</v>
      </c>
      <c r="BE348" s="287">
        <f t="shared" si="199"/>
        <v>0</v>
      </c>
      <c r="BF348" s="287">
        <f t="shared" si="200"/>
        <v>0</v>
      </c>
      <c r="BG348" s="287">
        <f t="shared" si="201"/>
        <v>0</v>
      </c>
      <c r="BH348" s="287">
        <f t="shared" si="202"/>
        <v>0</v>
      </c>
      <c r="BI348" s="287">
        <f t="shared" si="203"/>
        <v>0</v>
      </c>
      <c r="BJ348" s="287">
        <f t="shared" si="204"/>
        <v>0</v>
      </c>
      <c r="BK348" s="287">
        <f t="shared" si="205"/>
        <v>0</v>
      </c>
      <c r="BL348" s="287">
        <f t="shared" si="206"/>
        <v>0</v>
      </c>
      <c r="BM348" s="16"/>
      <c r="BN348" s="287">
        <f t="shared" si="207"/>
        <v>0</v>
      </c>
      <c r="BO348" s="287">
        <f t="shared" si="208"/>
        <v>0</v>
      </c>
      <c r="BP348" s="432"/>
      <c r="BQ348" s="21"/>
      <c r="BR348" s="21"/>
      <c r="BS348" s="39"/>
      <c r="BT348" s="39"/>
      <c r="BU348" s="39"/>
      <c r="BV348" s="39"/>
      <c r="BW348" s="39"/>
      <c r="BX348" s="39"/>
      <c r="BY348" s="39"/>
      <c r="BZ348" s="39">
        <v>335</v>
      </c>
      <c r="CA348" s="39" t="str">
        <f t="shared" si="209"/>
        <v/>
      </c>
      <c r="CB348" s="39"/>
      <c r="CC348" s="39"/>
      <c r="CD348" s="39"/>
      <c r="CE348" s="39"/>
      <c r="CF348" s="39"/>
      <c r="CG348" s="39"/>
      <c r="CH348" s="39"/>
      <c r="CI348" s="39"/>
      <c r="CJ348" s="39"/>
      <c r="CK348" s="39"/>
    </row>
    <row r="349" spans="1:89" s="193" customFormat="1">
      <c r="A349" s="195"/>
      <c r="B349" s="21" t="str">
        <f t="shared" si="182"/>
        <v>N/A</v>
      </c>
      <c r="C349" s="21"/>
      <c r="D349" s="432" t="s">
        <v>3972</v>
      </c>
      <c r="E349" s="439" t="s">
        <v>3626</v>
      </c>
      <c r="F349" s="439" t="s">
        <v>3971</v>
      </c>
      <c r="G349" s="273" t="s">
        <v>3970</v>
      </c>
      <c r="H349" s="358"/>
      <c r="I349" s="262" t="s">
        <v>3491</v>
      </c>
      <c r="J349" s="262" t="s">
        <v>4190</v>
      </c>
      <c r="K349" s="263">
        <v>60000</v>
      </c>
      <c r="L349" s="263">
        <v>500000</v>
      </c>
      <c r="M349" s="263">
        <v>4060000</v>
      </c>
      <c r="N349" s="263">
        <v>1500000</v>
      </c>
      <c r="O349" s="263">
        <v>0</v>
      </c>
      <c r="P349" s="263">
        <v>0</v>
      </c>
      <c r="Q349" s="263">
        <v>0</v>
      </c>
      <c r="R349" s="263">
        <v>0</v>
      </c>
      <c r="S349" s="263">
        <v>0</v>
      </c>
      <c r="T349" s="263">
        <v>0</v>
      </c>
      <c r="U349" s="263">
        <f t="shared" ref="U349:U412" si="210">SUM(K349:T349)</f>
        <v>6120000</v>
      </c>
      <c r="V349" s="196" t="str">
        <f t="shared" si="183"/>
        <v>LOS/R</v>
      </c>
      <c r="W349" s="196" t="s">
        <v>1168</v>
      </c>
      <c r="X349" s="196" t="str">
        <f t="shared" si="178"/>
        <v>N</v>
      </c>
      <c r="Y349" s="197">
        <f t="shared" si="184"/>
        <v>6120000</v>
      </c>
      <c r="Z349" s="198"/>
      <c r="AA349" s="197">
        <f t="shared" si="185"/>
        <v>6120000</v>
      </c>
      <c r="AB349" s="196"/>
      <c r="AC349" s="196"/>
      <c r="AD349" s="275">
        <v>0</v>
      </c>
      <c r="AE349" s="275">
        <v>0.5</v>
      </c>
      <c r="AF349" s="275">
        <v>0.5</v>
      </c>
      <c r="AG349" s="442"/>
      <c r="AH349" s="442"/>
      <c r="AI349" s="200">
        <f t="shared" si="186"/>
        <v>0</v>
      </c>
      <c r="AJ349" s="203"/>
      <c r="AK349" s="203"/>
      <c r="AL349" s="197">
        <f t="shared" si="179"/>
        <v>6120000</v>
      </c>
      <c r="AM349" s="197">
        <f t="shared" si="180"/>
        <v>0</v>
      </c>
      <c r="AN349" s="197">
        <f t="shared" si="181"/>
        <v>0</v>
      </c>
      <c r="AO349" s="202"/>
      <c r="AP349" s="161" t="s">
        <v>3900</v>
      </c>
      <c r="AQ349" s="279"/>
      <c r="AR349" s="287">
        <f t="shared" si="187"/>
        <v>0</v>
      </c>
      <c r="AS349" s="287">
        <f t="shared" si="188"/>
        <v>0</v>
      </c>
      <c r="AT349" s="287">
        <f t="shared" si="189"/>
        <v>0</v>
      </c>
      <c r="AU349" s="287">
        <f t="shared" si="190"/>
        <v>0</v>
      </c>
      <c r="AV349" s="287">
        <f t="shared" si="191"/>
        <v>0</v>
      </c>
      <c r="AW349" s="287">
        <f t="shared" si="192"/>
        <v>0</v>
      </c>
      <c r="AX349" s="287">
        <f t="shared" si="193"/>
        <v>0</v>
      </c>
      <c r="AY349" s="287">
        <f t="shared" si="194"/>
        <v>0</v>
      </c>
      <c r="AZ349" s="287">
        <f t="shared" si="195"/>
        <v>0</v>
      </c>
      <c r="BA349" s="287">
        <f t="shared" si="196"/>
        <v>0</v>
      </c>
      <c r="BB349" s="16"/>
      <c r="BC349" s="287">
        <f t="shared" si="197"/>
        <v>0</v>
      </c>
      <c r="BD349" s="287">
        <f t="shared" si="198"/>
        <v>0</v>
      </c>
      <c r="BE349" s="287">
        <f t="shared" si="199"/>
        <v>0</v>
      </c>
      <c r="BF349" s="287">
        <f t="shared" si="200"/>
        <v>0</v>
      </c>
      <c r="BG349" s="287">
        <f t="shared" si="201"/>
        <v>0</v>
      </c>
      <c r="BH349" s="287">
        <f t="shared" si="202"/>
        <v>0</v>
      </c>
      <c r="BI349" s="287">
        <f t="shared" si="203"/>
        <v>0</v>
      </c>
      <c r="BJ349" s="287">
        <f t="shared" si="204"/>
        <v>0</v>
      </c>
      <c r="BK349" s="287">
        <f t="shared" si="205"/>
        <v>0</v>
      </c>
      <c r="BL349" s="287">
        <f t="shared" si="206"/>
        <v>0</v>
      </c>
      <c r="BM349" s="16"/>
      <c r="BN349" s="287">
        <f t="shared" si="207"/>
        <v>0</v>
      </c>
      <c r="BO349" s="287">
        <f t="shared" si="208"/>
        <v>0</v>
      </c>
      <c r="BP349" s="432"/>
      <c r="BQ349" s="21"/>
      <c r="BR349" s="21"/>
      <c r="BS349" s="39"/>
      <c r="BT349" s="39"/>
      <c r="BU349" s="39"/>
      <c r="BV349" s="39"/>
      <c r="BW349" s="39"/>
      <c r="BX349" s="39"/>
      <c r="BY349" s="39"/>
      <c r="BZ349" s="39">
        <v>336</v>
      </c>
      <c r="CA349" s="39" t="str">
        <f t="shared" si="209"/>
        <v/>
      </c>
      <c r="CB349" s="39"/>
      <c r="CC349" s="39"/>
      <c r="CD349" s="39"/>
      <c r="CE349" s="39"/>
      <c r="CF349" s="39"/>
      <c r="CG349" s="39"/>
      <c r="CH349" s="39"/>
      <c r="CI349" s="39"/>
      <c r="CJ349" s="39"/>
      <c r="CK349" s="39"/>
    </row>
    <row r="350" spans="1:89" s="193" customFormat="1">
      <c r="A350" s="195"/>
      <c r="B350" s="21" t="str">
        <f t="shared" si="182"/>
        <v>N/A</v>
      </c>
      <c r="C350" s="21"/>
      <c r="D350" s="432" t="s">
        <v>3972</v>
      </c>
      <c r="E350" s="439" t="s">
        <v>3626</v>
      </c>
      <c r="F350" s="439" t="s">
        <v>4066</v>
      </c>
      <c r="G350" s="273" t="s">
        <v>4067</v>
      </c>
      <c r="H350" s="358"/>
      <c r="I350" s="262" t="s">
        <v>3491</v>
      </c>
      <c r="J350" s="262" t="s">
        <v>3504</v>
      </c>
      <c r="K350" s="263">
        <v>1500000</v>
      </c>
      <c r="L350" s="263">
        <v>1500000</v>
      </c>
      <c r="M350" s="263">
        <v>1500000</v>
      </c>
      <c r="N350" s="263">
        <v>0</v>
      </c>
      <c r="O350" s="263">
        <v>0</v>
      </c>
      <c r="P350" s="263">
        <v>0</v>
      </c>
      <c r="Q350" s="263">
        <v>0</v>
      </c>
      <c r="R350" s="263">
        <v>0</v>
      </c>
      <c r="S350" s="263">
        <v>0</v>
      </c>
      <c r="T350" s="263">
        <v>0</v>
      </c>
      <c r="U350" s="263">
        <f t="shared" si="210"/>
        <v>4500000</v>
      </c>
      <c r="V350" s="196" t="str">
        <f t="shared" si="183"/>
        <v>R</v>
      </c>
      <c r="W350" s="196" t="s">
        <v>1168</v>
      </c>
      <c r="X350" s="196" t="str">
        <f t="shared" si="178"/>
        <v>N</v>
      </c>
      <c r="Y350" s="197">
        <f t="shared" si="184"/>
        <v>4500000</v>
      </c>
      <c r="Z350" s="198"/>
      <c r="AA350" s="197">
        <f t="shared" si="185"/>
        <v>4500000</v>
      </c>
      <c r="AB350" s="196"/>
      <c r="AC350" s="196"/>
      <c r="AD350" s="275">
        <v>0</v>
      </c>
      <c r="AE350" s="275">
        <v>0</v>
      </c>
      <c r="AF350" s="275">
        <v>1</v>
      </c>
      <c r="AG350" s="442"/>
      <c r="AH350" s="442"/>
      <c r="AI350" s="200">
        <f t="shared" si="186"/>
        <v>0</v>
      </c>
      <c r="AJ350" s="203"/>
      <c r="AK350" s="203"/>
      <c r="AL350" s="197">
        <f t="shared" si="179"/>
        <v>4500000</v>
      </c>
      <c r="AM350" s="197">
        <f t="shared" si="180"/>
        <v>0</v>
      </c>
      <c r="AN350" s="197">
        <f t="shared" si="181"/>
        <v>0</v>
      </c>
      <c r="AO350" s="202"/>
      <c r="AP350" s="161" t="s">
        <v>3900</v>
      </c>
      <c r="AQ350" s="279"/>
      <c r="AR350" s="287">
        <f t="shared" si="187"/>
        <v>0</v>
      </c>
      <c r="AS350" s="287">
        <f t="shared" si="188"/>
        <v>0</v>
      </c>
      <c r="AT350" s="287">
        <f t="shared" si="189"/>
        <v>0</v>
      </c>
      <c r="AU350" s="287">
        <f t="shared" si="190"/>
        <v>0</v>
      </c>
      <c r="AV350" s="287">
        <f t="shared" si="191"/>
        <v>0</v>
      </c>
      <c r="AW350" s="287">
        <f t="shared" si="192"/>
        <v>0</v>
      </c>
      <c r="AX350" s="287">
        <f t="shared" si="193"/>
        <v>0</v>
      </c>
      <c r="AY350" s="287">
        <f t="shared" si="194"/>
        <v>0</v>
      </c>
      <c r="AZ350" s="287">
        <f t="shared" si="195"/>
        <v>0</v>
      </c>
      <c r="BA350" s="287">
        <f t="shared" si="196"/>
        <v>0</v>
      </c>
      <c r="BB350" s="16"/>
      <c r="BC350" s="287">
        <f t="shared" si="197"/>
        <v>0</v>
      </c>
      <c r="BD350" s="287">
        <f t="shared" si="198"/>
        <v>0</v>
      </c>
      <c r="BE350" s="287">
        <f t="shared" si="199"/>
        <v>0</v>
      </c>
      <c r="BF350" s="287">
        <f t="shared" si="200"/>
        <v>0</v>
      </c>
      <c r="BG350" s="287">
        <f t="shared" si="201"/>
        <v>0</v>
      </c>
      <c r="BH350" s="287">
        <f t="shared" si="202"/>
        <v>0</v>
      </c>
      <c r="BI350" s="287">
        <f t="shared" si="203"/>
        <v>0</v>
      </c>
      <c r="BJ350" s="287">
        <f t="shared" si="204"/>
        <v>0</v>
      </c>
      <c r="BK350" s="287">
        <f t="shared" si="205"/>
        <v>0</v>
      </c>
      <c r="BL350" s="287">
        <f t="shared" si="206"/>
        <v>0</v>
      </c>
      <c r="BM350" s="16"/>
      <c r="BN350" s="287">
        <f t="shared" si="207"/>
        <v>0</v>
      </c>
      <c r="BO350" s="287">
        <f t="shared" si="208"/>
        <v>0</v>
      </c>
      <c r="BP350" s="432"/>
      <c r="BQ350" s="21"/>
      <c r="BR350" s="21"/>
      <c r="BS350" s="39"/>
      <c r="BT350" s="39"/>
      <c r="BU350" s="39"/>
      <c r="BV350" s="39"/>
      <c r="BW350" s="39"/>
      <c r="BX350" s="39"/>
      <c r="BY350" s="39"/>
      <c r="BZ350" s="39">
        <v>337</v>
      </c>
      <c r="CA350" s="39" t="str">
        <f t="shared" si="209"/>
        <v/>
      </c>
      <c r="CB350" s="39"/>
      <c r="CC350" s="39"/>
      <c r="CD350" s="39"/>
      <c r="CE350" s="39"/>
      <c r="CF350" s="39"/>
      <c r="CG350" s="39"/>
      <c r="CH350" s="39"/>
      <c r="CI350" s="39"/>
      <c r="CJ350" s="39"/>
      <c r="CK350" s="39"/>
    </row>
    <row r="351" spans="1:89" s="193" customFormat="1">
      <c r="A351" s="195"/>
      <c r="B351" s="21" t="str">
        <f t="shared" si="182"/>
        <v>N/A</v>
      </c>
      <c r="C351" s="21"/>
      <c r="D351" s="432" t="s">
        <v>3975</v>
      </c>
      <c r="E351" s="439" t="s">
        <v>3626</v>
      </c>
      <c r="F351" s="439" t="s">
        <v>3987</v>
      </c>
      <c r="G351" s="273" t="s">
        <v>3986</v>
      </c>
      <c r="H351" s="358"/>
      <c r="I351" s="262" t="s">
        <v>3491</v>
      </c>
      <c r="J351" s="262" t="s">
        <v>3504</v>
      </c>
      <c r="K351" s="263">
        <v>144344</v>
      </c>
      <c r="L351" s="263">
        <v>1005563</v>
      </c>
      <c r="M351" s="263">
        <v>0</v>
      </c>
      <c r="N351" s="263">
        <v>0</v>
      </c>
      <c r="O351" s="263">
        <v>0</v>
      </c>
      <c r="P351" s="263">
        <v>0</v>
      </c>
      <c r="Q351" s="263">
        <v>0</v>
      </c>
      <c r="R351" s="263">
        <v>0</v>
      </c>
      <c r="S351" s="263">
        <v>0</v>
      </c>
      <c r="T351" s="263">
        <v>0</v>
      </c>
      <c r="U351" s="263">
        <f t="shared" si="210"/>
        <v>1149907</v>
      </c>
      <c r="V351" s="196" t="str">
        <f t="shared" si="183"/>
        <v>LOS/R</v>
      </c>
      <c r="W351" s="196" t="s">
        <v>1168</v>
      </c>
      <c r="X351" s="196" t="str">
        <f t="shared" si="178"/>
        <v>N</v>
      </c>
      <c r="Y351" s="197">
        <f t="shared" si="184"/>
        <v>1149907</v>
      </c>
      <c r="Z351" s="198"/>
      <c r="AA351" s="197">
        <f t="shared" si="185"/>
        <v>1149907</v>
      </c>
      <c r="AB351" s="196"/>
      <c r="AC351" s="196"/>
      <c r="AD351" s="275">
        <v>0</v>
      </c>
      <c r="AE351" s="275">
        <v>0.6</v>
      </c>
      <c r="AF351" s="275">
        <v>0.4</v>
      </c>
      <c r="AG351" s="442"/>
      <c r="AH351" s="442"/>
      <c r="AI351" s="200">
        <f t="shared" si="186"/>
        <v>0</v>
      </c>
      <c r="AJ351" s="203"/>
      <c r="AK351" s="203"/>
      <c r="AL351" s="197">
        <f t="shared" si="179"/>
        <v>1149907</v>
      </c>
      <c r="AM351" s="197">
        <f t="shared" si="180"/>
        <v>0</v>
      </c>
      <c r="AN351" s="197">
        <f t="shared" si="181"/>
        <v>0</v>
      </c>
      <c r="AO351" s="202"/>
      <c r="AP351" s="161" t="s">
        <v>3900</v>
      </c>
      <c r="AQ351" s="279"/>
      <c r="AR351" s="287">
        <f t="shared" si="187"/>
        <v>0</v>
      </c>
      <c r="AS351" s="287">
        <f t="shared" si="188"/>
        <v>0</v>
      </c>
      <c r="AT351" s="287">
        <f t="shared" si="189"/>
        <v>0</v>
      </c>
      <c r="AU351" s="287">
        <f t="shared" si="190"/>
        <v>0</v>
      </c>
      <c r="AV351" s="287">
        <f t="shared" si="191"/>
        <v>0</v>
      </c>
      <c r="AW351" s="287">
        <f t="shared" si="192"/>
        <v>0</v>
      </c>
      <c r="AX351" s="287">
        <f t="shared" si="193"/>
        <v>0</v>
      </c>
      <c r="AY351" s="287">
        <f t="shared" si="194"/>
        <v>0</v>
      </c>
      <c r="AZ351" s="287">
        <f t="shared" si="195"/>
        <v>0</v>
      </c>
      <c r="BA351" s="287">
        <f t="shared" si="196"/>
        <v>0</v>
      </c>
      <c r="BB351" s="16"/>
      <c r="BC351" s="287">
        <f t="shared" si="197"/>
        <v>0</v>
      </c>
      <c r="BD351" s="287">
        <f t="shared" si="198"/>
        <v>0</v>
      </c>
      <c r="BE351" s="287">
        <f t="shared" si="199"/>
        <v>0</v>
      </c>
      <c r="BF351" s="287">
        <f t="shared" si="200"/>
        <v>0</v>
      </c>
      <c r="BG351" s="287">
        <f t="shared" si="201"/>
        <v>0</v>
      </c>
      <c r="BH351" s="287">
        <f t="shared" si="202"/>
        <v>0</v>
      </c>
      <c r="BI351" s="287">
        <f t="shared" si="203"/>
        <v>0</v>
      </c>
      <c r="BJ351" s="287">
        <f t="shared" si="204"/>
        <v>0</v>
      </c>
      <c r="BK351" s="287">
        <f t="shared" si="205"/>
        <v>0</v>
      </c>
      <c r="BL351" s="287">
        <f t="shared" si="206"/>
        <v>0</v>
      </c>
      <c r="BM351" s="16"/>
      <c r="BN351" s="287">
        <f t="shared" si="207"/>
        <v>0</v>
      </c>
      <c r="BO351" s="287">
        <f t="shared" si="208"/>
        <v>0</v>
      </c>
      <c r="BP351" s="432"/>
      <c r="BQ351" s="21"/>
      <c r="BR351" s="21"/>
      <c r="BS351" s="39"/>
      <c r="BT351" s="39"/>
      <c r="BU351" s="39"/>
      <c r="BV351" s="39"/>
      <c r="BW351" s="39"/>
      <c r="BX351" s="39"/>
      <c r="BY351" s="39"/>
      <c r="BZ351" s="39">
        <v>338</v>
      </c>
      <c r="CA351" s="39" t="str">
        <f t="shared" si="209"/>
        <v/>
      </c>
      <c r="CB351" s="39"/>
      <c r="CC351" s="39"/>
      <c r="CD351" s="39"/>
      <c r="CE351" s="39"/>
      <c r="CF351" s="39"/>
      <c r="CG351" s="39"/>
      <c r="CH351" s="39"/>
      <c r="CI351" s="39"/>
      <c r="CJ351" s="39"/>
      <c r="CK351" s="39"/>
    </row>
    <row r="352" spans="1:89" s="193" customFormat="1">
      <c r="A352" s="195"/>
      <c r="B352" s="21" t="str">
        <f t="shared" si="182"/>
        <v>N/A</v>
      </c>
      <c r="C352" s="21"/>
      <c r="D352" s="432" t="s">
        <v>4172</v>
      </c>
      <c r="E352" s="439" t="s">
        <v>3626</v>
      </c>
      <c r="F352" s="439" t="s">
        <v>4173</v>
      </c>
      <c r="G352" s="273" t="s">
        <v>4174</v>
      </c>
      <c r="H352" s="358"/>
      <c r="I352" s="262" t="s">
        <v>3491</v>
      </c>
      <c r="J352" s="262" t="s">
        <v>4199</v>
      </c>
      <c r="K352" s="263">
        <v>90000</v>
      </c>
      <c r="L352" s="263">
        <v>490000</v>
      </c>
      <c r="M352" s="263">
        <v>0</v>
      </c>
      <c r="N352" s="263">
        <v>0</v>
      </c>
      <c r="O352" s="263">
        <v>0</v>
      </c>
      <c r="P352" s="263">
        <v>0</v>
      </c>
      <c r="Q352" s="263">
        <v>0</v>
      </c>
      <c r="R352" s="263">
        <v>0</v>
      </c>
      <c r="S352" s="263">
        <v>0</v>
      </c>
      <c r="T352" s="263">
        <v>0</v>
      </c>
      <c r="U352" s="263">
        <f t="shared" si="210"/>
        <v>580000</v>
      </c>
      <c r="V352" s="196" t="str">
        <f t="shared" si="183"/>
        <v>CHECK</v>
      </c>
      <c r="W352" s="196" t="s">
        <v>1168</v>
      </c>
      <c r="X352" s="196" t="str">
        <f t="shared" si="178"/>
        <v>N</v>
      </c>
      <c r="Y352" s="197">
        <f t="shared" si="184"/>
        <v>580000</v>
      </c>
      <c r="Z352" s="198"/>
      <c r="AA352" s="197">
        <f t="shared" si="185"/>
        <v>580000</v>
      </c>
      <c r="AB352" s="196" t="s">
        <v>1168</v>
      </c>
      <c r="AC352" s="196"/>
      <c r="AD352" s="275"/>
      <c r="AE352" s="275"/>
      <c r="AF352" s="275"/>
      <c r="AG352" s="442"/>
      <c r="AH352" s="442"/>
      <c r="AI352" s="200">
        <f t="shared" si="186"/>
        <v>0</v>
      </c>
      <c r="AJ352" s="203"/>
      <c r="AK352" s="203"/>
      <c r="AL352" s="197">
        <f t="shared" si="179"/>
        <v>580000</v>
      </c>
      <c r="AM352" s="197">
        <f t="shared" si="180"/>
        <v>0</v>
      </c>
      <c r="AN352" s="197">
        <f t="shared" si="181"/>
        <v>0</v>
      </c>
      <c r="AO352" s="202"/>
      <c r="AP352" s="161" t="s">
        <v>3900</v>
      </c>
      <c r="AQ352" s="279"/>
      <c r="AR352" s="287">
        <f t="shared" si="187"/>
        <v>0</v>
      </c>
      <c r="AS352" s="287">
        <f t="shared" si="188"/>
        <v>0</v>
      </c>
      <c r="AT352" s="287">
        <f t="shared" si="189"/>
        <v>0</v>
      </c>
      <c r="AU352" s="287">
        <f t="shared" si="190"/>
        <v>0</v>
      </c>
      <c r="AV352" s="287">
        <f t="shared" si="191"/>
        <v>0</v>
      </c>
      <c r="AW352" s="287">
        <f t="shared" si="192"/>
        <v>0</v>
      </c>
      <c r="AX352" s="287">
        <f t="shared" si="193"/>
        <v>0</v>
      </c>
      <c r="AY352" s="287">
        <f t="shared" si="194"/>
        <v>0</v>
      </c>
      <c r="AZ352" s="287">
        <f t="shared" si="195"/>
        <v>0</v>
      </c>
      <c r="BA352" s="287">
        <f t="shared" si="196"/>
        <v>0</v>
      </c>
      <c r="BB352" s="16"/>
      <c r="BC352" s="287">
        <f t="shared" si="197"/>
        <v>0</v>
      </c>
      <c r="BD352" s="287">
        <f t="shared" si="198"/>
        <v>0</v>
      </c>
      <c r="BE352" s="287">
        <f t="shared" si="199"/>
        <v>0</v>
      </c>
      <c r="BF352" s="287">
        <f t="shared" si="200"/>
        <v>0</v>
      </c>
      <c r="BG352" s="287">
        <f t="shared" si="201"/>
        <v>0</v>
      </c>
      <c r="BH352" s="287">
        <f t="shared" si="202"/>
        <v>0</v>
      </c>
      <c r="BI352" s="287">
        <f t="shared" si="203"/>
        <v>0</v>
      </c>
      <c r="BJ352" s="287">
        <f t="shared" si="204"/>
        <v>0</v>
      </c>
      <c r="BK352" s="287">
        <f t="shared" si="205"/>
        <v>0</v>
      </c>
      <c r="BL352" s="287">
        <f t="shared" si="206"/>
        <v>0</v>
      </c>
      <c r="BM352" s="16"/>
      <c r="BN352" s="287">
        <f t="shared" si="207"/>
        <v>0</v>
      </c>
      <c r="BO352" s="287">
        <f t="shared" si="208"/>
        <v>0</v>
      </c>
      <c r="BP352" s="432"/>
      <c r="BQ352" s="21"/>
      <c r="BR352" s="21"/>
      <c r="BS352" s="39"/>
      <c r="BT352" s="334">
        <f>+BN352+BO352</f>
        <v>0</v>
      </c>
      <c r="BU352" s="334">
        <f>+AM352</f>
        <v>0</v>
      </c>
      <c r="BV352" s="334">
        <f>+AN352</f>
        <v>0</v>
      </c>
      <c r="BW352" s="334">
        <f>+BT352-BU352-BV352</f>
        <v>0</v>
      </c>
      <c r="BX352" s="39"/>
      <c r="BY352" s="39"/>
      <c r="BZ352" s="39">
        <v>339</v>
      </c>
      <c r="CA352" s="39" t="str">
        <f t="shared" si="209"/>
        <v/>
      </c>
      <c r="CB352" s="39"/>
      <c r="CC352" s="39"/>
      <c r="CD352" s="39"/>
      <c r="CE352" s="39"/>
      <c r="CF352" s="39"/>
      <c r="CG352" s="39"/>
      <c r="CH352" s="39"/>
      <c r="CI352" s="39"/>
      <c r="CJ352" s="39"/>
      <c r="CK352" s="39"/>
    </row>
    <row r="353" spans="1:89" s="193" customFormat="1">
      <c r="A353" s="195"/>
      <c r="B353" s="21" t="str">
        <f t="shared" si="182"/>
        <v>N/A</v>
      </c>
      <c r="C353" s="21"/>
      <c r="D353" s="432" t="s">
        <v>4034</v>
      </c>
      <c r="E353" s="439" t="s">
        <v>3626</v>
      </c>
      <c r="F353" s="439" t="s">
        <v>4109</v>
      </c>
      <c r="G353" s="273" t="s">
        <v>4110</v>
      </c>
      <c r="H353" s="358"/>
      <c r="I353" s="262" t="s">
        <v>3491</v>
      </c>
      <c r="J353" s="262" t="s">
        <v>4200</v>
      </c>
      <c r="K353" s="263">
        <v>50000</v>
      </c>
      <c r="L353" s="263">
        <v>200000</v>
      </c>
      <c r="M353" s="263">
        <v>1473550</v>
      </c>
      <c r="N353" s="263">
        <v>0</v>
      </c>
      <c r="O353" s="263">
        <v>0</v>
      </c>
      <c r="P353" s="263">
        <v>0</v>
      </c>
      <c r="Q353" s="263">
        <v>0</v>
      </c>
      <c r="R353" s="263">
        <v>0</v>
      </c>
      <c r="S353" s="263">
        <v>0</v>
      </c>
      <c r="T353" s="263">
        <v>0</v>
      </c>
      <c r="U353" s="263">
        <f t="shared" si="210"/>
        <v>1723550</v>
      </c>
      <c r="V353" s="196" t="str">
        <f t="shared" si="183"/>
        <v>LOS/R</v>
      </c>
      <c r="W353" s="196" t="s">
        <v>1168</v>
      </c>
      <c r="X353" s="196" t="str">
        <f t="shared" si="178"/>
        <v>N</v>
      </c>
      <c r="Y353" s="197">
        <f t="shared" si="184"/>
        <v>1723550</v>
      </c>
      <c r="Z353" s="198"/>
      <c r="AA353" s="197">
        <f t="shared" si="185"/>
        <v>1723550</v>
      </c>
      <c r="AB353" s="196"/>
      <c r="AC353" s="196"/>
      <c r="AD353" s="275">
        <v>0</v>
      </c>
      <c r="AE353" s="275">
        <v>0.95000000000000007</v>
      </c>
      <c r="AF353" s="275">
        <v>0.05</v>
      </c>
      <c r="AG353" s="442"/>
      <c r="AH353" s="442"/>
      <c r="AI353" s="200">
        <f t="shared" si="186"/>
        <v>0</v>
      </c>
      <c r="AJ353" s="203"/>
      <c r="AK353" s="203"/>
      <c r="AL353" s="197">
        <f t="shared" si="179"/>
        <v>1723550</v>
      </c>
      <c r="AM353" s="197">
        <f t="shared" si="180"/>
        <v>0</v>
      </c>
      <c r="AN353" s="197">
        <f t="shared" si="181"/>
        <v>0</v>
      </c>
      <c r="AO353" s="202"/>
      <c r="AP353" s="161" t="s">
        <v>3900</v>
      </c>
      <c r="AQ353" s="279"/>
      <c r="AR353" s="287">
        <f t="shared" si="187"/>
        <v>0</v>
      </c>
      <c r="AS353" s="287">
        <f t="shared" si="188"/>
        <v>0</v>
      </c>
      <c r="AT353" s="287">
        <f t="shared" si="189"/>
        <v>0</v>
      </c>
      <c r="AU353" s="287">
        <f t="shared" si="190"/>
        <v>0</v>
      </c>
      <c r="AV353" s="287">
        <f t="shared" si="191"/>
        <v>0</v>
      </c>
      <c r="AW353" s="287">
        <f t="shared" si="192"/>
        <v>0</v>
      </c>
      <c r="AX353" s="287">
        <f t="shared" si="193"/>
        <v>0</v>
      </c>
      <c r="AY353" s="287">
        <f t="shared" si="194"/>
        <v>0</v>
      </c>
      <c r="AZ353" s="287">
        <f t="shared" si="195"/>
        <v>0</v>
      </c>
      <c r="BA353" s="287">
        <f t="shared" si="196"/>
        <v>0</v>
      </c>
      <c r="BB353" s="16"/>
      <c r="BC353" s="287">
        <f t="shared" si="197"/>
        <v>0</v>
      </c>
      <c r="BD353" s="287">
        <f t="shared" si="198"/>
        <v>0</v>
      </c>
      <c r="BE353" s="287">
        <f t="shared" si="199"/>
        <v>0</v>
      </c>
      <c r="BF353" s="287">
        <f t="shared" si="200"/>
        <v>0</v>
      </c>
      <c r="BG353" s="287">
        <f t="shared" si="201"/>
        <v>0</v>
      </c>
      <c r="BH353" s="287">
        <f t="shared" si="202"/>
        <v>0</v>
      </c>
      <c r="BI353" s="287">
        <f t="shared" si="203"/>
        <v>0</v>
      </c>
      <c r="BJ353" s="287">
        <f t="shared" si="204"/>
        <v>0</v>
      </c>
      <c r="BK353" s="287">
        <f t="shared" si="205"/>
        <v>0</v>
      </c>
      <c r="BL353" s="287">
        <f t="shared" si="206"/>
        <v>0</v>
      </c>
      <c r="BM353" s="16"/>
      <c r="BN353" s="287">
        <f t="shared" si="207"/>
        <v>0</v>
      </c>
      <c r="BO353" s="287">
        <f t="shared" si="208"/>
        <v>0</v>
      </c>
      <c r="BP353" s="432"/>
      <c r="BQ353" s="21"/>
      <c r="BR353" s="21"/>
      <c r="BS353" s="39"/>
      <c r="BT353" s="39"/>
      <c r="BU353" s="39"/>
      <c r="BV353" s="39"/>
      <c r="BW353" s="39"/>
      <c r="BX353" s="39"/>
      <c r="BY353" s="39"/>
      <c r="BZ353" s="39">
        <v>340</v>
      </c>
      <c r="CA353" s="39" t="str">
        <f t="shared" si="209"/>
        <v/>
      </c>
      <c r="CB353" s="39"/>
      <c r="CC353" s="39"/>
      <c r="CD353" s="39"/>
      <c r="CE353" s="39"/>
      <c r="CF353" s="39"/>
      <c r="CG353" s="39"/>
      <c r="CH353" s="39"/>
      <c r="CI353" s="39"/>
      <c r="CJ353" s="39"/>
      <c r="CK353" s="39"/>
    </row>
    <row r="354" spans="1:89" s="193" customFormat="1">
      <c r="A354" s="195"/>
      <c r="B354" s="21" t="str">
        <f t="shared" si="182"/>
        <v>N/A</v>
      </c>
      <c r="C354" s="21"/>
      <c r="D354" s="432" t="s">
        <v>4034</v>
      </c>
      <c r="E354" s="439" t="s">
        <v>3626</v>
      </c>
      <c r="F354" s="439" t="s">
        <v>4051</v>
      </c>
      <c r="G354" s="273" t="s">
        <v>4050</v>
      </c>
      <c r="H354" s="358"/>
      <c r="I354" s="262" t="s">
        <v>3491</v>
      </c>
      <c r="J354" s="262" t="s">
        <v>4200</v>
      </c>
      <c r="K354" s="263">
        <v>20000</v>
      </c>
      <c r="L354" s="263">
        <v>0</v>
      </c>
      <c r="M354" s="263">
        <v>0</v>
      </c>
      <c r="N354" s="263">
        <v>0</v>
      </c>
      <c r="O354" s="263">
        <v>0</v>
      </c>
      <c r="P354" s="263">
        <v>0</v>
      </c>
      <c r="Q354" s="263">
        <v>0</v>
      </c>
      <c r="R354" s="263">
        <v>0</v>
      </c>
      <c r="S354" s="263">
        <v>0</v>
      </c>
      <c r="T354" s="263">
        <v>0</v>
      </c>
      <c r="U354" s="263">
        <f t="shared" si="210"/>
        <v>20000</v>
      </c>
      <c r="V354" s="196" t="str">
        <f t="shared" si="183"/>
        <v>CHECK</v>
      </c>
      <c r="W354" s="196" t="s">
        <v>1168</v>
      </c>
      <c r="X354" s="196" t="str">
        <f t="shared" si="178"/>
        <v>N</v>
      </c>
      <c r="Y354" s="197">
        <f t="shared" si="184"/>
        <v>20000</v>
      </c>
      <c r="Z354" s="198"/>
      <c r="AA354" s="197">
        <f t="shared" si="185"/>
        <v>20000</v>
      </c>
      <c r="AB354" s="196" t="s">
        <v>1168</v>
      </c>
      <c r="AC354" s="196"/>
      <c r="AD354" s="275"/>
      <c r="AE354" s="275"/>
      <c r="AF354" s="275"/>
      <c r="AG354" s="442"/>
      <c r="AH354" s="442"/>
      <c r="AI354" s="200">
        <f t="shared" si="186"/>
        <v>0</v>
      </c>
      <c r="AJ354" s="203"/>
      <c r="AK354" s="203"/>
      <c r="AL354" s="197">
        <f t="shared" si="179"/>
        <v>20000</v>
      </c>
      <c r="AM354" s="197">
        <f t="shared" si="180"/>
        <v>0</v>
      </c>
      <c r="AN354" s="197">
        <f t="shared" si="181"/>
        <v>0</v>
      </c>
      <c r="AO354" s="202"/>
      <c r="AP354" s="161" t="s">
        <v>3900</v>
      </c>
      <c r="AQ354" s="279"/>
      <c r="AR354" s="287">
        <f t="shared" si="187"/>
        <v>0</v>
      </c>
      <c r="AS354" s="287">
        <f t="shared" si="188"/>
        <v>0</v>
      </c>
      <c r="AT354" s="287">
        <f t="shared" si="189"/>
        <v>0</v>
      </c>
      <c r="AU354" s="287">
        <f t="shared" si="190"/>
        <v>0</v>
      </c>
      <c r="AV354" s="287">
        <f t="shared" si="191"/>
        <v>0</v>
      </c>
      <c r="AW354" s="287">
        <f t="shared" si="192"/>
        <v>0</v>
      </c>
      <c r="AX354" s="287">
        <f t="shared" si="193"/>
        <v>0</v>
      </c>
      <c r="AY354" s="287">
        <f t="shared" si="194"/>
        <v>0</v>
      </c>
      <c r="AZ354" s="287">
        <f t="shared" si="195"/>
        <v>0</v>
      </c>
      <c r="BA354" s="287">
        <f t="shared" si="196"/>
        <v>0</v>
      </c>
      <c r="BB354" s="16"/>
      <c r="BC354" s="287">
        <f t="shared" si="197"/>
        <v>0</v>
      </c>
      <c r="BD354" s="287">
        <f t="shared" si="198"/>
        <v>0</v>
      </c>
      <c r="BE354" s="287">
        <f t="shared" si="199"/>
        <v>0</v>
      </c>
      <c r="BF354" s="287">
        <f t="shared" si="200"/>
        <v>0</v>
      </c>
      <c r="BG354" s="287">
        <f t="shared" si="201"/>
        <v>0</v>
      </c>
      <c r="BH354" s="287">
        <f t="shared" si="202"/>
        <v>0</v>
      </c>
      <c r="BI354" s="287">
        <f t="shared" si="203"/>
        <v>0</v>
      </c>
      <c r="BJ354" s="287">
        <f t="shared" si="204"/>
        <v>0</v>
      </c>
      <c r="BK354" s="287">
        <f t="shared" si="205"/>
        <v>0</v>
      </c>
      <c r="BL354" s="287">
        <f t="shared" si="206"/>
        <v>0</v>
      </c>
      <c r="BM354" s="16"/>
      <c r="BN354" s="287">
        <f t="shared" si="207"/>
        <v>0</v>
      </c>
      <c r="BO354" s="287">
        <f t="shared" si="208"/>
        <v>0</v>
      </c>
      <c r="BP354" s="432"/>
      <c r="BQ354" s="21"/>
      <c r="BR354" s="21"/>
      <c r="BS354" s="39"/>
      <c r="BT354" s="334">
        <f>+BN354+BO354</f>
        <v>0</v>
      </c>
      <c r="BU354" s="334">
        <f>+AM354</f>
        <v>0</v>
      </c>
      <c r="BV354" s="334">
        <f>+AN354</f>
        <v>0</v>
      </c>
      <c r="BW354" s="334">
        <f>+BT354-BU354-BV354</f>
        <v>0</v>
      </c>
      <c r="BX354" s="39"/>
      <c r="BY354" s="39"/>
      <c r="BZ354" s="39">
        <v>341</v>
      </c>
      <c r="CA354" s="39" t="str">
        <f t="shared" si="209"/>
        <v/>
      </c>
      <c r="CB354" s="39"/>
      <c r="CC354" s="39"/>
      <c r="CD354" s="39"/>
      <c r="CE354" s="39"/>
      <c r="CF354" s="39"/>
      <c r="CG354" s="39"/>
      <c r="CH354" s="39"/>
      <c r="CI354" s="39"/>
      <c r="CJ354" s="39"/>
      <c r="CK354" s="39"/>
    </row>
    <row r="355" spans="1:89" s="193" customFormat="1">
      <c r="A355" s="195"/>
      <c r="B355" s="21" t="str">
        <f t="shared" si="182"/>
        <v>N/A</v>
      </c>
      <c r="C355" s="21"/>
      <c r="D355" s="432" t="s">
        <v>3917</v>
      </c>
      <c r="E355" s="439" t="s">
        <v>3626</v>
      </c>
      <c r="F355" s="439" t="s">
        <v>3925</v>
      </c>
      <c r="G355" s="273" t="s">
        <v>3924</v>
      </c>
      <c r="H355" s="358"/>
      <c r="I355" s="262" t="s">
        <v>3491</v>
      </c>
      <c r="J355" s="262" t="s">
        <v>4190</v>
      </c>
      <c r="K355" s="263">
        <v>37700</v>
      </c>
      <c r="L355" s="263">
        <v>500000</v>
      </c>
      <c r="M355" s="263">
        <v>1422000</v>
      </c>
      <c r="N355" s="263">
        <v>0</v>
      </c>
      <c r="O355" s="263">
        <v>0</v>
      </c>
      <c r="P355" s="263">
        <v>0</v>
      </c>
      <c r="Q355" s="263">
        <v>0</v>
      </c>
      <c r="R355" s="263">
        <v>0</v>
      </c>
      <c r="S355" s="263">
        <v>0</v>
      </c>
      <c r="T355" s="263">
        <v>0</v>
      </c>
      <c r="U355" s="263">
        <f t="shared" si="210"/>
        <v>1959700</v>
      </c>
      <c r="V355" s="196" t="str">
        <f t="shared" si="183"/>
        <v>LOS/R</v>
      </c>
      <c r="W355" s="196" t="s">
        <v>1168</v>
      </c>
      <c r="X355" s="196" t="str">
        <f t="shared" si="178"/>
        <v>N</v>
      </c>
      <c r="Y355" s="197">
        <f t="shared" si="184"/>
        <v>1959700</v>
      </c>
      <c r="Z355" s="198"/>
      <c r="AA355" s="197">
        <f t="shared" si="185"/>
        <v>1959700</v>
      </c>
      <c r="AB355" s="196"/>
      <c r="AC355" s="196"/>
      <c r="AD355" s="275">
        <v>0</v>
      </c>
      <c r="AE355" s="275">
        <v>0.6</v>
      </c>
      <c r="AF355" s="275">
        <v>0.4</v>
      </c>
      <c r="AG355" s="442"/>
      <c r="AH355" s="442"/>
      <c r="AI355" s="200">
        <f t="shared" si="186"/>
        <v>0</v>
      </c>
      <c r="AJ355" s="203"/>
      <c r="AK355" s="203"/>
      <c r="AL355" s="197">
        <f t="shared" si="179"/>
        <v>1959700</v>
      </c>
      <c r="AM355" s="197">
        <f t="shared" si="180"/>
        <v>0</v>
      </c>
      <c r="AN355" s="197">
        <f t="shared" si="181"/>
        <v>0</v>
      </c>
      <c r="AO355" s="202"/>
      <c r="AP355" s="161" t="s">
        <v>3900</v>
      </c>
      <c r="AQ355" s="279"/>
      <c r="AR355" s="287">
        <f t="shared" si="187"/>
        <v>0</v>
      </c>
      <c r="AS355" s="287">
        <f t="shared" si="188"/>
        <v>0</v>
      </c>
      <c r="AT355" s="287">
        <f t="shared" si="189"/>
        <v>0</v>
      </c>
      <c r="AU355" s="287">
        <f t="shared" si="190"/>
        <v>0</v>
      </c>
      <c r="AV355" s="287">
        <f t="shared" si="191"/>
        <v>0</v>
      </c>
      <c r="AW355" s="287">
        <f t="shared" si="192"/>
        <v>0</v>
      </c>
      <c r="AX355" s="287">
        <f t="shared" si="193"/>
        <v>0</v>
      </c>
      <c r="AY355" s="287">
        <f t="shared" si="194"/>
        <v>0</v>
      </c>
      <c r="AZ355" s="287">
        <f t="shared" si="195"/>
        <v>0</v>
      </c>
      <c r="BA355" s="287">
        <f t="shared" si="196"/>
        <v>0</v>
      </c>
      <c r="BB355" s="16"/>
      <c r="BC355" s="287">
        <f t="shared" si="197"/>
        <v>0</v>
      </c>
      <c r="BD355" s="287">
        <f t="shared" si="198"/>
        <v>0</v>
      </c>
      <c r="BE355" s="287">
        <f t="shared" si="199"/>
        <v>0</v>
      </c>
      <c r="BF355" s="287">
        <f t="shared" si="200"/>
        <v>0</v>
      </c>
      <c r="BG355" s="287">
        <f t="shared" si="201"/>
        <v>0</v>
      </c>
      <c r="BH355" s="287">
        <f t="shared" si="202"/>
        <v>0</v>
      </c>
      <c r="BI355" s="287">
        <f t="shared" si="203"/>
        <v>0</v>
      </c>
      <c r="BJ355" s="287">
        <f t="shared" si="204"/>
        <v>0</v>
      </c>
      <c r="BK355" s="287">
        <f t="shared" si="205"/>
        <v>0</v>
      </c>
      <c r="BL355" s="287">
        <f t="shared" si="206"/>
        <v>0</v>
      </c>
      <c r="BM355" s="16"/>
      <c r="BN355" s="287">
        <f t="shared" si="207"/>
        <v>0</v>
      </c>
      <c r="BO355" s="287">
        <f t="shared" si="208"/>
        <v>0</v>
      </c>
      <c r="BP355" s="432"/>
      <c r="BQ355" s="21"/>
      <c r="BR355" s="21"/>
      <c r="BS355" s="39"/>
      <c r="BT355" s="39"/>
      <c r="BU355" s="39"/>
      <c r="BV355" s="39"/>
      <c r="BW355" s="39"/>
      <c r="BX355" s="39"/>
      <c r="BY355" s="39"/>
      <c r="BZ355" s="39">
        <v>342</v>
      </c>
      <c r="CA355" s="39" t="str">
        <f t="shared" si="209"/>
        <v/>
      </c>
      <c r="CB355" s="39"/>
      <c r="CC355" s="39"/>
      <c r="CD355" s="39"/>
      <c r="CE355" s="39"/>
      <c r="CF355" s="39"/>
      <c r="CG355" s="39"/>
      <c r="CH355" s="39"/>
      <c r="CI355" s="39"/>
      <c r="CJ355" s="39"/>
      <c r="CK355" s="39"/>
    </row>
    <row r="356" spans="1:89" s="193" customFormat="1">
      <c r="A356" s="195"/>
      <c r="B356" s="21" t="str">
        <f t="shared" si="182"/>
        <v>N/A</v>
      </c>
      <c r="C356" s="21"/>
      <c r="D356" s="432" t="s">
        <v>3917</v>
      </c>
      <c r="E356" s="439" t="s">
        <v>3626</v>
      </c>
      <c r="F356" s="439" t="s">
        <v>4045</v>
      </c>
      <c r="G356" s="273" t="s">
        <v>4044</v>
      </c>
      <c r="H356" s="517"/>
      <c r="I356" s="262" t="s">
        <v>3491</v>
      </c>
      <c r="J356" s="262" t="s">
        <v>4221</v>
      </c>
      <c r="K356" s="263">
        <v>110000</v>
      </c>
      <c r="L356" s="263">
        <v>935000</v>
      </c>
      <c r="M356" s="263">
        <v>0</v>
      </c>
      <c r="N356" s="263">
        <v>0</v>
      </c>
      <c r="O356" s="263">
        <v>0</v>
      </c>
      <c r="P356" s="263">
        <v>0</v>
      </c>
      <c r="Q356" s="263">
        <v>0</v>
      </c>
      <c r="R356" s="263">
        <v>0</v>
      </c>
      <c r="S356" s="263">
        <v>0</v>
      </c>
      <c r="T356" s="263">
        <v>0</v>
      </c>
      <c r="U356" s="263">
        <f t="shared" si="210"/>
        <v>1045000</v>
      </c>
      <c r="V356" s="196" t="str">
        <f t="shared" si="183"/>
        <v>LOS/R</v>
      </c>
      <c r="W356" s="196" t="s">
        <v>1168</v>
      </c>
      <c r="X356" s="196" t="str">
        <f t="shared" si="178"/>
        <v>N</v>
      </c>
      <c r="Y356" s="197">
        <f t="shared" si="184"/>
        <v>1045000</v>
      </c>
      <c r="Z356" s="198"/>
      <c r="AA356" s="197">
        <f t="shared" si="185"/>
        <v>1045000</v>
      </c>
      <c r="AB356" s="196"/>
      <c r="AC356" s="196"/>
      <c r="AD356" s="275">
        <v>0</v>
      </c>
      <c r="AE356" s="275">
        <v>0.9</v>
      </c>
      <c r="AF356" s="275">
        <v>0.1</v>
      </c>
      <c r="AG356" s="442"/>
      <c r="AH356" s="442"/>
      <c r="AI356" s="200">
        <f t="shared" si="186"/>
        <v>0</v>
      </c>
      <c r="AJ356" s="203"/>
      <c r="AK356" s="203"/>
      <c r="AL356" s="197">
        <f t="shared" si="179"/>
        <v>1045000</v>
      </c>
      <c r="AM356" s="197">
        <f t="shared" si="180"/>
        <v>0</v>
      </c>
      <c r="AN356" s="197">
        <f t="shared" si="181"/>
        <v>0</v>
      </c>
      <c r="AO356" s="202"/>
      <c r="AP356" s="161" t="s">
        <v>3900</v>
      </c>
      <c r="AQ356" s="279"/>
      <c r="AR356" s="287">
        <f t="shared" si="187"/>
        <v>0</v>
      </c>
      <c r="AS356" s="287">
        <f t="shared" si="188"/>
        <v>0</v>
      </c>
      <c r="AT356" s="287">
        <f t="shared" si="189"/>
        <v>0</v>
      </c>
      <c r="AU356" s="287">
        <f t="shared" si="190"/>
        <v>0</v>
      </c>
      <c r="AV356" s="287">
        <f t="shared" si="191"/>
        <v>0</v>
      </c>
      <c r="AW356" s="287">
        <f t="shared" si="192"/>
        <v>0</v>
      </c>
      <c r="AX356" s="287">
        <f t="shared" si="193"/>
        <v>0</v>
      </c>
      <c r="AY356" s="287">
        <f t="shared" si="194"/>
        <v>0</v>
      </c>
      <c r="AZ356" s="287">
        <f t="shared" si="195"/>
        <v>0</v>
      </c>
      <c r="BA356" s="287">
        <f t="shared" si="196"/>
        <v>0</v>
      </c>
      <c r="BB356" s="16"/>
      <c r="BC356" s="287">
        <f t="shared" si="197"/>
        <v>0</v>
      </c>
      <c r="BD356" s="287">
        <f t="shared" si="198"/>
        <v>0</v>
      </c>
      <c r="BE356" s="287">
        <f t="shared" si="199"/>
        <v>0</v>
      </c>
      <c r="BF356" s="287">
        <f t="shared" si="200"/>
        <v>0</v>
      </c>
      <c r="BG356" s="287">
        <f t="shared" si="201"/>
        <v>0</v>
      </c>
      <c r="BH356" s="287">
        <f t="shared" si="202"/>
        <v>0</v>
      </c>
      <c r="BI356" s="287">
        <f t="shared" si="203"/>
        <v>0</v>
      </c>
      <c r="BJ356" s="287">
        <f t="shared" si="204"/>
        <v>0</v>
      </c>
      <c r="BK356" s="287">
        <f t="shared" si="205"/>
        <v>0</v>
      </c>
      <c r="BL356" s="287">
        <f t="shared" si="206"/>
        <v>0</v>
      </c>
      <c r="BM356" s="16"/>
      <c r="BN356" s="287">
        <f t="shared" si="207"/>
        <v>0</v>
      </c>
      <c r="BO356" s="287">
        <f t="shared" si="208"/>
        <v>0</v>
      </c>
      <c r="BP356" s="432"/>
      <c r="BQ356" s="21"/>
      <c r="BR356" s="21"/>
      <c r="BS356" s="39"/>
      <c r="BT356" s="39"/>
      <c r="BU356" s="39"/>
      <c r="BV356" s="39"/>
      <c r="BW356" s="39"/>
      <c r="BX356" s="39"/>
      <c r="BY356" s="39"/>
      <c r="BZ356" s="39">
        <v>343</v>
      </c>
      <c r="CA356" s="39" t="str">
        <f t="shared" si="209"/>
        <v/>
      </c>
      <c r="CB356" s="39"/>
      <c r="CC356" s="39"/>
      <c r="CD356" s="39"/>
      <c r="CE356" s="39"/>
      <c r="CF356" s="39"/>
      <c r="CG356" s="39"/>
      <c r="CH356" s="39"/>
      <c r="CI356" s="39"/>
      <c r="CJ356" s="39"/>
      <c r="CK356" s="39"/>
    </row>
    <row r="357" spans="1:89" s="193" customFormat="1">
      <c r="A357" s="195"/>
      <c r="B357" s="21" t="str">
        <f t="shared" si="182"/>
        <v>N/A</v>
      </c>
      <c r="C357" s="21"/>
      <c r="D357" s="432" t="s">
        <v>3917</v>
      </c>
      <c r="E357" s="439" t="s">
        <v>3626</v>
      </c>
      <c r="F357" s="439" t="s">
        <v>4092</v>
      </c>
      <c r="G357" s="273" t="s">
        <v>4093</v>
      </c>
      <c r="H357" s="358"/>
      <c r="I357" s="262" t="s">
        <v>3491</v>
      </c>
      <c r="J357" s="262" t="s">
        <v>4190</v>
      </c>
      <c r="K357" s="263">
        <v>0</v>
      </c>
      <c r="L357" s="263">
        <v>0</v>
      </c>
      <c r="M357" s="263">
        <v>0</v>
      </c>
      <c r="N357" s="263">
        <v>12720000</v>
      </c>
      <c r="O357" s="263">
        <v>0</v>
      </c>
      <c r="P357" s="263">
        <v>0</v>
      </c>
      <c r="Q357" s="263">
        <v>0</v>
      </c>
      <c r="R357" s="263">
        <v>0</v>
      </c>
      <c r="S357" s="263">
        <v>0</v>
      </c>
      <c r="T357" s="263">
        <v>0</v>
      </c>
      <c r="U357" s="263">
        <f t="shared" si="210"/>
        <v>12720000</v>
      </c>
      <c r="V357" s="196" t="str">
        <f t="shared" si="183"/>
        <v>CHECK</v>
      </c>
      <c r="W357" s="196" t="s">
        <v>1168</v>
      </c>
      <c r="X357" s="196" t="str">
        <f t="shared" si="178"/>
        <v>N</v>
      </c>
      <c r="Y357" s="197">
        <f t="shared" si="184"/>
        <v>12720000</v>
      </c>
      <c r="Z357" s="198"/>
      <c r="AA357" s="197">
        <f t="shared" si="185"/>
        <v>12720000</v>
      </c>
      <c r="AB357" s="196" t="s">
        <v>1168</v>
      </c>
      <c r="AC357" s="196"/>
      <c r="AD357" s="275"/>
      <c r="AE357" s="275"/>
      <c r="AF357" s="275"/>
      <c r="AG357" s="442"/>
      <c r="AH357" s="442"/>
      <c r="AI357" s="200">
        <f t="shared" si="186"/>
        <v>0</v>
      </c>
      <c r="AJ357" s="203"/>
      <c r="AK357" s="203"/>
      <c r="AL357" s="197">
        <f t="shared" si="179"/>
        <v>12720000</v>
      </c>
      <c r="AM357" s="197">
        <f t="shared" si="180"/>
        <v>0</v>
      </c>
      <c r="AN357" s="197">
        <f t="shared" si="181"/>
        <v>0</v>
      </c>
      <c r="AO357" s="202"/>
      <c r="AP357" s="161" t="s">
        <v>3900</v>
      </c>
      <c r="AQ357" s="279"/>
      <c r="AR357" s="287">
        <f t="shared" si="187"/>
        <v>0</v>
      </c>
      <c r="AS357" s="287">
        <f t="shared" si="188"/>
        <v>0</v>
      </c>
      <c r="AT357" s="287">
        <f t="shared" si="189"/>
        <v>0</v>
      </c>
      <c r="AU357" s="287">
        <f t="shared" si="190"/>
        <v>0</v>
      </c>
      <c r="AV357" s="287">
        <f t="shared" si="191"/>
        <v>0</v>
      </c>
      <c r="AW357" s="287">
        <f t="shared" si="192"/>
        <v>0</v>
      </c>
      <c r="AX357" s="287">
        <f t="shared" si="193"/>
        <v>0</v>
      </c>
      <c r="AY357" s="287">
        <f t="shared" si="194"/>
        <v>0</v>
      </c>
      <c r="AZ357" s="287">
        <f t="shared" si="195"/>
        <v>0</v>
      </c>
      <c r="BA357" s="287">
        <f t="shared" si="196"/>
        <v>0</v>
      </c>
      <c r="BB357" s="16"/>
      <c r="BC357" s="287">
        <f t="shared" si="197"/>
        <v>0</v>
      </c>
      <c r="BD357" s="287">
        <f t="shared" si="198"/>
        <v>0</v>
      </c>
      <c r="BE357" s="287">
        <f t="shared" si="199"/>
        <v>0</v>
      </c>
      <c r="BF357" s="287">
        <f t="shared" si="200"/>
        <v>0</v>
      </c>
      <c r="BG357" s="287">
        <f t="shared" si="201"/>
        <v>0</v>
      </c>
      <c r="BH357" s="287">
        <f t="shared" si="202"/>
        <v>0</v>
      </c>
      <c r="BI357" s="287">
        <f t="shared" si="203"/>
        <v>0</v>
      </c>
      <c r="BJ357" s="287">
        <f t="shared" si="204"/>
        <v>0</v>
      </c>
      <c r="BK357" s="287">
        <f t="shared" si="205"/>
        <v>0</v>
      </c>
      <c r="BL357" s="287">
        <f t="shared" si="206"/>
        <v>0</v>
      </c>
      <c r="BM357" s="16"/>
      <c r="BN357" s="287">
        <f t="shared" si="207"/>
        <v>0</v>
      </c>
      <c r="BO357" s="287">
        <f t="shared" si="208"/>
        <v>0</v>
      </c>
      <c r="BP357" s="432"/>
      <c r="BQ357" s="21"/>
      <c r="BR357" s="21"/>
      <c r="BS357" s="39"/>
      <c r="BT357" s="334">
        <f>+BN357+BO357</f>
        <v>0</v>
      </c>
      <c r="BU357" s="334">
        <f>+AM357</f>
        <v>0</v>
      </c>
      <c r="BV357" s="334">
        <f>+AN357</f>
        <v>0</v>
      </c>
      <c r="BW357" s="334">
        <f>+BT357-BU357-BV357</f>
        <v>0</v>
      </c>
      <c r="BX357" s="39"/>
      <c r="BY357" s="39"/>
      <c r="BZ357" s="39">
        <v>344</v>
      </c>
      <c r="CA357" s="39" t="str">
        <f t="shared" si="209"/>
        <v/>
      </c>
      <c r="CB357" s="39"/>
      <c r="CC357" s="39"/>
      <c r="CD357" s="39"/>
      <c r="CE357" s="39"/>
      <c r="CF357" s="39"/>
      <c r="CG357" s="39"/>
      <c r="CH357" s="39"/>
      <c r="CI357" s="39"/>
      <c r="CJ357" s="39"/>
      <c r="CK357" s="39"/>
    </row>
    <row r="358" spans="1:89" s="193" customFormat="1">
      <c r="A358" s="195"/>
      <c r="B358" s="21" t="str">
        <f t="shared" si="182"/>
        <v>N/A</v>
      </c>
      <c r="C358" s="21"/>
      <c r="D358" s="432" t="s">
        <v>4101</v>
      </c>
      <c r="E358" s="439" t="s">
        <v>3626</v>
      </c>
      <c r="F358" s="439" t="s">
        <v>4102</v>
      </c>
      <c r="G358" s="273" t="s">
        <v>4103</v>
      </c>
      <c r="H358" s="358"/>
      <c r="I358" s="262" t="s">
        <v>3491</v>
      </c>
      <c r="J358" s="262" t="s">
        <v>4200</v>
      </c>
      <c r="K358" s="263">
        <v>100000</v>
      </c>
      <c r="L358" s="263">
        <v>1270000</v>
      </c>
      <c r="M358" s="263">
        <v>0</v>
      </c>
      <c r="N358" s="263">
        <v>180000</v>
      </c>
      <c r="O358" s="263">
        <v>2520000</v>
      </c>
      <c r="P358" s="263">
        <v>0</v>
      </c>
      <c r="Q358" s="263">
        <v>0</v>
      </c>
      <c r="R358" s="263">
        <v>0</v>
      </c>
      <c r="S358" s="263">
        <v>0</v>
      </c>
      <c r="T358" s="263">
        <v>0</v>
      </c>
      <c r="U358" s="263">
        <f t="shared" si="210"/>
        <v>4070000</v>
      </c>
      <c r="V358" s="196" t="str">
        <f t="shared" si="183"/>
        <v>LOS/R</v>
      </c>
      <c r="W358" s="196" t="s">
        <v>1168</v>
      </c>
      <c r="X358" s="196" t="str">
        <f t="shared" si="178"/>
        <v>N</v>
      </c>
      <c r="Y358" s="197">
        <f t="shared" si="184"/>
        <v>4070000</v>
      </c>
      <c r="Z358" s="198"/>
      <c r="AA358" s="197">
        <f t="shared" si="185"/>
        <v>4070000</v>
      </c>
      <c r="AB358" s="196"/>
      <c r="AC358" s="196"/>
      <c r="AD358" s="275">
        <v>0</v>
      </c>
      <c r="AE358" s="275">
        <v>0.95</v>
      </c>
      <c r="AF358" s="275">
        <v>0.05</v>
      </c>
      <c r="AG358" s="442"/>
      <c r="AH358" s="442"/>
      <c r="AI358" s="200">
        <f t="shared" si="186"/>
        <v>0</v>
      </c>
      <c r="AJ358" s="203"/>
      <c r="AK358" s="203"/>
      <c r="AL358" s="197">
        <f t="shared" si="179"/>
        <v>4070000</v>
      </c>
      <c r="AM358" s="197">
        <f t="shared" si="180"/>
        <v>0</v>
      </c>
      <c r="AN358" s="197">
        <f t="shared" si="181"/>
        <v>0</v>
      </c>
      <c r="AO358" s="202"/>
      <c r="AP358" s="161" t="s">
        <v>3900</v>
      </c>
      <c r="AQ358" s="279"/>
      <c r="AR358" s="287">
        <f t="shared" si="187"/>
        <v>0</v>
      </c>
      <c r="AS358" s="287">
        <f t="shared" si="188"/>
        <v>0</v>
      </c>
      <c r="AT358" s="287">
        <f t="shared" si="189"/>
        <v>0</v>
      </c>
      <c r="AU358" s="287">
        <f t="shared" si="190"/>
        <v>0</v>
      </c>
      <c r="AV358" s="287">
        <f t="shared" si="191"/>
        <v>0</v>
      </c>
      <c r="AW358" s="287">
        <f t="shared" si="192"/>
        <v>0</v>
      </c>
      <c r="AX358" s="287">
        <f t="shared" si="193"/>
        <v>0</v>
      </c>
      <c r="AY358" s="287">
        <f t="shared" si="194"/>
        <v>0</v>
      </c>
      <c r="AZ358" s="287">
        <f t="shared" si="195"/>
        <v>0</v>
      </c>
      <c r="BA358" s="287">
        <f t="shared" si="196"/>
        <v>0</v>
      </c>
      <c r="BB358" s="16"/>
      <c r="BC358" s="287">
        <f t="shared" si="197"/>
        <v>0</v>
      </c>
      <c r="BD358" s="287">
        <f t="shared" si="198"/>
        <v>0</v>
      </c>
      <c r="BE358" s="287">
        <f t="shared" si="199"/>
        <v>0</v>
      </c>
      <c r="BF358" s="287">
        <f t="shared" si="200"/>
        <v>0</v>
      </c>
      <c r="BG358" s="287">
        <f t="shared" si="201"/>
        <v>0</v>
      </c>
      <c r="BH358" s="287">
        <f t="shared" si="202"/>
        <v>0</v>
      </c>
      <c r="BI358" s="287">
        <f t="shared" si="203"/>
        <v>0</v>
      </c>
      <c r="BJ358" s="287">
        <f t="shared" si="204"/>
        <v>0</v>
      </c>
      <c r="BK358" s="287">
        <f t="shared" si="205"/>
        <v>0</v>
      </c>
      <c r="BL358" s="287">
        <f t="shared" si="206"/>
        <v>0</v>
      </c>
      <c r="BM358" s="16"/>
      <c r="BN358" s="287">
        <f t="shared" si="207"/>
        <v>0</v>
      </c>
      <c r="BO358" s="287">
        <f t="shared" si="208"/>
        <v>0</v>
      </c>
      <c r="BP358" s="432"/>
      <c r="BQ358" s="21"/>
      <c r="BR358" s="21"/>
      <c r="BS358" s="39"/>
      <c r="BT358" s="39"/>
      <c r="BU358" s="39"/>
      <c r="BV358" s="39"/>
      <c r="BW358" s="39"/>
      <c r="BX358" s="39"/>
      <c r="BY358" s="39"/>
      <c r="BZ358" s="39">
        <v>345</v>
      </c>
      <c r="CA358" s="39" t="str">
        <f t="shared" si="209"/>
        <v/>
      </c>
      <c r="CB358" s="39"/>
      <c r="CC358" s="39"/>
      <c r="CD358" s="39"/>
      <c r="CE358" s="39"/>
      <c r="CF358" s="39"/>
      <c r="CG358" s="39"/>
      <c r="CH358" s="39"/>
      <c r="CI358" s="39"/>
      <c r="CJ358" s="39"/>
      <c r="CK358" s="39"/>
    </row>
    <row r="359" spans="1:89" s="193" customFormat="1">
      <c r="A359" s="195"/>
      <c r="B359" s="21" t="str">
        <f t="shared" si="182"/>
        <v>N/A</v>
      </c>
      <c r="C359" s="21"/>
      <c r="D359" s="432" t="s">
        <v>4086</v>
      </c>
      <c r="E359" s="439" t="s">
        <v>3626</v>
      </c>
      <c r="F359" s="439" t="s">
        <v>4087</v>
      </c>
      <c r="G359" s="273" t="s">
        <v>4088</v>
      </c>
      <c r="H359" s="358"/>
      <c r="I359" s="262" t="s">
        <v>3491</v>
      </c>
      <c r="J359" s="262" t="s">
        <v>4199</v>
      </c>
      <c r="K359" s="263">
        <v>30000</v>
      </c>
      <c r="L359" s="263">
        <v>0</v>
      </c>
      <c r="M359" s="263">
        <v>0</v>
      </c>
      <c r="N359" s="263">
        <v>0</v>
      </c>
      <c r="O359" s="263">
        <v>0</v>
      </c>
      <c r="P359" s="263">
        <v>0</v>
      </c>
      <c r="Q359" s="263">
        <v>0</v>
      </c>
      <c r="R359" s="263">
        <v>0</v>
      </c>
      <c r="S359" s="263">
        <v>0</v>
      </c>
      <c r="T359" s="263">
        <v>0</v>
      </c>
      <c r="U359" s="263">
        <f t="shared" si="210"/>
        <v>30000</v>
      </c>
      <c r="V359" s="196" t="str">
        <f t="shared" si="183"/>
        <v>CHECK</v>
      </c>
      <c r="W359" s="196" t="s">
        <v>1168</v>
      </c>
      <c r="X359" s="196" t="str">
        <f t="shared" si="178"/>
        <v>N</v>
      </c>
      <c r="Y359" s="197">
        <f t="shared" si="184"/>
        <v>30000</v>
      </c>
      <c r="Z359" s="198"/>
      <c r="AA359" s="197">
        <f t="shared" si="185"/>
        <v>30000</v>
      </c>
      <c r="AB359" s="196" t="s">
        <v>1168</v>
      </c>
      <c r="AC359" s="196"/>
      <c r="AD359" s="275"/>
      <c r="AE359" s="275"/>
      <c r="AF359" s="275"/>
      <c r="AG359" s="442"/>
      <c r="AH359" s="442"/>
      <c r="AI359" s="200">
        <f t="shared" si="186"/>
        <v>0</v>
      </c>
      <c r="AJ359" s="203"/>
      <c r="AK359" s="203"/>
      <c r="AL359" s="197">
        <f t="shared" si="179"/>
        <v>30000</v>
      </c>
      <c r="AM359" s="197">
        <f t="shared" si="180"/>
        <v>0</v>
      </c>
      <c r="AN359" s="197">
        <f t="shared" si="181"/>
        <v>0</v>
      </c>
      <c r="AO359" s="202"/>
      <c r="AP359" s="161" t="s">
        <v>3900</v>
      </c>
      <c r="AQ359" s="279"/>
      <c r="AR359" s="287">
        <f t="shared" si="187"/>
        <v>0</v>
      </c>
      <c r="AS359" s="287">
        <f t="shared" si="188"/>
        <v>0</v>
      </c>
      <c r="AT359" s="287">
        <f t="shared" si="189"/>
        <v>0</v>
      </c>
      <c r="AU359" s="287">
        <f t="shared" si="190"/>
        <v>0</v>
      </c>
      <c r="AV359" s="287">
        <f t="shared" si="191"/>
        <v>0</v>
      </c>
      <c r="AW359" s="287">
        <f t="shared" si="192"/>
        <v>0</v>
      </c>
      <c r="AX359" s="287">
        <f t="shared" si="193"/>
        <v>0</v>
      </c>
      <c r="AY359" s="287">
        <f t="shared" si="194"/>
        <v>0</v>
      </c>
      <c r="AZ359" s="287">
        <f t="shared" si="195"/>
        <v>0</v>
      </c>
      <c r="BA359" s="287">
        <f t="shared" si="196"/>
        <v>0</v>
      </c>
      <c r="BB359" s="16"/>
      <c r="BC359" s="287">
        <f t="shared" si="197"/>
        <v>0</v>
      </c>
      <c r="BD359" s="287">
        <f t="shared" si="198"/>
        <v>0</v>
      </c>
      <c r="BE359" s="287">
        <f t="shared" si="199"/>
        <v>0</v>
      </c>
      <c r="BF359" s="287">
        <f t="shared" si="200"/>
        <v>0</v>
      </c>
      <c r="BG359" s="287">
        <f t="shared" si="201"/>
        <v>0</v>
      </c>
      <c r="BH359" s="287">
        <f t="shared" si="202"/>
        <v>0</v>
      </c>
      <c r="BI359" s="287">
        <f t="shared" si="203"/>
        <v>0</v>
      </c>
      <c r="BJ359" s="287">
        <f t="shared" si="204"/>
        <v>0</v>
      </c>
      <c r="BK359" s="287">
        <f t="shared" si="205"/>
        <v>0</v>
      </c>
      <c r="BL359" s="287">
        <f t="shared" si="206"/>
        <v>0</v>
      </c>
      <c r="BM359" s="16"/>
      <c r="BN359" s="287">
        <f t="shared" si="207"/>
        <v>0</v>
      </c>
      <c r="BO359" s="287">
        <f t="shared" si="208"/>
        <v>0</v>
      </c>
      <c r="BP359" s="432"/>
      <c r="BQ359" s="21"/>
      <c r="BR359" s="21"/>
      <c r="BS359" s="39"/>
      <c r="BT359" s="334">
        <f>+BN359+BO359</f>
        <v>0</v>
      </c>
      <c r="BU359" s="334">
        <f>+AM359</f>
        <v>0</v>
      </c>
      <c r="BV359" s="334">
        <f>+AN359</f>
        <v>0</v>
      </c>
      <c r="BW359" s="334">
        <f>+BT359-BU359-BV359</f>
        <v>0</v>
      </c>
      <c r="BX359" s="39"/>
      <c r="BY359" s="39"/>
      <c r="BZ359" s="39">
        <v>346</v>
      </c>
      <c r="CA359" s="39" t="str">
        <f t="shared" si="209"/>
        <v/>
      </c>
      <c r="CB359" s="39"/>
      <c r="CC359" s="39"/>
      <c r="CD359" s="39"/>
      <c r="CE359" s="39"/>
      <c r="CF359" s="39"/>
      <c r="CG359" s="39"/>
      <c r="CH359" s="39"/>
      <c r="CI359" s="39"/>
      <c r="CJ359" s="39"/>
      <c r="CK359" s="39"/>
    </row>
    <row r="360" spans="1:89" s="193" customFormat="1">
      <c r="A360" s="195"/>
      <c r="B360" s="21" t="str">
        <f t="shared" si="182"/>
        <v>N/A</v>
      </c>
      <c r="C360" s="21"/>
      <c r="D360" s="432" t="s">
        <v>4119</v>
      </c>
      <c r="E360" s="439" t="s">
        <v>3626</v>
      </c>
      <c r="F360" s="439" t="s">
        <v>4120</v>
      </c>
      <c r="G360" s="273" t="s">
        <v>4121</v>
      </c>
      <c r="H360" s="358"/>
      <c r="I360" s="262" t="s">
        <v>3491</v>
      </c>
      <c r="J360" s="262" t="s">
        <v>3504</v>
      </c>
      <c r="K360" s="263">
        <v>3848280</v>
      </c>
      <c r="L360" s="263">
        <v>0</v>
      </c>
      <c r="M360" s="263">
        <v>0</v>
      </c>
      <c r="N360" s="263">
        <v>0</v>
      </c>
      <c r="O360" s="263">
        <v>0</v>
      </c>
      <c r="P360" s="263">
        <v>0</v>
      </c>
      <c r="Q360" s="263">
        <v>0</v>
      </c>
      <c r="R360" s="263">
        <v>0</v>
      </c>
      <c r="S360" s="263">
        <v>0</v>
      </c>
      <c r="T360" s="263">
        <v>0</v>
      </c>
      <c r="U360" s="263">
        <f t="shared" si="210"/>
        <v>3848280</v>
      </c>
      <c r="V360" s="196" t="str">
        <f t="shared" si="183"/>
        <v>LOS</v>
      </c>
      <c r="W360" s="196" t="s">
        <v>1168</v>
      </c>
      <c r="X360" s="196" t="str">
        <f t="shared" si="178"/>
        <v>N</v>
      </c>
      <c r="Y360" s="197">
        <f t="shared" si="184"/>
        <v>3848280</v>
      </c>
      <c r="Z360" s="198"/>
      <c r="AA360" s="197">
        <f t="shared" si="185"/>
        <v>3848280</v>
      </c>
      <c r="AB360" s="196"/>
      <c r="AC360" s="196"/>
      <c r="AD360" s="275">
        <v>0</v>
      </c>
      <c r="AE360" s="275">
        <v>1</v>
      </c>
      <c r="AF360" s="275">
        <v>0</v>
      </c>
      <c r="AG360" s="442"/>
      <c r="AH360" s="442"/>
      <c r="AI360" s="200">
        <f t="shared" si="186"/>
        <v>0</v>
      </c>
      <c r="AJ360" s="203"/>
      <c r="AK360" s="203"/>
      <c r="AL360" s="197">
        <f t="shared" si="179"/>
        <v>3848280</v>
      </c>
      <c r="AM360" s="197">
        <f t="shared" si="180"/>
        <v>0</v>
      </c>
      <c r="AN360" s="197">
        <f t="shared" si="181"/>
        <v>0</v>
      </c>
      <c r="AO360" s="202"/>
      <c r="AP360" s="161" t="s">
        <v>3900</v>
      </c>
      <c r="AQ360" s="279"/>
      <c r="AR360" s="287">
        <f t="shared" si="187"/>
        <v>0</v>
      </c>
      <c r="AS360" s="287">
        <f t="shared" si="188"/>
        <v>0</v>
      </c>
      <c r="AT360" s="287">
        <f t="shared" si="189"/>
        <v>0</v>
      </c>
      <c r="AU360" s="287">
        <f t="shared" si="190"/>
        <v>0</v>
      </c>
      <c r="AV360" s="287">
        <f t="shared" si="191"/>
        <v>0</v>
      </c>
      <c r="AW360" s="287">
        <f t="shared" si="192"/>
        <v>0</v>
      </c>
      <c r="AX360" s="287">
        <f t="shared" si="193"/>
        <v>0</v>
      </c>
      <c r="AY360" s="287">
        <f t="shared" si="194"/>
        <v>0</v>
      </c>
      <c r="AZ360" s="287">
        <f t="shared" si="195"/>
        <v>0</v>
      </c>
      <c r="BA360" s="287">
        <f t="shared" si="196"/>
        <v>0</v>
      </c>
      <c r="BB360" s="16"/>
      <c r="BC360" s="287">
        <f t="shared" si="197"/>
        <v>0</v>
      </c>
      <c r="BD360" s="287">
        <f t="shared" si="198"/>
        <v>0</v>
      </c>
      <c r="BE360" s="287">
        <f t="shared" si="199"/>
        <v>0</v>
      </c>
      <c r="BF360" s="287">
        <f t="shared" si="200"/>
        <v>0</v>
      </c>
      <c r="BG360" s="287">
        <f t="shared" si="201"/>
        <v>0</v>
      </c>
      <c r="BH360" s="287">
        <f t="shared" si="202"/>
        <v>0</v>
      </c>
      <c r="BI360" s="287">
        <f t="shared" si="203"/>
        <v>0</v>
      </c>
      <c r="BJ360" s="287">
        <f t="shared" si="204"/>
        <v>0</v>
      </c>
      <c r="BK360" s="287">
        <f t="shared" si="205"/>
        <v>0</v>
      </c>
      <c r="BL360" s="287">
        <f t="shared" si="206"/>
        <v>0</v>
      </c>
      <c r="BM360" s="16"/>
      <c r="BN360" s="287">
        <f t="shared" si="207"/>
        <v>0</v>
      </c>
      <c r="BO360" s="287">
        <f t="shared" si="208"/>
        <v>0</v>
      </c>
      <c r="BP360" s="432"/>
      <c r="BQ360" s="21"/>
      <c r="BR360" s="21"/>
      <c r="BS360" s="39"/>
      <c r="BT360" s="39"/>
      <c r="BU360" s="39"/>
      <c r="BV360" s="39"/>
      <c r="BW360" s="39"/>
      <c r="BX360" s="39"/>
      <c r="BY360" s="39"/>
      <c r="BZ360" s="39">
        <v>347</v>
      </c>
      <c r="CA360" s="39" t="str">
        <f t="shared" si="209"/>
        <v/>
      </c>
      <c r="CB360" s="39"/>
      <c r="CC360" s="39"/>
      <c r="CD360" s="39"/>
      <c r="CE360" s="39"/>
      <c r="CF360" s="39"/>
      <c r="CG360" s="39"/>
      <c r="CH360" s="39"/>
      <c r="CI360" s="39"/>
      <c r="CJ360" s="39"/>
      <c r="CK360" s="39"/>
    </row>
    <row r="361" spans="1:89" s="193" customFormat="1">
      <c r="A361" s="195"/>
      <c r="B361" s="21" t="str">
        <f t="shared" si="182"/>
        <v>N/A</v>
      </c>
      <c r="C361" s="21"/>
      <c r="D361" s="432" t="s">
        <v>3896</v>
      </c>
      <c r="E361" s="439" t="s">
        <v>3626</v>
      </c>
      <c r="F361" s="439" t="s">
        <v>2499</v>
      </c>
      <c r="G361" s="273" t="s">
        <v>3547</v>
      </c>
      <c r="H361" s="358"/>
      <c r="I361" s="262" t="s">
        <v>3529</v>
      </c>
      <c r="J361" s="262" t="s">
        <v>3504</v>
      </c>
      <c r="K361" s="263">
        <v>-24951977.150000025</v>
      </c>
      <c r="L361" s="263">
        <v>-28037984.850000024</v>
      </c>
      <c r="M361" s="263">
        <v>-31327404.900000028</v>
      </c>
      <c r="N361" s="263">
        <v>-33026297.950000029</v>
      </c>
      <c r="O361" s="263">
        <v>-30597999.650000028</v>
      </c>
      <c r="P361" s="263">
        <v>-35932246.600000024</v>
      </c>
      <c r="Q361" s="263">
        <v>-36897221.600000031</v>
      </c>
      <c r="R361" s="263">
        <v>-19839544.750000019</v>
      </c>
      <c r="S361" s="263">
        <v>-23005364.300000019</v>
      </c>
      <c r="T361" s="263">
        <v>-24611592.000000019</v>
      </c>
      <c r="U361" s="263">
        <f t="shared" si="210"/>
        <v>-288227633.75000024</v>
      </c>
      <c r="V361" s="196" t="str">
        <f t="shared" si="183"/>
        <v>G/LOS/R</v>
      </c>
      <c r="W361" s="196" t="s">
        <v>1168</v>
      </c>
      <c r="X361" s="196" t="str">
        <f t="shared" si="178"/>
        <v>Y</v>
      </c>
      <c r="Y361" s="197">
        <f t="shared" si="184"/>
        <v>-288227633.75000024</v>
      </c>
      <c r="Z361" s="198"/>
      <c r="AA361" s="197">
        <f t="shared" si="185"/>
        <v>-288227633.75000024</v>
      </c>
      <c r="AB361" s="196" t="s">
        <v>1168</v>
      </c>
      <c r="AC361" s="196"/>
      <c r="AD361" s="275">
        <v>0.47697003931011878</v>
      </c>
      <c r="AE361" s="275">
        <v>0.14539041279556006</v>
      </c>
      <c r="AF361" s="275">
        <v>0.37763954789432125</v>
      </c>
      <c r="AG361" s="199"/>
      <c r="AH361" s="199"/>
      <c r="AI361" s="200">
        <f t="shared" si="186"/>
        <v>0</v>
      </c>
      <c r="AJ361" s="203"/>
      <c r="AK361" s="203"/>
      <c r="AL361" s="197">
        <f t="shared" si="179"/>
        <v>-288227633.75000024</v>
      </c>
      <c r="AM361" s="197">
        <f t="shared" si="180"/>
        <v>0</v>
      </c>
      <c r="AN361" s="197">
        <f t="shared" si="181"/>
        <v>0</v>
      </c>
      <c r="AO361" s="202"/>
      <c r="AP361" s="161" t="s">
        <v>3900</v>
      </c>
      <c r="AQ361" s="279"/>
      <c r="AR361" s="287">
        <f t="shared" si="187"/>
        <v>0</v>
      </c>
      <c r="AS361" s="287">
        <f t="shared" si="188"/>
        <v>0</v>
      </c>
      <c r="AT361" s="287">
        <f t="shared" si="189"/>
        <v>0</v>
      </c>
      <c r="AU361" s="287">
        <f t="shared" si="190"/>
        <v>0</v>
      </c>
      <c r="AV361" s="287">
        <f t="shared" si="191"/>
        <v>0</v>
      </c>
      <c r="AW361" s="287">
        <f t="shared" si="192"/>
        <v>0</v>
      </c>
      <c r="AX361" s="287">
        <f t="shared" si="193"/>
        <v>0</v>
      </c>
      <c r="AY361" s="287">
        <f t="shared" si="194"/>
        <v>0</v>
      </c>
      <c r="AZ361" s="287">
        <f t="shared" si="195"/>
        <v>0</v>
      </c>
      <c r="BA361" s="287">
        <f t="shared" si="196"/>
        <v>0</v>
      </c>
      <c r="BB361" s="16"/>
      <c r="BC361" s="287">
        <f t="shared" si="197"/>
        <v>0</v>
      </c>
      <c r="BD361" s="287">
        <f t="shared" si="198"/>
        <v>0</v>
      </c>
      <c r="BE361" s="287">
        <f t="shared" si="199"/>
        <v>0</v>
      </c>
      <c r="BF361" s="287">
        <f t="shared" si="200"/>
        <v>0</v>
      </c>
      <c r="BG361" s="287">
        <f t="shared" si="201"/>
        <v>0</v>
      </c>
      <c r="BH361" s="287">
        <f t="shared" si="202"/>
        <v>0</v>
      </c>
      <c r="BI361" s="287">
        <f t="shared" si="203"/>
        <v>0</v>
      </c>
      <c r="BJ361" s="287">
        <f t="shared" si="204"/>
        <v>0</v>
      </c>
      <c r="BK361" s="287">
        <f t="shared" si="205"/>
        <v>0</v>
      </c>
      <c r="BL361" s="287">
        <f t="shared" si="206"/>
        <v>0</v>
      </c>
      <c r="BM361" s="16"/>
      <c r="BN361" s="287">
        <f t="shared" si="207"/>
        <v>0</v>
      </c>
      <c r="BO361" s="287">
        <f t="shared" si="208"/>
        <v>0</v>
      </c>
      <c r="BP361" s="432"/>
      <c r="BQ361" s="21"/>
      <c r="BR361" s="21"/>
      <c r="BS361" s="39"/>
      <c r="BT361" s="39"/>
      <c r="BU361" s="39"/>
      <c r="BV361" s="39"/>
      <c r="BW361" s="39"/>
      <c r="BX361" s="39"/>
      <c r="BY361" s="39"/>
      <c r="BZ361" s="39">
        <v>348</v>
      </c>
      <c r="CA361" s="39" t="str">
        <f t="shared" si="209"/>
        <v/>
      </c>
      <c r="CB361" s="39"/>
      <c r="CC361" s="39"/>
      <c r="CD361" s="39"/>
      <c r="CE361" s="39"/>
      <c r="CF361" s="39"/>
      <c r="CG361" s="39"/>
      <c r="CH361" s="39"/>
      <c r="CI361" s="39"/>
      <c r="CJ361" s="39"/>
      <c r="CK361" s="39"/>
    </row>
    <row r="362" spans="1:89" s="193" customFormat="1">
      <c r="A362" s="195"/>
      <c r="B362" s="21" t="str">
        <f t="shared" si="182"/>
        <v>N/A</v>
      </c>
      <c r="C362" s="21"/>
      <c r="D362" s="432" t="s">
        <v>3896</v>
      </c>
      <c r="E362" s="439" t="s">
        <v>3626</v>
      </c>
      <c r="F362" s="439" t="s">
        <v>2499</v>
      </c>
      <c r="G362" s="273" t="s">
        <v>3534</v>
      </c>
      <c r="H362" s="358"/>
      <c r="I362" s="262" t="s">
        <v>3529</v>
      </c>
      <c r="J362" s="262" t="s">
        <v>3504</v>
      </c>
      <c r="K362" s="263">
        <v>33163224</v>
      </c>
      <c r="L362" s="263">
        <v>90589239</v>
      </c>
      <c r="M362" s="263">
        <v>249414947</v>
      </c>
      <c r="N362" s="263">
        <v>269110180</v>
      </c>
      <c r="O362" s="263">
        <v>235968711</v>
      </c>
      <c r="P362" s="263">
        <v>139338283</v>
      </c>
      <c r="Q362" s="263">
        <v>56568548</v>
      </c>
      <c r="R362" s="263">
        <v>0</v>
      </c>
      <c r="S362" s="263">
        <v>0</v>
      </c>
      <c r="T362" s="263">
        <v>0</v>
      </c>
      <c r="U362" s="263">
        <f t="shared" si="210"/>
        <v>1074153132</v>
      </c>
      <c r="V362" s="196" t="str">
        <f t="shared" si="183"/>
        <v>G/LOS/R</v>
      </c>
      <c r="W362" s="196" t="s">
        <v>1168</v>
      </c>
      <c r="X362" s="196" t="str">
        <f t="shared" si="178"/>
        <v>Y</v>
      </c>
      <c r="Y362" s="197">
        <f t="shared" si="184"/>
        <v>1074153132</v>
      </c>
      <c r="Z362" s="198"/>
      <c r="AA362" s="197">
        <f t="shared" si="185"/>
        <v>1074153132</v>
      </c>
      <c r="AB362" s="196" t="s">
        <v>1168</v>
      </c>
      <c r="AC362" s="196"/>
      <c r="AD362" s="275">
        <v>0.44999999962761361</v>
      </c>
      <c r="AE362" s="275">
        <v>0.29999999944142042</v>
      </c>
      <c r="AF362" s="275">
        <v>0.25000000093096597</v>
      </c>
      <c r="AG362" s="199"/>
      <c r="AH362" s="199"/>
      <c r="AI362" s="200">
        <f t="shared" si="186"/>
        <v>0</v>
      </c>
      <c r="AJ362" s="203"/>
      <c r="AK362" s="203"/>
      <c r="AL362" s="197">
        <f t="shared" si="179"/>
        <v>1074153132</v>
      </c>
      <c r="AM362" s="197">
        <f t="shared" si="180"/>
        <v>0</v>
      </c>
      <c r="AN362" s="197">
        <f t="shared" si="181"/>
        <v>0</v>
      </c>
      <c r="AO362" s="202"/>
      <c r="AP362" s="161" t="s">
        <v>3900</v>
      </c>
      <c r="AQ362" s="279"/>
      <c r="AR362" s="287">
        <f t="shared" si="187"/>
        <v>0</v>
      </c>
      <c r="AS362" s="287">
        <f t="shared" si="188"/>
        <v>0</v>
      </c>
      <c r="AT362" s="287">
        <f t="shared" si="189"/>
        <v>0</v>
      </c>
      <c r="AU362" s="287">
        <f t="shared" si="190"/>
        <v>0</v>
      </c>
      <c r="AV362" s="287">
        <f t="shared" si="191"/>
        <v>0</v>
      </c>
      <c r="AW362" s="287">
        <f t="shared" si="192"/>
        <v>0</v>
      </c>
      <c r="AX362" s="287">
        <f t="shared" si="193"/>
        <v>0</v>
      </c>
      <c r="AY362" s="287">
        <f t="shared" si="194"/>
        <v>0</v>
      </c>
      <c r="AZ362" s="287">
        <f t="shared" si="195"/>
        <v>0</v>
      </c>
      <c r="BA362" s="287">
        <f t="shared" si="196"/>
        <v>0</v>
      </c>
      <c r="BB362" s="16"/>
      <c r="BC362" s="287">
        <f t="shared" si="197"/>
        <v>0</v>
      </c>
      <c r="BD362" s="287">
        <f t="shared" si="198"/>
        <v>0</v>
      </c>
      <c r="BE362" s="287">
        <f t="shared" si="199"/>
        <v>0</v>
      </c>
      <c r="BF362" s="287">
        <f t="shared" si="200"/>
        <v>0</v>
      </c>
      <c r="BG362" s="287">
        <f t="shared" si="201"/>
        <v>0</v>
      </c>
      <c r="BH362" s="287">
        <f t="shared" si="202"/>
        <v>0</v>
      </c>
      <c r="BI362" s="287">
        <f t="shared" si="203"/>
        <v>0</v>
      </c>
      <c r="BJ362" s="287">
        <f t="shared" si="204"/>
        <v>0</v>
      </c>
      <c r="BK362" s="287">
        <f t="shared" si="205"/>
        <v>0</v>
      </c>
      <c r="BL362" s="287">
        <f t="shared" si="206"/>
        <v>0</v>
      </c>
      <c r="BM362" s="16"/>
      <c r="BN362" s="287">
        <f t="shared" si="207"/>
        <v>0</v>
      </c>
      <c r="BO362" s="287">
        <f t="shared" si="208"/>
        <v>0</v>
      </c>
      <c r="BP362" s="432"/>
      <c r="BQ362" s="21"/>
      <c r="BR362" s="21"/>
      <c r="BS362" s="39"/>
      <c r="BT362" s="39"/>
      <c r="BU362" s="39"/>
      <c r="BV362" s="39"/>
      <c r="BW362" s="39"/>
      <c r="BX362" s="39"/>
      <c r="BY362" s="39"/>
      <c r="BZ362" s="39">
        <v>349</v>
      </c>
      <c r="CA362" s="39" t="str">
        <f t="shared" si="209"/>
        <v/>
      </c>
      <c r="CB362" s="39"/>
      <c r="CC362" s="39"/>
      <c r="CD362" s="39"/>
      <c r="CE362" s="39"/>
      <c r="CF362" s="39"/>
      <c r="CG362" s="39"/>
      <c r="CH362" s="39"/>
      <c r="CI362" s="39"/>
      <c r="CJ362" s="39"/>
      <c r="CK362" s="39"/>
    </row>
    <row r="363" spans="1:89" s="193" customFormat="1">
      <c r="A363" s="195"/>
      <c r="B363" s="21" t="str">
        <f t="shared" si="182"/>
        <v>N/A</v>
      </c>
      <c r="C363" s="21"/>
      <c r="D363" s="432" t="s">
        <v>3896</v>
      </c>
      <c r="E363" s="439" t="s">
        <v>3626</v>
      </c>
      <c r="F363" s="439" t="s">
        <v>2499</v>
      </c>
      <c r="G363" s="273" t="s">
        <v>3535</v>
      </c>
      <c r="H363" s="358"/>
      <c r="I363" s="262" t="s">
        <v>3529</v>
      </c>
      <c r="J363" s="262" t="s">
        <v>3504</v>
      </c>
      <c r="K363" s="263">
        <v>70607309</v>
      </c>
      <c r="L363" s="263">
        <v>37893996</v>
      </c>
      <c r="M363" s="263">
        <v>36207748</v>
      </c>
      <c r="N363" s="263">
        <v>19293188.999999996</v>
      </c>
      <c r="O363" s="263">
        <v>31909549</v>
      </c>
      <c r="P363" s="263">
        <v>98808804</v>
      </c>
      <c r="Q363" s="263">
        <v>99324063</v>
      </c>
      <c r="R363" s="263">
        <v>90734951.000000015</v>
      </c>
      <c r="S363" s="263">
        <v>82373643</v>
      </c>
      <c r="T363" s="263">
        <v>71346428</v>
      </c>
      <c r="U363" s="263">
        <f t="shared" si="210"/>
        <v>638499680</v>
      </c>
      <c r="V363" s="196" t="str">
        <f t="shared" si="183"/>
        <v>G/LOS/R</v>
      </c>
      <c r="W363" s="196" t="s">
        <v>1168</v>
      </c>
      <c r="X363" s="196" t="str">
        <f t="shared" si="178"/>
        <v>Y</v>
      </c>
      <c r="Y363" s="197">
        <f t="shared" si="184"/>
        <v>638499680</v>
      </c>
      <c r="Z363" s="198"/>
      <c r="AA363" s="197">
        <f t="shared" si="185"/>
        <v>638499680</v>
      </c>
      <c r="AB363" s="196" t="s">
        <v>1168</v>
      </c>
      <c r="AC363" s="196"/>
      <c r="AD363" s="275">
        <v>0.38033430964288034</v>
      </c>
      <c r="AE363" s="275">
        <v>4.1507059173467399E-2</v>
      </c>
      <c r="AF363" s="275">
        <v>0.57815863118365229</v>
      </c>
      <c r="AG363" s="199"/>
      <c r="AH363" s="199"/>
      <c r="AI363" s="200">
        <f t="shared" si="186"/>
        <v>0</v>
      </c>
      <c r="AJ363" s="203"/>
      <c r="AK363" s="203"/>
      <c r="AL363" s="197">
        <f t="shared" si="179"/>
        <v>638499680</v>
      </c>
      <c r="AM363" s="197">
        <f t="shared" si="180"/>
        <v>0</v>
      </c>
      <c r="AN363" s="197">
        <f t="shared" si="181"/>
        <v>0</v>
      </c>
      <c r="AO363" s="202"/>
      <c r="AP363" s="161" t="s">
        <v>3900</v>
      </c>
      <c r="AQ363" s="279"/>
      <c r="AR363" s="287">
        <f t="shared" si="187"/>
        <v>0</v>
      </c>
      <c r="AS363" s="287">
        <f t="shared" si="188"/>
        <v>0</v>
      </c>
      <c r="AT363" s="287">
        <f t="shared" si="189"/>
        <v>0</v>
      </c>
      <c r="AU363" s="287">
        <f t="shared" si="190"/>
        <v>0</v>
      </c>
      <c r="AV363" s="287">
        <f t="shared" si="191"/>
        <v>0</v>
      </c>
      <c r="AW363" s="287">
        <f t="shared" si="192"/>
        <v>0</v>
      </c>
      <c r="AX363" s="287">
        <f t="shared" si="193"/>
        <v>0</v>
      </c>
      <c r="AY363" s="287">
        <f t="shared" si="194"/>
        <v>0</v>
      </c>
      <c r="AZ363" s="287">
        <f t="shared" si="195"/>
        <v>0</v>
      </c>
      <c r="BA363" s="287">
        <f t="shared" si="196"/>
        <v>0</v>
      </c>
      <c r="BB363" s="16"/>
      <c r="BC363" s="287">
        <f t="shared" si="197"/>
        <v>0</v>
      </c>
      <c r="BD363" s="287">
        <f t="shared" si="198"/>
        <v>0</v>
      </c>
      <c r="BE363" s="287">
        <f t="shared" si="199"/>
        <v>0</v>
      </c>
      <c r="BF363" s="287">
        <f t="shared" si="200"/>
        <v>0</v>
      </c>
      <c r="BG363" s="287">
        <f t="shared" si="201"/>
        <v>0</v>
      </c>
      <c r="BH363" s="287">
        <f t="shared" si="202"/>
        <v>0</v>
      </c>
      <c r="BI363" s="287">
        <f t="shared" si="203"/>
        <v>0</v>
      </c>
      <c r="BJ363" s="287">
        <f t="shared" si="204"/>
        <v>0</v>
      </c>
      <c r="BK363" s="287">
        <f t="shared" si="205"/>
        <v>0</v>
      </c>
      <c r="BL363" s="287">
        <f t="shared" si="206"/>
        <v>0</v>
      </c>
      <c r="BM363" s="16"/>
      <c r="BN363" s="287">
        <f t="shared" si="207"/>
        <v>0</v>
      </c>
      <c r="BO363" s="287">
        <f t="shared" si="208"/>
        <v>0</v>
      </c>
      <c r="BP363" s="432"/>
      <c r="BQ363" s="21"/>
      <c r="BR363" s="21"/>
      <c r="BS363" s="39"/>
      <c r="BT363" s="39"/>
      <c r="BU363" s="39"/>
      <c r="BV363" s="39"/>
      <c r="BW363" s="39"/>
      <c r="BX363" s="39"/>
      <c r="BY363" s="39"/>
      <c r="BZ363" s="39">
        <v>350</v>
      </c>
      <c r="CA363" s="39" t="str">
        <f t="shared" si="209"/>
        <v/>
      </c>
      <c r="CB363" s="39"/>
      <c r="CC363" s="39"/>
      <c r="CD363" s="39"/>
      <c r="CE363" s="39"/>
      <c r="CF363" s="39"/>
      <c r="CG363" s="39"/>
      <c r="CH363" s="39"/>
      <c r="CI363" s="39"/>
      <c r="CJ363" s="39"/>
      <c r="CK363" s="39"/>
    </row>
    <row r="364" spans="1:89" s="193" customFormat="1">
      <c r="A364" s="195"/>
      <c r="B364" s="21" t="str">
        <f t="shared" si="182"/>
        <v>N/A</v>
      </c>
      <c r="C364" s="21"/>
      <c r="D364" s="432" t="s">
        <v>3896</v>
      </c>
      <c r="E364" s="439" t="s">
        <v>3626</v>
      </c>
      <c r="F364" s="439" t="s">
        <v>2499</v>
      </c>
      <c r="G364" s="273" t="s">
        <v>3548</v>
      </c>
      <c r="H364" s="358"/>
      <c r="I364" s="262" t="s">
        <v>3529</v>
      </c>
      <c r="J364" s="262" t="s">
        <v>3504</v>
      </c>
      <c r="K364" s="263">
        <v>743317</v>
      </c>
      <c r="L364" s="263">
        <v>661364</v>
      </c>
      <c r="M364" s="263">
        <v>684512</v>
      </c>
      <c r="N364" s="263">
        <v>690511</v>
      </c>
      <c r="O364" s="263">
        <v>4736904</v>
      </c>
      <c r="P364" s="263">
        <v>24395055</v>
      </c>
      <c r="Q364" s="263">
        <v>25538758</v>
      </c>
      <c r="R364" s="263">
        <v>6758004</v>
      </c>
      <c r="S364" s="263">
        <v>3061972</v>
      </c>
      <c r="T364" s="263">
        <v>2308319</v>
      </c>
      <c r="U364" s="263">
        <f t="shared" si="210"/>
        <v>69578716</v>
      </c>
      <c r="V364" s="196" t="str">
        <f t="shared" si="183"/>
        <v>R</v>
      </c>
      <c r="W364" s="196" t="s">
        <v>1168</v>
      </c>
      <c r="X364" s="196" t="str">
        <f t="shared" si="178"/>
        <v>N</v>
      </c>
      <c r="Y364" s="197">
        <f t="shared" si="184"/>
        <v>69578716</v>
      </c>
      <c r="Z364" s="198"/>
      <c r="AA364" s="197">
        <f t="shared" si="185"/>
        <v>69578716</v>
      </c>
      <c r="AB364" s="196"/>
      <c r="AC364" s="196"/>
      <c r="AD364" s="275">
        <v>0</v>
      </c>
      <c r="AE364" s="275">
        <v>0</v>
      </c>
      <c r="AF364" s="275">
        <v>1</v>
      </c>
      <c r="AG364" s="199"/>
      <c r="AH364" s="199"/>
      <c r="AI364" s="200">
        <f t="shared" si="186"/>
        <v>0</v>
      </c>
      <c r="AJ364" s="203"/>
      <c r="AK364" s="203"/>
      <c r="AL364" s="197">
        <f t="shared" si="179"/>
        <v>69578716</v>
      </c>
      <c r="AM364" s="197">
        <f t="shared" si="180"/>
        <v>0</v>
      </c>
      <c r="AN364" s="197">
        <f t="shared" si="181"/>
        <v>0</v>
      </c>
      <c r="AO364" s="202"/>
      <c r="AP364" s="161" t="s">
        <v>3900</v>
      </c>
      <c r="AQ364" s="279"/>
      <c r="AR364" s="287">
        <f t="shared" si="187"/>
        <v>0</v>
      </c>
      <c r="AS364" s="287">
        <f t="shared" si="188"/>
        <v>0</v>
      </c>
      <c r="AT364" s="287">
        <f t="shared" si="189"/>
        <v>0</v>
      </c>
      <c r="AU364" s="287">
        <f t="shared" si="190"/>
        <v>0</v>
      </c>
      <c r="AV364" s="287">
        <f t="shared" si="191"/>
        <v>0</v>
      </c>
      <c r="AW364" s="287">
        <f t="shared" si="192"/>
        <v>0</v>
      </c>
      <c r="AX364" s="287">
        <f t="shared" si="193"/>
        <v>0</v>
      </c>
      <c r="AY364" s="287">
        <f t="shared" si="194"/>
        <v>0</v>
      </c>
      <c r="AZ364" s="287">
        <f t="shared" si="195"/>
        <v>0</v>
      </c>
      <c r="BA364" s="287">
        <f t="shared" si="196"/>
        <v>0</v>
      </c>
      <c r="BB364" s="16"/>
      <c r="BC364" s="287">
        <f t="shared" si="197"/>
        <v>0</v>
      </c>
      <c r="BD364" s="287">
        <f t="shared" si="198"/>
        <v>0</v>
      </c>
      <c r="BE364" s="287">
        <f t="shared" si="199"/>
        <v>0</v>
      </c>
      <c r="BF364" s="287">
        <f t="shared" si="200"/>
        <v>0</v>
      </c>
      <c r="BG364" s="287">
        <f t="shared" si="201"/>
        <v>0</v>
      </c>
      <c r="BH364" s="287">
        <f t="shared" si="202"/>
        <v>0</v>
      </c>
      <c r="BI364" s="287">
        <f t="shared" si="203"/>
        <v>0</v>
      </c>
      <c r="BJ364" s="287">
        <f t="shared" si="204"/>
        <v>0</v>
      </c>
      <c r="BK364" s="287">
        <f t="shared" si="205"/>
        <v>0</v>
      </c>
      <c r="BL364" s="287">
        <f t="shared" si="206"/>
        <v>0</v>
      </c>
      <c r="BM364" s="16"/>
      <c r="BN364" s="287">
        <f t="shared" si="207"/>
        <v>0</v>
      </c>
      <c r="BO364" s="287">
        <f t="shared" si="208"/>
        <v>0</v>
      </c>
      <c r="BP364" s="432"/>
      <c r="BQ364" s="21"/>
      <c r="BR364" s="21"/>
      <c r="BS364" s="39"/>
      <c r="BT364" s="39"/>
      <c r="BU364" s="39"/>
      <c r="BV364" s="39"/>
      <c r="BW364" s="39"/>
      <c r="BX364" s="39"/>
      <c r="BY364" s="39"/>
      <c r="BZ364" s="39">
        <v>351</v>
      </c>
      <c r="CA364" s="39" t="str">
        <f t="shared" si="209"/>
        <v/>
      </c>
      <c r="CB364" s="39"/>
      <c r="CC364" s="39"/>
      <c r="CD364" s="39"/>
      <c r="CE364" s="39"/>
      <c r="CF364" s="39"/>
      <c r="CG364" s="39"/>
      <c r="CH364" s="39"/>
      <c r="CI364" s="39"/>
      <c r="CJ364" s="39"/>
      <c r="CK364" s="39"/>
    </row>
    <row r="365" spans="1:89" s="193" customFormat="1">
      <c r="A365" s="195"/>
      <c r="B365" s="21" t="str">
        <f t="shared" si="182"/>
        <v>N/A</v>
      </c>
      <c r="C365" s="21"/>
      <c r="D365" s="432" t="s">
        <v>3896</v>
      </c>
      <c r="E365" s="439" t="s">
        <v>3626</v>
      </c>
      <c r="F365" s="439" t="s">
        <v>2499</v>
      </c>
      <c r="G365" s="273" t="s">
        <v>3549</v>
      </c>
      <c r="H365" s="358"/>
      <c r="I365" s="262" t="s">
        <v>3529</v>
      </c>
      <c r="J365" s="262" t="s">
        <v>3504</v>
      </c>
      <c r="K365" s="263">
        <v>0</v>
      </c>
      <c r="L365" s="263">
        <v>0</v>
      </c>
      <c r="M365" s="263">
        <v>5554301</v>
      </c>
      <c r="N365" s="263">
        <v>11508513</v>
      </c>
      <c r="O365" s="263">
        <v>29605650</v>
      </c>
      <c r="P365" s="263">
        <v>115876513</v>
      </c>
      <c r="Q365" s="263">
        <v>119468685</v>
      </c>
      <c r="R365" s="263">
        <v>0</v>
      </c>
      <c r="S365" s="263">
        <v>0</v>
      </c>
      <c r="T365" s="263">
        <v>0</v>
      </c>
      <c r="U365" s="263">
        <f t="shared" si="210"/>
        <v>282013662</v>
      </c>
      <c r="V365" s="196" t="str">
        <f t="shared" si="183"/>
        <v>LOS/R</v>
      </c>
      <c r="W365" s="196" t="s">
        <v>1168</v>
      </c>
      <c r="X365" s="196" t="str">
        <f t="shared" si="178"/>
        <v>N</v>
      </c>
      <c r="Y365" s="197">
        <f t="shared" si="184"/>
        <v>282013662</v>
      </c>
      <c r="Z365" s="198"/>
      <c r="AA365" s="197">
        <f t="shared" si="185"/>
        <v>282013662</v>
      </c>
      <c r="AB365" s="196"/>
      <c r="AC365" s="196"/>
      <c r="AD365" s="275">
        <v>0</v>
      </c>
      <c r="AE365" s="275">
        <v>0.2000000021275565</v>
      </c>
      <c r="AF365" s="275">
        <v>0.79999999787244347</v>
      </c>
      <c r="AG365" s="199"/>
      <c r="AH365" s="199"/>
      <c r="AI365" s="200">
        <f t="shared" si="186"/>
        <v>0</v>
      </c>
      <c r="AJ365" s="203"/>
      <c r="AK365" s="203"/>
      <c r="AL365" s="197">
        <f t="shared" si="179"/>
        <v>282013662</v>
      </c>
      <c r="AM365" s="197">
        <f t="shared" si="180"/>
        <v>0</v>
      </c>
      <c r="AN365" s="197">
        <f t="shared" si="181"/>
        <v>0</v>
      </c>
      <c r="AO365" s="202"/>
      <c r="AP365" s="161" t="s">
        <v>3900</v>
      </c>
      <c r="AQ365" s="279"/>
      <c r="AR365" s="287">
        <f t="shared" si="187"/>
        <v>0</v>
      </c>
      <c r="AS365" s="287">
        <f t="shared" si="188"/>
        <v>0</v>
      </c>
      <c r="AT365" s="287">
        <f t="shared" si="189"/>
        <v>0</v>
      </c>
      <c r="AU365" s="287">
        <f t="shared" si="190"/>
        <v>0</v>
      </c>
      <c r="AV365" s="287">
        <f t="shared" si="191"/>
        <v>0</v>
      </c>
      <c r="AW365" s="287">
        <f t="shared" si="192"/>
        <v>0</v>
      </c>
      <c r="AX365" s="287">
        <f t="shared" si="193"/>
        <v>0</v>
      </c>
      <c r="AY365" s="287">
        <f t="shared" si="194"/>
        <v>0</v>
      </c>
      <c r="AZ365" s="287">
        <f t="shared" si="195"/>
        <v>0</v>
      </c>
      <c r="BA365" s="287">
        <f t="shared" si="196"/>
        <v>0</v>
      </c>
      <c r="BB365" s="16"/>
      <c r="BC365" s="287">
        <f t="shared" si="197"/>
        <v>0</v>
      </c>
      <c r="BD365" s="287">
        <f t="shared" si="198"/>
        <v>0</v>
      </c>
      <c r="BE365" s="287">
        <f t="shared" si="199"/>
        <v>0</v>
      </c>
      <c r="BF365" s="287">
        <f t="shared" si="200"/>
        <v>0</v>
      </c>
      <c r="BG365" s="287">
        <f t="shared" si="201"/>
        <v>0</v>
      </c>
      <c r="BH365" s="287">
        <f t="shared" si="202"/>
        <v>0</v>
      </c>
      <c r="BI365" s="287">
        <f t="shared" si="203"/>
        <v>0</v>
      </c>
      <c r="BJ365" s="287">
        <f t="shared" si="204"/>
        <v>0</v>
      </c>
      <c r="BK365" s="287">
        <f t="shared" si="205"/>
        <v>0</v>
      </c>
      <c r="BL365" s="287">
        <f t="shared" si="206"/>
        <v>0</v>
      </c>
      <c r="BM365" s="16"/>
      <c r="BN365" s="287">
        <f t="shared" si="207"/>
        <v>0</v>
      </c>
      <c r="BO365" s="287">
        <f t="shared" si="208"/>
        <v>0</v>
      </c>
      <c r="BP365" s="432"/>
      <c r="BQ365" s="21"/>
      <c r="BR365" s="21"/>
      <c r="BS365" s="39"/>
      <c r="BT365" s="39"/>
      <c r="BU365" s="39"/>
      <c r="BV365" s="39"/>
      <c r="BW365" s="39"/>
      <c r="BX365" s="39"/>
      <c r="BY365" s="39"/>
      <c r="BZ365" s="39">
        <v>352</v>
      </c>
      <c r="CA365" s="39" t="str">
        <f t="shared" si="209"/>
        <v/>
      </c>
      <c r="CB365" s="39"/>
      <c r="CC365" s="39"/>
      <c r="CD365" s="39"/>
      <c r="CE365" s="39"/>
      <c r="CF365" s="39"/>
      <c r="CG365" s="39"/>
      <c r="CH365" s="39"/>
      <c r="CI365" s="39"/>
      <c r="CJ365" s="39"/>
      <c r="CK365" s="39"/>
    </row>
    <row r="366" spans="1:89" s="193" customFormat="1">
      <c r="A366" s="195"/>
      <c r="B366" s="21" t="str">
        <f t="shared" si="182"/>
        <v>N/A</v>
      </c>
      <c r="C366" s="21"/>
      <c r="D366" s="432" t="s">
        <v>3896</v>
      </c>
      <c r="E366" s="439" t="s">
        <v>3626</v>
      </c>
      <c r="F366" s="439" t="s">
        <v>2499</v>
      </c>
      <c r="G366" s="273" t="s">
        <v>3550</v>
      </c>
      <c r="H366" s="358"/>
      <c r="I366" s="262" t="s">
        <v>3529</v>
      </c>
      <c r="J366" s="262" t="s">
        <v>3504</v>
      </c>
      <c r="K366" s="263">
        <v>31029883</v>
      </c>
      <c r="L366" s="263">
        <v>31090360</v>
      </c>
      <c r="M366" s="263">
        <v>0</v>
      </c>
      <c r="N366" s="263">
        <v>0</v>
      </c>
      <c r="O366" s="263">
        <v>0</v>
      </c>
      <c r="P366" s="263">
        <v>0</v>
      </c>
      <c r="Q366" s="263">
        <v>0</v>
      </c>
      <c r="R366" s="263">
        <v>0</v>
      </c>
      <c r="S366" s="263">
        <v>0</v>
      </c>
      <c r="T366" s="263">
        <v>0</v>
      </c>
      <c r="U366" s="263">
        <f t="shared" si="210"/>
        <v>62120243</v>
      </c>
      <c r="V366" s="196" t="str">
        <f t="shared" si="183"/>
        <v>G</v>
      </c>
      <c r="W366" s="196" t="s">
        <v>1168</v>
      </c>
      <c r="X366" s="196" t="str">
        <f t="shared" ref="X366:X384" si="211">IF(LEFT(V366,1)="G","Y","N")</f>
        <v>Y</v>
      </c>
      <c r="Y366" s="197">
        <f t="shared" si="184"/>
        <v>62120243</v>
      </c>
      <c r="Z366" s="198"/>
      <c r="AA366" s="197">
        <f t="shared" si="185"/>
        <v>62120243</v>
      </c>
      <c r="AB366" s="196" t="s">
        <v>1168</v>
      </c>
      <c r="AC366" s="196"/>
      <c r="AD366" s="275">
        <v>1</v>
      </c>
      <c r="AE366" s="275">
        <v>0</v>
      </c>
      <c r="AF366" s="275">
        <v>0</v>
      </c>
      <c r="AG366" s="199"/>
      <c r="AH366" s="199"/>
      <c r="AI366" s="200">
        <f t="shared" si="186"/>
        <v>0</v>
      </c>
      <c r="AJ366" s="203"/>
      <c r="AK366" s="203"/>
      <c r="AL366" s="197">
        <f t="shared" si="179"/>
        <v>62120243</v>
      </c>
      <c r="AM366" s="197">
        <f t="shared" si="180"/>
        <v>0</v>
      </c>
      <c r="AN366" s="197">
        <f t="shared" si="181"/>
        <v>0</v>
      </c>
      <c r="AO366" s="202"/>
      <c r="AP366" s="161" t="s">
        <v>3900</v>
      </c>
      <c r="AQ366" s="279"/>
      <c r="AR366" s="287">
        <f t="shared" si="187"/>
        <v>0</v>
      </c>
      <c r="AS366" s="287">
        <f t="shared" si="188"/>
        <v>0</v>
      </c>
      <c r="AT366" s="287">
        <f t="shared" si="189"/>
        <v>0</v>
      </c>
      <c r="AU366" s="287">
        <f t="shared" si="190"/>
        <v>0</v>
      </c>
      <c r="AV366" s="287">
        <f t="shared" si="191"/>
        <v>0</v>
      </c>
      <c r="AW366" s="287">
        <f t="shared" si="192"/>
        <v>0</v>
      </c>
      <c r="AX366" s="287">
        <f t="shared" si="193"/>
        <v>0</v>
      </c>
      <c r="AY366" s="287">
        <f t="shared" si="194"/>
        <v>0</v>
      </c>
      <c r="AZ366" s="287">
        <f t="shared" si="195"/>
        <v>0</v>
      </c>
      <c r="BA366" s="287">
        <f t="shared" si="196"/>
        <v>0</v>
      </c>
      <c r="BB366" s="16"/>
      <c r="BC366" s="287">
        <f t="shared" si="197"/>
        <v>0</v>
      </c>
      <c r="BD366" s="287">
        <f t="shared" si="198"/>
        <v>0</v>
      </c>
      <c r="BE366" s="287">
        <f t="shared" si="199"/>
        <v>0</v>
      </c>
      <c r="BF366" s="287">
        <f t="shared" si="200"/>
        <v>0</v>
      </c>
      <c r="BG366" s="287">
        <f t="shared" si="201"/>
        <v>0</v>
      </c>
      <c r="BH366" s="287">
        <f t="shared" si="202"/>
        <v>0</v>
      </c>
      <c r="BI366" s="287">
        <f t="shared" si="203"/>
        <v>0</v>
      </c>
      <c r="BJ366" s="287">
        <f t="shared" si="204"/>
        <v>0</v>
      </c>
      <c r="BK366" s="287">
        <f t="shared" si="205"/>
        <v>0</v>
      </c>
      <c r="BL366" s="287">
        <f t="shared" si="206"/>
        <v>0</v>
      </c>
      <c r="BM366" s="16"/>
      <c r="BN366" s="287">
        <f t="shared" si="207"/>
        <v>0</v>
      </c>
      <c r="BO366" s="287">
        <f t="shared" si="208"/>
        <v>0</v>
      </c>
      <c r="BP366" s="432"/>
      <c r="BQ366" s="21"/>
      <c r="BR366" s="21"/>
      <c r="BS366" s="39"/>
      <c r="BT366" s="39"/>
      <c r="BU366" s="39"/>
      <c r="BV366" s="39"/>
      <c r="BW366" s="39"/>
      <c r="BX366" s="39"/>
      <c r="BY366" s="39"/>
      <c r="BZ366" s="39">
        <v>353</v>
      </c>
      <c r="CA366" s="39" t="str">
        <f t="shared" si="209"/>
        <v/>
      </c>
      <c r="CB366" s="39"/>
      <c r="CC366" s="39"/>
      <c r="CD366" s="39"/>
      <c r="CE366" s="39"/>
      <c r="CF366" s="39"/>
      <c r="CG366" s="39"/>
      <c r="CH366" s="39"/>
      <c r="CI366" s="39"/>
      <c r="CJ366" s="39"/>
      <c r="CK366" s="39"/>
    </row>
    <row r="367" spans="1:89" s="193" customFormat="1">
      <c r="A367" s="195"/>
      <c r="B367" s="21" t="str">
        <f t="shared" si="182"/>
        <v>N/A</v>
      </c>
      <c r="C367" s="21"/>
      <c r="D367" s="432" t="s">
        <v>3896</v>
      </c>
      <c r="E367" s="439" t="s">
        <v>3626</v>
      </c>
      <c r="F367" s="439" t="s">
        <v>2499</v>
      </c>
      <c r="G367" s="273" t="s">
        <v>3536</v>
      </c>
      <c r="H367" s="358"/>
      <c r="I367" s="262" t="s">
        <v>3529</v>
      </c>
      <c r="J367" s="262" t="s">
        <v>3504</v>
      </c>
      <c r="K367" s="263">
        <v>30991155</v>
      </c>
      <c r="L367" s="263">
        <v>54126300</v>
      </c>
      <c r="M367" s="263">
        <v>44661465</v>
      </c>
      <c r="N367" s="263">
        <v>26876346</v>
      </c>
      <c r="O367" s="263">
        <v>14733262</v>
      </c>
      <c r="P367" s="263">
        <v>0</v>
      </c>
      <c r="Q367" s="263">
        <v>0</v>
      </c>
      <c r="R367" s="263">
        <v>0</v>
      </c>
      <c r="S367" s="263">
        <v>0</v>
      </c>
      <c r="T367" s="263">
        <v>0</v>
      </c>
      <c r="U367" s="263">
        <f t="shared" si="210"/>
        <v>171388528</v>
      </c>
      <c r="V367" s="196" t="str">
        <f t="shared" si="183"/>
        <v>G</v>
      </c>
      <c r="W367" s="196" t="s">
        <v>1168</v>
      </c>
      <c r="X367" s="196" t="str">
        <f t="shared" si="211"/>
        <v>Y</v>
      </c>
      <c r="Y367" s="197">
        <f t="shared" si="184"/>
        <v>171388528</v>
      </c>
      <c r="Z367" s="198"/>
      <c r="AA367" s="197">
        <f t="shared" si="185"/>
        <v>171388528</v>
      </c>
      <c r="AB367" s="196" t="s">
        <v>1168</v>
      </c>
      <c r="AC367" s="196"/>
      <c r="AD367" s="275">
        <v>1</v>
      </c>
      <c r="AE367" s="275">
        <v>0</v>
      </c>
      <c r="AF367" s="275">
        <v>0</v>
      </c>
      <c r="AG367" s="199"/>
      <c r="AH367" s="199"/>
      <c r="AI367" s="200">
        <f t="shared" si="186"/>
        <v>0</v>
      </c>
      <c r="AJ367" s="203"/>
      <c r="AK367" s="203"/>
      <c r="AL367" s="197">
        <f t="shared" si="179"/>
        <v>171388528</v>
      </c>
      <c r="AM367" s="197">
        <f t="shared" si="180"/>
        <v>0</v>
      </c>
      <c r="AN367" s="197">
        <f t="shared" si="181"/>
        <v>0</v>
      </c>
      <c r="AO367" s="202"/>
      <c r="AP367" s="161" t="s">
        <v>3900</v>
      </c>
      <c r="AQ367" s="279"/>
      <c r="AR367" s="287">
        <f t="shared" si="187"/>
        <v>0</v>
      </c>
      <c r="AS367" s="287">
        <f t="shared" si="188"/>
        <v>0</v>
      </c>
      <c r="AT367" s="287">
        <f t="shared" si="189"/>
        <v>0</v>
      </c>
      <c r="AU367" s="287">
        <f t="shared" si="190"/>
        <v>0</v>
      </c>
      <c r="AV367" s="287">
        <f t="shared" si="191"/>
        <v>0</v>
      </c>
      <c r="AW367" s="287">
        <f t="shared" si="192"/>
        <v>0</v>
      </c>
      <c r="AX367" s="287">
        <f t="shared" si="193"/>
        <v>0</v>
      </c>
      <c r="AY367" s="287">
        <f t="shared" si="194"/>
        <v>0</v>
      </c>
      <c r="AZ367" s="287">
        <f t="shared" si="195"/>
        <v>0</v>
      </c>
      <c r="BA367" s="287">
        <f t="shared" si="196"/>
        <v>0</v>
      </c>
      <c r="BB367" s="16"/>
      <c r="BC367" s="287">
        <f t="shared" si="197"/>
        <v>0</v>
      </c>
      <c r="BD367" s="287">
        <f t="shared" si="198"/>
        <v>0</v>
      </c>
      <c r="BE367" s="287">
        <f t="shared" si="199"/>
        <v>0</v>
      </c>
      <c r="BF367" s="287">
        <f t="shared" si="200"/>
        <v>0</v>
      </c>
      <c r="BG367" s="287">
        <f t="shared" si="201"/>
        <v>0</v>
      </c>
      <c r="BH367" s="287">
        <f t="shared" si="202"/>
        <v>0</v>
      </c>
      <c r="BI367" s="287">
        <f t="shared" si="203"/>
        <v>0</v>
      </c>
      <c r="BJ367" s="287">
        <f t="shared" si="204"/>
        <v>0</v>
      </c>
      <c r="BK367" s="287">
        <f t="shared" si="205"/>
        <v>0</v>
      </c>
      <c r="BL367" s="287">
        <f t="shared" si="206"/>
        <v>0</v>
      </c>
      <c r="BM367" s="16"/>
      <c r="BN367" s="287">
        <f t="shared" si="207"/>
        <v>0</v>
      </c>
      <c r="BO367" s="287">
        <f t="shared" si="208"/>
        <v>0</v>
      </c>
      <c r="BP367" s="432"/>
      <c r="BQ367" s="21"/>
      <c r="BR367" s="21"/>
      <c r="BS367" s="39"/>
      <c r="BT367" s="39"/>
      <c r="BU367" s="39"/>
      <c r="BV367" s="39"/>
      <c r="BW367" s="39"/>
      <c r="BX367" s="39"/>
      <c r="BY367" s="39"/>
      <c r="BZ367" s="39">
        <v>354</v>
      </c>
      <c r="CA367" s="39" t="str">
        <f t="shared" si="209"/>
        <v/>
      </c>
      <c r="CB367" s="39"/>
      <c r="CC367" s="39"/>
      <c r="CD367" s="39"/>
      <c r="CE367" s="39"/>
      <c r="CF367" s="39"/>
      <c r="CG367" s="39"/>
      <c r="CH367" s="39"/>
      <c r="CI367" s="39"/>
      <c r="CJ367" s="39"/>
      <c r="CK367" s="39"/>
    </row>
    <row r="368" spans="1:89" s="193" customFormat="1">
      <c r="A368" s="195"/>
      <c r="B368" s="21" t="str">
        <f t="shared" si="182"/>
        <v>N/A</v>
      </c>
      <c r="C368" s="21"/>
      <c r="D368" s="432" t="s">
        <v>3896</v>
      </c>
      <c r="E368" s="439" t="s">
        <v>3626</v>
      </c>
      <c r="F368" s="439" t="s">
        <v>2499</v>
      </c>
      <c r="G368" s="273" t="s">
        <v>3551</v>
      </c>
      <c r="H368" s="358"/>
      <c r="I368" s="262" t="s">
        <v>3529</v>
      </c>
      <c r="J368" s="262" t="s">
        <v>3504</v>
      </c>
      <c r="K368" s="263">
        <v>6034985</v>
      </c>
      <c r="L368" s="263">
        <v>17215333</v>
      </c>
      <c r="M368" s="263">
        <v>20312209</v>
      </c>
      <c r="N368" s="263">
        <v>20371199</v>
      </c>
      <c r="O368" s="263">
        <v>20253105</v>
      </c>
      <c r="P368" s="263">
        <v>20135809</v>
      </c>
      <c r="Q368" s="263">
        <v>40000037</v>
      </c>
      <c r="R368" s="263">
        <v>39695357</v>
      </c>
      <c r="S368" s="263">
        <v>39431394</v>
      </c>
      <c r="T368" s="263">
        <v>36266775</v>
      </c>
      <c r="U368" s="263">
        <f t="shared" si="210"/>
        <v>259716203</v>
      </c>
      <c r="V368" s="196" t="str">
        <f t="shared" si="183"/>
        <v>G</v>
      </c>
      <c r="W368" s="196" t="s">
        <v>1168</v>
      </c>
      <c r="X368" s="196" t="str">
        <f t="shared" si="211"/>
        <v>Y</v>
      </c>
      <c r="Y368" s="197">
        <f t="shared" si="184"/>
        <v>259716203</v>
      </c>
      <c r="Z368" s="198"/>
      <c r="AA368" s="197">
        <f t="shared" si="185"/>
        <v>259716203</v>
      </c>
      <c r="AB368" s="196" t="s">
        <v>1168</v>
      </c>
      <c r="AC368" s="196"/>
      <c r="AD368" s="275">
        <v>1</v>
      </c>
      <c r="AE368" s="275">
        <v>0</v>
      </c>
      <c r="AF368" s="275">
        <v>0</v>
      </c>
      <c r="AG368" s="199"/>
      <c r="AH368" s="199"/>
      <c r="AI368" s="200">
        <f t="shared" si="186"/>
        <v>0</v>
      </c>
      <c r="AJ368" s="203"/>
      <c r="AK368" s="203"/>
      <c r="AL368" s="197">
        <f t="shared" si="179"/>
        <v>259716203</v>
      </c>
      <c r="AM368" s="197">
        <f t="shared" si="180"/>
        <v>0</v>
      </c>
      <c r="AN368" s="197">
        <f t="shared" si="181"/>
        <v>0</v>
      </c>
      <c r="AO368" s="202"/>
      <c r="AP368" s="161" t="s">
        <v>3900</v>
      </c>
      <c r="AQ368" s="279"/>
      <c r="AR368" s="287">
        <f t="shared" si="187"/>
        <v>0</v>
      </c>
      <c r="AS368" s="287">
        <f t="shared" si="188"/>
        <v>0</v>
      </c>
      <c r="AT368" s="287">
        <f t="shared" si="189"/>
        <v>0</v>
      </c>
      <c r="AU368" s="287">
        <f t="shared" si="190"/>
        <v>0</v>
      </c>
      <c r="AV368" s="287">
        <f t="shared" si="191"/>
        <v>0</v>
      </c>
      <c r="AW368" s="287">
        <f t="shared" si="192"/>
        <v>0</v>
      </c>
      <c r="AX368" s="287">
        <f t="shared" si="193"/>
        <v>0</v>
      </c>
      <c r="AY368" s="287">
        <f t="shared" si="194"/>
        <v>0</v>
      </c>
      <c r="AZ368" s="287">
        <f t="shared" si="195"/>
        <v>0</v>
      </c>
      <c r="BA368" s="287">
        <f t="shared" si="196"/>
        <v>0</v>
      </c>
      <c r="BB368" s="16"/>
      <c r="BC368" s="287">
        <f t="shared" si="197"/>
        <v>0</v>
      </c>
      <c r="BD368" s="287">
        <f t="shared" si="198"/>
        <v>0</v>
      </c>
      <c r="BE368" s="287">
        <f t="shared" si="199"/>
        <v>0</v>
      </c>
      <c r="BF368" s="287">
        <f t="shared" si="200"/>
        <v>0</v>
      </c>
      <c r="BG368" s="287">
        <f t="shared" si="201"/>
        <v>0</v>
      </c>
      <c r="BH368" s="287">
        <f t="shared" si="202"/>
        <v>0</v>
      </c>
      <c r="BI368" s="287">
        <f t="shared" si="203"/>
        <v>0</v>
      </c>
      <c r="BJ368" s="287">
        <f t="shared" si="204"/>
        <v>0</v>
      </c>
      <c r="BK368" s="287">
        <f t="shared" si="205"/>
        <v>0</v>
      </c>
      <c r="BL368" s="287">
        <f t="shared" si="206"/>
        <v>0</v>
      </c>
      <c r="BM368" s="16"/>
      <c r="BN368" s="287">
        <f t="shared" si="207"/>
        <v>0</v>
      </c>
      <c r="BO368" s="287">
        <f t="shared" si="208"/>
        <v>0</v>
      </c>
      <c r="BP368" s="432"/>
      <c r="BQ368" s="21"/>
      <c r="BR368" s="21"/>
      <c r="BS368" s="39"/>
      <c r="BT368" s="39"/>
      <c r="BU368" s="39"/>
      <c r="BV368" s="39"/>
      <c r="BW368" s="39"/>
      <c r="BX368" s="39"/>
      <c r="BY368" s="39"/>
      <c r="BZ368" s="39">
        <v>355</v>
      </c>
      <c r="CA368" s="39" t="str">
        <f t="shared" si="209"/>
        <v/>
      </c>
      <c r="CB368" s="39"/>
      <c r="CC368" s="39"/>
      <c r="CD368" s="39"/>
      <c r="CE368" s="39"/>
      <c r="CF368" s="39"/>
      <c r="CG368" s="39"/>
      <c r="CH368" s="39"/>
      <c r="CI368" s="39"/>
      <c r="CJ368" s="39"/>
      <c r="CK368" s="39"/>
    </row>
    <row r="369" spans="1:89" s="193" customFormat="1">
      <c r="A369" s="195"/>
      <c r="B369" s="21" t="str">
        <f t="shared" si="182"/>
        <v>N/A</v>
      </c>
      <c r="C369" s="21"/>
      <c r="D369" s="432" t="s">
        <v>3896</v>
      </c>
      <c r="E369" s="439" t="s">
        <v>3626</v>
      </c>
      <c r="F369" s="439" t="s">
        <v>2499</v>
      </c>
      <c r="G369" s="273" t="s">
        <v>3537</v>
      </c>
      <c r="H369" s="358"/>
      <c r="I369" s="262" t="s">
        <v>3529</v>
      </c>
      <c r="J369" s="262" t="s">
        <v>3504</v>
      </c>
      <c r="K369" s="263">
        <v>32274096</v>
      </c>
      <c r="L369" s="263">
        <v>58328282</v>
      </c>
      <c r="M369" s="263">
        <v>31357701</v>
      </c>
      <c r="N369" s="263">
        <v>32569092</v>
      </c>
      <c r="O369" s="263">
        <v>18947616</v>
      </c>
      <c r="P369" s="263">
        <v>0</v>
      </c>
      <c r="Q369" s="263">
        <v>0</v>
      </c>
      <c r="R369" s="263">
        <v>11925890</v>
      </c>
      <c r="S369" s="263">
        <v>12247889</v>
      </c>
      <c r="T369" s="263">
        <v>0</v>
      </c>
      <c r="U369" s="263">
        <f t="shared" si="210"/>
        <v>197650566</v>
      </c>
      <c r="V369" s="196" t="str">
        <f t="shared" si="183"/>
        <v>G</v>
      </c>
      <c r="W369" s="196" t="s">
        <v>1168</v>
      </c>
      <c r="X369" s="196" t="str">
        <f t="shared" si="211"/>
        <v>Y</v>
      </c>
      <c r="Y369" s="197">
        <f t="shared" si="184"/>
        <v>197650566</v>
      </c>
      <c r="Z369" s="198"/>
      <c r="AA369" s="197">
        <f t="shared" si="185"/>
        <v>197650566</v>
      </c>
      <c r="AB369" s="196" t="s">
        <v>1168</v>
      </c>
      <c r="AC369" s="196"/>
      <c r="AD369" s="275">
        <v>1</v>
      </c>
      <c r="AE369" s="275">
        <v>0</v>
      </c>
      <c r="AF369" s="275">
        <v>0</v>
      </c>
      <c r="AG369" s="199"/>
      <c r="AH369" s="199"/>
      <c r="AI369" s="200">
        <f t="shared" si="186"/>
        <v>0</v>
      </c>
      <c r="AJ369" s="203"/>
      <c r="AK369" s="203"/>
      <c r="AL369" s="197">
        <f t="shared" si="179"/>
        <v>197650566</v>
      </c>
      <c r="AM369" s="197">
        <f t="shared" si="180"/>
        <v>0</v>
      </c>
      <c r="AN369" s="197">
        <f t="shared" si="181"/>
        <v>0</v>
      </c>
      <c r="AO369" s="202"/>
      <c r="AP369" s="161" t="s">
        <v>3900</v>
      </c>
      <c r="AQ369" s="279"/>
      <c r="AR369" s="287">
        <f t="shared" si="187"/>
        <v>0</v>
      </c>
      <c r="AS369" s="287">
        <f t="shared" si="188"/>
        <v>0</v>
      </c>
      <c r="AT369" s="287">
        <f t="shared" si="189"/>
        <v>0</v>
      </c>
      <c r="AU369" s="287">
        <f t="shared" si="190"/>
        <v>0</v>
      </c>
      <c r="AV369" s="287">
        <f t="shared" si="191"/>
        <v>0</v>
      </c>
      <c r="AW369" s="287">
        <f t="shared" si="192"/>
        <v>0</v>
      </c>
      <c r="AX369" s="287">
        <f t="shared" si="193"/>
        <v>0</v>
      </c>
      <c r="AY369" s="287">
        <f t="shared" si="194"/>
        <v>0</v>
      </c>
      <c r="AZ369" s="287">
        <f t="shared" si="195"/>
        <v>0</v>
      </c>
      <c r="BA369" s="287">
        <f t="shared" si="196"/>
        <v>0</v>
      </c>
      <c r="BB369" s="16"/>
      <c r="BC369" s="287">
        <f t="shared" si="197"/>
        <v>0</v>
      </c>
      <c r="BD369" s="287">
        <f t="shared" si="198"/>
        <v>0</v>
      </c>
      <c r="BE369" s="287">
        <f t="shared" si="199"/>
        <v>0</v>
      </c>
      <c r="BF369" s="287">
        <f t="shared" si="200"/>
        <v>0</v>
      </c>
      <c r="BG369" s="287">
        <f t="shared" si="201"/>
        <v>0</v>
      </c>
      <c r="BH369" s="287">
        <f t="shared" si="202"/>
        <v>0</v>
      </c>
      <c r="BI369" s="287">
        <f t="shared" si="203"/>
        <v>0</v>
      </c>
      <c r="BJ369" s="287">
        <f t="shared" si="204"/>
        <v>0</v>
      </c>
      <c r="BK369" s="287">
        <f t="shared" si="205"/>
        <v>0</v>
      </c>
      <c r="BL369" s="287">
        <f t="shared" si="206"/>
        <v>0</v>
      </c>
      <c r="BM369" s="16"/>
      <c r="BN369" s="287">
        <f t="shared" si="207"/>
        <v>0</v>
      </c>
      <c r="BO369" s="287">
        <f t="shared" si="208"/>
        <v>0</v>
      </c>
      <c r="BP369" s="432"/>
      <c r="BQ369" s="21"/>
      <c r="BR369" s="21"/>
      <c r="BS369" s="39"/>
      <c r="BT369" s="39"/>
      <c r="BU369" s="39"/>
      <c r="BV369" s="39"/>
      <c r="BW369" s="39"/>
      <c r="BX369" s="39"/>
      <c r="BY369" s="39"/>
      <c r="BZ369" s="39">
        <v>356</v>
      </c>
      <c r="CA369" s="39" t="str">
        <f t="shared" si="209"/>
        <v/>
      </c>
      <c r="CB369" s="39"/>
      <c r="CC369" s="39"/>
      <c r="CD369" s="39"/>
      <c r="CE369" s="39"/>
      <c r="CF369" s="39"/>
      <c r="CG369" s="39"/>
      <c r="CH369" s="39"/>
      <c r="CI369" s="39"/>
      <c r="CJ369" s="39"/>
      <c r="CK369" s="39"/>
    </row>
    <row r="370" spans="1:89" s="193" customFormat="1">
      <c r="A370" s="195"/>
      <c r="B370" s="21" t="str">
        <f t="shared" si="182"/>
        <v>N/A</v>
      </c>
      <c r="C370" s="21"/>
      <c r="D370" s="432" t="s">
        <v>3896</v>
      </c>
      <c r="E370" s="439" t="s">
        <v>3626</v>
      </c>
      <c r="F370" s="439" t="s">
        <v>2499</v>
      </c>
      <c r="G370" s="273" t="s">
        <v>3538</v>
      </c>
      <c r="H370" s="358"/>
      <c r="I370" s="262" t="s">
        <v>3529</v>
      </c>
      <c r="J370" s="262" t="s">
        <v>3504</v>
      </c>
      <c r="K370" s="263">
        <v>49554</v>
      </c>
      <c r="L370" s="263">
        <v>44091</v>
      </c>
      <c r="M370" s="263">
        <v>45634</v>
      </c>
      <c r="N370" s="263">
        <v>70915</v>
      </c>
      <c r="O370" s="263">
        <v>109458</v>
      </c>
      <c r="P370" s="263">
        <v>175376</v>
      </c>
      <c r="Q370" s="263">
        <v>193728</v>
      </c>
      <c r="R370" s="263">
        <v>198765</v>
      </c>
      <c r="S370" s="263">
        <v>204131</v>
      </c>
      <c r="T370" s="263">
        <v>153888</v>
      </c>
      <c r="U370" s="263">
        <f t="shared" si="210"/>
        <v>1245540</v>
      </c>
      <c r="V370" s="196" t="str">
        <f t="shared" si="183"/>
        <v>R</v>
      </c>
      <c r="W370" s="196" t="s">
        <v>1168</v>
      </c>
      <c r="X370" s="196" t="str">
        <f t="shared" si="211"/>
        <v>N</v>
      </c>
      <c r="Y370" s="197">
        <f t="shared" si="184"/>
        <v>1245540</v>
      </c>
      <c r="Z370" s="198"/>
      <c r="AA370" s="197">
        <f t="shared" si="185"/>
        <v>1245540</v>
      </c>
      <c r="AB370" s="196"/>
      <c r="AC370" s="196"/>
      <c r="AD370" s="275">
        <v>0</v>
      </c>
      <c r="AE370" s="275">
        <v>0</v>
      </c>
      <c r="AF370" s="275">
        <v>1</v>
      </c>
      <c r="AG370" s="199"/>
      <c r="AH370" s="199"/>
      <c r="AI370" s="200">
        <f t="shared" si="186"/>
        <v>0</v>
      </c>
      <c r="AJ370" s="203"/>
      <c r="AK370" s="203"/>
      <c r="AL370" s="197">
        <f t="shared" si="179"/>
        <v>1245540</v>
      </c>
      <c r="AM370" s="197">
        <f t="shared" si="180"/>
        <v>0</v>
      </c>
      <c r="AN370" s="197">
        <f t="shared" si="181"/>
        <v>0</v>
      </c>
      <c r="AO370" s="202"/>
      <c r="AP370" s="161" t="s">
        <v>3900</v>
      </c>
      <c r="AQ370" s="279"/>
      <c r="AR370" s="287">
        <f t="shared" si="187"/>
        <v>0</v>
      </c>
      <c r="AS370" s="287">
        <f t="shared" si="188"/>
        <v>0</v>
      </c>
      <c r="AT370" s="287">
        <f t="shared" si="189"/>
        <v>0</v>
      </c>
      <c r="AU370" s="287">
        <f t="shared" si="190"/>
        <v>0</v>
      </c>
      <c r="AV370" s="287">
        <f t="shared" si="191"/>
        <v>0</v>
      </c>
      <c r="AW370" s="287">
        <f t="shared" si="192"/>
        <v>0</v>
      </c>
      <c r="AX370" s="287">
        <f t="shared" si="193"/>
        <v>0</v>
      </c>
      <c r="AY370" s="287">
        <f t="shared" si="194"/>
        <v>0</v>
      </c>
      <c r="AZ370" s="287">
        <f t="shared" si="195"/>
        <v>0</v>
      </c>
      <c r="BA370" s="287">
        <f t="shared" si="196"/>
        <v>0</v>
      </c>
      <c r="BB370" s="16"/>
      <c r="BC370" s="287">
        <f t="shared" si="197"/>
        <v>0</v>
      </c>
      <c r="BD370" s="287">
        <f t="shared" si="198"/>
        <v>0</v>
      </c>
      <c r="BE370" s="287">
        <f t="shared" si="199"/>
        <v>0</v>
      </c>
      <c r="BF370" s="287">
        <f t="shared" si="200"/>
        <v>0</v>
      </c>
      <c r="BG370" s="287">
        <f t="shared" si="201"/>
        <v>0</v>
      </c>
      <c r="BH370" s="287">
        <f t="shared" si="202"/>
        <v>0</v>
      </c>
      <c r="BI370" s="287">
        <f t="shared" si="203"/>
        <v>0</v>
      </c>
      <c r="BJ370" s="287">
        <f t="shared" si="204"/>
        <v>0</v>
      </c>
      <c r="BK370" s="287">
        <f t="shared" si="205"/>
        <v>0</v>
      </c>
      <c r="BL370" s="287">
        <f t="shared" si="206"/>
        <v>0</v>
      </c>
      <c r="BM370" s="16"/>
      <c r="BN370" s="287">
        <f t="shared" si="207"/>
        <v>0</v>
      </c>
      <c r="BO370" s="287">
        <f t="shared" si="208"/>
        <v>0</v>
      </c>
      <c r="BP370" s="432"/>
      <c r="BQ370" s="21"/>
      <c r="BR370" s="21"/>
      <c r="BS370" s="39"/>
      <c r="BT370" s="39"/>
      <c r="BU370" s="39"/>
      <c r="BV370" s="39"/>
      <c r="BW370" s="39"/>
      <c r="BX370" s="39"/>
      <c r="BY370" s="39"/>
      <c r="BZ370" s="39">
        <v>357</v>
      </c>
      <c r="CA370" s="39" t="str">
        <f t="shared" si="209"/>
        <v/>
      </c>
      <c r="CB370" s="39"/>
      <c r="CC370" s="39"/>
      <c r="CD370" s="39"/>
      <c r="CE370" s="39"/>
      <c r="CF370" s="39"/>
      <c r="CG370" s="39"/>
      <c r="CH370" s="39"/>
      <c r="CI370" s="39"/>
      <c r="CJ370" s="39"/>
      <c r="CK370" s="39"/>
    </row>
    <row r="371" spans="1:89" s="193" customFormat="1">
      <c r="A371" s="195"/>
      <c r="B371" s="21" t="str">
        <f t="shared" si="182"/>
        <v>N/A</v>
      </c>
      <c r="C371" s="21"/>
      <c r="D371" s="432" t="s">
        <v>3896</v>
      </c>
      <c r="E371" s="439" t="s">
        <v>3626</v>
      </c>
      <c r="F371" s="439" t="s">
        <v>2499</v>
      </c>
      <c r="G371" s="273" t="s">
        <v>3539</v>
      </c>
      <c r="H371" s="358"/>
      <c r="I371" s="262" t="s">
        <v>3529</v>
      </c>
      <c r="J371" s="262" t="s">
        <v>3504</v>
      </c>
      <c r="K371" s="263">
        <v>11464145</v>
      </c>
      <c r="L371" s="263">
        <v>10741315</v>
      </c>
      <c r="M371" s="263">
        <v>4511187</v>
      </c>
      <c r="N371" s="263">
        <v>6453307</v>
      </c>
      <c r="O371" s="263">
        <v>10507969</v>
      </c>
      <c r="P371" s="263">
        <v>15783844.999999998</v>
      </c>
      <c r="Q371" s="263">
        <v>14142136</v>
      </c>
      <c r="R371" s="263">
        <v>10534536</v>
      </c>
      <c r="S371" s="263">
        <v>10002443</v>
      </c>
      <c r="T371" s="263">
        <v>12157146</v>
      </c>
      <c r="U371" s="263">
        <f t="shared" si="210"/>
        <v>106298029</v>
      </c>
      <c r="V371" s="196" t="str">
        <f t="shared" si="183"/>
        <v>G/R</v>
      </c>
      <c r="W371" s="196" t="s">
        <v>1168</v>
      </c>
      <c r="X371" s="196" t="str">
        <f t="shared" si="211"/>
        <v>Y</v>
      </c>
      <c r="Y371" s="197">
        <f t="shared" si="184"/>
        <v>106298029</v>
      </c>
      <c r="Z371" s="198"/>
      <c r="AA371" s="197">
        <f t="shared" si="185"/>
        <v>106298029</v>
      </c>
      <c r="AB371" s="196" t="s">
        <v>1168</v>
      </c>
      <c r="AC371" s="196"/>
      <c r="AD371" s="275">
        <v>0.2000000112890146</v>
      </c>
      <c r="AE371" s="275">
        <v>0</v>
      </c>
      <c r="AF371" s="275">
        <v>0.79999998871098543</v>
      </c>
      <c r="AG371" s="199"/>
      <c r="AH371" s="199"/>
      <c r="AI371" s="200">
        <f t="shared" si="186"/>
        <v>0</v>
      </c>
      <c r="AJ371" s="203"/>
      <c r="AK371" s="203"/>
      <c r="AL371" s="197">
        <f t="shared" si="179"/>
        <v>106298029</v>
      </c>
      <c r="AM371" s="197">
        <f t="shared" si="180"/>
        <v>0</v>
      </c>
      <c r="AN371" s="197">
        <f t="shared" si="181"/>
        <v>0</v>
      </c>
      <c r="AO371" s="202"/>
      <c r="AP371" s="161" t="s">
        <v>3900</v>
      </c>
      <c r="AQ371" s="279"/>
      <c r="AR371" s="287">
        <f t="shared" si="187"/>
        <v>0</v>
      </c>
      <c r="AS371" s="287">
        <f t="shared" si="188"/>
        <v>0</v>
      </c>
      <c r="AT371" s="287">
        <f t="shared" si="189"/>
        <v>0</v>
      </c>
      <c r="AU371" s="287">
        <f t="shared" si="190"/>
        <v>0</v>
      </c>
      <c r="AV371" s="287">
        <f t="shared" si="191"/>
        <v>0</v>
      </c>
      <c r="AW371" s="287">
        <f t="shared" si="192"/>
        <v>0</v>
      </c>
      <c r="AX371" s="287">
        <f t="shared" si="193"/>
        <v>0</v>
      </c>
      <c r="AY371" s="287">
        <f t="shared" si="194"/>
        <v>0</v>
      </c>
      <c r="AZ371" s="287">
        <f t="shared" si="195"/>
        <v>0</v>
      </c>
      <c r="BA371" s="287">
        <f t="shared" si="196"/>
        <v>0</v>
      </c>
      <c r="BB371" s="16"/>
      <c r="BC371" s="287">
        <f t="shared" si="197"/>
        <v>0</v>
      </c>
      <c r="BD371" s="287">
        <f t="shared" si="198"/>
        <v>0</v>
      </c>
      <c r="BE371" s="287">
        <f t="shared" si="199"/>
        <v>0</v>
      </c>
      <c r="BF371" s="287">
        <f t="shared" si="200"/>
        <v>0</v>
      </c>
      <c r="BG371" s="287">
        <f t="shared" si="201"/>
        <v>0</v>
      </c>
      <c r="BH371" s="287">
        <f t="shared" si="202"/>
        <v>0</v>
      </c>
      <c r="BI371" s="287">
        <f t="shared" si="203"/>
        <v>0</v>
      </c>
      <c r="BJ371" s="287">
        <f t="shared" si="204"/>
        <v>0</v>
      </c>
      <c r="BK371" s="287">
        <f t="shared" si="205"/>
        <v>0</v>
      </c>
      <c r="BL371" s="287">
        <f t="shared" si="206"/>
        <v>0</v>
      </c>
      <c r="BM371" s="16"/>
      <c r="BN371" s="287">
        <f t="shared" si="207"/>
        <v>0</v>
      </c>
      <c r="BO371" s="287">
        <f t="shared" si="208"/>
        <v>0</v>
      </c>
      <c r="BP371" s="432"/>
      <c r="BQ371" s="21"/>
      <c r="BR371" s="21"/>
      <c r="BS371" s="39"/>
      <c r="BT371" s="39"/>
      <c r="BU371" s="39"/>
      <c r="BV371" s="39"/>
      <c r="BW371" s="39"/>
      <c r="BX371" s="39"/>
      <c r="BY371" s="39"/>
      <c r="BZ371" s="39">
        <v>358</v>
      </c>
      <c r="CA371" s="39" t="str">
        <f t="shared" si="209"/>
        <v/>
      </c>
      <c r="CB371" s="39"/>
      <c r="CC371" s="39"/>
      <c r="CD371" s="39"/>
      <c r="CE371" s="39"/>
      <c r="CF371" s="39"/>
      <c r="CG371" s="39"/>
      <c r="CH371" s="39"/>
      <c r="CI371" s="39"/>
      <c r="CJ371" s="39"/>
      <c r="CK371" s="39"/>
    </row>
    <row r="372" spans="1:89" s="193" customFormat="1">
      <c r="A372" s="195"/>
      <c r="B372" s="21" t="str">
        <f t="shared" si="182"/>
        <v>N/A</v>
      </c>
      <c r="C372" s="21"/>
      <c r="D372" s="432" t="s">
        <v>3896</v>
      </c>
      <c r="E372" s="439" t="s">
        <v>3626</v>
      </c>
      <c r="F372" s="439" t="s">
        <v>2499</v>
      </c>
      <c r="G372" s="273" t="s">
        <v>3540</v>
      </c>
      <c r="H372" s="358"/>
      <c r="I372" s="262" t="s">
        <v>3529</v>
      </c>
      <c r="J372" s="262" t="s">
        <v>3504</v>
      </c>
      <c r="K372" s="263">
        <v>34912598</v>
      </c>
      <c r="L372" s="263">
        <v>12387499</v>
      </c>
      <c r="M372" s="263">
        <v>5755367</v>
      </c>
      <c r="N372" s="263">
        <v>6027814</v>
      </c>
      <c r="O372" s="263">
        <v>7333686</v>
      </c>
      <c r="P372" s="263">
        <v>8418051</v>
      </c>
      <c r="Q372" s="263">
        <v>11042490</v>
      </c>
      <c r="R372" s="263">
        <v>10932065</v>
      </c>
      <c r="S372" s="263">
        <v>10410706</v>
      </c>
      <c r="T372" s="263">
        <v>8002172</v>
      </c>
      <c r="U372" s="263">
        <f t="shared" si="210"/>
        <v>115222448</v>
      </c>
      <c r="V372" s="196" t="str">
        <f t="shared" si="183"/>
        <v>G/LOS/R</v>
      </c>
      <c r="W372" s="196" t="s">
        <v>1168</v>
      </c>
      <c r="X372" s="196" t="str">
        <f t="shared" si="211"/>
        <v>Y</v>
      </c>
      <c r="Y372" s="197">
        <f t="shared" si="184"/>
        <v>115222448</v>
      </c>
      <c r="Z372" s="198"/>
      <c r="AA372" s="197">
        <f t="shared" si="185"/>
        <v>115222448</v>
      </c>
      <c r="AB372" s="196" t="s">
        <v>1168</v>
      </c>
      <c r="AC372" s="196"/>
      <c r="AD372" s="275">
        <v>0.12186135812702052</v>
      </c>
      <c r="AE372" s="275">
        <v>0.39069314861284671</v>
      </c>
      <c r="AF372" s="275">
        <v>0.48744549326013276</v>
      </c>
      <c r="AG372" s="199"/>
      <c r="AH372" s="199"/>
      <c r="AI372" s="200">
        <f t="shared" si="186"/>
        <v>0</v>
      </c>
      <c r="AJ372" s="203"/>
      <c r="AK372" s="203"/>
      <c r="AL372" s="197">
        <f t="shared" si="179"/>
        <v>115222448</v>
      </c>
      <c r="AM372" s="197">
        <f t="shared" si="180"/>
        <v>0</v>
      </c>
      <c r="AN372" s="197">
        <f t="shared" si="181"/>
        <v>0</v>
      </c>
      <c r="AO372" s="202"/>
      <c r="AP372" s="161" t="s">
        <v>3900</v>
      </c>
      <c r="AQ372" s="279"/>
      <c r="AR372" s="287">
        <f t="shared" si="187"/>
        <v>0</v>
      </c>
      <c r="AS372" s="287">
        <f t="shared" si="188"/>
        <v>0</v>
      </c>
      <c r="AT372" s="287">
        <f t="shared" si="189"/>
        <v>0</v>
      </c>
      <c r="AU372" s="287">
        <f t="shared" si="190"/>
        <v>0</v>
      </c>
      <c r="AV372" s="287">
        <f t="shared" si="191"/>
        <v>0</v>
      </c>
      <c r="AW372" s="287">
        <f t="shared" si="192"/>
        <v>0</v>
      </c>
      <c r="AX372" s="287">
        <f t="shared" si="193"/>
        <v>0</v>
      </c>
      <c r="AY372" s="287">
        <f t="shared" si="194"/>
        <v>0</v>
      </c>
      <c r="AZ372" s="287">
        <f t="shared" si="195"/>
        <v>0</v>
      </c>
      <c r="BA372" s="287">
        <f t="shared" si="196"/>
        <v>0</v>
      </c>
      <c r="BB372" s="16"/>
      <c r="BC372" s="287">
        <f t="shared" si="197"/>
        <v>0</v>
      </c>
      <c r="BD372" s="287">
        <f t="shared" si="198"/>
        <v>0</v>
      </c>
      <c r="BE372" s="287">
        <f t="shared" si="199"/>
        <v>0</v>
      </c>
      <c r="BF372" s="287">
        <f t="shared" si="200"/>
        <v>0</v>
      </c>
      <c r="BG372" s="287">
        <f t="shared" si="201"/>
        <v>0</v>
      </c>
      <c r="BH372" s="287">
        <f t="shared" si="202"/>
        <v>0</v>
      </c>
      <c r="BI372" s="287">
        <f t="shared" si="203"/>
        <v>0</v>
      </c>
      <c r="BJ372" s="287">
        <f t="shared" si="204"/>
        <v>0</v>
      </c>
      <c r="BK372" s="287">
        <f t="shared" si="205"/>
        <v>0</v>
      </c>
      <c r="BL372" s="287">
        <f t="shared" si="206"/>
        <v>0</v>
      </c>
      <c r="BM372" s="16"/>
      <c r="BN372" s="287">
        <f t="shared" si="207"/>
        <v>0</v>
      </c>
      <c r="BO372" s="287">
        <f t="shared" si="208"/>
        <v>0</v>
      </c>
      <c r="BP372" s="432"/>
      <c r="BQ372" s="21"/>
      <c r="BR372" s="21"/>
      <c r="BS372" s="39"/>
      <c r="BT372" s="39"/>
      <c r="BU372" s="39"/>
      <c r="BV372" s="39"/>
      <c r="BW372" s="39"/>
      <c r="BX372" s="39"/>
      <c r="BY372" s="39"/>
      <c r="BZ372" s="39">
        <v>359</v>
      </c>
      <c r="CA372" s="39" t="str">
        <f t="shared" si="209"/>
        <v/>
      </c>
      <c r="CB372" s="39"/>
      <c r="CC372" s="39"/>
      <c r="CD372" s="39"/>
      <c r="CE372" s="39"/>
      <c r="CF372" s="39"/>
      <c r="CG372" s="39"/>
      <c r="CH372" s="39"/>
      <c r="CI372" s="39"/>
      <c r="CJ372" s="39"/>
      <c r="CK372" s="39"/>
    </row>
    <row r="373" spans="1:89" s="193" customFormat="1">
      <c r="A373" s="195"/>
      <c r="B373" s="21" t="str">
        <f t="shared" si="182"/>
        <v>N/A</v>
      </c>
      <c r="C373" s="21"/>
      <c r="D373" s="432" t="s">
        <v>3896</v>
      </c>
      <c r="E373" s="439" t="s">
        <v>3626</v>
      </c>
      <c r="F373" s="439" t="s">
        <v>2499</v>
      </c>
      <c r="G373" s="273" t="s">
        <v>3541</v>
      </c>
      <c r="H373" s="358"/>
      <c r="I373" s="262" t="s">
        <v>3529</v>
      </c>
      <c r="J373" s="262" t="s">
        <v>3504</v>
      </c>
      <c r="K373" s="263">
        <v>1653335</v>
      </c>
      <c r="L373" s="263">
        <v>5336753</v>
      </c>
      <c r="M373" s="263">
        <v>6269698</v>
      </c>
      <c r="N373" s="263">
        <v>0</v>
      </c>
      <c r="O373" s="263">
        <v>0</v>
      </c>
      <c r="P373" s="263">
        <v>0</v>
      </c>
      <c r="Q373" s="263">
        <v>0</v>
      </c>
      <c r="R373" s="263">
        <v>0</v>
      </c>
      <c r="S373" s="263">
        <v>6804383</v>
      </c>
      <c r="T373" s="263">
        <v>27979621</v>
      </c>
      <c r="U373" s="263">
        <f t="shared" si="210"/>
        <v>48043790</v>
      </c>
      <c r="V373" s="196" t="str">
        <f t="shared" si="183"/>
        <v>G</v>
      </c>
      <c r="W373" s="196" t="s">
        <v>1168</v>
      </c>
      <c r="X373" s="196" t="str">
        <f t="shared" si="211"/>
        <v>Y</v>
      </c>
      <c r="Y373" s="197">
        <f t="shared" si="184"/>
        <v>48043790</v>
      </c>
      <c r="Z373" s="198"/>
      <c r="AA373" s="197">
        <f t="shared" si="185"/>
        <v>48043790</v>
      </c>
      <c r="AB373" s="196" t="s">
        <v>1168</v>
      </c>
      <c r="AC373" s="196"/>
      <c r="AD373" s="275">
        <v>1</v>
      </c>
      <c r="AE373" s="275">
        <v>0</v>
      </c>
      <c r="AF373" s="275">
        <v>0</v>
      </c>
      <c r="AG373" s="199"/>
      <c r="AH373" s="199"/>
      <c r="AI373" s="200">
        <f t="shared" si="186"/>
        <v>0</v>
      </c>
      <c r="AJ373" s="203"/>
      <c r="AK373" s="203"/>
      <c r="AL373" s="197">
        <f t="shared" si="179"/>
        <v>48043790</v>
      </c>
      <c r="AM373" s="197">
        <f t="shared" si="180"/>
        <v>0</v>
      </c>
      <c r="AN373" s="197">
        <f t="shared" si="181"/>
        <v>0</v>
      </c>
      <c r="AO373" s="202"/>
      <c r="AP373" s="161" t="s">
        <v>3900</v>
      </c>
      <c r="AQ373" s="279"/>
      <c r="AR373" s="287">
        <f t="shared" si="187"/>
        <v>0</v>
      </c>
      <c r="AS373" s="287">
        <f t="shared" si="188"/>
        <v>0</v>
      </c>
      <c r="AT373" s="287">
        <f t="shared" si="189"/>
        <v>0</v>
      </c>
      <c r="AU373" s="287">
        <f t="shared" si="190"/>
        <v>0</v>
      </c>
      <c r="AV373" s="287">
        <f t="shared" si="191"/>
        <v>0</v>
      </c>
      <c r="AW373" s="287">
        <f t="shared" si="192"/>
        <v>0</v>
      </c>
      <c r="AX373" s="287">
        <f t="shared" si="193"/>
        <v>0</v>
      </c>
      <c r="AY373" s="287">
        <f t="shared" si="194"/>
        <v>0</v>
      </c>
      <c r="AZ373" s="287">
        <f t="shared" si="195"/>
        <v>0</v>
      </c>
      <c r="BA373" s="287">
        <f t="shared" si="196"/>
        <v>0</v>
      </c>
      <c r="BB373" s="16"/>
      <c r="BC373" s="287">
        <f t="shared" si="197"/>
        <v>0</v>
      </c>
      <c r="BD373" s="287">
        <f t="shared" si="198"/>
        <v>0</v>
      </c>
      <c r="BE373" s="287">
        <f t="shared" si="199"/>
        <v>0</v>
      </c>
      <c r="BF373" s="287">
        <f t="shared" si="200"/>
        <v>0</v>
      </c>
      <c r="BG373" s="287">
        <f t="shared" si="201"/>
        <v>0</v>
      </c>
      <c r="BH373" s="287">
        <f t="shared" si="202"/>
        <v>0</v>
      </c>
      <c r="BI373" s="287">
        <f t="shared" si="203"/>
        <v>0</v>
      </c>
      <c r="BJ373" s="287">
        <f t="shared" si="204"/>
        <v>0</v>
      </c>
      <c r="BK373" s="287">
        <f t="shared" si="205"/>
        <v>0</v>
      </c>
      <c r="BL373" s="287">
        <f t="shared" si="206"/>
        <v>0</v>
      </c>
      <c r="BM373" s="16"/>
      <c r="BN373" s="287">
        <f t="shared" si="207"/>
        <v>0</v>
      </c>
      <c r="BO373" s="287">
        <f t="shared" si="208"/>
        <v>0</v>
      </c>
      <c r="BP373" s="432"/>
      <c r="BQ373" s="21"/>
      <c r="BR373" s="21"/>
      <c r="BS373" s="39"/>
      <c r="BT373" s="39"/>
      <c r="BU373" s="39"/>
      <c r="BV373" s="39"/>
      <c r="BW373" s="39"/>
      <c r="BX373" s="39"/>
      <c r="BY373" s="39"/>
      <c r="BZ373" s="39">
        <v>360</v>
      </c>
      <c r="CA373" s="39" t="str">
        <f t="shared" si="209"/>
        <v/>
      </c>
      <c r="CB373" s="39"/>
      <c r="CC373" s="39"/>
      <c r="CD373" s="39"/>
      <c r="CE373" s="39"/>
      <c r="CF373" s="39"/>
      <c r="CG373" s="39"/>
      <c r="CH373" s="39"/>
      <c r="CI373" s="39"/>
      <c r="CJ373" s="39"/>
      <c r="CK373" s="39"/>
    </row>
    <row r="374" spans="1:89" s="193" customFormat="1">
      <c r="A374" s="195"/>
      <c r="B374" s="21" t="str">
        <f t="shared" si="182"/>
        <v>N/A</v>
      </c>
      <c r="C374" s="21"/>
      <c r="D374" s="432" t="s">
        <v>3896</v>
      </c>
      <c r="E374" s="439" t="s">
        <v>3626</v>
      </c>
      <c r="F374" s="439" t="s">
        <v>2499</v>
      </c>
      <c r="G374" s="273" t="s">
        <v>3542</v>
      </c>
      <c r="H374" s="358"/>
      <c r="I374" s="262" t="s">
        <v>3529</v>
      </c>
      <c r="J374" s="262" t="s">
        <v>3504</v>
      </c>
      <c r="K374" s="263">
        <v>4326186</v>
      </c>
      <c r="L374" s="263">
        <v>10329200</v>
      </c>
      <c r="M374" s="263">
        <v>50882083</v>
      </c>
      <c r="N374" s="263">
        <v>68610218</v>
      </c>
      <c r="O374" s="263">
        <v>0</v>
      </c>
      <c r="P374" s="263">
        <v>0</v>
      </c>
      <c r="Q374" s="263">
        <v>0</v>
      </c>
      <c r="R374" s="263">
        <v>0</v>
      </c>
      <c r="S374" s="263">
        <v>0</v>
      </c>
      <c r="T374" s="263">
        <v>0</v>
      </c>
      <c r="U374" s="263">
        <f t="shared" si="210"/>
        <v>134147687</v>
      </c>
      <c r="V374" s="196" t="str">
        <f t="shared" si="183"/>
        <v>G</v>
      </c>
      <c r="W374" s="196" t="s">
        <v>1168</v>
      </c>
      <c r="X374" s="196" t="str">
        <f t="shared" si="211"/>
        <v>Y</v>
      </c>
      <c r="Y374" s="197">
        <f t="shared" si="184"/>
        <v>134147687</v>
      </c>
      <c r="Z374" s="198"/>
      <c r="AA374" s="197">
        <f t="shared" si="185"/>
        <v>134147687</v>
      </c>
      <c r="AB374" s="196" t="s">
        <v>1168</v>
      </c>
      <c r="AC374" s="196"/>
      <c r="AD374" s="275">
        <v>1</v>
      </c>
      <c r="AE374" s="275">
        <v>0</v>
      </c>
      <c r="AF374" s="275">
        <v>0</v>
      </c>
      <c r="AG374" s="199"/>
      <c r="AH374" s="199"/>
      <c r="AI374" s="200">
        <f t="shared" si="186"/>
        <v>0</v>
      </c>
      <c r="AJ374" s="203"/>
      <c r="AK374" s="203"/>
      <c r="AL374" s="197">
        <f t="shared" si="179"/>
        <v>134147687</v>
      </c>
      <c r="AM374" s="197">
        <f t="shared" si="180"/>
        <v>0</v>
      </c>
      <c r="AN374" s="197">
        <f t="shared" si="181"/>
        <v>0</v>
      </c>
      <c r="AO374" s="202"/>
      <c r="AP374" s="161" t="s">
        <v>3900</v>
      </c>
      <c r="AQ374" s="279"/>
      <c r="AR374" s="287">
        <f t="shared" si="187"/>
        <v>0</v>
      </c>
      <c r="AS374" s="287">
        <f t="shared" si="188"/>
        <v>0</v>
      </c>
      <c r="AT374" s="287">
        <f t="shared" si="189"/>
        <v>0</v>
      </c>
      <c r="AU374" s="287">
        <f t="shared" si="190"/>
        <v>0</v>
      </c>
      <c r="AV374" s="287">
        <f t="shared" si="191"/>
        <v>0</v>
      </c>
      <c r="AW374" s="287">
        <f t="shared" si="192"/>
        <v>0</v>
      </c>
      <c r="AX374" s="287">
        <f t="shared" si="193"/>
        <v>0</v>
      </c>
      <c r="AY374" s="287">
        <f t="shared" si="194"/>
        <v>0</v>
      </c>
      <c r="AZ374" s="287">
        <f t="shared" si="195"/>
        <v>0</v>
      </c>
      <c r="BA374" s="287">
        <f t="shared" si="196"/>
        <v>0</v>
      </c>
      <c r="BB374" s="16"/>
      <c r="BC374" s="287">
        <f t="shared" si="197"/>
        <v>0</v>
      </c>
      <c r="BD374" s="287">
        <f t="shared" si="198"/>
        <v>0</v>
      </c>
      <c r="BE374" s="287">
        <f t="shared" si="199"/>
        <v>0</v>
      </c>
      <c r="BF374" s="287">
        <f t="shared" si="200"/>
        <v>0</v>
      </c>
      <c r="BG374" s="287">
        <f t="shared" si="201"/>
        <v>0</v>
      </c>
      <c r="BH374" s="287">
        <f t="shared" si="202"/>
        <v>0</v>
      </c>
      <c r="BI374" s="287">
        <f t="shared" si="203"/>
        <v>0</v>
      </c>
      <c r="BJ374" s="287">
        <f t="shared" si="204"/>
        <v>0</v>
      </c>
      <c r="BK374" s="287">
        <f t="shared" si="205"/>
        <v>0</v>
      </c>
      <c r="BL374" s="287">
        <f t="shared" si="206"/>
        <v>0</v>
      </c>
      <c r="BM374" s="16"/>
      <c r="BN374" s="287">
        <f t="shared" si="207"/>
        <v>0</v>
      </c>
      <c r="BO374" s="287">
        <f t="shared" si="208"/>
        <v>0</v>
      </c>
      <c r="BP374" s="432"/>
      <c r="BQ374" s="21"/>
      <c r="BR374" s="21"/>
      <c r="BS374" s="39"/>
      <c r="BT374" s="39"/>
      <c r="BU374" s="39"/>
      <c r="BV374" s="39"/>
      <c r="BW374" s="39"/>
      <c r="BX374" s="39"/>
      <c r="BY374" s="39"/>
      <c r="BZ374" s="39">
        <v>361</v>
      </c>
      <c r="CA374" s="39" t="str">
        <f t="shared" si="209"/>
        <v/>
      </c>
      <c r="CB374" s="39"/>
      <c r="CC374" s="39"/>
      <c r="CD374" s="39"/>
      <c r="CE374" s="39"/>
      <c r="CF374" s="39"/>
      <c r="CG374" s="39"/>
      <c r="CH374" s="39"/>
      <c r="CI374" s="39"/>
      <c r="CJ374" s="39"/>
      <c r="CK374" s="39"/>
    </row>
    <row r="375" spans="1:89" s="193" customFormat="1">
      <c r="A375" s="195"/>
      <c r="B375" s="21" t="str">
        <f t="shared" si="182"/>
        <v>N/A</v>
      </c>
      <c r="C375" s="21"/>
      <c r="D375" s="432" t="s">
        <v>3896</v>
      </c>
      <c r="E375" s="439" t="s">
        <v>3626</v>
      </c>
      <c r="F375" s="439" t="s">
        <v>2499</v>
      </c>
      <c r="G375" s="273" t="s">
        <v>3553</v>
      </c>
      <c r="H375" s="358"/>
      <c r="I375" s="262" t="s">
        <v>3529</v>
      </c>
      <c r="J375" s="262" t="s">
        <v>3504</v>
      </c>
      <c r="K375" s="263">
        <v>93919842</v>
      </c>
      <c r="L375" s="263">
        <v>114338026</v>
      </c>
      <c r="M375" s="263">
        <v>90969309</v>
      </c>
      <c r="N375" s="263">
        <v>109107963</v>
      </c>
      <c r="O375" s="263">
        <v>74373325</v>
      </c>
      <c r="P375" s="263">
        <v>128617858</v>
      </c>
      <c r="Q375" s="263">
        <v>116414887</v>
      </c>
      <c r="R375" s="263">
        <v>93518570</v>
      </c>
      <c r="S375" s="263">
        <v>130933319</v>
      </c>
      <c r="T375" s="263">
        <v>124295098</v>
      </c>
      <c r="U375" s="263">
        <f t="shared" si="210"/>
        <v>1076488197</v>
      </c>
      <c r="V375" s="196" t="str">
        <f t="shared" si="183"/>
        <v>G/LOS/R</v>
      </c>
      <c r="W375" s="196" t="s">
        <v>1168</v>
      </c>
      <c r="X375" s="196" t="str">
        <f t="shared" si="211"/>
        <v>Y</v>
      </c>
      <c r="Y375" s="197">
        <f t="shared" si="184"/>
        <v>1076488197</v>
      </c>
      <c r="Z375" s="198"/>
      <c r="AA375" s="197">
        <f t="shared" si="185"/>
        <v>1076488197</v>
      </c>
      <c r="AB375" s="196" t="s">
        <v>1168</v>
      </c>
      <c r="AC375" s="196"/>
      <c r="AD375" s="275">
        <v>0.31733639342447895</v>
      </c>
      <c r="AE375" s="275">
        <v>1.6976014275797955E-2</v>
      </c>
      <c r="AF375" s="275">
        <v>0.66568759229972307</v>
      </c>
      <c r="AG375" s="199"/>
      <c r="AH375" s="199"/>
      <c r="AI375" s="200">
        <f t="shared" si="186"/>
        <v>0</v>
      </c>
      <c r="AJ375" s="203"/>
      <c r="AK375" s="203"/>
      <c r="AL375" s="197">
        <f t="shared" si="179"/>
        <v>1076488197</v>
      </c>
      <c r="AM375" s="197">
        <f t="shared" si="180"/>
        <v>0</v>
      </c>
      <c r="AN375" s="197">
        <f t="shared" si="181"/>
        <v>0</v>
      </c>
      <c r="AO375" s="202"/>
      <c r="AP375" s="161" t="s">
        <v>3900</v>
      </c>
      <c r="AQ375" s="279"/>
      <c r="AR375" s="287">
        <f t="shared" si="187"/>
        <v>0</v>
      </c>
      <c r="AS375" s="287">
        <f t="shared" si="188"/>
        <v>0</v>
      </c>
      <c r="AT375" s="287">
        <f t="shared" si="189"/>
        <v>0</v>
      </c>
      <c r="AU375" s="287">
        <f t="shared" si="190"/>
        <v>0</v>
      </c>
      <c r="AV375" s="287">
        <f t="shared" si="191"/>
        <v>0</v>
      </c>
      <c r="AW375" s="287">
        <f t="shared" si="192"/>
        <v>0</v>
      </c>
      <c r="AX375" s="287">
        <f t="shared" si="193"/>
        <v>0</v>
      </c>
      <c r="AY375" s="287">
        <f t="shared" si="194"/>
        <v>0</v>
      </c>
      <c r="AZ375" s="287">
        <f t="shared" si="195"/>
        <v>0</v>
      </c>
      <c r="BA375" s="287">
        <f t="shared" si="196"/>
        <v>0</v>
      </c>
      <c r="BB375" s="16"/>
      <c r="BC375" s="287">
        <f t="shared" si="197"/>
        <v>0</v>
      </c>
      <c r="BD375" s="287">
        <f t="shared" si="198"/>
        <v>0</v>
      </c>
      <c r="BE375" s="287">
        <f t="shared" si="199"/>
        <v>0</v>
      </c>
      <c r="BF375" s="287">
        <f t="shared" si="200"/>
        <v>0</v>
      </c>
      <c r="BG375" s="287">
        <f t="shared" si="201"/>
        <v>0</v>
      </c>
      <c r="BH375" s="287">
        <f t="shared" si="202"/>
        <v>0</v>
      </c>
      <c r="BI375" s="287">
        <f t="shared" si="203"/>
        <v>0</v>
      </c>
      <c r="BJ375" s="287">
        <f t="shared" si="204"/>
        <v>0</v>
      </c>
      <c r="BK375" s="287">
        <f t="shared" si="205"/>
        <v>0</v>
      </c>
      <c r="BL375" s="287">
        <f t="shared" si="206"/>
        <v>0</v>
      </c>
      <c r="BM375" s="16"/>
      <c r="BN375" s="287">
        <f t="shared" si="207"/>
        <v>0</v>
      </c>
      <c r="BO375" s="287">
        <f t="shared" si="208"/>
        <v>0</v>
      </c>
      <c r="BP375" s="432"/>
      <c r="BQ375" s="21"/>
      <c r="BR375" s="21"/>
      <c r="BS375" s="39"/>
      <c r="BT375" s="39"/>
      <c r="BU375" s="39"/>
      <c r="BV375" s="39"/>
      <c r="BW375" s="39"/>
      <c r="BX375" s="39"/>
      <c r="BY375" s="39"/>
      <c r="BZ375" s="39">
        <v>362</v>
      </c>
      <c r="CA375" s="39" t="str">
        <f t="shared" si="209"/>
        <v/>
      </c>
      <c r="CB375" s="39"/>
      <c r="CC375" s="39"/>
      <c r="CD375" s="39"/>
      <c r="CE375" s="39"/>
      <c r="CF375" s="39"/>
      <c r="CG375" s="39"/>
      <c r="CH375" s="39"/>
      <c r="CI375" s="39"/>
      <c r="CJ375" s="39"/>
      <c r="CK375" s="39"/>
    </row>
    <row r="376" spans="1:89" s="193" customFormat="1">
      <c r="A376" s="195"/>
      <c r="B376" s="21" t="str">
        <f t="shared" si="182"/>
        <v>N/A</v>
      </c>
      <c r="C376" s="21"/>
      <c r="D376" s="432" t="s">
        <v>3896</v>
      </c>
      <c r="E376" s="439" t="s">
        <v>3626</v>
      </c>
      <c r="F376" s="439" t="s">
        <v>2499</v>
      </c>
      <c r="G376" s="273" t="s">
        <v>3554</v>
      </c>
      <c r="H376" s="358"/>
      <c r="I376" s="262" t="s">
        <v>3529</v>
      </c>
      <c r="J376" s="262" t="s">
        <v>3504</v>
      </c>
      <c r="K376" s="263">
        <v>12564586</v>
      </c>
      <c r="L376" s="263">
        <v>0</v>
      </c>
      <c r="M376" s="263">
        <v>0</v>
      </c>
      <c r="N376" s="263">
        <v>0</v>
      </c>
      <c r="O376" s="263">
        <v>0</v>
      </c>
      <c r="P376" s="263">
        <v>0</v>
      </c>
      <c r="Q376" s="263">
        <v>0</v>
      </c>
      <c r="R376" s="263">
        <v>0</v>
      </c>
      <c r="S376" s="263">
        <v>0</v>
      </c>
      <c r="T376" s="263">
        <v>21544309</v>
      </c>
      <c r="U376" s="263">
        <f t="shared" si="210"/>
        <v>34108895</v>
      </c>
      <c r="V376" s="196" t="str">
        <f t="shared" si="183"/>
        <v>G</v>
      </c>
      <c r="W376" s="196" t="s">
        <v>1168</v>
      </c>
      <c r="X376" s="196" t="str">
        <f t="shared" si="211"/>
        <v>Y</v>
      </c>
      <c r="Y376" s="197">
        <f t="shared" si="184"/>
        <v>34108895</v>
      </c>
      <c r="Z376" s="198"/>
      <c r="AA376" s="197">
        <f t="shared" si="185"/>
        <v>34108895</v>
      </c>
      <c r="AB376" s="196" t="s">
        <v>1168</v>
      </c>
      <c r="AC376" s="196"/>
      <c r="AD376" s="275">
        <v>1</v>
      </c>
      <c r="AE376" s="275">
        <v>0</v>
      </c>
      <c r="AF376" s="275">
        <v>0</v>
      </c>
      <c r="AG376" s="199"/>
      <c r="AH376" s="199"/>
      <c r="AI376" s="200">
        <f t="shared" si="186"/>
        <v>0</v>
      </c>
      <c r="AJ376" s="203"/>
      <c r="AK376" s="203"/>
      <c r="AL376" s="197">
        <f t="shared" si="179"/>
        <v>34108895</v>
      </c>
      <c r="AM376" s="197">
        <f t="shared" si="180"/>
        <v>0</v>
      </c>
      <c r="AN376" s="197">
        <f t="shared" si="181"/>
        <v>0</v>
      </c>
      <c r="AO376" s="202"/>
      <c r="AP376" s="161" t="s">
        <v>3900</v>
      </c>
      <c r="AQ376" s="279"/>
      <c r="AR376" s="287">
        <f t="shared" si="187"/>
        <v>0</v>
      </c>
      <c r="AS376" s="287">
        <f t="shared" si="188"/>
        <v>0</v>
      </c>
      <c r="AT376" s="287">
        <f t="shared" si="189"/>
        <v>0</v>
      </c>
      <c r="AU376" s="287">
        <f t="shared" si="190"/>
        <v>0</v>
      </c>
      <c r="AV376" s="287">
        <f t="shared" si="191"/>
        <v>0</v>
      </c>
      <c r="AW376" s="287">
        <f t="shared" si="192"/>
        <v>0</v>
      </c>
      <c r="AX376" s="287">
        <f t="shared" si="193"/>
        <v>0</v>
      </c>
      <c r="AY376" s="287">
        <f t="shared" si="194"/>
        <v>0</v>
      </c>
      <c r="AZ376" s="287">
        <f t="shared" si="195"/>
        <v>0</v>
      </c>
      <c r="BA376" s="287">
        <f t="shared" si="196"/>
        <v>0</v>
      </c>
      <c r="BB376" s="16"/>
      <c r="BC376" s="287">
        <f t="shared" si="197"/>
        <v>0</v>
      </c>
      <c r="BD376" s="287">
        <f t="shared" si="198"/>
        <v>0</v>
      </c>
      <c r="BE376" s="287">
        <f t="shared" si="199"/>
        <v>0</v>
      </c>
      <c r="BF376" s="287">
        <f t="shared" si="200"/>
        <v>0</v>
      </c>
      <c r="BG376" s="287">
        <f t="shared" si="201"/>
        <v>0</v>
      </c>
      <c r="BH376" s="287">
        <f t="shared" si="202"/>
        <v>0</v>
      </c>
      <c r="BI376" s="287">
        <f t="shared" si="203"/>
        <v>0</v>
      </c>
      <c r="BJ376" s="287">
        <f t="shared" si="204"/>
        <v>0</v>
      </c>
      <c r="BK376" s="287">
        <f t="shared" si="205"/>
        <v>0</v>
      </c>
      <c r="BL376" s="287">
        <f t="shared" si="206"/>
        <v>0</v>
      </c>
      <c r="BM376" s="16"/>
      <c r="BN376" s="287">
        <f t="shared" si="207"/>
        <v>0</v>
      </c>
      <c r="BO376" s="287">
        <f t="shared" si="208"/>
        <v>0</v>
      </c>
      <c r="BP376" s="432"/>
      <c r="BQ376" s="21"/>
      <c r="BR376" s="21"/>
      <c r="BS376" s="39"/>
      <c r="BT376" s="39"/>
      <c r="BU376" s="39"/>
      <c r="BV376" s="39"/>
      <c r="BW376" s="39"/>
      <c r="BX376" s="39"/>
      <c r="BY376" s="39"/>
      <c r="BZ376" s="39">
        <v>363</v>
      </c>
      <c r="CA376" s="39" t="str">
        <f t="shared" si="209"/>
        <v/>
      </c>
      <c r="CB376" s="39"/>
      <c r="CC376" s="39"/>
      <c r="CD376" s="39"/>
      <c r="CE376" s="39"/>
      <c r="CF376" s="39"/>
      <c r="CG376" s="39"/>
      <c r="CH376" s="39"/>
      <c r="CI376" s="39"/>
      <c r="CJ376" s="39"/>
      <c r="CK376" s="39"/>
    </row>
    <row r="377" spans="1:89" s="193" customFormat="1">
      <c r="A377" s="195"/>
      <c r="B377" s="21" t="str">
        <f t="shared" si="182"/>
        <v>N/A</v>
      </c>
      <c r="C377" s="21"/>
      <c r="D377" s="432" t="s">
        <v>3896</v>
      </c>
      <c r="E377" s="439" t="s">
        <v>3626</v>
      </c>
      <c r="F377" s="439" t="s">
        <v>2499</v>
      </c>
      <c r="G377" s="273" t="s">
        <v>3543</v>
      </c>
      <c r="H377" s="358"/>
      <c r="I377" s="262" t="s">
        <v>3529</v>
      </c>
      <c r="J377" s="262" t="s">
        <v>3504</v>
      </c>
      <c r="K377" s="263">
        <v>5392004</v>
      </c>
      <c r="L377" s="263">
        <v>3455219</v>
      </c>
      <c r="M377" s="263">
        <v>1436073</v>
      </c>
      <c r="N377" s="263">
        <v>883091</v>
      </c>
      <c r="O377" s="263">
        <v>2736450</v>
      </c>
      <c r="P377" s="263">
        <v>4384401</v>
      </c>
      <c r="Q377" s="263">
        <v>4843198</v>
      </c>
      <c r="R377" s="263">
        <v>4969121</v>
      </c>
      <c r="S377" s="263">
        <v>5103287</v>
      </c>
      <c r="T377" s="263">
        <v>3847198</v>
      </c>
      <c r="U377" s="263">
        <f t="shared" si="210"/>
        <v>37050042</v>
      </c>
      <c r="V377" s="196" t="str">
        <f t="shared" si="183"/>
        <v>R</v>
      </c>
      <c r="W377" s="196" t="s">
        <v>1168</v>
      </c>
      <c r="X377" s="196" t="str">
        <f t="shared" si="211"/>
        <v>N</v>
      </c>
      <c r="Y377" s="197">
        <f t="shared" si="184"/>
        <v>37050042</v>
      </c>
      <c r="Z377" s="198"/>
      <c r="AA377" s="197">
        <f t="shared" si="185"/>
        <v>37050042</v>
      </c>
      <c r="AB377" s="196"/>
      <c r="AC377" s="196"/>
      <c r="AD377" s="275">
        <v>0</v>
      </c>
      <c r="AE377" s="275">
        <v>0</v>
      </c>
      <c r="AF377" s="275">
        <v>1</v>
      </c>
      <c r="AG377" s="199"/>
      <c r="AH377" s="199"/>
      <c r="AI377" s="200">
        <f t="shared" si="186"/>
        <v>0</v>
      </c>
      <c r="AJ377" s="203"/>
      <c r="AK377" s="203"/>
      <c r="AL377" s="197">
        <f t="shared" si="179"/>
        <v>37050042</v>
      </c>
      <c r="AM377" s="197">
        <f t="shared" si="180"/>
        <v>0</v>
      </c>
      <c r="AN377" s="197">
        <f t="shared" si="181"/>
        <v>0</v>
      </c>
      <c r="AO377" s="202"/>
      <c r="AP377" s="161" t="s">
        <v>3900</v>
      </c>
      <c r="AQ377" s="279"/>
      <c r="AR377" s="287">
        <f t="shared" si="187"/>
        <v>0</v>
      </c>
      <c r="AS377" s="287">
        <f t="shared" si="188"/>
        <v>0</v>
      </c>
      <c r="AT377" s="287">
        <f t="shared" si="189"/>
        <v>0</v>
      </c>
      <c r="AU377" s="287">
        <f t="shared" si="190"/>
        <v>0</v>
      </c>
      <c r="AV377" s="287">
        <f t="shared" si="191"/>
        <v>0</v>
      </c>
      <c r="AW377" s="287">
        <f t="shared" si="192"/>
        <v>0</v>
      </c>
      <c r="AX377" s="287">
        <f t="shared" si="193"/>
        <v>0</v>
      </c>
      <c r="AY377" s="287">
        <f t="shared" si="194"/>
        <v>0</v>
      </c>
      <c r="AZ377" s="287">
        <f t="shared" si="195"/>
        <v>0</v>
      </c>
      <c r="BA377" s="287">
        <f t="shared" si="196"/>
        <v>0</v>
      </c>
      <c r="BB377" s="16"/>
      <c r="BC377" s="287">
        <f t="shared" si="197"/>
        <v>0</v>
      </c>
      <c r="BD377" s="287">
        <f t="shared" si="198"/>
        <v>0</v>
      </c>
      <c r="BE377" s="287">
        <f t="shared" si="199"/>
        <v>0</v>
      </c>
      <c r="BF377" s="287">
        <f t="shared" si="200"/>
        <v>0</v>
      </c>
      <c r="BG377" s="287">
        <f t="shared" si="201"/>
        <v>0</v>
      </c>
      <c r="BH377" s="287">
        <f t="shared" si="202"/>
        <v>0</v>
      </c>
      <c r="BI377" s="287">
        <f t="shared" si="203"/>
        <v>0</v>
      </c>
      <c r="BJ377" s="287">
        <f t="shared" si="204"/>
        <v>0</v>
      </c>
      <c r="BK377" s="287">
        <f t="shared" si="205"/>
        <v>0</v>
      </c>
      <c r="BL377" s="287">
        <f t="shared" si="206"/>
        <v>0</v>
      </c>
      <c r="BM377" s="16"/>
      <c r="BN377" s="287">
        <f t="shared" si="207"/>
        <v>0</v>
      </c>
      <c r="BO377" s="287">
        <f t="shared" si="208"/>
        <v>0</v>
      </c>
      <c r="BP377" s="432"/>
      <c r="BQ377" s="21"/>
      <c r="BR377" s="21"/>
      <c r="BS377" s="39"/>
      <c r="BT377" s="39"/>
      <c r="BU377" s="39"/>
      <c r="BV377" s="39"/>
      <c r="BW377" s="39"/>
      <c r="BX377" s="39"/>
      <c r="BY377" s="39"/>
      <c r="BZ377" s="39">
        <v>364</v>
      </c>
      <c r="CA377" s="39" t="str">
        <f t="shared" si="209"/>
        <v/>
      </c>
      <c r="CB377" s="39"/>
      <c r="CC377" s="39"/>
      <c r="CD377" s="39"/>
      <c r="CE377" s="39"/>
      <c r="CF377" s="39"/>
      <c r="CG377" s="39"/>
      <c r="CH377" s="39"/>
      <c r="CI377" s="39"/>
      <c r="CJ377" s="39"/>
      <c r="CK377" s="39"/>
    </row>
    <row r="378" spans="1:89" s="193" customFormat="1">
      <c r="A378" s="195"/>
      <c r="B378" s="21" t="str">
        <f t="shared" si="182"/>
        <v>N/A</v>
      </c>
      <c r="C378" s="21"/>
      <c r="D378" s="432" t="s">
        <v>3896</v>
      </c>
      <c r="E378" s="439" t="s">
        <v>3626</v>
      </c>
      <c r="F378" s="439" t="s">
        <v>2499</v>
      </c>
      <c r="G378" s="273" t="s">
        <v>3544</v>
      </c>
      <c r="H378" s="358"/>
      <c r="I378" s="262" t="s">
        <v>3529</v>
      </c>
      <c r="J378" s="262" t="s">
        <v>3504</v>
      </c>
      <c r="K378" s="263">
        <v>104921595</v>
      </c>
      <c r="L378" s="263">
        <v>75059989</v>
      </c>
      <c r="M378" s="263">
        <v>47097484</v>
      </c>
      <c r="N378" s="263">
        <v>48045692</v>
      </c>
      <c r="O378" s="263">
        <v>118321673.99999999</v>
      </c>
      <c r="P378" s="263">
        <v>71150683</v>
      </c>
      <c r="Q378" s="263">
        <v>66494477</v>
      </c>
      <c r="R378" s="263">
        <v>29743083</v>
      </c>
      <c r="S378" s="263">
        <v>53397808</v>
      </c>
      <c r="T378" s="263">
        <v>79139905</v>
      </c>
      <c r="U378" s="263">
        <f t="shared" si="210"/>
        <v>693372390</v>
      </c>
      <c r="V378" s="196" t="str">
        <f t="shared" si="183"/>
        <v>G/LOS/R</v>
      </c>
      <c r="W378" s="196" t="s">
        <v>1168</v>
      </c>
      <c r="X378" s="196" t="str">
        <f t="shared" si="211"/>
        <v>Y</v>
      </c>
      <c r="Y378" s="197">
        <f t="shared" si="184"/>
        <v>693372390</v>
      </c>
      <c r="Z378" s="198"/>
      <c r="AA378" s="197">
        <f t="shared" si="185"/>
        <v>693372390</v>
      </c>
      <c r="AB378" s="196" t="s">
        <v>1168</v>
      </c>
      <c r="AC378" s="196"/>
      <c r="AD378" s="275">
        <v>0.59660669067021832</v>
      </c>
      <c r="AE378" s="275">
        <v>4.3014524994281933E-2</v>
      </c>
      <c r="AF378" s="275">
        <v>0.36037878433549969</v>
      </c>
      <c r="AG378" s="199"/>
      <c r="AH378" s="199"/>
      <c r="AI378" s="200">
        <f t="shared" si="186"/>
        <v>0</v>
      </c>
      <c r="AJ378" s="203"/>
      <c r="AK378" s="203"/>
      <c r="AL378" s="197">
        <f t="shared" si="179"/>
        <v>693372390</v>
      </c>
      <c r="AM378" s="197">
        <f t="shared" si="180"/>
        <v>0</v>
      </c>
      <c r="AN378" s="197">
        <f t="shared" si="181"/>
        <v>0</v>
      </c>
      <c r="AO378" s="202"/>
      <c r="AP378" s="161" t="s">
        <v>3900</v>
      </c>
      <c r="AQ378" s="279"/>
      <c r="AR378" s="287">
        <f t="shared" si="187"/>
        <v>0</v>
      </c>
      <c r="AS378" s="287">
        <f t="shared" si="188"/>
        <v>0</v>
      </c>
      <c r="AT378" s="287">
        <f t="shared" si="189"/>
        <v>0</v>
      </c>
      <c r="AU378" s="287">
        <f t="shared" si="190"/>
        <v>0</v>
      </c>
      <c r="AV378" s="287">
        <f t="shared" si="191"/>
        <v>0</v>
      </c>
      <c r="AW378" s="287">
        <f t="shared" si="192"/>
        <v>0</v>
      </c>
      <c r="AX378" s="287">
        <f t="shared" si="193"/>
        <v>0</v>
      </c>
      <c r="AY378" s="287">
        <f t="shared" si="194"/>
        <v>0</v>
      </c>
      <c r="AZ378" s="287">
        <f t="shared" si="195"/>
        <v>0</v>
      </c>
      <c r="BA378" s="287">
        <f t="shared" si="196"/>
        <v>0</v>
      </c>
      <c r="BB378" s="16"/>
      <c r="BC378" s="287">
        <f t="shared" si="197"/>
        <v>0</v>
      </c>
      <c r="BD378" s="287">
        <f t="shared" si="198"/>
        <v>0</v>
      </c>
      <c r="BE378" s="287">
        <f t="shared" si="199"/>
        <v>0</v>
      </c>
      <c r="BF378" s="287">
        <f t="shared" si="200"/>
        <v>0</v>
      </c>
      <c r="BG378" s="287">
        <f t="shared" si="201"/>
        <v>0</v>
      </c>
      <c r="BH378" s="287">
        <f t="shared" si="202"/>
        <v>0</v>
      </c>
      <c r="BI378" s="287">
        <f t="shared" si="203"/>
        <v>0</v>
      </c>
      <c r="BJ378" s="287">
        <f t="shared" si="204"/>
        <v>0</v>
      </c>
      <c r="BK378" s="287">
        <f t="shared" si="205"/>
        <v>0</v>
      </c>
      <c r="BL378" s="287">
        <f t="shared" si="206"/>
        <v>0</v>
      </c>
      <c r="BM378" s="16"/>
      <c r="BN378" s="287">
        <f t="shared" si="207"/>
        <v>0</v>
      </c>
      <c r="BO378" s="287">
        <f t="shared" si="208"/>
        <v>0</v>
      </c>
      <c r="BP378" s="432"/>
      <c r="BQ378" s="21"/>
      <c r="BR378" s="21"/>
      <c r="BS378" s="39"/>
      <c r="BT378" s="39"/>
      <c r="BU378" s="39"/>
      <c r="BV378" s="39"/>
      <c r="BW378" s="39"/>
      <c r="BX378" s="39"/>
      <c r="BY378" s="39"/>
      <c r="BZ378" s="39">
        <v>365</v>
      </c>
      <c r="CA378" s="39" t="str">
        <f t="shared" si="209"/>
        <v/>
      </c>
      <c r="CB378" s="39"/>
      <c r="CC378" s="39"/>
      <c r="CD378" s="39"/>
      <c r="CE378" s="39"/>
      <c r="CF378" s="39"/>
      <c r="CG378" s="39"/>
      <c r="CH378" s="39"/>
      <c r="CI378" s="39"/>
      <c r="CJ378" s="39"/>
      <c r="CK378" s="39"/>
    </row>
    <row r="379" spans="1:89" s="193" customFormat="1">
      <c r="A379" s="195"/>
      <c r="B379" s="21" t="str">
        <f t="shared" si="182"/>
        <v>N/A</v>
      </c>
      <c r="C379" s="21"/>
      <c r="D379" s="432" t="s">
        <v>3896</v>
      </c>
      <c r="E379" s="439" t="s">
        <v>3626</v>
      </c>
      <c r="F379" s="439" t="s">
        <v>2499</v>
      </c>
      <c r="G379" s="273" t="s">
        <v>3555</v>
      </c>
      <c r="H379" s="358"/>
      <c r="I379" s="262" t="s">
        <v>3529</v>
      </c>
      <c r="J379" s="262" t="s">
        <v>3504</v>
      </c>
      <c r="K379" s="263">
        <v>991090</v>
      </c>
      <c r="L379" s="263">
        <v>881819</v>
      </c>
      <c r="M379" s="263">
        <v>912683</v>
      </c>
      <c r="N379" s="263">
        <v>1418309</v>
      </c>
      <c r="O379" s="263">
        <v>2189160</v>
      </c>
      <c r="P379" s="263">
        <v>3507521</v>
      </c>
      <c r="Q379" s="263">
        <v>3874558</v>
      </c>
      <c r="R379" s="263">
        <v>3975296</v>
      </c>
      <c r="S379" s="263">
        <v>4082630</v>
      </c>
      <c r="T379" s="263">
        <v>3077759</v>
      </c>
      <c r="U379" s="263">
        <f t="shared" si="210"/>
        <v>24910825</v>
      </c>
      <c r="V379" s="196" t="str">
        <f t="shared" si="183"/>
        <v>LOS/R</v>
      </c>
      <c r="W379" s="196" t="s">
        <v>1168</v>
      </c>
      <c r="X379" s="196" t="str">
        <f t="shared" si="211"/>
        <v>N</v>
      </c>
      <c r="Y379" s="197">
        <f t="shared" si="184"/>
        <v>24910825</v>
      </c>
      <c r="Z379" s="198"/>
      <c r="AA379" s="197">
        <f t="shared" si="185"/>
        <v>24910825</v>
      </c>
      <c r="AB379" s="196"/>
      <c r="AC379" s="196"/>
      <c r="AD379" s="275">
        <v>0</v>
      </c>
      <c r="AE379" s="275">
        <v>0.20000004014319075</v>
      </c>
      <c r="AF379" s="275">
        <v>0.79999995985680927</v>
      </c>
      <c r="AG379" s="199"/>
      <c r="AH379" s="199"/>
      <c r="AI379" s="200">
        <f t="shared" si="186"/>
        <v>0</v>
      </c>
      <c r="AJ379" s="203"/>
      <c r="AK379" s="203"/>
      <c r="AL379" s="197">
        <f t="shared" si="179"/>
        <v>24910825</v>
      </c>
      <c r="AM379" s="197">
        <f t="shared" si="180"/>
        <v>0</v>
      </c>
      <c r="AN379" s="197">
        <f t="shared" si="181"/>
        <v>0</v>
      </c>
      <c r="AO379" s="202"/>
      <c r="AP379" s="161" t="s">
        <v>3900</v>
      </c>
      <c r="AQ379" s="279"/>
      <c r="AR379" s="287">
        <f t="shared" si="187"/>
        <v>0</v>
      </c>
      <c r="AS379" s="287">
        <f t="shared" si="188"/>
        <v>0</v>
      </c>
      <c r="AT379" s="287">
        <f t="shared" si="189"/>
        <v>0</v>
      </c>
      <c r="AU379" s="287">
        <f t="shared" si="190"/>
        <v>0</v>
      </c>
      <c r="AV379" s="287">
        <f t="shared" si="191"/>
        <v>0</v>
      </c>
      <c r="AW379" s="287">
        <f t="shared" si="192"/>
        <v>0</v>
      </c>
      <c r="AX379" s="287">
        <f t="shared" si="193"/>
        <v>0</v>
      </c>
      <c r="AY379" s="287">
        <f t="shared" si="194"/>
        <v>0</v>
      </c>
      <c r="AZ379" s="287">
        <f t="shared" si="195"/>
        <v>0</v>
      </c>
      <c r="BA379" s="287">
        <f t="shared" si="196"/>
        <v>0</v>
      </c>
      <c r="BB379" s="16"/>
      <c r="BC379" s="287">
        <f t="shared" si="197"/>
        <v>0</v>
      </c>
      <c r="BD379" s="287">
        <f t="shared" si="198"/>
        <v>0</v>
      </c>
      <c r="BE379" s="287">
        <f t="shared" si="199"/>
        <v>0</v>
      </c>
      <c r="BF379" s="287">
        <f t="shared" si="200"/>
        <v>0</v>
      </c>
      <c r="BG379" s="287">
        <f t="shared" si="201"/>
        <v>0</v>
      </c>
      <c r="BH379" s="287">
        <f t="shared" si="202"/>
        <v>0</v>
      </c>
      <c r="BI379" s="287">
        <f t="shared" si="203"/>
        <v>0</v>
      </c>
      <c r="BJ379" s="287">
        <f t="shared" si="204"/>
        <v>0</v>
      </c>
      <c r="BK379" s="287">
        <f t="shared" si="205"/>
        <v>0</v>
      </c>
      <c r="BL379" s="287">
        <f t="shared" si="206"/>
        <v>0</v>
      </c>
      <c r="BM379" s="16"/>
      <c r="BN379" s="287">
        <f t="shared" si="207"/>
        <v>0</v>
      </c>
      <c r="BO379" s="287">
        <f t="shared" si="208"/>
        <v>0</v>
      </c>
      <c r="BP379" s="432"/>
      <c r="BQ379" s="21"/>
      <c r="BR379" s="21"/>
      <c r="BS379" s="39"/>
      <c r="BT379" s="39"/>
      <c r="BU379" s="39"/>
      <c r="BV379" s="39"/>
      <c r="BW379" s="39"/>
      <c r="BX379" s="39"/>
      <c r="BY379" s="39"/>
      <c r="BZ379" s="39">
        <v>366</v>
      </c>
      <c r="CA379" s="39" t="str">
        <f t="shared" si="209"/>
        <v/>
      </c>
      <c r="CB379" s="39"/>
      <c r="CC379" s="39"/>
      <c r="CD379" s="39"/>
      <c r="CE379" s="39"/>
      <c r="CF379" s="39"/>
      <c r="CG379" s="39"/>
      <c r="CH379" s="39"/>
      <c r="CI379" s="39"/>
      <c r="CJ379" s="39"/>
      <c r="CK379" s="39"/>
    </row>
    <row r="380" spans="1:89" s="193" customFormat="1">
      <c r="A380" s="195"/>
      <c r="B380" s="21" t="str">
        <f t="shared" si="182"/>
        <v>N/A</v>
      </c>
      <c r="C380" s="21"/>
      <c r="D380" s="432" t="s">
        <v>3896</v>
      </c>
      <c r="E380" s="439" t="s">
        <v>3626</v>
      </c>
      <c r="F380" s="439" t="s">
        <v>2499</v>
      </c>
      <c r="G380" s="273" t="s">
        <v>3552</v>
      </c>
      <c r="H380" s="358"/>
      <c r="I380" s="262" t="s">
        <v>3529</v>
      </c>
      <c r="J380" s="262" t="s">
        <v>3504</v>
      </c>
      <c r="K380" s="263">
        <v>495545</v>
      </c>
      <c r="L380" s="263">
        <v>2204548</v>
      </c>
      <c r="M380" s="263">
        <v>4563414</v>
      </c>
      <c r="N380" s="263">
        <v>0</v>
      </c>
      <c r="O380" s="263">
        <v>0</v>
      </c>
      <c r="P380" s="263">
        <v>0</v>
      </c>
      <c r="Q380" s="263">
        <v>0</v>
      </c>
      <c r="R380" s="263">
        <v>0</v>
      </c>
      <c r="S380" s="263">
        <v>2857841</v>
      </c>
      <c r="T380" s="263">
        <v>4336841</v>
      </c>
      <c r="U380" s="263">
        <f t="shared" si="210"/>
        <v>14458189</v>
      </c>
      <c r="V380" s="196" t="str">
        <f t="shared" si="183"/>
        <v>G/R</v>
      </c>
      <c r="W380" s="196" t="s">
        <v>1168</v>
      </c>
      <c r="X380" s="196" t="str">
        <f t="shared" si="211"/>
        <v>Y</v>
      </c>
      <c r="Y380" s="197">
        <f t="shared" si="184"/>
        <v>14458189</v>
      </c>
      <c r="Z380" s="198"/>
      <c r="AA380" s="197">
        <f t="shared" si="185"/>
        <v>14458189</v>
      </c>
      <c r="AB380" s="196" t="s">
        <v>1168</v>
      </c>
      <c r="AC380" s="196"/>
      <c r="AD380" s="275">
        <v>0.50238013903401046</v>
      </c>
      <c r="AE380" s="275">
        <v>0</v>
      </c>
      <c r="AF380" s="275">
        <v>0.49761986096598959</v>
      </c>
      <c r="AG380" s="199"/>
      <c r="AH380" s="199"/>
      <c r="AI380" s="200">
        <f t="shared" si="186"/>
        <v>0</v>
      </c>
      <c r="AJ380" s="203"/>
      <c r="AK380" s="203"/>
      <c r="AL380" s="197">
        <f t="shared" si="179"/>
        <v>14458189</v>
      </c>
      <c r="AM380" s="197">
        <f t="shared" si="180"/>
        <v>0</v>
      </c>
      <c r="AN380" s="197">
        <f t="shared" si="181"/>
        <v>0</v>
      </c>
      <c r="AO380" s="202"/>
      <c r="AP380" s="161" t="s">
        <v>3900</v>
      </c>
      <c r="AQ380" s="279"/>
      <c r="AR380" s="287">
        <f t="shared" si="187"/>
        <v>0</v>
      </c>
      <c r="AS380" s="287">
        <f t="shared" si="188"/>
        <v>0</v>
      </c>
      <c r="AT380" s="287">
        <f t="shared" si="189"/>
        <v>0</v>
      </c>
      <c r="AU380" s="287">
        <f t="shared" si="190"/>
        <v>0</v>
      </c>
      <c r="AV380" s="287">
        <f t="shared" si="191"/>
        <v>0</v>
      </c>
      <c r="AW380" s="287">
        <f t="shared" si="192"/>
        <v>0</v>
      </c>
      <c r="AX380" s="287">
        <f t="shared" si="193"/>
        <v>0</v>
      </c>
      <c r="AY380" s="287">
        <f t="shared" si="194"/>
        <v>0</v>
      </c>
      <c r="AZ380" s="287">
        <f t="shared" si="195"/>
        <v>0</v>
      </c>
      <c r="BA380" s="287">
        <f t="shared" si="196"/>
        <v>0</v>
      </c>
      <c r="BB380" s="16"/>
      <c r="BC380" s="287">
        <f t="shared" si="197"/>
        <v>0</v>
      </c>
      <c r="BD380" s="287">
        <f t="shared" si="198"/>
        <v>0</v>
      </c>
      <c r="BE380" s="287">
        <f t="shared" si="199"/>
        <v>0</v>
      </c>
      <c r="BF380" s="287">
        <f t="shared" si="200"/>
        <v>0</v>
      </c>
      <c r="BG380" s="287">
        <f t="shared" si="201"/>
        <v>0</v>
      </c>
      <c r="BH380" s="287">
        <f t="shared" si="202"/>
        <v>0</v>
      </c>
      <c r="BI380" s="287">
        <f t="shared" si="203"/>
        <v>0</v>
      </c>
      <c r="BJ380" s="287">
        <f t="shared" si="204"/>
        <v>0</v>
      </c>
      <c r="BK380" s="287">
        <f t="shared" si="205"/>
        <v>0</v>
      </c>
      <c r="BL380" s="287">
        <f t="shared" si="206"/>
        <v>0</v>
      </c>
      <c r="BM380" s="16"/>
      <c r="BN380" s="287">
        <f t="shared" si="207"/>
        <v>0</v>
      </c>
      <c r="BO380" s="287">
        <f t="shared" si="208"/>
        <v>0</v>
      </c>
      <c r="BP380" s="432"/>
      <c r="BQ380" s="21"/>
      <c r="BR380" s="21"/>
      <c r="BS380" s="39"/>
      <c r="BT380" s="39"/>
      <c r="BU380" s="39"/>
      <c r="BV380" s="39"/>
      <c r="BW380" s="39"/>
      <c r="BX380" s="39"/>
      <c r="BY380" s="39"/>
      <c r="BZ380" s="39">
        <v>367</v>
      </c>
      <c r="CA380" s="39" t="str">
        <f t="shared" si="209"/>
        <v/>
      </c>
      <c r="CB380" s="39"/>
      <c r="CC380" s="39"/>
      <c r="CD380" s="39"/>
      <c r="CE380" s="39"/>
      <c r="CF380" s="39"/>
      <c r="CG380" s="39"/>
      <c r="CH380" s="39"/>
      <c r="CI380" s="39"/>
      <c r="CJ380" s="39"/>
      <c r="CK380" s="39"/>
    </row>
    <row r="381" spans="1:89" s="193" customFormat="1">
      <c r="A381" s="195"/>
      <c r="B381" s="21" t="str">
        <f t="shared" si="182"/>
        <v>N/A</v>
      </c>
      <c r="C381" s="21"/>
      <c r="D381" s="432" t="s">
        <v>3896</v>
      </c>
      <c r="E381" s="439" t="s">
        <v>3626</v>
      </c>
      <c r="F381" s="439" t="s">
        <v>2499</v>
      </c>
      <c r="G381" s="273" t="s">
        <v>3556</v>
      </c>
      <c r="H381" s="358"/>
      <c r="I381" s="262" t="s">
        <v>3529</v>
      </c>
      <c r="J381" s="262" t="s">
        <v>3504</v>
      </c>
      <c r="K381" s="263">
        <v>297327</v>
      </c>
      <c r="L381" s="263">
        <v>485000</v>
      </c>
      <c r="M381" s="263">
        <v>501975</v>
      </c>
      <c r="N381" s="263">
        <v>0</v>
      </c>
      <c r="O381" s="263">
        <v>0</v>
      </c>
      <c r="P381" s="263">
        <v>0</v>
      </c>
      <c r="Q381" s="263">
        <v>0</v>
      </c>
      <c r="R381" s="263">
        <v>0</v>
      </c>
      <c r="S381" s="263">
        <v>204131</v>
      </c>
      <c r="T381" s="263">
        <v>0</v>
      </c>
      <c r="U381" s="263">
        <f t="shared" si="210"/>
        <v>1488433</v>
      </c>
      <c r="V381" s="196" t="str">
        <f t="shared" si="183"/>
        <v>G/R</v>
      </c>
      <c r="W381" s="196" t="s">
        <v>1168</v>
      </c>
      <c r="X381" s="196" t="str">
        <f t="shared" si="211"/>
        <v>Y</v>
      </c>
      <c r="Y381" s="197">
        <f t="shared" si="184"/>
        <v>1488433</v>
      </c>
      <c r="Z381" s="198"/>
      <c r="AA381" s="197">
        <f t="shared" si="185"/>
        <v>1488433</v>
      </c>
      <c r="AB381" s="196" t="s">
        <v>1168</v>
      </c>
      <c r="AC381" s="196"/>
      <c r="AD381" s="275">
        <v>0.19999959689149596</v>
      </c>
      <c r="AE381" s="275">
        <v>0</v>
      </c>
      <c r="AF381" s="275">
        <v>0.80000040310850407</v>
      </c>
      <c r="AG381" s="199"/>
      <c r="AH381" s="199"/>
      <c r="AI381" s="200">
        <f t="shared" si="186"/>
        <v>0</v>
      </c>
      <c r="AJ381" s="203"/>
      <c r="AK381" s="203"/>
      <c r="AL381" s="197">
        <f t="shared" si="179"/>
        <v>1488433</v>
      </c>
      <c r="AM381" s="197">
        <f t="shared" si="180"/>
        <v>0</v>
      </c>
      <c r="AN381" s="197">
        <f t="shared" si="181"/>
        <v>0</v>
      </c>
      <c r="AO381" s="202"/>
      <c r="AP381" s="161" t="s">
        <v>3900</v>
      </c>
      <c r="AQ381" s="279"/>
      <c r="AR381" s="287">
        <f t="shared" si="187"/>
        <v>0</v>
      </c>
      <c r="AS381" s="287">
        <f t="shared" si="188"/>
        <v>0</v>
      </c>
      <c r="AT381" s="287">
        <f t="shared" si="189"/>
        <v>0</v>
      </c>
      <c r="AU381" s="287">
        <f t="shared" si="190"/>
        <v>0</v>
      </c>
      <c r="AV381" s="287">
        <f t="shared" si="191"/>
        <v>0</v>
      </c>
      <c r="AW381" s="287">
        <f t="shared" si="192"/>
        <v>0</v>
      </c>
      <c r="AX381" s="287">
        <f t="shared" si="193"/>
        <v>0</v>
      </c>
      <c r="AY381" s="287">
        <f t="shared" si="194"/>
        <v>0</v>
      </c>
      <c r="AZ381" s="287">
        <f t="shared" si="195"/>
        <v>0</v>
      </c>
      <c r="BA381" s="287">
        <f t="shared" si="196"/>
        <v>0</v>
      </c>
      <c r="BB381" s="16"/>
      <c r="BC381" s="287">
        <f t="shared" si="197"/>
        <v>0</v>
      </c>
      <c r="BD381" s="287">
        <f t="shared" si="198"/>
        <v>0</v>
      </c>
      <c r="BE381" s="287">
        <f t="shared" si="199"/>
        <v>0</v>
      </c>
      <c r="BF381" s="287">
        <f t="shared" si="200"/>
        <v>0</v>
      </c>
      <c r="BG381" s="287">
        <f t="shared" si="201"/>
        <v>0</v>
      </c>
      <c r="BH381" s="287">
        <f t="shared" si="202"/>
        <v>0</v>
      </c>
      <c r="BI381" s="287">
        <f t="shared" si="203"/>
        <v>0</v>
      </c>
      <c r="BJ381" s="287">
        <f t="shared" si="204"/>
        <v>0</v>
      </c>
      <c r="BK381" s="287">
        <f t="shared" si="205"/>
        <v>0</v>
      </c>
      <c r="BL381" s="287">
        <f t="shared" si="206"/>
        <v>0</v>
      </c>
      <c r="BM381" s="16"/>
      <c r="BN381" s="287">
        <f t="shared" si="207"/>
        <v>0</v>
      </c>
      <c r="BO381" s="287">
        <f t="shared" si="208"/>
        <v>0</v>
      </c>
      <c r="BP381" s="432"/>
      <c r="BQ381" s="21"/>
      <c r="BR381" s="21"/>
      <c r="BS381" s="39"/>
      <c r="BT381" s="39"/>
      <c r="BU381" s="39"/>
      <c r="BV381" s="39"/>
      <c r="BW381" s="39"/>
      <c r="BX381" s="39"/>
      <c r="BY381" s="39"/>
      <c r="BZ381" s="39">
        <v>368</v>
      </c>
      <c r="CA381" s="39" t="str">
        <f t="shared" si="209"/>
        <v/>
      </c>
      <c r="CB381" s="39"/>
      <c r="CC381" s="39"/>
      <c r="CD381" s="39"/>
      <c r="CE381" s="39"/>
      <c r="CF381" s="39"/>
      <c r="CG381" s="39"/>
      <c r="CH381" s="39"/>
      <c r="CI381" s="39"/>
      <c r="CJ381" s="39"/>
      <c r="CK381" s="39"/>
    </row>
    <row r="382" spans="1:89" s="193" customFormat="1">
      <c r="A382" s="195"/>
      <c r="B382" s="21" t="str">
        <f t="shared" si="182"/>
        <v>N/A</v>
      </c>
      <c r="C382" s="21"/>
      <c r="D382" s="432" t="s">
        <v>3896</v>
      </c>
      <c r="E382" s="439" t="s">
        <v>3626</v>
      </c>
      <c r="F382" s="439" t="s">
        <v>2499</v>
      </c>
      <c r="G382" s="273" t="s">
        <v>3557</v>
      </c>
      <c r="H382" s="358"/>
      <c r="I382" s="262" t="s">
        <v>3529</v>
      </c>
      <c r="J382" s="262" t="s">
        <v>3504</v>
      </c>
      <c r="K382" s="263">
        <v>21817994</v>
      </c>
      <c r="L382" s="263">
        <v>19918981</v>
      </c>
      <c r="M382" s="263">
        <v>5111024</v>
      </c>
      <c r="N382" s="263">
        <v>4964082</v>
      </c>
      <c r="O382" s="263">
        <v>4378320</v>
      </c>
      <c r="P382" s="263">
        <v>7015042</v>
      </c>
      <c r="Q382" s="263">
        <v>7749116</v>
      </c>
      <c r="R382" s="263">
        <v>7950593</v>
      </c>
      <c r="S382" s="263">
        <v>8165259</v>
      </c>
      <c r="T382" s="263">
        <v>6155517</v>
      </c>
      <c r="U382" s="263">
        <f t="shared" si="210"/>
        <v>93225928</v>
      </c>
      <c r="V382" s="196" t="str">
        <f t="shared" si="183"/>
        <v>G/LOS/R</v>
      </c>
      <c r="W382" s="196" t="s">
        <v>1168</v>
      </c>
      <c r="X382" s="196" t="str">
        <f t="shared" si="211"/>
        <v>Y</v>
      </c>
      <c r="Y382" s="197">
        <f t="shared" si="184"/>
        <v>93225928</v>
      </c>
      <c r="Z382" s="198"/>
      <c r="AA382" s="197">
        <f t="shared" si="185"/>
        <v>93225928</v>
      </c>
      <c r="AB382" s="196" t="s">
        <v>1168</v>
      </c>
      <c r="AC382" s="196"/>
      <c r="AD382" s="275">
        <v>0.13117095493004907</v>
      </c>
      <c r="AE382" s="275">
        <v>0.31215193695899707</v>
      </c>
      <c r="AF382" s="275">
        <v>0.55667710811095383</v>
      </c>
      <c r="AG382" s="199"/>
      <c r="AH382" s="199"/>
      <c r="AI382" s="200">
        <f t="shared" si="186"/>
        <v>0</v>
      </c>
      <c r="AJ382" s="203"/>
      <c r="AK382" s="203"/>
      <c r="AL382" s="197">
        <f t="shared" si="179"/>
        <v>93225928</v>
      </c>
      <c r="AM382" s="197">
        <f t="shared" si="180"/>
        <v>0</v>
      </c>
      <c r="AN382" s="197">
        <f t="shared" si="181"/>
        <v>0</v>
      </c>
      <c r="AO382" s="202"/>
      <c r="AP382" s="161" t="s">
        <v>3900</v>
      </c>
      <c r="AQ382" s="279"/>
      <c r="AR382" s="287">
        <f t="shared" si="187"/>
        <v>0</v>
      </c>
      <c r="AS382" s="287">
        <f t="shared" si="188"/>
        <v>0</v>
      </c>
      <c r="AT382" s="287">
        <f t="shared" si="189"/>
        <v>0</v>
      </c>
      <c r="AU382" s="287">
        <f t="shared" si="190"/>
        <v>0</v>
      </c>
      <c r="AV382" s="287">
        <f t="shared" si="191"/>
        <v>0</v>
      </c>
      <c r="AW382" s="287">
        <f t="shared" si="192"/>
        <v>0</v>
      </c>
      <c r="AX382" s="287">
        <f t="shared" si="193"/>
        <v>0</v>
      </c>
      <c r="AY382" s="287">
        <f t="shared" si="194"/>
        <v>0</v>
      </c>
      <c r="AZ382" s="287">
        <f t="shared" si="195"/>
        <v>0</v>
      </c>
      <c r="BA382" s="287">
        <f t="shared" si="196"/>
        <v>0</v>
      </c>
      <c r="BB382" s="16"/>
      <c r="BC382" s="287">
        <f t="shared" si="197"/>
        <v>0</v>
      </c>
      <c r="BD382" s="287">
        <f t="shared" si="198"/>
        <v>0</v>
      </c>
      <c r="BE382" s="287">
        <f t="shared" si="199"/>
        <v>0</v>
      </c>
      <c r="BF382" s="287">
        <f t="shared" si="200"/>
        <v>0</v>
      </c>
      <c r="BG382" s="287">
        <f t="shared" si="201"/>
        <v>0</v>
      </c>
      <c r="BH382" s="287">
        <f t="shared" si="202"/>
        <v>0</v>
      </c>
      <c r="BI382" s="287">
        <f t="shared" si="203"/>
        <v>0</v>
      </c>
      <c r="BJ382" s="287">
        <f t="shared" si="204"/>
        <v>0</v>
      </c>
      <c r="BK382" s="287">
        <f t="shared" si="205"/>
        <v>0</v>
      </c>
      <c r="BL382" s="287">
        <f t="shared" si="206"/>
        <v>0</v>
      </c>
      <c r="BM382" s="16"/>
      <c r="BN382" s="287">
        <f t="shared" si="207"/>
        <v>0</v>
      </c>
      <c r="BO382" s="287">
        <f t="shared" si="208"/>
        <v>0</v>
      </c>
      <c r="BP382" s="432"/>
      <c r="BQ382" s="21"/>
      <c r="BR382" s="21"/>
      <c r="BS382" s="39"/>
      <c r="BT382" s="39"/>
      <c r="BU382" s="39"/>
      <c r="BV382" s="39"/>
      <c r="BW382" s="39"/>
      <c r="BX382" s="39"/>
      <c r="BY382" s="39"/>
      <c r="BZ382" s="39">
        <v>369</v>
      </c>
      <c r="CA382" s="39" t="str">
        <f t="shared" si="209"/>
        <v/>
      </c>
      <c r="CB382" s="39"/>
      <c r="CC382" s="39"/>
      <c r="CD382" s="39"/>
      <c r="CE382" s="39"/>
      <c r="CF382" s="39"/>
      <c r="CG382" s="39"/>
      <c r="CH382" s="39"/>
      <c r="CI382" s="39"/>
      <c r="CJ382" s="39"/>
      <c r="CK382" s="39"/>
    </row>
    <row r="383" spans="1:89" s="193" customFormat="1">
      <c r="A383" s="195"/>
      <c r="B383" s="21" t="str">
        <f t="shared" si="182"/>
        <v>N/A</v>
      </c>
      <c r="C383" s="21"/>
      <c r="D383" s="432" t="s">
        <v>3896</v>
      </c>
      <c r="E383" s="439" t="s">
        <v>3626</v>
      </c>
      <c r="F383" s="439" t="s">
        <v>2499</v>
      </c>
      <c r="G383" s="273" t="s">
        <v>3545</v>
      </c>
      <c r="H383" s="358"/>
      <c r="I383" s="262" t="s">
        <v>3529</v>
      </c>
      <c r="J383" s="262" t="s">
        <v>3504</v>
      </c>
      <c r="K383" s="263">
        <v>1035000</v>
      </c>
      <c r="L383" s="263">
        <v>13952836</v>
      </c>
      <c r="M383" s="263">
        <v>18884626</v>
      </c>
      <c r="N383" s="263">
        <v>34525538</v>
      </c>
      <c r="O383" s="263">
        <v>35526780</v>
      </c>
      <c r="P383" s="263">
        <v>79283930</v>
      </c>
      <c r="Q383" s="263">
        <v>169771288</v>
      </c>
      <c r="R383" s="263">
        <v>83867016</v>
      </c>
      <c r="S383" s="263">
        <v>86131426</v>
      </c>
      <c r="T383" s="263">
        <v>88543106</v>
      </c>
      <c r="U383" s="263">
        <f t="shared" si="210"/>
        <v>611521546</v>
      </c>
      <c r="V383" s="196" t="str">
        <f t="shared" si="183"/>
        <v>G/LOS</v>
      </c>
      <c r="W383" s="196" t="s">
        <v>1168</v>
      </c>
      <c r="X383" s="196" t="str">
        <f t="shared" si="211"/>
        <v>Y</v>
      </c>
      <c r="Y383" s="197">
        <f t="shared" si="184"/>
        <v>611521546</v>
      </c>
      <c r="Z383" s="198"/>
      <c r="AA383" s="197">
        <f t="shared" si="185"/>
        <v>611521546</v>
      </c>
      <c r="AB383" s="196" t="s">
        <v>1168</v>
      </c>
      <c r="AC383" s="196"/>
      <c r="AD383" s="275">
        <v>0.5</v>
      </c>
      <c r="AE383" s="275">
        <v>0.5</v>
      </c>
      <c r="AF383" s="275">
        <v>0</v>
      </c>
      <c r="AG383" s="199"/>
      <c r="AH383" s="199"/>
      <c r="AI383" s="200">
        <f t="shared" si="186"/>
        <v>0</v>
      </c>
      <c r="AJ383" s="203"/>
      <c r="AK383" s="203"/>
      <c r="AL383" s="197">
        <f t="shared" si="179"/>
        <v>611521546</v>
      </c>
      <c r="AM383" s="197">
        <f t="shared" si="180"/>
        <v>0</v>
      </c>
      <c r="AN383" s="197">
        <f t="shared" si="181"/>
        <v>0</v>
      </c>
      <c r="AO383" s="202"/>
      <c r="AP383" s="161" t="s">
        <v>3900</v>
      </c>
      <c r="AQ383" s="279"/>
      <c r="AR383" s="287">
        <f t="shared" si="187"/>
        <v>0</v>
      </c>
      <c r="AS383" s="287">
        <f t="shared" si="188"/>
        <v>0</v>
      </c>
      <c r="AT383" s="287">
        <f t="shared" si="189"/>
        <v>0</v>
      </c>
      <c r="AU383" s="287">
        <f t="shared" si="190"/>
        <v>0</v>
      </c>
      <c r="AV383" s="287">
        <f t="shared" si="191"/>
        <v>0</v>
      </c>
      <c r="AW383" s="287">
        <f t="shared" si="192"/>
        <v>0</v>
      </c>
      <c r="AX383" s="287">
        <f t="shared" si="193"/>
        <v>0</v>
      </c>
      <c r="AY383" s="287">
        <f t="shared" si="194"/>
        <v>0</v>
      </c>
      <c r="AZ383" s="287">
        <f t="shared" si="195"/>
        <v>0</v>
      </c>
      <c r="BA383" s="287">
        <f t="shared" si="196"/>
        <v>0</v>
      </c>
      <c r="BB383" s="16"/>
      <c r="BC383" s="287">
        <f t="shared" si="197"/>
        <v>0</v>
      </c>
      <c r="BD383" s="287">
        <f t="shared" si="198"/>
        <v>0</v>
      </c>
      <c r="BE383" s="287">
        <f t="shared" si="199"/>
        <v>0</v>
      </c>
      <c r="BF383" s="287">
        <f t="shared" si="200"/>
        <v>0</v>
      </c>
      <c r="BG383" s="287">
        <f t="shared" si="201"/>
        <v>0</v>
      </c>
      <c r="BH383" s="287">
        <f t="shared" si="202"/>
        <v>0</v>
      </c>
      <c r="BI383" s="287">
        <f t="shared" si="203"/>
        <v>0</v>
      </c>
      <c r="BJ383" s="287">
        <f t="shared" si="204"/>
        <v>0</v>
      </c>
      <c r="BK383" s="287">
        <f t="shared" si="205"/>
        <v>0</v>
      </c>
      <c r="BL383" s="287">
        <f t="shared" si="206"/>
        <v>0</v>
      </c>
      <c r="BM383" s="16"/>
      <c r="BN383" s="287">
        <f t="shared" si="207"/>
        <v>0</v>
      </c>
      <c r="BO383" s="287">
        <f t="shared" si="208"/>
        <v>0</v>
      </c>
      <c r="BP383" s="432"/>
      <c r="BQ383" s="21"/>
      <c r="BR383" s="21"/>
      <c r="BS383" s="39"/>
      <c r="BT383" s="39"/>
      <c r="BU383" s="39"/>
      <c r="BV383" s="39"/>
      <c r="BW383" s="39"/>
      <c r="BX383" s="39"/>
      <c r="BY383" s="39"/>
      <c r="BZ383" s="39">
        <v>370</v>
      </c>
      <c r="CA383" s="39" t="str">
        <f t="shared" si="209"/>
        <v/>
      </c>
      <c r="CB383" s="39"/>
      <c r="CC383" s="39"/>
      <c r="CD383" s="39"/>
      <c r="CE383" s="39"/>
      <c r="CF383" s="39"/>
      <c r="CG383" s="39"/>
      <c r="CH383" s="39"/>
      <c r="CI383" s="39"/>
      <c r="CJ383" s="39"/>
      <c r="CK383" s="39"/>
    </row>
    <row r="384" spans="1:89" s="193" customFormat="1">
      <c r="A384" s="195"/>
      <c r="B384" s="21" t="str">
        <f t="shared" si="182"/>
        <v>N/A</v>
      </c>
      <c r="C384" s="21"/>
      <c r="D384" s="432" t="s">
        <v>3896</v>
      </c>
      <c r="E384" s="439" t="s">
        <v>3626</v>
      </c>
      <c r="F384" s="439" t="s">
        <v>2499</v>
      </c>
      <c r="G384" s="273" t="s">
        <v>3546</v>
      </c>
      <c r="H384" s="358"/>
      <c r="I384" s="262" t="s">
        <v>3529</v>
      </c>
      <c r="J384" s="262" t="s">
        <v>3504</v>
      </c>
      <c r="K384" s="263">
        <v>354773</v>
      </c>
      <c r="L384" s="263">
        <v>1719547</v>
      </c>
      <c r="M384" s="263">
        <v>1414658</v>
      </c>
      <c r="N384" s="263">
        <v>0</v>
      </c>
      <c r="O384" s="263">
        <v>328374</v>
      </c>
      <c r="P384" s="263">
        <v>1753761</v>
      </c>
      <c r="Q384" s="263">
        <v>2518463</v>
      </c>
      <c r="R384" s="263">
        <v>1987648</v>
      </c>
      <c r="S384" s="263">
        <v>4695024</v>
      </c>
      <c r="T384" s="263">
        <v>3077758</v>
      </c>
      <c r="U384" s="263">
        <f t="shared" si="210"/>
        <v>17850006</v>
      </c>
      <c r="V384" s="196" t="str">
        <f t="shared" si="183"/>
        <v>R</v>
      </c>
      <c r="W384" s="196" t="s">
        <v>1168</v>
      </c>
      <c r="X384" s="196" t="str">
        <f t="shared" si="211"/>
        <v>N</v>
      </c>
      <c r="Y384" s="197">
        <f t="shared" si="184"/>
        <v>17850006</v>
      </c>
      <c r="Z384" s="198"/>
      <c r="AA384" s="197">
        <f t="shared" si="185"/>
        <v>17850006</v>
      </c>
      <c r="AB384" s="196"/>
      <c r="AC384" s="196"/>
      <c r="AD384" s="275">
        <v>0</v>
      </c>
      <c r="AE384" s="275">
        <v>0</v>
      </c>
      <c r="AF384" s="275">
        <v>1</v>
      </c>
      <c r="AG384" s="199"/>
      <c r="AH384" s="199"/>
      <c r="AI384" s="200">
        <f t="shared" si="186"/>
        <v>0</v>
      </c>
      <c r="AJ384" s="203"/>
      <c r="AK384" s="203"/>
      <c r="AL384" s="197">
        <f t="shared" si="179"/>
        <v>17850006</v>
      </c>
      <c r="AM384" s="197">
        <f t="shared" si="180"/>
        <v>0</v>
      </c>
      <c r="AN384" s="197">
        <f t="shared" si="181"/>
        <v>0</v>
      </c>
      <c r="AO384" s="202"/>
      <c r="AP384" s="161" t="s">
        <v>3900</v>
      </c>
      <c r="AQ384" s="279"/>
      <c r="AR384" s="287">
        <f t="shared" si="187"/>
        <v>0</v>
      </c>
      <c r="AS384" s="287">
        <f t="shared" si="188"/>
        <v>0</v>
      </c>
      <c r="AT384" s="287">
        <f t="shared" si="189"/>
        <v>0</v>
      </c>
      <c r="AU384" s="287">
        <f t="shared" si="190"/>
        <v>0</v>
      </c>
      <c r="AV384" s="287">
        <f t="shared" si="191"/>
        <v>0</v>
      </c>
      <c r="AW384" s="287">
        <f t="shared" si="192"/>
        <v>0</v>
      </c>
      <c r="AX384" s="287">
        <f t="shared" si="193"/>
        <v>0</v>
      </c>
      <c r="AY384" s="287">
        <f t="shared" si="194"/>
        <v>0</v>
      </c>
      <c r="AZ384" s="287">
        <f t="shared" si="195"/>
        <v>0</v>
      </c>
      <c r="BA384" s="287">
        <f t="shared" si="196"/>
        <v>0</v>
      </c>
      <c r="BB384" s="16"/>
      <c r="BC384" s="287">
        <f t="shared" si="197"/>
        <v>0</v>
      </c>
      <c r="BD384" s="287">
        <f t="shared" si="198"/>
        <v>0</v>
      </c>
      <c r="BE384" s="287">
        <f t="shared" si="199"/>
        <v>0</v>
      </c>
      <c r="BF384" s="287">
        <f t="shared" si="200"/>
        <v>0</v>
      </c>
      <c r="BG384" s="287">
        <f t="shared" si="201"/>
        <v>0</v>
      </c>
      <c r="BH384" s="287">
        <f t="shared" si="202"/>
        <v>0</v>
      </c>
      <c r="BI384" s="287">
        <f t="shared" si="203"/>
        <v>0</v>
      </c>
      <c r="BJ384" s="287">
        <f t="shared" si="204"/>
        <v>0</v>
      </c>
      <c r="BK384" s="287">
        <f t="shared" si="205"/>
        <v>0</v>
      </c>
      <c r="BL384" s="287">
        <f t="shared" si="206"/>
        <v>0</v>
      </c>
      <c r="BM384" s="16"/>
      <c r="BN384" s="287">
        <f t="shared" si="207"/>
        <v>0</v>
      </c>
      <c r="BO384" s="287">
        <f t="shared" si="208"/>
        <v>0</v>
      </c>
      <c r="BP384" s="432"/>
      <c r="BQ384" s="21"/>
      <c r="BR384" s="21"/>
      <c r="BS384" s="39"/>
      <c r="BT384" s="39"/>
      <c r="BU384" s="39"/>
      <c r="BV384" s="39"/>
      <c r="BW384" s="39"/>
      <c r="BX384" s="39"/>
      <c r="BY384" s="39"/>
      <c r="BZ384" s="39">
        <v>371</v>
      </c>
      <c r="CA384" s="39" t="str">
        <f t="shared" si="209"/>
        <v/>
      </c>
      <c r="CB384" s="39"/>
      <c r="CC384" s="39"/>
      <c r="CD384" s="39"/>
      <c r="CE384" s="39"/>
      <c r="CF384" s="39"/>
      <c r="CG384" s="39"/>
      <c r="CH384" s="39"/>
      <c r="CI384" s="39"/>
      <c r="CJ384" s="39"/>
      <c r="CK384" s="39"/>
    </row>
    <row r="385" spans="1:89" s="193" customFormat="1">
      <c r="A385" s="195"/>
      <c r="B385" s="21" t="str">
        <f t="shared" si="182"/>
        <v>N/A</v>
      </c>
      <c r="C385" s="21"/>
      <c r="D385" s="432" t="s">
        <v>3897</v>
      </c>
      <c r="E385" s="439" t="s">
        <v>3626</v>
      </c>
      <c r="F385" s="439" t="s">
        <v>3488</v>
      </c>
      <c r="G385" s="273" t="s">
        <v>3502</v>
      </c>
      <c r="H385" s="358"/>
      <c r="I385" s="262" t="s">
        <v>3502</v>
      </c>
      <c r="J385" s="262" t="s">
        <v>3504</v>
      </c>
      <c r="K385" s="263">
        <v>183300000</v>
      </c>
      <c r="L385" s="263">
        <v>47700000</v>
      </c>
      <c r="M385" s="263">
        <v>0</v>
      </c>
      <c r="N385" s="263">
        <v>0</v>
      </c>
      <c r="O385" s="263">
        <v>-12726000</v>
      </c>
      <c r="P385" s="263">
        <v>-13028000</v>
      </c>
      <c r="Q385" s="263">
        <v>-13798000</v>
      </c>
      <c r="R385" s="263">
        <v>-13700000</v>
      </c>
      <c r="S385" s="263">
        <v>0</v>
      </c>
      <c r="T385" s="263">
        <v>0</v>
      </c>
      <c r="U385" s="263">
        <f t="shared" si="210"/>
        <v>177748000</v>
      </c>
      <c r="V385" s="196" t="str">
        <f t="shared" si="183"/>
        <v>G/LOS</v>
      </c>
      <c r="W385" s="196" t="s">
        <v>1168</v>
      </c>
      <c r="X385" s="196" t="s">
        <v>1168</v>
      </c>
      <c r="Y385" s="197">
        <f t="shared" si="184"/>
        <v>177748000</v>
      </c>
      <c r="Z385" s="198"/>
      <c r="AA385" s="197">
        <f t="shared" si="185"/>
        <v>177748000</v>
      </c>
      <c r="AB385" s="196"/>
      <c r="AC385" s="196"/>
      <c r="AD385" s="275">
        <v>0.75</v>
      </c>
      <c r="AE385" s="275">
        <v>0.25</v>
      </c>
      <c r="AF385" s="275">
        <v>0</v>
      </c>
      <c r="AG385" s="199">
        <v>0</v>
      </c>
      <c r="AH385" s="199">
        <v>0</v>
      </c>
      <c r="AI385" s="377">
        <f t="shared" si="186"/>
        <v>0</v>
      </c>
      <c r="AJ385" s="203"/>
      <c r="AK385" s="203"/>
      <c r="AL385" s="197">
        <f t="shared" si="179"/>
        <v>177748000</v>
      </c>
      <c r="AM385" s="197">
        <f t="shared" si="180"/>
        <v>0</v>
      </c>
      <c r="AN385" s="197">
        <f t="shared" si="181"/>
        <v>0</v>
      </c>
      <c r="AO385" s="202"/>
      <c r="AP385" s="161" t="s">
        <v>3900</v>
      </c>
      <c r="AQ385" s="279"/>
      <c r="AR385" s="287">
        <f t="shared" si="187"/>
        <v>0</v>
      </c>
      <c r="AS385" s="287">
        <f t="shared" si="188"/>
        <v>0</v>
      </c>
      <c r="AT385" s="287">
        <f t="shared" si="189"/>
        <v>0</v>
      </c>
      <c r="AU385" s="287">
        <f t="shared" si="190"/>
        <v>0</v>
      </c>
      <c r="AV385" s="287">
        <f t="shared" si="191"/>
        <v>0</v>
      </c>
      <c r="AW385" s="287">
        <f t="shared" si="192"/>
        <v>0</v>
      </c>
      <c r="AX385" s="287">
        <f t="shared" si="193"/>
        <v>0</v>
      </c>
      <c r="AY385" s="287">
        <f t="shared" si="194"/>
        <v>0</v>
      </c>
      <c r="AZ385" s="287">
        <f t="shared" si="195"/>
        <v>0</v>
      </c>
      <c r="BA385" s="287">
        <f t="shared" si="196"/>
        <v>0</v>
      </c>
      <c r="BB385" s="16"/>
      <c r="BC385" s="287">
        <f t="shared" si="197"/>
        <v>0</v>
      </c>
      <c r="BD385" s="287">
        <f t="shared" si="198"/>
        <v>0</v>
      </c>
      <c r="BE385" s="287">
        <f t="shared" si="199"/>
        <v>0</v>
      </c>
      <c r="BF385" s="287">
        <f t="shared" si="200"/>
        <v>0</v>
      </c>
      <c r="BG385" s="287">
        <f t="shared" si="201"/>
        <v>0</v>
      </c>
      <c r="BH385" s="287">
        <f t="shared" si="202"/>
        <v>0</v>
      </c>
      <c r="BI385" s="287">
        <f t="shared" si="203"/>
        <v>0</v>
      </c>
      <c r="BJ385" s="287">
        <f t="shared" si="204"/>
        <v>0</v>
      </c>
      <c r="BK385" s="287">
        <f t="shared" si="205"/>
        <v>0</v>
      </c>
      <c r="BL385" s="287">
        <f t="shared" si="206"/>
        <v>0</v>
      </c>
      <c r="BM385" s="16"/>
      <c r="BN385" s="287">
        <f t="shared" si="207"/>
        <v>0</v>
      </c>
      <c r="BO385" s="287">
        <f t="shared" si="208"/>
        <v>0</v>
      </c>
      <c r="BP385" s="432"/>
      <c r="BQ385" s="21"/>
      <c r="BR385" s="21"/>
      <c r="BS385" s="39"/>
      <c r="BT385" s="39"/>
      <c r="BU385" s="334">
        <v>18750</v>
      </c>
      <c r="BV385" s="334">
        <v>0</v>
      </c>
      <c r="BW385" s="39"/>
      <c r="BX385" s="39"/>
      <c r="BY385" s="39"/>
      <c r="BZ385" s="39">
        <v>372</v>
      </c>
      <c r="CA385" s="39" t="str">
        <f t="shared" si="209"/>
        <v/>
      </c>
      <c r="CB385" s="39"/>
      <c r="CC385" s="39"/>
      <c r="CD385" s="39"/>
      <c r="CE385" s="39"/>
      <c r="CF385" s="39"/>
      <c r="CG385" s="39"/>
      <c r="CH385" s="39"/>
      <c r="CI385" s="39"/>
      <c r="CJ385" s="39"/>
      <c r="CK385" s="39"/>
    </row>
    <row r="386" spans="1:89" s="193" customFormat="1">
      <c r="A386" s="195"/>
      <c r="B386" s="21" t="str">
        <f t="shared" si="182"/>
        <v>N/A</v>
      </c>
      <c r="C386" s="21"/>
      <c r="D386" s="432" t="s">
        <v>3898</v>
      </c>
      <c r="E386" s="439" t="s">
        <v>3626</v>
      </c>
      <c r="F386" s="439" t="s">
        <v>3489</v>
      </c>
      <c r="G386" s="273" t="s">
        <v>3439</v>
      </c>
      <c r="H386" s="358"/>
      <c r="I386" s="262" t="s">
        <v>1208</v>
      </c>
      <c r="J386" s="262" t="s">
        <v>3504</v>
      </c>
      <c r="K386" s="263">
        <v>20000000</v>
      </c>
      <c r="L386" s="263">
        <v>0</v>
      </c>
      <c r="M386" s="263">
        <v>0</v>
      </c>
      <c r="N386" s="263">
        <v>0</v>
      </c>
      <c r="O386" s="263">
        <v>0</v>
      </c>
      <c r="P386" s="263">
        <v>0</v>
      </c>
      <c r="Q386" s="263">
        <v>0</v>
      </c>
      <c r="R386" s="263">
        <v>0</v>
      </c>
      <c r="S386" s="263">
        <v>0</v>
      </c>
      <c r="T386" s="263">
        <v>0</v>
      </c>
      <c r="U386" s="263">
        <f t="shared" si="210"/>
        <v>20000000</v>
      </c>
      <c r="V386" s="196" t="str">
        <f t="shared" si="183"/>
        <v>R</v>
      </c>
      <c r="W386" s="196" t="s">
        <v>1168</v>
      </c>
      <c r="X386" s="196" t="str">
        <f t="shared" ref="X386:X417" si="212">IF(LEFT(V386,1)="G","Y","N")</f>
        <v>N</v>
      </c>
      <c r="Y386" s="197">
        <f t="shared" si="184"/>
        <v>20000000</v>
      </c>
      <c r="Z386" s="198"/>
      <c r="AA386" s="197">
        <f t="shared" si="185"/>
        <v>20000000</v>
      </c>
      <c r="AB386" s="196"/>
      <c r="AC386" s="196"/>
      <c r="AD386" s="275">
        <v>0</v>
      </c>
      <c r="AE386" s="275">
        <v>0</v>
      </c>
      <c r="AF386" s="275">
        <v>1</v>
      </c>
      <c r="AG386" s="199"/>
      <c r="AH386" s="199"/>
      <c r="AI386" s="377">
        <f t="shared" si="186"/>
        <v>0</v>
      </c>
      <c r="AJ386" s="203"/>
      <c r="AK386" s="203"/>
      <c r="AL386" s="197">
        <f t="shared" si="179"/>
        <v>20000000</v>
      </c>
      <c r="AM386" s="197">
        <f t="shared" si="180"/>
        <v>0</v>
      </c>
      <c r="AN386" s="197">
        <f t="shared" si="181"/>
        <v>0</v>
      </c>
      <c r="AO386" s="202"/>
      <c r="AP386" s="161" t="s">
        <v>3900</v>
      </c>
      <c r="AQ386" s="279"/>
      <c r="AR386" s="287">
        <f t="shared" si="187"/>
        <v>0</v>
      </c>
      <c r="AS386" s="287">
        <f t="shared" si="188"/>
        <v>0</v>
      </c>
      <c r="AT386" s="287">
        <f t="shared" si="189"/>
        <v>0</v>
      </c>
      <c r="AU386" s="287">
        <f t="shared" si="190"/>
        <v>0</v>
      </c>
      <c r="AV386" s="287">
        <f t="shared" si="191"/>
        <v>0</v>
      </c>
      <c r="AW386" s="287">
        <f t="shared" si="192"/>
        <v>0</v>
      </c>
      <c r="AX386" s="287">
        <f t="shared" si="193"/>
        <v>0</v>
      </c>
      <c r="AY386" s="287">
        <f t="shared" si="194"/>
        <v>0</v>
      </c>
      <c r="AZ386" s="287">
        <f t="shared" si="195"/>
        <v>0</v>
      </c>
      <c r="BA386" s="287">
        <f t="shared" si="196"/>
        <v>0</v>
      </c>
      <c r="BB386" s="16"/>
      <c r="BC386" s="287">
        <f t="shared" si="197"/>
        <v>0</v>
      </c>
      <c r="BD386" s="287">
        <f t="shared" si="198"/>
        <v>0</v>
      </c>
      <c r="BE386" s="287">
        <f t="shared" si="199"/>
        <v>0</v>
      </c>
      <c r="BF386" s="287">
        <f t="shared" si="200"/>
        <v>0</v>
      </c>
      <c r="BG386" s="287">
        <f t="shared" si="201"/>
        <v>0</v>
      </c>
      <c r="BH386" s="287">
        <f t="shared" si="202"/>
        <v>0</v>
      </c>
      <c r="BI386" s="287">
        <f t="shared" si="203"/>
        <v>0</v>
      </c>
      <c r="BJ386" s="287">
        <f t="shared" si="204"/>
        <v>0</v>
      </c>
      <c r="BK386" s="287">
        <f t="shared" si="205"/>
        <v>0</v>
      </c>
      <c r="BL386" s="287">
        <f t="shared" si="206"/>
        <v>0</v>
      </c>
      <c r="BM386" s="16"/>
      <c r="BN386" s="287">
        <f t="shared" si="207"/>
        <v>0</v>
      </c>
      <c r="BO386" s="287">
        <f t="shared" si="208"/>
        <v>0</v>
      </c>
      <c r="BP386" s="432"/>
      <c r="BQ386" s="21"/>
      <c r="BR386" s="21"/>
      <c r="BS386" s="39"/>
      <c r="BT386" s="39"/>
      <c r="BU386" s="334">
        <v>671510.78</v>
      </c>
      <c r="BV386" s="334">
        <v>0</v>
      </c>
      <c r="BW386" s="39"/>
      <c r="BX386" s="39"/>
      <c r="BY386" s="39"/>
      <c r="BZ386" s="39">
        <v>373</v>
      </c>
      <c r="CA386" s="39" t="str">
        <f t="shared" si="209"/>
        <v/>
      </c>
      <c r="CB386" s="39"/>
      <c r="CC386" s="39"/>
      <c r="CD386" s="39"/>
      <c r="CE386" s="39"/>
      <c r="CF386" s="39"/>
      <c r="CG386" s="39"/>
      <c r="CH386" s="39"/>
      <c r="CI386" s="39"/>
      <c r="CJ386" s="39"/>
      <c r="CK386" s="39"/>
    </row>
    <row r="387" spans="1:89" s="193" customFormat="1">
      <c r="A387" s="195"/>
      <c r="B387" s="21" t="str">
        <f t="shared" si="182"/>
        <v>N/A</v>
      </c>
      <c r="C387" s="21"/>
      <c r="D387" s="432" t="s">
        <v>3899</v>
      </c>
      <c r="E387" s="439" t="s">
        <v>3626</v>
      </c>
      <c r="F387" s="439" t="s">
        <v>3490</v>
      </c>
      <c r="G387" s="273" t="s">
        <v>3440</v>
      </c>
      <c r="H387" s="358"/>
      <c r="I387" s="262" t="s">
        <v>3503</v>
      </c>
      <c r="J387" s="262" t="s">
        <v>3504</v>
      </c>
      <c r="K387" s="263">
        <v>300000</v>
      </c>
      <c r="L387" s="263">
        <v>1000000</v>
      </c>
      <c r="M387" s="263">
        <v>1000000</v>
      </c>
      <c r="N387" s="263">
        <v>0</v>
      </c>
      <c r="O387" s="263">
        <v>0</v>
      </c>
      <c r="P387" s="263">
        <v>0</v>
      </c>
      <c r="Q387" s="263">
        <v>0</v>
      </c>
      <c r="R387" s="263">
        <v>0</v>
      </c>
      <c r="S387" s="263">
        <v>0</v>
      </c>
      <c r="T387" s="263">
        <v>0</v>
      </c>
      <c r="U387" s="263">
        <f t="shared" si="210"/>
        <v>2300000</v>
      </c>
      <c r="V387" s="196" t="str">
        <f t="shared" si="183"/>
        <v>R</v>
      </c>
      <c r="W387" s="196" t="s">
        <v>1168</v>
      </c>
      <c r="X387" s="196" t="str">
        <f t="shared" si="212"/>
        <v>N</v>
      </c>
      <c r="Y387" s="197">
        <f t="shared" si="184"/>
        <v>2300000</v>
      </c>
      <c r="Z387" s="198"/>
      <c r="AA387" s="197">
        <f t="shared" si="185"/>
        <v>2300000</v>
      </c>
      <c r="AB387" s="196"/>
      <c r="AC387" s="196"/>
      <c r="AD387" s="275">
        <v>0</v>
      </c>
      <c r="AE387" s="275">
        <v>0</v>
      </c>
      <c r="AF387" s="275">
        <v>1</v>
      </c>
      <c r="AG387" s="442"/>
      <c r="AH387" s="442"/>
      <c r="AI387" s="200">
        <f t="shared" si="186"/>
        <v>0</v>
      </c>
      <c r="AJ387" s="203"/>
      <c r="AK387" s="203"/>
      <c r="AL387" s="197">
        <f t="shared" si="179"/>
        <v>2300000</v>
      </c>
      <c r="AM387" s="197">
        <f t="shared" si="180"/>
        <v>0</v>
      </c>
      <c r="AN387" s="197">
        <f t="shared" si="181"/>
        <v>0</v>
      </c>
      <c r="AO387" s="202"/>
      <c r="AP387" s="161" t="s">
        <v>3900</v>
      </c>
      <c r="AQ387" s="279"/>
      <c r="AR387" s="287">
        <f t="shared" si="187"/>
        <v>0</v>
      </c>
      <c r="AS387" s="287">
        <f t="shared" si="188"/>
        <v>0</v>
      </c>
      <c r="AT387" s="287">
        <f t="shared" si="189"/>
        <v>0</v>
      </c>
      <c r="AU387" s="287">
        <f t="shared" si="190"/>
        <v>0</v>
      </c>
      <c r="AV387" s="287">
        <f t="shared" si="191"/>
        <v>0</v>
      </c>
      <c r="AW387" s="287">
        <f t="shared" si="192"/>
        <v>0</v>
      </c>
      <c r="AX387" s="287">
        <f t="shared" si="193"/>
        <v>0</v>
      </c>
      <c r="AY387" s="287">
        <f t="shared" si="194"/>
        <v>0</v>
      </c>
      <c r="AZ387" s="287">
        <f t="shared" si="195"/>
        <v>0</v>
      </c>
      <c r="BA387" s="287">
        <f t="shared" si="196"/>
        <v>0</v>
      </c>
      <c r="BB387" s="16"/>
      <c r="BC387" s="287">
        <f t="shared" si="197"/>
        <v>0</v>
      </c>
      <c r="BD387" s="287">
        <f t="shared" si="198"/>
        <v>0</v>
      </c>
      <c r="BE387" s="287">
        <f t="shared" si="199"/>
        <v>0</v>
      </c>
      <c r="BF387" s="287">
        <f t="shared" si="200"/>
        <v>0</v>
      </c>
      <c r="BG387" s="287">
        <f t="shared" si="201"/>
        <v>0</v>
      </c>
      <c r="BH387" s="287">
        <f t="shared" si="202"/>
        <v>0</v>
      </c>
      <c r="BI387" s="287">
        <f t="shared" si="203"/>
        <v>0</v>
      </c>
      <c r="BJ387" s="287">
        <f t="shared" si="204"/>
        <v>0</v>
      </c>
      <c r="BK387" s="287">
        <f t="shared" si="205"/>
        <v>0</v>
      </c>
      <c r="BL387" s="287">
        <f t="shared" si="206"/>
        <v>0</v>
      </c>
      <c r="BM387" s="16"/>
      <c r="BN387" s="287">
        <f t="shared" si="207"/>
        <v>0</v>
      </c>
      <c r="BO387" s="287">
        <f t="shared" si="208"/>
        <v>0</v>
      </c>
      <c r="BP387" s="432"/>
      <c r="BQ387" s="21"/>
      <c r="BR387" s="21"/>
      <c r="BS387" s="39"/>
      <c r="BT387" s="39"/>
      <c r="BU387" s="39"/>
      <c r="BV387" s="39"/>
      <c r="BW387" s="39"/>
      <c r="BX387" s="39"/>
      <c r="BY387" s="39"/>
      <c r="BZ387" s="39">
        <v>374</v>
      </c>
      <c r="CA387" s="39" t="str">
        <f t="shared" si="209"/>
        <v/>
      </c>
      <c r="CB387" s="39"/>
      <c r="CC387" s="39"/>
      <c r="CD387" s="39"/>
      <c r="CE387" s="39"/>
      <c r="CF387" s="39"/>
      <c r="CG387" s="39"/>
      <c r="CH387" s="39"/>
      <c r="CI387" s="39"/>
      <c r="CJ387" s="39"/>
      <c r="CK387" s="39"/>
    </row>
    <row r="388" spans="1:89" s="193" customFormat="1">
      <c r="A388" s="195"/>
      <c r="B388" s="21" t="str">
        <f t="shared" si="182"/>
        <v>N/A</v>
      </c>
      <c r="C388" s="21"/>
      <c r="D388" s="432"/>
      <c r="E388" s="439" t="s">
        <v>3626</v>
      </c>
      <c r="F388" s="439" t="s">
        <v>2499</v>
      </c>
      <c r="G388" s="273" t="s">
        <v>3600</v>
      </c>
      <c r="H388" s="358"/>
      <c r="I388" s="262" t="s">
        <v>3533</v>
      </c>
      <c r="J388" s="262" t="s">
        <v>3504</v>
      </c>
      <c r="K388" s="263">
        <v>180341501.5</v>
      </c>
      <c r="L388" s="263">
        <v>54827956.000000007</v>
      </c>
      <c r="M388" s="263">
        <v>65133969.999999993</v>
      </c>
      <c r="N388" s="263">
        <v>59863000</v>
      </c>
      <c r="O388" s="263">
        <v>55760748</v>
      </c>
      <c r="P388" s="263">
        <v>40948828</v>
      </c>
      <c r="Q388" s="263">
        <v>82583582</v>
      </c>
      <c r="R388" s="263">
        <v>67919277.999999985</v>
      </c>
      <c r="S388" s="263">
        <v>53649136</v>
      </c>
      <c r="T388" s="263">
        <v>74945620</v>
      </c>
      <c r="U388" s="263">
        <f t="shared" si="210"/>
        <v>735973619.5</v>
      </c>
      <c r="V388" s="196" t="str">
        <f t="shared" si="183"/>
        <v>LOS</v>
      </c>
      <c r="W388" s="196" t="s">
        <v>1168</v>
      </c>
      <c r="X388" s="196" t="str">
        <f t="shared" si="212"/>
        <v>N</v>
      </c>
      <c r="Y388" s="197">
        <f t="shared" si="184"/>
        <v>735973619.5</v>
      </c>
      <c r="Z388" s="198"/>
      <c r="AA388" s="197">
        <f t="shared" si="185"/>
        <v>735973619.5</v>
      </c>
      <c r="AB388" s="196"/>
      <c r="AC388" s="196"/>
      <c r="AD388" s="275">
        <v>0</v>
      </c>
      <c r="AE388" s="275">
        <v>1</v>
      </c>
      <c r="AF388" s="275">
        <v>0</v>
      </c>
      <c r="AG388" s="199"/>
      <c r="AH388" s="199"/>
      <c r="AI388" s="377">
        <f t="shared" si="186"/>
        <v>0</v>
      </c>
      <c r="AJ388" s="203"/>
      <c r="AK388" s="203"/>
      <c r="AL388" s="197">
        <f t="shared" si="179"/>
        <v>735973619.5</v>
      </c>
      <c r="AM388" s="197">
        <f t="shared" si="180"/>
        <v>0</v>
      </c>
      <c r="AN388" s="197">
        <f t="shared" si="181"/>
        <v>0</v>
      </c>
      <c r="AO388" s="202"/>
      <c r="AP388" s="161" t="s">
        <v>3900</v>
      </c>
      <c r="AQ388" s="279"/>
      <c r="AR388" s="287">
        <f t="shared" si="187"/>
        <v>0</v>
      </c>
      <c r="AS388" s="287">
        <f t="shared" si="188"/>
        <v>0</v>
      </c>
      <c r="AT388" s="287">
        <f t="shared" si="189"/>
        <v>0</v>
      </c>
      <c r="AU388" s="287">
        <f t="shared" si="190"/>
        <v>0</v>
      </c>
      <c r="AV388" s="287">
        <f t="shared" si="191"/>
        <v>0</v>
      </c>
      <c r="AW388" s="287">
        <f t="shared" si="192"/>
        <v>0</v>
      </c>
      <c r="AX388" s="287">
        <f t="shared" si="193"/>
        <v>0</v>
      </c>
      <c r="AY388" s="287">
        <f t="shared" si="194"/>
        <v>0</v>
      </c>
      <c r="AZ388" s="287">
        <f t="shared" si="195"/>
        <v>0</v>
      </c>
      <c r="BA388" s="287">
        <f t="shared" si="196"/>
        <v>0</v>
      </c>
      <c r="BB388" s="16"/>
      <c r="BC388" s="287">
        <f t="shared" si="197"/>
        <v>0</v>
      </c>
      <c r="BD388" s="287">
        <f t="shared" si="198"/>
        <v>0</v>
      </c>
      <c r="BE388" s="287">
        <f t="shared" si="199"/>
        <v>0</v>
      </c>
      <c r="BF388" s="287">
        <f t="shared" si="200"/>
        <v>0</v>
      </c>
      <c r="BG388" s="287">
        <f t="shared" si="201"/>
        <v>0</v>
      </c>
      <c r="BH388" s="287">
        <f t="shared" si="202"/>
        <v>0</v>
      </c>
      <c r="BI388" s="287">
        <f t="shared" si="203"/>
        <v>0</v>
      </c>
      <c r="BJ388" s="287">
        <f t="shared" si="204"/>
        <v>0</v>
      </c>
      <c r="BK388" s="287">
        <f t="shared" si="205"/>
        <v>0</v>
      </c>
      <c r="BL388" s="287">
        <f t="shared" si="206"/>
        <v>0</v>
      </c>
      <c r="BM388" s="16"/>
      <c r="BN388" s="287">
        <f t="shared" si="207"/>
        <v>0</v>
      </c>
      <c r="BO388" s="287">
        <f t="shared" si="208"/>
        <v>0</v>
      </c>
      <c r="BP388" s="432"/>
      <c r="BQ388" s="21"/>
      <c r="BR388" s="21"/>
      <c r="BS388" s="39"/>
      <c r="BT388" s="39"/>
      <c r="BU388" s="334">
        <v>911875</v>
      </c>
      <c r="BV388" s="334">
        <v>0</v>
      </c>
      <c r="BW388" s="39"/>
      <c r="BX388" s="39"/>
      <c r="BY388" s="39"/>
      <c r="BZ388" s="39">
        <v>375</v>
      </c>
      <c r="CA388" s="39" t="str">
        <f t="shared" si="209"/>
        <v/>
      </c>
      <c r="CB388" s="39"/>
      <c r="CC388" s="39"/>
      <c r="CD388" s="39"/>
      <c r="CE388" s="39"/>
      <c r="CF388" s="39"/>
      <c r="CG388" s="39"/>
      <c r="CH388" s="39"/>
      <c r="CI388" s="39"/>
      <c r="CJ388" s="39"/>
      <c r="CK388" s="39"/>
    </row>
    <row r="389" spans="1:89" s="193" customFormat="1">
      <c r="A389" s="195"/>
      <c r="B389" s="21" t="str">
        <f t="shared" si="182"/>
        <v>N/A</v>
      </c>
      <c r="C389" s="21"/>
      <c r="D389" s="432"/>
      <c r="E389" s="439" t="s">
        <v>3626</v>
      </c>
      <c r="F389" s="439"/>
      <c r="G389" s="273" t="s">
        <v>3625</v>
      </c>
      <c r="H389" s="358"/>
      <c r="I389" s="262" t="s">
        <v>3161</v>
      </c>
      <c r="J389" s="262" t="s">
        <v>3504</v>
      </c>
      <c r="K389" s="263">
        <v>416000</v>
      </c>
      <c r="L389" s="263">
        <v>393702.40000000002</v>
      </c>
      <c r="M389" s="263">
        <v>435106.04800000007</v>
      </c>
      <c r="N389" s="263">
        <v>512078.46779999993</v>
      </c>
      <c r="O389" s="263">
        <v>498676.858848</v>
      </c>
      <c r="P389" s="263">
        <v>753667.04314169986</v>
      </c>
      <c r="Q389" s="263">
        <v>703050.82664077601</v>
      </c>
      <c r="R389" s="263">
        <v>655075.56243333267</v>
      </c>
      <c r="S389" s="263">
        <v>912781.68175393413</v>
      </c>
      <c r="T389" s="263">
        <v>781995.11138225719</v>
      </c>
      <c r="U389" s="263">
        <f t="shared" si="210"/>
        <v>6062134</v>
      </c>
      <c r="V389" s="196" t="str">
        <f t="shared" si="183"/>
        <v>LOS</v>
      </c>
      <c r="W389" s="196" t="s">
        <v>1168</v>
      </c>
      <c r="X389" s="196" t="str">
        <f t="shared" si="212"/>
        <v>N</v>
      </c>
      <c r="Y389" s="197">
        <f t="shared" ref="Y389:Y413" si="213">IF(X389="N",0,SUM(K389:T389))</f>
        <v>0</v>
      </c>
      <c r="Z389" s="198"/>
      <c r="AA389" s="197">
        <f t="shared" si="185"/>
        <v>0</v>
      </c>
      <c r="AB389" s="196"/>
      <c r="AC389" s="196"/>
      <c r="AD389" s="275">
        <v>0</v>
      </c>
      <c r="AE389" s="275">
        <v>1</v>
      </c>
      <c r="AF389" s="275">
        <v>0</v>
      </c>
      <c r="AG389" s="199"/>
      <c r="AH389" s="199"/>
      <c r="AI389" s="377">
        <f t="shared" si="186"/>
        <v>0</v>
      </c>
      <c r="AJ389" s="203"/>
      <c r="AK389" s="203"/>
      <c r="AL389" s="197">
        <f t="shared" si="179"/>
        <v>0</v>
      </c>
      <c r="AM389" s="197">
        <f t="shared" si="180"/>
        <v>0</v>
      </c>
      <c r="AN389" s="197">
        <f t="shared" si="181"/>
        <v>0</v>
      </c>
      <c r="AO389" s="202"/>
      <c r="AP389" s="161" t="s">
        <v>3900</v>
      </c>
      <c r="AQ389" s="279"/>
      <c r="AR389" s="287">
        <f t="shared" si="187"/>
        <v>0</v>
      </c>
      <c r="AS389" s="287">
        <f t="shared" si="188"/>
        <v>0</v>
      </c>
      <c r="AT389" s="287">
        <f t="shared" si="189"/>
        <v>0</v>
      </c>
      <c r="AU389" s="287">
        <f t="shared" si="190"/>
        <v>0</v>
      </c>
      <c r="AV389" s="287">
        <f t="shared" si="191"/>
        <v>0</v>
      </c>
      <c r="AW389" s="287">
        <f t="shared" si="192"/>
        <v>0</v>
      </c>
      <c r="AX389" s="287">
        <f t="shared" si="193"/>
        <v>0</v>
      </c>
      <c r="AY389" s="287">
        <f t="shared" si="194"/>
        <v>0</v>
      </c>
      <c r="AZ389" s="287">
        <f t="shared" si="195"/>
        <v>0</v>
      </c>
      <c r="BA389" s="287">
        <f t="shared" si="196"/>
        <v>0</v>
      </c>
      <c r="BB389" s="16"/>
      <c r="BC389" s="287">
        <f t="shared" si="197"/>
        <v>0</v>
      </c>
      <c r="BD389" s="287">
        <f t="shared" si="198"/>
        <v>0</v>
      </c>
      <c r="BE389" s="287">
        <f t="shared" si="199"/>
        <v>0</v>
      </c>
      <c r="BF389" s="287">
        <f t="shared" si="200"/>
        <v>0</v>
      </c>
      <c r="BG389" s="287">
        <f t="shared" si="201"/>
        <v>0</v>
      </c>
      <c r="BH389" s="287">
        <f t="shared" si="202"/>
        <v>0</v>
      </c>
      <c r="BI389" s="287">
        <f t="shared" si="203"/>
        <v>0</v>
      </c>
      <c r="BJ389" s="287">
        <f t="shared" si="204"/>
        <v>0</v>
      </c>
      <c r="BK389" s="287">
        <f t="shared" si="205"/>
        <v>0</v>
      </c>
      <c r="BL389" s="287">
        <f t="shared" si="206"/>
        <v>0</v>
      </c>
      <c r="BM389" s="16"/>
      <c r="BN389" s="287">
        <f t="shared" si="207"/>
        <v>0</v>
      </c>
      <c r="BO389" s="287">
        <f t="shared" si="208"/>
        <v>0</v>
      </c>
      <c r="BP389" s="432"/>
      <c r="BQ389" s="21"/>
      <c r="BR389" s="21"/>
      <c r="BS389" s="39"/>
      <c r="BT389" s="39"/>
      <c r="BU389" s="334">
        <v>566954.21743752016</v>
      </c>
      <c r="BV389" s="334">
        <v>1151088.8657064801</v>
      </c>
      <c r="BW389" s="39"/>
      <c r="BX389" s="39"/>
      <c r="BY389" s="39"/>
      <c r="BZ389" s="39">
        <v>376</v>
      </c>
      <c r="CA389" s="39" t="str">
        <f t="shared" si="209"/>
        <v/>
      </c>
      <c r="CB389" s="39"/>
      <c r="CC389" s="39"/>
      <c r="CD389" s="39"/>
      <c r="CE389" s="39"/>
      <c r="CF389" s="39"/>
      <c r="CG389" s="39"/>
      <c r="CH389" s="39"/>
      <c r="CI389" s="39"/>
      <c r="CJ389" s="39"/>
      <c r="CK389" s="39"/>
    </row>
    <row r="390" spans="1:89" s="193" customFormat="1">
      <c r="A390" s="195"/>
      <c r="B390" s="21" t="str">
        <f t="shared" si="182"/>
        <v>N/A</v>
      </c>
      <c r="C390" s="21"/>
      <c r="D390" s="440"/>
      <c r="E390" s="441" t="s">
        <v>3626</v>
      </c>
      <c r="F390" s="441"/>
      <c r="G390" s="273" t="s">
        <v>3065</v>
      </c>
      <c r="H390" s="358"/>
      <c r="I390" s="262" t="s">
        <v>3160</v>
      </c>
      <c r="J390" s="262" t="s">
        <v>3504</v>
      </c>
      <c r="K390" s="263">
        <v>384284.68</v>
      </c>
      <c r="L390" s="263">
        <v>208770.01289307547</v>
      </c>
      <c r="M390" s="263">
        <v>278719.6051247837</v>
      </c>
      <c r="N390" s="263">
        <v>279315.70890739548</v>
      </c>
      <c r="O390" s="263">
        <v>279827.13540521706</v>
      </c>
      <c r="P390" s="263">
        <v>352272.26999999996</v>
      </c>
      <c r="Q390" s="263">
        <v>385816.04474473489</v>
      </c>
      <c r="R390" s="263">
        <v>408860.69695281185</v>
      </c>
      <c r="S390" s="263">
        <v>418175.51841500378</v>
      </c>
      <c r="T390" s="263">
        <v>440236.16918867949</v>
      </c>
      <c r="U390" s="263">
        <f t="shared" si="210"/>
        <v>3436277.8416317017</v>
      </c>
      <c r="V390" s="196" t="str">
        <f t="shared" si="183"/>
        <v>R</v>
      </c>
      <c r="W390" s="196" t="s">
        <v>1168</v>
      </c>
      <c r="X390" s="196" t="str">
        <f t="shared" si="212"/>
        <v>N</v>
      </c>
      <c r="Y390" s="197">
        <f t="shared" si="213"/>
        <v>0</v>
      </c>
      <c r="Z390" s="198"/>
      <c r="AA390" s="197">
        <f t="shared" si="185"/>
        <v>0</v>
      </c>
      <c r="AB390" s="196"/>
      <c r="AC390" s="196"/>
      <c r="AD390" s="275">
        <v>0</v>
      </c>
      <c r="AE390" s="275">
        <v>0</v>
      </c>
      <c r="AF390" s="275">
        <v>1</v>
      </c>
      <c r="AG390" s="199"/>
      <c r="AH390" s="199"/>
      <c r="AI390" s="377">
        <f t="shared" si="186"/>
        <v>0</v>
      </c>
      <c r="AJ390" s="203"/>
      <c r="AK390" s="203"/>
      <c r="AL390" s="197">
        <f t="shared" si="179"/>
        <v>0</v>
      </c>
      <c r="AM390" s="197">
        <f t="shared" si="180"/>
        <v>0</v>
      </c>
      <c r="AN390" s="197">
        <f t="shared" si="181"/>
        <v>0</v>
      </c>
      <c r="AO390" s="202"/>
      <c r="AP390" s="161" t="s">
        <v>3900</v>
      </c>
      <c r="AQ390" s="279"/>
      <c r="AR390" s="287">
        <f t="shared" si="187"/>
        <v>0</v>
      </c>
      <c r="AS390" s="287">
        <f t="shared" si="188"/>
        <v>0</v>
      </c>
      <c r="AT390" s="287">
        <f t="shared" si="189"/>
        <v>0</v>
      </c>
      <c r="AU390" s="287">
        <f t="shared" si="190"/>
        <v>0</v>
      </c>
      <c r="AV390" s="287">
        <f t="shared" si="191"/>
        <v>0</v>
      </c>
      <c r="AW390" s="287">
        <f t="shared" si="192"/>
        <v>0</v>
      </c>
      <c r="AX390" s="287">
        <f t="shared" si="193"/>
        <v>0</v>
      </c>
      <c r="AY390" s="287">
        <f t="shared" si="194"/>
        <v>0</v>
      </c>
      <c r="AZ390" s="287">
        <f t="shared" si="195"/>
        <v>0</v>
      </c>
      <c r="BA390" s="287">
        <f t="shared" si="196"/>
        <v>0</v>
      </c>
      <c r="BB390" s="16"/>
      <c r="BC390" s="287">
        <f t="shared" si="197"/>
        <v>0</v>
      </c>
      <c r="BD390" s="287">
        <f t="shared" si="198"/>
        <v>0</v>
      </c>
      <c r="BE390" s="287">
        <f t="shared" si="199"/>
        <v>0</v>
      </c>
      <c r="BF390" s="287">
        <f t="shared" si="200"/>
        <v>0</v>
      </c>
      <c r="BG390" s="287">
        <f t="shared" si="201"/>
        <v>0</v>
      </c>
      <c r="BH390" s="287">
        <f t="shared" si="202"/>
        <v>0</v>
      </c>
      <c r="BI390" s="287">
        <f t="shared" si="203"/>
        <v>0</v>
      </c>
      <c r="BJ390" s="287">
        <f t="shared" si="204"/>
        <v>0</v>
      </c>
      <c r="BK390" s="287">
        <f t="shared" si="205"/>
        <v>0</v>
      </c>
      <c r="BL390" s="287">
        <f t="shared" si="206"/>
        <v>0</v>
      </c>
      <c r="BM390" s="16"/>
      <c r="BN390" s="287">
        <f t="shared" si="207"/>
        <v>0</v>
      </c>
      <c r="BO390" s="287">
        <f t="shared" si="208"/>
        <v>0</v>
      </c>
      <c r="BP390" s="431"/>
      <c r="BQ390" s="21"/>
      <c r="BR390" s="21"/>
      <c r="BS390" s="39" t="e">
        <v>#VALUE!</v>
      </c>
      <c r="BT390" s="39"/>
      <c r="BU390" s="334">
        <v>8423903.3420000002</v>
      </c>
      <c r="BV390" s="334">
        <v>0</v>
      </c>
      <c r="BW390" s="39"/>
      <c r="BX390" s="39"/>
      <c r="BY390" s="39"/>
      <c r="BZ390" s="39">
        <v>377</v>
      </c>
      <c r="CA390" s="39" t="str">
        <f t="shared" si="209"/>
        <v/>
      </c>
      <c r="CB390" s="39"/>
      <c r="CC390" s="39"/>
      <c r="CD390" s="39"/>
      <c r="CE390" s="39"/>
      <c r="CF390" s="39"/>
      <c r="CG390" s="39"/>
      <c r="CH390" s="39"/>
      <c r="CI390" s="39"/>
      <c r="CJ390" s="39"/>
      <c r="CK390" s="39"/>
    </row>
    <row r="391" spans="1:89" s="193" customFormat="1">
      <c r="A391" s="195"/>
      <c r="B391" s="21" t="str">
        <f t="shared" si="182"/>
        <v>N/A</v>
      </c>
      <c r="C391" s="21"/>
      <c r="D391" s="432"/>
      <c r="E391" s="439" t="s">
        <v>3626</v>
      </c>
      <c r="F391" s="439"/>
      <c r="G391" s="273" t="s">
        <v>3066</v>
      </c>
      <c r="H391" s="358"/>
      <c r="I391" s="262" t="s">
        <v>3159</v>
      </c>
      <c r="J391" s="262" t="s">
        <v>3504</v>
      </c>
      <c r="K391" s="263">
        <v>6240000</v>
      </c>
      <c r="L391" s="263">
        <v>4212615.6800000006</v>
      </c>
      <c r="M391" s="263">
        <v>2733467.2528000004</v>
      </c>
      <c r="N391" s="263">
        <v>3270418.8565799999</v>
      </c>
      <c r="O391" s="263">
        <v>3111476.1513528</v>
      </c>
      <c r="P391" s="263">
        <v>4663093.9322701208</v>
      </c>
      <c r="Q391" s="263">
        <v>3758857.8246489535</v>
      </c>
      <c r="R391" s="263">
        <v>3018759.3762035216</v>
      </c>
      <c r="S391" s="263">
        <v>3848233.4127915911</v>
      </c>
      <c r="T391" s="263">
        <v>3424164.5133530144</v>
      </c>
      <c r="U391" s="263">
        <f t="shared" si="210"/>
        <v>38281087</v>
      </c>
      <c r="V391" s="196" t="str">
        <f t="shared" si="183"/>
        <v>LOS</v>
      </c>
      <c r="W391" s="196" t="s">
        <v>1168</v>
      </c>
      <c r="X391" s="196" t="str">
        <f t="shared" si="212"/>
        <v>N</v>
      </c>
      <c r="Y391" s="197">
        <f t="shared" si="213"/>
        <v>0</v>
      </c>
      <c r="Z391" s="198"/>
      <c r="AA391" s="197">
        <f t="shared" si="185"/>
        <v>0</v>
      </c>
      <c r="AB391" s="196"/>
      <c r="AC391" s="196"/>
      <c r="AD391" s="275">
        <v>0</v>
      </c>
      <c r="AE391" s="275">
        <v>1</v>
      </c>
      <c r="AF391" s="275">
        <v>0</v>
      </c>
      <c r="AG391" s="199"/>
      <c r="AH391" s="199"/>
      <c r="AI391" s="377">
        <f t="shared" si="186"/>
        <v>0</v>
      </c>
      <c r="AJ391" s="203"/>
      <c r="AK391" s="203"/>
      <c r="AL391" s="197">
        <f t="shared" si="179"/>
        <v>0</v>
      </c>
      <c r="AM391" s="197">
        <f t="shared" si="180"/>
        <v>0</v>
      </c>
      <c r="AN391" s="197">
        <f t="shared" si="181"/>
        <v>0</v>
      </c>
      <c r="AO391" s="202"/>
      <c r="AP391" s="161" t="s">
        <v>3900</v>
      </c>
      <c r="AQ391" s="279"/>
      <c r="AR391" s="287">
        <f t="shared" si="187"/>
        <v>0</v>
      </c>
      <c r="AS391" s="287">
        <f t="shared" si="188"/>
        <v>0</v>
      </c>
      <c r="AT391" s="287">
        <f t="shared" si="189"/>
        <v>0</v>
      </c>
      <c r="AU391" s="287">
        <f t="shared" si="190"/>
        <v>0</v>
      </c>
      <c r="AV391" s="287">
        <f t="shared" si="191"/>
        <v>0</v>
      </c>
      <c r="AW391" s="287">
        <f t="shared" si="192"/>
        <v>0</v>
      </c>
      <c r="AX391" s="287">
        <f t="shared" si="193"/>
        <v>0</v>
      </c>
      <c r="AY391" s="287">
        <f t="shared" si="194"/>
        <v>0</v>
      </c>
      <c r="AZ391" s="287">
        <f t="shared" si="195"/>
        <v>0</v>
      </c>
      <c r="BA391" s="287">
        <f t="shared" si="196"/>
        <v>0</v>
      </c>
      <c r="BB391" s="16"/>
      <c r="BC391" s="287">
        <f t="shared" si="197"/>
        <v>0</v>
      </c>
      <c r="BD391" s="287">
        <f t="shared" si="198"/>
        <v>0</v>
      </c>
      <c r="BE391" s="287">
        <f t="shared" si="199"/>
        <v>0</v>
      </c>
      <c r="BF391" s="287">
        <f t="shared" si="200"/>
        <v>0</v>
      </c>
      <c r="BG391" s="287">
        <f t="shared" si="201"/>
        <v>0</v>
      </c>
      <c r="BH391" s="287">
        <f t="shared" si="202"/>
        <v>0</v>
      </c>
      <c r="BI391" s="287">
        <f t="shared" si="203"/>
        <v>0</v>
      </c>
      <c r="BJ391" s="287">
        <f t="shared" si="204"/>
        <v>0</v>
      </c>
      <c r="BK391" s="287">
        <f t="shared" si="205"/>
        <v>0</v>
      </c>
      <c r="BL391" s="287">
        <f t="shared" si="206"/>
        <v>0</v>
      </c>
      <c r="BM391" s="16"/>
      <c r="BN391" s="287">
        <f t="shared" si="207"/>
        <v>0</v>
      </c>
      <c r="BO391" s="287">
        <f t="shared" si="208"/>
        <v>0</v>
      </c>
      <c r="BP391" s="431"/>
      <c r="BQ391" s="21"/>
      <c r="BR391" s="21"/>
      <c r="BS391" s="39" t="e">
        <v>#VALUE!</v>
      </c>
      <c r="BT391" s="39"/>
      <c r="BU391" s="334">
        <v>3152728.7168000001</v>
      </c>
      <c r="BV391" s="334">
        <v>3152728.7168000001</v>
      </c>
      <c r="BW391" s="39"/>
      <c r="BX391" s="39"/>
      <c r="BY391" s="39"/>
      <c r="BZ391" s="39">
        <v>378</v>
      </c>
      <c r="CA391" s="39" t="str">
        <f t="shared" si="209"/>
        <v/>
      </c>
      <c r="CB391" s="39"/>
      <c r="CC391" s="39"/>
      <c r="CD391" s="39"/>
      <c r="CE391" s="39"/>
      <c r="CF391" s="39"/>
      <c r="CG391" s="39"/>
      <c r="CH391" s="39"/>
      <c r="CI391" s="39"/>
      <c r="CJ391" s="39"/>
      <c r="CK391" s="39"/>
    </row>
    <row r="392" spans="1:89" s="193" customFormat="1">
      <c r="A392" s="195"/>
      <c r="B392" s="21" t="str">
        <f t="shared" si="182"/>
        <v>N/A</v>
      </c>
      <c r="C392" s="21"/>
      <c r="D392" s="432"/>
      <c r="E392" s="439" t="s">
        <v>3626</v>
      </c>
      <c r="F392" s="439"/>
      <c r="G392" s="273" t="s">
        <v>3067</v>
      </c>
      <c r="H392" s="358"/>
      <c r="I392" s="262" t="s">
        <v>3159</v>
      </c>
      <c r="J392" s="262" t="s">
        <v>3504</v>
      </c>
      <c r="K392" s="263">
        <v>14680000</v>
      </c>
      <c r="L392" s="263">
        <v>8444800</v>
      </c>
      <c r="M392" s="263">
        <v>16122528</v>
      </c>
      <c r="N392" s="263">
        <v>3028330.8</v>
      </c>
      <c r="O392" s="263">
        <v>519463.72799999994</v>
      </c>
      <c r="P392" s="263">
        <v>3863115.3012000001</v>
      </c>
      <c r="Q392" s="263">
        <v>13050369.023456</v>
      </c>
      <c r="R392" s="263">
        <v>27112197.871976763</v>
      </c>
      <c r="S392" s="263">
        <v>22394527.860584188</v>
      </c>
      <c r="T392" s="263">
        <v>10034667.414783049</v>
      </c>
      <c r="U392" s="263">
        <f t="shared" si="210"/>
        <v>119250000</v>
      </c>
      <c r="V392" s="196" t="str">
        <f t="shared" si="183"/>
        <v>LOS</v>
      </c>
      <c r="W392" s="196" t="s">
        <v>1168</v>
      </c>
      <c r="X392" s="196" t="str">
        <f t="shared" si="212"/>
        <v>N</v>
      </c>
      <c r="Y392" s="197">
        <f t="shared" si="213"/>
        <v>0</v>
      </c>
      <c r="Z392" s="198"/>
      <c r="AA392" s="197">
        <f t="shared" si="185"/>
        <v>0</v>
      </c>
      <c r="AB392" s="196"/>
      <c r="AC392" s="196"/>
      <c r="AD392" s="275">
        <v>0</v>
      </c>
      <c r="AE392" s="275">
        <v>1</v>
      </c>
      <c r="AF392" s="275">
        <v>0</v>
      </c>
      <c r="AG392" s="199"/>
      <c r="AH392" s="199"/>
      <c r="AI392" s="377">
        <f t="shared" si="186"/>
        <v>0</v>
      </c>
      <c r="AJ392" s="203"/>
      <c r="AK392" s="203"/>
      <c r="AL392" s="197">
        <f t="shared" si="179"/>
        <v>0</v>
      </c>
      <c r="AM392" s="197">
        <f t="shared" si="180"/>
        <v>0</v>
      </c>
      <c r="AN392" s="197">
        <f t="shared" si="181"/>
        <v>0</v>
      </c>
      <c r="AO392" s="202"/>
      <c r="AP392" s="161" t="s">
        <v>3900</v>
      </c>
      <c r="AQ392" s="279"/>
      <c r="AR392" s="287">
        <f t="shared" si="187"/>
        <v>0</v>
      </c>
      <c r="AS392" s="287">
        <f t="shared" si="188"/>
        <v>0</v>
      </c>
      <c r="AT392" s="287">
        <f t="shared" si="189"/>
        <v>0</v>
      </c>
      <c r="AU392" s="287">
        <f t="shared" si="190"/>
        <v>0</v>
      </c>
      <c r="AV392" s="287">
        <f t="shared" si="191"/>
        <v>0</v>
      </c>
      <c r="AW392" s="287">
        <f t="shared" si="192"/>
        <v>0</v>
      </c>
      <c r="AX392" s="287">
        <f t="shared" si="193"/>
        <v>0</v>
      </c>
      <c r="AY392" s="287">
        <f t="shared" si="194"/>
        <v>0</v>
      </c>
      <c r="AZ392" s="287">
        <f t="shared" si="195"/>
        <v>0</v>
      </c>
      <c r="BA392" s="287">
        <f t="shared" si="196"/>
        <v>0</v>
      </c>
      <c r="BB392" s="16"/>
      <c r="BC392" s="287">
        <f t="shared" si="197"/>
        <v>0</v>
      </c>
      <c r="BD392" s="287">
        <f t="shared" si="198"/>
        <v>0</v>
      </c>
      <c r="BE392" s="287">
        <f t="shared" si="199"/>
        <v>0</v>
      </c>
      <c r="BF392" s="287">
        <f t="shared" si="200"/>
        <v>0</v>
      </c>
      <c r="BG392" s="287">
        <f t="shared" si="201"/>
        <v>0</v>
      </c>
      <c r="BH392" s="287">
        <f t="shared" si="202"/>
        <v>0</v>
      </c>
      <c r="BI392" s="287">
        <f t="shared" si="203"/>
        <v>0</v>
      </c>
      <c r="BJ392" s="287">
        <f t="shared" si="204"/>
        <v>0</v>
      </c>
      <c r="BK392" s="287">
        <f t="shared" si="205"/>
        <v>0</v>
      </c>
      <c r="BL392" s="287">
        <f t="shared" si="206"/>
        <v>0</v>
      </c>
      <c r="BM392" s="16"/>
      <c r="BN392" s="287">
        <f t="shared" si="207"/>
        <v>0</v>
      </c>
      <c r="BO392" s="287">
        <f t="shared" si="208"/>
        <v>0</v>
      </c>
      <c r="BP392" s="431"/>
      <c r="BQ392" s="21"/>
      <c r="BR392" s="21"/>
      <c r="BS392" s="39" t="e">
        <v>#VALUE!</v>
      </c>
      <c r="BT392" s="39"/>
      <c r="BU392" s="334">
        <v>9343766.0888764039</v>
      </c>
      <c r="BV392" s="334">
        <v>9343766.0888764039</v>
      </c>
      <c r="BW392" s="39"/>
      <c r="BX392" s="39"/>
      <c r="BY392" s="39"/>
      <c r="BZ392" s="39">
        <v>379</v>
      </c>
      <c r="CA392" s="39" t="str">
        <f t="shared" si="209"/>
        <v/>
      </c>
      <c r="CB392" s="39"/>
      <c r="CC392" s="39"/>
      <c r="CD392" s="39"/>
      <c r="CE392" s="39"/>
      <c r="CF392" s="39"/>
      <c r="CG392" s="39"/>
      <c r="CH392" s="39"/>
      <c r="CI392" s="39"/>
      <c r="CJ392" s="39"/>
      <c r="CK392" s="39"/>
    </row>
    <row r="393" spans="1:89" s="193" customFormat="1">
      <c r="A393" s="195"/>
      <c r="B393" s="21" t="str">
        <f t="shared" si="182"/>
        <v>N/A</v>
      </c>
      <c r="C393" s="21"/>
      <c r="D393" s="440"/>
      <c r="E393" s="441" t="s">
        <v>3626</v>
      </c>
      <c r="F393" s="441"/>
      <c r="G393" s="273" t="s">
        <v>3068</v>
      </c>
      <c r="H393" s="517"/>
      <c r="I393" s="262" t="s">
        <v>3158</v>
      </c>
      <c r="J393" s="262" t="s">
        <v>3504</v>
      </c>
      <c r="K393" s="263">
        <v>2560072.3199999998</v>
      </c>
      <c r="L393" s="263">
        <v>3241850.5232719583</v>
      </c>
      <c r="M393" s="263">
        <v>4395345.9126335094</v>
      </c>
      <c r="N393" s="263">
        <v>5934828.6848129407</v>
      </c>
      <c r="O393" s="263">
        <v>7686238.5813894253</v>
      </c>
      <c r="P393" s="263">
        <v>9950351.8699999992</v>
      </c>
      <c r="Q393" s="263">
        <v>10934559.022892853</v>
      </c>
      <c r="R393" s="263">
        <v>10852338.682091925</v>
      </c>
      <c r="S393" s="263">
        <v>10531883.397171577</v>
      </c>
      <c r="T393" s="263">
        <v>10817594.602219693</v>
      </c>
      <c r="U393" s="263">
        <f t="shared" si="210"/>
        <v>76905063.596483886</v>
      </c>
      <c r="V393" s="196" t="str">
        <f t="shared" si="183"/>
        <v>R</v>
      </c>
      <c r="W393" s="196" t="s">
        <v>1168</v>
      </c>
      <c r="X393" s="196" t="str">
        <f t="shared" si="212"/>
        <v>N</v>
      </c>
      <c r="Y393" s="197">
        <f t="shared" si="213"/>
        <v>0</v>
      </c>
      <c r="Z393" s="198"/>
      <c r="AA393" s="197">
        <f t="shared" si="185"/>
        <v>0</v>
      </c>
      <c r="AB393" s="196"/>
      <c r="AC393" s="196"/>
      <c r="AD393" s="275">
        <v>0</v>
      </c>
      <c r="AE393" s="275">
        <v>0</v>
      </c>
      <c r="AF393" s="275">
        <v>1</v>
      </c>
      <c r="AG393" s="199"/>
      <c r="AH393" s="199"/>
      <c r="AI393" s="377">
        <f t="shared" si="186"/>
        <v>0</v>
      </c>
      <c r="AJ393" s="203"/>
      <c r="AK393" s="203"/>
      <c r="AL393" s="197">
        <f t="shared" si="179"/>
        <v>0</v>
      </c>
      <c r="AM393" s="197">
        <f t="shared" si="180"/>
        <v>0</v>
      </c>
      <c r="AN393" s="197">
        <f t="shared" si="181"/>
        <v>0</v>
      </c>
      <c r="AO393" s="202"/>
      <c r="AP393" s="161" t="s">
        <v>3900</v>
      </c>
      <c r="AQ393" s="279"/>
      <c r="AR393" s="287">
        <f t="shared" si="187"/>
        <v>0</v>
      </c>
      <c r="AS393" s="287">
        <f t="shared" si="188"/>
        <v>0</v>
      </c>
      <c r="AT393" s="287">
        <f t="shared" si="189"/>
        <v>0</v>
      </c>
      <c r="AU393" s="287">
        <f t="shared" si="190"/>
        <v>0</v>
      </c>
      <c r="AV393" s="287">
        <f t="shared" si="191"/>
        <v>0</v>
      </c>
      <c r="AW393" s="287">
        <f t="shared" si="192"/>
        <v>0</v>
      </c>
      <c r="AX393" s="287">
        <f t="shared" si="193"/>
        <v>0</v>
      </c>
      <c r="AY393" s="287">
        <f t="shared" si="194"/>
        <v>0</v>
      </c>
      <c r="AZ393" s="287">
        <f t="shared" si="195"/>
        <v>0</v>
      </c>
      <c r="BA393" s="287">
        <f t="shared" si="196"/>
        <v>0</v>
      </c>
      <c r="BB393" s="16"/>
      <c r="BC393" s="287">
        <f t="shared" si="197"/>
        <v>0</v>
      </c>
      <c r="BD393" s="287">
        <f t="shared" si="198"/>
        <v>0</v>
      </c>
      <c r="BE393" s="287">
        <f t="shared" si="199"/>
        <v>0</v>
      </c>
      <c r="BF393" s="287">
        <f t="shared" si="200"/>
        <v>0</v>
      </c>
      <c r="BG393" s="287">
        <f t="shared" si="201"/>
        <v>0</v>
      </c>
      <c r="BH393" s="287">
        <f t="shared" si="202"/>
        <v>0</v>
      </c>
      <c r="BI393" s="287">
        <f t="shared" si="203"/>
        <v>0</v>
      </c>
      <c r="BJ393" s="287">
        <f t="shared" si="204"/>
        <v>0</v>
      </c>
      <c r="BK393" s="287">
        <f t="shared" si="205"/>
        <v>0</v>
      </c>
      <c r="BL393" s="287">
        <f t="shared" si="206"/>
        <v>0</v>
      </c>
      <c r="BM393" s="16"/>
      <c r="BN393" s="287">
        <f t="shared" si="207"/>
        <v>0</v>
      </c>
      <c r="BO393" s="287">
        <f t="shared" si="208"/>
        <v>0</v>
      </c>
      <c r="BP393" s="431"/>
      <c r="BQ393" s="21"/>
      <c r="BR393" s="21"/>
      <c r="BS393" s="39" t="e">
        <v>#VALUE!</v>
      </c>
      <c r="BT393" s="39"/>
      <c r="BU393" s="334">
        <v>5581562.5</v>
      </c>
      <c r="BV393" s="334">
        <v>5581562.5</v>
      </c>
      <c r="BW393" s="39"/>
      <c r="BX393" s="39"/>
      <c r="BY393" s="39"/>
      <c r="BZ393" s="39">
        <v>380</v>
      </c>
      <c r="CA393" s="39" t="str">
        <f t="shared" si="209"/>
        <v/>
      </c>
      <c r="CB393" s="39"/>
      <c r="CC393" s="39"/>
      <c r="CD393" s="39"/>
      <c r="CE393" s="39"/>
      <c r="CF393" s="39"/>
      <c r="CG393" s="39"/>
      <c r="CH393" s="39"/>
      <c r="CI393" s="39"/>
      <c r="CJ393" s="39"/>
      <c r="CK393" s="39"/>
    </row>
    <row r="394" spans="1:89" s="193" customFormat="1">
      <c r="A394" s="195"/>
      <c r="B394" s="21" t="str">
        <f t="shared" si="182"/>
        <v>N/A</v>
      </c>
      <c r="C394" s="21"/>
      <c r="D394" s="440"/>
      <c r="E394" s="441" t="s">
        <v>3626</v>
      </c>
      <c r="F394" s="441"/>
      <c r="G394" s="273" t="s">
        <v>3069</v>
      </c>
      <c r="H394" s="358"/>
      <c r="I394" s="262" t="s">
        <v>3158</v>
      </c>
      <c r="J394" s="262" t="s">
        <v>3504</v>
      </c>
      <c r="K394" s="263">
        <v>8141089.120000001</v>
      </c>
      <c r="L394" s="263">
        <v>3040391.0992000001</v>
      </c>
      <c r="M394" s="263">
        <v>3241190.5553120002</v>
      </c>
      <c r="N394" s="263">
        <v>3705739.7629181994</v>
      </c>
      <c r="O394" s="263">
        <v>2850110.7344151121</v>
      </c>
      <c r="P394" s="263">
        <v>5470596.2320037838</v>
      </c>
      <c r="Q394" s="263">
        <v>3831714.4685854162</v>
      </c>
      <c r="R394" s="263">
        <v>3502921.2534526098</v>
      </c>
      <c r="S394" s="263">
        <v>4371182.6104427194</v>
      </c>
      <c r="T394" s="263">
        <v>3608675.763670159</v>
      </c>
      <c r="U394" s="263">
        <f t="shared" si="210"/>
        <v>41763611.600000001</v>
      </c>
      <c r="V394" s="196" t="str">
        <f t="shared" si="183"/>
        <v>LOS</v>
      </c>
      <c r="W394" s="196" t="s">
        <v>1168</v>
      </c>
      <c r="X394" s="196" t="str">
        <f t="shared" si="212"/>
        <v>N</v>
      </c>
      <c r="Y394" s="197">
        <f t="shared" si="213"/>
        <v>0</v>
      </c>
      <c r="Z394" s="198"/>
      <c r="AA394" s="197">
        <f t="shared" si="185"/>
        <v>0</v>
      </c>
      <c r="AB394" s="196"/>
      <c r="AC394" s="196"/>
      <c r="AD394" s="275">
        <v>0</v>
      </c>
      <c r="AE394" s="275">
        <v>1</v>
      </c>
      <c r="AF394" s="275">
        <v>0</v>
      </c>
      <c r="AG394" s="199"/>
      <c r="AH394" s="199"/>
      <c r="AI394" s="377">
        <f t="shared" si="186"/>
        <v>0</v>
      </c>
      <c r="AJ394" s="203"/>
      <c r="AK394" s="203"/>
      <c r="AL394" s="197">
        <f t="shared" ref="AL394:AL457" si="214">(100%-AI394)*AA394</f>
        <v>0</v>
      </c>
      <c r="AM394" s="197">
        <f t="shared" ref="AM394:AM457" si="215">AA394*AI394*AJ394</f>
        <v>0</v>
      </c>
      <c r="AN394" s="197">
        <f t="shared" ref="AN394:AN457" si="216">AA394*AI394*AK394</f>
        <v>0</v>
      </c>
      <c r="AO394" s="202"/>
      <c r="AP394" s="161" t="s">
        <v>3900</v>
      </c>
      <c r="AQ394" s="279"/>
      <c r="AR394" s="287">
        <f t="shared" si="187"/>
        <v>0</v>
      </c>
      <c r="AS394" s="287">
        <f t="shared" si="188"/>
        <v>0</v>
      </c>
      <c r="AT394" s="287">
        <f t="shared" si="189"/>
        <v>0</v>
      </c>
      <c r="AU394" s="287">
        <f t="shared" si="190"/>
        <v>0</v>
      </c>
      <c r="AV394" s="287">
        <f t="shared" si="191"/>
        <v>0</v>
      </c>
      <c r="AW394" s="287">
        <f t="shared" si="192"/>
        <v>0</v>
      </c>
      <c r="AX394" s="287">
        <f t="shared" si="193"/>
        <v>0</v>
      </c>
      <c r="AY394" s="287">
        <f t="shared" si="194"/>
        <v>0</v>
      </c>
      <c r="AZ394" s="287">
        <f t="shared" si="195"/>
        <v>0</v>
      </c>
      <c r="BA394" s="287">
        <f t="shared" si="196"/>
        <v>0</v>
      </c>
      <c r="BB394" s="16"/>
      <c r="BC394" s="287">
        <f t="shared" si="197"/>
        <v>0</v>
      </c>
      <c r="BD394" s="287">
        <f t="shared" si="198"/>
        <v>0</v>
      </c>
      <c r="BE394" s="287">
        <f t="shared" si="199"/>
        <v>0</v>
      </c>
      <c r="BF394" s="287">
        <f t="shared" si="200"/>
        <v>0</v>
      </c>
      <c r="BG394" s="287">
        <f t="shared" si="201"/>
        <v>0</v>
      </c>
      <c r="BH394" s="287">
        <f t="shared" si="202"/>
        <v>0</v>
      </c>
      <c r="BI394" s="287">
        <f t="shared" si="203"/>
        <v>0</v>
      </c>
      <c r="BJ394" s="287">
        <f t="shared" si="204"/>
        <v>0</v>
      </c>
      <c r="BK394" s="287">
        <f t="shared" si="205"/>
        <v>0</v>
      </c>
      <c r="BL394" s="287">
        <f t="shared" si="206"/>
        <v>0</v>
      </c>
      <c r="BM394" s="16"/>
      <c r="BN394" s="287">
        <f t="shared" si="207"/>
        <v>0</v>
      </c>
      <c r="BO394" s="287">
        <f t="shared" si="208"/>
        <v>0</v>
      </c>
      <c r="BP394" s="431"/>
      <c r="BQ394" s="21"/>
      <c r="BR394" s="21"/>
      <c r="BS394" s="39" t="e">
        <v>#VALUE!</v>
      </c>
      <c r="BT394" s="39"/>
      <c r="BU394" s="334">
        <v>8287954.2130062925</v>
      </c>
      <c r="BV394" s="334">
        <v>4082126.7019284717</v>
      </c>
      <c r="BW394" s="39"/>
      <c r="BX394" s="39"/>
      <c r="BY394" s="39"/>
      <c r="BZ394" s="39">
        <v>381</v>
      </c>
      <c r="CA394" s="39" t="str">
        <f t="shared" si="209"/>
        <v/>
      </c>
      <c r="CB394" s="39"/>
      <c r="CC394" s="39"/>
      <c r="CD394" s="39"/>
      <c r="CE394" s="39"/>
      <c r="CF394" s="39"/>
      <c r="CG394" s="39"/>
      <c r="CH394" s="39"/>
      <c r="CI394" s="39"/>
      <c r="CJ394" s="39"/>
      <c r="CK394" s="39"/>
    </row>
    <row r="395" spans="1:89" s="193" customFormat="1">
      <c r="A395" s="195"/>
      <c r="B395" s="21" t="str">
        <f t="shared" si="182"/>
        <v>N/A</v>
      </c>
      <c r="C395" s="21"/>
      <c r="D395" s="440"/>
      <c r="E395" s="441" t="s">
        <v>3626</v>
      </c>
      <c r="F395" s="441"/>
      <c r="G395" s="273" t="s">
        <v>3070</v>
      </c>
      <c r="H395" s="358"/>
      <c r="I395" s="262" t="s">
        <v>3160</v>
      </c>
      <c r="J395" s="262" t="s">
        <v>3504</v>
      </c>
      <c r="K395" s="263">
        <v>2900031.68</v>
      </c>
      <c r="L395" s="263">
        <v>2858891.0005681817</v>
      </c>
      <c r="M395" s="263">
        <v>3299980.2244964028</v>
      </c>
      <c r="N395" s="263">
        <v>3541695.6476345905</v>
      </c>
      <c r="O395" s="263">
        <v>3782235.5010765409</v>
      </c>
      <c r="P395" s="263">
        <v>4797395.51</v>
      </c>
      <c r="Q395" s="263">
        <v>5411026.6206585765</v>
      </c>
      <c r="R395" s="263">
        <v>5837787.5934845395</v>
      </c>
      <c r="S395" s="263">
        <v>6432808.7601648886</v>
      </c>
      <c r="T395" s="263">
        <v>7311627.2508077826</v>
      </c>
      <c r="U395" s="263">
        <f t="shared" si="210"/>
        <v>46173479.788891509</v>
      </c>
      <c r="V395" s="196" t="str">
        <f t="shared" si="183"/>
        <v>R</v>
      </c>
      <c r="W395" s="196" t="s">
        <v>1168</v>
      </c>
      <c r="X395" s="196" t="str">
        <f t="shared" si="212"/>
        <v>N</v>
      </c>
      <c r="Y395" s="197">
        <f t="shared" si="213"/>
        <v>0</v>
      </c>
      <c r="Z395" s="198"/>
      <c r="AA395" s="197">
        <f t="shared" si="185"/>
        <v>0</v>
      </c>
      <c r="AB395" s="196"/>
      <c r="AC395" s="196"/>
      <c r="AD395" s="275">
        <v>0</v>
      </c>
      <c r="AE395" s="275">
        <v>0</v>
      </c>
      <c r="AF395" s="275">
        <v>1</v>
      </c>
      <c r="AG395" s="199"/>
      <c r="AH395" s="199"/>
      <c r="AI395" s="377">
        <f t="shared" si="186"/>
        <v>0</v>
      </c>
      <c r="AJ395" s="203"/>
      <c r="AK395" s="203"/>
      <c r="AL395" s="197">
        <f t="shared" si="214"/>
        <v>0</v>
      </c>
      <c r="AM395" s="197">
        <f t="shared" si="215"/>
        <v>0</v>
      </c>
      <c r="AN395" s="197">
        <f t="shared" si="216"/>
        <v>0</v>
      </c>
      <c r="AO395" s="202"/>
      <c r="AP395" s="161" t="s">
        <v>3900</v>
      </c>
      <c r="AQ395" s="279"/>
      <c r="AR395" s="287">
        <f t="shared" si="187"/>
        <v>0</v>
      </c>
      <c r="AS395" s="287">
        <f t="shared" si="188"/>
        <v>0</v>
      </c>
      <c r="AT395" s="287">
        <f t="shared" si="189"/>
        <v>0</v>
      </c>
      <c r="AU395" s="287">
        <f t="shared" si="190"/>
        <v>0</v>
      </c>
      <c r="AV395" s="287">
        <f t="shared" si="191"/>
        <v>0</v>
      </c>
      <c r="AW395" s="287">
        <f t="shared" si="192"/>
        <v>0</v>
      </c>
      <c r="AX395" s="287">
        <f t="shared" si="193"/>
        <v>0</v>
      </c>
      <c r="AY395" s="287">
        <f t="shared" si="194"/>
        <v>0</v>
      </c>
      <c r="AZ395" s="287">
        <f t="shared" si="195"/>
        <v>0</v>
      </c>
      <c r="BA395" s="287">
        <f t="shared" si="196"/>
        <v>0</v>
      </c>
      <c r="BB395" s="16"/>
      <c r="BC395" s="287">
        <f t="shared" si="197"/>
        <v>0</v>
      </c>
      <c r="BD395" s="287">
        <f t="shared" si="198"/>
        <v>0</v>
      </c>
      <c r="BE395" s="287">
        <f t="shared" si="199"/>
        <v>0</v>
      </c>
      <c r="BF395" s="287">
        <f t="shared" si="200"/>
        <v>0</v>
      </c>
      <c r="BG395" s="287">
        <f t="shared" si="201"/>
        <v>0</v>
      </c>
      <c r="BH395" s="287">
        <f t="shared" si="202"/>
        <v>0</v>
      </c>
      <c r="BI395" s="287">
        <f t="shared" si="203"/>
        <v>0</v>
      </c>
      <c r="BJ395" s="287">
        <f t="shared" si="204"/>
        <v>0</v>
      </c>
      <c r="BK395" s="287">
        <f t="shared" si="205"/>
        <v>0</v>
      </c>
      <c r="BL395" s="287">
        <f t="shared" si="206"/>
        <v>0</v>
      </c>
      <c r="BM395" s="16"/>
      <c r="BN395" s="287">
        <f t="shared" si="207"/>
        <v>0</v>
      </c>
      <c r="BO395" s="287">
        <f t="shared" si="208"/>
        <v>0</v>
      </c>
      <c r="BP395" s="431"/>
      <c r="BQ395" s="21"/>
      <c r="BR395" s="21"/>
      <c r="BS395" s="39" t="e">
        <v>#VALUE!</v>
      </c>
      <c r="BT395" s="39"/>
      <c r="BU395" s="334">
        <v>2226515.5163199999</v>
      </c>
      <c r="BV395" s="334">
        <v>0</v>
      </c>
      <c r="BW395" s="39"/>
      <c r="BX395" s="39"/>
      <c r="BY395" s="39"/>
      <c r="BZ395" s="39">
        <v>382</v>
      </c>
      <c r="CA395" s="39" t="str">
        <f t="shared" si="209"/>
        <v/>
      </c>
      <c r="CB395" s="39"/>
      <c r="CC395" s="39"/>
      <c r="CD395" s="39"/>
      <c r="CE395" s="39"/>
      <c r="CF395" s="39"/>
      <c r="CG395" s="39"/>
      <c r="CH395" s="39"/>
      <c r="CI395" s="39"/>
      <c r="CJ395" s="39"/>
      <c r="CK395" s="39"/>
    </row>
    <row r="396" spans="1:89" s="193" customFormat="1">
      <c r="A396" s="195"/>
      <c r="B396" s="21" t="str">
        <f t="shared" si="182"/>
        <v>N/A</v>
      </c>
      <c r="C396" s="21"/>
      <c r="D396" s="440"/>
      <c r="E396" s="441" t="s">
        <v>3626</v>
      </c>
      <c r="F396" s="441"/>
      <c r="G396" s="273" t="s">
        <v>3071</v>
      </c>
      <c r="H396" s="358"/>
      <c r="I396" s="262" t="s">
        <v>3161</v>
      </c>
      <c r="J396" s="262"/>
      <c r="K396" s="263">
        <v>1478564.88</v>
      </c>
      <c r="L396" s="263">
        <v>1484693.9392433385</v>
      </c>
      <c r="M396" s="263">
        <v>1735910.9484913256</v>
      </c>
      <c r="N396" s="263">
        <v>1881008.2273738261</v>
      </c>
      <c r="O396" s="263">
        <v>2024027.6847096744</v>
      </c>
      <c r="P396" s="263">
        <v>2583382.6</v>
      </c>
      <c r="Q396" s="263">
        <v>2929305.8197167823</v>
      </c>
      <c r="R396" s="263">
        <v>3174776.0732547697</v>
      </c>
      <c r="S396" s="263">
        <v>3512156.9940754673</v>
      </c>
      <c r="T396" s="263">
        <v>4005505.1181360818</v>
      </c>
      <c r="U396" s="263">
        <f t="shared" si="210"/>
        <v>24809332.285001263</v>
      </c>
      <c r="V396" s="196" t="str">
        <f t="shared" si="183"/>
        <v>R</v>
      </c>
      <c r="W396" s="196" t="s">
        <v>1168</v>
      </c>
      <c r="X396" s="196" t="str">
        <f t="shared" si="212"/>
        <v>N</v>
      </c>
      <c r="Y396" s="197">
        <f t="shared" si="213"/>
        <v>0</v>
      </c>
      <c r="Z396" s="198"/>
      <c r="AA396" s="197">
        <f t="shared" si="185"/>
        <v>0</v>
      </c>
      <c r="AB396" s="196"/>
      <c r="AC396" s="196"/>
      <c r="AD396" s="275">
        <v>0</v>
      </c>
      <c r="AE396" s="275">
        <v>0</v>
      </c>
      <c r="AF396" s="275">
        <v>1</v>
      </c>
      <c r="AG396" s="199"/>
      <c r="AH396" s="199"/>
      <c r="AI396" s="377">
        <f t="shared" si="186"/>
        <v>0</v>
      </c>
      <c r="AJ396" s="203"/>
      <c r="AK396" s="203"/>
      <c r="AL396" s="197">
        <f t="shared" si="214"/>
        <v>0</v>
      </c>
      <c r="AM396" s="197">
        <f t="shared" si="215"/>
        <v>0</v>
      </c>
      <c r="AN396" s="197">
        <f t="shared" si="216"/>
        <v>0</v>
      </c>
      <c r="AO396" s="202"/>
      <c r="AP396" s="161" t="s">
        <v>3900</v>
      </c>
      <c r="AQ396" s="279"/>
      <c r="AR396" s="287">
        <f t="shared" si="187"/>
        <v>0</v>
      </c>
      <c r="AS396" s="287">
        <f t="shared" si="188"/>
        <v>0</v>
      </c>
      <c r="AT396" s="287">
        <f t="shared" si="189"/>
        <v>0</v>
      </c>
      <c r="AU396" s="287">
        <f t="shared" si="190"/>
        <v>0</v>
      </c>
      <c r="AV396" s="287">
        <f t="shared" si="191"/>
        <v>0</v>
      </c>
      <c r="AW396" s="287">
        <f t="shared" si="192"/>
        <v>0</v>
      </c>
      <c r="AX396" s="287">
        <f t="shared" si="193"/>
        <v>0</v>
      </c>
      <c r="AY396" s="287">
        <f t="shared" si="194"/>
        <v>0</v>
      </c>
      <c r="AZ396" s="287">
        <f t="shared" si="195"/>
        <v>0</v>
      </c>
      <c r="BA396" s="287">
        <f t="shared" si="196"/>
        <v>0</v>
      </c>
      <c r="BB396" s="16"/>
      <c r="BC396" s="287">
        <f t="shared" si="197"/>
        <v>0</v>
      </c>
      <c r="BD396" s="287">
        <f t="shared" si="198"/>
        <v>0</v>
      </c>
      <c r="BE396" s="287">
        <f t="shared" si="199"/>
        <v>0</v>
      </c>
      <c r="BF396" s="287">
        <f t="shared" si="200"/>
        <v>0</v>
      </c>
      <c r="BG396" s="287">
        <f t="shared" si="201"/>
        <v>0</v>
      </c>
      <c r="BH396" s="287">
        <f t="shared" si="202"/>
        <v>0</v>
      </c>
      <c r="BI396" s="287">
        <f t="shared" si="203"/>
        <v>0</v>
      </c>
      <c r="BJ396" s="287">
        <f t="shared" si="204"/>
        <v>0</v>
      </c>
      <c r="BK396" s="287">
        <f t="shared" si="205"/>
        <v>0</v>
      </c>
      <c r="BL396" s="287">
        <f t="shared" si="206"/>
        <v>0</v>
      </c>
      <c r="BM396" s="16"/>
      <c r="BN396" s="287">
        <f t="shared" si="207"/>
        <v>0</v>
      </c>
      <c r="BO396" s="287">
        <f t="shared" si="208"/>
        <v>0</v>
      </c>
      <c r="BP396" s="431"/>
      <c r="BQ396" s="21"/>
      <c r="BR396" s="21"/>
      <c r="BS396" s="39" t="e">
        <v>#VALUE!</v>
      </c>
      <c r="BT396" s="39"/>
      <c r="BU396" s="334">
        <v>-10787645.766000001</v>
      </c>
      <c r="BV396" s="334">
        <v>0</v>
      </c>
      <c r="BW396" s="39"/>
      <c r="BX396" s="39"/>
      <c r="BY396" s="39"/>
      <c r="BZ396" s="39">
        <v>383</v>
      </c>
      <c r="CA396" s="39" t="str">
        <f t="shared" si="209"/>
        <v/>
      </c>
      <c r="CB396" s="39"/>
      <c r="CC396" s="39"/>
      <c r="CD396" s="39"/>
      <c r="CE396" s="39"/>
      <c r="CF396" s="39"/>
      <c r="CG396" s="39"/>
      <c r="CH396" s="39"/>
      <c r="CI396" s="39"/>
      <c r="CJ396" s="39"/>
      <c r="CK396" s="39"/>
    </row>
    <row r="397" spans="1:89" s="193" customFormat="1">
      <c r="A397" s="195"/>
      <c r="B397" s="21" t="str">
        <f t="shared" si="182"/>
        <v>N/A</v>
      </c>
      <c r="C397" s="21"/>
      <c r="D397" s="440"/>
      <c r="E397" s="441" t="s">
        <v>3626</v>
      </c>
      <c r="F397" s="441"/>
      <c r="G397" s="273" t="s">
        <v>3072</v>
      </c>
      <c r="H397" s="358"/>
      <c r="I397" s="262" t="s">
        <v>3161</v>
      </c>
      <c r="J397" s="262"/>
      <c r="K397" s="263">
        <v>2750974.72</v>
      </c>
      <c r="L397" s="263">
        <v>2587708.4920848571</v>
      </c>
      <c r="M397" s="263">
        <v>2625521.1972133685</v>
      </c>
      <c r="N397" s="263">
        <v>2658173.0430773576</v>
      </c>
      <c r="O397" s="263">
        <v>2690464.2666338622</v>
      </c>
      <c r="P397" s="263">
        <v>3421962.8200000003</v>
      </c>
      <c r="Q397" s="263">
        <v>3786569.9180832547</v>
      </c>
      <c r="R397" s="263">
        <v>4054335.6249960805</v>
      </c>
      <c r="S397" s="263">
        <v>4189781.6248130682</v>
      </c>
      <c r="T397" s="263">
        <v>4456731.1975810276</v>
      </c>
      <c r="U397" s="263">
        <f t="shared" si="210"/>
        <v>33222222.904482879</v>
      </c>
      <c r="V397" s="196" t="str">
        <f t="shared" si="183"/>
        <v>R</v>
      </c>
      <c r="W397" s="196" t="s">
        <v>1168</v>
      </c>
      <c r="X397" s="196" t="str">
        <f t="shared" si="212"/>
        <v>N</v>
      </c>
      <c r="Y397" s="197">
        <f t="shared" si="213"/>
        <v>0</v>
      </c>
      <c r="Z397" s="198"/>
      <c r="AA397" s="197">
        <f t="shared" si="185"/>
        <v>0</v>
      </c>
      <c r="AB397" s="196"/>
      <c r="AC397" s="196"/>
      <c r="AD397" s="275">
        <v>0</v>
      </c>
      <c r="AE397" s="275">
        <v>0</v>
      </c>
      <c r="AF397" s="275">
        <v>1</v>
      </c>
      <c r="AG397" s="199"/>
      <c r="AH397" s="199"/>
      <c r="AI397" s="377">
        <f t="shared" si="186"/>
        <v>0</v>
      </c>
      <c r="AJ397" s="203"/>
      <c r="AK397" s="203"/>
      <c r="AL397" s="197">
        <f t="shared" si="214"/>
        <v>0</v>
      </c>
      <c r="AM397" s="197">
        <f t="shared" si="215"/>
        <v>0</v>
      </c>
      <c r="AN397" s="197">
        <f t="shared" si="216"/>
        <v>0</v>
      </c>
      <c r="AO397" s="202"/>
      <c r="AP397" s="161" t="s">
        <v>3900</v>
      </c>
      <c r="AQ397" s="279"/>
      <c r="AR397" s="287">
        <f t="shared" si="187"/>
        <v>0</v>
      </c>
      <c r="AS397" s="287">
        <f t="shared" si="188"/>
        <v>0</v>
      </c>
      <c r="AT397" s="287">
        <f t="shared" si="189"/>
        <v>0</v>
      </c>
      <c r="AU397" s="287">
        <f t="shared" si="190"/>
        <v>0</v>
      </c>
      <c r="AV397" s="287">
        <f t="shared" si="191"/>
        <v>0</v>
      </c>
      <c r="AW397" s="287">
        <f t="shared" si="192"/>
        <v>0</v>
      </c>
      <c r="AX397" s="287">
        <f t="shared" si="193"/>
        <v>0</v>
      </c>
      <c r="AY397" s="287">
        <f t="shared" si="194"/>
        <v>0</v>
      </c>
      <c r="AZ397" s="287">
        <f t="shared" si="195"/>
        <v>0</v>
      </c>
      <c r="BA397" s="287">
        <f t="shared" si="196"/>
        <v>0</v>
      </c>
      <c r="BB397" s="16"/>
      <c r="BC397" s="287">
        <f t="shared" si="197"/>
        <v>0</v>
      </c>
      <c r="BD397" s="287">
        <f t="shared" si="198"/>
        <v>0</v>
      </c>
      <c r="BE397" s="287">
        <f t="shared" si="199"/>
        <v>0</v>
      </c>
      <c r="BF397" s="287">
        <f t="shared" si="200"/>
        <v>0</v>
      </c>
      <c r="BG397" s="287">
        <f t="shared" si="201"/>
        <v>0</v>
      </c>
      <c r="BH397" s="287">
        <f t="shared" si="202"/>
        <v>0</v>
      </c>
      <c r="BI397" s="287">
        <f t="shared" si="203"/>
        <v>0</v>
      </c>
      <c r="BJ397" s="287">
        <f t="shared" si="204"/>
        <v>0</v>
      </c>
      <c r="BK397" s="287">
        <f t="shared" si="205"/>
        <v>0</v>
      </c>
      <c r="BL397" s="287">
        <f t="shared" si="206"/>
        <v>0</v>
      </c>
      <c r="BM397" s="16"/>
      <c r="BN397" s="287">
        <f t="shared" si="207"/>
        <v>0</v>
      </c>
      <c r="BO397" s="287">
        <f t="shared" si="208"/>
        <v>0</v>
      </c>
      <c r="BP397" s="431"/>
      <c r="BQ397" s="21"/>
      <c r="BR397" s="21"/>
      <c r="BS397" s="39" t="e">
        <v>#VALUE!</v>
      </c>
      <c r="BT397" s="39"/>
      <c r="BU397" s="334">
        <v>8940825</v>
      </c>
      <c r="BV397" s="334">
        <v>8940825</v>
      </c>
      <c r="BW397" s="39"/>
      <c r="BX397" s="39"/>
      <c r="BY397" s="39"/>
      <c r="BZ397" s="39">
        <v>384</v>
      </c>
      <c r="CA397" s="39" t="str">
        <f t="shared" si="209"/>
        <v/>
      </c>
      <c r="CB397" s="39"/>
      <c r="CC397" s="39"/>
      <c r="CD397" s="39"/>
      <c r="CE397" s="39"/>
      <c r="CF397" s="39"/>
      <c r="CG397" s="39"/>
      <c r="CH397" s="39"/>
      <c r="CI397" s="39"/>
      <c r="CJ397" s="39"/>
      <c r="CK397" s="39"/>
    </row>
    <row r="398" spans="1:89" s="193" customFormat="1">
      <c r="A398" s="195"/>
      <c r="B398" s="21" t="str">
        <f t="shared" ref="B398:B461" si="217">LEFT(AP398,3)</f>
        <v>N/A</v>
      </c>
      <c r="C398" s="21"/>
      <c r="D398" s="440"/>
      <c r="E398" s="441" t="s">
        <v>3626</v>
      </c>
      <c r="F398" s="441"/>
      <c r="G398" s="273" t="s">
        <v>3073</v>
      </c>
      <c r="H398" s="358"/>
      <c r="I398" s="262" t="s">
        <v>3161</v>
      </c>
      <c r="J398" s="262"/>
      <c r="K398" s="263">
        <v>146959.28</v>
      </c>
      <c r="L398" s="263">
        <v>140200.67426350538</v>
      </c>
      <c r="M398" s="263">
        <v>184693.90788105907</v>
      </c>
      <c r="N398" s="263">
        <v>222490.32889670736</v>
      </c>
      <c r="O398" s="263">
        <v>256756.7945196467</v>
      </c>
      <c r="P398" s="263">
        <v>356314.35</v>
      </c>
      <c r="Q398" s="263">
        <v>440330.10283953929</v>
      </c>
      <c r="R398" s="263">
        <v>522491.58855430415</v>
      </c>
      <c r="S398" s="263">
        <v>631616.06317798153</v>
      </c>
      <c r="T398" s="263">
        <v>787905.91863974556</v>
      </c>
      <c r="U398" s="263">
        <f t="shared" si="210"/>
        <v>3689759.0087724891</v>
      </c>
      <c r="V398" s="196" t="str">
        <f t="shared" ref="V398:V461" si="218">IF(AND(AD398&gt;0,AE398&gt;0,AF398&gt;0),"G/LOS/R",IF(AND(AD398&gt;0,AE398&gt;0),"G/LOS",IF(AND(AD398&gt;0,AF398&gt;0),"G/R",IF(AND(AE398&gt;0,AF398&gt;0),"LOS/R",IF(AD398&gt;0,"G",IF(AE398&gt;0,"LOS",IF(AF398&gt;0,"R","CHECK")))))))</f>
        <v>R</v>
      </c>
      <c r="W398" s="196" t="s">
        <v>1168</v>
      </c>
      <c r="X398" s="196" t="str">
        <f t="shared" si="212"/>
        <v>N</v>
      </c>
      <c r="Y398" s="197">
        <f t="shared" si="213"/>
        <v>0</v>
      </c>
      <c r="Z398" s="198"/>
      <c r="AA398" s="197">
        <f t="shared" ref="AA398:AA461" si="219">Y398-Z398</f>
        <v>0</v>
      </c>
      <c r="AB398" s="196"/>
      <c r="AC398" s="196"/>
      <c r="AD398" s="275">
        <v>0</v>
      </c>
      <c r="AE398" s="275">
        <v>0</v>
      </c>
      <c r="AF398" s="275">
        <v>1</v>
      </c>
      <c r="AG398" s="199"/>
      <c r="AH398" s="199"/>
      <c r="AI398" s="377">
        <f t="shared" ref="AI398:AI461" si="220">(AG398+AH398)/2</f>
        <v>0</v>
      </c>
      <c r="AJ398" s="203"/>
      <c r="AK398" s="203"/>
      <c r="AL398" s="197">
        <f t="shared" si="214"/>
        <v>0</v>
      </c>
      <c r="AM398" s="197">
        <f t="shared" si="215"/>
        <v>0</v>
      </c>
      <c r="AN398" s="197">
        <f t="shared" si="216"/>
        <v>0</v>
      </c>
      <c r="AO398" s="202"/>
      <c r="AP398" s="161" t="s">
        <v>3900</v>
      </c>
      <c r="AQ398" s="279"/>
      <c r="AR398" s="287">
        <f t="shared" si="187"/>
        <v>0</v>
      </c>
      <c r="AS398" s="287">
        <f t="shared" si="188"/>
        <v>0</v>
      </c>
      <c r="AT398" s="287">
        <f t="shared" si="189"/>
        <v>0</v>
      </c>
      <c r="AU398" s="287">
        <f t="shared" si="190"/>
        <v>0</v>
      </c>
      <c r="AV398" s="287">
        <f t="shared" si="191"/>
        <v>0</v>
      </c>
      <c r="AW398" s="287">
        <f t="shared" si="192"/>
        <v>0</v>
      </c>
      <c r="AX398" s="287">
        <f t="shared" si="193"/>
        <v>0</v>
      </c>
      <c r="AY398" s="287">
        <f t="shared" si="194"/>
        <v>0</v>
      </c>
      <c r="AZ398" s="287">
        <f t="shared" si="195"/>
        <v>0</v>
      </c>
      <c r="BA398" s="287">
        <f t="shared" si="196"/>
        <v>0</v>
      </c>
      <c r="BB398" s="16"/>
      <c r="BC398" s="287">
        <f t="shared" si="197"/>
        <v>0</v>
      </c>
      <c r="BD398" s="287">
        <f t="shared" si="198"/>
        <v>0</v>
      </c>
      <c r="BE398" s="287">
        <f t="shared" si="199"/>
        <v>0</v>
      </c>
      <c r="BF398" s="287">
        <f t="shared" si="200"/>
        <v>0</v>
      </c>
      <c r="BG398" s="287">
        <f t="shared" si="201"/>
        <v>0</v>
      </c>
      <c r="BH398" s="287">
        <f t="shared" si="202"/>
        <v>0</v>
      </c>
      <c r="BI398" s="287">
        <f t="shared" si="203"/>
        <v>0</v>
      </c>
      <c r="BJ398" s="287">
        <f t="shared" si="204"/>
        <v>0</v>
      </c>
      <c r="BK398" s="287">
        <f t="shared" si="205"/>
        <v>0</v>
      </c>
      <c r="BL398" s="287">
        <f t="shared" si="206"/>
        <v>0</v>
      </c>
      <c r="BM398" s="16"/>
      <c r="BN398" s="287">
        <f t="shared" si="207"/>
        <v>0</v>
      </c>
      <c r="BO398" s="287">
        <f t="shared" si="208"/>
        <v>0</v>
      </c>
      <c r="BP398" s="431"/>
      <c r="BQ398" s="21"/>
      <c r="BR398" s="21"/>
      <c r="BS398" s="39" t="e">
        <v>#VALUE!</v>
      </c>
      <c r="BT398" s="39"/>
      <c r="BU398" s="334">
        <v>-4559820.75</v>
      </c>
      <c r="BV398" s="334">
        <v>-4559820.75</v>
      </c>
      <c r="BW398" s="39"/>
      <c r="BX398" s="39"/>
      <c r="BY398" s="39"/>
      <c r="BZ398" s="39">
        <v>385</v>
      </c>
      <c r="CA398" s="39" t="str">
        <f t="shared" si="209"/>
        <v/>
      </c>
      <c r="CB398" s="39"/>
      <c r="CC398" s="39"/>
      <c r="CD398" s="39"/>
      <c r="CE398" s="39"/>
      <c r="CF398" s="39"/>
      <c r="CG398" s="39"/>
      <c r="CH398" s="39"/>
      <c r="CI398" s="39"/>
      <c r="CJ398" s="39"/>
      <c r="CK398" s="39"/>
    </row>
    <row r="399" spans="1:89" s="193" customFormat="1">
      <c r="A399" s="195"/>
      <c r="B399" s="21" t="str">
        <f t="shared" si="217"/>
        <v>N/A</v>
      </c>
      <c r="C399" s="21"/>
      <c r="D399" s="440"/>
      <c r="E399" s="441" t="s">
        <v>3626</v>
      </c>
      <c r="F399" s="441"/>
      <c r="G399" s="273" t="s">
        <v>3074</v>
      </c>
      <c r="H399" s="358"/>
      <c r="I399" s="262" t="s">
        <v>3161</v>
      </c>
      <c r="J399" s="262"/>
      <c r="K399" s="263">
        <v>227816.16</v>
      </c>
      <c r="L399" s="263">
        <v>224584.47092598028</v>
      </c>
      <c r="M399" s="263">
        <v>259234.9451908372</v>
      </c>
      <c r="N399" s="263">
        <v>278222.55271057488</v>
      </c>
      <c r="O399" s="263">
        <v>297118.81498279847</v>
      </c>
      <c r="P399" s="263">
        <v>376866.57</v>
      </c>
      <c r="Q399" s="263">
        <v>425070.39893779927</v>
      </c>
      <c r="R399" s="263">
        <v>458595.91616376507</v>
      </c>
      <c r="S399" s="263">
        <v>505337.50524868804</v>
      </c>
      <c r="T399" s="263">
        <v>574375.26147318003</v>
      </c>
      <c r="U399" s="263">
        <f t="shared" si="210"/>
        <v>3627222.5956336232</v>
      </c>
      <c r="V399" s="196" t="str">
        <f t="shared" si="218"/>
        <v>R</v>
      </c>
      <c r="W399" s="196" t="s">
        <v>1168</v>
      </c>
      <c r="X399" s="196" t="str">
        <f t="shared" si="212"/>
        <v>N</v>
      </c>
      <c r="Y399" s="197">
        <f t="shared" si="213"/>
        <v>0</v>
      </c>
      <c r="Z399" s="198"/>
      <c r="AA399" s="197">
        <f t="shared" si="219"/>
        <v>0</v>
      </c>
      <c r="AB399" s="196"/>
      <c r="AC399" s="196"/>
      <c r="AD399" s="275">
        <v>0</v>
      </c>
      <c r="AE399" s="275">
        <v>0</v>
      </c>
      <c r="AF399" s="275">
        <v>1</v>
      </c>
      <c r="AG399" s="199"/>
      <c r="AH399" s="199"/>
      <c r="AI399" s="377">
        <f t="shared" si="220"/>
        <v>0</v>
      </c>
      <c r="AJ399" s="203"/>
      <c r="AK399" s="203"/>
      <c r="AL399" s="197">
        <f t="shared" si="214"/>
        <v>0</v>
      </c>
      <c r="AM399" s="197">
        <f t="shared" si="215"/>
        <v>0</v>
      </c>
      <c r="AN399" s="197">
        <f t="shared" si="216"/>
        <v>0</v>
      </c>
      <c r="AO399" s="202"/>
      <c r="AP399" s="161" t="s">
        <v>3900</v>
      </c>
      <c r="AQ399" s="279"/>
      <c r="AR399" s="287">
        <f t="shared" ref="AR399:AR462" si="221">K399*$AI399*$AJ399</f>
        <v>0</v>
      </c>
      <c r="AS399" s="287">
        <f t="shared" ref="AS399:AS462" si="222">L399*$AI399*$AJ399</f>
        <v>0</v>
      </c>
      <c r="AT399" s="287">
        <f t="shared" ref="AT399:AT462" si="223">M399*$AI399*$AJ399</f>
        <v>0</v>
      </c>
      <c r="AU399" s="287">
        <f t="shared" ref="AU399:AU462" si="224">N399*$AI399*$AJ399</f>
        <v>0</v>
      </c>
      <c r="AV399" s="287">
        <f t="shared" ref="AV399:AV462" si="225">O399*$AI399*$AJ399</f>
        <v>0</v>
      </c>
      <c r="AW399" s="287">
        <f t="shared" ref="AW399:AW462" si="226">P399*$AI399*$AJ399</f>
        <v>0</v>
      </c>
      <c r="AX399" s="287">
        <f t="shared" ref="AX399:AX462" si="227">Q399*$AI399*$AJ399</f>
        <v>0</v>
      </c>
      <c r="AY399" s="287">
        <f t="shared" ref="AY399:AY462" si="228">R399*$AI399*$AJ399</f>
        <v>0</v>
      </c>
      <c r="AZ399" s="287">
        <f t="shared" ref="AZ399:AZ462" si="229">S399*$AI399*$AJ399</f>
        <v>0</v>
      </c>
      <c r="BA399" s="287">
        <f t="shared" ref="BA399:BA462" si="230">T399*$AI399*$AJ399</f>
        <v>0</v>
      </c>
      <c r="BB399" s="16"/>
      <c r="BC399" s="287">
        <f t="shared" ref="BC399:BC462" si="231">K399*$AI399*$AK399</f>
        <v>0</v>
      </c>
      <c r="BD399" s="287">
        <f t="shared" ref="BD399:BD462" si="232">L399*$AI399*$AK399</f>
        <v>0</v>
      </c>
      <c r="BE399" s="287">
        <f t="shared" ref="BE399:BE462" si="233">M399*$AI399*$AK399</f>
        <v>0</v>
      </c>
      <c r="BF399" s="287">
        <f t="shared" ref="BF399:BF462" si="234">N399*$AI399*$AK399</f>
        <v>0</v>
      </c>
      <c r="BG399" s="287">
        <f t="shared" ref="BG399:BG462" si="235">O399*$AI399*$AK399</f>
        <v>0</v>
      </c>
      <c r="BH399" s="287">
        <f t="shared" ref="BH399:BH462" si="236">P399*$AI399*$AK399</f>
        <v>0</v>
      </c>
      <c r="BI399" s="287">
        <f t="shared" ref="BI399:BI462" si="237">Q399*$AI399*$AK399</f>
        <v>0</v>
      </c>
      <c r="BJ399" s="287">
        <f t="shared" ref="BJ399:BJ462" si="238">R399*$AI399*$AK399</f>
        <v>0</v>
      </c>
      <c r="BK399" s="287">
        <f t="shared" ref="BK399:BK462" si="239">S399*$AI399*$AK399</f>
        <v>0</v>
      </c>
      <c r="BL399" s="287">
        <f t="shared" ref="BL399:BL462" si="240">T399*$AI399*$AK399</f>
        <v>0</v>
      </c>
      <c r="BM399" s="16"/>
      <c r="BN399" s="287">
        <f t="shared" ref="BN399:BN462" si="241">SUM(AR399:BA399)</f>
        <v>0</v>
      </c>
      <c r="BO399" s="287">
        <f t="shared" ref="BO399:BO462" si="242">SUM(BC399:BL399)</f>
        <v>0</v>
      </c>
      <c r="BP399" s="431"/>
      <c r="BQ399" s="21"/>
      <c r="BR399" s="21"/>
      <c r="BS399" s="39" t="e">
        <v>#VALUE!</v>
      </c>
      <c r="BT399" s="39"/>
      <c r="BU399" s="334">
        <v>12470842.857549978</v>
      </c>
      <c r="BV399" s="334">
        <v>12470842.857549978</v>
      </c>
      <c r="BW399" s="39"/>
      <c r="BX399" s="39"/>
      <c r="BY399" s="39"/>
      <c r="BZ399" s="39">
        <v>386</v>
      </c>
      <c r="CA399" s="39" t="str">
        <f t="shared" ref="CA399:CA462" si="243">IFERROR(ROUND(IF(AJ399=100%,2031,1/AJ399*10+2021),0),"")</f>
        <v/>
      </c>
      <c r="CB399" s="39"/>
      <c r="CC399" s="39"/>
      <c r="CD399" s="39"/>
      <c r="CE399" s="39"/>
      <c r="CF399" s="39"/>
      <c r="CG399" s="39"/>
      <c r="CH399" s="39"/>
      <c r="CI399" s="39"/>
      <c r="CJ399" s="39"/>
      <c r="CK399" s="39"/>
    </row>
    <row r="400" spans="1:89" s="193" customFormat="1">
      <c r="A400" s="195"/>
      <c r="B400" s="21" t="str">
        <f t="shared" si="217"/>
        <v>N/A</v>
      </c>
      <c r="C400" s="21"/>
      <c r="D400" s="440"/>
      <c r="E400" s="441" t="s">
        <v>3626</v>
      </c>
      <c r="F400" s="441"/>
      <c r="G400" s="273" t="s">
        <v>3075</v>
      </c>
      <c r="H400" s="358"/>
      <c r="I400" s="262" t="s">
        <v>3161</v>
      </c>
      <c r="J400" s="262"/>
      <c r="K400" s="263">
        <v>718209.44</v>
      </c>
      <c r="L400" s="263">
        <v>699267.073089001</v>
      </c>
      <c r="M400" s="263">
        <v>802253.93617453752</v>
      </c>
      <c r="N400" s="263">
        <v>858788.75739090971</v>
      </c>
      <c r="O400" s="263">
        <v>915909.34099071624</v>
      </c>
      <c r="P400" s="263">
        <v>1162474.1100000001</v>
      </c>
      <c r="Q400" s="263">
        <v>1312052.5799232258</v>
      </c>
      <c r="R400" s="263">
        <v>1416234.8969921363</v>
      </c>
      <c r="S400" s="263">
        <v>1561068.4256719511</v>
      </c>
      <c r="T400" s="263">
        <v>1774706.1836391294</v>
      </c>
      <c r="U400" s="263">
        <f t="shared" si="210"/>
        <v>11220964.743871607</v>
      </c>
      <c r="V400" s="196" t="str">
        <f t="shared" si="218"/>
        <v>R</v>
      </c>
      <c r="W400" s="196" t="s">
        <v>1168</v>
      </c>
      <c r="X400" s="196" t="str">
        <f t="shared" si="212"/>
        <v>N</v>
      </c>
      <c r="Y400" s="197">
        <f t="shared" si="213"/>
        <v>0</v>
      </c>
      <c r="Z400" s="198"/>
      <c r="AA400" s="197">
        <f t="shared" si="219"/>
        <v>0</v>
      </c>
      <c r="AB400" s="196"/>
      <c r="AC400" s="196"/>
      <c r="AD400" s="275">
        <v>0</v>
      </c>
      <c r="AE400" s="275">
        <v>0</v>
      </c>
      <c r="AF400" s="275">
        <v>1</v>
      </c>
      <c r="AG400" s="199"/>
      <c r="AH400" s="199"/>
      <c r="AI400" s="377">
        <f t="shared" si="220"/>
        <v>0</v>
      </c>
      <c r="AJ400" s="203"/>
      <c r="AK400" s="203"/>
      <c r="AL400" s="197">
        <f t="shared" si="214"/>
        <v>0</v>
      </c>
      <c r="AM400" s="197">
        <f t="shared" si="215"/>
        <v>0</v>
      </c>
      <c r="AN400" s="197">
        <f t="shared" si="216"/>
        <v>0</v>
      </c>
      <c r="AO400" s="202"/>
      <c r="AP400" s="161" t="s">
        <v>3900</v>
      </c>
      <c r="AQ400" s="279"/>
      <c r="AR400" s="287">
        <f t="shared" si="221"/>
        <v>0</v>
      </c>
      <c r="AS400" s="287">
        <f t="shared" si="222"/>
        <v>0</v>
      </c>
      <c r="AT400" s="287">
        <f t="shared" si="223"/>
        <v>0</v>
      </c>
      <c r="AU400" s="287">
        <f t="shared" si="224"/>
        <v>0</v>
      </c>
      <c r="AV400" s="287">
        <f t="shared" si="225"/>
        <v>0</v>
      </c>
      <c r="AW400" s="287">
        <f t="shared" si="226"/>
        <v>0</v>
      </c>
      <c r="AX400" s="287">
        <f t="shared" si="227"/>
        <v>0</v>
      </c>
      <c r="AY400" s="287">
        <f t="shared" si="228"/>
        <v>0</v>
      </c>
      <c r="AZ400" s="287">
        <f t="shared" si="229"/>
        <v>0</v>
      </c>
      <c r="BA400" s="287">
        <f t="shared" si="230"/>
        <v>0</v>
      </c>
      <c r="BB400" s="16"/>
      <c r="BC400" s="287">
        <f t="shared" si="231"/>
        <v>0</v>
      </c>
      <c r="BD400" s="287">
        <f t="shared" si="232"/>
        <v>0</v>
      </c>
      <c r="BE400" s="287">
        <f t="shared" si="233"/>
        <v>0</v>
      </c>
      <c r="BF400" s="287">
        <f t="shared" si="234"/>
        <v>0</v>
      </c>
      <c r="BG400" s="287">
        <f t="shared" si="235"/>
        <v>0</v>
      </c>
      <c r="BH400" s="287">
        <f t="shared" si="236"/>
        <v>0</v>
      </c>
      <c r="BI400" s="287">
        <f t="shared" si="237"/>
        <v>0</v>
      </c>
      <c r="BJ400" s="287">
        <f t="shared" si="238"/>
        <v>0</v>
      </c>
      <c r="BK400" s="287">
        <f t="shared" si="239"/>
        <v>0</v>
      </c>
      <c r="BL400" s="287">
        <f t="shared" si="240"/>
        <v>0</v>
      </c>
      <c r="BM400" s="16"/>
      <c r="BN400" s="287">
        <f t="shared" si="241"/>
        <v>0</v>
      </c>
      <c r="BO400" s="287">
        <f t="shared" si="242"/>
        <v>0</v>
      </c>
      <c r="BP400" s="431"/>
      <c r="BQ400" s="21"/>
      <c r="BR400" s="21"/>
      <c r="BS400" s="39" t="e">
        <v>#VALUE!</v>
      </c>
      <c r="BT400" s="39"/>
      <c r="BU400" s="334">
        <v>17703105.601038568</v>
      </c>
      <c r="BV400" s="334">
        <v>17703105.601038568</v>
      </c>
      <c r="BW400" s="39"/>
      <c r="BX400" s="39"/>
      <c r="BY400" s="39"/>
      <c r="BZ400" s="39">
        <v>387</v>
      </c>
      <c r="CA400" s="39" t="str">
        <f t="shared" si="243"/>
        <v/>
      </c>
      <c r="CB400" s="39"/>
      <c r="CC400" s="39"/>
      <c r="CD400" s="39"/>
      <c r="CE400" s="39"/>
      <c r="CF400" s="39"/>
      <c r="CG400" s="39"/>
      <c r="CH400" s="39"/>
      <c r="CI400" s="39"/>
      <c r="CJ400" s="39"/>
      <c r="CK400" s="39"/>
    </row>
    <row r="401" spans="1:89" s="193" customFormat="1">
      <c r="A401" s="195"/>
      <c r="B401" s="21" t="str">
        <f t="shared" si="217"/>
        <v>N/A</v>
      </c>
      <c r="C401" s="21"/>
      <c r="D401" s="432"/>
      <c r="E401" s="439" t="s">
        <v>3626</v>
      </c>
      <c r="F401" s="439"/>
      <c r="G401" s="273" t="s">
        <v>3076</v>
      </c>
      <c r="H401" s="358"/>
      <c r="I401" s="262" t="s">
        <v>3161</v>
      </c>
      <c r="J401" s="262"/>
      <c r="K401" s="263">
        <v>5496192.2599999998</v>
      </c>
      <c r="L401" s="263">
        <v>5328981.6360841049</v>
      </c>
      <c r="M401" s="263">
        <v>5564227.090984907</v>
      </c>
      <c r="N401" s="263">
        <v>5604008.2255886467</v>
      </c>
      <c r="O401" s="263">
        <v>5642340.2295991927</v>
      </c>
      <c r="P401" s="263">
        <v>7138615.2800000003</v>
      </c>
      <c r="Q401" s="263">
        <v>7857454.4711223282</v>
      </c>
      <c r="R401" s="263">
        <v>8368411.0900443969</v>
      </c>
      <c r="S401" s="263">
        <v>8601858.8880460598</v>
      </c>
      <c r="T401" s="263">
        <v>9100923.877672432</v>
      </c>
      <c r="U401" s="263">
        <f t="shared" si="210"/>
        <v>68703013.049142063</v>
      </c>
      <c r="V401" s="196" t="str">
        <f t="shared" si="218"/>
        <v>R</v>
      </c>
      <c r="W401" s="196" t="s">
        <v>1168</v>
      </c>
      <c r="X401" s="196" t="str">
        <f t="shared" si="212"/>
        <v>N</v>
      </c>
      <c r="Y401" s="197">
        <f t="shared" si="213"/>
        <v>0</v>
      </c>
      <c r="Z401" s="198"/>
      <c r="AA401" s="197">
        <f t="shared" si="219"/>
        <v>0</v>
      </c>
      <c r="AB401" s="196"/>
      <c r="AC401" s="196"/>
      <c r="AD401" s="275">
        <v>0</v>
      </c>
      <c r="AE401" s="275">
        <v>0</v>
      </c>
      <c r="AF401" s="275">
        <v>1</v>
      </c>
      <c r="AG401" s="199"/>
      <c r="AH401" s="199"/>
      <c r="AI401" s="377">
        <f t="shared" si="220"/>
        <v>0</v>
      </c>
      <c r="AJ401" s="203"/>
      <c r="AK401" s="203"/>
      <c r="AL401" s="197">
        <f t="shared" si="214"/>
        <v>0</v>
      </c>
      <c r="AM401" s="197">
        <f t="shared" si="215"/>
        <v>0</v>
      </c>
      <c r="AN401" s="197">
        <f t="shared" si="216"/>
        <v>0</v>
      </c>
      <c r="AO401" s="202"/>
      <c r="AP401" s="161" t="s">
        <v>3900</v>
      </c>
      <c r="AQ401" s="279"/>
      <c r="AR401" s="287">
        <f t="shared" si="221"/>
        <v>0</v>
      </c>
      <c r="AS401" s="287">
        <f t="shared" si="222"/>
        <v>0</v>
      </c>
      <c r="AT401" s="287">
        <f t="shared" si="223"/>
        <v>0</v>
      </c>
      <c r="AU401" s="287">
        <f t="shared" si="224"/>
        <v>0</v>
      </c>
      <c r="AV401" s="287">
        <f t="shared" si="225"/>
        <v>0</v>
      </c>
      <c r="AW401" s="287">
        <f t="shared" si="226"/>
        <v>0</v>
      </c>
      <c r="AX401" s="287">
        <f t="shared" si="227"/>
        <v>0</v>
      </c>
      <c r="AY401" s="287">
        <f t="shared" si="228"/>
        <v>0</v>
      </c>
      <c r="AZ401" s="287">
        <f t="shared" si="229"/>
        <v>0</v>
      </c>
      <c r="BA401" s="287">
        <f t="shared" si="230"/>
        <v>0</v>
      </c>
      <c r="BB401" s="16"/>
      <c r="BC401" s="287">
        <f t="shared" si="231"/>
        <v>0</v>
      </c>
      <c r="BD401" s="287">
        <f t="shared" si="232"/>
        <v>0</v>
      </c>
      <c r="BE401" s="287">
        <f t="shared" si="233"/>
        <v>0</v>
      </c>
      <c r="BF401" s="287">
        <f t="shared" si="234"/>
        <v>0</v>
      </c>
      <c r="BG401" s="287">
        <f t="shared" si="235"/>
        <v>0</v>
      </c>
      <c r="BH401" s="287">
        <f t="shared" si="236"/>
        <v>0</v>
      </c>
      <c r="BI401" s="287">
        <f t="shared" si="237"/>
        <v>0</v>
      </c>
      <c r="BJ401" s="287">
        <f t="shared" si="238"/>
        <v>0</v>
      </c>
      <c r="BK401" s="287">
        <f t="shared" si="239"/>
        <v>0</v>
      </c>
      <c r="BL401" s="287">
        <f t="shared" si="240"/>
        <v>0</v>
      </c>
      <c r="BM401" s="16"/>
      <c r="BN401" s="287">
        <f t="shared" si="241"/>
        <v>0</v>
      </c>
      <c r="BO401" s="287">
        <f t="shared" si="242"/>
        <v>0</v>
      </c>
      <c r="BP401" s="431"/>
      <c r="BQ401" s="21"/>
      <c r="BR401" s="21"/>
      <c r="BS401" s="39" t="e">
        <v>#VALUE!</v>
      </c>
      <c r="BT401" s="39"/>
      <c r="BU401" s="334">
        <v>146643750</v>
      </c>
      <c r="BV401" s="334">
        <v>146643750</v>
      </c>
      <c r="BW401" s="39"/>
      <c r="BX401" s="39"/>
      <c r="BY401" s="39"/>
      <c r="BZ401" s="39">
        <v>388</v>
      </c>
      <c r="CA401" s="39" t="str">
        <f t="shared" si="243"/>
        <v/>
      </c>
      <c r="CB401" s="39"/>
      <c r="CC401" s="39"/>
      <c r="CD401" s="39"/>
      <c r="CE401" s="39"/>
      <c r="CF401" s="39"/>
      <c r="CG401" s="39"/>
      <c r="CH401" s="39"/>
      <c r="CI401" s="39"/>
      <c r="CJ401" s="39"/>
      <c r="CK401" s="39"/>
    </row>
    <row r="402" spans="1:89" s="193" customFormat="1">
      <c r="A402" s="195"/>
      <c r="B402" s="21" t="str">
        <f t="shared" si="217"/>
        <v>N/A</v>
      </c>
      <c r="C402" s="21"/>
      <c r="D402" s="432"/>
      <c r="E402" s="439" t="s">
        <v>3626</v>
      </c>
      <c r="F402" s="439"/>
      <c r="G402" s="273" t="s">
        <v>3077</v>
      </c>
      <c r="H402" s="358"/>
      <c r="I402" s="262" t="s">
        <v>3161</v>
      </c>
      <c r="J402" s="262"/>
      <c r="K402" s="263">
        <v>13200899.390000001</v>
      </c>
      <c r="L402" s="263">
        <v>12977103.229241872</v>
      </c>
      <c r="M402" s="263">
        <v>15430562.759671595</v>
      </c>
      <c r="N402" s="263">
        <v>16061584.640508272</v>
      </c>
      <c r="O402" s="263">
        <v>16454963.498940527</v>
      </c>
      <c r="P402" s="263">
        <v>19666909.960000001</v>
      </c>
      <c r="Q402" s="263">
        <v>21290444.724726871</v>
      </c>
      <c r="R402" s="263">
        <v>22185503.807085507</v>
      </c>
      <c r="S402" s="263">
        <v>24241170.400742002</v>
      </c>
      <c r="T402" s="263">
        <v>27472047.235730834</v>
      </c>
      <c r="U402" s="263">
        <f t="shared" si="210"/>
        <v>188981189.64664745</v>
      </c>
      <c r="V402" s="196" t="str">
        <f t="shared" si="218"/>
        <v>R</v>
      </c>
      <c r="W402" s="196" t="s">
        <v>1168</v>
      </c>
      <c r="X402" s="196" t="str">
        <f t="shared" si="212"/>
        <v>N</v>
      </c>
      <c r="Y402" s="197">
        <f t="shared" si="213"/>
        <v>0</v>
      </c>
      <c r="Z402" s="198"/>
      <c r="AA402" s="197">
        <f t="shared" si="219"/>
        <v>0</v>
      </c>
      <c r="AB402" s="196"/>
      <c r="AC402" s="196"/>
      <c r="AD402" s="275">
        <v>0</v>
      </c>
      <c r="AE402" s="275">
        <v>0</v>
      </c>
      <c r="AF402" s="275">
        <v>1</v>
      </c>
      <c r="AG402" s="199"/>
      <c r="AH402" s="199"/>
      <c r="AI402" s="377">
        <f t="shared" si="220"/>
        <v>0</v>
      </c>
      <c r="AJ402" s="203"/>
      <c r="AK402" s="203"/>
      <c r="AL402" s="197">
        <f t="shared" si="214"/>
        <v>0</v>
      </c>
      <c r="AM402" s="197">
        <f t="shared" si="215"/>
        <v>0</v>
      </c>
      <c r="AN402" s="197">
        <f t="shared" si="216"/>
        <v>0</v>
      </c>
      <c r="AO402" s="202"/>
      <c r="AP402" s="161" t="s">
        <v>3900</v>
      </c>
      <c r="AQ402" s="279"/>
      <c r="AR402" s="287">
        <f t="shared" si="221"/>
        <v>0</v>
      </c>
      <c r="AS402" s="287">
        <f t="shared" si="222"/>
        <v>0</v>
      </c>
      <c r="AT402" s="287">
        <f t="shared" si="223"/>
        <v>0</v>
      </c>
      <c r="AU402" s="287">
        <f t="shared" si="224"/>
        <v>0</v>
      </c>
      <c r="AV402" s="287">
        <f t="shared" si="225"/>
        <v>0</v>
      </c>
      <c r="AW402" s="287">
        <f t="shared" si="226"/>
        <v>0</v>
      </c>
      <c r="AX402" s="287">
        <f t="shared" si="227"/>
        <v>0</v>
      </c>
      <c r="AY402" s="287">
        <f t="shared" si="228"/>
        <v>0</v>
      </c>
      <c r="AZ402" s="287">
        <f t="shared" si="229"/>
        <v>0</v>
      </c>
      <c r="BA402" s="287">
        <f t="shared" si="230"/>
        <v>0</v>
      </c>
      <c r="BB402" s="16"/>
      <c r="BC402" s="287">
        <f t="shared" si="231"/>
        <v>0</v>
      </c>
      <c r="BD402" s="287">
        <f t="shared" si="232"/>
        <v>0</v>
      </c>
      <c r="BE402" s="287">
        <f t="shared" si="233"/>
        <v>0</v>
      </c>
      <c r="BF402" s="287">
        <f t="shared" si="234"/>
        <v>0</v>
      </c>
      <c r="BG402" s="287">
        <f t="shared" si="235"/>
        <v>0</v>
      </c>
      <c r="BH402" s="287">
        <f t="shared" si="236"/>
        <v>0</v>
      </c>
      <c r="BI402" s="287">
        <f t="shared" si="237"/>
        <v>0</v>
      </c>
      <c r="BJ402" s="287">
        <f t="shared" si="238"/>
        <v>0</v>
      </c>
      <c r="BK402" s="287">
        <f t="shared" si="239"/>
        <v>0</v>
      </c>
      <c r="BL402" s="287">
        <f t="shared" si="240"/>
        <v>0</v>
      </c>
      <c r="BM402" s="16"/>
      <c r="BN402" s="287">
        <f t="shared" si="241"/>
        <v>0</v>
      </c>
      <c r="BO402" s="287">
        <f t="shared" si="242"/>
        <v>0</v>
      </c>
      <c r="BP402" s="431"/>
      <c r="BQ402" s="21"/>
      <c r="BR402" s="21"/>
      <c r="BS402" s="39" t="e">
        <v>#VALUE!</v>
      </c>
      <c r="BT402" s="39"/>
      <c r="BU402" s="334">
        <v>360000.03782915138</v>
      </c>
      <c r="BV402" s="334">
        <v>360000.03782915138</v>
      </c>
      <c r="BW402" s="39"/>
      <c r="BX402" s="39"/>
      <c r="BY402" s="39"/>
      <c r="BZ402" s="39">
        <v>389</v>
      </c>
      <c r="CA402" s="39" t="str">
        <f t="shared" si="243"/>
        <v/>
      </c>
      <c r="CB402" s="39"/>
      <c r="CC402" s="39"/>
      <c r="CD402" s="39"/>
      <c r="CE402" s="39"/>
      <c r="CF402" s="39"/>
      <c r="CG402" s="39"/>
      <c r="CH402" s="39"/>
      <c r="CI402" s="39"/>
      <c r="CJ402" s="39"/>
      <c r="CK402" s="39"/>
    </row>
    <row r="403" spans="1:89" s="193" customFormat="1">
      <c r="A403" s="195"/>
      <c r="B403" s="21" t="str">
        <f t="shared" si="217"/>
        <v>N/A</v>
      </c>
      <c r="C403" s="21"/>
      <c r="D403" s="440"/>
      <c r="E403" s="441" t="s">
        <v>3626</v>
      </c>
      <c r="F403" s="441"/>
      <c r="G403" s="273" t="s">
        <v>3078</v>
      </c>
      <c r="H403" s="358"/>
      <c r="I403" s="262" t="s">
        <v>3161</v>
      </c>
      <c r="J403" s="262"/>
      <c r="K403" s="263">
        <v>12791005.620000001</v>
      </c>
      <c r="L403" s="263">
        <v>12668956.796230955</v>
      </c>
      <c r="M403" s="263">
        <v>14638003.762329284</v>
      </c>
      <c r="N403" s="263">
        <v>15769026.700732239</v>
      </c>
      <c r="O403" s="263">
        <v>17330554.403817713</v>
      </c>
      <c r="P403" s="263">
        <v>22727636.309999999</v>
      </c>
      <c r="Q403" s="263">
        <v>24754944.557714839</v>
      </c>
      <c r="R403" s="263">
        <v>25226716.35287996</v>
      </c>
      <c r="S403" s="263">
        <v>25711989.487969499</v>
      </c>
      <c r="T403" s="263">
        <v>26983827.980345413</v>
      </c>
      <c r="U403" s="263">
        <f t="shared" si="210"/>
        <v>198602661.97201991</v>
      </c>
      <c r="V403" s="196" t="str">
        <f t="shared" si="218"/>
        <v>R</v>
      </c>
      <c r="W403" s="196" t="s">
        <v>1168</v>
      </c>
      <c r="X403" s="196" t="str">
        <f t="shared" si="212"/>
        <v>N</v>
      </c>
      <c r="Y403" s="197">
        <f t="shared" si="213"/>
        <v>0</v>
      </c>
      <c r="Z403" s="198"/>
      <c r="AA403" s="197">
        <f t="shared" si="219"/>
        <v>0</v>
      </c>
      <c r="AB403" s="196"/>
      <c r="AC403" s="196"/>
      <c r="AD403" s="275">
        <v>0</v>
      </c>
      <c r="AE403" s="275">
        <v>0</v>
      </c>
      <c r="AF403" s="275">
        <v>1</v>
      </c>
      <c r="AG403" s="199"/>
      <c r="AH403" s="199"/>
      <c r="AI403" s="377">
        <f t="shared" si="220"/>
        <v>0</v>
      </c>
      <c r="AJ403" s="203"/>
      <c r="AK403" s="203"/>
      <c r="AL403" s="197">
        <f t="shared" si="214"/>
        <v>0</v>
      </c>
      <c r="AM403" s="197">
        <f t="shared" si="215"/>
        <v>0</v>
      </c>
      <c r="AN403" s="197">
        <f t="shared" si="216"/>
        <v>0</v>
      </c>
      <c r="AO403" s="202"/>
      <c r="AP403" s="161" t="s">
        <v>3900</v>
      </c>
      <c r="AQ403" s="279"/>
      <c r="AR403" s="287">
        <f t="shared" si="221"/>
        <v>0</v>
      </c>
      <c r="AS403" s="287">
        <f t="shared" si="222"/>
        <v>0</v>
      </c>
      <c r="AT403" s="287">
        <f t="shared" si="223"/>
        <v>0</v>
      </c>
      <c r="AU403" s="287">
        <f t="shared" si="224"/>
        <v>0</v>
      </c>
      <c r="AV403" s="287">
        <f t="shared" si="225"/>
        <v>0</v>
      </c>
      <c r="AW403" s="287">
        <f t="shared" si="226"/>
        <v>0</v>
      </c>
      <c r="AX403" s="287">
        <f t="shared" si="227"/>
        <v>0</v>
      </c>
      <c r="AY403" s="287">
        <f t="shared" si="228"/>
        <v>0</v>
      </c>
      <c r="AZ403" s="287">
        <f t="shared" si="229"/>
        <v>0</v>
      </c>
      <c r="BA403" s="287">
        <f t="shared" si="230"/>
        <v>0</v>
      </c>
      <c r="BB403" s="16"/>
      <c r="BC403" s="287">
        <f t="shared" si="231"/>
        <v>0</v>
      </c>
      <c r="BD403" s="287">
        <f t="shared" si="232"/>
        <v>0</v>
      </c>
      <c r="BE403" s="287">
        <f t="shared" si="233"/>
        <v>0</v>
      </c>
      <c r="BF403" s="287">
        <f t="shared" si="234"/>
        <v>0</v>
      </c>
      <c r="BG403" s="287">
        <f t="shared" si="235"/>
        <v>0</v>
      </c>
      <c r="BH403" s="287">
        <f t="shared" si="236"/>
        <v>0</v>
      </c>
      <c r="BI403" s="287">
        <f t="shared" si="237"/>
        <v>0</v>
      </c>
      <c r="BJ403" s="287">
        <f t="shared" si="238"/>
        <v>0</v>
      </c>
      <c r="BK403" s="287">
        <f t="shared" si="239"/>
        <v>0</v>
      </c>
      <c r="BL403" s="287">
        <f t="shared" si="240"/>
        <v>0</v>
      </c>
      <c r="BM403" s="16"/>
      <c r="BN403" s="287">
        <f t="shared" si="241"/>
        <v>0</v>
      </c>
      <c r="BO403" s="287">
        <f t="shared" si="242"/>
        <v>0</v>
      </c>
      <c r="BP403" s="431"/>
      <c r="BQ403" s="21"/>
      <c r="BR403" s="21"/>
      <c r="BS403" s="39" t="e">
        <v>#VALUE!</v>
      </c>
      <c r="BT403" s="39"/>
      <c r="BU403" s="334">
        <v>191600.0184522194</v>
      </c>
      <c r="BV403" s="334">
        <v>191600.0184522194</v>
      </c>
      <c r="BW403" s="39"/>
      <c r="BX403" s="39"/>
      <c r="BY403" s="39"/>
      <c r="BZ403" s="39">
        <v>390</v>
      </c>
      <c r="CA403" s="39" t="str">
        <f t="shared" si="243"/>
        <v/>
      </c>
      <c r="CB403" s="39"/>
      <c r="CC403" s="39"/>
      <c r="CD403" s="39"/>
      <c r="CE403" s="39"/>
      <c r="CF403" s="39"/>
      <c r="CG403" s="39"/>
      <c r="CH403" s="39"/>
      <c r="CI403" s="39"/>
      <c r="CJ403" s="39"/>
      <c r="CK403" s="39"/>
    </row>
    <row r="404" spans="1:89" s="193" customFormat="1">
      <c r="A404" s="195"/>
      <c r="B404" s="21" t="str">
        <f t="shared" si="217"/>
        <v>N/A</v>
      </c>
      <c r="C404" s="21"/>
      <c r="D404" s="432"/>
      <c r="E404" s="439" t="s">
        <v>3626</v>
      </c>
      <c r="F404" s="439"/>
      <c r="G404" s="273" t="s">
        <v>3079</v>
      </c>
      <c r="H404" s="358"/>
      <c r="I404" s="262" t="s">
        <v>3161</v>
      </c>
      <c r="J404" s="262"/>
      <c r="K404" s="263">
        <v>9057327.7599999998</v>
      </c>
      <c r="L404" s="263">
        <v>8101494.6021125233</v>
      </c>
      <c r="M404" s="263">
        <v>7756196.0489399787</v>
      </c>
      <c r="N404" s="263">
        <v>7291560.4199503548</v>
      </c>
      <c r="O404" s="263">
        <v>6819905.6812777184</v>
      </c>
      <c r="P404" s="263">
        <v>8064909.04</v>
      </c>
      <c r="Q404" s="263">
        <v>8380906.9576603686</v>
      </c>
      <c r="R404" s="263">
        <v>8509690.0399808809</v>
      </c>
      <c r="S404" s="263">
        <v>8407550.2983806226</v>
      </c>
      <c r="T404" s="263">
        <v>8605462.7962682918</v>
      </c>
      <c r="U404" s="263">
        <f t="shared" si="210"/>
        <v>80995003.644570738</v>
      </c>
      <c r="V404" s="196" t="str">
        <f t="shared" si="218"/>
        <v>R</v>
      </c>
      <c r="W404" s="196" t="s">
        <v>1168</v>
      </c>
      <c r="X404" s="196" t="str">
        <f t="shared" si="212"/>
        <v>N</v>
      </c>
      <c r="Y404" s="197">
        <f t="shared" si="213"/>
        <v>0</v>
      </c>
      <c r="Z404" s="198"/>
      <c r="AA404" s="197">
        <f t="shared" si="219"/>
        <v>0</v>
      </c>
      <c r="AB404" s="196"/>
      <c r="AC404" s="196"/>
      <c r="AD404" s="275">
        <v>0</v>
      </c>
      <c r="AE404" s="275">
        <v>0</v>
      </c>
      <c r="AF404" s="275">
        <v>1</v>
      </c>
      <c r="AG404" s="199"/>
      <c r="AH404" s="199"/>
      <c r="AI404" s="377">
        <f t="shared" si="220"/>
        <v>0</v>
      </c>
      <c r="AJ404" s="203"/>
      <c r="AK404" s="203"/>
      <c r="AL404" s="197">
        <f t="shared" si="214"/>
        <v>0</v>
      </c>
      <c r="AM404" s="197">
        <f t="shared" si="215"/>
        <v>0</v>
      </c>
      <c r="AN404" s="197">
        <f t="shared" si="216"/>
        <v>0</v>
      </c>
      <c r="AO404" s="202"/>
      <c r="AP404" s="161" t="s">
        <v>3900</v>
      </c>
      <c r="AQ404" s="279"/>
      <c r="AR404" s="287">
        <f t="shared" si="221"/>
        <v>0</v>
      </c>
      <c r="AS404" s="287">
        <f t="shared" si="222"/>
        <v>0</v>
      </c>
      <c r="AT404" s="287">
        <f t="shared" si="223"/>
        <v>0</v>
      </c>
      <c r="AU404" s="287">
        <f t="shared" si="224"/>
        <v>0</v>
      </c>
      <c r="AV404" s="287">
        <f t="shared" si="225"/>
        <v>0</v>
      </c>
      <c r="AW404" s="287">
        <f t="shared" si="226"/>
        <v>0</v>
      </c>
      <c r="AX404" s="287">
        <f t="shared" si="227"/>
        <v>0</v>
      </c>
      <c r="AY404" s="287">
        <f t="shared" si="228"/>
        <v>0</v>
      </c>
      <c r="AZ404" s="287">
        <f t="shared" si="229"/>
        <v>0</v>
      </c>
      <c r="BA404" s="287">
        <f t="shared" si="230"/>
        <v>0</v>
      </c>
      <c r="BB404" s="16"/>
      <c r="BC404" s="287">
        <f t="shared" si="231"/>
        <v>0</v>
      </c>
      <c r="BD404" s="287">
        <f t="shared" si="232"/>
        <v>0</v>
      </c>
      <c r="BE404" s="287">
        <f t="shared" si="233"/>
        <v>0</v>
      </c>
      <c r="BF404" s="287">
        <f t="shared" si="234"/>
        <v>0</v>
      </c>
      <c r="BG404" s="287">
        <f t="shared" si="235"/>
        <v>0</v>
      </c>
      <c r="BH404" s="287">
        <f t="shared" si="236"/>
        <v>0</v>
      </c>
      <c r="BI404" s="287">
        <f t="shared" si="237"/>
        <v>0</v>
      </c>
      <c r="BJ404" s="287">
        <f t="shared" si="238"/>
        <v>0</v>
      </c>
      <c r="BK404" s="287">
        <f t="shared" si="239"/>
        <v>0</v>
      </c>
      <c r="BL404" s="287">
        <f t="shared" si="240"/>
        <v>0</v>
      </c>
      <c r="BM404" s="16"/>
      <c r="BN404" s="287">
        <f t="shared" si="241"/>
        <v>0</v>
      </c>
      <c r="BO404" s="287">
        <f t="shared" si="242"/>
        <v>0</v>
      </c>
      <c r="BP404" s="431"/>
      <c r="BQ404" s="21"/>
      <c r="BR404" s="21"/>
      <c r="BS404" s="39" t="e">
        <v>#VALUE!</v>
      </c>
      <c r="BT404" s="39"/>
      <c r="BU404" s="334">
        <v>189600.01824205744</v>
      </c>
      <c r="BV404" s="334">
        <v>189600.01824205744</v>
      </c>
      <c r="BW404" s="39"/>
      <c r="BX404" s="39"/>
      <c r="BY404" s="39"/>
      <c r="BZ404" s="39">
        <v>391</v>
      </c>
      <c r="CA404" s="39" t="str">
        <f t="shared" si="243"/>
        <v/>
      </c>
      <c r="CB404" s="39"/>
      <c r="CC404" s="39"/>
      <c r="CD404" s="39"/>
      <c r="CE404" s="39"/>
      <c r="CF404" s="39"/>
      <c r="CG404" s="39"/>
      <c r="CH404" s="39"/>
      <c r="CI404" s="39"/>
      <c r="CJ404" s="39"/>
      <c r="CK404" s="39"/>
    </row>
    <row r="405" spans="1:89" s="193" customFormat="1">
      <c r="A405" s="195"/>
      <c r="B405" s="21" t="str">
        <f t="shared" si="217"/>
        <v>N/A</v>
      </c>
      <c r="C405" s="21"/>
      <c r="D405" s="432"/>
      <c r="E405" s="439" t="s">
        <v>3626</v>
      </c>
      <c r="F405" s="439"/>
      <c r="G405" s="273" t="s">
        <v>3080</v>
      </c>
      <c r="H405" s="358"/>
      <c r="I405" s="262" t="s">
        <v>3161</v>
      </c>
      <c r="J405" s="262"/>
      <c r="K405" s="263">
        <v>2022901.92</v>
      </c>
      <c r="L405" s="263">
        <v>1976700.6850176747</v>
      </c>
      <c r="M405" s="263">
        <v>2247690.6786779575</v>
      </c>
      <c r="N405" s="263">
        <v>2367381.3812569524</v>
      </c>
      <c r="O405" s="263">
        <v>2476316.2261186852</v>
      </c>
      <c r="P405" s="263">
        <v>3074740.55</v>
      </c>
      <c r="Q405" s="263">
        <v>3396109.8514048178</v>
      </c>
      <c r="R405" s="263">
        <v>3591177.1974943681</v>
      </c>
      <c r="S405" s="263">
        <v>3883227.0443179212</v>
      </c>
      <c r="T405" s="263">
        <v>4336636.2346493816</v>
      </c>
      <c r="U405" s="263">
        <f t="shared" si="210"/>
        <v>29372881.768937759</v>
      </c>
      <c r="V405" s="196" t="str">
        <f t="shared" si="218"/>
        <v>R</v>
      </c>
      <c r="W405" s="196" t="s">
        <v>1168</v>
      </c>
      <c r="X405" s="196" t="str">
        <f t="shared" si="212"/>
        <v>N</v>
      </c>
      <c r="Y405" s="197">
        <f t="shared" si="213"/>
        <v>0</v>
      </c>
      <c r="Z405" s="198"/>
      <c r="AA405" s="197">
        <f t="shared" si="219"/>
        <v>0</v>
      </c>
      <c r="AB405" s="196"/>
      <c r="AC405" s="196"/>
      <c r="AD405" s="275">
        <v>0</v>
      </c>
      <c r="AE405" s="275">
        <v>0</v>
      </c>
      <c r="AF405" s="275">
        <v>1</v>
      </c>
      <c r="AG405" s="199"/>
      <c r="AH405" s="199"/>
      <c r="AI405" s="377">
        <f t="shared" si="220"/>
        <v>0</v>
      </c>
      <c r="AJ405" s="203"/>
      <c r="AK405" s="203"/>
      <c r="AL405" s="197">
        <f t="shared" si="214"/>
        <v>0</v>
      </c>
      <c r="AM405" s="197">
        <f t="shared" si="215"/>
        <v>0</v>
      </c>
      <c r="AN405" s="197">
        <f t="shared" si="216"/>
        <v>0</v>
      </c>
      <c r="AO405" s="202"/>
      <c r="AP405" s="161" t="s">
        <v>3900</v>
      </c>
      <c r="AQ405" s="279"/>
      <c r="AR405" s="287">
        <f t="shared" si="221"/>
        <v>0</v>
      </c>
      <c r="AS405" s="287">
        <f t="shared" si="222"/>
        <v>0</v>
      </c>
      <c r="AT405" s="287">
        <f t="shared" si="223"/>
        <v>0</v>
      </c>
      <c r="AU405" s="287">
        <f t="shared" si="224"/>
        <v>0</v>
      </c>
      <c r="AV405" s="287">
        <f t="shared" si="225"/>
        <v>0</v>
      </c>
      <c r="AW405" s="287">
        <f t="shared" si="226"/>
        <v>0</v>
      </c>
      <c r="AX405" s="287">
        <f t="shared" si="227"/>
        <v>0</v>
      </c>
      <c r="AY405" s="287">
        <f t="shared" si="228"/>
        <v>0</v>
      </c>
      <c r="AZ405" s="287">
        <f t="shared" si="229"/>
        <v>0</v>
      </c>
      <c r="BA405" s="287">
        <f t="shared" si="230"/>
        <v>0</v>
      </c>
      <c r="BB405" s="16"/>
      <c r="BC405" s="287">
        <f t="shared" si="231"/>
        <v>0</v>
      </c>
      <c r="BD405" s="287">
        <f t="shared" si="232"/>
        <v>0</v>
      </c>
      <c r="BE405" s="287">
        <f t="shared" si="233"/>
        <v>0</v>
      </c>
      <c r="BF405" s="287">
        <f t="shared" si="234"/>
        <v>0</v>
      </c>
      <c r="BG405" s="287">
        <f t="shared" si="235"/>
        <v>0</v>
      </c>
      <c r="BH405" s="287">
        <f t="shared" si="236"/>
        <v>0</v>
      </c>
      <c r="BI405" s="287">
        <f t="shared" si="237"/>
        <v>0</v>
      </c>
      <c r="BJ405" s="287">
        <f t="shared" si="238"/>
        <v>0</v>
      </c>
      <c r="BK405" s="287">
        <f t="shared" si="239"/>
        <v>0</v>
      </c>
      <c r="BL405" s="287">
        <f t="shared" si="240"/>
        <v>0</v>
      </c>
      <c r="BM405" s="16"/>
      <c r="BN405" s="287">
        <f t="shared" si="241"/>
        <v>0</v>
      </c>
      <c r="BO405" s="287">
        <f t="shared" si="242"/>
        <v>0</v>
      </c>
      <c r="BP405" s="431"/>
      <c r="BQ405" s="21"/>
      <c r="BR405" s="21"/>
      <c r="BS405" s="39" t="e">
        <v>#VALUE!</v>
      </c>
      <c r="BT405" s="39"/>
      <c r="BU405" s="334">
        <v>1480000.1555198445</v>
      </c>
      <c r="BV405" s="334">
        <v>1480000.1555198445</v>
      </c>
      <c r="BW405" s="39"/>
      <c r="BX405" s="39"/>
      <c r="BY405" s="39"/>
      <c r="BZ405" s="39">
        <v>392</v>
      </c>
      <c r="CA405" s="39" t="str">
        <f t="shared" si="243"/>
        <v/>
      </c>
      <c r="CB405" s="39"/>
      <c r="CC405" s="39"/>
      <c r="CD405" s="39"/>
      <c r="CE405" s="39"/>
      <c r="CF405" s="39"/>
      <c r="CG405" s="39"/>
      <c r="CH405" s="39"/>
      <c r="CI405" s="39"/>
      <c r="CJ405" s="39"/>
      <c r="CK405" s="39"/>
    </row>
    <row r="406" spans="1:89" s="193" customFormat="1">
      <c r="A406" s="195"/>
      <c r="B406" s="21" t="str">
        <f t="shared" si="217"/>
        <v>N/A</v>
      </c>
      <c r="C406" s="21"/>
      <c r="D406" s="432"/>
      <c r="E406" s="439" t="s">
        <v>3626</v>
      </c>
      <c r="F406" s="439"/>
      <c r="G406" s="273" t="s">
        <v>3081</v>
      </c>
      <c r="H406" s="358"/>
      <c r="I406" s="262" t="s">
        <v>3161</v>
      </c>
      <c r="J406" s="262"/>
      <c r="K406" s="263">
        <v>62168.08</v>
      </c>
      <c r="L406" s="263">
        <v>70039.32603364464</v>
      </c>
      <c r="M406" s="263">
        <v>85746.751741849628</v>
      </c>
      <c r="N406" s="263">
        <v>94255.426735641609</v>
      </c>
      <c r="O406" s="263">
        <v>101862.41776532133</v>
      </c>
      <c r="P406" s="263">
        <v>128469.84</v>
      </c>
      <c r="Q406" s="263">
        <v>144014.6551095387</v>
      </c>
      <c r="R406" s="263">
        <v>154670.97785060108</v>
      </c>
      <c r="S406" s="263">
        <v>169954.12185791467</v>
      </c>
      <c r="T406" s="263">
        <v>192800.49785466382</v>
      </c>
      <c r="U406" s="263">
        <f t="shared" si="210"/>
        <v>1203982.0949491754</v>
      </c>
      <c r="V406" s="196" t="str">
        <f t="shared" si="218"/>
        <v>R</v>
      </c>
      <c r="W406" s="196" t="s">
        <v>1168</v>
      </c>
      <c r="X406" s="196" t="str">
        <f t="shared" si="212"/>
        <v>N</v>
      </c>
      <c r="Y406" s="197">
        <f t="shared" si="213"/>
        <v>0</v>
      </c>
      <c r="Z406" s="198"/>
      <c r="AA406" s="197">
        <f t="shared" si="219"/>
        <v>0</v>
      </c>
      <c r="AB406" s="196"/>
      <c r="AC406" s="196"/>
      <c r="AD406" s="275">
        <v>0</v>
      </c>
      <c r="AE406" s="275">
        <v>0</v>
      </c>
      <c r="AF406" s="275">
        <v>1</v>
      </c>
      <c r="AG406" s="199"/>
      <c r="AH406" s="199"/>
      <c r="AI406" s="377">
        <f t="shared" si="220"/>
        <v>0</v>
      </c>
      <c r="AJ406" s="203"/>
      <c r="AK406" s="203"/>
      <c r="AL406" s="197">
        <f t="shared" si="214"/>
        <v>0</v>
      </c>
      <c r="AM406" s="197">
        <f t="shared" si="215"/>
        <v>0</v>
      </c>
      <c r="AN406" s="197">
        <f t="shared" si="216"/>
        <v>0</v>
      </c>
      <c r="AO406" s="202"/>
      <c r="AP406" s="161" t="s">
        <v>3900</v>
      </c>
      <c r="AQ406" s="279"/>
      <c r="AR406" s="287">
        <f t="shared" si="221"/>
        <v>0</v>
      </c>
      <c r="AS406" s="287">
        <f t="shared" si="222"/>
        <v>0</v>
      </c>
      <c r="AT406" s="287">
        <f t="shared" si="223"/>
        <v>0</v>
      </c>
      <c r="AU406" s="287">
        <f t="shared" si="224"/>
        <v>0</v>
      </c>
      <c r="AV406" s="287">
        <f t="shared" si="225"/>
        <v>0</v>
      </c>
      <c r="AW406" s="287">
        <f t="shared" si="226"/>
        <v>0</v>
      </c>
      <c r="AX406" s="287">
        <f t="shared" si="227"/>
        <v>0</v>
      </c>
      <c r="AY406" s="287">
        <f t="shared" si="228"/>
        <v>0</v>
      </c>
      <c r="AZ406" s="287">
        <f t="shared" si="229"/>
        <v>0</v>
      </c>
      <c r="BA406" s="287">
        <f t="shared" si="230"/>
        <v>0</v>
      </c>
      <c r="BB406" s="16"/>
      <c r="BC406" s="287">
        <f t="shared" si="231"/>
        <v>0</v>
      </c>
      <c r="BD406" s="287">
        <f t="shared" si="232"/>
        <v>0</v>
      </c>
      <c r="BE406" s="287">
        <f t="shared" si="233"/>
        <v>0</v>
      </c>
      <c r="BF406" s="287">
        <f t="shared" si="234"/>
        <v>0</v>
      </c>
      <c r="BG406" s="287">
        <f t="shared" si="235"/>
        <v>0</v>
      </c>
      <c r="BH406" s="287">
        <f t="shared" si="236"/>
        <v>0</v>
      </c>
      <c r="BI406" s="287">
        <f t="shared" si="237"/>
        <v>0</v>
      </c>
      <c r="BJ406" s="287">
        <f t="shared" si="238"/>
        <v>0</v>
      </c>
      <c r="BK406" s="287">
        <f t="shared" si="239"/>
        <v>0</v>
      </c>
      <c r="BL406" s="287">
        <f t="shared" si="240"/>
        <v>0</v>
      </c>
      <c r="BM406" s="16"/>
      <c r="BN406" s="287">
        <f t="shared" si="241"/>
        <v>0</v>
      </c>
      <c r="BO406" s="287">
        <f t="shared" si="242"/>
        <v>0</v>
      </c>
      <c r="BP406" s="432"/>
      <c r="BQ406" s="289"/>
      <c r="BR406" s="289"/>
      <c r="BS406" s="290" t="e">
        <v>#VALUE!</v>
      </c>
      <c r="BT406" s="290"/>
      <c r="BU406" s="335">
        <v>871856.17580002558</v>
      </c>
      <c r="BV406" s="335">
        <v>871856.17580002558</v>
      </c>
      <c r="BW406" s="290"/>
      <c r="BX406" s="290"/>
      <c r="BY406" s="290"/>
      <c r="BZ406" s="39">
        <v>393</v>
      </c>
      <c r="CA406" s="39" t="str">
        <f t="shared" si="243"/>
        <v/>
      </c>
      <c r="CB406" s="290"/>
      <c r="CC406" s="290"/>
      <c r="CD406" s="290"/>
      <c r="CE406" s="290"/>
      <c r="CF406" s="290"/>
      <c r="CG406" s="290"/>
      <c r="CH406" s="290"/>
      <c r="CI406" s="290"/>
      <c r="CJ406" s="290"/>
      <c r="CK406" s="290"/>
    </row>
    <row r="407" spans="1:89" s="193" customFormat="1">
      <c r="A407" s="195"/>
      <c r="B407" s="21" t="str">
        <f t="shared" si="217"/>
        <v>N/A</v>
      </c>
      <c r="C407" s="21"/>
      <c r="D407" s="432"/>
      <c r="E407" s="439" t="s">
        <v>3626</v>
      </c>
      <c r="F407" s="439"/>
      <c r="G407" s="273" t="s">
        <v>3082</v>
      </c>
      <c r="H407" s="358"/>
      <c r="I407" s="262" t="s">
        <v>3161</v>
      </c>
      <c r="J407" s="262"/>
      <c r="K407" s="263">
        <v>19281.580000000002</v>
      </c>
      <c r="L407" s="263">
        <v>18402.40475880132</v>
      </c>
      <c r="M407" s="263">
        <v>18943.857186374989</v>
      </c>
      <c r="N407" s="263">
        <v>19458.987867815045</v>
      </c>
      <c r="O407" s="263">
        <v>19981.980216768628</v>
      </c>
      <c r="P407" s="263">
        <v>25784.04</v>
      </c>
      <c r="Q407" s="263">
        <v>28945.211379304616</v>
      </c>
      <c r="R407" s="263">
        <v>31440.96282069623</v>
      </c>
      <c r="S407" s="263">
        <v>32961.182832414226</v>
      </c>
      <c r="T407" s="263">
        <v>35567.539117062282</v>
      </c>
      <c r="U407" s="263">
        <f t="shared" si="210"/>
        <v>250767.74617923735</v>
      </c>
      <c r="V407" s="196" t="str">
        <f t="shared" si="218"/>
        <v>R</v>
      </c>
      <c r="W407" s="196" t="s">
        <v>1168</v>
      </c>
      <c r="X407" s="196" t="str">
        <f t="shared" si="212"/>
        <v>N</v>
      </c>
      <c r="Y407" s="197">
        <f t="shared" si="213"/>
        <v>0</v>
      </c>
      <c r="Z407" s="198"/>
      <c r="AA407" s="197">
        <f t="shared" si="219"/>
        <v>0</v>
      </c>
      <c r="AB407" s="196"/>
      <c r="AC407" s="196"/>
      <c r="AD407" s="275">
        <v>0</v>
      </c>
      <c r="AE407" s="275">
        <v>0</v>
      </c>
      <c r="AF407" s="275">
        <v>1</v>
      </c>
      <c r="AG407" s="199"/>
      <c r="AH407" s="199"/>
      <c r="AI407" s="377">
        <f t="shared" si="220"/>
        <v>0</v>
      </c>
      <c r="AJ407" s="203"/>
      <c r="AK407" s="203"/>
      <c r="AL407" s="197">
        <f t="shared" si="214"/>
        <v>0</v>
      </c>
      <c r="AM407" s="197">
        <f t="shared" si="215"/>
        <v>0</v>
      </c>
      <c r="AN407" s="197">
        <f t="shared" si="216"/>
        <v>0</v>
      </c>
      <c r="AO407" s="202"/>
      <c r="AP407" s="161" t="s">
        <v>3900</v>
      </c>
      <c r="AQ407" s="279"/>
      <c r="AR407" s="287">
        <f t="shared" si="221"/>
        <v>0</v>
      </c>
      <c r="AS407" s="287">
        <f t="shared" si="222"/>
        <v>0</v>
      </c>
      <c r="AT407" s="287">
        <f t="shared" si="223"/>
        <v>0</v>
      </c>
      <c r="AU407" s="287">
        <f t="shared" si="224"/>
        <v>0</v>
      </c>
      <c r="AV407" s="287">
        <f t="shared" si="225"/>
        <v>0</v>
      </c>
      <c r="AW407" s="287">
        <f t="shared" si="226"/>
        <v>0</v>
      </c>
      <c r="AX407" s="287">
        <f t="shared" si="227"/>
        <v>0</v>
      </c>
      <c r="AY407" s="287">
        <f t="shared" si="228"/>
        <v>0</v>
      </c>
      <c r="AZ407" s="287">
        <f t="shared" si="229"/>
        <v>0</v>
      </c>
      <c r="BA407" s="287">
        <f t="shared" si="230"/>
        <v>0</v>
      </c>
      <c r="BB407" s="16"/>
      <c r="BC407" s="287">
        <f t="shared" si="231"/>
        <v>0</v>
      </c>
      <c r="BD407" s="287">
        <f t="shared" si="232"/>
        <v>0</v>
      </c>
      <c r="BE407" s="287">
        <f t="shared" si="233"/>
        <v>0</v>
      </c>
      <c r="BF407" s="287">
        <f t="shared" si="234"/>
        <v>0</v>
      </c>
      <c r="BG407" s="287">
        <f t="shared" si="235"/>
        <v>0</v>
      </c>
      <c r="BH407" s="287">
        <f t="shared" si="236"/>
        <v>0</v>
      </c>
      <c r="BI407" s="287">
        <f t="shared" si="237"/>
        <v>0</v>
      </c>
      <c r="BJ407" s="287">
        <f t="shared" si="238"/>
        <v>0</v>
      </c>
      <c r="BK407" s="287">
        <f t="shared" si="239"/>
        <v>0</v>
      </c>
      <c r="BL407" s="287">
        <f t="shared" si="240"/>
        <v>0</v>
      </c>
      <c r="BM407" s="16"/>
      <c r="BN407" s="287">
        <f t="shared" si="241"/>
        <v>0</v>
      </c>
      <c r="BO407" s="287">
        <f t="shared" si="242"/>
        <v>0</v>
      </c>
      <c r="BP407" s="432"/>
      <c r="BQ407" s="21"/>
      <c r="BR407" s="21"/>
      <c r="BS407" s="39" t="e">
        <v>#VALUE!</v>
      </c>
      <c r="BT407" s="39"/>
      <c r="BU407" s="334">
        <v>10020400</v>
      </c>
      <c r="BV407" s="334">
        <v>0</v>
      </c>
      <c r="BW407" s="39"/>
      <c r="BX407" s="39"/>
      <c r="BY407" s="39"/>
      <c r="BZ407" s="39">
        <v>394</v>
      </c>
      <c r="CA407" s="39" t="str">
        <f t="shared" si="243"/>
        <v/>
      </c>
      <c r="CB407" s="39"/>
      <c r="CC407" s="39"/>
      <c r="CD407" s="39"/>
      <c r="CE407" s="39"/>
      <c r="CF407" s="39"/>
      <c r="CG407" s="39"/>
      <c r="CH407" s="39"/>
      <c r="CI407" s="39"/>
      <c r="CJ407" s="39"/>
      <c r="CK407" s="39"/>
    </row>
    <row r="408" spans="1:89" s="193" customFormat="1">
      <c r="A408" s="195"/>
      <c r="B408" s="21" t="str">
        <f t="shared" si="217"/>
        <v>N/A</v>
      </c>
      <c r="C408" s="21"/>
      <c r="D408" s="432"/>
      <c r="E408" s="439" t="s">
        <v>3626</v>
      </c>
      <c r="F408" s="439"/>
      <c r="G408" s="273" t="s">
        <v>3083</v>
      </c>
      <c r="H408" s="358"/>
      <c r="I408" s="262" t="s">
        <v>3161</v>
      </c>
      <c r="J408" s="262"/>
      <c r="K408" s="263">
        <v>1160989.2</v>
      </c>
      <c r="L408" s="263">
        <v>1108052.2189334626</v>
      </c>
      <c r="M408" s="263">
        <v>1140654.6501902277</v>
      </c>
      <c r="N408" s="263">
        <v>1171671.5791475989</v>
      </c>
      <c r="O408" s="263">
        <v>1203162.2775757045</v>
      </c>
      <c r="P408" s="263">
        <v>1552518.26</v>
      </c>
      <c r="Q408" s="263">
        <v>1742859.6599238252</v>
      </c>
      <c r="R408" s="263">
        <v>1893133.9970906742</v>
      </c>
      <c r="S408" s="263">
        <v>1984670.7304059749</v>
      </c>
      <c r="T408" s="263">
        <v>2141605.3197947606</v>
      </c>
      <c r="U408" s="263">
        <f t="shared" si="210"/>
        <v>15099317.893062228</v>
      </c>
      <c r="V408" s="196" t="str">
        <f t="shared" si="218"/>
        <v>R</v>
      </c>
      <c r="W408" s="196" t="s">
        <v>1168</v>
      </c>
      <c r="X408" s="196" t="str">
        <f t="shared" si="212"/>
        <v>N</v>
      </c>
      <c r="Y408" s="197">
        <f t="shared" si="213"/>
        <v>0</v>
      </c>
      <c r="Z408" s="198"/>
      <c r="AA408" s="197">
        <f t="shared" si="219"/>
        <v>0</v>
      </c>
      <c r="AB408" s="196"/>
      <c r="AC408" s="196"/>
      <c r="AD408" s="275">
        <v>0</v>
      </c>
      <c r="AE408" s="275">
        <v>0</v>
      </c>
      <c r="AF408" s="275">
        <v>1</v>
      </c>
      <c r="AG408" s="199"/>
      <c r="AH408" s="199"/>
      <c r="AI408" s="377">
        <f t="shared" si="220"/>
        <v>0</v>
      </c>
      <c r="AJ408" s="203"/>
      <c r="AK408" s="203"/>
      <c r="AL408" s="197">
        <f t="shared" si="214"/>
        <v>0</v>
      </c>
      <c r="AM408" s="197">
        <f t="shared" si="215"/>
        <v>0</v>
      </c>
      <c r="AN408" s="197">
        <f t="shared" si="216"/>
        <v>0</v>
      </c>
      <c r="AO408" s="202"/>
      <c r="AP408" s="161" t="s">
        <v>3900</v>
      </c>
      <c r="AQ408" s="279"/>
      <c r="AR408" s="287">
        <f t="shared" si="221"/>
        <v>0</v>
      </c>
      <c r="AS408" s="287">
        <f t="shared" si="222"/>
        <v>0</v>
      </c>
      <c r="AT408" s="287">
        <f t="shared" si="223"/>
        <v>0</v>
      </c>
      <c r="AU408" s="287">
        <f t="shared" si="224"/>
        <v>0</v>
      </c>
      <c r="AV408" s="287">
        <f t="shared" si="225"/>
        <v>0</v>
      </c>
      <c r="AW408" s="287">
        <f t="shared" si="226"/>
        <v>0</v>
      </c>
      <c r="AX408" s="287">
        <f t="shared" si="227"/>
        <v>0</v>
      </c>
      <c r="AY408" s="287">
        <f t="shared" si="228"/>
        <v>0</v>
      </c>
      <c r="AZ408" s="287">
        <f t="shared" si="229"/>
        <v>0</v>
      </c>
      <c r="BA408" s="287">
        <f t="shared" si="230"/>
        <v>0</v>
      </c>
      <c r="BB408" s="16"/>
      <c r="BC408" s="287">
        <f t="shared" si="231"/>
        <v>0</v>
      </c>
      <c r="BD408" s="287">
        <f t="shared" si="232"/>
        <v>0</v>
      </c>
      <c r="BE408" s="287">
        <f t="shared" si="233"/>
        <v>0</v>
      </c>
      <c r="BF408" s="287">
        <f t="shared" si="234"/>
        <v>0</v>
      </c>
      <c r="BG408" s="287">
        <f t="shared" si="235"/>
        <v>0</v>
      </c>
      <c r="BH408" s="287">
        <f t="shared" si="236"/>
        <v>0</v>
      </c>
      <c r="BI408" s="287">
        <f t="shared" si="237"/>
        <v>0</v>
      </c>
      <c r="BJ408" s="287">
        <f t="shared" si="238"/>
        <v>0</v>
      </c>
      <c r="BK408" s="287">
        <f t="shared" si="239"/>
        <v>0</v>
      </c>
      <c r="BL408" s="287">
        <f t="shared" si="240"/>
        <v>0</v>
      </c>
      <c r="BM408" s="16"/>
      <c r="BN408" s="287">
        <f t="shared" si="241"/>
        <v>0</v>
      </c>
      <c r="BO408" s="287">
        <f t="shared" si="242"/>
        <v>0</v>
      </c>
      <c r="BP408" s="432"/>
      <c r="BQ408" s="21"/>
      <c r="BR408" s="21"/>
      <c r="BS408" s="39" t="e">
        <v>#VALUE!</v>
      </c>
      <c r="BT408" s="39"/>
      <c r="BU408" s="334">
        <v>17577999.999999996</v>
      </c>
      <c r="BV408" s="334">
        <v>0</v>
      </c>
      <c r="BW408" s="39"/>
      <c r="BX408" s="39"/>
      <c r="BY408" s="39"/>
      <c r="BZ408" s="39">
        <v>395</v>
      </c>
      <c r="CA408" s="39" t="str">
        <f t="shared" si="243"/>
        <v/>
      </c>
      <c r="CB408" s="39"/>
      <c r="CC408" s="39"/>
      <c r="CD408" s="39"/>
      <c r="CE408" s="39"/>
      <c r="CF408" s="39"/>
      <c r="CG408" s="39"/>
      <c r="CH408" s="39"/>
      <c r="CI408" s="39"/>
      <c r="CJ408" s="39"/>
      <c r="CK408" s="39"/>
    </row>
    <row r="409" spans="1:89" s="193" customFormat="1">
      <c r="A409" s="195"/>
      <c r="B409" s="21" t="str">
        <f t="shared" si="217"/>
        <v>N/A</v>
      </c>
      <c r="C409" s="21"/>
      <c r="D409" s="432"/>
      <c r="E409" s="439" t="s">
        <v>3626</v>
      </c>
      <c r="F409" s="439"/>
      <c r="G409" s="273" t="s">
        <v>3084</v>
      </c>
      <c r="H409" s="358"/>
      <c r="I409" s="262" t="s">
        <v>3161</v>
      </c>
      <c r="J409" s="262"/>
      <c r="K409" s="263">
        <v>369654.48</v>
      </c>
      <c r="L409" s="263">
        <v>441007.52007126505</v>
      </c>
      <c r="M409" s="263">
        <v>597749.19389256637</v>
      </c>
      <c r="N409" s="263">
        <v>730974.89912336657</v>
      </c>
      <c r="O409" s="263">
        <v>865536.15005530929</v>
      </c>
      <c r="P409" s="263">
        <v>1189506.67</v>
      </c>
      <c r="Q409" s="263">
        <v>1426161.7242799015</v>
      </c>
      <c r="R409" s="263">
        <v>1610669.6504446131</v>
      </c>
      <c r="S409" s="263">
        <v>1835425.39426139</v>
      </c>
      <c r="T409" s="263">
        <v>2136968.641381464</v>
      </c>
      <c r="U409" s="263">
        <f t="shared" si="210"/>
        <v>11203654.323509876</v>
      </c>
      <c r="V409" s="196" t="str">
        <f t="shared" si="218"/>
        <v>R</v>
      </c>
      <c r="W409" s="196" t="s">
        <v>1168</v>
      </c>
      <c r="X409" s="196" t="str">
        <f t="shared" si="212"/>
        <v>N</v>
      </c>
      <c r="Y409" s="197">
        <f t="shared" si="213"/>
        <v>0</v>
      </c>
      <c r="Z409" s="198"/>
      <c r="AA409" s="197">
        <f t="shared" si="219"/>
        <v>0</v>
      </c>
      <c r="AB409" s="196"/>
      <c r="AC409" s="196"/>
      <c r="AD409" s="275">
        <v>0</v>
      </c>
      <c r="AE409" s="275">
        <v>0</v>
      </c>
      <c r="AF409" s="275">
        <v>1</v>
      </c>
      <c r="AG409" s="199"/>
      <c r="AH409" s="199"/>
      <c r="AI409" s="377">
        <f t="shared" si="220"/>
        <v>0</v>
      </c>
      <c r="AJ409" s="203"/>
      <c r="AK409" s="203"/>
      <c r="AL409" s="197">
        <f t="shared" si="214"/>
        <v>0</v>
      </c>
      <c r="AM409" s="197">
        <f t="shared" si="215"/>
        <v>0</v>
      </c>
      <c r="AN409" s="197">
        <f t="shared" si="216"/>
        <v>0</v>
      </c>
      <c r="AO409" s="202"/>
      <c r="AP409" s="161" t="s">
        <v>3900</v>
      </c>
      <c r="AQ409" s="279"/>
      <c r="AR409" s="287">
        <f t="shared" si="221"/>
        <v>0</v>
      </c>
      <c r="AS409" s="287">
        <f t="shared" si="222"/>
        <v>0</v>
      </c>
      <c r="AT409" s="287">
        <f t="shared" si="223"/>
        <v>0</v>
      </c>
      <c r="AU409" s="287">
        <f t="shared" si="224"/>
        <v>0</v>
      </c>
      <c r="AV409" s="287">
        <f t="shared" si="225"/>
        <v>0</v>
      </c>
      <c r="AW409" s="287">
        <f t="shared" si="226"/>
        <v>0</v>
      </c>
      <c r="AX409" s="287">
        <f t="shared" si="227"/>
        <v>0</v>
      </c>
      <c r="AY409" s="287">
        <f t="shared" si="228"/>
        <v>0</v>
      </c>
      <c r="AZ409" s="287">
        <f t="shared" si="229"/>
        <v>0</v>
      </c>
      <c r="BA409" s="287">
        <f t="shared" si="230"/>
        <v>0</v>
      </c>
      <c r="BB409" s="16"/>
      <c r="BC409" s="287">
        <f t="shared" si="231"/>
        <v>0</v>
      </c>
      <c r="BD409" s="287">
        <f t="shared" si="232"/>
        <v>0</v>
      </c>
      <c r="BE409" s="287">
        <f t="shared" si="233"/>
        <v>0</v>
      </c>
      <c r="BF409" s="287">
        <f t="shared" si="234"/>
        <v>0</v>
      </c>
      <c r="BG409" s="287">
        <f t="shared" si="235"/>
        <v>0</v>
      </c>
      <c r="BH409" s="287">
        <f t="shared" si="236"/>
        <v>0</v>
      </c>
      <c r="BI409" s="287">
        <f t="shared" si="237"/>
        <v>0</v>
      </c>
      <c r="BJ409" s="287">
        <f t="shared" si="238"/>
        <v>0</v>
      </c>
      <c r="BK409" s="287">
        <f t="shared" si="239"/>
        <v>0</v>
      </c>
      <c r="BL409" s="287">
        <f t="shared" si="240"/>
        <v>0</v>
      </c>
      <c r="BM409" s="16"/>
      <c r="BN409" s="287">
        <f t="shared" si="241"/>
        <v>0</v>
      </c>
      <c r="BO409" s="287">
        <f t="shared" si="242"/>
        <v>0</v>
      </c>
      <c r="BP409" s="432"/>
      <c r="BQ409" s="21"/>
      <c r="BR409" s="21"/>
      <c r="BS409" s="39" t="e">
        <v>#VALUE!</v>
      </c>
      <c r="BT409" s="39"/>
      <c r="BU409" s="334">
        <v>17079644.853863999</v>
      </c>
      <c r="BV409" s="334">
        <v>17079644.853863999</v>
      </c>
      <c r="BW409" s="39"/>
      <c r="BX409" s="39"/>
      <c r="BY409" s="39"/>
      <c r="BZ409" s="39">
        <v>396</v>
      </c>
      <c r="CA409" s="39" t="str">
        <f t="shared" si="243"/>
        <v/>
      </c>
      <c r="CB409" s="39"/>
      <c r="CC409" s="39"/>
      <c r="CD409" s="39"/>
      <c r="CE409" s="39"/>
      <c r="CF409" s="39"/>
      <c r="CG409" s="39"/>
      <c r="CH409" s="39"/>
      <c r="CI409" s="39"/>
      <c r="CJ409" s="39"/>
      <c r="CK409" s="39"/>
    </row>
    <row r="410" spans="1:89" s="193" customFormat="1">
      <c r="A410" s="195"/>
      <c r="B410" s="21" t="str">
        <f t="shared" si="217"/>
        <v>N/A</v>
      </c>
      <c r="C410" s="21"/>
      <c r="D410" s="432"/>
      <c r="E410" s="439" t="s">
        <v>3626</v>
      </c>
      <c r="F410" s="439"/>
      <c r="G410" s="273" t="s">
        <v>3085</v>
      </c>
      <c r="H410" s="358"/>
      <c r="I410" s="262" t="s">
        <v>3161</v>
      </c>
      <c r="J410" s="262"/>
      <c r="K410" s="263">
        <v>193362</v>
      </c>
      <c r="L410" s="263">
        <v>180944.50245065335</v>
      </c>
      <c r="M410" s="263">
        <v>182633.95189803489</v>
      </c>
      <c r="N410" s="263">
        <v>183939.68560930016</v>
      </c>
      <c r="O410" s="263">
        <v>185197.85423080393</v>
      </c>
      <c r="P410" s="263">
        <v>234309.91</v>
      </c>
      <c r="Q410" s="263">
        <v>257904.28089671611</v>
      </c>
      <c r="R410" s="263">
        <v>274675.34851196746</v>
      </c>
      <c r="S410" s="263">
        <v>282337.7725032898</v>
      </c>
      <c r="T410" s="263">
        <v>298718.5252990537</v>
      </c>
      <c r="U410" s="263">
        <f t="shared" si="210"/>
        <v>2274023.8313998193</v>
      </c>
      <c r="V410" s="196" t="str">
        <f t="shared" si="218"/>
        <v>R</v>
      </c>
      <c r="W410" s="196" t="s">
        <v>1168</v>
      </c>
      <c r="X410" s="196" t="str">
        <f t="shared" si="212"/>
        <v>N</v>
      </c>
      <c r="Y410" s="197">
        <f t="shared" si="213"/>
        <v>0</v>
      </c>
      <c r="Z410" s="198"/>
      <c r="AA410" s="197">
        <f t="shared" si="219"/>
        <v>0</v>
      </c>
      <c r="AB410" s="196"/>
      <c r="AC410" s="196"/>
      <c r="AD410" s="275">
        <v>0</v>
      </c>
      <c r="AE410" s="275">
        <v>0</v>
      </c>
      <c r="AF410" s="275">
        <v>1</v>
      </c>
      <c r="AG410" s="199"/>
      <c r="AH410" s="199"/>
      <c r="AI410" s="377">
        <f t="shared" si="220"/>
        <v>0</v>
      </c>
      <c r="AJ410" s="203"/>
      <c r="AK410" s="203"/>
      <c r="AL410" s="197">
        <f t="shared" si="214"/>
        <v>0</v>
      </c>
      <c r="AM410" s="197">
        <f t="shared" si="215"/>
        <v>0</v>
      </c>
      <c r="AN410" s="197">
        <f t="shared" si="216"/>
        <v>0</v>
      </c>
      <c r="AO410" s="202"/>
      <c r="AP410" s="161" t="s">
        <v>3900</v>
      </c>
      <c r="AQ410" s="279"/>
      <c r="AR410" s="287">
        <f t="shared" si="221"/>
        <v>0</v>
      </c>
      <c r="AS410" s="287">
        <f t="shared" si="222"/>
        <v>0</v>
      </c>
      <c r="AT410" s="287">
        <f t="shared" si="223"/>
        <v>0</v>
      </c>
      <c r="AU410" s="287">
        <f t="shared" si="224"/>
        <v>0</v>
      </c>
      <c r="AV410" s="287">
        <f t="shared" si="225"/>
        <v>0</v>
      </c>
      <c r="AW410" s="287">
        <f t="shared" si="226"/>
        <v>0</v>
      </c>
      <c r="AX410" s="287">
        <f t="shared" si="227"/>
        <v>0</v>
      </c>
      <c r="AY410" s="287">
        <f t="shared" si="228"/>
        <v>0</v>
      </c>
      <c r="AZ410" s="287">
        <f t="shared" si="229"/>
        <v>0</v>
      </c>
      <c r="BA410" s="287">
        <f t="shared" si="230"/>
        <v>0</v>
      </c>
      <c r="BB410" s="16"/>
      <c r="BC410" s="287">
        <f t="shared" si="231"/>
        <v>0</v>
      </c>
      <c r="BD410" s="287">
        <f t="shared" si="232"/>
        <v>0</v>
      </c>
      <c r="BE410" s="287">
        <f t="shared" si="233"/>
        <v>0</v>
      </c>
      <c r="BF410" s="287">
        <f t="shared" si="234"/>
        <v>0</v>
      </c>
      <c r="BG410" s="287">
        <f t="shared" si="235"/>
        <v>0</v>
      </c>
      <c r="BH410" s="287">
        <f t="shared" si="236"/>
        <v>0</v>
      </c>
      <c r="BI410" s="287">
        <f t="shared" si="237"/>
        <v>0</v>
      </c>
      <c r="BJ410" s="287">
        <f t="shared" si="238"/>
        <v>0</v>
      </c>
      <c r="BK410" s="287">
        <f t="shared" si="239"/>
        <v>0</v>
      </c>
      <c r="BL410" s="287">
        <f t="shared" si="240"/>
        <v>0</v>
      </c>
      <c r="BM410" s="16"/>
      <c r="BN410" s="287">
        <f t="shared" si="241"/>
        <v>0</v>
      </c>
      <c r="BO410" s="287">
        <f t="shared" si="242"/>
        <v>0</v>
      </c>
      <c r="BP410" s="432"/>
      <c r="BQ410" s="289"/>
      <c r="BR410" s="289"/>
      <c r="BS410" s="290" t="e">
        <v>#VALUE!</v>
      </c>
      <c r="BT410" s="290"/>
      <c r="BU410" s="335">
        <v>3718321.7661126428</v>
      </c>
      <c r="BV410" s="335">
        <v>3718321.7661126428</v>
      </c>
      <c r="BW410" s="290"/>
      <c r="BX410" s="290"/>
      <c r="BY410" s="290"/>
      <c r="BZ410" s="39">
        <v>397</v>
      </c>
      <c r="CA410" s="39" t="str">
        <f t="shared" si="243"/>
        <v/>
      </c>
      <c r="CB410" s="290"/>
      <c r="CC410" s="290"/>
      <c r="CD410" s="290"/>
      <c r="CE410" s="290"/>
      <c r="CF410" s="290"/>
      <c r="CG410" s="290"/>
      <c r="CH410" s="290"/>
      <c r="CI410" s="290"/>
      <c r="CJ410" s="290"/>
      <c r="CK410" s="290"/>
    </row>
    <row r="411" spans="1:89" s="193" customFormat="1">
      <c r="A411" s="195"/>
      <c r="B411" s="21" t="str">
        <f t="shared" si="217"/>
        <v>N/A</v>
      </c>
      <c r="C411" s="21"/>
      <c r="D411" s="432"/>
      <c r="E411" s="439" t="s">
        <v>3626</v>
      </c>
      <c r="F411" s="439"/>
      <c r="G411" s="273" t="s">
        <v>3086</v>
      </c>
      <c r="H411" s="358"/>
      <c r="I411" s="262" t="s">
        <v>3161</v>
      </c>
      <c r="J411" s="262"/>
      <c r="K411" s="263">
        <v>215437.04</v>
      </c>
      <c r="L411" s="263">
        <v>212381.06949133225</v>
      </c>
      <c r="M411" s="263">
        <v>245148.5431472249</v>
      </c>
      <c r="N411" s="263">
        <v>263105.07316392416</v>
      </c>
      <c r="O411" s="263">
        <v>280974.7857031289</v>
      </c>
      <c r="P411" s="263">
        <v>356389.33</v>
      </c>
      <c r="Q411" s="263">
        <v>401974.20641188591</v>
      </c>
      <c r="R411" s="263">
        <v>433677.93595173035</v>
      </c>
      <c r="S411" s="263">
        <v>477880.49892837997</v>
      </c>
      <c r="T411" s="263">
        <v>543165.57561707916</v>
      </c>
      <c r="U411" s="263">
        <f t="shared" si="210"/>
        <v>3430134.058414686</v>
      </c>
      <c r="V411" s="196" t="str">
        <f t="shared" si="218"/>
        <v>R</v>
      </c>
      <c r="W411" s="196" t="s">
        <v>1168</v>
      </c>
      <c r="X411" s="196" t="str">
        <f t="shared" si="212"/>
        <v>N</v>
      </c>
      <c r="Y411" s="197">
        <f t="shared" si="213"/>
        <v>0</v>
      </c>
      <c r="Z411" s="198"/>
      <c r="AA411" s="197">
        <f t="shared" si="219"/>
        <v>0</v>
      </c>
      <c r="AB411" s="196"/>
      <c r="AC411" s="196"/>
      <c r="AD411" s="275">
        <v>0</v>
      </c>
      <c r="AE411" s="275">
        <v>0</v>
      </c>
      <c r="AF411" s="275">
        <v>1</v>
      </c>
      <c r="AG411" s="199"/>
      <c r="AH411" s="199"/>
      <c r="AI411" s="377">
        <f t="shared" si="220"/>
        <v>0</v>
      </c>
      <c r="AJ411" s="203"/>
      <c r="AK411" s="203"/>
      <c r="AL411" s="197">
        <f t="shared" si="214"/>
        <v>0</v>
      </c>
      <c r="AM411" s="197">
        <f t="shared" si="215"/>
        <v>0</v>
      </c>
      <c r="AN411" s="197">
        <f t="shared" si="216"/>
        <v>0</v>
      </c>
      <c r="AO411" s="202"/>
      <c r="AP411" s="161" t="s">
        <v>3900</v>
      </c>
      <c r="AQ411" s="279"/>
      <c r="AR411" s="287">
        <f t="shared" si="221"/>
        <v>0</v>
      </c>
      <c r="AS411" s="287">
        <f t="shared" si="222"/>
        <v>0</v>
      </c>
      <c r="AT411" s="287">
        <f t="shared" si="223"/>
        <v>0</v>
      </c>
      <c r="AU411" s="287">
        <f t="shared" si="224"/>
        <v>0</v>
      </c>
      <c r="AV411" s="287">
        <f t="shared" si="225"/>
        <v>0</v>
      </c>
      <c r="AW411" s="287">
        <f t="shared" si="226"/>
        <v>0</v>
      </c>
      <c r="AX411" s="287">
        <f t="shared" si="227"/>
        <v>0</v>
      </c>
      <c r="AY411" s="287">
        <f t="shared" si="228"/>
        <v>0</v>
      </c>
      <c r="AZ411" s="287">
        <f t="shared" si="229"/>
        <v>0</v>
      </c>
      <c r="BA411" s="287">
        <f t="shared" si="230"/>
        <v>0</v>
      </c>
      <c r="BB411" s="16"/>
      <c r="BC411" s="287">
        <f t="shared" si="231"/>
        <v>0</v>
      </c>
      <c r="BD411" s="287">
        <f t="shared" si="232"/>
        <v>0</v>
      </c>
      <c r="BE411" s="287">
        <f t="shared" si="233"/>
        <v>0</v>
      </c>
      <c r="BF411" s="287">
        <f t="shared" si="234"/>
        <v>0</v>
      </c>
      <c r="BG411" s="287">
        <f t="shared" si="235"/>
        <v>0</v>
      </c>
      <c r="BH411" s="287">
        <f t="shared" si="236"/>
        <v>0</v>
      </c>
      <c r="BI411" s="287">
        <f t="shared" si="237"/>
        <v>0</v>
      </c>
      <c r="BJ411" s="287">
        <f t="shared" si="238"/>
        <v>0</v>
      </c>
      <c r="BK411" s="287">
        <f t="shared" si="239"/>
        <v>0</v>
      </c>
      <c r="BL411" s="287">
        <f t="shared" si="240"/>
        <v>0</v>
      </c>
      <c r="BM411" s="16"/>
      <c r="BN411" s="287">
        <f t="shared" si="241"/>
        <v>0</v>
      </c>
      <c r="BO411" s="287">
        <f t="shared" si="242"/>
        <v>0</v>
      </c>
      <c r="BP411" s="432"/>
      <c r="BQ411" s="21"/>
      <c r="BR411" s="21"/>
      <c r="BS411" s="39" t="e">
        <v>#VALUE!</v>
      </c>
      <c r="BT411" s="39"/>
      <c r="BU411" s="334">
        <v>7620061.1327999998</v>
      </c>
      <c r="BV411" s="334">
        <v>7620061.1327999998</v>
      </c>
      <c r="BW411" s="39"/>
      <c r="BX411" s="39"/>
      <c r="BY411" s="39"/>
      <c r="BZ411" s="39">
        <v>398</v>
      </c>
      <c r="CA411" s="39" t="str">
        <f t="shared" si="243"/>
        <v/>
      </c>
      <c r="CB411" s="39"/>
      <c r="CC411" s="39"/>
      <c r="CD411" s="39"/>
      <c r="CE411" s="39"/>
      <c r="CF411" s="39"/>
      <c r="CG411" s="39"/>
      <c r="CH411" s="39"/>
      <c r="CI411" s="39"/>
      <c r="CJ411" s="39"/>
      <c r="CK411" s="39"/>
    </row>
    <row r="412" spans="1:89" s="193" customFormat="1">
      <c r="A412" s="195"/>
      <c r="B412" s="21" t="str">
        <f t="shared" si="217"/>
        <v>N/A</v>
      </c>
      <c r="C412" s="21"/>
      <c r="D412" s="432"/>
      <c r="E412" s="439" t="s">
        <v>3626</v>
      </c>
      <c r="F412" s="439"/>
      <c r="G412" s="273" t="s">
        <v>3087</v>
      </c>
      <c r="H412" s="358"/>
      <c r="I412" s="262" t="s">
        <v>3161</v>
      </c>
      <c r="J412" s="262"/>
      <c r="K412" s="263">
        <v>9183559.3200000003</v>
      </c>
      <c r="L412" s="263">
        <v>8675918.3748720586</v>
      </c>
      <c r="M412" s="263">
        <v>8840601.1181989685</v>
      </c>
      <c r="N412" s="263">
        <v>8988885.1362871137</v>
      </c>
      <c r="O412" s="263">
        <v>9136849.6989437342</v>
      </c>
      <c r="P412" s="263">
        <v>11670280.470000001</v>
      </c>
      <c r="Q412" s="263">
        <v>12968185.930286154</v>
      </c>
      <c r="R412" s="263">
        <v>13943457.033217542</v>
      </c>
      <c r="S412" s="263">
        <v>14469376.566550709</v>
      </c>
      <c r="T412" s="263">
        <v>15455141.534991931</v>
      </c>
      <c r="U412" s="263">
        <f t="shared" si="210"/>
        <v>113332255.18334822</v>
      </c>
      <c r="V412" s="196" t="str">
        <f t="shared" si="218"/>
        <v>R</v>
      </c>
      <c r="W412" s="196" t="s">
        <v>1168</v>
      </c>
      <c r="X412" s="196" t="str">
        <f t="shared" si="212"/>
        <v>N</v>
      </c>
      <c r="Y412" s="197">
        <f t="shared" si="213"/>
        <v>0</v>
      </c>
      <c r="Z412" s="198"/>
      <c r="AA412" s="197">
        <f t="shared" si="219"/>
        <v>0</v>
      </c>
      <c r="AB412" s="196"/>
      <c r="AC412" s="196"/>
      <c r="AD412" s="275">
        <v>0</v>
      </c>
      <c r="AE412" s="275">
        <v>0</v>
      </c>
      <c r="AF412" s="275">
        <v>1</v>
      </c>
      <c r="AG412" s="199"/>
      <c r="AH412" s="199"/>
      <c r="AI412" s="377">
        <f t="shared" si="220"/>
        <v>0</v>
      </c>
      <c r="AJ412" s="203"/>
      <c r="AK412" s="203"/>
      <c r="AL412" s="197">
        <f t="shared" si="214"/>
        <v>0</v>
      </c>
      <c r="AM412" s="197">
        <f t="shared" si="215"/>
        <v>0</v>
      </c>
      <c r="AN412" s="197">
        <f t="shared" si="216"/>
        <v>0</v>
      </c>
      <c r="AO412" s="202"/>
      <c r="AP412" s="161" t="s">
        <v>3900</v>
      </c>
      <c r="AQ412" s="279"/>
      <c r="AR412" s="287">
        <f t="shared" si="221"/>
        <v>0</v>
      </c>
      <c r="AS412" s="287">
        <f t="shared" si="222"/>
        <v>0</v>
      </c>
      <c r="AT412" s="287">
        <f t="shared" si="223"/>
        <v>0</v>
      </c>
      <c r="AU412" s="287">
        <f t="shared" si="224"/>
        <v>0</v>
      </c>
      <c r="AV412" s="287">
        <f t="shared" si="225"/>
        <v>0</v>
      </c>
      <c r="AW412" s="287">
        <f t="shared" si="226"/>
        <v>0</v>
      </c>
      <c r="AX412" s="287">
        <f t="shared" si="227"/>
        <v>0</v>
      </c>
      <c r="AY412" s="287">
        <f t="shared" si="228"/>
        <v>0</v>
      </c>
      <c r="AZ412" s="287">
        <f t="shared" si="229"/>
        <v>0</v>
      </c>
      <c r="BA412" s="287">
        <f t="shared" si="230"/>
        <v>0</v>
      </c>
      <c r="BB412" s="16"/>
      <c r="BC412" s="287">
        <f t="shared" si="231"/>
        <v>0</v>
      </c>
      <c r="BD412" s="287">
        <f t="shared" si="232"/>
        <v>0</v>
      </c>
      <c r="BE412" s="287">
        <f t="shared" si="233"/>
        <v>0</v>
      </c>
      <c r="BF412" s="287">
        <f t="shared" si="234"/>
        <v>0</v>
      </c>
      <c r="BG412" s="287">
        <f t="shared" si="235"/>
        <v>0</v>
      </c>
      <c r="BH412" s="287">
        <f t="shared" si="236"/>
        <v>0</v>
      </c>
      <c r="BI412" s="287">
        <f t="shared" si="237"/>
        <v>0</v>
      </c>
      <c r="BJ412" s="287">
        <f t="shared" si="238"/>
        <v>0</v>
      </c>
      <c r="BK412" s="287">
        <f t="shared" si="239"/>
        <v>0</v>
      </c>
      <c r="BL412" s="287">
        <f t="shared" si="240"/>
        <v>0</v>
      </c>
      <c r="BM412" s="16"/>
      <c r="BN412" s="287">
        <f t="shared" si="241"/>
        <v>0</v>
      </c>
      <c r="BO412" s="287">
        <f t="shared" si="242"/>
        <v>0</v>
      </c>
      <c r="BP412" s="432"/>
      <c r="BQ412" s="21"/>
      <c r="BR412" s="21"/>
      <c r="BS412" s="39" t="e">
        <v>#VALUE!</v>
      </c>
      <c r="BT412" s="39"/>
      <c r="BU412" s="334">
        <v>-3886231.1777279996</v>
      </c>
      <c r="BV412" s="334">
        <v>-3886231.1777279996</v>
      </c>
      <c r="BW412" s="39"/>
      <c r="BX412" s="39"/>
      <c r="BY412" s="39"/>
      <c r="BZ412" s="39">
        <v>399</v>
      </c>
      <c r="CA412" s="39" t="str">
        <f t="shared" si="243"/>
        <v/>
      </c>
      <c r="CB412" s="39"/>
      <c r="CC412" s="39"/>
      <c r="CD412" s="39"/>
      <c r="CE412" s="39"/>
      <c r="CF412" s="39"/>
      <c r="CG412" s="39"/>
      <c r="CH412" s="39"/>
      <c r="CI412" s="39"/>
      <c r="CJ412" s="39"/>
      <c r="CK412" s="39"/>
    </row>
    <row r="413" spans="1:89" s="193" customFormat="1">
      <c r="A413" s="195"/>
      <c r="B413" s="21" t="str">
        <f t="shared" si="217"/>
        <v>N/A</v>
      </c>
      <c r="C413" s="21"/>
      <c r="D413" s="432"/>
      <c r="E413" s="439" t="s">
        <v>3626</v>
      </c>
      <c r="F413" s="439"/>
      <c r="G413" s="273" t="s">
        <v>3088</v>
      </c>
      <c r="H413" s="358"/>
      <c r="I413" s="262" t="s">
        <v>3161</v>
      </c>
      <c r="J413" s="262"/>
      <c r="K413" s="263">
        <v>11041513.6</v>
      </c>
      <c r="L413" s="263">
        <v>11227956.042862186</v>
      </c>
      <c r="M413" s="263">
        <v>13080236.059099304</v>
      </c>
      <c r="N413" s="263">
        <v>13442763.639036156</v>
      </c>
      <c r="O413" s="263">
        <v>13492900.146294732</v>
      </c>
      <c r="P413" s="263">
        <v>15818701.41</v>
      </c>
      <c r="Q413" s="263">
        <v>15260153.369865553</v>
      </c>
      <c r="R413" s="263">
        <v>15388316.384023009</v>
      </c>
      <c r="S413" s="263">
        <v>16090540.476002583</v>
      </c>
      <c r="T413" s="263">
        <v>17333039.228697006</v>
      </c>
      <c r="U413" s="263">
        <f t="shared" ref="U413:U476" si="244">SUM(K413:T413)</f>
        <v>142176120.35588053</v>
      </c>
      <c r="V413" s="196" t="str">
        <f t="shared" si="218"/>
        <v>R</v>
      </c>
      <c r="W413" s="196" t="s">
        <v>1168</v>
      </c>
      <c r="X413" s="196" t="str">
        <f t="shared" si="212"/>
        <v>N</v>
      </c>
      <c r="Y413" s="197">
        <f t="shared" si="213"/>
        <v>0</v>
      </c>
      <c r="Z413" s="198"/>
      <c r="AA413" s="197">
        <f t="shared" si="219"/>
        <v>0</v>
      </c>
      <c r="AB413" s="196"/>
      <c r="AC413" s="196"/>
      <c r="AD413" s="275">
        <v>0</v>
      </c>
      <c r="AE413" s="275">
        <v>0</v>
      </c>
      <c r="AF413" s="275">
        <v>1</v>
      </c>
      <c r="AG413" s="199"/>
      <c r="AH413" s="199"/>
      <c r="AI413" s="377">
        <f t="shared" si="220"/>
        <v>0</v>
      </c>
      <c r="AJ413" s="203"/>
      <c r="AK413" s="203"/>
      <c r="AL413" s="197">
        <f t="shared" si="214"/>
        <v>0</v>
      </c>
      <c r="AM413" s="197">
        <f t="shared" si="215"/>
        <v>0</v>
      </c>
      <c r="AN413" s="197">
        <f t="shared" si="216"/>
        <v>0</v>
      </c>
      <c r="AO413" s="202"/>
      <c r="AP413" s="161" t="s">
        <v>3900</v>
      </c>
      <c r="AQ413" s="279"/>
      <c r="AR413" s="287">
        <f t="shared" si="221"/>
        <v>0</v>
      </c>
      <c r="AS413" s="287">
        <f t="shared" si="222"/>
        <v>0</v>
      </c>
      <c r="AT413" s="287">
        <f t="shared" si="223"/>
        <v>0</v>
      </c>
      <c r="AU413" s="287">
        <f t="shared" si="224"/>
        <v>0</v>
      </c>
      <c r="AV413" s="287">
        <f t="shared" si="225"/>
        <v>0</v>
      </c>
      <c r="AW413" s="287">
        <f t="shared" si="226"/>
        <v>0</v>
      </c>
      <c r="AX413" s="287">
        <f t="shared" si="227"/>
        <v>0</v>
      </c>
      <c r="AY413" s="287">
        <f t="shared" si="228"/>
        <v>0</v>
      </c>
      <c r="AZ413" s="287">
        <f t="shared" si="229"/>
        <v>0</v>
      </c>
      <c r="BA413" s="287">
        <f t="shared" si="230"/>
        <v>0</v>
      </c>
      <c r="BB413" s="16"/>
      <c r="BC413" s="287">
        <f t="shared" si="231"/>
        <v>0</v>
      </c>
      <c r="BD413" s="287">
        <f t="shared" si="232"/>
        <v>0</v>
      </c>
      <c r="BE413" s="287">
        <f t="shared" si="233"/>
        <v>0</v>
      </c>
      <c r="BF413" s="287">
        <f t="shared" si="234"/>
        <v>0</v>
      </c>
      <c r="BG413" s="287">
        <f t="shared" si="235"/>
        <v>0</v>
      </c>
      <c r="BH413" s="287">
        <f t="shared" si="236"/>
        <v>0</v>
      </c>
      <c r="BI413" s="287">
        <f t="shared" si="237"/>
        <v>0</v>
      </c>
      <c r="BJ413" s="287">
        <f t="shared" si="238"/>
        <v>0</v>
      </c>
      <c r="BK413" s="287">
        <f t="shared" si="239"/>
        <v>0</v>
      </c>
      <c r="BL413" s="287">
        <f t="shared" si="240"/>
        <v>0</v>
      </c>
      <c r="BM413" s="16"/>
      <c r="BN413" s="287">
        <f t="shared" si="241"/>
        <v>0</v>
      </c>
      <c r="BO413" s="287">
        <f t="shared" si="242"/>
        <v>0</v>
      </c>
      <c r="BP413" s="432"/>
      <c r="BQ413" s="21"/>
      <c r="BR413" s="21"/>
      <c r="BS413" s="39" t="e">
        <v>#VALUE!</v>
      </c>
      <c r="BT413" s="39"/>
      <c r="BU413" s="334">
        <v>38749162.605399996</v>
      </c>
      <c r="BV413" s="334">
        <v>0</v>
      </c>
      <c r="BW413" s="39"/>
      <c r="BX413" s="39"/>
      <c r="BY413" s="39"/>
      <c r="BZ413" s="39">
        <v>400</v>
      </c>
      <c r="CA413" s="39" t="str">
        <f t="shared" si="243"/>
        <v/>
      </c>
      <c r="CB413" s="39"/>
      <c r="CC413" s="39"/>
      <c r="CD413" s="39"/>
      <c r="CE413" s="39"/>
      <c r="CF413" s="39"/>
      <c r="CG413" s="39"/>
      <c r="CH413" s="39"/>
      <c r="CI413" s="39"/>
      <c r="CJ413" s="39"/>
      <c r="CK413" s="39"/>
    </row>
    <row r="414" spans="1:89" s="193" customFormat="1">
      <c r="A414" s="195"/>
      <c r="B414" s="21" t="str">
        <f t="shared" si="217"/>
        <v>N/A</v>
      </c>
      <c r="C414" s="21"/>
      <c r="D414" s="432"/>
      <c r="E414" s="439" t="s">
        <v>3626</v>
      </c>
      <c r="F414" s="439" t="s">
        <v>4014</v>
      </c>
      <c r="G414" s="273" t="s">
        <v>4013</v>
      </c>
      <c r="H414" s="358"/>
      <c r="I414" s="262" t="s">
        <v>3491</v>
      </c>
      <c r="J414" s="262" t="s">
        <v>4201</v>
      </c>
      <c r="K414" s="263">
        <v>18000</v>
      </c>
      <c r="L414" s="263">
        <v>1377000</v>
      </c>
      <c r="M414" s="263">
        <v>66000</v>
      </c>
      <c r="N414" s="263">
        <v>0</v>
      </c>
      <c r="O414" s="263">
        <v>0</v>
      </c>
      <c r="P414" s="263">
        <v>0</v>
      </c>
      <c r="Q414" s="263">
        <v>0</v>
      </c>
      <c r="R414" s="263">
        <v>0</v>
      </c>
      <c r="S414" s="263">
        <v>0</v>
      </c>
      <c r="T414" s="263">
        <v>0</v>
      </c>
      <c r="U414" s="263">
        <f t="shared" si="244"/>
        <v>1461000</v>
      </c>
      <c r="V414" s="196" t="str">
        <f t="shared" si="218"/>
        <v>LOS</v>
      </c>
      <c r="W414" s="196" t="s">
        <v>1168</v>
      </c>
      <c r="X414" s="196" t="str">
        <f t="shared" si="212"/>
        <v>N</v>
      </c>
      <c r="Y414" s="197">
        <f>SUM(K414:T414)</f>
        <v>1461000</v>
      </c>
      <c r="Z414" s="198"/>
      <c r="AA414" s="197">
        <f t="shared" si="219"/>
        <v>1461000</v>
      </c>
      <c r="AB414" s="196"/>
      <c r="AC414" s="196"/>
      <c r="AD414" s="275">
        <v>0</v>
      </c>
      <c r="AE414" s="275">
        <v>1</v>
      </c>
      <c r="AF414" s="275">
        <v>0</v>
      </c>
      <c r="AG414" s="442"/>
      <c r="AH414" s="442"/>
      <c r="AI414" s="200">
        <f t="shared" si="220"/>
        <v>0</v>
      </c>
      <c r="AJ414" s="203"/>
      <c r="AK414" s="203"/>
      <c r="AL414" s="197">
        <f t="shared" si="214"/>
        <v>1461000</v>
      </c>
      <c r="AM414" s="197">
        <f t="shared" si="215"/>
        <v>0</v>
      </c>
      <c r="AN414" s="197">
        <f t="shared" si="216"/>
        <v>0</v>
      </c>
      <c r="AO414" s="202"/>
      <c r="AP414" s="161" t="s">
        <v>3900</v>
      </c>
      <c r="AQ414" s="279"/>
      <c r="AR414" s="287">
        <f t="shared" si="221"/>
        <v>0</v>
      </c>
      <c r="AS414" s="287">
        <f t="shared" si="222"/>
        <v>0</v>
      </c>
      <c r="AT414" s="287">
        <f t="shared" si="223"/>
        <v>0</v>
      </c>
      <c r="AU414" s="287">
        <f t="shared" si="224"/>
        <v>0</v>
      </c>
      <c r="AV414" s="287">
        <f t="shared" si="225"/>
        <v>0</v>
      </c>
      <c r="AW414" s="287">
        <f t="shared" si="226"/>
        <v>0</v>
      </c>
      <c r="AX414" s="287">
        <f t="shared" si="227"/>
        <v>0</v>
      </c>
      <c r="AY414" s="287">
        <f t="shared" si="228"/>
        <v>0</v>
      </c>
      <c r="AZ414" s="287">
        <f t="shared" si="229"/>
        <v>0</v>
      </c>
      <c r="BA414" s="287">
        <f t="shared" si="230"/>
        <v>0</v>
      </c>
      <c r="BB414" s="16"/>
      <c r="BC414" s="287">
        <f t="shared" si="231"/>
        <v>0</v>
      </c>
      <c r="BD414" s="287">
        <f t="shared" si="232"/>
        <v>0</v>
      </c>
      <c r="BE414" s="287">
        <f t="shared" si="233"/>
        <v>0</v>
      </c>
      <c r="BF414" s="287">
        <f t="shared" si="234"/>
        <v>0</v>
      </c>
      <c r="BG414" s="287">
        <f t="shared" si="235"/>
        <v>0</v>
      </c>
      <c r="BH414" s="287">
        <f t="shared" si="236"/>
        <v>0</v>
      </c>
      <c r="BI414" s="287">
        <f t="shared" si="237"/>
        <v>0</v>
      </c>
      <c r="BJ414" s="287">
        <f t="shared" si="238"/>
        <v>0</v>
      </c>
      <c r="BK414" s="287">
        <f t="shared" si="239"/>
        <v>0</v>
      </c>
      <c r="BL414" s="287">
        <f t="shared" si="240"/>
        <v>0</v>
      </c>
      <c r="BM414" s="16"/>
      <c r="BN414" s="287">
        <f t="shared" si="241"/>
        <v>0</v>
      </c>
      <c r="BO414" s="287">
        <f t="shared" si="242"/>
        <v>0</v>
      </c>
      <c r="BP414" s="432"/>
      <c r="BQ414" s="21"/>
      <c r="BR414" s="21"/>
      <c r="BS414" s="39"/>
      <c r="BT414" s="39"/>
      <c r="BU414" s="39"/>
      <c r="BV414" s="39"/>
      <c r="BW414" s="39"/>
      <c r="BX414" s="39"/>
      <c r="BY414" s="39"/>
      <c r="BZ414" s="39">
        <v>401</v>
      </c>
      <c r="CA414" s="39" t="str">
        <f t="shared" si="243"/>
        <v/>
      </c>
      <c r="CB414" s="39"/>
      <c r="CC414" s="39"/>
      <c r="CD414" s="39"/>
      <c r="CE414" s="39"/>
      <c r="CF414" s="39"/>
      <c r="CG414" s="39"/>
      <c r="CH414" s="39"/>
      <c r="CI414" s="39"/>
      <c r="CJ414" s="39"/>
      <c r="CK414" s="39"/>
    </row>
    <row r="415" spans="1:89" s="193" customFormat="1">
      <c r="A415" s="195"/>
      <c r="B415" s="21" t="str">
        <f t="shared" si="217"/>
        <v>N/A</v>
      </c>
      <c r="C415" s="21"/>
      <c r="D415" s="432"/>
      <c r="E415" s="439" t="s">
        <v>3626</v>
      </c>
      <c r="F415" s="439"/>
      <c r="G415" s="273" t="s">
        <v>3089</v>
      </c>
      <c r="H415" s="358"/>
      <c r="I415" s="262" t="s">
        <v>3162</v>
      </c>
      <c r="J415" s="262"/>
      <c r="K415" s="263">
        <v>5760000</v>
      </c>
      <c r="L415" s="263">
        <v>5241600</v>
      </c>
      <c r="M415" s="263">
        <v>5587776</v>
      </c>
      <c r="N415" s="263">
        <v>6388653.5999999996</v>
      </c>
      <c r="O415" s="263">
        <v>6057598.176</v>
      </c>
      <c r="P415" s="263">
        <v>9125764.7903999984</v>
      </c>
      <c r="Q415" s="263">
        <v>8254586.1323519992</v>
      </c>
      <c r="R415" s="263">
        <v>7496843.1753859203</v>
      </c>
      <c r="S415" s="263">
        <v>9907332.0945344921</v>
      </c>
      <c r="T415" s="263">
        <v>8179846.0313275866</v>
      </c>
      <c r="U415" s="263">
        <f t="shared" si="244"/>
        <v>72000000</v>
      </c>
      <c r="V415" s="196" t="str">
        <f t="shared" si="218"/>
        <v>LOS</v>
      </c>
      <c r="W415" s="196" t="s">
        <v>1168</v>
      </c>
      <c r="X415" s="196" t="str">
        <f t="shared" si="212"/>
        <v>N</v>
      </c>
      <c r="Y415" s="197">
        <f t="shared" ref="Y415:Y421" si="245">IF(X415="N",0,SUM(K415:T415))</f>
        <v>0</v>
      </c>
      <c r="Z415" s="198"/>
      <c r="AA415" s="197">
        <f t="shared" si="219"/>
        <v>0</v>
      </c>
      <c r="AB415" s="196"/>
      <c r="AC415" s="196"/>
      <c r="AD415" s="275">
        <v>0</v>
      </c>
      <c r="AE415" s="275">
        <v>1</v>
      </c>
      <c r="AF415" s="275">
        <v>0</v>
      </c>
      <c r="AG415" s="199"/>
      <c r="AH415" s="199"/>
      <c r="AI415" s="377">
        <f t="shared" si="220"/>
        <v>0</v>
      </c>
      <c r="AJ415" s="203"/>
      <c r="AK415" s="203"/>
      <c r="AL415" s="197">
        <f t="shared" si="214"/>
        <v>0</v>
      </c>
      <c r="AM415" s="197">
        <f t="shared" si="215"/>
        <v>0</v>
      </c>
      <c r="AN415" s="197">
        <f t="shared" si="216"/>
        <v>0</v>
      </c>
      <c r="AO415" s="202"/>
      <c r="AP415" s="161" t="s">
        <v>3900</v>
      </c>
      <c r="AQ415" s="279"/>
      <c r="AR415" s="287">
        <f t="shared" si="221"/>
        <v>0</v>
      </c>
      <c r="AS415" s="287">
        <f t="shared" si="222"/>
        <v>0</v>
      </c>
      <c r="AT415" s="287">
        <f t="shared" si="223"/>
        <v>0</v>
      </c>
      <c r="AU415" s="287">
        <f t="shared" si="224"/>
        <v>0</v>
      </c>
      <c r="AV415" s="287">
        <f t="shared" si="225"/>
        <v>0</v>
      </c>
      <c r="AW415" s="287">
        <f t="shared" si="226"/>
        <v>0</v>
      </c>
      <c r="AX415" s="287">
        <f t="shared" si="227"/>
        <v>0</v>
      </c>
      <c r="AY415" s="287">
        <f t="shared" si="228"/>
        <v>0</v>
      </c>
      <c r="AZ415" s="287">
        <f t="shared" si="229"/>
        <v>0</v>
      </c>
      <c r="BA415" s="287">
        <f t="shared" si="230"/>
        <v>0</v>
      </c>
      <c r="BB415" s="16"/>
      <c r="BC415" s="287">
        <f t="shared" si="231"/>
        <v>0</v>
      </c>
      <c r="BD415" s="287">
        <f t="shared" si="232"/>
        <v>0</v>
      </c>
      <c r="BE415" s="287">
        <f t="shared" si="233"/>
        <v>0</v>
      </c>
      <c r="BF415" s="287">
        <f t="shared" si="234"/>
        <v>0</v>
      </c>
      <c r="BG415" s="287">
        <f t="shared" si="235"/>
        <v>0</v>
      </c>
      <c r="BH415" s="287">
        <f t="shared" si="236"/>
        <v>0</v>
      </c>
      <c r="BI415" s="287">
        <f t="shared" si="237"/>
        <v>0</v>
      </c>
      <c r="BJ415" s="287">
        <f t="shared" si="238"/>
        <v>0</v>
      </c>
      <c r="BK415" s="287">
        <f t="shared" si="239"/>
        <v>0</v>
      </c>
      <c r="BL415" s="287">
        <f t="shared" si="240"/>
        <v>0</v>
      </c>
      <c r="BM415" s="16"/>
      <c r="BN415" s="287">
        <f t="shared" si="241"/>
        <v>0</v>
      </c>
      <c r="BO415" s="287">
        <f t="shared" si="242"/>
        <v>0</v>
      </c>
      <c r="BP415" s="432"/>
      <c r="BQ415" s="21"/>
      <c r="BR415" s="21"/>
      <c r="BS415" s="39" t="e">
        <v>#VALUE!</v>
      </c>
      <c r="BT415" s="39"/>
      <c r="BU415" s="334">
        <v>78584999.934503511</v>
      </c>
      <c r="BV415" s="334">
        <v>78584999.934503511</v>
      </c>
      <c r="BW415" s="39"/>
      <c r="BX415" s="39"/>
      <c r="BY415" s="39"/>
      <c r="BZ415" s="39">
        <v>402</v>
      </c>
      <c r="CA415" s="39" t="str">
        <f t="shared" si="243"/>
        <v/>
      </c>
      <c r="CB415" s="39"/>
      <c r="CC415" s="39"/>
      <c r="CD415" s="39"/>
      <c r="CE415" s="39"/>
      <c r="CF415" s="39"/>
      <c r="CG415" s="39"/>
      <c r="CH415" s="39"/>
      <c r="CI415" s="39"/>
      <c r="CJ415" s="39"/>
      <c r="CK415" s="39"/>
    </row>
    <row r="416" spans="1:89" s="193" customFormat="1">
      <c r="A416" s="195"/>
      <c r="B416" s="21" t="str">
        <f t="shared" si="217"/>
        <v>N/A</v>
      </c>
      <c r="C416" s="21"/>
      <c r="D416" s="432"/>
      <c r="E416" s="439" t="s">
        <v>3626</v>
      </c>
      <c r="F416" s="439"/>
      <c r="G416" s="273" t="s">
        <v>3090</v>
      </c>
      <c r="H416" s="358"/>
      <c r="I416" s="262" t="s">
        <v>3158</v>
      </c>
      <c r="J416" s="262"/>
      <c r="K416" s="263">
        <v>3120000</v>
      </c>
      <c r="L416" s="263">
        <v>2952768</v>
      </c>
      <c r="M416" s="263">
        <v>2541760</v>
      </c>
      <c r="N416" s="263">
        <v>0</v>
      </c>
      <c r="O416" s="263">
        <v>0</v>
      </c>
      <c r="P416" s="263">
        <v>0</v>
      </c>
      <c r="Q416" s="263">
        <v>0</v>
      </c>
      <c r="R416" s="263">
        <v>0</v>
      </c>
      <c r="S416" s="263">
        <v>0</v>
      </c>
      <c r="T416" s="263">
        <v>0</v>
      </c>
      <c r="U416" s="263">
        <f t="shared" si="244"/>
        <v>8614528</v>
      </c>
      <c r="V416" s="196" t="str">
        <f t="shared" si="218"/>
        <v>LOS</v>
      </c>
      <c r="W416" s="196" t="s">
        <v>1168</v>
      </c>
      <c r="X416" s="196" t="str">
        <f t="shared" si="212"/>
        <v>N</v>
      </c>
      <c r="Y416" s="197">
        <f t="shared" si="245"/>
        <v>0</v>
      </c>
      <c r="Z416" s="198"/>
      <c r="AA416" s="197">
        <f t="shared" si="219"/>
        <v>0</v>
      </c>
      <c r="AB416" s="196"/>
      <c r="AC416" s="196"/>
      <c r="AD416" s="275">
        <v>0</v>
      </c>
      <c r="AE416" s="275">
        <v>1</v>
      </c>
      <c r="AF416" s="275">
        <v>0</v>
      </c>
      <c r="AG416" s="199"/>
      <c r="AH416" s="199"/>
      <c r="AI416" s="377">
        <f t="shared" si="220"/>
        <v>0</v>
      </c>
      <c r="AJ416" s="203"/>
      <c r="AK416" s="203"/>
      <c r="AL416" s="197">
        <f t="shared" si="214"/>
        <v>0</v>
      </c>
      <c r="AM416" s="197">
        <f t="shared" si="215"/>
        <v>0</v>
      </c>
      <c r="AN416" s="197">
        <f t="shared" si="216"/>
        <v>0</v>
      </c>
      <c r="AO416" s="202"/>
      <c r="AP416" s="161" t="s">
        <v>3900</v>
      </c>
      <c r="AQ416" s="279"/>
      <c r="AR416" s="287">
        <f t="shared" si="221"/>
        <v>0</v>
      </c>
      <c r="AS416" s="287">
        <f t="shared" si="222"/>
        <v>0</v>
      </c>
      <c r="AT416" s="287">
        <f t="shared" si="223"/>
        <v>0</v>
      </c>
      <c r="AU416" s="287">
        <f t="shared" si="224"/>
        <v>0</v>
      </c>
      <c r="AV416" s="287">
        <f t="shared" si="225"/>
        <v>0</v>
      </c>
      <c r="AW416" s="287">
        <f t="shared" si="226"/>
        <v>0</v>
      </c>
      <c r="AX416" s="287">
        <f t="shared" si="227"/>
        <v>0</v>
      </c>
      <c r="AY416" s="287">
        <f t="shared" si="228"/>
        <v>0</v>
      </c>
      <c r="AZ416" s="287">
        <f t="shared" si="229"/>
        <v>0</v>
      </c>
      <c r="BA416" s="287">
        <f t="shared" si="230"/>
        <v>0</v>
      </c>
      <c r="BB416" s="16"/>
      <c r="BC416" s="287">
        <f t="shared" si="231"/>
        <v>0</v>
      </c>
      <c r="BD416" s="287">
        <f t="shared" si="232"/>
        <v>0</v>
      </c>
      <c r="BE416" s="287">
        <f t="shared" si="233"/>
        <v>0</v>
      </c>
      <c r="BF416" s="287">
        <f t="shared" si="234"/>
        <v>0</v>
      </c>
      <c r="BG416" s="287">
        <f t="shared" si="235"/>
        <v>0</v>
      </c>
      <c r="BH416" s="287">
        <f t="shared" si="236"/>
        <v>0</v>
      </c>
      <c r="BI416" s="287">
        <f t="shared" si="237"/>
        <v>0</v>
      </c>
      <c r="BJ416" s="287">
        <f t="shared" si="238"/>
        <v>0</v>
      </c>
      <c r="BK416" s="287">
        <f t="shared" si="239"/>
        <v>0</v>
      </c>
      <c r="BL416" s="287">
        <f t="shared" si="240"/>
        <v>0</v>
      </c>
      <c r="BM416" s="16"/>
      <c r="BN416" s="287">
        <f t="shared" si="241"/>
        <v>0</v>
      </c>
      <c r="BO416" s="287">
        <f t="shared" si="242"/>
        <v>0</v>
      </c>
      <c r="BP416" s="432"/>
      <c r="BQ416" s="21"/>
      <c r="BR416" s="21"/>
      <c r="BS416" s="39" t="e">
        <v>#VALUE!</v>
      </c>
      <c r="BT416" s="39"/>
      <c r="BU416" s="334">
        <v>28764000</v>
      </c>
      <c r="BV416" s="334">
        <v>0</v>
      </c>
      <c r="BW416" s="39"/>
      <c r="BX416" s="39"/>
      <c r="BY416" s="39"/>
      <c r="BZ416" s="39">
        <v>403</v>
      </c>
      <c r="CA416" s="39" t="str">
        <f t="shared" si="243"/>
        <v/>
      </c>
      <c r="CB416" s="39"/>
      <c r="CC416" s="39"/>
      <c r="CD416" s="39"/>
      <c r="CE416" s="39"/>
      <c r="CF416" s="39"/>
      <c r="CG416" s="39"/>
      <c r="CH416" s="39"/>
      <c r="CI416" s="39"/>
      <c r="CJ416" s="39"/>
      <c r="CK416" s="39"/>
    </row>
    <row r="417" spans="1:89" s="193" customFormat="1">
      <c r="A417" s="195"/>
      <c r="B417" s="21" t="str">
        <f t="shared" si="217"/>
        <v>N/A</v>
      </c>
      <c r="C417" s="21"/>
      <c r="D417" s="432"/>
      <c r="E417" s="439" t="s">
        <v>3626</v>
      </c>
      <c r="F417" s="439"/>
      <c r="G417" s="273" t="s">
        <v>3091</v>
      </c>
      <c r="H417" s="358"/>
      <c r="I417" s="262" t="s">
        <v>3161</v>
      </c>
      <c r="J417" s="262"/>
      <c r="K417" s="263">
        <v>343805.77</v>
      </c>
      <c r="L417" s="263">
        <v>378792.56632101227</v>
      </c>
      <c r="M417" s="263">
        <v>439346.60628475278</v>
      </c>
      <c r="N417" s="263">
        <v>499331.71092899382</v>
      </c>
      <c r="O417" s="263">
        <v>559399.52286416106</v>
      </c>
      <c r="P417" s="263">
        <v>778691.83</v>
      </c>
      <c r="Q417" s="263">
        <v>934398.69174873328</v>
      </c>
      <c r="R417" s="263">
        <v>1076640.3484277411</v>
      </c>
      <c r="S417" s="263">
        <v>1189568.2645486903</v>
      </c>
      <c r="T417" s="263">
        <v>1345386.2878633621</v>
      </c>
      <c r="U417" s="263">
        <f t="shared" si="244"/>
        <v>7545361.5989874471</v>
      </c>
      <c r="V417" s="196" t="str">
        <f t="shared" si="218"/>
        <v>R</v>
      </c>
      <c r="W417" s="196" t="s">
        <v>1168</v>
      </c>
      <c r="X417" s="196" t="str">
        <f t="shared" si="212"/>
        <v>N</v>
      </c>
      <c r="Y417" s="197">
        <f t="shared" si="245"/>
        <v>0</v>
      </c>
      <c r="Z417" s="198"/>
      <c r="AA417" s="197">
        <f t="shared" si="219"/>
        <v>0</v>
      </c>
      <c r="AB417" s="196"/>
      <c r="AC417" s="196"/>
      <c r="AD417" s="275">
        <v>0</v>
      </c>
      <c r="AE417" s="275">
        <v>0</v>
      </c>
      <c r="AF417" s="275">
        <v>1</v>
      </c>
      <c r="AG417" s="199"/>
      <c r="AH417" s="199"/>
      <c r="AI417" s="377">
        <f t="shared" si="220"/>
        <v>0</v>
      </c>
      <c r="AJ417" s="203"/>
      <c r="AK417" s="203"/>
      <c r="AL417" s="197">
        <f t="shared" si="214"/>
        <v>0</v>
      </c>
      <c r="AM417" s="197">
        <f t="shared" si="215"/>
        <v>0</v>
      </c>
      <c r="AN417" s="197">
        <f t="shared" si="216"/>
        <v>0</v>
      </c>
      <c r="AO417" s="202"/>
      <c r="AP417" s="161" t="s">
        <v>3900</v>
      </c>
      <c r="AQ417" s="279"/>
      <c r="AR417" s="287">
        <f t="shared" si="221"/>
        <v>0</v>
      </c>
      <c r="AS417" s="287">
        <f t="shared" si="222"/>
        <v>0</v>
      </c>
      <c r="AT417" s="287">
        <f t="shared" si="223"/>
        <v>0</v>
      </c>
      <c r="AU417" s="287">
        <f t="shared" si="224"/>
        <v>0</v>
      </c>
      <c r="AV417" s="287">
        <f t="shared" si="225"/>
        <v>0</v>
      </c>
      <c r="AW417" s="287">
        <f t="shared" si="226"/>
        <v>0</v>
      </c>
      <c r="AX417" s="287">
        <f t="shared" si="227"/>
        <v>0</v>
      </c>
      <c r="AY417" s="287">
        <f t="shared" si="228"/>
        <v>0</v>
      </c>
      <c r="AZ417" s="287">
        <f t="shared" si="229"/>
        <v>0</v>
      </c>
      <c r="BA417" s="287">
        <f t="shared" si="230"/>
        <v>0</v>
      </c>
      <c r="BB417" s="16"/>
      <c r="BC417" s="287">
        <f t="shared" si="231"/>
        <v>0</v>
      </c>
      <c r="BD417" s="287">
        <f t="shared" si="232"/>
        <v>0</v>
      </c>
      <c r="BE417" s="287">
        <f t="shared" si="233"/>
        <v>0</v>
      </c>
      <c r="BF417" s="287">
        <f t="shared" si="234"/>
        <v>0</v>
      </c>
      <c r="BG417" s="287">
        <f t="shared" si="235"/>
        <v>0</v>
      </c>
      <c r="BH417" s="287">
        <f t="shared" si="236"/>
        <v>0</v>
      </c>
      <c r="BI417" s="287">
        <f t="shared" si="237"/>
        <v>0</v>
      </c>
      <c r="BJ417" s="287">
        <f t="shared" si="238"/>
        <v>0</v>
      </c>
      <c r="BK417" s="287">
        <f t="shared" si="239"/>
        <v>0</v>
      </c>
      <c r="BL417" s="287">
        <f t="shared" si="240"/>
        <v>0</v>
      </c>
      <c r="BM417" s="16"/>
      <c r="BN417" s="287">
        <f t="shared" si="241"/>
        <v>0</v>
      </c>
      <c r="BO417" s="287">
        <f t="shared" si="242"/>
        <v>0</v>
      </c>
      <c r="BP417" s="432"/>
      <c r="BQ417" s="21"/>
      <c r="BR417" s="21"/>
      <c r="BS417" s="39" t="e">
        <v>#VALUE!</v>
      </c>
      <c r="BT417" s="39"/>
      <c r="BU417" s="334">
        <v>3584297.5405999999</v>
      </c>
      <c r="BV417" s="334">
        <v>3584297.5405999999</v>
      </c>
      <c r="BW417" s="39"/>
      <c r="BX417" s="39"/>
      <c r="BY417" s="39"/>
      <c r="BZ417" s="39">
        <v>404</v>
      </c>
      <c r="CA417" s="39" t="str">
        <f t="shared" si="243"/>
        <v/>
      </c>
      <c r="CB417" s="39"/>
      <c r="CC417" s="39"/>
      <c r="CD417" s="39"/>
      <c r="CE417" s="39"/>
      <c r="CF417" s="39"/>
      <c r="CG417" s="39"/>
      <c r="CH417" s="39"/>
      <c r="CI417" s="39"/>
      <c r="CJ417" s="39"/>
      <c r="CK417" s="39"/>
    </row>
    <row r="418" spans="1:89" s="193" customFormat="1">
      <c r="A418" s="195"/>
      <c r="B418" s="21" t="str">
        <f t="shared" si="217"/>
        <v>N/A</v>
      </c>
      <c r="C418" s="21"/>
      <c r="D418" s="432"/>
      <c r="E418" s="439" t="s">
        <v>3626</v>
      </c>
      <c r="F418" s="439"/>
      <c r="G418" s="273" t="s">
        <v>3092</v>
      </c>
      <c r="H418" s="358"/>
      <c r="I418" s="262" t="s">
        <v>3161</v>
      </c>
      <c r="J418" s="262"/>
      <c r="K418" s="263">
        <v>0</v>
      </c>
      <c r="L418" s="263">
        <v>0</v>
      </c>
      <c r="M418" s="263">
        <v>0</v>
      </c>
      <c r="N418" s="263">
        <v>1278857.4582180001</v>
      </c>
      <c r="O418" s="263">
        <v>1245389.0611528798</v>
      </c>
      <c r="P418" s="263">
        <v>1622468.8276417521</v>
      </c>
      <c r="Q418" s="263">
        <v>1509982.9451281736</v>
      </c>
      <c r="R418" s="263">
        <v>2659639.3305185596</v>
      </c>
      <c r="S418" s="263">
        <v>3574888.7897626432</v>
      </c>
      <c r="T418" s="263">
        <v>3248264.5875779898</v>
      </c>
      <c r="U418" s="263">
        <f t="shared" si="244"/>
        <v>15139490.999999998</v>
      </c>
      <c r="V418" s="196" t="str">
        <f t="shared" si="218"/>
        <v>LOS</v>
      </c>
      <c r="W418" s="196" t="s">
        <v>1168</v>
      </c>
      <c r="X418" s="196" t="str">
        <f t="shared" ref="X418:X446" si="246">IF(LEFT(V418,1)="G","Y","N")</f>
        <v>N</v>
      </c>
      <c r="Y418" s="197">
        <f t="shared" si="245"/>
        <v>0</v>
      </c>
      <c r="Z418" s="198"/>
      <c r="AA418" s="197">
        <f t="shared" si="219"/>
        <v>0</v>
      </c>
      <c r="AB418" s="196"/>
      <c r="AC418" s="196"/>
      <c r="AD418" s="275">
        <v>0</v>
      </c>
      <c r="AE418" s="275">
        <v>1</v>
      </c>
      <c r="AF418" s="275">
        <v>0</v>
      </c>
      <c r="AG418" s="199"/>
      <c r="AH418" s="199"/>
      <c r="AI418" s="377">
        <f t="shared" si="220"/>
        <v>0</v>
      </c>
      <c r="AJ418" s="203"/>
      <c r="AK418" s="203"/>
      <c r="AL418" s="197">
        <f t="shared" si="214"/>
        <v>0</v>
      </c>
      <c r="AM418" s="197">
        <f t="shared" si="215"/>
        <v>0</v>
      </c>
      <c r="AN418" s="197">
        <f t="shared" si="216"/>
        <v>0</v>
      </c>
      <c r="AO418" s="202"/>
      <c r="AP418" s="161" t="s">
        <v>3900</v>
      </c>
      <c r="AQ418" s="279"/>
      <c r="AR418" s="287">
        <f t="shared" si="221"/>
        <v>0</v>
      </c>
      <c r="AS418" s="287">
        <f t="shared" si="222"/>
        <v>0</v>
      </c>
      <c r="AT418" s="287">
        <f t="shared" si="223"/>
        <v>0</v>
      </c>
      <c r="AU418" s="287">
        <f t="shared" si="224"/>
        <v>0</v>
      </c>
      <c r="AV418" s="287">
        <f t="shared" si="225"/>
        <v>0</v>
      </c>
      <c r="AW418" s="287">
        <f t="shared" si="226"/>
        <v>0</v>
      </c>
      <c r="AX418" s="287">
        <f t="shared" si="227"/>
        <v>0</v>
      </c>
      <c r="AY418" s="287">
        <f t="shared" si="228"/>
        <v>0</v>
      </c>
      <c r="AZ418" s="287">
        <f t="shared" si="229"/>
        <v>0</v>
      </c>
      <c r="BA418" s="287">
        <f t="shared" si="230"/>
        <v>0</v>
      </c>
      <c r="BB418" s="16"/>
      <c r="BC418" s="287">
        <f t="shared" si="231"/>
        <v>0</v>
      </c>
      <c r="BD418" s="287">
        <f t="shared" si="232"/>
        <v>0</v>
      </c>
      <c r="BE418" s="287">
        <f t="shared" si="233"/>
        <v>0</v>
      </c>
      <c r="BF418" s="287">
        <f t="shared" si="234"/>
        <v>0</v>
      </c>
      <c r="BG418" s="287">
        <f t="shared" si="235"/>
        <v>0</v>
      </c>
      <c r="BH418" s="287">
        <f t="shared" si="236"/>
        <v>0</v>
      </c>
      <c r="BI418" s="287">
        <f t="shared" si="237"/>
        <v>0</v>
      </c>
      <c r="BJ418" s="287">
        <f t="shared" si="238"/>
        <v>0</v>
      </c>
      <c r="BK418" s="287">
        <f t="shared" si="239"/>
        <v>0</v>
      </c>
      <c r="BL418" s="287">
        <f t="shared" si="240"/>
        <v>0</v>
      </c>
      <c r="BM418" s="16"/>
      <c r="BN418" s="287">
        <f t="shared" si="241"/>
        <v>0</v>
      </c>
      <c r="BO418" s="287">
        <f t="shared" si="242"/>
        <v>0</v>
      </c>
      <c r="BP418" s="432"/>
      <c r="BQ418" s="21"/>
      <c r="BR418" s="21"/>
      <c r="BS418" s="39" t="e">
        <v>#VALUE!</v>
      </c>
      <c r="BT418" s="39"/>
      <c r="BU418" s="334">
        <v>1297763.2480533919</v>
      </c>
      <c r="BV418" s="334">
        <v>1297763.2480533919</v>
      </c>
      <c r="BW418" s="39"/>
      <c r="BX418" s="39"/>
      <c r="BY418" s="39"/>
      <c r="BZ418" s="39">
        <v>405</v>
      </c>
      <c r="CA418" s="39" t="str">
        <f t="shared" si="243"/>
        <v/>
      </c>
      <c r="CB418" s="39"/>
      <c r="CC418" s="39"/>
      <c r="CD418" s="39"/>
      <c r="CE418" s="39"/>
      <c r="CF418" s="39"/>
      <c r="CG418" s="39"/>
      <c r="CH418" s="39"/>
      <c r="CI418" s="39"/>
      <c r="CJ418" s="39"/>
      <c r="CK418" s="39"/>
    </row>
    <row r="419" spans="1:89" s="193" customFormat="1">
      <c r="A419" s="195"/>
      <c r="B419" s="21" t="str">
        <f t="shared" si="217"/>
        <v>N/A</v>
      </c>
      <c r="C419" s="21"/>
      <c r="D419" s="432"/>
      <c r="E419" s="439" t="s">
        <v>3626</v>
      </c>
      <c r="F419" s="439"/>
      <c r="G419" s="273" t="s">
        <v>3635</v>
      </c>
      <c r="H419" s="358"/>
      <c r="I419" s="262" t="s">
        <v>3161</v>
      </c>
      <c r="J419" s="262"/>
      <c r="K419" s="263">
        <v>1560000</v>
      </c>
      <c r="L419" s="263">
        <v>1476384</v>
      </c>
      <c r="M419" s="263">
        <v>1631647.68</v>
      </c>
      <c r="N419" s="263">
        <v>1536235.4034</v>
      </c>
      <c r="O419" s="263">
        <v>1496030.5765440001</v>
      </c>
      <c r="P419" s="263">
        <v>1949000.3729250999</v>
      </c>
      <c r="Q419" s="263">
        <v>1813876.2053783275</v>
      </c>
      <c r="R419" s="263">
        <v>1638897.3109740079</v>
      </c>
      <c r="S419" s="263">
        <v>2738346.0202084929</v>
      </c>
      <c r="T419" s="263">
        <v>2345986.4305700706</v>
      </c>
      <c r="U419" s="263">
        <f t="shared" si="244"/>
        <v>18186404</v>
      </c>
      <c r="V419" s="196" t="str">
        <f t="shared" si="218"/>
        <v>LOS</v>
      </c>
      <c r="W419" s="196" t="s">
        <v>1168</v>
      </c>
      <c r="X419" s="196" t="str">
        <f t="shared" si="246"/>
        <v>N</v>
      </c>
      <c r="Y419" s="197">
        <f t="shared" si="245"/>
        <v>0</v>
      </c>
      <c r="Z419" s="198"/>
      <c r="AA419" s="197">
        <f t="shared" si="219"/>
        <v>0</v>
      </c>
      <c r="AB419" s="196"/>
      <c r="AC419" s="196"/>
      <c r="AD419" s="275">
        <v>0</v>
      </c>
      <c r="AE419" s="275">
        <v>1</v>
      </c>
      <c r="AF419" s="275">
        <v>0</v>
      </c>
      <c r="AG419" s="199"/>
      <c r="AH419" s="199"/>
      <c r="AI419" s="377">
        <f t="shared" si="220"/>
        <v>0</v>
      </c>
      <c r="AJ419" s="203"/>
      <c r="AK419" s="203"/>
      <c r="AL419" s="197">
        <f t="shared" si="214"/>
        <v>0</v>
      </c>
      <c r="AM419" s="197">
        <f t="shared" si="215"/>
        <v>0</v>
      </c>
      <c r="AN419" s="197">
        <f t="shared" si="216"/>
        <v>0</v>
      </c>
      <c r="AO419" s="202"/>
      <c r="AP419" s="161" t="s">
        <v>3900</v>
      </c>
      <c r="AQ419" s="279"/>
      <c r="AR419" s="287">
        <f t="shared" si="221"/>
        <v>0</v>
      </c>
      <c r="AS419" s="287">
        <f t="shared" si="222"/>
        <v>0</v>
      </c>
      <c r="AT419" s="287">
        <f t="shared" si="223"/>
        <v>0</v>
      </c>
      <c r="AU419" s="287">
        <f t="shared" si="224"/>
        <v>0</v>
      </c>
      <c r="AV419" s="287">
        <f t="shared" si="225"/>
        <v>0</v>
      </c>
      <c r="AW419" s="287">
        <f t="shared" si="226"/>
        <v>0</v>
      </c>
      <c r="AX419" s="287">
        <f t="shared" si="227"/>
        <v>0</v>
      </c>
      <c r="AY419" s="287">
        <f t="shared" si="228"/>
        <v>0</v>
      </c>
      <c r="AZ419" s="287">
        <f t="shared" si="229"/>
        <v>0</v>
      </c>
      <c r="BA419" s="287">
        <f t="shared" si="230"/>
        <v>0</v>
      </c>
      <c r="BB419" s="16"/>
      <c r="BC419" s="287">
        <f t="shared" si="231"/>
        <v>0</v>
      </c>
      <c r="BD419" s="287">
        <f t="shared" si="232"/>
        <v>0</v>
      </c>
      <c r="BE419" s="287">
        <f t="shared" si="233"/>
        <v>0</v>
      </c>
      <c r="BF419" s="287">
        <f t="shared" si="234"/>
        <v>0</v>
      </c>
      <c r="BG419" s="287">
        <f t="shared" si="235"/>
        <v>0</v>
      </c>
      <c r="BH419" s="287">
        <f t="shared" si="236"/>
        <v>0</v>
      </c>
      <c r="BI419" s="287">
        <f t="shared" si="237"/>
        <v>0</v>
      </c>
      <c r="BJ419" s="287">
        <f t="shared" si="238"/>
        <v>0</v>
      </c>
      <c r="BK419" s="287">
        <f t="shared" si="239"/>
        <v>0</v>
      </c>
      <c r="BL419" s="287">
        <f t="shared" si="240"/>
        <v>0</v>
      </c>
      <c r="BM419" s="16"/>
      <c r="BN419" s="287">
        <f t="shared" si="241"/>
        <v>0</v>
      </c>
      <c r="BO419" s="287">
        <f t="shared" si="242"/>
        <v>0</v>
      </c>
      <c r="BP419" s="432"/>
      <c r="BQ419" s="21"/>
      <c r="BR419" s="21"/>
      <c r="BS419" s="39" t="e">
        <v>#VALUE!</v>
      </c>
      <c r="BT419" s="39"/>
      <c r="BU419" s="334">
        <v>15980000</v>
      </c>
      <c r="BV419" s="334">
        <v>15980000</v>
      </c>
      <c r="BW419" s="39"/>
      <c r="BX419" s="39"/>
      <c r="BY419" s="39"/>
      <c r="BZ419" s="39">
        <v>406</v>
      </c>
      <c r="CA419" s="39" t="str">
        <f t="shared" si="243"/>
        <v/>
      </c>
      <c r="CB419" s="39"/>
      <c r="CC419" s="39"/>
      <c r="CD419" s="39"/>
      <c r="CE419" s="39"/>
      <c r="CF419" s="39"/>
      <c r="CG419" s="39"/>
      <c r="CH419" s="39"/>
      <c r="CI419" s="39"/>
      <c r="CJ419" s="39"/>
      <c r="CK419" s="39"/>
    </row>
    <row r="420" spans="1:89" s="193" customFormat="1">
      <c r="A420" s="195"/>
      <c r="B420" s="21" t="str">
        <f t="shared" si="217"/>
        <v>N/A</v>
      </c>
      <c r="C420" s="21"/>
      <c r="D420" s="432"/>
      <c r="E420" s="439" t="s">
        <v>3626</v>
      </c>
      <c r="F420" s="439"/>
      <c r="G420" s="273" t="s">
        <v>3093</v>
      </c>
      <c r="H420" s="358"/>
      <c r="I420" s="262" t="s">
        <v>3163</v>
      </c>
      <c r="J420" s="262"/>
      <c r="K420" s="263">
        <v>4646744.96</v>
      </c>
      <c r="L420" s="263">
        <v>4722065.749224877</v>
      </c>
      <c r="M420" s="263">
        <v>5066987.4606578536</v>
      </c>
      <c r="N420" s="263">
        <v>4676258.6916374015</v>
      </c>
      <c r="O420" s="263">
        <v>4671634.225730476</v>
      </c>
      <c r="P420" s="263">
        <v>5144472.42</v>
      </c>
      <c r="Q420" s="263">
        <v>4773004.3569738753</v>
      </c>
      <c r="R420" s="263">
        <v>4114710.2453839201</v>
      </c>
      <c r="S420" s="263">
        <v>3347814.8018634636</v>
      </c>
      <c r="T420" s="263">
        <v>2783104.5278495774</v>
      </c>
      <c r="U420" s="263">
        <f t="shared" si="244"/>
        <v>43946797.439321436</v>
      </c>
      <c r="V420" s="196" t="str">
        <f t="shared" si="218"/>
        <v>R</v>
      </c>
      <c r="W420" s="196" t="s">
        <v>1168</v>
      </c>
      <c r="X420" s="196" t="str">
        <f t="shared" si="246"/>
        <v>N</v>
      </c>
      <c r="Y420" s="197">
        <f t="shared" si="245"/>
        <v>0</v>
      </c>
      <c r="Z420" s="198"/>
      <c r="AA420" s="197">
        <f t="shared" si="219"/>
        <v>0</v>
      </c>
      <c r="AB420" s="196"/>
      <c r="AC420" s="196"/>
      <c r="AD420" s="275">
        <v>0</v>
      </c>
      <c r="AE420" s="275">
        <v>0</v>
      </c>
      <c r="AF420" s="275">
        <v>1</v>
      </c>
      <c r="AG420" s="199"/>
      <c r="AH420" s="199"/>
      <c r="AI420" s="377">
        <f t="shared" si="220"/>
        <v>0</v>
      </c>
      <c r="AJ420" s="203"/>
      <c r="AK420" s="203"/>
      <c r="AL420" s="197">
        <f t="shared" si="214"/>
        <v>0</v>
      </c>
      <c r="AM420" s="197">
        <f t="shared" si="215"/>
        <v>0</v>
      </c>
      <c r="AN420" s="197">
        <f t="shared" si="216"/>
        <v>0</v>
      </c>
      <c r="AO420" s="202"/>
      <c r="AP420" s="161" t="s">
        <v>3900</v>
      </c>
      <c r="AQ420" s="279"/>
      <c r="AR420" s="287">
        <f t="shared" si="221"/>
        <v>0</v>
      </c>
      <c r="AS420" s="287">
        <f t="shared" si="222"/>
        <v>0</v>
      </c>
      <c r="AT420" s="287">
        <f t="shared" si="223"/>
        <v>0</v>
      </c>
      <c r="AU420" s="287">
        <f t="shared" si="224"/>
        <v>0</v>
      </c>
      <c r="AV420" s="287">
        <f t="shared" si="225"/>
        <v>0</v>
      </c>
      <c r="AW420" s="287">
        <f t="shared" si="226"/>
        <v>0</v>
      </c>
      <c r="AX420" s="287">
        <f t="shared" si="227"/>
        <v>0</v>
      </c>
      <c r="AY420" s="287">
        <f t="shared" si="228"/>
        <v>0</v>
      </c>
      <c r="AZ420" s="287">
        <f t="shared" si="229"/>
        <v>0</v>
      </c>
      <c r="BA420" s="287">
        <f t="shared" si="230"/>
        <v>0</v>
      </c>
      <c r="BB420" s="16"/>
      <c r="BC420" s="287">
        <f t="shared" si="231"/>
        <v>0</v>
      </c>
      <c r="BD420" s="287">
        <f t="shared" si="232"/>
        <v>0</v>
      </c>
      <c r="BE420" s="287">
        <f t="shared" si="233"/>
        <v>0</v>
      </c>
      <c r="BF420" s="287">
        <f t="shared" si="234"/>
        <v>0</v>
      </c>
      <c r="BG420" s="287">
        <f t="shared" si="235"/>
        <v>0</v>
      </c>
      <c r="BH420" s="287">
        <f t="shared" si="236"/>
        <v>0</v>
      </c>
      <c r="BI420" s="287">
        <f t="shared" si="237"/>
        <v>0</v>
      </c>
      <c r="BJ420" s="287">
        <f t="shared" si="238"/>
        <v>0</v>
      </c>
      <c r="BK420" s="287">
        <f t="shared" si="239"/>
        <v>0</v>
      </c>
      <c r="BL420" s="287">
        <f t="shared" si="240"/>
        <v>0</v>
      </c>
      <c r="BM420" s="16"/>
      <c r="BN420" s="287">
        <f t="shared" si="241"/>
        <v>0</v>
      </c>
      <c r="BO420" s="287">
        <f t="shared" si="242"/>
        <v>0</v>
      </c>
      <c r="BP420" s="432"/>
      <c r="BQ420" s="21"/>
      <c r="BR420" s="21"/>
      <c r="BS420" s="39" t="e">
        <v>#VALUE!</v>
      </c>
      <c r="BT420" s="39"/>
      <c r="BU420" s="334">
        <v>19303616.53568</v>
      </c>
      <c r="BV420" s="334">
        <v>0</v>
      </c>
      <c r="BW420" s="39"/>
      <c r="BX420" s="39"/>
      <c r="BY420" s="39"/>
      <c r="BZ420" s="39">
        <v>407</v>
      </c>
      <c r="CA420" s="39" t="str">
        <f t="shared" si="243"/>
        <v/>
      </c>
      <c r="CB420" s="39"/>
      <c r="CC420" s="39"/>
      <c r="CD420" s="39"/>
      <c r="CE420" s="39"/>
      <c r="CF420" s="39"/>
      <c r="CG420" s="39"/>
      <c r="CH420" s="39"/>
      <c r="CI420" s="39"/>
      <c r="CJ420" s="39"/>
      <c r="CK420" s="39"/>
    </row>
    <row r="421" spans="1:89" s="193" customFormat="1">
      <c r="A421" s="195"/>
      <c r="B421" s="21" t="str">
        <f t="shared" si="217"/>
        <v>N/A</v>
      </c>
      <c r="C421" s="21"/>
      <c r="D421" s="432"/>
      <c r="E421" s="439" t="s">
        <v>3626</v>
      </c>
      <c r="F421" s="439"/>
      <c r="G421" s="273" t="s">
        <v>3094</v>
      </c>
      <c r="H421" s="358"/>
      <c r="I421" s="262" t="s">
        <v>3161</v>
      </c>
      <c r="J421" s="262"/>
      <c r="K421" s="263">
        <v>6000000</v>
      </c>
      <c r="L421" s="263">
        <v>0</v>
      </c>
      <c r="M421" s="263">
        <v>0</v>
      </c>
      <c r="N421" s="263">
        <v>0</v>
      </c>
      <c r="O421" s="263">
        <v>0</v>
      </c>
      <c r="P421" s="263">
        <v>0</v>
      </c>
      <c r="Q421" s="263">
        <v>0</v>
      </c>
      <c r="R421" s="263">
        <v>0</v>
      </c>
      <c r="S421" s="263">
        <v>0</v>
      </c>
      <c r="T421" s="263">
        <v>0</v>
      </c>
      <c r="U421" s="263">
        <f t="shared" si="244"/>
        <v>6000000</v>
      </c>
      <c r="V421" s="196" t="str">
        <f t="shared" si="218"/>
        <v>LOS</v>
      </c>
      <c r="W421" s="196" t="s">
        <v>1168</v>
      </c>
      <c r="X421" s="196" t="str">
        <f t="shared" si="246"/>
        <v>N</v>
      </c>
      <c r="Y421" s="197">
        <f t="shared" si="245"/>
        <v>0</v>
      </c>
      <c r="Z421" s="198"/>
      <c r="AA421" s="197">
        <f t="shared" si="219"/>
        <v>0</v>
      </c>
      <c r="AB421" s="196"/>
      <c r="AC421" s="196"/>
      <c r="AD421" s="275">
        <v>0</v>
      </c>
      <c r="AE421" s="275">
        <v>1</v>
      </c>
      <c r="AF421" s="275">
        <v>0</v>
      </c>
      <c r="AG421" s="199"/>
      <c r="AH421" s="199"/>
      <c r="AI421" s="377">
        <f t="shared" si="220"/>
        <v>0</v>
      </c>
      <c r="AJ421" s="203"/>
      <c r="AK421" s="203"/>
      <c r="AL421" s="197">
        <f t="shared" si="214"/>
        <v>0</v>
      </c>
      <c r="AM421" s="197">
        <f t="shared" si="215"/>
        <v>0</v>
      </c>
      <c r="AN421" s="197">
        <f t="shared" si="216"/>
        <v>0</v>
      </c>
      <c r="AO421" s="202"/>
      <c r="AP421" s="161" t="s">
        <v>3900</v>
      </c>
      <c r="AQ421" s="279"/>
      <c r="AR421" s="287">
        <f t="shared" si="221"/>
        <v>0</v>
      </c>
      <c r="AS421" s="287">
        <f t="shared" si="222"/>
        <v>0</v>
      </c>
      <c r="AT421" s="287">
        <f t="shared" si="223"/>
        <v>0</v>
      </c>
      <c r="AU421" s="287">
        <f t="shared" si="224"/>
        <v>0</v>
      </c>
      <c r="AV421" s="287">
        <f t="shared" si="225"/>
        <v>0</v>
      </c>
      <c r="AW421" s="287">
        <f t="shared" si="226"/>
        <v>0</v>
      </c>
      <c r="AX421" s="287">
        <f t="shared" si="227"/>
        <v>0</v>
      </c>
      <c r="AY421" s="287">
        <f t="shared" si="228"/>
        <v>0</v>
      </c>
      <c r="AZ421" s="287">
        <f t="shared" si="229"/>
        <v>0</v>
      </c>
      <c r="BA421" s="287">
        <f t="shared" si="230"/>
        <v>0</v>
      </c>
      <c r="BB421" s="16"/>
      <c r="BC421" s="287">
        <f t="shared" si="231"/>
        <v>0</v>
      </c>
      <c r="BD421" s="287">
        <f t="shared" si="232"/>
        <v>0</v>
      </c>
      <c r="BE421" s="287">
        <f t="shared" si="233"/>
        <v>0</v>
      </c>
      <c r="BF421" s="287">
        <f t="shared" si="234"/>
        <v>0</v>
      </c>
      <c r="BG421" s="287">
        <f t="shared" si="235"/>
        <v>0</v>
      </c>
      <c r="BH421" s="287">
        <f t="shared" si="236"/>
        <v>0</v>
      </c>
      <c r="BI421" s="287">
        <f t="shared" si="237"/>
        <v>0</v>
      </c>
      <c r="BJ421" s="287">
        <f t="shared" si="238"/>
        <v>0</v>
      </c>
      <c r="BK421" s="287">
        <f t="shared" si="239"/>
        <v>0</v>
      </c>
      <c r="BL421" s="287">
        <f t="shared" si="240"/>
        <v>0</v>
      </c>
      <c r="BM421" s="16"/>
      <c r="BN421" s="287">
        <f t="shared" si="241"/>
        <v>0</v>
      </c>
      <c r="BO421" s="287">
        <f t="shared" si="242"/>
        <v>0</v>
      </c>
      <c r="BP421" s="432"/>
      <c r="BQ421" s="21"/>
      <c r="BR421" s="21"/>
      <c r="BS421" s="39" t="e">
        <v>#VALUE!</v>
      </c>
      <c r="BT421" s="39"/>
      <c r="BU421" s="334">
        <v>4148484.722162162</v>
      </c>
      <c r="BV421" s="334">
        <v>4148484.722162162</v>
      </c>
      <c r="BW421" s="39"/>
      <c r="BX421" s="39"/>
      <c r="BY421" s="39"/>
      <c r="BZ421" s="39">
        <v>408</v>
      </c>
      <c r="CA421" s="39" t="str">
        <f t="shared" si="243"/>
        <v/>
      </c>
      <c r="CB421" s="39"/>
      <c r="CC421" s="39"/>
      <c r="CD421" s="39"/>
      <c r="CE421" s="39"/>
      <c r="CF421" s="39"/>
      <c r="CG421" s="39"/>
      <c r="CH421" s="39"/>
      <c r="CI421" s="39"/>
      <c r="CJ421" s="39"/>
      <c r="CK421" s="39"/>
    </row>
    <row r="422" spans="1:89" s="193" customFormat="1">
      <c r="A422" s="195"/>
      <c r="B422" s="21" t="str">
        <f t="shared" si="217"/>
        <v>N/A</v>
      </c>
      <c r="C422" s="21"/>
      <c r="D422" s="432"/>
      <c r="E422" s="439" t="s">
        <v>3626</v>
      </c>
      <c r="F422" s="439" t="s">
        <v>3994</v>
      </c>
      <c r="G422" s="273" t="s">
        <v>3993</v>
      </c>
      <c r="H422" s="358"/>
      <c r="I422" s="262" t="s">
        <v>3491</v>
      </c>
      <c r="J422" s="262" t="s">
        <v>3504</v>
      </c>
      <c r="K422" s="263">
        <v>1509000</v>
      </c>
      <c r="L422" s="263">
        <v>330000</v>
      </c>
      <c r="M422" s="263">
        <v>0</v>
      </c>
      <c r="N422" s="263">
        <v>0</v>
      </c>
      <c r="O422" s="263">
        <v>0</v>
      </c>
      <c r="P422" s="263">
        <v>0</v>
      </c>
      <c r="Q422" s="263">
        <v>0</v>
      </c>
      <c r="R422" s="263">
        <v>0</v>
      </c>
      <c r="S422" s="263">
        <v>0</v>
      </c>
      <c r="T422" s="263">
        <v>0</v>
      </c>
      <c r="U422" s="263">
        <f t="shared" si="244"/>
        <v>1839000</v>
      </c>
      <c r="V422" s="196" t="str">
        <f t="shared" si="218"/>
        <v>R</v>
      </c>
      <c r="W422" s="196" t="s">
        <v>1168</v>
      </c>
      <c r="X422" s="196" t="str">
        <f t="shared" si="246"/>
        <v>N</v>
      </c>
      <c r="Y422" s="197">
        <f>SUM(K422:T422)</f>
        <v>1839000</v>
      </c>
      <c r="Z422" s="198"/>
      <c r="AA422" s="197">
        <f t="shared" si="219"/>
        <v>1839000</v>
      </c>
      <c r="AB422" s="196"/>
      <c r="AC422" s="196"/>
      <c r="AD422" s="275">
        <v>0</v>
      </c>
      <c r="AE422" s="275">
        <v>0</v>
      </c>
      <c r="AF422" s="275">
        <v>1</v>
      </c>
      <c r="AG422" s="442"/>
      <c r="AH422" s="442"/>
      <c r="AI422" s="200">
        <f t="shared" si="220"/>
        <v>0</v>
      </c>
      <c r="AJ422" s="203"/>
      <c r="AK422" s="203"/>
      <c r="AL422" s="197">
        <f t="shared" si="214"/>
        <v>1839000</v>
      </c>
      <c r="AM422" s="197">
        <f t="shared" si="215"/>
        <v>0</v>
      </c>
      <c r="AN422" s="197">
        <f t="shared" si="216"/>
        <v>0</v>
      </c>
      <c r="AO422" s="202"/>
      <c r="AP422" s="161" t="s">
        <v>3900</v>
      </c>
      <c r="AQ422" s="279"/>
      <c r="AR422" s="287">
        <f t="shared" si="221"/>
        <v>0</v>
      </c>
      <c r="AS422" s="287">
        <f t="shared" si="222"/>
        <v>0</v>
      </c>
      <c r="AT422" s="287">
        <f t="shared" si="223"/>
        <v>0</v>
      </c>
      <c r="AU422" s="287">
        <f t="shared" si="224"/>
        <v>0</v>
      </c>
      <c r="AV422" s="287">
        <f t="shared" si="225"/>
        <v>0</v>
      </c>
      <c r="AW422" s="287">
        <f t="shared" si="226"/>
        <v>0</v>
      </c>
      <c r="AX422" s="287">
        <f t="shared" si="227"/>
        <v>0</v>
      </c>
      <c r="AY422" s="287">
        <f t="shared" si="228"/>
        <v>0</v>
      </c>
      <c r="AZ422" s="287">
        <f t="shared" si="229"/>
        <v>0</v>
      </c>
      <c r="BA422" s="287">
        <f t="shared" si="230"/>
        <v>0</v>
      </c>
      <c r="BB422" s="16"/>
      <c r="BC422" s="287">
        <f t="shared" si="231"/>
        <v>0</v>
      </c>
      <c r="BD422" s="287">
        <f t="shared" si="232"/>
        <v>0</v>
      </c>
      <c r="BE422" s="287">
        <f t="shared" si="233"/>
        <v>0</v>
      </c>
      <c r="BF422" s="287">
        <f t="shared" si="234"/>
        <v>0</v>
      </c>
      <c r="BG422" s="287">
        <f t="shared" si="235"/>
        <v>0</v>
      </c>
      <c r="BH422" s="287">
        <f t="shared" si="236"/>
        <v>0</v>
      </c>
      <c r="BI422" s="287">
        <f t="shared" si="237"/>
        <v>0</v>
      </c>
      <c r="BJ422" s="287">
        <f t="shared" si="238"/>
        <v>0</v>
      </c>
      <c r="BK422" s="287">
        <f t="shared" si="239"/>
        <v>0</v>
      </c>
      <c r="BL422" s="287">
        <f t="shared" si="240"/>
        <v>0</v>
      </c>
      <c r="BM422" s="16"/>
      <c r="BN422" s="287">
        <f t="shared" si="241"/>
        <v>0</v>
      </c>
      <c r="BO422" s="287">
        <f t="shared" si="242"/>
        <v>0</v>
      </c>
      <c r="BP422" s="432"/>
      <c r="BQ422" s="21"/>
      <c r="BR422" s="21"/>
      <c r="BS422" s="39"/>
      <c r="BT422" s="39"/>
      <c r="BU422" s="39"/>
      <c r="BV422" s="39"/>
      <c r="BW422" s="39"/>
      <c r="BX422" s="39"/>
      <c r="BY422" s="39"/>
      <c r="BZ422" s="39">
        <v>409</v>
      </c>
      <c r="CA422" s="39" t="str">
        <f t="shared" si="243"/>
        <v/>
      </c>
      <c r="CB422" s="39"/>
      <c r="CC422" s="39"/>
      <c r="CD422" s="39"/>
      <c r="CE422" s="39"/>
      <c r="CF422" s="39"/>
      <c r="CG422" s="39"/>
      <c r="CH422" s="39"/>
      <c r="CI422" s="39"/>
      <c r="CJ422" s="39"/>
      <c r="CK422" s="39"/>
    </row>
    <row r="423" spans="1:89" s="193" customFormat="1">
      <c r="A423" s="195"/>
      <c r="B423" s="21" t="str">
        <f t="shared" si="217"/>
        <v>N/A</v>
      </c>
      <c r="C423" s="21"/>
      <c r="D423" s="432"/>
      <c r="E423" s="439" t="s">
        <v>3626</v>
      </c>
      <c r="F423" s="439"/>
      <c r="G423" s="273" t="s">
        <v>3095</v>
      </c>
      <c r="H423" s="358"/>
      <c r="I423" s="262" t="s">
        <v>3163</v>
      </c>
      <c r="J423" s="262"/>
      <c r="K423" s="263">
        <v>305000</v>
      </c>
      <c r="L423" s="263">
        <v>232781.35605095723</v>
      </c>
      <c r="M423" s="263">
        <v>121039.11091574117</v>
      </c>
      <c r="N423" s="263">
        <v>407988.26891726448</v>
      </c>
      <c r="O423" s="263">
        <v>396816.39883880934</v>
      </c>
      <c r="P423" s="263">
        <v>555000</v>
      </c>
      <c r="Q423" s="263">
        <v>207343.76871974967</v>
      </c>
      <c r="R423" s="263">
        <v>235223.29300610689</v>
      </c>
      <c r="S423" s="263">
        <v>537733.65493778349</v>
      </c>
      <c r="T423" s="263">
        <v>1515595.4640729793</v>
      </c>
      <c r="U423" s="263">
        <f t="shared" si="244"/>
        <v>4514521.3154593911</v>
      </c>
      <c r="V423" s="196" t="str">
        <f t="shared" si="218"/>
        <v>R</v>
      </c>
      <c r="W423" s="196" t="s">
        <v>1168</v>
      </c>
      <c r="X423" s="196" t="str">
        <f t="shared" si="246"/>
        <v>N</v>
      </c>
      <c r="Y423" s="197">
        <f t="shared" ref="Y423:Y432" si="247">IF(X423="N",0,SUM(K423:T423))</f>
        <v>0</v>
      </c>
      <c r="Z423" s="198"/>
      <c r="AA423" s="197">
        <f t="shared" si="219"/>
        <v>0</v>
      </c>
      <c r="AB423" s="196"/>
      <c r="AC423" s="196"/>
      <c r="AD423" s="275">
        <v>0</v>
      </c>
      <c r="AE423" s="275">
        <v>0</v>
      </c>
      <c r="AF423" s="275">
        <v>1</v>
      </c>
      <c r="AG423" s="199"/>
      <c r="AH423" s="199"/>
      <c r="AI423" s="377">
        <f t="shared" si="220"/>
        <v>0</v>
      </c>
      <c r="AJ423" s="203"/>
      <c r="AK423" s="203"/>
      <c r="AL423" s="197">
        <f t="shared" si="214"/>
        <v>0</v>
      </c>
      <c r="AM423" s="197">
        <f t="shared" si="215"/>
        <v>0</v>
      </c>
      <c r="AN423" s="197">
        <f t="shared" si="216"/>
        <v>0</v>
      </c>
      <c r="AO423" s="202"/>
      <c r="AP423" s="161" t="s">
        <v>3900</v>
      </c>
      <c r="AQ423" s="279"/>
      <c r="AR423" s="287">
        <f t="shared" si="221"/>
        <v>0</v>
      </c>
      <c r="AS423" s="287">
        <f t="shared" si="222"/>
        <v>0</v>
      </c>
      <c r="AT423" s="287">
        <f t="shared" si="223"/>
        <v>0</v>
      </c>
      <c r="AU423" s="287">
        <f t="shared" si="224"/>
        <v>0</v>
      </c>
      <c r="AV423" s="287">
        <f t="shared" si="225"/>
        <v>0</v>
      </c>
      <c r="AW423" s="287">
        <f t="shared" si="226"/>
        <v>0</v>
      </c>
      <c r="AX423" s="287">
        <f t="shared" si="227"/>
        <v>0</v>
      </c>
      <c r="AY423" s="287">
        <f t="shared" si="228"/>
        <v>0</v>
      </c>
      <c r="AZ423" s="287">
        <f t="shared" si="229"/>
        <v>0</v>
      </c>
      <c r="BA423" s="287">
        <f t="shared" si="230"/>
        <v>0</v>
      </c>
      <c r="BB423" s="16"/>
      <c r="BC423" s="287">
        <f t="shared" si="231"/>
        <v>0</v>
      </c>
      <c r="BD423" s="287">
        <f t="shared" si="232"/>
        <v>0</v>
      </c>
      <c r="BE423" s="287">
        <f t="shared" si="233"/>
        <v>0</v>
      </c>
      <c r="BF423" s="287">
        <f t="shared" si="234"/>
        <v>0</v>
      </c>
      <c r="BG423" s="287">
        <f t="shared" si="235"/>
        <v>0</v>
      </c>
      <c r="BH423" s="287">
        <f t="shared" si="236"/>
        <v>0</v>
      </c>
      <c r="BI423" s="287">
        <f t="shared" si="237"/>
        <v>0</v>
      </c>
      <c r="BJ423" s="287">
        <f t="shared" si="238"/>
        <v>0</v>
      </c>
      <c r="BK423" s="287">
        <f t="shared" si="239"/>
        <v>0</v>
      </c>
      <c r="BL423" s="287">
        <f t="shared" si="240"/>
        <v>0</v>
      </c>
      <c r="BM423" s="16"/>
      <c r="BN423" s="287">
        <f t="shared" si="241"/>
        <v>0</v>
      </c>
      <c r="BO423" s="287">
        <f t="shared" si="242"/>
        <v>0</v>
      </c>
      <c r="BP423" s="432"/>
      <c r="BQ423" s="21"/>
      <c r="BR423" s="21"/>
      <c r="BS423" s="39" t="e">
        <v>#VALUE!</v>
      </c>
      <c r="BT423" s="39"/>
      <c r="BU423" s="334">
        <v>1089583.38579496</v>
      </c>
      <c r="BV423" s="334">
        <v>1089583.38579496</v>
      </c>
      <c r="BW423" s="39"/>
      <c r="BX423" s="39"/>
      <c r="BY423" s="39"/>
      <c r="BZ423" s="39">
        <v>410</v>
      </c>
      <c r="CA423" s="39" t="str">
        <f t="shared" si="243"/>
        <v/>
      </c>
      <c r="CB423" s="39"/>
      <c r="CC423" s="39"/>
      <c r="CD423" s="39"/>
      <c r="CE423" s="39"/>
      <c r="CF423" s="39"/>
      <c r="CG423" s="39"/>
      <c r="CH423" s="39"/>
      <c r="CI423" s="39"/>
      <c r="CJ423" s="39"/>
      <c r="CK423" s="39"/>
    </row>
    <row r="424" spans="1:89" s="193" customFormat="1">
      <c r="A424" s="195"/>
      <c r="B424" s="21" t="str">
        <f t="shared" si="217"/>
        <v>N/A</v>
      </c>
      <c r="C424" s="21"/>
      <c r="D424" s="432"/>
      <c r="E424" s="439" t="s">
        <v>3626</v>
      </c>
      <c r="F424" s="439"/>
      <c r="G424" s="273" t="s">
        <v>3096</v>
      </c>
      <c r="H424" s="358"/>
      <c r="I424" s="262" t="s">
        <v>3161</v>
      </c>
      <c r="J424" s="262"/>
      <c r="K424" s="263">
        <v>1567020</v>
      </c>
      <c r="L424" s="263">
        <v>1494679.7759489545</v>
      </c>
      <c r="M424" s="263">
        <v>1536870.9664454863</v>
      </c>
      <c r="N424" s="263">
        <v>1540158.9454203078</v>
      </c>
      <c r="O424" s="263">
        <v>1542979.9034310561</v>
      </c>
      <c r="P424" s="263">
        <v>1942447.09</v>
      </c>
      <c r="Q424" s="263">
        <v>2127410.5674229288</v>
      </c>
      <c r="R424" s="263">
        <v>2254481.4487613598</v>
      </c>
      <c r="S424" s="263">
        <v>2305845.4307776941</v>
      </c>
      <c r="T424" s="263">
        <v>2427490.7375847027</v>
      </c>
      <c r="U424" s="263">
        <f t="shared" si="244"/>
        <v>18739384.865792491</v>
      </c>
      <c r="V424" s="196" t="str">
        <f t="shared" si="218"/>
        <v>R</v>
      </c>
      <c r="W424" s="196" t="s">
        <v>1168</v>
      </c>
      <c r="X424" s="196" t="str">
        <f t="shared" si="246"/>
        <v>N</v>
      </c>
      <c r="Y424" s="197">
        <f t="shared" si="247"/>
        <v>0</v>
      </c>
      <c r="Z424" s="198"/>
      <c r="AA424" s="197">
        <f t="shared" si="219"/>
        <v>0</v>
      </c>
      <c r="AB424" s="196"/>
      <c r="AC424" s="196"/>
      <c r="AD424" s="275">
        <v>0</v>
      </c>
      <c r="AE424" s="275">
        <v>0</v>
      </c>
      <c r="AF424" s="275">
        <v>1</v>
      </c>
      <c r="AG424" s="199"/>
      <c r="AH424" s="199"/>
      <c r="AI424" s="377">
        <f t="shared" si="220"/>
        <v>0</v>
      </c>
      <c r="AJ424" s="203"/>
      <c r="AK424" s="203"/>
      <c r="AL424" s="197">
        <f t="shared" si="214"/>
        <v>0</v>
      </c>
      <c r="AM424" s="197">
        <f t="shared" si="215"/>
        <v>0</v>
      </c>
      <c r="AN424" s="197">
        <f t="shared" si="216"/>
        <v>0</v>
      </c>
      <c r="AO424" s="202"/>
      <c r="AP424" s="161" t="s">
        <v>3900</v>
      </c>
      <c r="AQ424" s="279"/>
      <c r="AR424" s="287">
        <f t="shared" si="221"/>
        <v>0</v>
      </c>
      <c r="AS424" s="287">
        <f t="shared" si="222"/>
        <v>0</v>
      </c>
      <c r="AT424" s="287">
        <f t="shared" si="223"/>
        <v>0</v>
      </c>
      <c r="AU424" s="287">
        <f t="shared" si="224"/>
        <v>0</v>
      </c>
      <c r="AV424" s="287">
        <f t="shared" si="225"/>
        <v>0</v>
      </c>
      <c r="AW424" s="287">
        <f t="shared" si="226"/>
        <v>0</v>
      </c>
      <c r="AX424" s="287">
        <f t="shared" si="227"/>
        <v>0</v>
      </c>
      <c r="AY424" s="287">
        <f t="shared" si="228"/>
        <v>0</v>
      </c>
      <c r="AZ424" s="287">
        <f t="shared" si="229"/>
        <v>0</v>
      </c>
      <c r="BA424" s="287">
        <f t="shared" si="230"/>
        <v>0</v>
      </c>
      <c r="BB424" s="16"/>
      <c r="BC424" s="287">
        <f t="shared" si="231"/>
        <v>0</v>
      </c>
      <c r="BD424" s="287">
        <f t="shared" si="232"/>
        <v>0</v>
      </c>
      <c r="BE424" s="287">
        <f t="shared" si="233"/>
        <v>0</v>
      </c>
      <c r="BF424" s="287">
        <f t="shared" si="234"/>
        <v>0</v>
      </c>
      <c r="BG424" s="287">
        <f t="shared" si="235"/>
        <v>0</v>
      </c>
      <c r="BH424" s="287">
        <f t="shared" si="236"/>
        <v>0</v>
      </c>
      <c r="BI424" s="287">
        <f t="shared" si="237"/>
        <v>0</v>
      </c>
      <c r="BJ424" s="287">
        <f t="shared" si="238"/>
        <v>0</v>
      </c>
      <c r="BK424" s="287">
        <f t="shared" si="239"/>
        <v>0</v>
      </c>
      <c r="BL424" s="287">
        <f t="shared" si="240"/>
        <v>0</v>
      </c>
      <c r="BM424" s="16"/>
      <c r="BN424" s="287">
        <f t="shared" si="241"/>
        <v>0</v>
      </c>
      <c r="BO424" s="287">
        <f t="shared" si="242"/>
        <v>0</v>
      </c>
      <c r="BP424" s="432"/>
      <c r="BQ424" s="21"/>
      <c r="BR424" s="21"/>
      <c r="BS424" s="39" t="e">
        <v>#VALUE!</v>
      </c>
      <c r="BT424" s="39"/>
      <c r="BU424" s="334">
        <v>5728500</v>
      </c>
      <c r="BV424" s="334">
        <v>2821499.9999999995</v>
      </c>
      <c r="BW424" s="39"/>
      <c r="BX424" s="39"/>
      <c r="BY424" s="39"/>
      <c r="BZ424" s="39">
        <v>411</v>
      </c>
      <c r="CA424" s="39" t="str">
        <f t="shared" si="243"/>
        <v/>
      </c>
      <c r="CB424" s="39"/>
      <c r="CC424" s="39"/>
      <c r="CD424" s="39"/>
      <c r="CE424" s="39"/>
      <c r="CF424" s="39"/>
      <c r="CG424" s="39"/>
      <c r="CH424" s="39"/>
      <c r="CI424" s="39"/>
      <c r="CJ424" s="39"/>
      <c r="CK424" s="39"/>
    </row>
    <row r="425" spans="1:89" s="193" customFormat="1">
      <c r="A425" s="195"/>
      <c r="B425" s="21" t="str">
        <f t="shared" si="217"/>
        <v>N/A</v>
      </c>
      <c r="C425" s="21"/>
      <c r="D425" s="432"/>
      <c r="E425" s="439" t="s">
        <v>3626</v>
      </c>
      <c r="F425" s="439"/>
      <c r="G425" s="273" t="s">
        <v>3097</v>
      </c>
      <c r="H425" s="358"/>
      <c r="I425" s="262" t="s">
        <v>3161</v>
      </c>
      <c r="J425" s="262"/>
      <c r="K425" s="263">
        <v>2621455.89</v>
      </c>
      <c r="L425" s="263">
        <v>2848230.5187270851</v>
      </c>
      <c r="M425" s="263">
        <v>3269605.5460686055</v>
      </c>
      <c r="N425" s="263">
        <v>3686557.37563407</v>
      </c>
      <c r="O425" s="263">
        <v>4104016.8643362429</v>
      </c>
      <c r="P425" s="263">
        <v>5683555.2400000002</v>
      </c>
      <c r="Q425" s="263">
        <v>6791022.3722928818</v>
      </c>
      <c r="R425" s="263">
        <v>7796743.0524765207</v>
      </c>
      <c r="S425" s="263">
        <v>8588138.684451811</v>
      </c>
      <c r="T425" s="263">
        <v>9687347.7566772979</v>
      </c>
      <c r="U425" s="263">
        <f t="shared" si="244"/>
        <v>55076673.300664514</v>
      </c>
      <c r="V425" s="196" t="str">
        <f t="shared" si="218"/>
        <v>R</v>
      </c>
      <c r="W425" s="196" t="s">
        <v>1168</v>
      </c>
      <c r="X425" s="196" t="str">
        <f t="shared" si="246"/>
        <v>N</v>
      </c>
      <c r="Y425" s="197">
        <f t="shared" si="247"/>
        <v>0</v>
      </c>
      <c r="Z425" s="198"/>
      <c r="AA425" s="197">
        <f t="shared" si="219"/>
        <v>0</v>
      </c>
      <c r="AB425" s="196"/>
      <c r="AC425" s="196"/>
      <c r="AD425" s="275">
        <v>0</v>
      </c>
      <c r="AE425" s="275">
        <v>0</v>
      </c>
      <c r="AF425" s="275">
        <v>1</v>
      </c>
      <c r="AG425" s="199"/>
      <c r="AH425" s="199"/>
      <c r="AI425" s="377">
        <f t="shared" si="220"/>
        <v>0</v>
      </c>
      <c r="AJ425" s="203"/>
      <c r="AK425" s="203"/>
      <c r="AL425" s="197">
        <f t="shared" si="214"/>
        <v>0</v>
      </c>
      <c r="AM425" s="197">
        <f t="shared" si="215"/>
        <v>0</v>
      </c>
      <c r="AN425" s="197">
        <f t="shared" si="216"/>
        <v>0</v>
      </c>
      <c r="AO425" s="202"/>
      <c r="AP425" s="161" t="s">
        <v>3900</v>
      </c>
      <c r="AQ425" s="279"/>
      <c r="AR425" s="287">
        <f t="shared" si="221"/>
        <v>0</v>
      </c>
      <c r="AS425" s="287">
        <f t="shared" si="222"/>
        <v>0</v>
      </c>
      <c r="AT425" s="287">
        <f t="shared" si="223"/>
        <v>0</v>
      </c>
      <c r="AU425" s="287">
        <f t="shared" si="224"/>
        <v>0</v>
      </c>
      <c r="AV425" s="287">
        <f t="shared" si="225"/>
        <v>0</v>
      </c>
      <c r="AW425" s="287">
        <f t="shared" si="226"/>
        <v>0</v>
      </c>
      <c r="AX425" s="287">
        <f t="shared" si="227"/>
        <v>0</v>
      </c>
      <c r="AY425" s="287">
        <f t="shared" si="228"/>
        <v>0</v>
      </c>
      <c r="AZ425" s="287">
        <f t="shared" si="229"/>
        <v>0</v>
      </c>
      <c r="BA425" s="287">
        <f t="shared" si="230"/>
        <v>0</v>
      </c>
      <c r="BB425" s="16"/>
      <c r="BC425" s="287">
        <f t="shared" si="231"/>
        <v>0</v>
      </c>
      <c r="BD425" s="287">
        <f t="shared" si="232"/>
        <v>0</v>
      </c>
      <c r="BE425" s="287">
        <f t="shared" si="233"/>
        <v>0</v>
      </c>
      <c r="BF425" s="287">
        <f t="shared" si="234"/>
        <v>0</v>
      </c>
      <c r="BG425" s="287">
        <f t="shared" si="235"/>
        <v>0</v>
      </c>
      <c r="BH425" s="287">
        <f t="shared" si="236"/>
        <v>0</v>
      </c>
      <c r="BI425" s="287">
        <f t="shared" si="237"/>
        <v>0</v>
      </c>
      <c r="BJ425" s="287">
        <f t="shared" si="238"/>
        <v>0</v>
      </c>
      <c r="BK425" s="287">
        <f t="shared" si="239"/>
        <v>0</v>
      </c>
      <c r="BL425" s="287">
        <f t="shared" si="240"/>
        <v>0</v>
      </c>
      <c r="BM425" s="16"/>
      <c r="BN425" s="287">
        <f t="shared" si="241"/>
        <v>0</v>
      </c>
      <c r="BO425" s="287">
        <f t="shared" si="242"/>
        <v>0</v>
      </c>
      <c r="BP425" s="432"/>
      <c r="BQ425" s="21"/>
      <c r="BR425" s="21"/>
      <c r="BS425" s="39" t="e">
        <v>#VALUE!</v>
      </c>
      <c r="BT425" s="39"/>
      <c r="BU425" s="334">
        <v>7236262.9530239999</v>
      </c>
      <c r="BV425" s="334">
        <v>3564129.5141759994</v>
      </c>
      <c r="BW425" s="39"/>
      <c r="BX425" s="39"/>
      <c r="BY425" s="39"/>
      <c r="BZ425" s="39">
        <v>412</v>
      </c>
      <c r="CA425" s="39" t="str">
        <f t="shared" si="243"/>
        <v/>
      </c>
      <c r="CB425" s="39"/>
      <c r="CC425" s="39"/>
      <c r="CD425" s="39"/>
      <c r="CE425" s="39"/>
      <c r="CF425" s="39"/>
      <c r="CG425" s="39"/>
      <c r="CH425" s="39"/>
      <c r="CI425" s="39"/>
      <c r="CJ425" s="39"/>
      <c r="CK425" s="39"/>
    </row>
    <row r="426" spans="1:89" s="193" customFormat="1">
      <c r="A426" s="195"/>
      <c r="B426" s="21" t="str">
        <f t="shared" si="217"/>
        <v>N/A</v>
      </c>
      <c r="C426" s="21"/>
      <c r="D426" s="432"/>
      <c r="E426" s="439" t="s">
        <v>3626</v>
      </c>
      <c r="F426" s="439"/>
      <c r="G426" s="273" t="s">
        <v>3098</v>
      </c>
      <c r="H426" s="358"/>
      <c r="I426" s="262" t="s">
        <v>3161</v>
      </c>
      <c r="J426" s="262"/>
      <c r="K426" s="263">
        <v>118338.36</v>
      </c>
      <c r="L426" s="263">
        <v>128380.51151907895</v>
      </c>
      <c r="M426" s="263">
        <v>147205.67444823572</v>
      </c>
      <c r="N426" s="263">
        <v>165830.76036578472</v>
      </c>
      <c r="O426" s="263">
        <v>184478.15201003163</v>
      </c>
      <c r="P426" s="263">
        <v>255331</v>
      </c>
      <c r="Q426" s="263">
        <v>304935.67453390703</v>
      </c>
      <c r="R426" s="263">
        <v>349951.79119585705</v>
      </c>
      <c r="S426" s="263">
        <v>385337.57979097887</v>
      </c>
      <c r="T426" s="263">
        <v>434525.08348541177</v>
      </c>
      <c r="U426" s="263">
        <f t="shared" si="244"/>
        <v>2474314.5873492858</v>
      </c>
      <c r="V426" s="196" t="str">
        <f t="shared" si="218"/>
        <v>R</v>
      </c>
      <c r="W426" s="196" t="s">
        <v>1168</v>
      </c>
      <c r="X426" s="196" t="str">
        <f t="shared" si="246"/>
        <v>N</v>
      </c>
      <c r="Y426" s="197">
        <f t="shared" si="247"/>
        <v>0</v>
      </c>
      <c r="Z426" s="198"/>
      <c r="AA426" s="197">
        <f t="shared" si="219"/>
        <v>0</v>
      </c>
      <c r="AB426" s="196"/>
      <c r="AC426" s="196"/>
      <c r="AD426" s="275">
        <v>0</v>
      </c>
      <c r="AE426" s="275">
        <v>0</v>
      </c>
      <c r="AF426" s="275">
        <v>1</v>
      </c>
      <c r="AG426" s="199"/>
      <c r="AH426" s="199"/>
      <c r="AI426" s="377">
        <f t="shared" si="220"/>
        <v>0</v>
      </c>
      <c r="AJ426" s="203"/>
      <c r="AK426" s="203"/>
      <c r="AL426" s="197">
        <f t="shared" si="214"/>
        <v>0</v>
      </c>
      <c r="AM426" s="197">
        <f t="shared" si="215"/>
        <v>0</v>
      </c>
      <c r="AN426" s="197">
        <f t="shared" si="216"/>
        <v>0</v>
      </c>
      <c r="AO426" s="202"/>
      <c r="AP426" s="161" t="s">
        <v>3900</v>
      </c>
      <c r="AQ426" s="279"/>
      <c r="AR426" s="287">
        <f t="shared" si="221"/>
        <v>0</v>
      </c>
      <c r="AS426" s="287">
        <f t="shared" si="222"/>
        <v>0</v>
      </c>
      <c r="AT426" s="287">
        <f t="shared" si="223"/>
        <v>0</v>
      </c>
      <c r="AU426" s="287">
        <f t="shared" si="224"/>
        <v>0</v>
      </c>
      <c r="AV426" s="287">
        <f t="shared" si="225"/>
        <v>0</v>
      </c>
      <c r="AW426" s="287">
        <f t="shared" si="226"/>
        <v>0</v>
      </c>
      <c r="AX426" s="287">
        <f t="shared" si="227"/>
        <v>0</v>
      </c>
      <c r="AY426" s="287">
        <f t="shared" si="228"/>
        <v>0</v>
      </c>
      <c r="AZ426" s="287">
        <f t="shared" si="229"/>
        <v>0</v>
      </c>
      <c r="BA426" s="287">
        <f t="shared" si="230"/>
        <v>0</v>
      </c>
      <c r="BB426" s="16"/>
      <c r="BC426" s="287">
        <f t="shared" si="231"/>
        <v>0</v>
      </c>
      <c r="BD426" s="287">
        <f t="shared" si="232"/>
        <v>0</v>
      </c>
      <c r="BE426" s="287">
        <f t="shared" si="233"/>
        <v>0</v>
      </c>
      <c r="BF426" s="287">
        <f t="shared" si="234"/>
        <v>0</v>
      </c>
      <c r="BG426" s="287">
        <f t="shared" si="235"/>
        <v>0</v>
      </c>
      <c r="BH426" s="287">
        <f t="shared" si="236"/>
        <v>0</v>
      </c>
      <c r="BI426" s="287">
        <f t="shared" si="237"/>
        <v>0</v>
      </c>
      <c r="BJ426" s="287">
        <f t="shared" si="238"/>
        <v>0</v>
      </c>
      <c r="BK426" s="287">
        <f t="shared" si="239"/>
        <v>0</v>
      </c>
      <c r="BL426" s="287">
        <f t="shared" si="240"/>
        <v>0</v>
      </c>
      <c r="BM426" s="16"/>
      <c r="BN426" s="287">
        <f t="shared" si="241"/>
        <v>0</v>
      </c>
      <c r="BO426" s="287">
        <f t="shared" si="242"/>
        <v>0</v>
      </c>
      <c r="BP426" s="432"/>
      <c r="BQ426" s="21"/>
      <c r="BR426" s="21"/>
      <c r="BS426" s="39" t="e">
        <v>#VALUE!</v>
      </c>
      <c r="BT426" s="39"/>
      <c r="BU426" s="334">
        <v>12250610.611199999</v>
      </c>
      <c r="BV426" s="334">
        <v>12250610.611199999</v>
      </c>
      <c r="BW426" s="39"/>
      <c r="BX426" s="39"/>
      <c r="BY426" s="39"/>
      <c r="BZ426" s="39">
        <v>413</v>
      </c>
      <c r="CA426" s="39" t="str">
        <f t="shared" si="243"/>
        <v/>
      </c>
      <c r="CB426" s="39"/>
      <c r="CC426" s="39"/>
      <c r="CD426" s="39"/>
      <c r="CE426" s="39"/>
      <c r="CF426" s="39"/>
      <c r="CG426" s="39"/>
      <c r="CH426" s="39"/>
      <c r="CI426" s="39"/>
      <c r="CJ426" s="39"/>
      <c r="CK426" s="39"/>
    </row>
    <row r="427" spans="1:89" s="193" customFormat="1">
      <c r="A427" s="195"/>
      <c r="B427" s="21" t="str">
        <f t="shared" si="217"/>
        <v>N/A</v>
      </c>
      <c r="C427" s="21"/>
      <c r="D427" s="432"/>
      <c r="E427" s="439" t="s">
        <v>3626</v>
      </c>
      <c r="F427" s="439"/>
      <c r="G427" s="273" t="s">
        <v>2481</v>
      </c>
      <c r="H427" s="358"/>
      <c r="I427" s="262" t="s">
        <v>3161</v>
      </c>
      <c r="J427" s="262" t="s">
        <v>3504</v>
      </c>
      <c r="K427" s="263">
        <v>20800000</v>
      </c>
      <c r="L427" s="263">
        <v>19685120</v>
      </c>
      <c r="M427" s="263">
        <v>21755302.399999999</v>
      </c>
      <c r="N427" s="263">
        <v>20483137.146000002</v>
      </c>
      <c r="O427" s="263">
        <v>19947076.67904</v>
      </c>
      <c r="P427" s="263">
        <v>25986671.358302999</v>
      </c>
      <c r="Q427" s="263">
        <v>24185011.44472459</v>
      </c>
      <c r="R427" s="263">
        <v>21851958.701247953</v>
      </c>
      <c r="S427" s="263">
        <v>36511273.22632286</v>
      </c>
      <c r="T427" s="263">
        <v>31279822.044361606</v>
      </c>
      <c r="U427" s="263">
        <f t="shared" si="244"/>
        <v>242485373</v>
      </c>
      <c r="V427" s="196" t="str">
        <f t="shared" si="218"/>
        <v>CHECK</v>
      </c>
      <c r="W427" s="196" t="s">
        <v>1168</v>
      </c>
      <c r="X427" s="196" t="str">
        <f t="shared" si="246"/>
        <v>N</v>
      </c>
      <c r="Y427" s="197">
        <f t="shared" si="247"/>
        <v>0</v>
      </c>
      <c r="Z427" s="198"/>
      <c r="AA427" s="197">
        <f t="shared" si="219"/>
        <v>0</v>
      </c>
      <c r="AB427" s="196" t="s">
        <v>1168</v>
      </c>
      <c r="AC427" s="196"/>
      <c r="AD427" s="275"/>
      <c r="AE427" s="275"/>
      <c r="AF427" s="275"/>
      <c r="AG427" s="199"/>
      <c r="AH427" s="199"/>
      <c r="AI427" s="377">
        <f t="shared" si="220"/>
        <v>0</v>
      </c>
      <c r="AJ427" s="203"/>
      <c r="AK427" s="203"/>
      <c r="AL427" s="197">
        <f t="shared" si="214"/>
        <v>0</v>
      </c>
      <c r="AM427" s="197">
        <f t="shared" si="215"/>
        <v>0</v>
      </c>
      <c r="AN427" s="197">
        <f t="shared" si="216"/>
        <v>0</v>
      </c>
      <c r="AO427" s="202"/>
      <c r="AP427" s="161" t="s">
        <v>3900</v>
      </c>
      <c r="AQ427" s="279"/>
      <c r="AR427" s="287">
        <f t="shared" si="221"/>
        <v>0</v>
      </c>
      <c r="AS427" s="287">
        <f t="shared" si="222"/>
        <v>0</v>
      </c>
      <c r="AT427" s="287">
        <f t="shared" si="223"/>
        <v>0</v>
      </c>
      <c r="AU427" s="287">
        <f t="shared" si="224"/>
        <v>0</v>
      </c>
      <c r="AV427" s="287">
        <f t="shared" si="225"/>
        <v>0</v>
      </c>
      <c r="AW427" s="287">
        <f t="shared" si="226"/>
        <v>0</v>
      </c>
      <c r="AX427" s="287">
        <f t="shared" si="227"/>
        <v>0</v>
      </c>
      <c r="AY427" s="287">
        <f t="shared" si="228"/>
        <v>0</v>
      </c>
      <c r="AZ427" s="287">
        <f t="shared" si="229"/>
        <v>0</v>
      </c>
      <c r="BA427" s="287">
        <f t="shared" si="230"/>
        <v>0</v>
      </c>
      <c r="BB427" s="16"/>
      <c r="BC427" s="287">
        <f t="shared" si="231"/>
        <v>0</v>
      </c>
      <c r="BD427" s="287">
        <f t="shared" si="232"/>
        <v>0</v>
      </c>
      <c r="BE427" s="287">
        <f t="shared" si="233"/>
        <v>0</v>
      </c>
      <c r="BF427" s="287">
        <f t="shared" si="234"/>
        <v>0</v>
      </c>
      <c r="BG427" s="287">
        <f t="shared" si="235"/>
        <v>0</v>
      </c>
      <c r="BH427" s="287">
        <f t="shared" si="236"/>
        <v>0</v>
      </c>
      <c r="BI427" s="287">
        <f t="shared" si="237"/>
        <v>0</v>
      </c>
      <c r="BJ427" s="287">
        <f t="shared" si="238"/>
        <v>0</v>
      </c>
      <c r="BK427" s="287">
        <f t="shared" si="239"/>
        <v>0</v>
      </c>
      <c r="BL427" s="287">
        <f t="shared" si="240"/>
        <v>0</v>
      </c>
      <c r="BM427" s="16"/>
      <c r="BN427" s="287">
        <f t="shared" si="241"/>
        <v>0</v>
      </c>
      <c r="BO427" s="287">
        <f t="shared" si="242"/>
        <v>0</v>
      </c>
      <c r="BP427" s="432"/>
      <c r="BQ427" s="21"/>
      <c r="BR427" s="21"/>
      <c r="BS427" s="39" t="e">
        <v>#VALUE!</v>
      </c>
      <c r="BT427" s="334">
        <f>+BN427+BO427</f>
        <v>0</v>
      </c>
      <c r="BU427" s="334">
        <f>+AM427</f>
        <v>0</v>
      </c>
      <c r="BV427" s="334">
        <f>+AN427</f>
        <v>0</v>
      </c>
      <c r="BW427" s="334">
        <f>+BT427-BU427-BV427</f>
        <v>0</v>
      </c>
      <c r="BX427" s="39"/>
      <c r="BY427" s="39"/>
      <c r="BZ427" s="39">
        <v>414</v>
      </c>
      <c r="CA427" s="39" t="str">
        <f t="shared" si="243"/>
        <v/>
      </c>
      <c r="CB427" s="39"/>
      <c r="CC427" s="39"/>
      <c r="CD427" s="39"/>
      <c r="CE427" s="39"/>
      <c r="CF427" s="39"/>
      <c r="CG427" s="39"/>
      <c r="CH427" s="39"/>
      <c r="CI427" s="39"/>
      <c r="CJ427" s="39"/>
      <c r="CK427" s="39"/>
    </row>
    <row r="428" spans="1:89" s="193" customFormat="1">
      <c r="A428" s="195"/>
      <c r="B428" s="21" t="str">
        <f t="shared" si="217"/>
        <v>N/A</v>
      </c>
      <c r="C428" s="21"/>
      <c r="D428" s="432"/>
      <c r="E428" s="439" t="s">
        <v>3626</v>
      </c>
      <c r="F428" s="439"/>
      <c r="G428" s="273" t="s">
        <v>3100</v>
      </c>
      <c r="H428" s="358"/>
      <c r="I428" s="262" t="s">
        <v>3161</v>
      </c>
      <c r="J428" s="262"/>
      <c r="K428" s="263">
        <v>0</v>
      </c>
      <c r="L428" s="263">
        <v>196851.20000000001</v>
      </c>
      <c r="M428" s="263">
        <v>5022972.0319999997</v>
      </c>
      <c r="N428" s="263">
        <v>620817</v>
      </c>
      <c r="O428" s="263">
        <v>0</v>
      </c>
      <c r="P428" s="263">
        <v>0</v>
      </c>
      <c r="Q428" s="263">
        <v>0</v>
      </c>
      <c r="R428" s="263">
        <v>0</v>
      </c>
      <c r="S428" s="263">
        <v>0</v>
      </c>
      <c r="T428" s="263">
        <v>0</v>
      </c>
      <c r="U428" s="263">
        <f t="shared" si="244"/>
        <v>5840640.2319999998</v>
      </c>
      <c r="V428" s="196" t="str">
        <f t="shared" si="218"/>
        <v>LOS</v>
      </c>
      <c r="W428" s="196" t="s">
        <v>1168</v>
      </c>
      <c r="X428" s="196" t="str">
        <f t="shared" si="246"/>
        <v>N</v>
      </c>
      <c r="Y428" s="197">
        <f t="shared" si="247"/>
        <v>0</v>
      </c>
      <c r="Z428" s="198"/>
      <c r="AA428" s="197">
        <f t="shared" si="219"/>
        <v>0</v>
      </c>
      <c r="AB428" s="196"/>
      <c r="AC428" s="196"/>
      <c r="AD428" s="275">
        <v>0</v>
      </c>
      <c r="AE428" s="275">
        <v>1</v>
      </c>
      <c r="AF428" s="275">
        <v>0</v>
      </c>
      <c r="AG428" s="199"/>
      <c r="AH428" s="199"/>
      <c r="AI428" s="377">
        <f t="shared" si="220"/>
        <v>0</v>
      </c>
      <c r="AJ428" s="203"/>
      <c r="AK428" s="203"/>
      <c r="AL428" s="197">
        <f t="shared" si="214"/>
        <v>0</v>
      </c>
      <c r="AM428" s="197">
        <f t="shared" si="215"/>
        <v>0</v>
      </c>
      <c r="AN428" s="197">
        <f t="shared" si="216"/>
        <v>0</v>
      </c>
      <c r="AO428" s="202"/>
      <c r="AP428" s="161" t="s">
        <v>3900</v>
      </c>
      <c r="AQ428" s="279"/>
      <c r="AR428" s="287">
        <f t="shared" si="221"/>
        <v>0</v>
      </c>
      <c r="AS428" s="287">
        <f t="shared" si="222"/>
        <v>0</v>
      </c>
      <c r="AT428" s="287">
        <f t="shared" si="223"/>
        <v>0</v>
      </c>
      <c r="AU428" s="287">
        <f t="shared" si="224"/>
        <v>0</v>
      </c>
      <c r="AV428" s="287">
        <f t="shared" si="225"/>
        <v>0</v>
      </c>
      <c r="AW428" s="287">
        <f t="shared" si="226"/>
        <v>0</v>
      </c>
      <c r="AX428" s="287">
        <f t="shared" si="227"/>
        <v>0</v>
      </c>
      <c r="AY428" s="287">
        <f t="shared" si="228"/>
        <v>0</v>
      </c>
      <c r="AZ428" s="287">
        <f t="shared" si="229"/>
        <v>0</v>
      </c>
      <c r="BA428" s="287">
        <f t="shared" si="230"/>
        <v>0</v>
      </c>
      <c r="BB428" s="16"/>
      <c r="BC428" s="287">
        <f t="shared" si="231"/>
        <v>0</v>
      </c>
      <c r="BD428" s="287">
        <f t="shared" si="232"/>
        <v>0</v>
      </c>
      <c r="BE428" s="287">
        <f t="shared" si="233"/>
        <v>0</v>
      </c>
      <c r="BF428" s="287">
        <f t="shared" si="234"/>
        <v>0</v>
      </c>
      <c r="BG428" s="287">
        <f t="shared" si="235"/>
        <v>0</v>
      </c>
      <c r="BH428" s="287">
        <f t="shared" si="236"/>
        <v>0</v>
      </c>
      <c r="BI428" s="287">
        <f t="shared" si="237"/>
        <v>0</v>
      </c>
      <c r="BJ428" s="287">
        <f t="shared" si="238"/>
        <v>0</v>
      </c>
      <c r="BK428" s="287">
        <f t="shared" si="239"/>
        <v>0</v>
      </c>
      <c r="BL428" s="287">
        <f t="shared" si="240"/>
        <v>0</v>
      </c>
      <c r="BM428" s="16"/>
      <c r="BN428" s="287">
        <f t="shared" si="241"/>
        <v>0</v>
      </c>
      <c r="BO428" s="287">
        <f t="shared" si="242"/>
        <v>0</v>
      </c>
      <c r="BP428" s="432">
        <f>BN428-AM428</f>
        <v>0</v>
      </c>
      <c r="BQ428" s="21"/>
      <c r="BR428" s="21"/>
      <c r="BS428" s="39" t="e">
        <v>#VALUE!</v>
      </c>
      <c r="BT428" s="39"/>
      <c r="BU428" s="334">
        <v>3429781.5832800008</v>
      </c>
      <c r="BV428" s="334">
        <v>3429781.5832800008</v>
      </c>
      <c r="BW428" s="39"/>
      <c r="BX428" s="39"/>
      <c r="BY428" s="39"/>
      <c r="BZ428" s="39">
        <v>415</v>
      </c>
      <c r="CA428" s="39" t="str">
        <f t="shared" si="243"/>
        <v/>
      </c>
      <c r="CB428" s="39"/>
      <c r="CC428" s="39"/>
      <c r="CD428" s="39"/>
      <c r="CE428" s="39"/>
      <c r="CF428" s="39"/>
      <c r="CG428" s="39"/>
      <c r="CH428" s="39"/>
      <c r="CI428" s="39"/>
      <c r="CJ428" s="39"/>
      <c r="CK428" s="39"/>
    </row>
    <row r="429" spans="1:89" s="193" customFormat="1">
      <c r="A429" s="195"/>
      <c r="B429" s="21" t="str">
        <f t="shared" si="217"/>
        <v>N/A</v>
      </c>
      <c r="C429" s="21"/>
      <c r="D429" s="432"/>
      <c r="E429" s="439" t="s">
        <v>3626</v>
      </c>
      <c r="F429" s="439"/>
      <c r="G429" s="273" t="s">
        <v>3101</v>
      </c>
      <c r="H429" s="358"/>
      <c r="I429" s="262" t="s">
        <v>3162</v>
      </c>
      <c r="J429" s="262"/>
      <c r="K429" s="263">
        <v>800000</v>
      </c>
      <c r="L429" s="263">
        <v>1456000</v>
      </c>
      <c r="M429" s="263">
        <v>2264160</v>
      </c>
      <c r="N429" s="263">
        <v>3436326</v>
      </c>
      <c r="O429" s="263">
        <v>4014758.1599999997</v>
      </c>
      <c r="P429" s="263">
        <v>5490379.4639999997</v>
      </c>
      <c r="Q429" s="263">
        <v>5177908.5443199994</v>
      </c>
      <c r="R429" s="263">
        <v>4800439.0375271998</v>
      </c>
      <c r="S429" s="263">
        <v>6879626.2026790483</v>
      </c>
      <c r="T429" s="263">
        <v>5680402.5914737517</v>
      </c>
      <c r="U429" s="263">
        <f t="shared" si="244"/>
        <v>39999999.999999993</v>
      </c>
      <c r="V429" s="196" t="str">
        <f t="shared" si="218"/>
        <v>LOS</v>
      </c>
      <c r="W429" s="196" t="s">
        <v>1168</v>
      </c>
      <c r="X429" s="196" t="str">
        <f t="shared" si="246"/>
        <v>N</v>
      </c>
      <c r="Y429" s="197">
        <f t="shared" si="247"/>
        <v>0</v>
      </c>
      <c r="Z429" s="198"/>
      <c r="AA429" s="197">
        <f t="shared" si="219"/>
        <v>0</v>
      </c>
      <c r="AB429" s="196"/>
      <c r="AC429" s="196"/>
      <c r="AD429" s="275">
        <v>0</v>
      </c>
      <c r="AE429" s="275">
        <v>1</v>
      </c>
      <c r="AF429" s="275">
        <v>0</v>
      </c>
      <c r="AG429" s="199"/>
      <c r="AH429" s="199"/>
      <c r="AI429" s="377">
        <f t="shared" si="220"/>
        <v>0</v>
      </c>
      <c r="AJ429" s="203"/>
      <c r="AK429" s="203"/>
      <c r="AL429" s="197">
        <f t="shared" si="214"/>
        <v>0</v>
      </c>
      <c r="AM429" s="197">
        <f t="shared" si="215"/>
        <v>0</v>
      </c>
      <c r="AN429" s="197">
        <f t="shared" si="216"/>
        <v>0</v>
      </c>
      <c r="AO429" s="202"/>
      <c r="AP429" s="161" t="s">
        <v>3900</v>
      </c>
      <c r="AQ429" s="279"/>
      <c r="AR429" s="287">
        <f t="shared" si="221"/>
        <v>0</v>
      </c>
      <c r="AS429" s="287">
        <f t="shared" si="222"/>
        <v>0</v>
      </c>
      <c r="AT429" s="287">
        <f t="shared" si="223"/>
        <v>0</v>
      </c>
      <c r="AU429" s="287">
        <f t="shared" si="224"/>
        <v>0</v>
      </c>
      <c r="AV429" s="287">
        <f t="shared" si="225"/>
        <v>0</v>
      </c>
      <c r="AW429" s="287">
        <f t="shared" si="226"/>
        <v>0</v>
      </c>
      <c r="AX429" s="287">
        <f t="shared" si="227"/>
        <v>0</v>
      </c>
      <c r="AY429" s="287">
        <f t="shared" si="228"/>
        <v>0</v>
      </c>
      <c r="AZ429" s="287">
        <f t="shared" si="229"/>
        <v>0</v>
      </c>
      <c r="BA429" s="287">
        <f t="shared" si="230"/>
        <v>0</v>
      </c>
      <c r="BB429" s="16"/>
      <c r="BC429" s="287">
        <f t="shared" si="231"/>
        <v>0</v>
      </c>
      <c r="BD429" s="287">
        <f t="shared" si="232"/>
        <v>0</v>
      </c>
      <c r="BE429" s="287">
        <f t="shared" si="233"/>
        <v>0</v>
      </c>
      <c r="BF429" s="287">
        <f t="shared" si="234"/>
        <v>0</v>
      </c>
      <c r="BG429" s="287">
        <f t="shared" si="235"/>
        <v>0</v>
      </c>
      <c r="BH429" s="287">
        <f t="shared" si="236"/>
        <v>0</v>
      </c>
      <c r="BI429" s="287">
        <f t="shared" si="237"/>
        <v>0</v>
      </c>
      <c r="BJ429" s="287">
        <f t="shared" si="238"/>
        <v>0</v>
      </c>
      <c r="BK429" s="287">
        <f t="shared" si="239"/>
        <v>0</v>
      </c>
      <c r="BL429" s="287">
        <f t="shared" si="240"/>
        <v>0</v>
      </c>
      <c r="BM429" s="16"/>
      <c r="BN429" s="287">
        <f t="shared" si="241"/>
        <v>0</v>
      </c>
      <c r="BO429" s="287">
        <f t="shared" si="242"/>
        <v>0</v>
      </c>
      <c r="BP429" s="432">
        <f>BN429-AM429</f>
        <v>0</v>
      </c>
      <c r="BQ429" s="21"/>
      <c r="BR429" s="21"/>
      <c r="BS429" s="39" t="e">
        <v>#VALUE!</v>
      </c>
      <c r="BT429" s="39"/>
      <c r="BU429" s="334">
        <v>1714890.7916400004</v>
      </c>
      <c r="BV429" s="334">
        <v>1714890.7916400004</v>
      </c>
      <c r="BW429" s="39"/>
      <c r="BX429" s="39"/>
      <c r="BY429" s="39"/>
      <c r="BZ429" s="39">
        <v>416</v>
      </c>
      <c r="CA429" s="39" t="str">
        <f t="shared" si="243"/>
        <v/>
      </c>
      <c r="CB429" s="39"/>
      <c r="CC429" s="39"/>
      <c r="CD429" s="39"/>
      <c r="CE429" s="39"/>
      <c r="CF429" s="39"/>
      <c r="CG429" s="39"/>
      <c r="CH429" s="39"/>
      <c r="CI429" s="39"/>
      <c r="CJ429" s="39"/>
      <c r="CK429" s="39"/>
    </row>
    <row r="430" spans="1:89" s="193" customFormat="1">
      <c r="A430" s="195"/>
      <c r="B430" s="21" t="str">
        <f t="shared" si="217"/>
        <v>N/A</v>
      </c>
      <c r="C430" s="21"/>
      <c r="D430" s="432"/>
      <c r="E430" s="439" t="s">
        <v>3626</v>
      </c>
      <c r="F430" s="439"/>
      <c r="G430" s="273" t="s">
        <v>3102</v>
      </c>
      <c r="H430" s="358"/>
      <c r="I430" s="262" t="s">
        <v>3162</v>
      </c>
      <c r="J430" s="262"/>
      <c r="K430" s="263">
        <v>1555840</v>
      </c>
      <c r="L430" s="263">
        <v>1472446.976</v>
      </c>
      <c r="M430" s="263">
        <v>1627296.84736</v>
      </c>
      <c r="N430" s="263">
        <v>1915173.7350960001</v>
      </c>
      <c r="O430" s="263">
        <v>1865052.0627513602</v>
      </c>
      <c r="P430" s="263">
        <v>2818714.2975812438</v>
      </c>
      <c r="Q430" s="263">
        <v>2629410.4847791586</v>
      </c>
      <c r="R430" s="263">
        <v>2449982.4106678506</v>
      </c>
      <c r="S430" s="263">
        <v>3413804.1990455915</v>
      </c>
      <c r="T430" s="263">
        <v>2924662.9867187948</v>
      </c>
      <c r="U430" s="263">
        <f t="shared" si="244"/>
        <v>22672384</v>
      </c>
      <c r="V430" s="196" t="str">
        <f t="shared" si="218"/>
        <v>LOS</v>
      </c>
      <c r="W430" s="196" t="s">
        <v>1168</v>
      </c>
      <c r="X430" s="196" t="str">
        <f t="shared" si="246"/>
        <v>N</v>
      </c>
      <c r="Y430" s="197">
        <f t="shared" si="247"/>
        <v>0</v>
      </c>
      <c r="Z430" s="198"/>
      <c r="AA430" s="197">
        <f t="shared" si="219"/>
        <v>0</v>
      </c>
      <c r="AB430" s="196"/>
      <c r="AC430" s="196"/>
      <c r="AD430" s="275">
        <v>0</v>
      </c>
      <c r="AE430" s="275">
        <v>1</v>
      </c>
      <c r="AF430" s="275">
        <v>0</v>
      </c>
      <c r="AG430" s="199"/>
      <c r="AH430" s="199"/>
      <c r="AI430" s="377">
        <f t="shared" si="220"/>
        <v>0</v>
      </c>
      <c r="AJ430" s="203"/>
      <c r="AK430" s="203"/>
      <c r="AL430" s="197">
        <f t="shared" si="214"/>
        <v>0</v>
      </c>
      <c r="AM430" s="197">
        <f t="shared" si="215"/>
        <v>0</v>
      </c>
      <c r="AN430" s="197">
        <f t="shared" si="216"/>
        <v>0</v>
      </c>
      <c r="AO430" s="202"/>
      <c r="AP430" s="161" t="s">
        <v>3900</v>
      </c>
      <c r="AQ430" s="279"/>
      <c r="AR430" s="287">
        <f t="shared" si="221"/>
        <v>0</v>
      </c>
      <c r="AS430" s="287">
        <f t="shared" si="222"/>
        <v>0</v>
      </c>
      <c r="AT430" s="287">
        <f t="shared" si="223"/>
        <v>0</v>
      </c>
      <c r="AU430" s="287">
        <f t="shared" si="224"/>
        <v>0</v>
      </c>
      <c r="AV430" s="287">
        <f t="shared" si="225"/>
        <v>0</v>
      </c>
      <c r="AW430" s="287">
        <f t="shared" si="226"/>
        <v>0</v>
      </c>
      <c r="AX430" s="287">
        <f t="shared" si="227"/>
        <v>0</v>
      </c>
      <c r="AY430" s="287">
        <f t="shared" si="228"/>
        <v>0</v>
      </c>
      <c r="AZ430" s="287">
        <f t="shared" si="229"/>
        <v>0</v>
      </c>
      <c r="BA430" s="287">
        <f t="shared" si="230"/>
        <v>0</v>
      </c>
      <c r="BB430" s="16"/>
      <c r="BC430" s="287">
        <f t="shared" si="231"/>
        <v>0</v>
      </c>
      <c r="BD430" s="287">
        <f t="shared" si="232"/>
        <v>0</v>
      </c>
      <c r="BE430" s="287">
        <f t="shared" si="233"/>
        <v>0</v>
      </c>
      <c r="BF430" s="287">
        <f t="shared" si="234"/>
        <v>0</v>
      </c>
      <c r="BG430" s="287">
        <f t="shared" si="235"/>
        <v>0</v>
      </c>
      <c r="BH430" s="287">
        <f t="shared" si="236"/>
        <v>0</v>
      </c>
      <c r="BI430" s="287">
        <f t="shared" si="237"/>
        <v>0</v>
      </c>
      <c r="BJ430" s="287">
        <f t="shared" si="238"/>
        <v>0</v>
      </c>
      <c r="BK430" s="287">
        <f t="shared" si="239"/>
        <v>0</v>
      </c>
      <c r="BL430" s="287">
        <f t="shared" si="240"/>
        <v>0</v>
      </c>
      <c r="BM430" s="16"/>
      <c r="BN430" s="287">
        <f t="shared" si="241"/>
        <v>0</v>
      </c>
      <c r="BO430" s="287">
        <f t="shared" si="242"/>
        <v>0</v>
      </c>
      <c r="BP430" s="432">
        <f>BN430-AM430</f>
        <v>0</v>
      </c>
      <c r="BQ430" s="21"/>
      <c r="BR430" s="21"/>
      <c r="BS430" s="39" t="e">
        <v>#VALUE!</v>
      </c>
      <c r="BT430" s="39"/>
      <c r="BU430" s="334">
        <v>11042595.080500003</v>
      </c>
      <c r="BV430" s="334">
        <v>11042595.080500003</v>
      </c>
      <c r="BW430" s="39"/>
      <c r="BX430" s="39"/>
      <c r="BY430" s="39"/>
      <c r="BZ430" s="39">
        <v>417</v>
      </c>
      <c r="CA430" s="39" t="str">
        <f t="shared" si="243"/>
        <v/>
      </c>
      <c r="CB430" s="39"/>
      <c r="CC430" s="39"/>
      <c r="CD430" s="39"/>
      <c r="CE430" s="39"/>
      <c r="CF430" s="39"/>
      <c r="CG430" s="39"/>
      <c r="CH430" s="39"/>
      <c r="CI430" s="39"/>
      <c r="CJ430" s="39"/>
      <c r="CK430" s="39"/>
    </row>
    <row r="431" spans="1:89" s="193" customFormat="1">
      <c r="A431" s="195"/>
      <c r="B431" s="21" t="str">
        <f t="shared" si="217"/>
        <v>N/A</v>
      </c>
      <c r="C431" s="21"/>
      <c r="D431" s="432"/>
      <c r="E431" s="439" t="s">
        <v>3626</v>
      </c>
      <c r="F431" s="439"/>
      <c r="G431" s="273" t="s">
        <v>3103</v>
      </c>
      <c r="H431" s="358"/>
      <c r="I431" s="262" t="s">
        <v>3162</v>
      </c>
      <c r="J431" s="262"/>
      <c r="K431" s="263">
        <v>6240000</v>
      </c>
      <c r="L431" s="263">
        <v>5810222.6470318921</v>
      </c>
      <c r="M431" s="263">
        <v>5835108.7911910405</v>
      </c>
      <c r="N431" s="263">
        <v>5847825.8426124156</v>
      </c>
      <c r="O431" s="263">
        <v>5858326.7491264241</v>
      </c>
      <c r="P431" s="263">
        <v>7375015.5899999999</v>
      </c>
      <c r="Q431" s="263">
        <v>8077120.158999417</v>
      </c>
      <c r="R431" s="263">
        <v>8560108.2601097785</v>
      </c>
      <c r="S431" s="263">
        <v>8754606.6192765795</v>
      </c>
      <c r="T431" s="263">
        <v>9216424.8653420992</v>
      </c>
      <c r="U431" s="263">
        <f t="shared" si="244"/>
        <v>71574759.523689643</v>
      </c>
      <c r="V431" s="196" t="str">
        <f t="shared" si="218"/>
        <v>R</v>
      </c>
      <c r="W431" s="196" t="s">
        <v>1168</v>
      </c>
      <c r="X431" s="196" t="str">
        <f t="shared" si="246"/>
        <v>N</v>
      </c>
      <c r="Y431" s="197">
        <f t="shared" si="247"/>
        <v>0</v>
      </c>
      <c r="Z431" s="198"/>
      <c r="AA431" s="197">
        <f t="shared" si="219"/>
        <v>0</v>
      </c>
      <c r="AB431" s="196"/>
      <c r="AC431" s="196"/>
      <c r="AD431" s="275">
        <v>0</v>
      </c>
      <c r="AE431" s="275">
        <v>0</v>
      </c>
      <c r="AF431" s="275">
        <v>1</v>
      </c>
      <c r="AG431" s="199"/>
      <c r="AH431" s="199"/>
      <c r="AI431" s="377">
        <f t="shared" si="220"/>
        <v>0</v>
      </c>
      <c r="AJ431" s="203"/>
      <c r="AK431" s="203"/>
      <c r="AL431" s="197">
        <f t="shared" si="214"/>
        <v>0</v>
      </c>
      <c r="AM431" s="197">
        <f t="shared" si="215"/>
        <v>0</v>
      </c>
      <c r="AN431" s="197">
        <f t="shared" si="216"/>
        <v>0</v>
      </c>
      <c r="AO431" s="202"/>
      <c r="AP431" s="161" t="s">
        <v>3900</v>
      </c>
      <c r="AQ431" s="279"/>
      <c r="AR431" s="287">
        <f t="shared" si="221"/>
        <v>0</v>
      </c>
      <c r="AS431" s="287">
        <f t="shared" si="222"/>
        <v>0</v>
      </c>
      <c r="AT431" s="287">
        <f t="shared" si="223"/>
        <v>0</v>
      </c>
      <c r="AU431" s="287">
        <f t="shared" si="224"/>
        <v>0</v>
      </c>
      <c r="AV431" s="287">
        <f t="shared" si="225"/>
        <v>0</v>
      </c>
      <c r="AW431" s="287">
        <f t="shared" si="226"/>
        <v>0</v>
      </c>
      <c r="AX431" s="287">
        <f t="shared" si="227"/>
        <v>0</v>
      </c>
      <c r="AY431" s="287">
        <f t="shared" si="228"/>
        <v>0</v>
      </c>
      <c r="AZ431" s="287">
        <f t="shared" si="229"/>
        <v>0</v>
      </c>
      <c r="BA431" s="287">
        <f t="shared" si="230"/>
        <v>0</v>
      </c>
      <c r="BB431" s="16"/>
      <c r="BC431" s="287">
        <f t="shared" si="231"/>
        <v>0</v>
      </c>
      <c r="BD431" s="287">
        <f t="shared" si="232"/>
        <v>0</v>
      </c>
      <c r="BE431" s="287">
        <f t="shared" si="233"/>
        <v>0</v>
      </c>
      <c r="BF431" s="287">
        <f t="shared" si="234"/>
        <v>0</v>
      </c>
      <c r="BG431" s="287">
        <f t="shared" si="235"/>
        <v>0</v>
      </c>
      <c r="BH431" s="287">
        <f t="shared" si="236"/>
        <v>0</v>
      </c>
      <c r="BI431" s="287">
        <f t="shared" si="237"/>
        <v>0</v>
      </c>
      <c r="BJ431" s="287">
        <f t="shared" si="238"/>
        <v>0</v>
      </c>
      <c r="BK431" s="287">
        <f t="shared" si="239"/>
        <v>0</v>
      </c>
      <c r="BL431" s="287">
        <f t="shared" si="240"/>
        <v>0</v>
      </c>
      <c r="BM431" s="16"/>
      <c r="BN431" s="287">
        <f t="shared" si="241"/>
        <v>0</v>
      </c>
      <c r="BO431" s="287">
        <f t="shared" si="242"/>
        <v>0</v>
      </c>
      <c r="BP431" s="432">
        <f>BN431-AM431</f>
        <v>0</v>
      </c>
      <c r="BQ431" s="21"/>
      <c r="BR431" s="21"/>
      <c r="BS431" s="39" t="e">
        <v>#VALUE!</v>
      </c>
      <c r="BT431" s="39"/>
      <c r="BU431" s="334">
        <v>25861226.282751016</v>
      </c>
      <c r="BV431" s="334">
        <v>12737618.915384827</v>
      </c>
      <c r="BW431" s="39"/>
      <c r="BX431" s="39"/>
      <c r="BY431" s="39"/>
      <c r="BZ431" s="39">
        <v>418</v>
      </c>
      <c r="CA431" s="39" t="str">
        <f t="shared" si="243"/>
        <v/>
      </c>
      <c r="CB431" s="39"/>
      <c r="CC431" s="39"/>
      <c r="CD431" s="39"/>
      <c r="CE431" s="39"/>
      <c r="CF431" s="39"/>
      <c r="CG431" s="39"/>
      <c r="CH431" s="39"/>
      <c r="CI431" s="39"/>
      <c r="CJ431" s="39"/>
      <c r="CK431" s="39"/>
    </row>
    <row r="432" spans="1:89" s="193" customFormat="1">
      <c r="A432" s="195"/>
      <c r="B432" s="21" t="str">
        <f t="shared" si="217"/>
        <v>N/A</v>
      </c>
      <c r="C432" s="21"/>
      <c r="D432" s="432"/>
      <c r="E432" s="439" t="s">
        <v>3626</v>
      </c>
      <c r="F432" s="439"/>
      <c r="G432" s="273" t="s">
        <v>3104</v>
      </c>
      <c r="H432" s="358"/>
      <c r="I432" s="262" t="s">
        <v>3161</v>
      </c>
      <c r="J432" s="262"/>
      <c r="K432" s="263">
        <v>1040000</v>
      </c>
      <c r="L432" s="263">
        <v>984256</v>
      </c>
      <c r="M432" s="263">
        <v>1087765.1200000001</v>
      </c>
      <c r="N432" s="263">
        <v>1024156.9355999999</v>
      </c>
      <c r="O432" s="263">
        <v>997353.71769600001</v>
      </c>
      <c r="P432" s="263">
        <v>1299333.3297833998</v>
      </c>
      <c r="Q432" s="263">
        <v>1209250.2653375519</v>
      </c>
      <c r="R432" s="263">
        <v>1092598.0598016754</v>
      </c>
      <c r="S432" s="263">
        <v>1825563.3503210491</v>
      </c>
      <c r="T432" s="263">
        <v>1563991.2214603235</v>
      </c>
      <c r="U432" s="263">
        <f t="shared" si="244"/>
        <v>12124268</v>
      </c>
      <c r="V432" s="196" t="str">
        <f t="shared" si="218"/>
        <v>LOS</v>
      </c>
      <c r="W432" s="196" t="s">
        <v>1168</v>
      </c>
      <c r="X432" s="196" t="str">
        <f t="shared" si="246"/>
        <v>N</v>
      </c>
      <c r="Y432" s="197">
        <f t="shared" si="247"/>
        <v>0</v>
      </c>
      <c r="Z432" s="198"/>
      <c r="AA432" s="197">
        <f t="shared" si="219"/>
        <v>0</v>
      </c>
      <c r="AB432" s="196"/>
      <c r="AC432" s="196"/>
      <c r="AD432" s="275">
        <v>0</v>
      </c>
      <c r="AE432" s="275">
        <v>1</v>
      </c>
      <c r="AF432" s="275">
        <v>0</v>
      </c>
      <c r="AG432" s="199"/>
      <c r="AH432" s="199"/>
      <c r="AI432" s="377">
        <f t="shared" si="220"/>
        <v>0</v>
      </c>
      <c r="AJ432" s="203"/>
      <c r="AK432" s="203"/>
      <c r="AL432" s="197">
        <f t="shared" si="214"/>
        <v>0</v>
      </c>
      <c r="AM432" s="197">
        <f t="shared" si="215"/>
        <v>0</v>
      </c>
      <c r="AN432" s="197">
        <f t="shared" si="216"/>
        <v>0</v>
      </c>
      <c r="AO432" s="202"/>
      <c r="AP432" s="161" t="s">
        <v>3900</v>
      </c>
      <c r="AQ432" s="279"/>
      <c r="AR432" s="287">
        <f t="shared" si="221"/>
        <v>0</v>
      </c>
      <c r="AS432" s="287">
        <f t="shared" si="222"/>
        <v>0</v>
      </c>
      <c r="AT432" s="287">
        <f t="shared" si="223"/>
        <v>0</v>
      </c>
      <c r="AU432" s="287">
        <f t="shared" si="224"/>
        <v>0</v>
      </c>
      <c r="AV432" s="287">
        <f t="shared" si="225"/>
        <v>0</v>
      </c>
      <c r="AW432" s="287">
        <f t="shared" si="226"/>
        <v>0</v>
      </c>
      <c r="AX432" s="287">
        <f t="shared" si="227"/>
        <v>0</v>
      </c>
      <c r="AY432" s="287">
        <f t="shared" si="228"/>
        <v>0</v>
      </c>
      <c r="AZ432" s="287">
        <f t="shared" si="229"/>
        <v>0</v>
      </c>
      <c r="BA432" s="287">
        <f t="shared" si="230"/>
        <v>0</v>
      </c>
      <c r="BB432" s="16"/>
      <c r="BC432" s="287">
        <f t="shared" si="231"/>
        <v>0</v>
      </c>
      <c r="BD432" s="287">
        <f t="shared" si="232"/>
        <v>0</v>
      </c>
      <c r="BE432" s="287">
        <f t="shared" si="233"/>
        <v>0</v>
      </c>
      <c r="BF432" s="287">
        <f t="shared" si="234"/>
        <v>0</v>
      </c>
      <c r="BG432" s="287">
        <f t="shared" si="235"/>
        <v>0</v>
      </c>
      <c r="BH432" s="287">
        <f t="shared" si="236"/>
        <v>0</v>
      </c>
      <c r="BI432" s="287">
        <f t="shared" si="237"/>
        <v>0</v>
      </c>
      <c r="BJ432" s="287">
        <f t="shared" si="238"/>
        <v>0</v>
      </c>
      <c r="BK432" s="287">
        <f t="shared" si="239"/>
        <v>0</v>
      </c>
      <c r="BL432" s="287">
        <f t="shared" si="240"/>
        <v>0</v>
      </c>
      <c r="BM432" s="16"/>
      <c r="BN432" s="287">
        <f t="shared" si="241"/>
        <v>0</v>
      </c>
      <c r="BO432" s="287">
        <f t="shared" si="242"/>
        <v>0</v>
      </c>
      <c r="BP432" s="432">
        <f>BN432-AM432</f>
        <v>0</v>
      </c>
      <c r="BQ432" s="21"/>
      <c r="BR432" s="21"/>
      <c r="BS432" s="39" t="e">
        <v>#VALUE!</v>
      </c>
      <c r="BT432" s="39"/>
      <c r="BU432" s="334">
        <v>13772078.710555112</v>
      </c>
      <c r="BV432" s="334">
        <v>27961493.139611892</v>
      </c>
      <c r="BW432" s="39"/>
      <c r="BX432" s="39"/>
      <c r="BY432" s="39"/>
      <c r="BZ432" s="39">
        <v>419</v>
      </c>
      <c r="CA432" s="39" t="str">
        <f t="shared" si="243"/>
        <v/>
      </c>
      <c r="CB432" s="39"/>
      <c r="CC432" s="39"/>
      <c r="CD432" s="39"/>
      <c r="CE432" s="39"/>
      <c r="CF432" s="39"/>
      <c r="CG432" s="39"/>
      <c r="CH432" s="39"/>
      <c r="CI432" s="39"/>
      <c r="CJ432" s="39"/>
      <c r="CK432" s="39"/>
    </row>
    <row r="433" spans="1:89" s="193" customFormat="1">
      <c r="A433" s="195"/>
      <c r="B433" s="21" t="str">
        <f t="shared" si="217"/>
        <v>N/A</v>
      </c>
      <c r="C433" s="21"/>
      <c r="D433" s="432"/>
      <c r="E433" s="439" t="s">
        <v>3626</v>
      </c>
      <c r="F433" s="439" t="s">
        <v>4032</v>
      </c>
      <c r="G433" s="273" t="s">
        <v>4031</v>
      </c>
      <c r="H433" s="358"/>
      <c r="I433" s="262" t="s">
        <v>3491</v>
      </c>
      <c r="J433" s="262" t="s">
        <v>4221</v>
      </c>
      <c r="K433" s="263">
        <v>90800</v>
      </c>
      <c r="L433" s="263">
        <v>0</v>
      </c>
      <c r="M433" s="263">
        <v>0</v>
      </c>
      <c r="N433" s="263">
        <v>0</v>
      </c>
      <c r="O433" s="263">
        <v>0</v>
      </c>
      <c r="P433" s="263">
        <v>0</v>
      </c>
      <c r="Q433" s="263">
        <v>0</v>
      </c>
      <c r="R433" s="263">
        <v>0</v>
      </c>
      <c r="S433" s="263">
        <v>0</v>
      </c>
      <c r="T433" s="263">
        <v>0</v>
      </c>
      <c r="U433" s="263">
        <f t="shared" si="244"/>
        <v>90800</v>
      </c>
      <c r="V433" s="196" t="str">
        <f t="shared" si="218"/>
        <v>CHECK</v>
      </c>
      <c r="W433" s="196" t="s">
        <v>1168</v>
      </c>
      <c r="X433" s="196" t="str">
        <f t="shared" si="246"/>
        <v>N</v>
      </c>
      <c r="Y433" s="197">
        <f>SUM(K433:T433)</f>
        <v>90800</v>
      </c>
      <c r="Z433" s="198"/>
      <c r="AA433" s="197">
        <f t="shared" si="219"/>
        <v>90800</v>
      </c>
      <c r="AB433" s="196" t="s">
        <v>1168</v>
      </c>
      <c r="AC433" s="196"/>
      <c r="AD433" s="275"/>
      <c r="AE433" s="275"/>
      <c r="AF433" s="275"/>
      <c r="AG433" s="442"/>
      <c r="AH433" s="442"/>
      <c r="AI433" s="200">
        <f t="shared" si="220"/>
        <v>0</v>
      </c>
      <c r="AJ433" s="203"/>
      <c r="AK433" s="203"/>
      <c r="AL433" s="197">
        <f t="shared" si="214"/>
        <v>90800</v>
      </c>
      <c r="AM433" s="197">
        <f t="shared" si="215"/>
        <v>0</v>
      </c>
      <c r="AN433" s="197">
        <f t="shared" si="216"/>
        <v>0</v>
      </c>
      <c r="AO433" s="202"/>
      <c r="AP433" s="161" t="s">
        <v>3900</v>
      </c>
      <c r="AQ433" s="279" t="s">
        <v>4347</v>
      </c>
      <c r="AR433" s="287">
        <f t="shared" si="221"/>
        <v>0</v>
      </c>
      <c r="AS433" s="287">
        <f t="shared" si="222"/>
        <v>0</v>
      </c>
      <c r="AT433" s="287">
        <f t="shared" si="223"/>
        <v>0</v>
      </c>
      <c r="AU433" s="287">
        <f t="shared" si="224"/>
        <v>0</v>
      </c>
      <c r="AV433" s="287">
        <f t="shared" si="225"/>
        <v>0</v>
      </c>
      <c r="AW433" s="287">
        <f t="shared" si="226"/>
        <v>0</v>
      </c>
      <c r="AX433" s="287">
        <f t="shared" si="227"/>
        <v>0</v>
      </c>
      <c r="AY433" s="287">
        <f t="shared" si="228"/>
        <v>0</v>
      </c>
      <c r="AZ433" s="287">
        <f t="shared" si="229"/>
        <v>0</v>
      </c>
      <c r="BA433" s="287">
        <f t="shared" si="230"/>
        <v>0</v>
      </c>
      <c r="BB433" s="16"/>
      <c r="BC433" s="287">
        <f t="shared" si="231"/>
        <v>0</v>
      </c>
      <c r="BD433" s="287">
        <f t="shared" si="232"/>
        <v>0</v>
      </c>
      <c r="BE433" s="287">
        <f t="shared" si="233"/>
        <v>0</v>
      </c>
      <c r="BF433" s="287">
        <f t="shared" si="234"/>
        <v>0</v>
      </c>
      <c r="BG433" s="287">
        <f t="shared" si="235"/>
        <v>0</v>
      </c>
      <c r="BH433" s="287">
        <f t="shared" si="236"/>
        <v>0</v>
      </c>
      <c r="BI433" s="287">
        <f t="shared" si="237"/>
        <v>0</v>
      </c>
      <c r="BJ433" s="287">
        <f t="shared" si="238"/>
        <v>0</v>
      </c>
      <c r="BK433" s="287">
        <f t="shared" si="239"/>
        <v>0</v>
      </c>
      <c r="BL433" s="287">
        <f t="shared" si="240"/>
        <v>0</v>
      </c>
      <c r="BM433" s="16"/>
      <c r="BN433" s="287">
        <f t="shared" si="241"/>
        <v>0</v>
      </c>
      <c r="BO433" s="287">
        <f t="shared" si="242"/>
        <v>0</v>
      </c>
      <c r="BP433" s="432"/>
      <c r="BQ433" s="21"/>
      <c r="BR433" s="21"/>
      <c r="BS433" s="39"/>
      <c r="BT433" s="334">
        <f>+BN433+BO433</f>
        <v>0</v>
      </c>
      <c r="BU433" s="334">
        <f>+AM433</f>
        <v>0</v>
      </c>
      <c r="BV433" s="334">
        <f>+AN433</f>
        <v>0</v>
      </c>
      <c r="BW433" s="334">
        <f>+BT433-BU433-BV433</f>
        <v>0</v>
      </c>
      <c r="BX433" s="39"/>
      <c r="BY433" s="39"/>
      <c r="BZ433" s="39">
        <v>420</v>
      </c>
      <c r="CA433" s="39" t="str">
        <f t="shared" si="243"/>
        <v/>
      </c>
      <c r="CB433" s="39"/>
      <c r="CC433" s="39"/>
      <c r="CD433" s="39"/>
      <c r="CE433" s="39"/>
      <c r="CF433" s="39"/>
      <c r="CG433" s="39"/>
      <c r="CH433" s="39"/>
      <c r="CI433" s="39"/>
      <c r="CJ433" s="39"/>
      <c r="CK433" s="39"/>
    </row>
    <row r="434" spans="1:89" s="193" customFormat="1">
      <c r="A434" s="195"/>
      <c r="B434" s="21" t="str">
        <f t="shared" si="217"/>
        <v>N/A</v>
      </c>
      <c r="C434" s="21"/>
      <c r="D434" s="432"/>
      <c r="E434" s="439" t="s">
        <v>3626</v>
      </c>
      <c r="F434" s="439"/>
      <c r="G434" s="273" t="s">
        <v>3106</v>
      </c>
      <c r="H434" s="358"/>
      <c r="I434" s="262" t="s">
        <v>3160</v>
      </c>
      <c r="J434" s="262"/>
      <c r="K434" s="263">
        <v>104000</v>
      </c>
      <c r="L434" s="263">
        <v>98425.600000000006</v>
      </c>
      <c r="M434" s="263">
        <v>108776.156</v>
      </c>
      <c r="N434" s="263">
        <v>102415.65528000001</v>
      </c>
      <c r="O434" s="263">
        <v>99735.499684800001</v>
      </c>
      <c r="P434" s="263">
        <v>129933.46111141999</v>
      </c>
      <c r="Q434" s="263">
        <v>120924.77085867357</v>
      </c>
      <c r="R434" s="263">
        <v>109259.9690354973</v>
      </c>
      <c r="S434" s="263">
        <v>182556.81810694429</v>
      </c>
      <c r="T434" s="263">
        <v>156399.06992266481</v>
      </c>
      <c r="U434" s="263">
        <f t="shared" si="244"/>
        <v>1212427</v>
      </c>
      <c r="V434" s="196" t="str">
        <f t="shared" si="218"/>
        <v>LOS</v>
      </c>
      <c r="W434" s="196" t="s">
        <v>1168</v>
      </c>
      <c r="X434" s="196" t="str">
        <f t="shared" si="246"/>
        <v>N</v>
      </c>
      <c r="Y434" s="197">
        <f t="shared" ref="Y434:Y449" si="248">IF(X434="N",0,SUM(K434:T434))</f>
        <v>0</v>
      </c>
      <c r="Z434" s="198"/>
      <c r="AA434" s="197">
        <f t="shared" si="219"/>
        <v>0</v>
      </c>
      <c r="AB434" s="196"/>
      <c r="AC434" s="196"/>
      <c r="AD434" s="275">
        <v>0</v>
      </c>
      <c r="AE434" s="275">
        <v>1</v>
      </c>
      <c r="AF434" s="275">
        <v>0</v>
      </c>
      <c r="AG434" s="199"/>
      <c r="AH434" s="199"/>
      <c r="AI434" s="377">
        <f t="shared" si="220"/>
        <v>0</v>
      </c>
      <c r="AJ434" s="203"/>
      <c r="AK434" s="203"/>
      <c r="AL434" s="197">
        <f t="shared" si="214"/>
        <v>0</v>
      </c>
      <c r="AM434" s="197">
        <f t="shared" si="215"/>
        <v>0</v>
      </c>
      <c r="AN434" s="197">
        <f t="shared" si="216"/>
        <v>0</v>
      </c>
      <c r="AO434" s="202"/>
      <c r="AP434" s="161" t="s">
        <v>3900</v>
      </c>
      <c r="AQ434" s="279"/>
      <c r="AR434" s="287">
        <f t="shared" si="221"/>
        <v>0</v>
      </c>
      <c r="AS434" s="287">
        <f t="shared" si="222"/>
        <v>0</v>
      </c>
      <c r="AT434" s="287">
        <f t="shared" si="223"/>
        <v>0</v>
      </c>
      <c r="AU434" s="287">
        <f t="shared" si="224"/>
        <v>0</v>
      </c>
      <c r="AV434" s="287">
        <f t="shared" si="225"/>
        <v>0</v>
      </c>
      <c r="AW434" s="287">
        <f t="shared" si="226"/>
        <v>0</v>
      </c>
      <c r="AX434" s="287">
        <f t="shared" si="227"/>
        <v>0</v>
      </c>
      <c r="AY434" s="287">
        <f t="shared" si="228"/>
        <v>0</v>
      </c>
      <c r="AZ434" s="287">
        <f t="shared" si="229"/>
        <v>0</v>
      </c>
      <c r="BA434" s="287">
        <f t="shared" si="230"/>
        <v>0</v>
      </c>
      <c r="BB434" s="16"/>
      <c r="BC434" s="287">
        <f t="shared" si="231"/>
        <v>0</v>
      </c>
      <c r="BD434" s="287">
        <f t="shared" si="232"/>
        <v>0</v>
      </c>
      <c r="BE434" s="287">
        <f t="shared" si="233"/>
        <v>0</v>
      </c>
      <c r="BF434" s="287">
        <f t="shared" si="234"/>
        <v>0</v>
      </c>
      <c r="BG434" s="287">
        <f t="shared" si="235"/>
        <v>0</v>
      </c>
      <c r="BH434" s="287">
        <f t="shared" si="236"/>
        <v>0</v>
      </c>
      <c r="BI434" s="287">
        <f t="shared" si="237"/>
        <v>0</v>
      </c>
      <c r="BJ434" s="287">
        <f t="shared" si="238"/>
        <v>0</v>
      </c>
      <c r="BK434" s="287">
        <f t="shared" si="239"/>
        <v>0</v>
      </c>
      <c r="BL434" s="287">
        <f t="shared" si="240"/>
        <v>0</v>
      </c>
      <c r="BM434" s="16"/>
      <c r="BN434" s="287">
        <f t="shared" si="241"/>
        <v>0</v>
      </c>
      <c r="BO434" s="287">
        <f t="shared" si="242"/>
        <v>0</v>
      </c>
      <c r="BP434" s="432">
        <f>BN434-AM434</f>
        <v>0</v>
      </c>
      <c r="BQ434" s="21"/>
      <c r="BR434" s="21"/>
      <c r="BS434" s="39" t="e">
        <v>#VALUE!</v>
      </c>
      <c r="BT434" s="39"/>
      <c r="BU434" s="334">
        <v>8763898.5</v>
      </c>
      <c r="BV434" s="334">
        <v>0</v>
      </c>
      <c r="BW434" s="39"/>
      <c r="BX434" s="39"/>
      <c r="BY434" s="39"/>
      <c r="BZ434" s="39">
        <v>421</v>
      </c>
      <c r="CA434" s="39" t="str">
        <f t="shared" si="243"/>
        <v/>
      </c>
      <c r="CB434" s="39"/>
      <c r="CC434" s="39"/>
      <c r="CD434" s="39"/>
      <c r="CE434" s="39"/>
      <c r="CF434" s="39"/>
      <c r="CG434" s="39"/>
      <c r="CH434" s="39"/>
      <c r="CI434" s="39"/>
      <c r="CJ434" s="39"/>
      <c r="CK434" s="39"/>
    </row>
    <row r="435" spans="1:89" s="193" customFormat="1">
      <c r="A435" s="195"/>
      <c r="B435" s="21" t="str">
        <f t="shared" si="217"/>
        <v>N/A</v>
      </c>
      <c r="C435" s="21"/>
      <c r="D435" s="432"/>
      <c r="E435" s="439" t="s">
        <v>3626</v>
      </c>
      <c r="F435" s="439"/>
      <c r="G435" s="273" t="s">
        <v>3107</v>
      </c>
      <c r="H435" s="358"/>
      <c r="I435" s="262" t="s">
        <v>3161</v>
      </c>
      <c r="J435" s="262"/>
      <c r="K435" s="263">
        <v>167232</v>
      </c>
      <c r="L435" s="263">
        <v>156492.53999828346</v>
      </c>
      <c r="M435" s="263">
        <v>157953.68812803016</v>
      </c>
      <c r="N435" s="263">
        <v>159082.97088306342</v>
      </c>
      <c r="O435" s="263">
        <v>160171.11849936255</v>
      </c>
      <c r="P435" s="263">
        <v>202646.41</v>
      </c>
      <c r="Q435" s="263">
        <v>223052.3452982335</v>
      </c>
      <c r="R435" s="263">
        <v>237557.05817251242</v>
      </c>
      <c r="S435" s="263">
        <v>244184.01623267314</v>
      </c>
      <c r="T435" s="263">
        <v>258351.15641522134</v>
      </c>
      <c r="U435" s="263">
        <f t="shared" si="244"/>
        <v>1966723.3036273799</v>
      </c>
      <c r="V435" s="196" t="str">
        <f t="shared" si="218"/>
        <v>R</v>
      </c>
      <c r="W435" s="196" t="s">
        <v>1168</v>
      </c>
      <c r="X435" s="196" t="str">
        <f t="shared" si="246"/>
        <v>N</v>
      </c>
      <c r="Y435" s="197">
        <f t="shared" si="248"/>
        <v>0</v>
      </c>
      <c r="Z435" s="198"/>
      <c r="AA435" s="197">
        <f t="shared" si="219"/>
        <v>0</v>
      </c>
      <c r="AB435" s="196"/>
      <c r="AC435" s="196"/>
      <c r="AD435" s="275">
        <v>0</v>
      </c>
      <c r="AE435" s="275">
        <v>0</v>
      </c>
      <c r="AF435" s="275">
        <v>1</v>
      </c>
      <c r="AG435" s="199"/>
      <c r="AH435" s="199"/>
      <c r="AI435" s="377">
        <f t="shared" si="220"/>
        <v>0</v>
      </c>
      <c r="AJ435" s="203"/>
      <c r="AK435" s="203"/>
      <c r="AL435" s="197">
        <f t="shared" si="214"/>
        <v>0</v>
      </c>
      <c r="AM435" s="197">
        <f t="shared" si="215"/>
        <v>0</v>
      </c>
      <c r="AN435" s="197">
        <f t="shared" si="216"/>
        <v>0</v>
      </c>
      <c r="AO435" s="202"/>
      <c r="AP435" s="161" t="s">
        <v>3900</v>
      </c>
      <c r="AQ435" s="279"/>
      <c r="AR435" s="287">
        <f t="shared" si="221"/>
        <v>0</v>
      </c>
      <c r="AS435" s="287">
        <f t="shared" si="222"/>
        <v>0</v>
      </c>
      <c r="AT435" s="287">
        <f t="shared" si="223"/>
        <v>0</v>
      </c>
      <c r="AU435" s="287">
        <f t="shared" si="224"/>
        <v>0</v>
      </c>
      <c r="AV435" s="287">
        <f t="shared" si="225"/>
        <v>0</v>
      </c>
      <c r="AW435" s="287">
        <f t="shared" si="226"/>
        <v>0</v>
      </c>
      <c r="AX435" s="287">
        <f t="shared" si="227"/>
        <v>0</v>
      </c>
      <c r="AY435" s="287">
        <f t="shared" si="228"/>
        <v>0</v>
      </c>
      <c r="AZ435" s="287">
        <f t="shared" si="229"/>
        <v>0</v>
      </c>
      <c r="BA435" s="287">
        <f t="shared" si="230"/>
        <v>0</v>
      </c>
      <c r="BB435" s="16"/>
      <c r="BC435" s="287">
        <f t="shared" si="231"/>
        <v>0</v>
      </c>
      <c r="BD435" s="287">
        <f t="shared" si="232"/>
        <v>0</v>
      </c>
      <c r="BE435" s="287">
        <f t="shared" si="233"/>
        <v>0</v>
      </c>
      <c r="BF435" s="287">
        <f t="shared" si="234"/>
        <v>0</v>
      </c>
      <c r="BG435" s="287">
        <f t="shared" si="235"/>
        <v>0</v>
      </c>
      <c r="BH435" s="287">
        <f t="shared" si="236"/>
        <v>0</v>
      </c>
      <c r="BI435" s="287">
        <f t="shared" si="237"/>
        <v>0</v>
      </c>
      <c r="BJ435" s="287">
        <f t="shared" si="238"/>
        <v>0</v>
      </c>
      <c r="BK435" s="287">
        <f t="shared" si="239"/>
        <v>0</v>
      </c>
      <c r="BL435" s="287">
        <f t="shared" si="240"/>
        <v>0</v>
      </c>
      <c r="BM435" s="16"/>
      <c r="BN435" s="287">
        <f t="shared" si="241"/>
        <v>0</v>
      </c>
      <c r="BO435" s="287">
        <f t="shared" si="242"/>
        <v>0</v>
      </c>
      <c r="BP435" s="432"/>
      <c r="BQ435" s="21"/>
      <c r="BR435" s="21"/>
      <c r="BS435" s="39" t="e">
        <v>#VALUE!</v>
      </c>
      <c r="BT435" s="39"/>
      <c r="BU435" s="334">
        <v>296675.46000000002</v>
      </c>
      <c r="BV435" s="334">
        <v>0</v>
      </c>
      <c r="BW435" s="39"/>
      <c r="BX435" s="39"/>
      <c r="BY435" s="39"/>
      <c r="BZ435" s="39">
        <v>422</v>
      </c>
      <c r="CA435" s="39" t="str">
        <f t="shared" si="243"/>
        <v/>
      </c>
      <c r="CB435" s="39"/>
      <c r="CC435" s="39"/>
      <c r="CD435" s="39"/>
      <c r="CE435" s="39"/>
      <c r="CF435" s="39"/>
      <c r="CG435" s="39"/>
      <c r="CH435" s="39"/>
      <c r="CI435" s="39"/>
      <c r="CJ435" s="39"/>
      <c r="CK435" s="39"/>
    </row>
    <row r="436" spans="1:89" s="193" customFormat="1">
      <c r="A436" s="195"/>
      <c r="B436" s="21" t="str">
        <f t="shared" si="217"/>
        <v>N/A</v>
      </c>
      <c r="C436" s="21"/>
      <c r="D436" s="432"/>
      <c r="E436" s="439" t="s">
        <v>3626</v>
      </c>
      <c r="F436" s="439"/>
      <c r="G436" s="273" t="s">
        <v>3108</v>
      </c>
      <c r="H436" s="358"/>
      <c r="I436" s="262" t="s">
        <v>3161</v>
      </c>
      <c r="J436" s="262"/>
      <c r="K436" s="263">
        <v>408050.24</v>
      </c>
      <c r="L436" s="263">
        <v>565132.278073375</v>
      </c>
      <c r="M436" s="263">
        <v>923999.5956089478</v>
      </c>
      <c r="N436" s="263">
        <v>1270929.2701332071</v>
      </c>
      <c r="O436" s="263">
        <v>1579752.5682037545</v>
      </c>
      <c r="P436" s="263">
        <v>2264906.71</v>
      </c>
      <c r="Q436" s="263">
        <v>2806048.9341095355</v>
      </c>
      <c r="R436" s="263">
        <v>3266896.7246634071</v>
      </c>
      <c r="S436" s="263">
        <v>3815773.0285276249</v>
      </c>
      <c r="T436" s="263">
        <v>4549506.3475686703</v>
      </c>
      <c r="U436" s="263">
        <f t="shared" si="244"/>
        <v>21450995.696888521</v>
      </c>
      <c r="V436" s="196" t="str">
        <f t="shared" si="218"/>
        <v>R</v>
      </c>
      <c r="W436" s="196" t="s">
        <v>1168</v>
      </c>
      <c r="X436" s="196" t="str">
        <f t="shared" si="246"/>
        <v>N</v>
      </c>
      <c r="Y436" s="197">
        <f t="shared" si="248"/>
        <v>0</v>
      </c>
      <c r="Z436" s="198"/>
      <c r="AA436" s="197">
        <f t="shared" si="219"/>
        <v>0</v>
      </c>
      <c r="AB436" s="196"/>
      <c r="AC436" s="196"/>
      <c r="AD436" s="275">
        <v>0</v>
      </c>
      <c r="AE436" s="275">
        <v>0</v>
      </c>
      <c r="AF436" s="275">
        <v>1</v>
      </c>
      <c r="AG436" s="199"/>
      <c r="AH436" s="199"/>
      <c r="AI436" s="377">
        <f t="shared" si="220"/>
        <v>0</v>
      </c>
      <c r="AJ436" s="203"/>
      <c r="AK436" s="203"/>
      <c r="AL436" s="197">
        <f t="shared" si="214"/>
        <v>0</v>
      </c>
      <c r="AM436" s="197">
        <f t="shared" si="215"/>
        <v>0</v>
      </c>
      <c r="AN436" s="197">
        <f t="shared" si="216"/>
        <v>0</v>
      </c>
      <c r="AO436" s="202"/>
      <c r="AP436" s="161" t="s">
        <v>3900</v>
      </c>
      <c r="AQ436" s="279"/>
      <c r="AR436" s="287">
        <f t="shared" si="221"/>
        <v>0</v>
      </c>
      <c r="AS436" s="287">
        <f t="shared" si="222"/>
        <v>0</v>
      </c>
      <c r="AT436" s="287">
        <f t="shared" si="223"/>
        <v>0</v>
      </c>
      <c r="AU436" s="287">
        <f t="shared" si="224"/>
        <v>0</v>
      </c>
      <c r="AV436" s="287">
        <f t="shared" si="225"/>
        <v>0</v>
      </c>
      <c r="AW436" s="287">
        <f t="shared" si="226"/>
        <v>0</v>
      </c>
      <c r="AX436" s="287">
        <f t="shared" si="227"/>
        <v>0</v>
      </c>
      <c r="AY436" s="287">
        <f t="shared" si="228"/>
        <v>0</v>
      </c>
      <c r="AZ436" s="287">
        <f t="shared" si="229"/>
        <v>0</v>
      </c>
      <c r="BA436" s="287">
        <f t="shared" si="230"/>
        <v>0</v>
      </c>
      <c r="BB436" s="16"/>
      <c r="BC436" s="287">
        <f t="shared" si="231"/>
        <v>0</v>
      </c>
      <c r="BD436" s="287">
        <f t="shared" si="232"/>
        <v>0</v>
      </c>
      <c r="BE436" s="287">
        <f t="shared" si="233"/>
        <v>0</v>
      </c>
      <c r="BF436" s="287">
        <f t="shared" si="234"/>
        <v>0</v>
      </c>
      <c r="BG436" s="287">
        <f t="shared" si="235"/>
        <v>0</v>
      </c>
      <c r="BH436" s="287">
        <f t="shared" si="236"/>
        <v>0</v>
      </c>
      <c r="BI436" s="287">
        <f t="shared" si="237"/>
        <v>0</v>
      </c>
      <c r="BJ436" s="287">
        <f t="shared" si="238"/>
        <v>0</v>
      </c>
      <c r="BK436" s="287">
        <f t="shared" si="239"/>
        <v>0</v>
      </c>
      <c r="BL436" s="287">
        <f t="shared" si="240"/>
        <v>0</v>
      </c>
      <c r="BM436" s="16"/>
      <c r="BN436" s="287">
        <f t="shared" si="241"/>
        <v>0</v>
      </c>
      <c r="BO436" s="287">
        <f t="shared" si="242"/>
        <v>0</v>
      </c>
      <c r="BP436" s="432"/>
      <c r="BQ436" s="21"/>
      <c r="BR436" s="21"/>
      <c r="BS436" s="39" t="e">
        <v>#VALUE!</v>
      </c>
      <c r="BT436" s="39"/>
      <c r="BU436" s="334">
        <v>455000</v>
      </c>
      <c r="BV436" s="334">
        <v>0</v>
      </c>
      <c r="BW436" s="39"/>
      <c r="BX436" s="39"/>
      <c r="BY436" s="39"/>
      <c r="BZ436" s="39">
        <v>423</v>
      </c>
      <c r="CA436" s="39" t="str">
        <f t="shared" si="243"/>
        <v/>
      </c>
      <c r="CB436" s="39"/>
      <c r="CC436" s="39"/>
      <c r="CD436" s="39"/>
      <c r="CE436" s="39"/>
      <c r="CF436" s="39"/>
      <c r="CG436" s="39"/>
      <c r="CH436" s="39"/>
      <c r="CI436" s="39"/>
      <c r="CJ436" s="39"/>
      <c r="CK436" s="39"/>
    </row>
    <row r="437" spans="1:89" s="193" customFormat="1">
      <c r="A437" s="195"/>
      <c r="B437" s="21" t="str">
        <f t="shared" si="217"/>
        <v>N/A</v>
      </c>
      <c r="C437" s="21"/>
      <c r="D437" s="432"/>
      <c r="E437" s="439" t="s">
        <v>3626</v>
      </c>
      <c r="F437" s="439"/>
      <c r="G437" s="273" t="s">
        <v>3109</v>
      </c>
      <c r="H437" s="358"/>
      <c r="I437" s="262" t="s">
        <v>3161</v>
      </c>
      <c r="J437" s="262"/>
      <c r="K437" s="263">
        <v>975730.08</v>
      </c>
      <c r="L437" s="263">
        <v>610204.11152915854</v>
      </c>
      <c r="M437" s="263">
        <v>556812.65129191207</v>
      </c>
      <c r="N437" s="263">
        <v>1034348.7340903366</v>
      </c>
      <c r="O437" s="263">
        <v>1562828.3897021862</v>
      </c>
      <c r="P437" s="263">
        <v>2481207.81</v>
      </c>
      <c r="Q437" s="263">
        <v>5116867.8671136741</v>
      </c>
      <c r="R437" s="263">
        <v>6521327.3149970602</v>
      </c>
      <c r="S437" s="263">
        <v>7774780.0415130202</v>
      </c>
      <c r="T437" s="263">
        <v>9287002.0156899653</v>
      </c>
      <c r="U437" s="263">
        <f t="shared" si="244"/>
        <v>35921109.015927315</v>
      </c>
      <c r="V437" s="196" t="str">
        <f t="shared" si="218"/>
        <v>R</v>
      </c>
      <c r="W437" s="196" t="s">
        <v>1168</v>
      </c>
      <c r="X437" s="196" t="str">
        <f t="shared" si="246"/>
        <v>N</v>
      </c>
      <c r="Y437" s="197">
        <f t="shared" si="248"/>
        <v>0</v>
      </c>
      <c r="Z437" s="198"/>
      <c r="AA437" s="197">
        <f t="shared" si="219"/>
        <v>0</v>
      </c>
      <c r="AB437" s="196"/>
      <c r="AC437" s="196"/>
      <c r="AD437" s="275">
        <v>0</v>
      </c>
      <c r="AE437" s="275">
        <v>0</v>
      </c>
      <c r="AF437" s="275">
        <v>1</v>
      </c>
      <c r="AG437" s="199"/>
      <c r="AH437" s="199"/>
      <c r="AI437" s="377">
        <f t="shared" si="220"/>
        <v>0</v>
      </c>
      <c r="AJ437" s="203"/>
      <c r="AK437" s="203"/>
      <c r="AL437" s="197">
        <f t="shared" si="214"/>
        <v>0</v>
      </c>
      <c r="AM437" s="197">
        <f t="shared" si="215"/>
        <v>0</v>
      </c>
      <c r="AN437" s="197">
        <f t="shared" si="216"/>
        <v>0</v>
      </c>
      <c r="AO437" s="202"/>
      <c r="AP437" s="161" t="s">
        <v>3900</v>
      </c>
      <c r="AQ437" s="279"/>
      <c r="AR437" s="287">
        <f t="shared" si="221"/>
        <v>0</v>
      </c>
      <c r="AS437" s="287">
        <f t="shared" si="222"/>
        <v>0</v>
      </c>
      <c r="AT437" s="287">
        <f t="shared" si="223"/>
        <v>0</v>
      </c>
      <c r="AU437" s="287">
        <f t="shared" si="224"/>
        <v>0</v>
      </c>
      <c r="AV437" s="287">
        <f t="shared" si="225"/>
        <v>0</v>
      </c>
      <c r="AW437" s="287">
        <f t="shared" si="226"/>
        <v>0</v>
      </c>
      <c r="AX437" s="287">
        <f t="shared" si="227"/>
        <v>0</v>
      </c>
      <c r="AY437" s="287">
        <f t="shared" si="228"/>
        <v>0</v>
      </c>
      <c r="AZ437" s="287">
        <f t="shared" si="229"/>
        <v>0</v>
      </c>
      <c r="BA437" s="287">
        <f t="shared" si="230"/>
        <v>0</v>
      </c>
      <c r="BB437" s="16"/>
      <c r="BC437" s="287">
        <f t="shared" si="231"/>
        <v>0</v>
      </c>
      <c r="BD437" s="287">
        <f t="shared" si="232"/>
        <v>0</v>
      </c>
      <c r="BE437" s="287">
        <f t="shared" si="233"/>
        <v>0</v>
      </c>
      <c r="BF437" s="287">
        <f t="shared" si="234"/>
        <v>0</v>
      </c>
      <c r="BG437" s="287">
        <f t="shared" si="235"/>
        <v>0</v>
      </c>
      <c r="BH437" s="287">
        <f t="shared" si="236"/>
        <v>0</v>
      </c>
      <c r="BI437" s="287">
        <f t="shared" si="237"/>
        <v>0</v>
      </c>
      <c r="BJ437" s="287">
        <f t="shared" si="238"/>
        <v>0</v>
      </c>
      <c r="BK437" s="287">
        <f t="shared" si="239"/>
        <v>0</v>
      </c>
      <c r="BL437" s="287">
        <f t="shared" si="240"/>
        <v>0</v>
      </c>
      <c r="BM437" s="16"/>
      <c r="BN437" s="287">
        <f t="shared" si="241"/>
        <v>0</v>
      </c>
      <c r="BO437" s="287">
        <f t="shared" si="242"/>
        <v>0</v>
      </c>
      <c r="BP437" s="432"/>
      <c r="BQ437" s="21"/>
      <c r="BR437" s="21"/>
      <c r="BS437" s="39" t="e">
        <v>#VALUE!</v>
      </c>
      <c r="BT437" s="39"/>
      <c r="BU437" s="334">
        <v>1157899.58</v>
      </c>
      <c r="BV437" s="334">
        <v>0</v>
      </c>
      <c r="BW437" s="39"/>
      <c r="BX437" s="39"/>
      <c r="BY437" s="39"/>
      <c r="BZ437" s="39">
        <v>424</v>
      </c>
      <c r="CA437" s="39" t="str">
        <f t="shared" si="243"/>
        <v/>
      </c>
      <c r="CB437" s="39"/>
      <c r="CC437" s="39"/>
      <c r="CD437" s="39"/>
      <c r="CE437" s="39"/>
      <c r="CF437" s="39"/>
      <c r="CG437" s="39"/>
      <c r="CH437" s="39"/>
      <c r="CI437" s="39"/>
      <c r="CJ437" s="39"/>
      <c r="CK437" s="39"/>
    </row>
    <row r="438" spans="1:89" s="193" customFormat="1">
      <c r="A438" s="195"/>
      <c r="B438" s="21" t="str">
        <f t="shared" si="217"/>
        <v>N/A</v>
      </c>
      <c r="C438" s="21"/>
      <c r="D438" s="432"/>
      <c r="E438" s="439" t="s">
        <v>3626</v>
      </c>
      <c r="F438" s="439"/>
      <c r="G438" s="273" t="s">
        <v>3110</v>
      </c>
      <c r="H438" s="358"/>
      <c r="I438" s="262" t="s">
        <v>3161</v>
      </c>
      <c r="J438" s="262"/>
      <c r="K438" s="263">
        <v>385561.28</v>
      </c>
      <c r="L438" s="263">
        <v>474153.87512526725</v>
      </c>
      <c r="M438" s="263">
        <v>714324.78874332167</v>
      </c>
      <c r="N438" s="263">
        <v>922623.07302494335</v>
      </c>
      <c r="O438" s="263">
        <v>1092022.161497029</v>
      </c>
      <c r="P438" s="263">
        <v>1507088.93</v>
      </c>
      <c r="Q438" s="263">
        <v>1813363.5803436628</v>
      </c>
      <c r="R438" s="263">
        <v>2065607.6146491494</v>
      </c>
      <c r="S438" s="263">
        <v>2375940.305432267</v>
      </c>
      <c r="T438" s="263">
        <v>2805914.6170948339</v>
      </c>
      <c r="U438" s="263">
        <f t="shared" si="244"/>
        <v>14156600.225910474</v>
      </c>
      <c r="V438" s="196" t="str">
        <f t="shared" si="218"/>
        <v>R</v>
      </c>
      <c r="W438" s="196" t="s">
        <v>1168</v>
      </c>
      <c r="X438" s="196" t="str">
        <f t="shared" si="246"/>
        <v>N</v>
      </c>
      <c r="Y438" s="197">
        <f t="shared" si="248"/>
        <v>0</v>
      </c>
      <c r="Z438" s="198"/>
      <c r="AA438" s="197">
        <f t="shared" si="219"/>
        <v>0</v>
      </c>
      <c r="AB438" s="196"/>
      <c r="AC438" s="196"/>
      <c r="AD438" s="275">
        <v>0</v>
      </c>
      <c r="AE438" s="275">
        <v>0</v>
      </c>
      <c r="AF438" s="275">
        <v>1</v>
      </c>
      <c r="AG438" s="199"/>
      <c r="AH438" s="199"/>
      <c r="AI438" s="377">
        <f t="shared" si="220"/>
        <v>0</v>
      </c>
      <c r="AJ438" s="203"/>
      <c r="AK438" s="203"/>
      <c r="AL438" s="197">
        <f t="shared" si="214"/>
        <v>0</v>
      </c>
      <c r="AM438" s="197">
        <f t="shared" si="215"/>
        <v>0</v>
      </c>
      <c r="AN438" s="197">
        <f t="shared" si="216"/>
        <v>0</v>
      </c>
      <c r="AO438" s="202"/>
      <c r="AP438" s="161" t="s">
        <v>3900</v>
      </c>
      <c r="AQ438" s="279"/>
      <c r="AR438" s="287">
        <f t="shared" si="221"/>
        <v>0</v>
      </c>
      <c r="AS438" s="287">
        <f t="shared" si="222"/>
        <v>0</v>
      </c>
      <c r="AT438" s="287">
        <f t="shared" si="223"/>
        <v>0</v>
      </c>
      <c r="AU438" s="287">
        <f t="shared" si="224"/>
        <v>0</v>
      </c>
      <c r="AV438" s="287">
        <f t="shared" si="225"/>
        <v>0</v>
      </c>
      <c r="AW438" s="287">
        <f t="shared" si="226"/>
        <v>0</v>
      </c>
      <c r="AX438" s="287">
        <f t="shared" si="227"/>
        <v>0</v>
      </c>
      <c r="AY438" s="287">
        <f t="shared" si="228"/>
        <v>0</v>
      </c>
      <c r="AZ438" s="287">
        <f t="shared" si="229"/>
        <v>0</v>
      </c>
      <c r="BA438" s="287">
        <f t="shared" si="230"/>
        <v>0</v>
      </c>
      <c r="BB438" s="16"/>
      <c r="BC438" s="287">
        <f t="shared" si="231"/>
        <v>0</v>
      </c>
      <c r="BD438" s="287">
        <f t="shared" si="232"/>
        <v>0</v>
      </c>
      <c r="BE438" s="287">
        <f t="shared" si="233"/>
        <v>0</v>
      </c>
      <c r="BF438" s="287">
        <f t="shared" si="234"/>
        <v>0</v>
      </c>
      <c r="BG438" s="287">
        <f t="shared" si="235"/>
        <v>0</v>
      </c>
      <c r="BH438" s="287">
        <f t="shared" si="236"/>
        <v>0</v>
      </c>
      <c r="BI438" s="287">
        <f t="shared" si="237"/>
        <v>0</v>
      </c>
      <c r="BJ438" s="287">
        <f t="shared" si="238"/>
        <v>0</v>
      </c>
      <c r="BK438" s="287">
        <f t="shared" si="239"/>
        <v>0</v>
      </c>
      <c r="BL438" s="287">
        <f t="shared" si="240"/>
        <v>0</v>
      </c>
      <c r="BM438" s="16"/>
      <c r="BN438" s="287">
        <f t="shared" si="241"/>
        <v>0</v>
      </c>
      <c r="BO438" s="287">
        <f t="shared" si="242"/>
        <v>0</v>
      </c>
      <c r="BP438" s="432"/>
      <c r="BQ438" s="21"/>
      <c r="BR438" s="21"/>
      <c r="BS438" s="39" t="e">
        <v>#VALUE!</v>
      </c>
      <c r="BT438" s="39"/>
      <c r="BU438" s="334">
        <v>1274997.5</v>
      </c>
      <c r="BV438" s="334">
        <v>0</v>
      </c>
      <c r="BW438" s="39"/>
      <c r="BX438" s="39"/>
      <c r="BY438" s="39"/>
      <c r="BZ438" s="39">
        <v>425</v>
      </c>
      <c r="CA438" s="39" t="str">
        <f t="shared" si="243"/>
        <v/>
      </c>
      <c r="CB438" s="39"/>
      <c r="CC438" s="39"/>
      <c r="CD438" s="39"/>
      <c r="CE438" s="39"/>
      <c r="CF438" s="39"/>
      <c r="CG438" s="39"/>
      <c r="CH438" s="39"/>
      <c r="CI438" s="39"/>
      <c r="CJ438" s="39"/>
      <c r="CK438" s="39"/>
    </row>
    <row r="439" spans="1:89" s="193" customFormat="1">
      <c r="A439" s="195"/>
      <c r="B439" s="21" t="str">
        <f t="shared" si="217"/>
        <v>N/A</v>
      </c>
      <c r="C439" s="21"/>
      <c r="D439" s="432"/>
      <c r="E439" s="439" t="s">
        <v>3626</v>
      </c>
      <c r="F439" s="439"/>
      <c r="G439" s="273" t="s">
        <v>3111</v>
      </c>
      <c r="H439" s="358"/>
      <c r="I439" s="262" t="s">
        <v>3161</v>
      </c>
      <c r="J439" s="262"/>
      <c r="K439" s="263">
        <v>16657079.34</v>
      </c>
      <c r="L439" s="263">
        <v>15899920.905449511</v>
      </c>
      <c r="M439" s="263">
        <v>17753301.344227593</v>
      </c>
      <c r="N439" s="263">
        <v>18190045.752915345</v>
      </c>
      <c r="O439" s="263">
        <v>19036539.20210629</v>
      </c>
      <c r="P439" s="263">
        <v>23397161.009999998</v>
      </c>
      <c r="Q439" s="263">
        <v>27158906.554200388</v>
      </c>
      <c r="R439" s="263">
        <v>30199549.572995208</v>
      </c>
      <c r="S439" s="263">
        <v>34771935.409681067</v>
      </c>
      <c r="T439" s="263">
        <v>40009289.758255661</v>
      </c>
      <c r="U439" s="263">
        <f t="shared" si="244"/>
        <v>243073728.84983104</v>
      </c>
      <c r="V439" s="196" t="str">
        <f t="shared" si="218"/>
        <v>R</v>
      </c>
      <c r="W439" s="196" t="s">
        <v>1168</v>
      </c>
      <c r="X439" s="196" t="str">
        <f t="shared" si="246"/>
        <v>N</v>
      </c>
      <c r="Y439" s="197">
        <f t="shared" si="248"/>
        <v>0</v>
      </c>
      <c r="Z439" s="198"/>
      <c r="AA439" s="197">
        <f t="shared" si="219"/>
        <v>0</v>
      </c>
      <c r="AB439" s="196"/>
      <c r="AC439" s="196"/>
      <c r="AD439" s="275">
        <v>0</v>
      </c>
      <c r="AE439" s="275">
        <v>0</v>
      </c>
      <c r="AF439" s="275">
        <v>1</v>
      </c>
      <c r="AG439" s="199"/>
      <c r="AH439" s="199"/>
      <c r="AI439" s="377">
        <f t="shared" si="220"/>
        <v>0</v>
      </c>
      <c r="AJ439" s="203"/>
      <c r="AK439" s="203"/>
      <c r="AL439" s="197">
        <f t="shared" si="214"/>
        <v>0</v>
      </c>
      <c r="AM439" s="197">
        <f t="shared" si="215"/>
        <v>0</v>
      </c>
      <c r="AN439" s="197">
        <f t="shared" si="216"/>
        <v>0</v>
      </c>
      <c r="AO439" s="202"/>
      <c r="AP439" s="161" t="s">
        <v>3900</v>
      </c>
      <c r="AQ439" s="279"/>
      <c r="AR439" s="287">
        <f t="shared" si="221"/>
        <v>0</v>
      </c>
      <c r="AS439" s="287">
        <f t="shared" si="222"/>
        <v>0</v>
      </c>
      <c r="AT439" s="287">
        <f t="shared" si="223"/>
        <v>0</v>
      </c>
      <c r="AU439" s="287">
        <f t="shared" si="224"/>
        <v>0</v>
      </c>
      <c r="AV439" s="287">
        <f t="shared" si="225"/>
        <v>0</v>
      </c>
      <c r="AW439" s="287">
        <f t="shared" si="226"/>
        <v>0</v>
      </c>
      <c r="AX439" s="287">
        <f t="shared" si="227"/>
        <v>0</v>
      </c>
      <c r="AY439" s="287">
        <f t="shared" si="228"/>
        <v>0</v>
      </c>
      <c r="AZ439" s="287">
        <f t="shared" si="229"/>
        <v>0</v>
      </c>
      <c r="BA439" s="287">
        <f t="shared" si="230"/>
        <v>0</v>
      </c>
      <c r="BB439" s="16"/>
      <c r="BC439" s="287">
        <f t="shared" si="231"/>
        <v>0</v>
      </c>
      <c r="BD439" s="287">
        <f t="shared" si="232"/>
        <v>0</v>
      </c>
      <c r="BE439" s="287">
        <f t="shared" si="233"/>
        <v>0</v>
      </c>
      <c r="BF439" s="287">
        <f t="shared" si="234"/>
        <v>0</v>
      </c>
      <c r="BG439" s="287">
        <f t="shared" si="235"/>
        <v>0</v>
      </c>
      <c r="BH439" s="287">
        <f t="shared" si="236"/>
        <v>0</v>
      </c>
      <c r="BI439" s="287">
        <f t="shared" si="237"/>
        <v>0</v>
      </c>
      <c r="BJ439" s="287">
        <f t="shared" si="238"/>
        <v>0</v>
      </c>
      <c r="BK439" s="287">
        <f t="shared" si="239"/>
        <v>0</v>
      </c>
      <c r="BL439" s="287">
        <f t="shared" si="240"/>
        <v>0</v>
      </c>
      <c r="BM439" s="16"/>
      <c r="BN439" s="287">
        <f t="shared" si="241"/>
        <v>0</v>
      </c>
      <c r="BO439" s="287">
        <f t="shared" si="242"/>
        <v>0</v>
      </c>
      <c r="BP439" s="432"/>
      <c r="BQ439" s="21"/>
      <c r="BR439" s="21"/>
      <c r="BS439" s="39" t="e">
        <v>#VALUE!</v>
      </c>
      <c r="BT439" s="39"/>
      <c r="BU439" s="334">
        <v>833723.75</v>
      </c>
      <c r="BV439" s="334">
        <v>0</v>
      </c>
      <c r="BW439" s="39"/>
      <c r="BX439" s="39"/>
      <c r="BY439" s="39"/>
      <c r="BZ439" s="39">
        <v>426</v>
      </c>
      <c r="CA439" s="39" t="str">
        <f t="shared" si="243"/>
        <v/>
      </c>
      <c r="CB439" s="39"/>
      <c r="CC439" s="39"/>
      <c r="CD439" s="39"/>
      <c r="CE439" s="39"/>
      <c r="CF439" s="39"/>
      <c r="CG439" s="39"/>
      <c r="CH439" s="39"/>
      <c r="CI439" s="39"/>
      <c r="CJ439" s="39"/>
      <c r="CK439" s="39"/>
    </row>
    <row r="440" spans="1:89" s="193" customFormat="1">
      <c r="A440" s="195"/>
      <c r="B440" s="21" t="str">
        <f t="shared" si="217"/>
        <v>N/A</v>
      </c>
      <c r="C440" s="21"/>
      <c r="D440" s="432"/>
      <c r="E440" s="439" t="s">
        <v>3626</v>
      </c>
      <c r="F440" s="439"/>
      <c r="G440" s="273" t="s">
        <v>3112</v>
      </c>
      <c r="H440" s="358"/>
      <c r="I440" s="262" t="s">
        <v>3161</v>
      </c>
      <c r="J440" s="262"/>
      <c r="K440" s="263">
        <v>3260956.4</v>
      </c>
      <c r="L440" s="263">
        <v>3007905.7797222333</v>
      </c>
      <c r="M440" s="263">
        <v>3012402.2682914413</v>
      </c>
      <c r="N440" s="263">
        <v>3087564.2083394369</v>
      </c>
      <c r="O440" s="263">
        <v>3208643.1647109427</v>
      </c>
      <c r="P440" s="263">
        <v>4190521.03</v>
      </c>
      <c r="Q440" s="263">
        <v>4734815.3988625752</v>
      </c>
      <c r="R440" s="263">
        <v>5144348.3082250366</v>
      </c>
      <c r="S440" s="263">
        <v>5366131.222886323</v>
      </c>
      <c r="T440" s="263">
        <v>5737966.0046303896</v>
      </c>
      <c r="U440" s="263">
        <f t="shared" si="244"/>
        <v>40751253.785668373</v>
      </c>
      <c r="V440" s="196" t="str">
        <f t="shared" si="218"/>
        <v>R</v>
      </c>
      <c r="W440" s="196" t="s">
        <v>1168</v>
      </c>
      <c r="X440" s="196" t="str">
        <f t="shared" si="246"/>
        <v>N</v>
      </c>
      <c r="Y440" s="197">
        <f t="shared" si="248"/>
        <v>0</v>
      </c>
      <c r="Z440" s="198"/>
      <c r="AA440" s="197">
        <f t="shared" si="219"/>
        <v>0</v>
      </c>
      <c r="AB440" s="196"/>
      <c r="AC440" s="196"/>
      <c r="AD440" s="275">
        <v>0</v>
      </c>
      <c r="AE440" s="275">
        <v>0</v>
      </c>
      <c r="AF440" s="275">
        <v>1</v>
      </c>
      <c r="AG440" s="199"/>
      <c r="AH440" s="199"/>
      <c r="AI440" s="377">
        <f t="shared" si="220"/>
        <v>0</v>
      </c>
      <c r="AJ440" s="203"/>
      <c r="AK440" s="203"/>
      <c r="AL440" s="197">
        <f t="shared" si="214"/>
        <v>0</v>
      </c>
      <c r="AM440" s="197">
        <f t="shared" si="215"/>
        <v>0</v>
      </c>
      <c r="AN440" s="197">
        <f t="shared" si="216"/>
        <v>0</v>
      </c>
      <c r="AO440" s="202"/>
      <c r="AP440" s="161" t="s">
        <v>3900</v>
      </c>
      <c r="AQ440" s="279"/>
      <c r="AR440" s="287">
        <f t="shared" si="221"/>
        <v>0</v>
      </c>
      <c r="AS440" s="287">
        <f t="shared" si="222"/>
        <v>0</v>
      </c>
      <c r="AT440" s="287">
        <f t="shared" si="223"/>
        <v>0</v>
      </c>
      <c r="AU440" s="287">
        <f t="shared" si="224"/>
        <v>0</v>
      </c>
      <c r="AV440" s="287">
        <f t="shared" si="225"/>
        <v>0</v>
      </c>
      <c r="AW440" s="287">
        <f t="shared" si="226"/>
        <v>0</v>
      </c>
      <c r="AX440" s="287">
        <f t="shared" si="227"/>
        <v>0</v>
      </c>
      <c r="AY440" s="287">
        <f t="shared" si="228"/>
        <v>0</v>
      </c>
      <c r="AZ440" s="287">
        <f t="shared" si="229"/>
        <v>0</v>
      </c>
      <c r="BA440" s="287">
        <f t="shared" si="230"/>
        <v>0</v>
      </c>
      <c r="BB440" s="16"/>
      <c r="BC440" s="287">
        <f t="shared" si="231"/>
        <v>0</v>
      </c>
      <c r="BD440" s="287">
        <f t="shared" si="232"/>
        <v>0</v>
      </c>
      <c r="BE440" s="287">
        <f t="shared" si="233"/>
        <v>0</v>
      </c>
      <c r="BF440" s="287">
        <f t="shared" si="234"/>
        <v>0</v>
      </c>
      <c r="BG440" s="287">
        <f t="shared" si="235"/>
        <v>0</v>
      </c>
      <c r="BH440" s="287">
        <f t="shared" si="236"/>
        <v>0</v>
      </c>
      <c r="BI440" s="287">
        <f t="shared" si="237"/>
        <v>0</v>
      </c>
      <c r="BJ440" s="287">
        <f t="shared" si="238"/>
        <v>0</v>
      </c>
      <c r="BK440" s="287">
        <f t="shared" si="239"/>
        <v>0</v>
      </c>
      <c r="BL440" s="287">
        <f t="shared" si="240"/>
        <v>0</v>
      </c>
      <c r="BM440" s="16"/>
      <c r="BN440" s="287">
        <f t="shared" si="241"/>
        <v>0</v>
      </c>
      <c r="BO440" s="287">
        <f t="shared" si="242"/>
        <v>0</v>
      </c>
      <c r="BP440" s="432"/>
      <c r="BQ440" s="21"/>
      <c r="BR440" s="21"/>
      <c r="BS440" s="39" t="e">
        <v>#VALUE!</v>
      </c>
      <c r="BT440" s="39"/>
      <c r="BU440" s="334">
        <v>4007547.96</v>
      </c>
      <c r="BV440" s="334">
        <v>0</v>
      </c>
      <c r="BW440" s="39"/>
      <c r="BX440" s="39"/>
      <c r="BY440" s="39"/>
      <c r="BZ440" s="39">
        <v>427</v>
      </c>
      <c r="CA440" s="39" t="str">
        <f t="shared" si="243"/>
        <v/>
      </c>
      <c r="CB440" s="39"/>
      <c r="CC440" s="39"/>
      <c r="CD440" s="39"/>
      <c r="CE440" s="39"/>
      <c r="CF440" s="39"/>
      <c r="CG440" s="39"/>
      <c r="CH440" s="39"/>
      <c r="CI440" s="39"/>
      <c r="CJ440" s="39"/>
      <c r="CK440" s="39"/>
    </row>
    <row r="441" spans="1:89" s="193" customFormat="1">
      <c r="A441" s="195"/>
      <c r="B441" s="21" t="str">
        <f t="shared" si="217"/>
        <v>N/A</v>
      </c>
      <c r="C441" s="21"/>
      <c r="D441" s="432"/>
      <c r="E441" s="439" t="s">
        <v>3626</v>
      </c>
      <c r="F441" s="439"/>
      <c r="G441" s="273" t="s">
        <v>3113</v>
      </c>
      <c r="H441" s="358"/>
      <c r="I441" s="262" t="s">
        <v>3161</v>
      </c>
      <c r="J441" s="262"/>
      <c r="K441" s="263">
        <v>2186051.92</v>
      </c>
      <c r="L441" s="263">
        <v>2060263.309634163</v>
      </c>
      <c r="M441" s="263">
        <v>2284571.6934739198</v>
      </c>
      <c r="N441" s="263">
        <v>2366777.1127761044</v>
      </c>
      <c r="O441" s="263">
        <v>2451491.8749324335</v>
      </c>
      <c r="P441" s="263">
        <v>3029737.08</v>
      </c>
      <c r="Q441" s="263">
        <v>3343817.6147045172</v>
      </c>
      <c r="R441" s="263">
        <v>3543310.0122702867</v>
      </c>
      <c r="S441" s="263">
        <v>3847430.9405199811</v>
      </c>
      <c r="T441" s="263">
        <v>4320795.5972665846</v>
      </c>
      <c r="U441" s="263">
        <f t="shared" si="244"/>
        <v>29434247.155577991</v>
      </c>
      <c r="V441" s="196" t="str">
        <f t="shared" si="218"/>
        <v>R</v>
      </c>
      <c r="W441" s="196" t="s">
        <v>1168</v>
      </c>
      <c r="X441" s="196" t="str">
        <f t="shared" si="246"/>
        <v>N</v>
      </c>
      <c r="Y441" s="197">
        <f t="shared" si="248"/>
        <v>0</v>
      </c>
      <c r="Z441" s="198"/>
      <c r="AA441" s="197">
        <f t="shared" si="219"/>
        <v>0</v>
      </c>
      <c r="AB441" s="196"/>
      <c r="AC441" s="196"/>
      <c r="AD441" s="275">
        <v>0</v>
      </c>
      <c r="AE441" s="275">
        <v>0</v>
      </c>
      <c r="AF441" s="275">
        <v>1</v>
      </c>
      <c r="AG441" s="199"/>
      <c r="AH441" s="199"/>
      <c r="AI441" s="377">
        <f t="shared" si="220"/>
        <v>0</v>
      </c>
      <c r="AJ441" s="203"/>
      <c r="AK441" s="203"/>
      <c r="AL441" s="197">
        <f t="shared" si="214"/>
        <v>0</v>
      </c>
      <c r="AM441" s="197">
        <f t="shared" si="215"/>
        <v>0</v>
      </c>
      <c r="AN441" s="197">
        <f t="shared" si="216"/>
        <v>0</v>
      </c>
      <c r="AO441" s="202"/>
      <c r="AP441" s="161" t="s">
        <v>3900</v>
      </c>
      <c r="AQ441" s="279"/>
      <c r="AR441" s="287">
        <f t="shared" si="221"/>
        <v>0</v>
      </c>
      <c r="AS441" s="287">
        <f t="shared" si="222"/>
        <v>0</v>
      </c>
      <c r="AT441" s="287">
        <f t="shared" si="223"/>
        <v>0</v>
      </c>
      <c r="AU441" s="287">
        <f t="shared" si="224"/>
        <v>0</v>
      </c>
      <c r="AV441" s="287">
        <f t="shared" si="225"/>
        <v>0</v>
      </c>
      <c r="AW441" s="287">
        <f t="shared" si="226"/>
        <v>0</v>
      </c>
      <c r="AX441" s="287">
        <f t="shared" si="227"/>
        <v>0</v>
      </c>
      <c r="AY441" s="287">
        <f t="shared" si="228"/>
        <v>0</v>
      </c>
      <c r="AZ441" s="287">
        <f t="shared" si="229"/>
        <v>0</v>
      </c>
      <c r="BA441" s="287">
        <f t="shared" si="230"/>
        <v>0</v>
      </c>
      <c r="BB441" s="16"/>
      <c r="BC441" s="287">
        <f t="shared" si="231"/>
        <v>0</v>
      </c>
      <c r="BD441" s="287">
        <f t="shared" si="232"/>
        <v>0</v>
      </c>
      <c r="BE441" s="287">
        <f t="shared" si="233"/>
        <v>0</v>
      </c>
      <c r="BF441" s="287">
        <f t="shared" si="234"/>
        <v>0</v>
      </c>
      <c r="BG441" s="287">
        <f t="shared" si="235"/>
        <v>0</v>
      </c>
      <c r="BH441" s="287">
        <f t="shared" si="236"/>
        <v>0</v>
      </c>
      <c r="BI441" s="287">
        <f t="shared" si="237"/>
        <v>0</v>
      </c>
      <c r="BJ441" s="287">
        <f t="shared" si="238"/>
        <v>0</v>
      </c>
      <c r="BK441" s="287">
        <f t="shared" si="239"/>
        <v>0</v>
      </c>
      <c r="BL441" s="287">
        <f t="shared" si="240"/>
        <v>0</v>
      </c>
      <c r="BM441" s="16"/>
      <c r="BN441" s="287">
        <f t="shared" si="241"/>
        <v>0</v>
      </c>
      <c r="BO441" s="287">
        <f t="shared" si="242"/>
        <v>0</v>
      </c>
      <c r="BP441" s="432"/>
      <c r="BQ441" s="21"/>
      <c r="BR441" s="21"/>
      <c r="BS441" s="39" t="e">
        <v>#VALUE!</v>
      </c>
      <c r="BT441" s="39"/>
      <c r="BU441" s="334">
        <v>2310957</v>
      </c>
      <c r="BV441" s="334">
        <v>0</v>
      </c>
      <c r="BW441" s="39"/>
      <c r="BX441" s="39"/>
      <c r="BY441" s="39"/>
      <c r="BZ441" s="39">
        <v>428</v>
      </c>
      <c r="CA441" s="39" t="str">
        <f t="shared" si="243"/>
        <v/>
      </c>
      <c r="CB441" s="39"/>
      <c r="CC441" s="39"/>
      <c r="CD441" s="39"/>
      <c r="CE441" s="39"/>
      <c r="CF441" s="39"/>
      <c r="CG441" s="39"/>
      <c r="CH441" s="39"/>
      <c r="CI441" s="39"/>
      <c r="CJ441" s="39"/>
      <c r="CK441" s="39"/>
    </row>
    <row r="442" spans="1:89" s="193" customFormat="1">
      <c r="A442" s="195"/>
      <c r="B442" s="21" t="str">
        <f t="shared" si="217"/>
        <v>N/A</v>
      </c>
      <c r="C442" s="21"/>
      <c r="D442" s="432"/>
      <c r="E442" s="439" t="s">
        <v>3626</v>
      </c>
      <c r="F442" s="439"/>
      <c r="G442" s="273" t="s">
        <v>3114</v>
      </c>
      <c r="H442" s="358"/>
      <c r="I442" s="262" t="s">
        <v>3161</v>
      </c>
      <c r="J442" s="262"/>
      <c r="K442" s="263">
        <v>85908.52</v>
      </c>
      <c r="L442" s="263">
        <v>81991.404181919337</v>
      </c>
      <c r="M442" s="263">
        <v>84403.857388842604</v>
      </c>
      <c r="N442" s="263">
        <v>86698.979267538511</v>
      </c>
      <c r="O442" s="263">
        <v>89029.162700557325</v>
      </c>
      <c r="P442" s="263">
        <v>114880.1</v>
      </c>
      <c r="Q442" s="263">
        <v>128964.59170749503</v>
      </c>
      <c r="R442" s="263">
        <v>140084.28912346982</v>
      </c>
      <c r="S442" s="263">
        <v>146857.63576706868</v>
      </c>
      <c r="T442" s="263">
        <v>158470.16207661445</v>
      </c>
      <c r="U442" s="263">
        <f t="shared" si="244"/>
        <v>1117288.7022135057</v>
      </c>
      <c r="V442" s="196" t="str">
        <f t="shared" si="218"/>
        <v>R</v>
      </c>
      <c r="W442" s="196" t="s">
        <v>1168</v>
      </c>
      <c r="X442" s="196" t="str">
        <f t="shared" si="246"/>
        <v>N</v>
      </c>
      <c r="Y442" s="197">
        <f t="shared" si="248"/>
        <v>0</v>
      </c>
      <c r="Z442" s="198"/>
      <c r="AA442" s="197">
        <f t="shared" si="219"/>
        <v>0</v>
      </c>
      <c r="AB442" s="196"/>
      <c r="AC442" s="196"/>
      <c r="AD442" s="275">
        <v>0</v>
      </c>
      <c r="AE442" s="275">
        <v>0</v>
      </c>
      <c r="AF442" s="275">
        <v>1</v>
      </c>
      <c r="AG442" s="199"/>
      <c r="AH442" s="199"/>
      <c r="AI442" s="377">
        <f t="shared" si="220"/>
        <v>0</v>
      </c>
      <c r="AJ442" s="203"/>
      <c r="AK442" s="203"/>
      <c r="AL442" s="197">
        <f t="shared" si="214"/>
        <v>0</v>
      </c>
      <c r="AM442" s="197">
        <f t="shared" si="215"/>
        <v>0</v>
      </c>
      <c r="AN442" s="197">
        <f t="shared" si="216"/>
        <v>0</v>
      </c>
      <c r="AO442" s="202"/>
      <c r="AP442" s="161" t="s">
        <v>3900</v>
      </c>
      <c r="AQ442" s="279"/>
      <c r="AR442" s="287">
        <f t="shared" si="221"/>
        <v>0</v>
      </c>
      <c r="AS442" s="287">
        <f t="shared" si="222"/>
        <v>0</v>
      </c>
      <c r="AT442" s="287">
        <f t="shared" si="223"/>
        <v>0</v>
      </c>
      <c r="AU442" s="287">
        <f t="shared" si="224"/>
        <v>0</v>
      </c>
      <c r="AV442" s="287">
        <f t="shared" si="225"/>
        <v>0</v>
      </c>
      <c r="AW442" s="287">
        <f t="shared" si="226"/>
        <v>0</v>
      </c>
      <c r="AX442" s="287">
        <f t="shared" si="227"/>
        <v>0</v>
      </c>
      <c r="AY442" s="287">
        <f t="shared" si="228"/>
        <v>0</v>
      </c>
      <c r="AZ442" s="287">
        <f t="shared" si="229"/>
        <v>0</v>
      </c>
      <c r="BA442" s="287">
        <f t="shared" si="230"/>
        <v>0</v>
      </c>
      <c r="BB442" s="16"/>
      <c r="BC442" s="287">
        <f t="shared" si="231"/>
        <v>0</v>
      </c>
      <c r="BD442" s="287">
        <f t="shared" si="232"/>
        <v>0</v>
      </c>
      <c r="BE442" s="287">
        <f t="shared" si="233"/>
        <v>0</v>
      </c>
      <c r="BF442" s="287">
        <f t="shared" si="234"/>
        <v>0</v>
      </c>
      <c r="BG442" s="287">
        <f t="shared" si="235"/>
        <v>0</v>
      </c>
      <c r="BH442" s="287">
        <f t="shared" si="236"/>
        <v>0</v>
      </c>
      <c r="BI442" s="287">
        <f t="shared" si="237"/>
        <v>0</v>
      </c>
      <c r="BJ442" s="287">
        <f t="shared" si="238"/>
        <v>0</v>
      </c>
      <c r="BK442" s="287">
        <f t="shared" si="239"/>
        <v>0</v>
      </c>
      <c r="BL442" s="287">
        <f t="shared" si="240"/>
        <v>0</v>
      </c>
      <c r="BM442" s="16"/>
      <c r="BN442" s="287">
        <f t="shared" si="241"/>
        <v>0</v>
      </c>
      <c r="BO442" s="287">
        <f t="shared" si="242"/>
        <v>0</v>
      </c>
      <c r="BP442" s="432"/>
      <c r="BQ442" s="21"/>
      <c r="BR442" s="21"/>
      <c r="BS442" s="39" t="e">
        <v>#VALUE!</v>
      </c>
      <c r="BT442" s="39"/>
      <c r="BU442" s="334">
        <v>311938221.75</v>
      </c>
      <c r="BV442" s="334">
        <v>0</v>
      </c>
      <c r="BW442" s="39"/>
      <c r="BX442" s="39"/>
      <c r="BY442" s="39"/>
      <c r="BZ442" s="39">
        <v>429</v>
      </c>
      <c r="CA442" s="39" t="str">
        <f t="shared" si="243"/>
        <v/>
      </c>
      <c r="CB442" s="39"/>
      <c r="CC442" s="39"/>
      <c r="CD442" s="39"/>
      <c r="CE442" s="39"/>
      <c r="CF442" s="39"/>
      <c r="CG442" s="39"/>
      <c r="CH442" s="39"/>
      <c r="CI442" s="39"/>
      <c r="CJ442" s="39"/>
      <c r="CK442" s="39"/>
    </row>
    <row r="443" spans="1:89" s="193" customFormat="1">
      <c r="A443" s="195"/>
      <c r="B443" s="21" t="str">
        <f t="shared" si="217"/>
        <v>N/A</v>
      </c>
      <c r="C443" s="21"/>
      <c r="D443" s="432"/>
      <c r="E443" s="439" t="s">
        <v>3626</v>
      </c>
      <c r="F443" s="439"/>
      <c r="G443" s="273" t="s">
        <v>3115</v>
      </c>
      <c r="H443" s="358"/>
      <c r="I443" s="262" t="s">
        <v>3161</v>
      </c>
      <c r="J443" s="262"/>
      <c r="K443" s="263">
        <v>3197082.72</v>
      </c>
      <c r="L443" s="263">
        <v>2999140.0933537455</v>
      </c>
      <c r="M443" s="263">
        <v>3323595.6639794279</v>
      </c>
      <c r="N443" s="263">
        <v>3443726.8883299786</v>
      </c>
      <c r="O443" s="263">
        <v>3563663.3177126944</v>
      </c>
      <c r="P443" s="263">
        <v>4391325.5999999996</v>
      </c>
      <c r="Q443" s="263">
        <v>4821322.462241658</v>
      </c>
      <c r="R443" s="263">
        <v>5071332.0222277679</v>
      </c>
      <c r="S443" s="263">
        <v>5455913.2979429048</v>
      </c>
      <c r="T443" s="263">
        <v>6061817.3774802107</v>
      </c>
      <c r="U443" s="263">
        <f t="shared" si="244"/>
        <v>42328919.443268381</v>
      </c>
      <c r="V443" s="196" t="str">
        <f t="shared" si="218"/>
        <v>R</v>
      </c>
      <c r="W443" s="196" t="s">
        <v>1168</v>
      </c>
      <c r="X443" s="196" t="str">
        <f t="shared" si="246"/>
        <v>N</v>
      </c>
      <c r="Y443" s="197">
        <f t="shared" si="248"/>
        <v>0</v>
      </c>
      <c r="Z443" s="198"/>
      <c r="AA443" s="197">
        <f t="shared" si="219"/>
        <v>0</v>
      </c>
      <c r="AB443" s="196"/>
      <c r="AC443" s="196"/>
      <c r="AD443" s="275">
        <v>0</v>
      </c>
      <c r="AE443" s="275">
        <v>0</v>
      </c>
      <c r="AF443" s="275">
        <v>1</v>
      </c>
      <c r="AG443" s="199"/>
      <c r="AH443" s="199"/>
      <c r="AI443" s="377">
        <f t="shared" si="220"/>
        <v>0</v>
      </c>
      <c r="AJ443" s="203"/>
      <c r="AK443" s="203"/>
      <c r="AL443" s="197">
        <f t="shared" si="214"/>
        <v>0</v>
      </c>
      <c r="AM443" s="197">
        <f t="shared" si="215"/>
        <v>0</v>
      </c>
      <c r="AN443" s="197">
        <f t="shared" si="216"/>
        <v>0</v>
      </c>
      <c r="AO443" s="202"/>
      <c r="AP443" s="161" t="s">
        <v>3900</v>
      </c>
      <c r="AQ443" s="279"/>
      <c r="AR443" s="287">
        <f t="shared" si="221"/>
        <v>0</v>
      </c>
      <c r="AS443" s="287">
        <f t="shared" si="222"/>
        <v>0</v>
      </c>
      <c r="AT443" s="287">
        <f t="shared" si="223"/>
        <v>0</v>
      </c>
      <c r="AU443" s="287">
        <f t="shared" si="224"/>
        <v>0</v>
      </c>
      <c r="AV443" s="287">
        <f t="shared" si="225"/>
        <v>0</v>
      </c>
      <c r="AW443" s="287">
        <f t="shared" si="226"/>
        <v>0</v>
      </c>
      <c r="AX443" s="287">
        <f t="shared" si="227"/>
        <v>0</v>
      </c>
      <c r="AY443" s="287">
        <f t="shared" si="228"/>
        <v>0</v>
      </c>
      <c r="AZ443" s="287">
        <f t="shared" si="229"/>
        <v>0</v>
      </c>
      <c r="BA443" s="287">
        <f t="shared" si="230"/>
        <v>0</v>
      </c>
      <c r="BB443" s="16"/>
      <c r="BC443" s="287">
        <f t="shared" si="231"/>
        <v>0</v>
      </c>
      <c r="BD443" s="287">
        <f t="shared" si="232"/>
        <v>0</v>
      </c>
      <c r="BE443" s="287">
        <f t="shared" si="233"/>
        <v>0</v>
      </c>
      <c r="BF443" s="287">
        <f t="shared" si="234"/>
        <v>0</v>
      </c>
      <c r="BG443" s="287">
        <f t="shared" si="235"/>
        <v>0</v>
      </c>
      <c r="BH443" s="287">
        <f t="shared" si="236"/>
        <v>0</v>
      </c>
      <c r="BI443" s="287">
        <f t="shared" si="237"/>
        <v>0</v>
      </c>
      <c r="BJ443" s="287">
        <f t="shared" si="238"/>
        <v>0</v>
      </c>
      <c r="BK443" s="287">
        <f t="shared" si="239"/>
        <v>0</v>
      </c>
      <c r="BL443" s="287">
        <f t="shared" si="240"/>
        <v>0</v>
      </c>
      <c r="BM443" s="16"/>
      <c r="BN443" s="287">
        <f t="shared" si="241"/>
        <v>0</v>
      </c>
      <c r="BO443" s="287">
        <f t="shared" si="242"/>
        <v>0</v>
      </c>
      <c r="BP443" s="432"/>
      <c r="BQ443" s="21"/>
      <c r="BR443" s="21"/>
      <c r="BS443" s="39" t="e">
        <v>#VALUE!</v>
      </c>
      <c r="BT443" s="39"/>
      <c r="BU443" s="334">
        <v>610000</v>
      </c>
      <c r="BV443" s="334">
        <v>0</v>
      </c>
      <c r="BW443" s="39"/>
      <c r="BX443" s="39"/>
      <c r="BY443" s="39"/>
      <c r="BZ443" s="39">
        <v>430</v>
      </c>
      <c r="CA443" s="39" t="str">
        <f t="shared" si="243"/>
        <v/>
      </c>
      <c r="CB443" s="39"/>
      <c r="CC443" s="39"/>
      <c r="CD443" s="39"/>
      <c r="CE443" s="39"/>
      <c r="CF443" s="39"/>
      <c r="CG443" s="39"/>
      <c r="CH443" s="39"/>
      <c r="CI443" s="39"/>
      <c r="CJ443" s="39"/>
      <c r="CK443" s="39"/>
    </row>
    <row r="444" spans="1:89" s="193" customFormat="1">
      <c r="A444" s="195"/>
      <c r="B444" s="21" t="str">
        <f t="shared" si="217"/>
        <v>N/A</v>
      </c>
      <c r="C444" s="21"/>
      <c r="D444" s="432"/>
      <c r="E444" s="439" t="s">
        <v>3626</v>
      </c>
      <c r="F444" s="439"/>
      <c r="G444" s="273" t="s">
        <v>3116</v>
      </c>
      <c r="H444" s="358"/>
      <c r="I444" s="262" t="s">
        <v>3161</v>
      </c>
      <c r="J444" s="262"/>
      <c r="K444" s="263">
        <v>2672032.48</v>
      </c>
      <c r="L444" s="263">
        <v>2880644.4720099182</v>
      </c>
      <c r="M444" s="263">
        <v>4049763.1787042692</v>
      </c>
      <c r="N444" s="263">
        <v>4850253.4066219004</v>
      </c>
      <c r="O444" s="263">
        <v>5791102.402088617</v>
      </c>
      <c r="P444" s="263">
        <v>7763308.8399999999</v>
      </c>
      <c r="Q444" s="263">
        <v>9342903.2857869361</v>
      </c>
      <c r="R444" s="263">
        <v>10552140.173067799</v>
      </c>
      <c r="S444" s="263">
        <v>12562350.230595285</v>
      </c>
      <c r="T444" s="263">
        <v>15256787.917563431</v>
      </c>
      <c r="U444" s="263">
        <f t="shared" si="244"/>
        <v>75721286.386438161</v>
      </c>
      <c r="V444" s="196" t="str">
        <f t="shared" si="218"/>
        <v>R</v>
      </c>
      <c r="W444" s="196" t="s">
        <v>1168</v>
      </c>
      <c r="X444" s="196" t="str">
        <f t="shared" si="246"/>
        <v>N</v>
      </c>
      <c r="Y444" s="197">
        <f t="shared" si="248"/>
        <v>0</v>
      </c>
      <c r="Z444" s="198"/>
      <c r="AA444" s="197">
        <f t="shared" si="219"/>
        <v>0</v>
      </c>
      <c r="AB444" s="196"/>
      <c r="AC444" s="196"/>
      <c r="AD444" s="275">
        <v>0</v>
      </c>
      <c r="AE444" s="275">
        <v>0</v>
      </c>
      <c r="AF444" s="275">
        <v>1</v>
      </c>
      <c r="AG444" s="199"/>
      <c r="AH444" s="199"/>
      <c r="AI444" s="377">
        <f t="shared" si="220"/>
        <v>0</v>
      </c>
      <c r="AJ444" s="203"/>
      <c r="AK444" s="203"/>
      <c r="AL444" s="197">
        <f t="shared" si="214"/>
        <v>0</v>
      </c>
      <c r="AM444" s="197">
        <f t="shared" si="215"/>
        <v>0</v>
      </c>
      <c r="AN444" s="197">
        <f t="shared" si="216"/>
        <v>0</v>
      </c>
      <c r="AO444" s="202"/>
      <c r="AP444" s="161" t="s">
        <v>3900</v>
      </c>
      <c r="AQ444" s="279"/>
      <c r="AR444" s="287">
        <f t="shared" si="221"/>
        <v>0</v>
      </c>
      <c r="AS444" s="287">
        <f t="shared" si="222"/>
        <v>0</v>
      </c>
      <c r="AT444" s="287">
        <f t="shared" si="223"/>
        <v>0</v>
      </c>
      <c r="AU444" s="287">
        <f t="shared" si="224"/>
        <v>0</v>
      </c>
      <c r="AV444" s="287">
        <f t="shared" si="225"/>
        <v>0</v>
      </c>
      <c r="AW444" s="287">
        <f t="shared" si="226"/>
        <v>0</v>
      </c>
      <c r="AX444" s="287">
        <f t="shared" si="227"/>
        <v>0</v>
      </c>
      <c r="AY444" s="287">
        <f t="shared" si="228"/>
        <v>0</v>
      </c>
      <c r="AZ444" s="287">
        <f t="shared" si="229"/>
        <v>0</v>
      </c>
      <c r="BA444" s="287">
        <f t="shared" si="230"/>
        <v>0</v>
      </c>
      <c r="BB444" s="16"/>
      <c r="BC444" s="287">
        <f t="shared" si="231"/>
        <v>0</v>
      </c>
      <c r="BD444" s="287">
        <f t="shared" si="232"/>
        <v>0</v>
      </c>
      <c r="BE444" s="287">
        <f t="shared" si="233"/>
        <v>0</v>
      </c>
      <c r="BF444" s="287">
        <f t="shared" si="234"/>
        <v>0</v>
      </c>
      <c r="BG444" s="287">
        <f t="shared" si="235"/>
        <v>0</v>
      </c>
      <c r="BH444" s="287">
        <f t="shared" si="236"/>
        <v>0</v>
      </c>
      <c r="BI444" s="287">
        <f t="shared" si="237"/>
        <v>0</v>
      </c>
      <c r="BJ444" s="287">
        <f t="shared" si="238"/>
        <v>0</v>
      </c>
      <c r="BK444" s="287">
        <f t="shared" si="239"/>
        <v>0</v>
      </c>
      <c r="BL444" s="287">
        <f t="shared" si="240"/>
        <v>0</v>
      </c>
      <c r="BM444" s="16"/>
      <c r="BN444" s="287">
        <f t="shared" si="241"/>
        <v>0</v>
      </c>
      <c r="BO444" s="287">
        <f t="shared" si="242"/>
        <v>0</v>
      </c>
      <c r="BP444" s="432">
        <f>BN444-AM444</f>
        <v>0</v>
      </c>
      <c r="BQ444" s="21"/>
      <c r="BR444" s="21"/>
      <c r="BS444" s="39" t="e">
        <v>#VALUE!</v>
      </c>
      <c r="BT444" s="39"/>
      <c r="BU444" s="334">
        <v>1343534.5</v>
      </c>
      <c r="BV444" s="334">
        <v>0</v>
      </c>
      <c r="BW444" s="39"/>
      <c r="BX444" s="39"/>
      <c r="BY444" s="39"/>
      <c r="BZ444" s="39">
        <v>431</v>
      </c>
      <c r="CA444" s="39" t="str">
        <f t="shared" si="243"/>
        <v/>
      </c>
      <c r="CB444" s="39"/>
      <c r="CC444" s="39"/>
      <c r="CD444" s="39"/>
      <c r="CE444" s="39"/>
      <c r="CF444" s="39"/>
      <c r="CG444" s="39"/>
      <c r="CH444" s="39"/>
      <c r="CI444" s="39"/>
      <c r="CJ444" s="39"/>
      <c r="CK444" s="39"/>
    </row>
    <row r="445" spans="1:89" s="193" customFormat="1">
      <c r="A445" s="195"/>
      <c r="B445" s="21" t="str">
        <f t="shared" si="217"/>
        <v>N/A</v>
      </c>
      <c r="C445" s="21"/>
      <c r="D445" s="432"/>
      <c r="E445" s="439" t="s">
        <v>3626</v>
      </c>
      <c r="F445" s="439"/>
      <c r="G445" s="273" t="s">
        <v>3117</v>
      </c>
      <c r="H445" s="358"/>
      <c r="I445" s="262" t="s">
        <v>3161</v>
      </c>
      <c r="J445" s="262"/>
      <c r="K445" s="263">
        <v>2080000</v>
      </c>
      <c r="L445" s="263">
        <v>1936740.8823439642</v>
      </c>
      <c r="M445" s="263">
        <v>1945098.5124159607</v>
      </c>
      <c r="N445" s="263">
        <v>1949258.5912063613</v>
      </c>
      <c r="O445" s="263">
        <v>1952827.5891721034</v>
      </c>
      <c r="P445" s="263">
        <v>2458400</v>
      </c>
      <c r="Q445" s="263">
        <v>2692491.7494982057</v>
      </c>
      <c r="R445" s="263">
        <v>2853313.2472554734</v>
      </c>
      <c r="S445" s="263">
        <v>2918318.5669189119</v>
      </c>
      <c r="T445" s="263">
        <v>3072273.0029962882</v>
      </c>
      <c r="U445" s="263">
        <f t="shared" si="244"/>
        <v>23858722.141807269</v>
      </c>
      <c r="V445" s="196" t="str">
        <f t="shared" si="218"/>
        <v>R</v>
      </c>
      <c r="W445" s="196" t="s">
        <v>1168</v>
      </c>
      <c r="X445" s="196" t="str">
        <f t="shared" si="246"/>
        <v>N</v>
      </c>
      <c r="Y445" s="197">
        <f t="shared" si="248"/>
        <v>0</v>
      </c>
      <c r="Z445" s="198"/>
      <c r="AA445" s="197">
        <f t="shared" si="219"/>
        <v>0</v>
      </c>
      <c r="AB445" s="196"/>
      <c r="AC445" s="196"/>
      <c r="AD445" s="275">
        <v>0</v>
      </c>
      <c r="AE445" s="275">
        <v>0</v>
      </c>
      <c r="AF445" s="275">
        <v>1</v>
      </c>
      <c r="AG445" s="199"/>
      <c r="AH445" s="199"/>
      <c r="AI445" s="377">
        <f t="shared" si="220"/>
        <v>0</v>
      </c>
      <c r="AJ445" s="203"/>
      <c r="AK445" s="203"/>
      <c r="AL445" s="197">
        <f t="shared" si="214"/>
        <v>0</v>
      </c>
      <c r="AM445" s="197">
        <f t="shared" si="215"/>
        <v>0</v>
      </c>
      <c r="AN445" s="197">
        <f t="shared" si="216"/>
        <v>0</v>
      </c>
      <c r="AO445" s="202"/>
      <c r="AP445" s="161" t="s">
        <v>3900</v>
      </c>
      <c r="AQ445" s="279"/>
      <c r="AR445" s="287">
        <f t="shared" si="221"/>
        <v>0</v>
      </c>
      <c r="AS445" s="287">
        <f t="shared" si="222"/>
        <v>0</v>
      </c>
      <c r="AT445" s="287">
        <f t="shared" si="223"/>
        <v>0</v>
      </c>
      <c r="AU445" s="287">
        <f t="shared" si="224"/>
        <v>0</v>
      </c>
      <c r="AV445" s="287">
        <f t="shared" si="225"/>
        <v>0</v>
      </c>
      <c r="AW445" s="287">
        <f t="shared" si="226"/>
        <v>0</v>
      </c>
      <c r="AX445" s="287">
        <f t="shared" si="227"/>
        <v>0</v>
      </c>
      <c r="AY445" s="287">
        <f t="shared" si="228"/>
        <v>0</v>
      </c>
      <c r="AZ445" s="287">
        <f t="shared" si="229"/>
        <v>0</v>
      </c>
      <c r="BA445" s="287">
        <f t="shared" si="230"/>
        <v>0</v>
      </c>
      <c r="BB445" s="16"/>
      <c r="BC445" s="287">
        <f t="shared" si="231"/>
        <v>0</v>
      </c>
      <c r="BD445" s="287">
        <f t="shared" si="232"/>
        <v>0</v>
      </c>
      <c r="BE445" s="287">
        <f t="shared" si="233"/>
        <v>0</v>
      </c>
      <c r="BF445" s="287">
        <f t="shared" si="234"/>
        <v>0</v>
      </c>
      <c r="BG445" s="287">
        <f t="shared" si="235"/>
        <v>0</v>
      </c>
      <c r="BH445" s="287">
        <f t="shared" si="236"/>
        <v>0</v>
      </c>
      <c r="BI445" s="287">
        <f t="shared" si="237"/>
        <v>0</v>
      </c>
      <c r="BJ445" s="287">
        <f t="shared" si="238"/>
        <v>0</v>
      </c>
      <c r="BK445" s="287">
        <f t="shared" si="239"/>
        <v>0</v>
      </c>
      <c r="BL445" s="287">
        <f t="shared" si="240"/>
        <v>0</v>
      </c>
      <c r="BM445" s="16"/>
      <c r="BN445" s="287">
        <f t="shared" si="241"/>
        <v>0</v>
      </c>
      <c r="BO445" s="287">
        <f t="shared" si="242"/>
        <v>0</v>
      </c>
      <c r="BP445" s="432"/>
      <c r="BQ445" s="21"/>
      <c r="BR445" s="21"/>
      <c r="BS445" s="39"/>
      <c r="BT445" s="39"/>
      <c r="BU445" s="334">
        <v>1328873.26</v>
      </c>
      <c r="BV445" s="334">
        <v>0</v>
      </c>
      <c r="BW445" s="39"/>
      <c r="BX445" s="39"/>
      <c r="BY445" s="39"/>
      <c r="BZ445" s="39">
        <v>432</v>
      </c>
      <c r="CA445" s="39" t="str">
        <f t="shared" si="243"/>
        <v/>
      </c>
      <c r="CB445" s="39"/>
      <c r="CC445" s="39"/>
      <c r="CD445" s="39"/>
      <c r="CE445" s="39"/>
      <c r="CF445" s="39"/>
      <c r="CG445" s="39"/>
      <c r="CH445" s="39"/>
      <c r="CI445" s="39"/>
      <c r="CJ445" s="39"/>
      <c r="CK445" s="39"/>
    </row>
    <row r="446" spans="1:89" s="193" customFormat="1">
      <c r="A446" s="195"/>
      <c r="B446" s="21" t="str">
        <f t="shared" si="217"/>
        <v>N/A</v>
      </c>
      <c r="C446" s="21"/>
      <c r="D446" s="432"/>
      <c r="E446" s="439" t="s">
        <v>3626</v>
      </c>
      <c r="F446" s="439"/>
      <c r="G446" s="273" t="s">
        <v>3118</v>
      </c>
      <c r="H446" s="358"/>
      <c r="I446" s="262" t="s">
        <v>3160</v>
      </c>
      <c r="J446" s="262"/>
      <c r="K446" s="263">
        <v>1067040</v>
      </c>
      <c r="L446" s="263">
        <v>2423632.12</v>
      </c>
      <c r="M446" s="263">
        <v>2267649.5831999998</v>
      </c>
      <c r="N446" s="263">
        <v>2105393.4722160003</v>
      </c>
      <c r="O446" s="263">
        <v>2047050.3283305597</v>
      </c>
      <c r="P446" s="263">
        <v>2666310.0899774241</v>
      </c>
      <c r="Q446" s="263">
        <v>2481393.384882885</v>
      </c>
      <c r="R446" s="263">
        <v>2242013.1216785847</v>
      </c>
      <c r="S446" s="263">
        <v>3746056.7687402372</v>
      </c>
      <c r="T446" s="263">
        <v>3209310.1309743091</v>
      </c>
      <c r="U446" s="263">
        <f t="shared" si="244"/>
        <v>24255848.999999996</v>
      </c>
      <c r="V446" s="196" t="str">
        <f t="shared" si="218"/>
        <v>LOS</v>
      </c>
      <c r="W446" s="196" t="s">
        <v>1168</v>
      </c>
      <c r="X446" s="196" t="str">
        <f t="shared" si="246"/>
        <v>N</v>
      </c>
      <c r="Y446" s="197">
        <f t="shared" si="248"/>
        <v>0</v>
      </c>
      <c r="Z446" s="198"/>
      <c r="AA446" s="197">
        <f t="shared" si="219"/>
        <v>0</v>
      </c>
      <c r="AB446" s="196"/>
      <c r="AC446" s="196"/>
      <c r="AD446" s="275">
        <v>0</v>
      </c>
      <c r="AE446" s="275">
        <v>1</v>
      </c>
      <c r="AF446" s="275">
        <v>0</v>
      </c>
      <c r="AG446" s="199"/>
      <c r="AH446" s="199"/>
      <c r="AI446" s="377">
        <f t="shared" si="220"/>
        <v>0</v>
      </c>
      <c r="AJ446" s="203"/>
      <c r="AK446" s="203"/>
      <c r="AL446" s="197">
        <f t="shared" si="214"/>
        <v>0</v>
      </c>
      <c r="AM446" s="197">
        <f t="shared" si="215"/>
        <v>0</v>
      </c>
      <c r="AN446" s="197">
        <f t="shared" si="216"/>
        <v>0</v>
      </c>
      <c r="AO446" s="202"/>
      <c r="AP446" s="161" t="s">
        <v>3900</v>
      </c>
      <c r="AQ446" s="279"/>
      <c r="AR446" s="287">
        <f t="shared" si="221"/>
        <v>0</v>
      </c>
      <c r="AS446" s="287">
        <f t="shared" si="222"/>
        <v>0</v>
      </c>
      <c r="AT446" s="287">
        <f t="shared" si="223"/>
        <v>0</v>
      </c>
      <c r="AU446" s="287">
        <f t="shared" si="224"/>
        <v>0</v>
      </c>
      <c r="AV446" s="287">
        <f t="shared" si="225"/>
        <v>0</v>
      </c>
      <c r="AW446" s="287">
        <f t="shared" si="226"/>
        <v>0</v>
      </c>
      <c r="AX446" s="287">
        <f t="shared" si="227"/>
        <v>0</v>
      </c>
      <c r="AY446" s="287">
        <f t="shared" si="228"/>
        <v>0</v>
      </c>
      <c r="AZ446" s="287">
        <f t="shared" si="229"/>
        <v>0</v>
      </c>
      <c r="BA446" s="287">
        <f t="shared" si="230"/>
        <v>0</v>
      </c>
      <c r="BB446" s="16"/>
      <c r="BC446" s="287">
        <f t="shared" si="231"/>
        <v>0</v>
      </c>
      <c r="BD446" s="287">
        <f t="shared" si="232"/>
        <v>0</v>
      </c>
      <c r="BE446" s="287">
        <f t="shared" si="233"/>
        <v>0</v>
      </c>
      <c r="BF446" s="287">
        <f t="shared" si="234"/>
        <v>0</v>
      </c>
      <c r="BG446" s="287">
        <f t="shared" si="235"/>
        <v>0</v>
      </c>
      <c r="BH446" s="287">
        <f t="shared" si="236"/>
        <v>0</v>
      </c>
      <c r="BI446" s="287">
        <f t="shared" si="237"/>
        <v>0</v>
      </c>
      <c r="BJ446" s="287">
        <f t="shared" si="238"/>
        <v>0</v>
      </c>
      <c r="BK446" s="287">
        <f t="shared" si="239"/>
        <v>0</v>
      </c>
      <c r="BL446" s="287">
        <f t="shared" si="240"/>
        <v>0</v>
      </c>
      <c r="BM446" s="16"/>
      <c r="BN446" s="287">
        <f t="shared" si="241"/>
        <v>0</v>
      </c>
      <c r="BO446" s="287">
        <f t="shared" si="242"/>
        <v>0</v>
      </c>
      <c r="BP446" s="432"/>
      <c r="BQ446" s="21"/>
      <c r="BR446" s="21"/>
      <c r="BS446" s="39"/>
      <c r="BT446" s="39"/>
      <c r="BU446" s="334">
        <v>577500</v>
      </c>
      <c r="BV446" s="334">
        <v>0</v>
      </c>
      <c r="BW446" s="39"/>
      <c r="BX446" s="39"/>
      <c r="BY446" s="39"/>
      <c r="BZ446" s="39">
        <v>433</v>
      </c>
      <c r="CA446" s="39" t="str">
        <f t="shared" si="243"/>
        <v/>
      </c>
      <c r="CB446" s="39"/>
      <c r="CC446" s="39"/>
      <c r="CD446" s="39"/>
      <c r="CE446" s="39"/>
      <c r="CF446" s="39"/>
      <c r="CG446" s="39"/>
      <c r="CH446" s="39"/>
      <c r="CI446" s="39"/>
      <c r="CJ446" s="39"/>
      <c r="CK446" s="39"/>
    </row>
    <row r="447" spans="1:89" s="193" customFormat="1">
      <c r="A447" s="195"/>
      <c r="B447" s="21" t="str">
        <f t="shared" si="217"/>
        <v>N/A</v>
      </c>
      <c r="C447" s="21"/>
      <c r="D447" s="432"/>
      <c r="E447" s="439" t="s">
        <v>3626</v>
      </c>
      <c r="F447" s="439"/>
      <c r="G447" s="273" t="s">
        <v>3640</v>
      </c>
      <c r="H447" s="358"/>
      <c r="I447" s="262" t="s">
        <v>3161</v>
      </c>
      <c r="J447" s="262"/>
      <c r="K447" s="263">
        <v>4160000</v>
      </c>
      <c r="L447" s="263">
        <v>1968512</v>
      </c>
      <c r="M447" s="263">
        <v>194688</v>
      </c>
      <c r="N447" s="263">
        <v>0</v>
      </c>
      <c r="O447" s="263">
        <v>0</v>
      </c>
      <c r="P447" s="263">
        <v>1040000</v>
      </c>
      <c r="Q447" s="263">
        <v>492128</v>
      </c>
      <c r="R447" s="263">
        <v>48672</v>
      </c>
      <c r="S447" s="263">
        <v>0</v>
      </c>
      <c r="T447" s="263">
        <v>0.28413895910399994</v>
      </c>
      <c r="U447" s="263">
        <f t="shared" si="244"/>
        <v>7904000.2841389589</v>
      </c>
      <c r="V447" s="196" t="str">
        <f t="shared" si="218"/>
        <v>LOS</v>
      </c>
      <c r="W447" s="196" t="s">
        <v>1168</v>
      </c>
      <c r="X447" s="196" t="s">
        <v>1168</v>
      </c>
      <c r="Y447" s="197">
        <f t="shared" si="248"/>
        <v>0</v>
      </c>
      <c r="Z447" s="198"/>
      <c r="AA447" s="197">
        <f t="shared" si="219"/>
        <v>0</v>
      </c>
      <c r="AB447" s="196"/>
      <c r="AC447" s="196"/>
      <c r="AD447" s="275">
        <v>0</v>
      </c>
      <c r="AE447" s="275">
        <v>1</v>
      </c>
      <c r="AF447" s="275">
        <v>0</v>
      </c>
      <c r="AG447" s="199"/>
      <c r="AH447" s="199"/>
      <c r="AI447" s="377">
        <f t="shared" si="220"/>
        <v>0</v>
      </c>
      <c r="AJ447" s="203"/>
      <c r="AK447" s="203"/>
      <c r="AL447" s="197">
        <f t="shared" si="214"/>
        <v>0</v>
      </c>
      <c r="AM447" s="197">
        <f t="shared" si="215"/>
        <v>0</v>
      </c>
      <c r="AN447" s="197">
        <f t="shared" si="216"/>
        <v>0</v>
      </c>
      <c r="AO447" s="202"/>
      <c r="AP447" s="161" t="s">
        <v>3900</v>
      </c>
      <c r="AQ447" s="279"/>
      <c r="AR447" s="287">
        <f t="shared" si="221"/>
        <v>0</v>
      </c>
      <c r="AS447" s="287">
        <f t="shared" si="222"/>
        <v>0</v>
      </c>
      <c r="AT447" s="287">
        <f t="shared" si="223"/>
        <v>0</v>
      </c>
      <c r="AU447" s="287">
        <f t="shared" si="224"/>
        <v>0</v>
      </c>
      <c r="AV447" s="287">
        <f t="shared" si="225"/>
        <v>0</v>
      </c>
      <c r="AW447" s="287">
        <f t="shared" si="226"/>
        <v>0</v>
      </c>
      <c r="AX447" s="287">
        <f t="shared" si="227"/>
        <v>0</v>
      </c>
      <c r="AY447" s="287">
        <f t="shared" si="228"/>
        <v>0</v>
      </c>
      <c r="AZ447" s="287">
        <f t="shared" si="229"/>
        <v>0</v>
      </c>
      <c r="BA447" s="287">
        <f t="shared" si="230"/>
        <v>0</v>
      </c>
      <c r="BB447" s="16"/>
      <c r="BC447" s="287">
        <f t="shared" si="231"/>
        <v>0</v>
      </c>
      <c r="BD447" s="287">
        <f t="shared" si="232"/>
        <v>0</v>
      </c>
      <c r="BE447" s="287">
        <f t="shared" si="233"/>
        <v>0</v>
      </c>
      <c r="BF447" s="287">
        <f t="shared" si="234"/>
        <v>0</v>
      </c>
      <c r="BG447" s="287">
        <f t="shared" si="235"/>
        <v>0</v>
      </c>
      <c r="BH447" s="287">
        <f t="shared" si="236"/>
        <v>0</v>
      </c>
      <c r="BI447" s="287">
        <f t="shared" si="237"/>
        <v>0</v>
      </c>
      <c r="BJ447" s="287">
        <f t="shared" si="238"/>
        <v>0</v>
      </c>
      <c r="BK447" s="287">
        <f t="shared" si="239"/>
        <v>0</v>
      </c>
      <c r="BL447" s="287">
        <f t="shared" si="240"/>
        <v>0</v>
      </c>
      <c r="BM447" s="16"/>
      <c r="BN447" s="287">
        <f t="shared" si="241"/>
        <v>0</v>
      </c>
      <c r="BO447" s="287">
        <f t="shared" si="242"/>
        <v>0</v>
      </c>
      <c r="BP447" s="432"/>
      <c r="BQ447" s="21"/>
      <c r="BR447" s="21"/>
      <c r="BS447" s="39"/>
      <c r="BT447" s="39"/>
      <c r="BU447" s="334"/>
      <c r="BV447" s="334"/>
      <c r="BW447" s="39"/>
      <c r="BX447" s="39"/>
      <c r="BY447" s="39"/>
      <c r="BZ447" s="39">
        <v>434</v>
      </c>
      <c r="CA447" s="39" t="str">
        <f t="shared" si="243"/>
        <v/>
      </c>
      <c r="CB447" s="39"/>
      <c r="CC447" s="39"/>
      <c r="CD447" s="39"/>
      <c r="CE447" s="39"/>
      <c r="CF447" s="39"/>
      <c r="CG447" s="39"/>
      <c r="CH447" s="39"/>
      <c r="CI447" s="39"/>
      <c r="CJ447" s="39"/>
      <c r="CK447" s="39"/>
    </row>
    <row r="448" spans="1:89" s="193" customFormat="1">
      <c r="A448" s="195"/>
      <c r="B448" s="21" t="str">
        <f t="shared" si="217"/>
        <v>N/A</v>
      </c>
      <c r="C448" s="21"/>
      <c r="D448" s="432"/>
      <c r="E448" s="439" t="s">
        <v>3626</v>
      </c>
      <c r="F448" s="439"/>
      <c r="G448" s="273" t="s">
        <v>3633</v>
      </c>
      <c r="H448" s="358"/>
      <c r="I448" s="262" t="s">
        <v>3161</v>
      </c>
      <c r="J448" s="262"/>
      <c r="K448" s="263">
        <v>1067040</v>
      </c>
      <c r="L448" s="263">
        <v>1009847.02</v>
      </c>
      <c r="M448" s="263">
        <v>2091146.6522000001</v>
      </c>
      <c r="N448" s="263">
        <v>2039240.2651860001</v>
      </c>
      <c r="O448" s="263">
        <v>1993568.5413957601</v>
      </c>
      <c r="P448" s="263">
        <v>2598483.0237055039</v>
      </c>
      <c r="Q448" s="263">
        <v>2418474.7493597632</v>
      </c>
      <c r="R448" s="263">
        <v>2185191.1417437331</v>
      </c>
      <c r="S448" s="263">
        <v>4873389.0718324082</v>
      </c>
      <c r="T448" s="263">
        <v>4632306.5345768314</v>
      </c>
      <c r="U448" s="263">
        <f t="shared" si="244"/>
        <v>24908687</v>
      </c>
      <c r="V448" s="196" t="str">
        <f t="shared" si="218"/>
        <v>LOS</v>
      </c>
      <c r="W448" s="196" t="s">
        <v>1168</v>
      </c>
      <c r="X448" s="196" t="str">
        <f t="shared" ref="X448:X479" si="249">IF(LEFT(V448,1)="G","Y","N")</f>
        <v>N</v>
      </c>
      <c r="Y448" s="197">
        <f t="shared" si="248"/>
        <v>0</v>
      </c>
      <c r="Z448" s="198"/>
      <c r="AA448" s="197">
        <f t="shared" si="219"/>
        <v>0</v>
      </c>
      <c r="AB448" s="196"/>
      <c r="AC448" s="196"/>
      <c r="AD448" s="275">
        <v>0</v>
      </c>
      <c r="AE448" s="275">
        <v>1</v>
      </c>
      <c r="AF448" s="275">
        <v>0</v>
      </c>
      <c r="AG448" s="199"/>
      <c r="AH448" s="199"/>
      <c r="AI448" s="377">
        <f t="shared" si="220"/>
        <v>0</v>
      </c>
      <c r="AJ448" s="203"/>
      <c r="AK448" s="203"/>
      <c r="AL448" s="197">
        <f t="shared" si="214"/>
        <v>0</v>
      </c>
      <c r="AM448" s="197">
        <f t="shared" si="215"/>
        <v>0</v>
      </c>
      <c r="AN448" s="197">
        <f t="shared" si="216"/>
        <v>0</v>
      </c>
      <c r="AO448" s="202"/>
      <c r="AP448" s="161" t="s">
        <v>3900</v>
      </c>
      <c r="AQ448" s="279"/>
      <c r="AR448" s="287">
        <f t="shared" si="221"/>
        <v>0</v>
      </c>
      <c r="AS448" s="287">
        <f t="shared" si="222"/>
        <v>0</v>
      </c>
      <c r="AT448" s="287">
        <f t="shared" si="223"/>
        <v>0</v>
      </c>
      <c r="AU448" s="287">
        <f t="shared" si="224"/>
        <v>0</v>
      </c>
      <c r="AV448" s="287">
        <f t="shared" si="225"/>
        <v>0</v>
      </c>
      <c r="AW448" s="287">
        <f t="shared" si="226"/>
        <v>0</v>
      </c>
      <c r="AX448" s="287">
        <f t="shared" si="227"/>
        <v>0</v>
      </c>
      <c r="AY448" s="287">
        <f t="shared" si="228"/>
        <v>0</v>
      </c>
      <c r="AZ448" s="287">
        <f t="shared" si="229"/>
        <v>0</v>
      </c>
      <c r="BA448" s="287">
        <f t="shared" si="230"/>
        <v>0</v>
      </c>
      <c r="BB448" s="16"/>
      <c r="BC448" s="287">
        <f t="shared" si="231"/>
        <v>0</v>
      </c>
      <c r="BD448" s="287">
        <f t="shared" si="232"/>
        <v>0</v>
      </c>
      <c r="BE448" s="287">
        <f t="shared" si="233"/>
        <v>0</v>
      </c>
      <c r="BF448" s="287">
        <f t="shared" si="234"/>
        <v>0</v>
      </c>
      <c r="BG448" s="287">
        <f t="shared" si="235"/>
        <v>0</v>
      </c>
      <c r="BH448" s="287">
        <f t="shared" si="236"/>
        <v>0</v>
      </c>
      <c r="BI448" s="287">
        <f t="shared" si="237"/>
        <v>0</v>
      </c>
      <c r="BJ448" s="287">
        <f t="shared" si="238"/>
        <v>0</v>
      </c>
      <c r="BK448" s="287">
        <f t="shared" si="239"/>
        <v>0</v>
      </c>
      <c r="BL448" s="287">
        <f t="shared" si="240"/>
        <v>0</v>
      </c>
      <c r="BM448" s="16"/>
      <c r="BN448" s="287">
        <f t="shared" si="241"/>
        <v>0</v>
      </c>
      <c r="BO448" s="287">
        <f t="shared" si="242"/>
        <v>0</v>
      </c>
      <c r="BP448" s="432"/>
      <c r="BQ448" s="21"/>
      <c r="BR448" s="21"/>
      <c r="BS448" s="39"/>
      <c r="BT448" s="39"/>
      <c r="BU448" s="334">
        <v>37500</v>
      </c>
      <c r="BV448" s="334">
        <v>0</v>
      </c>
      <c r="BW448" s="39"/>
      <c r="BX448" s="39"/>
      <c r="BY448" s="39"/>
      <c r="BZ448" s="39">
        <v>435</v>
      </c>
      <c r="CA448" s="39" t="str">
        <f t="shared" si="243"/>
        <v/>
      </c>
      <c r="CB448" s="39"/>
      <c r="CC448" s="39"/>
      <c r="CD448" s="39"/>
      <c r="CE448" s="39"/>
      <c r="CF448" s="39"/>
      <c r="CG448" s="39"/>
      <c r="CH448" s="39"/>
      <c r="CI448" s="39"/>
      <c r="CJ448" s="39"/>
      <c r="CK448" s="39"/>
    </row>
    <row r="449" spans="1:89" s="193" customFormat="1">
      <c r="A449" s="195"/>
      <c r="B449" s="21" t="str">
        <f t="shared" si="217"/>
        <v>N/A</v>
      </c>
      <c r="C449" s="21"/>
      <c r="D449" s="432"/>
      <c r="E449" s="439" t="s">
        <v>3626</v>
      </c>
      <c r="F449" s="439"/>
      <c r="G449" s="273" t="s">
        <v>3119</v>
      </c>
      <c r="H449" s="358"/>
      <c r="I449" s="262" t="s">
        <v>3161</v>
      </c>
      <c r="J449" s="262"/>
      <c r="K449" s="263">
        <v>0</v>
      </c>
      <c r="L449" s="263">
        <v>4232300.8</v>
      </c>
      <c r="M449" s="263">
        <v>418579.48800000001</v>
      </c>
      <c r="N449" s="263">
        <v>0</v>
      </c>
      <c r="O449" s="263">
        <v>0</v>
      </c>
      <c r="P449" s="263">
        <v>0</v>
      </c>
      <c r="Q449" s="263">
        <v>0</v>
      </c>
      <c r="R449" s="263">
        <v>0</v>
      </c>
      <c r="S449" s="263">
        <v>0</v>
      </c>
      <c r="T449" s="263">
        <v>0</v>
      </c>
      <c r="U449" s="263">
        <f t="shared" si="244"/>
        <v>4650880.2879999997</v>
      </c>
      <c r="V449" s="196" t="str">
        <f t="shared" si="218"/>
        <v>LOS</v>
      </c>
      <c r="W449" s="196" t="s">
        <v>1168</v>
      </c>
      <c r="X449" s="196" t="str">
        <f t="shared" si="249"/>
        <v>N</v>
      </c>
      <c r="Y449" s="197">
        <f t="shared" si="248"/>
        <v>0</v>
      </c>
      <c r="Z449" s="198"/>
      <c r="AA449" s="197">
        <f t="shared" si="219"/>
        <v>0</v>
      </c>
      <c r="AB449" s="196"/>
      <c r="AC449" s="196"/>
      <c r="AD449" s="275">
        <v>0</v>
      </c>
      <c r="AE449" s="275">
        <v>1</v>
      </c>
      <c r="AF449" s="275">
        <v>0</v>
      </c>
      <c r="AG449" s="199"/>
      <c r="AH449" s="199"/>
      <c r="AI449" s="377">
        <f t="shared" si="220"/>
        <v>0</v>
      </c>
      <c r="AJ449" s="203"/>
      <c r="AK449" s="203"/>
      <c r="AL449" s="197">
        <f t="shared" si="214"/>
        <v>0</v>
      </c>
      <c r="AM449" s="197">
        <f t="shared" si="215"/>
        <v>0</v>
      </c>
      <c r="AN449" s="197">
        <f t="shared" si="216"/>
        <v>0</v>
      </c>
      <c r="AO449" s="202"/>
      <c r="AP449" s="161" t="s">
        <v>3900</v>
      </c>
      <c r="AQ449" s="279"/>
      <c r="AR449" s="287">
        <f t="shared" si="221"/>
        <v>0</v>
      </c>
      <c r="AS449" s="287">
        <f t="shared" si="222"/>
        <v>0</v>
      </c>
      <c r="AT449" s="287">
        <f t="shared" si="223"/>
        <v>0</v>
      </c>
      <c r="AU449" s="287">
        <f t="shared" si="224"/>
        <v>0</v>
      </c>
      <c r="AV449" s="287">
        <f t="shared" si="225"/>
        <v>0</v>
      </c>
      <c r="AW449" s="287">
        <f t="shared" si="226"/>
        <v>0</v>
      </c>
      <c r="AX449" s="287">
        <f t="shared" si="227"/>
        <v>0</v>
      </c>
      <c r="AY449" s="287">
        <f t="shared" si="228"/>
        <v>0</v>
      </c>
      <c r="AZ449" s="287">
        <f t="shared" si="229"/>
        <v>0</v>
      </c>
      <c r="BA449" s="287">
        <f t="shared" si="230"/>
        <v>0</v>
      </c>
      <c r="BB449" s="16"/>
      <c r="BC449" s="287">
        <f t="shared" si="231"/>
        <v>0</v>
      </c>
      <c r="BD449" s="287">
        <f t="shared" si="232"/>
        <v>0</v>
      </c>
      <c r="BE449" s="287">
        <f t="shared" si="233"/>
        <v>0</v>
      </c>
      <c r="BF449" s="287">
        <f t="shared" si="234"/>
        <v>0</v>
      </c>
      <c r="BG449" s="287">
        <f t="shared" si="235"/>
        <v>0</v>
      </c>
      <c r="BH449" s="287">
        <f t="shared" si="236"/>
        <v>0</v>
      </c>
      <c r="BI449" s="287">
        <f t="shared" si="237"/>
        <v>0</v>
      </c>
      <c r="BJ449" s="287">
        <f t="shared" si="238"/>
        <v>0</v>
      </c>
      <c r="BK449" s="287">
        <f t="shared" si="239"/>
        <v>0</v>
      </c>
      <c r="BL449" s="287">
        <f t="shared" si="240"/>
        <v>0</v>
      </c>
      <c r="BM449" s="16"/>
      <c r="BN449" s="287">
        <f t="shared" si="241"/>
        <v>0</v>
      </c>
      <c r="BO449" s="287">
        <f t="shared" si="242"/>
        <v>0</v>
      </c>
      <c r="BP449" s="432"/>
      <c r="BQ449" s="21"/>
      <c r="BR449" s="21"/>
      <c r="BS449" s="39"/>
      <c r="BT449" s="39"/>
      <c r="BU449" s="334">
        <v>4476293.25</v>
      </c>
      <c r="BV449" s="334">
        <v>0</v>
      </c>
      <c r="BW449" s="39"/>
      <c r="BX449" s="39"/>
      <c r="BY449" s="39"/>
      <c r="BZ449" s="39">
        <v>436</v>
      </c>
      <c r="CA449" s="39" t="str">
        <f t="shared" si="243"/>
        <v/>
      </c>
      <c r="CB449" s="39"/>
      <c r="CC449" s="39"/>
      <c r="CD449" s="39"/>
      <c r="CE449" s="39"/>
      <c r="CF449" s="39"/>
      <c r="CG449" s="39"/>
      <c r="CH449" s="39"/>
      <c r="CI449" s="39"/>
      <c r="CJ449" s="39"/>
      <c r="CK449" s="39"/>
    </row>
    <row r="450" spans="1:89" s="193" customFormat="1">
      <c r="A450" s="195"/>
      <c r="B450" s="21" t="str">
        <f t="shared" si="217"/>
        <v>N/A</v>
      </c>
      <c r="C450" s="21"/>
      <c r="D450" s="432"/>
      <c r="E450" s="439" t="s">
        <v>3626</v>
      </c>
      <c r="F450" s="439" t="s">
        <v>4145</v>
      </c>
      <c r="G450" s="273" t="s">
        <v>4146</v>
      </c>
      <c r="H450" s="358"/>
      <c r="I450" s="262" t="s">
        <v>3491</v>
      </c>
      <c r="J450" s="262" t="s">
        <v>4195</v>
      </c>
      <c r="K450" s="263">
        <v>210000</v>
      </c>
      <c r="L450" s="263">
        <v>190000</v>
      </c>
      <c r="M450" s="263">
        <v>1650000</v>
      </c>
      <c r="N450" s="263">
        <v>2350000</v>
      </c>
      <c r="O450" s="263">
        <v>0</v>
      </c>
      <c r="P450" s="263">
        <v>0</v>
      </c>
      <c r="Q450" s="263">
        <v>0</v>
      </c>
      <c r="R450" s="263">
        <v>0</v>
      </c>
      <c r="S450" s="263">
        <v>0</v>
      </c>
      <c r="T450" s="263">
        <v>0</v>
      </c>
      <c r="U450" s="263">
        <f t="shared" si="244"/>
        <v>4400000</v>
      </c>
      <c r="V450" s="196" t="str">
        <f t="shared" si="218"/>
        <v>LOS/R</v>
      </c>
      <c r="W450" s="196" t="s">
        <v>1168</v>
      </c>
      <c r="X450" s="196" t="str">
        <f t="shared" si="249"/>
        <v>N</v>
      </c>
      <c r="Y450" s="197">
        <f>SUM(K450:T450)</f>
        <v>4400000</v>
      </c>
      <c r="Z450" s="198"/>
      <c r="AA450" s="197">
        <f t="shared" si="219"/>
        <v>4400000</v>
      </c>
      <c r="AB450" s="196"/>
      <c r="AC450" s="196"/>
      <c r="AD450" s="275">
        <v>0</v>
      </c>
      <c r="AE450" s="275">
        <v>0.85000000000000009</v>
      </c>
      <c r="AF450" s="275">
        <v>0.15</v>
      </c>
      <c r="AG450" s="442"/>
      <c r="AH450" s="442"/>
      <c r="AI450" s="200">
        <f t="shared" si="220"/>
        <v>0</v>
      </c>
      <c r="AJ450" s="203"/>
      <c r="AK450" s="203"/>
      <c r="AL450" s="197">
        <f t="shared" si="214"/>
        <v>4400000</v>
      </c>
      <c r="AM450" s="197">
        <f t="shared" si="215"/>
        <v>0</v>
      </c>
      <c r="AN450" s="197">
        <f t="shared" si="216"/>
        <v>0</v>
      </c>
      <c r="AO450" s="202"/>
      <c r="AP450" s="161" t="s">
        <v>3900</v>
      </c>
      <c r="AQ450" s="279"/>
      <c r="AR450" s="287">
        <f t="shared" si="221"/>
        <v>0</v>
      </c>
      <c r="AS450" s="287">
        <f t="shared" si="222"/>
        <v>0</v>
      </c>
      <c r="AT450" s="287">
        <f t="shared" si="223"/>
        <v>0</v>
      </c>
      <c r="AU450" s="287">
        <f t="shared" si="224"/>
        <v>0</v>
      </c>
      <c r="AV450" s="287">
        <f t="shared" si="225"/>
        <v>0</v>
      </c>
      <c r="AW450" s="287">
        <f t="shared" si="226"/>
        <v>0</v>
      </c>
      <c r="AX450" s="287">
        <f t="shared" si="227"/>
        <v>0</v>
      </c>
      <c r="AY450" s="287">
        <f t="shared" si="228"/>
        <v>0</v>
      </c>
      <c r="AZ450" s="287">
        <f t="shared" si="229"/>
        <v>0</v>
      </c>
      <c r="BA450" s="287">
        <f t="shared" si="230"/>
        <v>0</v>
      </c>
      <c r="BB450" s="16"/>
      <c r="BC450" s="287">
        <f t="shared" si="231"/>
        <v>0</v>
      </c>
      <c r="BD450" s="287">
        <f t="shared" si="232"/>
        <v>0</v>
      </c>
      <c r="BE450" s="287">
        <f t="shared" si="233"/>
        <v>0</v>
      </c>
      <c r="BF450" s="287">
        <f t="shared" si="234"/>
        <v>0</v>
      </c>
      <c r="BG450" s="287">
        <f t="shared" si="235"/>
        <v>0</v>
      </c>
      <c r="BH450" s="287">
        <f t="shared" si="236"/>
        <v>0</v>
      </c>
      <c r="BI450" s="287">
        <f t="shared" si="237"/>
        <v>0</v>
      </c>
      <c r="BJ450" s="287">
        <f t="shared" si="238"/>
        <v>0</v>
      </c>
      <c r="BK450" s="287">
        <f t="shared" si="239"/>
        <v>0</v>
      </c>
      <c r="BL450" s="287">
        <f t="shared" si="240"/>
        <v>0</v>
      </c>
      <c r="BM450" s="16"/>
      <c r="BN450" s="287">
        <f t="shared" si="241"/>
        <v>0</v>
      </c>
      <c r="BO450" s="287">
        <f t="shared" si="242"/>
        <v>0</v>
      </c>
      <c r="BP450" s="432"/>
      <c r="BQ450" s="21"/>
      <c r="BR450" s="21"/>
      <c r="BS450" s="39"/>
      <c r="BT450" s="39"/>
      <c r="BU450" s="39"/>
      <c r="BV450" s="39"/>
      <c r="BW450" s="39"/>
      <c r="BX450" s="39"/>
      <c r="BY450" s="39"/>
      <c r="BZ450" s="39">
        <v>437</v>
      </c>
      <c r="CA450" s="39" t="str">
        <f t="shared" si="243"/>
        <v/>
      </c>
      <c r="CB450" s="39"/>
      <c r="CC450" s="39"/>
      <c r="CD450" s="39"/>
      <c r="CE450" s="39"/>
      <c r="CF450" s="39"/>
      <c r="CG450" s="39"/>
      <c r="CH450" s="39"/>
      <c r="CI450" s="39"/>
      <c r="CJ450" s="39"/>
      <c r="CK450" s="39"/>
    </row>
    <row r="451" spans="1:89" s="193" customFormat="1">
      <c r="A451" s="195"/>
      <c r="B451" s="21" t="str">
        <f t="shared" si="217"/>
        <v>N/A</v>
      </c>
      <c r="C451" s="21"/>
      <c r="D451" s="432"/>
      <c r="E451" s="439" t="s">
        <v>3626</v>
      </c>
      <c r="F451" s="439"/>
      <c r="G451" s="273" t="s">
        <v>3120</v>
      </c>
      <c r="H451" s="358"/>
      <c r="I451" s="262" t="s">
        <v>3160</v>
      </c>
      <c r="J451" s="262"/>
      <c r="K451" s="263">
        <v>187200</v>
      </c>
      <c r="L451" s="263">
        <v>177166.07999999999</v>
      </c>
      <c r="M451" s="263">
        <v>195798.1488</v>
      </c>
      <c r="N451" s="263">
        <v>184347.66794399999</v>
      </c>
      <c r="O451" s="263">
        <v>179524.04757503999</v>
      </c>
      <c r="P451" s="263">
        <v>233880.60742231598</v>
      </c>
      <c r="Q451" s="263">
        <v>217665.24954381405</v>
      </c>
      <c r="R451" s="263">
        <v>196667.88764253992</v>
      </c>
      <c r="S451" s="263">
        <v>328602.19307578396</v>
      </c>
      <c r="T451" s="263">
        <v>281519.1179965061</v>
      </c>
      <c r="U451" s="263">
        <f t="shared" si="244"/>
        <v>2182371</v>
      </c>
      <c r="V451" s="196" t="str">
        <f t="shared" si="218"/>
        <v>LOS</v>
      </c>
      <c r="W451" s="196" t="s">
        <v>1168</v>
      </c>
      <c r="X451" s="196" t="str">
        <f t="shared" si="249"/>
        <v>N</v>
      </c>
      <c r="Y451" s="197">
        <f t="shared" ref="Y451:Y459" si="250">IF(X451="N",0,SUM(K451:T451))</f>
        <v>0</v>
      </c>
      <c r="Z451" s="198"/>
      <c r="AA451" s="197">
        <f t="shared" si="219"/>
        <v>0</v>
      </c>
      <c r="AB451" s="196"/>
      <c r="AC451" s="196"/>
      <c r="AD451" s="275">
        <v>0</v>
      </c>
      <c r="AE451" s="275">
        <v>1</v>
      </c>
      <c r="AF451" s="275">
        <v>0</v>
      </c>
      <c r="AG451" s="199"/>
      <c r="AH451" s="199"/>
      <c r="AI451" s="377">
        <f t="shared" si="220"/>
        <v>0</v>
      </c>
      <c r="AJ451" s="203"/>
      <c r="AK451" s="203"/>
      <c r="AL451" s="197">
        <f t="shared" si="214"/>
        <v>0</v>
      </c>
      <c r="AM451" s="197">
        <f t="shared" si="215"/>
        <v>0</v>
      </c>
      <c r="AN451" s="197">
        <f t="shared" si="216"/>
        <v>0</v>
      </c>
      <c r="AO451" s="202"/>
      <c r="AP451" s="161" t="s">
        <v>3900</v>
      </c>
      <c r="AQ451" s="279"/>
      <c r="AR451" s="287">
        <f t="shared" si="221"/>
        <v>0</v>
      </c>
      <c r="AS451" s="287">
        <f t="shared" si="222"/>
        <v>0</v>
      </c>
      <c r="AT451" s="287">
        <f t="shared" si="223"/>
        <v>0</v>
      </c>
      <c r="AU451" s="287">
        <f t="shared" si="224"/>
        <v>0</v>
      </c>
      <c r="AV451" s="287">
        <f t="shared" si="225"/>
        <v>0</v>
      </c>
      <c r="AW451" s="287">
        <f t="shared" si="226"/>
        <v>0</v>
      </c>
      <c r="AX451" s="287">
        <f t="shared" si="227"/>
        <v>0</v>
      </c>
      <c r="AY451" s="287">
        <f t="shared" si="228"/>
        <v>0</v>
      </c>
      <c r="AZ451" s="287">
        <f t="shared" si="229"/>
        <v>0</v>
      </c>
      <c r="BA451" s="287">
        <f t="shared" si="230"/>
        <v>0</v>
      </c>
      <c r="BB451" s="16"/>
      <c r="BC451" s="287">
        <f t="shared" si="231"/>
        <v>0</v>
      </c>
      <c r="BD451" s="287">
        <f t="shared" si="232"/>
        <v>0</v>
      </c>
      <c r="BE451" s="287">
        <f t="shared" si="233"/>
        <v>0</v>
      </c>
      <c r="BF451" s="287">
        <f t="shared" si="234"/>
        <v>0</v>
      </c>
      <c r="BG451" s="287">
        <f t="shared" si="235"/>
        <v>0</v>
      </c>
      <c r="BH451" s="287">
        <f t="shared" si="236"/>
        <v>0</v>
      </c>
      <c r="BI451" s="287">
        <f t="shared" si="237"/>
        <v>0</v>
      </c>
      <c r="BJ451" s="287">
        <f t="shared" si="238"/>
        <v>0</v>
      </c>
      <c r="BK451" s="287">
        <f t="shared" si="239"/>
        <v>0</v>
      </c>
      <c r="BL451" s="287">
        <f t="shared" si="240"/>
        <v>0</v>
      </c>
      <c r="BM451" s="16"/>
      <c r="BN451" s="287">
        <f t="shared" si="241"/>
        <v>0</v>
      </c>
      <c r="BO451" s="287">
        <f t="shared" si="242"/>
        <v>0</v>
      </c>
      <c r="BP451" s="432"/>
      <c r="BQ451" s="21"/>
      <c r="BR451" s="21"/>
      <c r="BS451" s="39"/>
      <c r="BT451" s="39"/>
      <c r="BU451" s="334">
        <v>6584200</v>
      </c>
      <c r="BV451" s="334">
        <v>0</v>
      </c>
      <c r="BW451" s="39"/>
      <c r="BX451" s="39"/>
      <c r="BY451" s="39"/>
      <c r="BZ451" s="39">
        <v>438</v>
      </c>
      <c r="CA451" s="39" t="str">
        <f t="shared" si="243"/>
        <v/>
      </c>
      <c r="CB451" s="39"/>
      <c r="CC451" s="39"/>
      <c r="CD451" s="39"/>
      <c r="CE451" s="39"/>
      <c r="CF451" s="39"/>
      <c r="CG451" s="39"/>
      <c r="CH451" s="39"/>
      <c r="CI451" s="39"/>
      <c r="CJ451" s="39"/>
      <c r="CK451" s="39"/>
    </row>
    <row r="452" spans="1:89" s="193" customFormat="1">
      <c r="A452" s="195"/>
      <c r="B452" s="21" t="str">
        <f t="shared" si="217"/>
        <v>N/A</v>
      </c>
      <c r="C452" s="21"/>
      <c r="D452" s="432"/>
      <c r="E452" s="439" t="s">
        <v>3626</v>
      </c>
      <c r="F452" s="439"/>
      <c r="G452" s="273" t="s">
        <v>3121</v>
      </c>
      <c r="H452" s="358"/>
      <c r="I452" s="262" t="s">
        <v>3160</v>
      </c>
      <c r="J452" s="262"/>
      <c r="K452" s="263">
        <v>3375840</v>
      </c>
      <c r="L452" s="263">
        <v>6183490.04</v>
      </c>
      <c r="M452" s="263">
        <v>6022460.8643999994</v>
      </c>
      <c r="N452" s="263">
        <v>3525194.8431720003</v>
      </c>
      <c r="O452" s="263">
        <v>3198321.9092395194</v>
      </c>
      <c r="P452" s="263">
        <v>4127107.114315208</v>
      </c>
      <c r="Q452" s="263">
        <v>3836555.772428663</v>
      </c>
      <c r="R452" s="263">
        <v>3465862.5518578691</v>
      </c>
      <c r="S452" s="263">
        <v>5790723.9431739338</v>
      </c>
      <c r="T452" s="263">
        <v>4960984.9614128061</v>
      </c>
      <c r="U452" s="263">
        <f t="shared" si="244"/>
        <v>44486541.999999985</v>
      </c>
      <c r="V452" s="196" t="str">
        <f t="shared" si="218"/>
        <v>LOS</v>
      </c>
      <c r="W452" s="196" t="s">
        <v>1168</v>
      </c>
      <c r="X452" s="196" t="str">
        <f t="shared" si="249"/>
        <v>N</v>
      </c>
      <c r="Y452" s="197">
        <f t="shared" si="250"/>
        <v>0</v>
      </c>
      <c r="Z452" s="198"/>
      <c r="AA452" s="197">
        <f t="shared" si="219"/>
        <v>0</v>
      </c>
      <c r="AB452" s="196"/>
      <c r="AC452" s="196"/>
      <c r="AD452" s="275">
        <v>0</v>
      </c>
      <c r="AE452" s="275">
        <v>1</v>
      </c>
      <c r="AF452" s="275">
        <v>0</v>
      </c>
      <c r="AG452" s="199"/>
      <c r="AH452" s="199"/>
      <c r="AI452" s="377">
        <f t="shared" si="220"/>
        <v>0</v>
      </c>
      <c r="AJ452" s="203"/>
      <c r="AK452" s="203"/>
      <c r="AL452" s="197">
        <f t="shared" si="214"/>
        <v>0</v>
      </c>
      <c r="AM452" s="197">
        <f t="shared" si="215"/>
        <v>0</v>
      </c>
      <c r="AN452" s="197">
        <f t="shared" si="216"/>
        <v>0</v>
      </c>
      <c r="AO452" s="202"/>
      <c r="AP452" s="161" t="s">
        <v>3900</v>
      </c>
      <c r="AQ452" s="279"/>
      <c r="AR452" s="287">
        <f t="shared" si="221"/>
        <v>0</v>
      </c>
      <c r="AS452" s="287">
        <f t="shared" si="222"/>
        <v>0</v>
      </c>
      <c r="AT452" s="287">
        <f t="shared" si="223"/>
        <v>0</v>
      </c>
      <c r="AU452" s="287">
        <f t="shared" si="224"/>
        <v>0</v>
      </c>
      <c r="AV452" s="287">
        <f t="shared" si="225"/>
        <v>0</v>
      </c>
      <c r="AW452" s="287">
        <f t="shared" si="226"/>
        <v>0</v>
      </c>
      <c r="AX452" s="287">
        <f t="shared" si="227"/>
        <v>0</v>
      </c>
      <c r="AY452" s="287">
        <f t="shared" si="228"/>
        <v>0</v>
      </c>
      <c r="AZ452" s="287">
        <f t="shared" si="229"/>
        <v>0</v>
      </c>
      <c r="BA452" s="287">
        <f t="shared" si="230"/>
        <v>0</v>
      </c>
      <c r="BB452" s="16"/>
      <c r="BC452" s="287">
        <f t="shared" si="231"/>
        <v>0</v>
      </c>
      <c r="BD452" s="287">
        <f t="shared" si="232"/>
        <v>0</v>
      </c>
      <c r="BE452" s="287">
        <f t="shared" si="233"/>
        <v>0</v>
      </c>
      <c r="BF452" s="287">
        <f t="shared" si="234"/>
        <v>0</v>
      </c>
      <c r="BG452" s="287">
        <f t="shared" si="235"/>
        <v>0</v>
      </c>
      <c r="BH452" s="287">
        <f t="shared" si="236"/>
        <v>0</v>
      </c>
      <c r="BI452" s="287">
        <f t="shared" si="237"/>
        <v>0</v>
      </c>
      <c r="BJ452" s="287">
        <f t="shared" si="238"/>
        <v>0</v>
      </c>
      <c r="BK452" s="287">
        <f t="shared" si="239"/>
        <v>0</v>
      </c>
      <c r="BL452" s="287">
        <f t="shared" si="240"/>
        <v>0</v>
      </c>
      <c r="BM452" s="16"/>
      <c r="BN452" s="287">
        <f t="shared" si="241"/>
        <v>0</v>
      </c>
      <c r="BO452" s="287">
        <f t="shared" si="242"/>
        <v>0</v>
      </c>
      <c r="BP452" s="432"/>
      <c r="BQ452" s="21"/>
      <c r="BR452" s="21"/>
      <c r="BS452" s="39"/>
      <c r="BT452" s="39"/>
      <c r="BU452" s="334">
        <v>431250</v>
      </c>
      <c r="BV452" s="334">
        <v>0</v>
      </c>
      <c r="BW452" s="39"/>
      <c r="BX452" s="39"/>
      <c r="BY452" s="39"/>
      <c r="BZ452" s="39">
        <v>439</v>
      </c>
      <c r="CA452" s="39" t="str">
        <f t="shared" si="243"/>
        <v/>
      </c>
      <c r="CB452" s="39"/>
      <c r="CC452" s="39"/>
      <c r="CD452" s="39"/>
      <c r="CE452" s="39"/>
      <c r="CF452" s="39"/>
      <c r="CG452" s="39"/>
      <c r="CH452" s="39"/>
      <c r="CI452" s="39"/>
      <c r="CJ452" s="39"/>
      <c r="CK452" s="39"/>
    </row>
    <row r="453" spans="1:89" s="193" customFormat="1">
      <c r="A453" s="195"/>
      <c r="B453" s="21" t="str">
        <f t="shared" si="217"/>
        <v>N/A</v>
      </c>
      <c r="C453" s="21"/>
      <c r="D453" s="432"/>
      <c r="E453" s="439" t="s">
        <v>3626</v>
      </c>
      <c r="F453" s="439"/>
      <c r="G453" s="273" t="s">
        <v>3122</v>
      </c>
      <c r="H453" s="358"/>
      <c r="I453" s="262" t="s">
        <v>3157</v>
      </c>
      <c r="J453" s="262"/>
      <c r="K453" s="263">
        <v>539297.19999999995</v>
      </c>
      <c r="L453" s="263">
        <v>563898.65</v>
      </c>
      <c r="M453" s="263">
        <v>589639.96</v>
      </c>
      <c r="N453" s="263">
        <v>610583.36</v>
      </c>
      <c r="O453" s="263">
        <v>632319.41</v>
      </c>
      <c r="P453" s="263">
        <v>654804.67000000004</v>
      </c>
      <c r="Q453" s="263">
        <v>678104.17</v>
      </c>
      <c r="R453" s="263">
        <v>702174.01</v>
      </c>
      <c r="S453" s="263">
        <v>709755.91037756728</v>
      </c>
      <c r="T453" s="263">
        <v>739037.53943118837</v>
      </c>
      <c r="U453" s="263">
        <f t="shared" si="244"/>
        <v>6419614.8798087556</v>
      </c>
      <c r="V453" s="196" t="str">
        <f t="shared" si="218"/>
        <v>R</v>
      </c>
      <c r="W453" s="196" t="s">
        <v>1168</v>
      </c>
      <c r="X453" s="196" t="str">
        <f t="shared" si="249"/>
        <v>N</v>
      </c>
      <c r="Y453" s="197">
        <f t="shared" si="250"/>
        <v>0</v>
      </c>
      <c r="Z453" s="198"/>
      <c r="AA453" s="197">
        <f t="shared" si="219"/>
        <v>0</v>
      </c>
      <c r="AB453" s="196"/>
      <c r="AC453" s="196"/>
      <c r="AD453" s="275">
        <v>0</v>
      </c>
      <c r="AE453" s="275">
        <v>0</v>
      </c>
      <c r="AF453" s="275">
        <v>1</v>
      </c>
      <c r="AG453" s="199"/>
      <c r="AH453" s="199"/>
      <c r="AI453" s="377">
        <f t="shared" si="220"/>
        <v>0</v>
      </c>
      <c r="AJ453" s="203"/>
      <c r="AK453" s="203"/>
      <c r="AL453" s="197">
        <f t="shared" si="214"/>
        <v>0</v>
      </c>
      <c r="AM453" s="197">
        <f t="shared" si="215"/>
        <v>0</v>
      </c>
      <c r="AN453" s="197">
        <f t="shared" si="216"/>
        <v>0</v>
      </c>
      <c r="AO453" s="202"/>
      <c r="AP453" s="161" t="s">
        <v>3900</v>
      </c>
      <c r="AQ453" s="279"/>
      <c r="AR453" s="287">
        <f t="shared" si="221"/>
        <v>0</v>
      </c>
      <c r="AS453" s="287">
        <f t="shared" si="222"/>
        <v>0</v>
      </c>
      <c r="AT453" s="287">
        <f t="shared" si="223"/>
        <v>0</v>
      </c>
      <c r="AU453" s="287">
        <f t="shared" si="224"/>
        <v>0</v>
      </c>
      <c r="AV453" s="287">
        <f t="shared" si="225"/>
        <v>0</v>
      </c>
      <c r="AW453" s="287">
        <f t="shared" si="226"/>
        <v>0</v>
      </c>
      <c r="AX453" s="287">
        <f t="shared" si="227"/>
        <v>0</v>
      </c>
      <c r="AY453" s="287">
        <f t="shared" si="228"/>
        <v>0</v>
      </c>
      <c r="AZ453" s="287">
        <f t="shared" si="229"/>
        <v>0</v>
      </c>
      <c r="BA453" s="287">
        <f t="shared" si="230"/>
        <v>0</v>
      </c>
      <c r="BB453" s="16"/>
      <c r="BC453" s="287">
        <f t="shared" si="231"/>
        <v>0</v>
      </c>
      <c r="BD453" s="287">
        <f t="shared" si="232"/>
        <v>0</v>
      </c>
      <c r="BE453" s="287">
        <f t="shared" si="233"/>
        <v>0</v>
      </c>
      <c r="BF453" s="287">
        <f t="shared" si="234"/>
        <v>0</v>
      </c>
      <c r="BG453" s="287">
        <f t="shared" si="235"/>
        <v>0</v>
      </c>
      <c r="BH453" s="287">
        <f t="shared" si="236"/>
        <v>0</v>
      </c>
      <c r="BI453" s="287">
        <f t="shared" si="237"/>
        <v>0</v>
      </c>
      <c r="BJ453" s="287">
        <f t="shared" si="238"/>
        <v>0</v>
      </c>
      <c r="BK453" s="287">
        <f t="shared" si="239"/>
        <v>0</v>
      </c>
      <c r="BL453" s="287">
        <f t="shared" si="240"/>
        <v>0</v>
      </c>
      <c r="BM453" s="16"/>
      <c r="BN453" s="287">
        <f t="shared" si="241"/>
        <v>0</v>
      </c>
      <c r="BO453" s="287">
        <f t="shared" si="242"/>
        <v>0</v>
      </c>
      <c r="BP453" s="432"/>
      <c r="BQ453" s="21"/>
      <c r="BR453" s="21"/>
      <c r="BS453" s="39"/>
      <c r="BT453" s="39"/>
      <c r="BU453" s="334">
        <v>646383.75</v>
      </c>
      <c r="BV453" s="334">
        <v>0</v>
      </c>
      <c r="BW453" s="39"/>
      <c r="BX453" s="39"/>
      <c r="BY453" s="39"/>
      <c r="BZ453" s="39">
        <v>440</v>
      </c>
      <c r="CA453" s="39" t="str">
        <f t="shared" si="243"/>
        <v/>
      </c>
      <c r="CB453" s="39"/>
      <c r="CC453" s="39"/>
      <c r="CD453" s="39"/>
      <c r="CE453" s="39"/>
      <c r="CF453" s="39"/>
      <c r="CG453" s="39"/>
      <c r="CH453" s="39"/>
      <c r="CI453" s="39"/>
      <c r="CJ453" s="39"/>
      <c r="CK453" s="39"/>
    </row>
    <row r="454" spans="1:89" s="193" customFormat="1">
      <c r="A454" s="195"/>
      <c r="B454" s="21" t="str">
        <f t="shared" si="217"/>
        <v>N/A</v>
      </c>
      <c r="C454" s="21"/>
      <c r="D454" s="432"/>
      <c r="E454" s="439" t="s">
        <v>3626</v>
      </c>
      <c r="F454" s="439"/>
      <c r="G454" s="273" t="s">
        <v>2951</v>
      </c>
      <c r="H454" s="358"/>
      <c r="I454" s="262" t="s">
        <v>3161</v>
      </c>
      <c r="J454" s="262"/>
      <c r="K454" s="263">
        <v>2496000</v>
      </c>
      <c r="L454" s="263">
        <v>2755916.8</v>
      </c>
      <c r="M454" s="263">
        <v>3446193.92</v>
      </c>
      <c r="N454" s="263">
        <v>3767973.8279999997</v>
      </c>
      <c r="O454" s="263">
        <v>3637877.1828000005</v>
      </c>
      <c r="P454" s="263">
        <v>5358041.963033</v>
      </c>
      <c r="Q454" s="263">
        <v>8255402.5976238884</v>
      </c>
      <c r="R454" s="263">
        <v>8435475.3667356111</v>
      </c>
      <c r="S454" s="263">
        <v>12966896.071044825</v>
      </c>
      <c r="T454" s="263">
        <v>11164161.270762676</v>
      </c>
      <c r="U454" s="263">
        <f t="shared" si="244"/>
        <v>62283939</v>
      </c>
      <c r="V454" s="196" t="str">
        <f t="shared" si="218"/>
        <v>LOS</v>
      </c>
      <c r="W454" s="196" t="s">
        <v>1168</v>
      </c>
      <c r="X454" s="196" t="str">
        <f t="shared" si="249"/>
        <v>N</v>
      </c>
      <c r="Y454" s="197">
        <f t="shared" si="250"/>
        <v>0</v>
      </c>
      <c r="Z454" s="198"/>
      <c r="AA454" s="197">
        <f t="shared" si="219"/>
        <v>0</v>
      </c>
      <c r="AB454" s="196"/>
      <c r="AC454" s="196"/>
      <c r="AD454" s="275">
        <v>0</v>
      </c>
      <c r="AE454" s="275">
        <v>1</v>
      </c>
      <c r="AF454" s="275">
        <v>0</v>
      </c>
      <c r="AG454" s="199"/>
      <c r="AH454" s="199"/>
      <c r="AI454" s="377">
        <f t="shared" si="220"/>
        <v>0</v>
      </c>
      <c r="AJ454" s="203"/>
      <c r="AK454" s="203"/>
      <c r="AL454" s="197">
        <f t="shared" si="214"/>
        <v>0</v>
      </c>
      <c r="AM454" s="197">
        <f t="shared" si="215"/>
        <v>0</v>
      </c>
      <c r="AN454" s="197">
        <f t="shared" si="216"/>
        <v>0</v>
      </c>
      <c r="AO454" s="202"/>
      <c r="AP454" s="161" t="s">
        <v>3900</v>
      </c>
      <c r="AQ454" s="279"/>
      <c r="AR454" s="287">
        <f t="shared" si="221"/>
        <v>0</v>
      </c>
      <c r="AS454" s="287">
        <f t="shared" si="222"/>
        <v>0</v>
      </c>
      <c r="AT454" s="287">
        <f t="shared" si="223"/>
        <v>0</v>
      </c>
      <c r="AU454" s="287">
        <f t="shared" si="224"/>
        <v>0</v>
      </c>
      <c r="AV454" s="287">
        <f t="shared" si="225"/>
        <v>0</v>
      </c>
      <c r="AW454" s="287">
        <f t="shared" si="226"/>
        <v>0</v>
      </c>
      <c r="AX454" s="287">
        <f t="shared" si="227"/>
        <v>0</v>
      </c>
      <c r="AY454" s="287">
        <f t="shared" si="228"/>
        <v>0</v>
      </c>
      <c r="AZ454" s="287">
        <f t="shared" si="229"/>
        <v>0</v>
      </c>
      <c r="BA454" s="287">
        <f t="shared" si="230"/>
        <v>0</v>
      </c>
      <c r="BB454" s="16"/>
      <c r="BC454" s="287">
        <f t="shared" si="231"/>
        <v>0</v>
      </c>
      <c r="BD454" s="287">
        <f t="shared" si="232"/>
        <v>0</v>
      </c>
      <c r="BE454" s="287">
        <f t="shared" si="233"/>
        <v>0</v>
      </c>
      <c r="BF454" s="287">
        <f t="shared" si="234"/>
        <v>0</v>
      </c>
      <c r="BG454" s="287">
        <f t="shared" si="235"/>
        <v>0</v>
      </c>
      <c r="BH454" s="287">
        <f t="shared" si="236"/>
        <v>0</v>
      </c>
      <c r="BI454" s="287">
        <f t="shared" si="237"/>
        <v>0</v>
      </c>
      <c r="BJ454" s="287">
        <f t="shared" si="238"/>
        <v>0</v>
      </c>
      <c r="BK454" s="287">
        <f t="shared" si="239"/>
        <v>0</v>
      </c>
      <c r="BL454" s="287">
        <f t="shared" si="240"/>
        <v>0</v>
      </c>
      <c r="BM454" s="16"/>
      <c r="BN454" s="287">
        <f t="shared" si="241"/>
        <v>0</v>
      </c>
      <c r="BO454" s="287">
        <f t="shared" si="242"/>
        <v>0</v>
      </c>
      <c r="BP454" s="432"/>
      <c r="BQ454" s="21"/>
      <c r="BR454" s="21"/>
      <c r="BS454" s="39"/>
      <c r="BT454" s="39"/>
      <c r="BU454" s="334">
        <v>1374625</v>
      </c>
      <c r="BV454" s="334">
        <v>0</v>
      </c>
      <c r="BW454" s="39"/>
      <c r="BX454" s="39"/>
      <c r="BY454" s="39"/>
      <c r="BZ454" s="39">
        <v>441</v>
      </c>
      <c r="CA454" s="39" t="str">
        <f t="shared" si="243"/>
        <v/>
      </c>
      <c r="CB454" s="39"/>
      <c r="CC454" s="39"/>
      <c r="CD454" s="39"/>
      <c r="CE454" s="39"/>
      <c r="CF454" s="39"/>
      <c r="CG454" s="39"/>
      <c r="CH454" s="39"/>
      <c r="CI454" s="39"/>
      <c r="CJ454" s="39"/>
      <c r="CK454" s="39"/>
    </row>
    <row r="455" spans="1:89" s="193" customFormat="1">
      <c r="A455" s="195"/>
      <c r="B455" s="21" t="str">
        <f t="shared" si="217"/>
        <v>N/A</v>
      </c>
      <c r="C455" s="21"/>
      <c r="D455" s="432"/>
      <c r="E455" s="439" t="s">
        <v>3626</v>
      </c>
      <c r="F455" s="439"/>
      <c r="G455" s="273" t="s">
        <v>3125</v>
      </c>
      <c r="H455" s="358"/>
      <c r="I455" s="262" t="s">
        <v>3161</v>
      </c>
      <c r="J455" s="262"/>
      <c r="K455" s="263">
        <v>416000</v>
      </c>
      <c r="L455" s="263">
        <v>393702.40000000002</v>
      </c>
      <c r="M455" s="263">
        <v>435106.04800000007</v>
      </c>
      <c r="N455" s="263">
        <v>512078.46779999993</v>
      </c>
      <c r="O455" s="263">
        <v>498676.858848</v>
      </c>
      <c r="P455" s="263">
        <v>753667.04314169986</v>
      </c>
      <c r="Q455" s="263">
        <v>703050.82664077601</v>
      </c>
      <c r="R455" s="263">
        <v>655075.56243333267</v>
      </c>
      <c r="S455" s="263">
        <v>912781.68175393413</v>
      </c>
      <c r="T455" s="263">
        <v>781995.11138225719</v>
      </c>
      <c r="U455" s="263">
        <f t="shared" si="244"/>
        <v>6062134</v>
      </c>
      <c r="V455" s="196" t="str">
        <f t="shared" si="218"/>
        <v>LOS</v>
      </c>
      <c r="W455" s="196" t="s">
        <v>1168</v>
      </c>
      <c r="X455" s="196" t="str">
        <f t="shared" si="249"/>
        <v>N</v>
      </c>
      <c r="Y455" s="197">
        <f t="shared" si="250"/>
        <v>0</v>
      </c>
      <c r="Z455" s="198"/>
      <c r="AA455" s="197">
        <f t="shared" si="219"/>
        <v>0</v>
      </c>
      <c r="AB455" s="196"/>
      <c r="AC455" s="196"/>
      <c r="AD455" s="275">
        <v>0</v>
      </c>
      <c r="AE455" s="275">
        <v>1</v>
      </c>
      <c r="AF455" s="275">
        <v>0</v>
      </c>
      <c r="AG455" s="199"/>
      <c r="AH455" s="199"/>
      <c r="AI455" s="377">
        <f t="shared" si="220"/>
        <v>0</v>
      </c>
      <c r="AJ455" s="203"/>
      <c r="AK455" s="203"/>
      <c r="AL455" s="197">
        <f t="shared" si="214"/>
        <v>0</v>
      </c>
      <c r="AM455" s="197">
        <f t="shared" si="215"/>
        <v>0</v>
      </c>
      <c r="AN455" s="197">
        <f t="shared" si="216"/>
        <v>0</v>
      </c>
      <c r="AO455" s="202"/>
      <c r="AP455" s="161" t="s">
        <v>3900</v>
      </c>
      <c r="AQ455" s="279"/>
      <c r="AR455" s="287">
        <f t="shared" si="221"/>
        <v>0</v>
      </c>
      <c r="AS455" s="287">
        <f t="shared" si="222"/>
        <v>0</v>
      </c>
      <c r="AT455" s="287">
        <f t="shared" si="223"/>
        <v>0</v>
      </c>
      <c r="AU455" s="287">
        <f t="shared" si="224"/>
        <v>0</v>
      </c>
      <c r="AV455" s="287">
        <f t="shared" si="225"/>
        <v>0</v>
      </c>
      <c r="AW455" s="287">
        <f t="shared" si="226"/>
        <v>0</v>
      </c>
      <c r="AX455" s="287">
        <f t="shared" si="227"/>
        <v>0</v>
      </c>
      <c r="AY455" s="287">
        <f t="shared" si="228"/>
        <v>0</v>
      </c>
      <c r="AZ455" s="287">
        <f t="shared" si="229"/>
        <v>0</v>
      </c>
      <c r="BA455" s="287">
        <f t="shared" si="230"/>
        <v>0</v>
      </c>
      <c r="BB455" s="16"/>
      <c r="BC455" s="287">
        <f t="shared" si="231"/>
        <v>0</v>
      </c>
      <c r="BD455" s="287">
        <f t="shared" si="232"/>
        <v>0</v>
      </c>
      <c r="BE455" s="287">
        <f t="shared" si="233"/>
        <v>0</v>
      </c>
      <c r="BF455" s="287">
        <f t="shared" si="234"/>
        <v>0</v>
      </c>
      <c r="BG455" s="287">
        <f t="shared" si="235"/>
        <v>0</v>
      </c>
      <c r="BH455" s="287">
        <f t="shared" si="236"/>
        <v>0</v>
      </c>
      <c r="BI455" s="287">
        <f t="shared" si="237"/>
        <v>0</v>
      </c>
      <c r="BJ455" s="287">
        <f t="shared" si="238"/>
        <v>0</v>
      </c>
      <c r="BK455" s="287">
        <f t="shared" si="239"/>
        <v>0</v>
      </c>
      <c r="BL455" s="287">
        <f t="shared" si="240"/>
        <v>0</v>
      </c>
      <c r="BM455" s="16"/>
      <c r="BN455" s="287">
        <f t="shared" si="241"/>
        <v>0</v>
      </c>
      <c r="BO455" s="287">
        <f t="shared" si="242"/>
        <v>0</v>
      </c>
      <c r="BP455" s="432"/>
      <c r="BQ455" s="21"/>
      <c r="BR455" s="21"/>
      <c r="BS455" s="39"/>
      <c r="BT455" s="39"/>
      <c r="BU455" s="334">
        <v>498750</v>
      </c>
      <c r="BV455" s="334">
        <v>0</v>
      </c>
      <c r="BW455" s="39"/>
      <c r="BX455" s="39"/>
      <c r="BY455" s="39"/>
      <c r="BZ455" s="39">
        <v>442</v>
      </c>
      <c r="CA455" s="39" t="str">
        <f t="shared" si="243"/>
        <v/>
      </c>
      <c r="CB455" s="39"/>
      <c r="CC455" s="39"/>
      <c r="CD455" s="39"/>
      <c r="CE455" s="39"/>
      <c r="CF455" s="39"/>
      <c r="CG455" s="39"/>
      <c r="CH455" s="39"/>
      <c r="CI455" s="39"/>
      <c r="CJ455" s="39"/>
      <c r="CK455" s="39"/>
    </row>
    <row r="456" spans="1:89" s="193" customFormat="1">
      <c r="A456" s="195"/>
      <c r="B456" s="21" t="str">
        <f t="shared" si="217"/>
        <v>N/A</v>
      </c>
      <c r="C456" s="21"/>
      <c r="D456" s="432"/>
      <c r="E456" s="439" t="s">
        <v>3626</v>
      </c>
      <c r="F456" s="439"/>
      <c r="G456" s="273" t="s">
        <v>3126</v>
      </c>
      <c r="H456" s="358"/>
      <c r="I456" s="262" t="s">
        <v>3161</v>
      </c>
      <c r="J456" s="262"/>
      <c r="K456" s="263">
        <v>104000</v>
      </c>
      <c r="L456" s="263">
        <v>98425.600000000006</v>
      </c>
      <c r="M456" s="263">
        <v>108776.156</v>
      </c>
      <c r="N456" s="263">
        <v>102415.65528000001</v>
      </c>
      <c r="O456" s="263">
        <v>99735.499684800001</v>
      </c>
      <c r="P456" s="263">
        <v>129933.46111141999</v>
      </c>
      <c r="Q456" s="263">
        <v>120924.77085867357</v>
      </c>
      <c r="R456" s="263">
        <v>109259.9690354973</v>
      </c>
      <c r="S456" s="263">
        <v>182556.81810694429</v>
      </c>
      <c r="T456" s="263">
        <v>156399.06992266481</v>
      </c>
      <c r="U456" s="263">
        <f t="shared" si="244"/>
        <v>1212427</v>
      </c>
      <c r="V456" s="196" t="str">
        <f t="shared" si="218"/>
        <v>LOS</v>
      </c>
      <c r="W456" s="196" t="s">
        <v>1168</v>
      </c>
      <c r="X456" s="196" t="str">
        <f t="shared" si="249"/>
        <v>N</v>
      </c>
      <c r="Y456" s="197">
        <f t="shared" si="250"/>
        <v>0</v>
      </c>
      <c r="Z456" s="198"/>
      <c r="AA456" s="197">
        <f t="shared" si="219"/>
        <v>0</v>
      </c>
      <c r="AB456" s="196"/>
      <c r="AC456" s="196"/>
      <c r="AD456" s="275">
        <v>0</v>
      </c>
      <c r="AE456" s="275">
        <v>1</v>
      </c>
      <c r="AF456" s="275">
        <v>0</v>
      </c>
      <c r="AG456" s="199"/>
      <c r="AH456" s="199"/>
      <c r="AI456" s="377">
        <f t="shared" si="220"/>
        <v>0</v>
      </c>
      <c r="AJ456" s="203"/>
      <c r="AK456" s="203"/>
      <c r="AL456" s="197">
        <f t="shared" si="214"/>
        <v>0</v>
      </c>
      <c r="AM456" s="197">
        <f t="shared" si="215"/>
        <v>0</v>
      </c>
      <c r="AN456" s="197">
        <f t="shared" si="216"/>
        <v>0</v>
      </c>
      <c r="AO456" s="202"/>
      <c r="AP456" s="161" t="s">
        <v>3900</v>
      </c>
      <c r="AQ456" s="279"/>
      <c r="AR456" s="287">
        <f t="shared" si="221"/>
        <v>0</v>
      </c>
      <c r="AS456" s="287">
        <f t="shared" si="222"/>
        <v>0</v>
      </c>
      <c r="AT456" s="287">
        <f t="shared" si="223"/>
        <v>0</v>
      </c>
      <c r="AU456" s="287">
        <f t="shared" si="224"/>
        <v>0</v>
      </c>
      <c r="AV456" s="287">
        <f t="shared" si="225"/>
        <v>0</v>
      </c>
      <c r="AW456" s="287">
        <f t="shared" si="226"/>
        <v>0</v>
      </c>
      <c r="AX456" s="287">
        <f t="shared" si="227"/>
        <v>0</v>
      </c>
      <c r="AY456" s="287">
        <f t="shared" si="228"/>
        <v>0</v>
      </c>
      <c r="AZ456" s="287">
        <f t="shared" si="229"/>
        <v>0</v>
      </c>
      <c r="BA456" s="287">
        <f t="shared" si="230"/>
        <v>0</v>
      </c>
      <c r="BB456" s="16"/>
      <c r="BC456" s="287">
        <f t="shared" si="231"/>
        <v>0</v>
      </c>
      <c r="BD456" s="287">
        <f t="shared" si="232"/>
        <v>0</v>
      </c>
      <c r="BE456" s="287">
        <f t="shared" si="233"/>
        <v>0</v>
      </c>
      <c r="BF456" s="287">
        <f t="shared" si="234"/>
        <v>0</v>
      </c>
      <c r="BG456" s="287">
        <f t="shared" si="235"/>
        <v>0</v>
      </c>
      <c r="BH456" s="287">
        <f t="shared" si="236"/>
        <v>0</v>
      </c>
      <c r="BI456" s="287">
        <f t="shared" si="237"/>
        <v>0</v>
      </c>
      <c r="BJ456" s="287">
        <f t="shared" si="238"/>
        <v>0</v>
      </c>
      <c r="BK456" s="287">
        <f t="shared" si="239"/>
        <v>0</v>
      </c>
      <c r="BL456" s="287">
        <f t="shared" si="240"/>
        <v>0</v>
      </c>
      <c r="BM456" s="16"/>
      <c r="BN456" s="287">
        <f t="shared" si="241"/>
        <v>0</v>
      </c>
      <c r="BO456" s="287">
        <f t="shared" si="242"/>
        <v>0</v>
      </c>
      <c r="BP456" s="432"/>
      <c r="BQ456" s="21"/>
      <c r="BR456" s="21"/>
      <c r="BS456" s="39"/>
      <c r="BT456" s="39"/>
      <c r="BU456" s="334">
        <v>1575350</v>
      </c>
      <c r="BV456" s="334">
        <v>0</v>
      </c>
      <c r="BW456" s="39"/>
      <c r="BX456" s="39"/>
      <c r="BY456" s="39"/>
      <c r="BZ456" s="39">
        <v>443</v>
      </c>
      <c r="CA456" s="39" t="str">
        <f t="shared" si="243"/>
        <v/>
      </c>
      <c r="CB456" s="39"/>
      <c r="CC456" s="39"/>
      <c r="CD456" s="39"/>
      <c r="CE456" s="39"/>
      <c r="CF456" s="39"/>
      <c r="CG456" s="39"/>
      <c r="CH456" s="39"/>
      <c r="CI456" s="39"/>
      <c r="CJ456" s="39"/>
      <c r="CK456" s="39"/>
    </row>
    <row r="457" spans="1:89" s="193" customFormat="1">
      <c r="A457" s="195"/>
      <c r="B457" s="21" t="str">
        <f t="shared" si="217"/>
        <v>N/A</v>
      </c>
      <c r="C457" s="21"/>
      <c r="D457" s="432"/>
      <c r="E457" s="439" t="s">
        <v>3626</v>
      </c>
      <c r="F457" s="439"/>
      <c r="G457" s="273" t="s">
        <v>3127</v>
      </c>
      <c r="H457" s="358"/>
      <c r="I457" s="262" t="s">
        <v>3161</v>
      </c>
      <c r="J457" s="262"/>
      <c r="K457" s="263">
        <v>992940</v>
      </c>
      <c r="L457" s="263">
        <v>929174.4388931205</v>
      </c>
      <c r="M457" s="263">
        <v>937850.03190582991</v>
      </c>
      <c r="N457" s="263">
        <v>944555.13436060818</v>
      </c>
      <c r="O457" s="263">
        <v>951015.99052189826</v>
      </c>
      <c r="P457" s="263">
        <v>1203213.03</v>
      </c>
      <c r="Q457" s="263">
        <v>1324373.3188160355</v>
      </c>
      <c r="R457" s="263">
        <v>1410495.0219586741</v>
      </c>
      <c r="S457" s="263">
        <v>1449842.6296503718</v>
      </c>
      <c r="T457" s="263">
        <v>1533959.9842758372</v>
      </c>
      <c r="U457" s="263">
        <f t="shared" si="244"/>
        <v>11677419.580382373</v>
      </c>
      <c r="V457" s="196" t="str">
        <f t="shared" si="218"/>
        <v>R</v>
      </c>
      <c r="W457" s="196" t="s">
        <v>1168</v>
      </c>
      <c r="X457" s="196" t="str">
        <f t="shared" si="249"/>
        <v>N</v>
      </c>
      <c r="Y457" s="197">
        <f t="shared" si="250"/>
        <v>0</v>
      </c>
      <c r="Z457" s="198"/>
      <c r="AA457" s="197">
        <f t="shared" si="219"/>
        <v>0</v>
      </c>
      <c r="AB457" s="196"/>
      <c r="AC457" s="196"/>
      <c r="AD457" s="275">
        <v>0</v>
      </c>
      <c r="AE457" s="275">
        <v>0</v>
      </c>
      <c r="AF457" s="275">
        <v>1</v>
      </c>
      <c r="AG457" s="199"/>
      <c r="AH457" s="199"/>
      <c r="AI457" s="377">
        <f t="shared" si="220"/>
        <v>0</v>
      </c>
      <c r="AJ457" s="203"/>
      <c r="AK457" s="203"/>
      <c r="AL457" s="197">
        <f t="shared" si="214"/>
        <v>0</v>
      </c>
      <c r="AM457" s="197">
        <f t="shared" si="215"/>
        <v>0</v>
      </c>
      <c r="AN457" s="197">
        <f t="shared" si="216"/>
        <v>0</v>
      </c>
      <c r="AO457" s="202"/>
      <c r="AP457" s="161" t="s">
        <v>3900</v>
      </c>
      <c r="AQ457" s="279"/>
      <c r="AR457" s="287">
        <f t="shared" si="221"/>
        <v>0</v>
      </c>
      <c r="AS457" s="287">
        <f t="shared" si="222"/>
        <v>0</v>
      </c>
      <c r="AT457" s="287">
        <f t="shared" si="223"/>
        <v>0</v>
      </c>
      <c r="AU457" s="287">
        <f t="shared" si="224"/>
        <v>0</v>
      </c>
      <c r="AV457" s="287">
        <f t="shared" si="225"/>
        <v>0</v>
      </c>
      <c r="AW457" s="287">
        <f t="shared" si="226"/>
        <v>0</v>
      </c>
      <c r="AX457" s="287">
        <f t="shared" si="227"/>
        <v>0</v>
      </c>
      <c r="AY457" s="287">
        <f t="shared" si="228"/>
        <v>0</v>
      </c>
      <c r="AZ457" s="287">
        <f t="shared" si="229"/>
        <v>0</v>
      </c>
      <c r="BA457" s="287">
        <f t="shared" si="230"/>
        <v>0</v>
      </c>
      <c r="BB457" s="16"/>
      <c r="BC457" s="287">
        <f t="shared" si="231"/>
        <v>0</v>
      </c>
      <c r="BD457" s="287">
        <f t="shared" si="232"/>
        <v>0</v>
      </c>
      <c r="BE457" s="287">
        <f t="shared" si="233"/>
        <v>0</v>
      </c>
      <c r="BF457" s="287">
        <f t="shared" si="234"/>
        <v>0</v>
      </c>
      <c r="BG457" s="287">
        <f t="shared" si="235"/>
        <v>0</v>
      </c>
      <c r="BH457" s="287">
        <f t="shared" si="236"/>
        <v>0</v>
      </c>
      <c r="BI457" s="287">
        <f t="shared" si="237"/>
        <v>0</v>
      </c>
      <c r="BJ457" s="287">
        <f t="shared" si="238"/>
        <v>0</v>
      </c>
      <c r="BK457" s="287">
        <f t="shared" si="239"/>
        <v>0</v>
      </c>
      <c r="BL457" s="287">
        <f t="shared" si="240"/>
        <v>0</v>
      </c>
      <c r="BM457" s="16"/>
      <c r="BN457" s="287">
        <f t="shared" si="241"/>
        <v>0</v>
      </c>
      <c r="BO457" s="287">
        <f t="shared" si="242"/>
        <v>0</v>
      </c>
      <c r="BP457" s="432"/>
      <c r="BQ457" s="21"/>
      <c r="BR457" s="21"/>
      <c r="BS457" s="39"/>
      <c r="BT457" s="39"/>
      <c r="BU457" s="334">
        <v>6250000</v>
      </c>
      <c r="BV457" s="334">
        <v>0</v>
      </c>
      <c r="BW457" s="39"/>
      <c r="BX457" s="39"/>
      <c r="BY457" s="39"/>
      <c r="BZ457" s="39">
        <v>444</v>
      </c>
      <c r="CA457" s="39" t="str">
        <f t="shared" si="243"/>
        <v/>
      </c>
      <c r="CB457" s="39"/>
      <c r="CC457" s="39"/>
      <c r="CD457" s="39"/>
      <c r="CE457" s="39"/>
      <c r="CF457" s="39"/>
      <c r="CG457" s="39"/>
      <c r="CH457" s="39"/>
      <c r="CI457" s="39"/>
      <c r="CJ457" s="39"/>
      <c r="CK457" s="39"/>
    </row>
    <row r="458" spans="1:89" s="193" customFormat="1">
      <c r="A458" s="195"/>
      <c r="B458" s="21" t="str">
        <f t="shared" si="217"/>
        <v>N/A</v>
      </c>
      <c r="C458" s="21"/>
      <c r="D458" s="432"/>
      <c r="E458" s="439" t="s">
        <v>3626</v>
      </c>
      <c r="F458" s="439"/>
      <c r="G458" s="273" t="s">
        <v>3128</v>
      </c>
      <c r="H458" s="358"/>
      <c r="I458" s="262" t="s">
        <v>3160</v>
      </c>
      <c r="J458" s="262"/>
      <c r="K458" s="263">
        <v>145600</v>
      </c>
      <c r="L458" s="263">
        <v>137795.84</v>
      </c>
      <c r="M458" s="263">
        <v>152287.15240000002</v>
      </c>
      <c r="N458" s="263">
        <v>143381.661612</v>
      </c>
      <c r="O458" s="263">
        <v>139629.77362992</v>
      </c>
      <c r="P458" s="263">
        <v>181907.034266868</v>
      </c>
      <c r="Q458" s="263">
        <v>169295.0102012438</v>
      </c>
      <c r="R458" s="263">
        <v>152963.9283390186</v>
      </c>
      <c r="S458" s="263">
        <v>255579.50559136411</v>
      </c>
      <c r="T458" s="263">
        <v>218959.09395958547</v>
      </c>
      <c r="U458" s="263">
        <f t="shared" si="244"/>
        <v>1697398.9999999998</v>
      </c>
      <c r="V458" s="196" t="str">
        <f t="shared" si="218"/>
        <v>LOS</v>
      </c>
      <c r="W458" s="196" t="s">
        <v>1168</v>
      </c>
      <c r="X458" s="196" t="str">
        <f t="shared" si="249"/>
        <v>N</v>
      </c>
      <c r="Y458" s="197">
        <f t="shared" si="250"/>
        <v>0</v>
      </c>
      <c r="Z458" s="198"/>
      <c r="AA458" s="197">
        <f t="shared" si="219"/>
        <v>0</v>
      </c>
      <c r="AB458" s="196"/>
      <c r="AC458" s="196"/>
      <c r="AD458" s="275">
        <v>0</v>
      </c>
      <c r="AE458" s="275">
        <v>1</v>
      </c>
      <c r="AF458" s="275">
        <v>0</v>
      </c>
      <c r="AG458" s="199"/>
      <c r="AH458" s="199"/>
      <c r="AI458" s="377">
        <f t="shared" si="220"/>
        <v>0</v>
      </c>
      <c r="AJ458" s="203"/>
      <c r="AK458" s="203"/>
      <c r="AL458" s="197">
        <f t="shared" ref="AL458:AL477" si="251">(100%-AI458)*AA458</f>
        <v>0</v>
      </c>
      <c r="AM458" s="197">
        <f t="shared" ref="AM458:AM477" si="252">AA458*AI458*AJ458</f>
        <v>0</v>
      </c>
      <c r="AN458" s="197">
        <f t="shared" ref="AN458:AN477" si="253">AA458*AI458*AK458</f>
        <v>0</v>
      </c>
      <c r="AO458" s="202"/>
      <c r="AP458" s="161" t="s">
        <v>3900</v>
      </c>
      <c r="AQ458" s="279"/>
      <c r="AR458" s="287">
        <f t="shared" si="221"/>
        <v>0</v>
      </c>
      <c r="AS458" s="287">
        <f t="shared" si="222"/>
        <v>0</v>
      </c>
      <c r="AT458" s="287">
        <f t="shared" si="223"/>
        <v>0</v>
      </c>
      <c r="AU458" s="287">
        <f t="shared" si="224"/>
        <v>0</v>
      </c>
      <c r="AV458" s="287">
        <f t="shared" si="225"/>
        <v>0</v>
      </c>
      <c r="AW458" s="287">
        <f t="shared" si="226"/>
        <v>0</v>
      </c>
      <c r="AX458" s="287">
        <f t="shared" si="227"/>
        <v>0</v>
      </c>
      <c r="AY458" s="287">
        <f t="shared" si="228"/>
        <v>0</v>
      </c>
      <c r="AZ458" s="287">
        <f t="shared" si="229"/>
        <v>0</v>
      </c>
      <c r="BA458" s="287">
        <f t="shared" si="230"/>
        <v>0</v>
      </c>
      <c r="BB458" s="16"/>
      <c r="BC458" s="287">
        <f t="shared" si="231"/>
        <v>0</v>
      </c>
      <c r="BD458" s="287">
        <f t="shared" si="232"/>
        <v>0</v>
      </c>
      <c r="BE458" s="287">
        <f t="shared" si="233"/>
        <v>0</v>
      </c>
      <c r="BF458" s="287">
        <f t="shared" si="234"/>
        <v>0</v>
      </c>
      <c r="BG458" s="287">
        <f t="shared" si="235"/>
        <v>0</v>
      </c>
      <c r="BH458" s="287">
        <f t="shared" si="236"/>
        <v>0</v>
      </c>
      <c r="BI458" s="287">
        <f t="shared" si="237"/>
        <v>0</v>
      </c>
      <c r="BJ458" s="287">
        <f t="shared" si="238"/>
        <v>0</v>
      </c>
      <c r="BK458" s="287">
        <f t="shared" si="239"/>
        <v>0</v>
      </c>
      <c r="BL458" s="287">
        <f t="shared" si="240"/>
        <v>0</v>
      </c>
      <c r="BM458" s="16"/>
      <c r="BN458" s="287">
        <f t="shared" si="241"/>
        <v>0</v>
      </c>
      <c r="BO458" s="287">
        <f t="shared" si="242"/>
        <v>0</v>
      </c>
      <c r="BP458" s="432"/>
      <c r="BQ458" s="21"/>
      <c r="BR458" s="21"/>
      <c r="BS458" s="39"/>
      <c r="BT458" s="39"/>
      <c r="BU458" s="334">
        <v>5862500</v>
      </c>
      <c r="BV458" s="334">
        <v>0</v>
      </c>
      <c r="BW458" s="39"/>
      <c r="BX458" s="39"/>
      <c r="BY458" s="39"/>
      <c r="BZ458" s="39">
        <v>445</v>
      </c>
      <c r="CA458" s="39" t="str">
        <f t="shared" si="243"/>
        <v/>
      </c>
      <c r="CB458" s="39"/>
      <c r="CC458" s="39"/>
      <c r="CD458" s="39"/>
      <c r="CE458" s="39"/>
      <c r="CF458" s="39"/>
      <c r="CG458" s="39"/>
      <c r="CH458" s="39"/>
      <c r="CI458" s="39"/>
      <c r="CJ458" s="39"/>
      <c r="CK458" s="39"/>
    </row>
    <row r="459" spans="1:89" s="193" customFormat="1">
      <c r="A459" s="195"/>
      <c r="B459" s="21" t="str">
        <f t="shared" si="217"/>
        <v>N/A</v>
      </c>
      <c r="C459" s="21"/>
      <c r="D459" s="432"/>
      <c r="E459" s="439" t="s">
        <v>3626</v>
      </c>
      <c r="F459" s="439"/>
      <c r="G459" s="273" t="s">
        <v>3129</v>
      </c>
      <c r="H459" s="358"/>
      <c r="I459" s="262" t="s">
        <v>3161</v>
      </c>
      <c r="J459" s="262"/>
      <c r="K459" s="263">
        <v>7142582.5999999996</v>
      </c>
      <c r="L459" s="263">
        <v>1552285.9040000001</v>
      </c>
      <c r="M459" s="263">
        <v>1598854.4811200001</v>
      </c>
      <c r="N459" s="263">
        <v>1646820.1155535998</v>
      </c>
      <c r="O459" s="263">
        <v>1696224.7190202081</v>
      </c>
      <c r="P459" s="263">
        <v>1747111.4605908145</v>
      </c>
      <c r="Q459" s="263">
        <v>1799524.8044085389</v>
      </c>
      <c r="R459" s="263">
        <v>1853510.548540795</v>
      </c>
      <c r="S459" s="263">
        <v>1909115.8649970193</v>
      </c>
      <c r="T459" s="263">
        <v>1966389.34094693</v>
      </c>
      <c r="U459" s="263">
        <f t="shared" si="244"/>
        <v>22912419.839177907</v>
      </c>
      <c r="V459" s="196" t="str">
        <f t="shared" si="218"/>
        <v>LOS</v>
      </c>
      <c r="W459" s="196" t="s">
        <v>1168</v>
      </c>
      <c r="X459" s="196" t="str">
        <f t="shared" si="249"/>
        <v>N</v>
      </c>
      <c r="Y459" s="197">
        <f t="shared" si="250"/>
        <v>0</v>
      </c>
      <c r="Z459" s="198"/>
      <c r="AA459" s="197">
        <f t="shared" si="219"/>
        <v>0</v>
      </c>
      <c r="AB459" s="196"/>
      <c r="AC459" s="196"/>
      <c r="AD459" s="275">
        <v>0</v>
      </c>
      <c r="AE459" s="275">
        <v>1</v>
      </c>
      <c r="AF459" s="275">
        <v>0</v>
      </c>
      <c r="AG459" s="199"/>
      <c r="AH459" s="199"/>
      <c r="AI459" s="377">
        <f t="shared" si="220"/>
        <v>0</v>
      </c>
      <c r="AJ459" s="203"/>
      <c r="AK459" s="203"/>
      <c r="AL459" s="197">
        <f t="shared" si="251"/>
        <v>0</v>
      </c>
      <c r="AM459" s="197">
        <f t="shared" si="252"/>
        <v>0</v>
      </c>
      <c r="AN459" s="197">
        <f t="shared" si="253"/>
        <v>0</v>
      </c>
      <c r="AO459" s="202"/>
      <c r="AP459" s="161" t="s">
        <v>3900</v>
      </c>
      <c r="AQ459" s="279"/>
      <c r="AR459" s="287">
        <f t="shared" si="221"/>
        <v>0</v>
      </c>
      <c r="AS459" s="287">
        <f t="shared" si="222"/>
        <v>0</v>
      </c>
      <c r="AT459" s="287">
        <f t="shared" si="223"/>
        <v>0</v>
      </c>
      <c r="AU459" s="287">
        <f t="shared" si="224"/>
        <v>0</v>
      </c>
      <c r="AV459" s="287">
        <f t="shared" si="225"/>
        <v>0</v>
      </c>
      <c r="AW459" s="287">
        <f t="shared" si="226"/>
        <v>0</v>
      </c>
      <c r="AX459" s="287">
        <f t="shared" si="227"/>
        <v>0</v>
      </c>
      <c r="AY459" s="287">
        <f t="shared" si="228"/>
        <v>0</v>
      </c>
      <c r="AZ459" s="287">
        <f t="shared" si="229"/>
        <v>0</v>
      </c>
      <c r="BA459" s="287">
        <f t="shared" si="230"/>
        <v>0</v>
      </c>
      <c r="BB459" s="16"/>
      <c r="BC459" s="287">
        <f t="shared" si="231"/>
        <v>0</v>
      </c>
      <c r="BD459" s="287">
        <f t="shared" si="232"/>
        <v>0</v>
      </c>
      <c r="BE459" s="287">
        <f t="shared" si="233"/>
        <v>0</v>
      </c>
      <c r="BF459" s="287">
        <f t="shared" si="234"/>
        <v>0</v>
      </c>
      <c r="BG459" s="287">
        <f t="shared" si="235"/>
        <v>0</v>
      </c>
      <c r="BH459" s="287">
        <f t="shared" si="236"/>
        <v>0</v>
      </c>
      <c r="BI459" s="287">
        <f t="shared" si="237"/>
        <v>0</v>
      </c>
      <c r="BJ459" s="287">
        <f t="shared" si="238"/>
        <v>0</v>
      </c>
      <c r="BK459" s="287">
        <f t="shared" si="239"/>
        <v>0</v>
      </c>
      <c r="BL459" s="287">
        <f t="shared" si="240"/>
        <v>0</v>
      </c>
      <c r="BM459" s="16"/>
      <c r="BN459" s="287">
        <f t="shared" si="241"/>
        <v>0</v>
      </c>
      <c r="BO459" s="287">
        <f t="shared" si="242"/>
        <v>0</v>
      </c>
      <c r="BP459" s="432"/>
      <c r="BQ459" s="21"/>
      <c r="BR459" s="21"/>
      <c r="BS459" s="39"/>
      <c r="BT459" s="39"/>
      <c r="BU459" s="334">
        <v>715946.875</v>
      </c>
      <c r="BV459" s="334">
        <v>0</v>
      </c>
      <c r="BW459" s="39"/>
      <c r="BX459" s="39"/>
      <c r="BY459" s="39"/>
      <c r="BZ459" s="39">
        <v>446</v>
      </c>
      <c r="CA459" s="39" t="str">
        <f t="shared" si="243"/>
        <v/>
      </c>
      <c r="CB459" s="39"/>
      <c r="CC459" s="39"/>
      <c r="CD459" s="39"/>
      <c r="CE459" s="39"/>
      <c r="CF459" s="39"/>
      <c r="CG459" s="39"/>
      <c r="CH459" s="39"/>
      <c r="CI459" s="39"/>
      <c r="CJ459" s="39"/>
      <c r="CK459" s="39"/>
    </row>
    <row r="460" spans="1:89" s="193" customFormat="1">
      <c r="A460" s="195"/>
      <c r="B460" s="21" t="str">
        <f t="shared" si="217"/>
        <v>N/A</v>
      </c>
      <c r="C460" s="21"/>
      <c r="D460" s="432"/>
      <c r="E460" s="439" t="s">
        <v>3626</v>
      </c>
      <c r="F460" s="439" t="s">
        <v>4000</v>
      </c>
      <c r="G460" s="273" t="s">
        <v>3999</v>
      </c>
      <c r="H460" s="358"/>
      <c r="I460" s="262" t="s">
        <v>3491</v>
      </c>
      <c r="J460" s="262" t="s">
        <v>4201</v>
      </c>
      <c r="K460" s="263">
        <v>120000</v>
      </c>
      <c r="L460" s="263">
        <v>1760000</v>
      </c>
      <c r="M460" s="263">
        <v>930000</v>
      </c>
      <c r="N460" s="263">
        <v>0</v>
      </c>
      <c r="O460" s="263">
        <v>0</v>
      </c>
      <c r="P460" s="263">
        <v>0</v>
      </c>
      <c r="Q460" s="263">
        <v>0</v>
      </c>
      <c r="R460" s="263">
        <v>0</v>
      </c>
      <c r="S460" s="263">
        <v>0</v>
      </c>
      <c r="T460" s="263">
        <v>0</v>
      </c>
      <c r="U460" s="263">
        <f t="shared" si="244"/>
        <v>2810000</v>
      </c>
      <c r="V460" s="196" t="str">
        <f t="shared" si="218"/>
        <v>CHECK</v>
      </c>
      <c r="W460" s="196" t="s">
        <v>1168</v>
      </c>
      <c r="X460" s="196" t="str">
        <f t="shared" si="249"/>
        <v>N</v>
      </c>
      <c r="Y460" s="197">
        <f>SUM(K460:T460)</f>
        <v>2810000</v>
      </c>
      <c r="Z460" s="198"/>
      <c r="AA460" s="197">
        <f t="shared" si="219"/>
        <v>2810000</v>
      </c>
      <c r="AB460" s="196" t="s">
        <v>1168</v>
      </c>
      <c r="AC460" s="196"/>
      <c r="AD460" s="275"/>
      <c r="AE460" s="275"/>
      <c r="AF460" s="275"/>
      <c r="AG460" s="442"/>
      <c r="AH460" s="442"/>
      <c r="AI460" s="200">
        <f t="shared" si="220"/>
        <v>0</v>
      </c>
      <c r="AJ460" s="203"/>
      <c r="AK460" s="203"/>
      <c r="AL460" s="197">
        <f t="shared" si="251"/>
        <v>2810000</v>
      </c>
      <c r="AM460" s="197">
        <f t="shared" si="252"/>
        <v>0</v>
      </c>
      <c r="AN460" s="197">
        <f t="shared" si="253"/>
        <v>0</v>
      </c>
      <c r="AO460" s="202"/>
      <c r="AP460" s="161" t="s">
        <v>3900</v>
      </c>
      <c r="AQ460" s="279"/>
      <c r="AR460" s="287">
        <f t="shared" si="221"/>
        <v>0</v>
      </c>
      <c r="AS460" s="287">
        <f t="shared" si="222"/>
        <v>0</v>
      </c>
      <c r="AT460" s="287">
        <f t="shared" si="223"/>
        <v>0</v>
      </c>
      <c r="AU460" s="287">
        <f t="shared" si="224"/>
        <v>0</v>
      </c>
      <c r="AV460" s="287">
        <f t="shared" si="225"/>
        <v>0</v>
      </c>
      <c r="AW460" s="287">
        <f t="shared" si="226"/>
        <v>0</v>
      </c>
      <c r="AX460" s="287">
        <f t="shared" si="227"/>
        <v>0</v>
      </c>
      <c r="AY460" s="287">
        <f t="shared" si="228"/>
        <v>0</v>
      </c>
      <c r="AZ460" s="287">
        <f t="shared" si="229"/>
        <v>0</v>
      </c>
      <c r="BA460" s="287">
        <f t="shared" si="230"/>
        <v>0</v>
      </c>
      <c r="BB460" s="16"/>
      <c r="BC460" s="287">
        <f t="shared" si="231"/>
        <v>0</v>
      </c>
      <c r="BD460" s="287">
        <f t="shared" si="232"/>
        <v>0</v>
      </c>
      <c r="BE460" s="287">
        <f t="shared" si="233"/>
        <v>0</v>
      </c>
      <c r="BF460" s="287">
        <f t="shared" si="234"/>
        <v>0</v>
      </c>
      <c r="BG460" s="287">
        <f t="shared" si="235"/>
        <v>0</v>
      </c>
      <c r="BH460" s="287">
        <f t="shared" si="236"/>
        <v>0</v>
      </c>
      <c r="BI460" s="287">
        <f t="shared" si="237"/>
        <v>0</v>
      </c>
      <c r="BJ460" s="287">
        <f t="shared" si="238"/>
        <v>0</v>
      </c>
      <c r="BK460" s="287">
        <f t="shared" si="239"/>
        <v>0</v>
      </c>
      <c r="BL460" s="287">
        <f t="shared" si="240"/>
        <v>0</v>
      </c>
      <c r="BM460" s="16"/>
      <c r="BN460" s="287">
        <f t="shared" si="241"/>
        <v>0</v>
      </c>
      <c r="BO460" s="287">
        <f t="shared" si="242"/>
        <v>0</v>
      </c>
      <c r="BP460" s="432"/>
      <c r="BQ460" s="21"/>
      <c r="BR460" s="21"/>
      <c r="BS460" s="39"/>
      <c r="BT460" s="334">
        <f>+BN460+BO460</f>
        <v>0</v>
      </c>
      <c r="BU460" s="334">
        <f>+AM460</f>
        <v>0</v>
      </c>
      <c r="BV460" s="334">
        <f>+AN460</f>
        <v>0</v>
      </c>
      <c r="BW460" s="334">
        <f>+BT460-BU460-BV460</f>
        <v>0</v>
      </c>
      <c r="BX460" s="39"/>
      <c r="BY460" s="39"/>
      <c r="BZ460" s="39">
        <v>447</v>
      </c>
      <c r="CA460" s="39" t="str">
        <f t="shared" si="243"/>
        <v/>
      </c>
      <c r="CB460" s="39"/>
      <c r="CC460" s="39"/>
      <c r="CD460" s="39"/>
      <c r="CE460" s="39"/>
      <c r="CF460" s="39"/>
      <c r="CG460" s="39"/>
      <c r="CH460" s="39"/>
      <c r="CI460" s="39"/>
      <c r="CJ460" s="39"/>
      <c r="CK460" s="39"/>
    </row>
    <row r="461" spans="1:89" s="193" customFormat="1">
      <c r="A461" s="195"/>
      <c r="B461" s="21" t="str">
        <f t="shared" si="217"/>
        <v>N/A</v>
      </c>
      <c r="C461" s="21"/>
      <c r="D461" s="432"/>
      <c r="E461" s="439" t="s">
        <v>3626</v>
      </c>
      <c r="F461" s="439"/>
      <c r="G461" s="273" t="s">
        <v>3130</v>
      </c>
      <c r="H461" s="358"/>
      <c r="I461" s="262" t="s">
        <v>3161</v>
      </c>
      <c r="J461" s="262"/>
      <c r="K461" s="263">
        <v>25674796</v>
      </c>
      <c r="L461" s="263">
        <v>26367367</v>
      </c>
      <c r="M461" s="263">
        <v>3360845</v>
      </c>
      <c r="N461" s="263">
        <v>13439496</v>
      </c>
      <c r="O461" s="263">
        <v>22825592</v>
      </c>
      <c r="P461" s="263">
        <v>0</v>
      </c>
      <c r="Q461" s="263">
        <v>0</v>
      </c>
      <c r="R461" s="263">
        <v>0</v>
      </c>
      <c r="S461" s="263">
        <v>0</v>
      </c>
      <c r="T461" s="263">
        <v>0</v>
      </c>
      <c r="U461" s="263">
        <f t="shared" si="244"/>
        <v>91668096</v>
      </c>
      <c r="V461" s="196" t="str">
        <f t="shared" si="218"/>
        <v>LOS</v>
      </c>
      <c r="W461" s="196" t="s">
        <v>1168</v>
      </c>
      <c r="X461" s="196" t="str">
        <f t="shared" si="249"/>
        <v>N</v>
      </c>
      <c r="Y461" s="197">
        <f t="shared" ref="Y461:Y471" si="254">IF(X461="N",0,SUM(K461:T461))</f>
        <v>0</v>
      </c>
      <c r="Z461" s="198"/>
      <c r="AA461" s="197">
        <f t="shared" si="219"/>
        <v>0</v>
      </c>
      <c r="AB461" s="196"/>
      <c r="AC461" s="196"/>
      <c r="AD461" s="275">
        <v>0</v>
      </c>
      <c r="AE461" s="275">
        <v>1</v>
      </c>
      <c r="AF461" s="275">
        <v>0</v>
      </c>
      <c r="AG461" s="199"/>
      <c r="AH461" s="199"/>
      <c r="AI461" s="377">
        <f t="shared" si="220"/>
        <v>0</v>
      </c>
      <c r="AJ461" s="203"/>
      <c r="AK461" s="203"/>
      <c r="AL461" s="197">
        <f t="shared" si="251"/>
        <v>0</v>
      </c>
      <c r="AM461" s="197">
        <f t="shared" si="252"/>
        <v>0</v>
      </c>
      <c r="AN461" s="197">
        <f t="shared" si="253"/>
        <v>0</v>
      </c>
      <c r="AO461" s="202"/>
      <c r="AP461" s="161" t="s">
        <v>3900</v>
      </c>
      <c r="AQ461" s="279"/>
      <c r="AR461" s="287">
        <f t="shared" si="221"/>
        <v>0</v>
      </c>
      <c r="AS461" s="287">
        <f t="shared" si="222"/>
        <v>0</v>
      </c>
      <c r="AT461" s="287">
        <f t="shared" si="223"/>
        <v>0</v>
      </c>
      <c r="AU461" s="287">
        <f t="shared" si="224"/>
        <v>0</v>
      </c>
      <c r="AV461" s="287">
        <f t="shared" si="225"/>
        <v>0</v>
      </c>
      <c r="AW461" s="287">
        <f t="shared" si="226"/>
        <v>0</v>
      </c>
      <c r="AX461" s="287">
        <f t="shared" si="227"/>
        <v>0</v>
      </c>
      <c r="AY461" s="287">
        <f t="shared" si="228"/>
        <v>0</v>
      </c>
      <c r="AZ461" s="287">
        <f t="shared" si="229"/>
        <v>0</v>
      </c>
      <c r="BA461" s="287">
        <f t="shared" si="230"/>
        <v>0</v>
      </c>
      <c r="BB461" s="16"/>
      <c r="BC461" s="287">
        <f t="shared" si="231"/>
        <v>0</v>
      </c>
      <c r="BD461" s="287">
        <f t="shared" si="232"/>
        <v>0</v>
      </c>
      <c r="BE461" s="287">
        <f t="shared" si="233"/>
        <v>0</v>
      </c>
      <c r="BF461" s="287">
        <f t="shared" si="234"/>
        <v>0</v>
      </c>
      <c r="BG461" s="287">
        <f t="shared" si="235"/>
        <v>0</v>
      </c>
      <c r="BH461" s="287">
        <f t="shared" si="236"/>
        <v>0</v>
      </c>
      <c r="BI461" s="287">
        <f t="shared" si="237"/>
        <v>0</v>
      </c>
      <c r="BJ461" s="287">
        <f t="shared" si="238"/>
        <v>0</v>
      </c>
      <c r="BK461" s="287">
        <f t="shared" si="239"/>
        <v>0</v>
      </c>
      <c r="BL461" s="287">
        <f t="shared" si="240"/>
        <v>0</v>
      </c>
      <c r="BM461" s="16"/>
      <c r="BN461" s="287">
        <f t="shared" si="241"/>
        <v>0</v>
      </c>
      <c r="BO461" s="287">
        <f t="shared" si="242"/>
        <v>0</v>
      </c>
      <c r="BP461" s="432"/>
      <c r="BQ461" s="21"/>
      <c r="BR461" s="21"/>
      <c r="BS461" s="39"/>
      <c r="BT461" s="39"/>
      <c r="BU461" s="334">
        <v>577500</v>
      </c>
      <c r="BV461" s="334">
        <v>0</v>
      </c>
      <c r="BW461" s="39"/>
      <c r="BX461" s="39"/>
      <c r="BY461" s="39"/>
      <c r="BZ461" s="39">
        <v>448</v>
      </c>
      <c r="CA461" s="39" t="str">
        <f t="shared" si="243"/>
        <v/>
      </c>
      <c r="CB461" s="39"/>
      <c r="CC461" s="39"/>
      <c r="CD461" s="39"/>
      <c r="CE461" s="39"/>
      <c r="CF461" s="39"/>
      <c r="CG461" s="39"/>
      <c r="CH461" s="39"/>
      <c r="CI461" s="39"/>
      <c r="CJ461" s="39"/>
      <c r="CK461" s="39"/>
    </row>
    <row r="462" spans="1:89" s="193" customFormat="1">
      <c r="A462" s="195"/>
      <c r="B462" s="21" t="str">
        <f t="shared" ref="B462:B525" si="255">LEFT(AP462,3)</f>
        <v>N/A</v>
      </c>
      <c r="C462" s="21"/>
      <c r="D462" s="432"/>
      <c r="E462" s="439" t="s">
        <v>3626</v>
      </c>
      <c r="F462" s="439"/>
      <c r="G462" s="273" t="s">
        <v>3131</v>
      </c>
      <c r="H462" s="358"/>
      <c r="I462" s="262" t="s">
        <v>3161</v>
      </c>
      <c r="J462" s="262"/>
      <c r="K462" s="263">
        <v>2583174.88</v>
      </c>
      <c r="L462" s="263">
        <v>2587825.7154038865</v>
      </c>
      <c r="M462" s="263">
        <v>3502421.2153546577</v>
      </c>
      <c r="N462" s="263">
        <v>4588221.4014901333</v>
      </c>
      <c r="O462" s="263">
        <v>5939609.0820896588</v>
      </c>
      <c r="P462" s="263">
        <v>8582970.1300000008</v>
      </c>
      <c r="Q462" s="263">
        <v>10745581.095326431</v>
      </c>
      <c r="R462" s="263">
        <v>12497567.666963542</v>
      </c>
      <c r="S462" s="263">
        <v>14911334.034811972</v>
      </c>
      <c r="T462" s="263">
        <v>18131688.887138557</v>
      </c>
      <c r="U462" s="263">
        <f t="shared" si="244"/>
        <v>84070394.108578846</v>
      </c>
      <c r="V462" s="196" t="str">
        <f t="shared" ref="V462:V525" si="256">IF(AND(AD462&gt;0,AE462&gt;0,AF462&gt;0),"G/LOS/R",IF(AND(AD462&gt;0,AE462&gt;0),"G/LOS",IF(AND(AD462&gt;0,AF462&gt;0),"G/R",IF(AND(AE462&gt;0,AF462&gt;0),"LOS/R",IF(AD462&gt;0,"G",IF(AE462&gt;0,"LOS",IF(AF462&gt;0,"R","CHECK")))))))</f>
        <v>R</v>
      </c>
      <c r="W462" s="196" t="s">
        <v>1168</v>
      </c>
      <c r="X462" s="196" t="str">
        <f t="shared" si="249"/>
        <v>N</v>
      </c>
      <c r="Y462" s="197">
        <f t="shared" si="254"/>
        <v>0</v>
      </c>
      <c r="Z462" s="198"/>
      <c r="AA462" s="197">
        <f t="shared" ref="AA462:AA525" si="257">Y462-Z462</f>
        <v>0</v>
      </c>
      <c r="AB462" s="196"/>
      <c r="AC462" s="196"/>
      <c r="AD462" s="275">
        <v>0</v>
      </c>
      <c r="AE462" s="275">
        <v>0</v>
      </c>
      <c r="AF462" s="275">
        <v>1</v>
      </c>
      <c r="AG462" s="199"/>
      <c r="AH462" s="199"/>
      <c r="AI462" s="377">
        <f t="shared" ref="AI462:AI477" si="258">(AG462+AH462)/2</f>
        <v>0</v>
      </c>
      <c r="AJ462" s="203"/>
      <c r="AK462" s="203"/>
      <c r="AL462" s="197">
        <f t="shared" si="251"/>
        <v>0</v>
      </c>
      <c r="AM462" s="197">
        <f t="shared" si="252"/>
        <v>0</v>
      </c>
      <c r="AN462" s="197">
        <f t="shared" si="253"/>
        <v>0</v>
      </c>
      <c r="AO462" s="202"/>
      <c r="AP462" s="161" t="s">
        <v>3900</v>
      </c>
      <c r="AQ462" s="279"/>
      <c r="AR462" s="287">
        <f t="shared" si="221"/>
        <v>0</v>
      </c>
      <c r="AS462" s="287">
        <f t="shared" si="222"/>
        <v>0</v>
      </c>
      <c r="AT462" s="287">
        <f t="shared" si="223"/>
        <v>0</v>
      </c>
      <c r="AU462" s="287">
        <f t="shared" si="224"/>
        <v>0</v>
      </c>
      <c r="AV462" s="287">
        <f t="shared" si="225"/>
        <v>0</v>
      </c>
      <c r="AW462" s="287">
        <f t="shared" si="226"/>
        <v>0</v>
      </c>
      <c r="AX462" s="287">
        <f t="shared" si="227"/>
        <v>0</v>
      </c>
      <c r="AY462" s="287">
        <f t="shared" si="228"/>
        <v>0</v>
      </c>
      <c r="AZ462" s="287">
        <f t="shared" si="229"/>
        <v>0</v>
      </c>
      <c r="BA462" s="287">
        <f t="shared" si="230"/>
        <v>0</v>
      </c>
      <c r="BB462" s="16"/>
      <c r="BC462" s="287">
        <f t="shared" si="231"/>
        <v>0</v>
      </c>
      <c r="BD462" s="287">
        <f t="shared" si="232"/>
        <v>0</v>
      </c>
      <c r="BE462" s="287">
        <f t="shared" si="233"/>
        <v>0</v>
      </c>
      <c r="BF462" s="287">
        <f t="shared" si="234"/>
        <v>0</v>
      </c>
      <c r="BG462" s="287">
        <f t="shared" si="235"/>
        <v>0</v>
      </c>
      <c r="BH462" s="287">
        <f t="shared" si="236"/>
        <v>0</v>
      </c>
      <c r="BI462" s="287">
        <f t="shared" si="237"/>
        <v>0</v>
      </c>
      <c r="BJ462" s="287">
        <f t="shared" si="238"/>
        <v>0</v>
      </c>
      <c r="BK462" s="287">
        <f t="shared" si="239"/>
        <v>0</v>
      </c>
      <c r="BL462" s="287">
        <f t="shared" si="240"/>
        <v>0</v>
      </c>
      <c r="BM462" s="16"/>
      <c r="BN462" s="287">
        <f t="shared" si="241"/>
        <v>0</v>
      </c>
      <c r="BO462" s="287">
        <f t="shared" si="242"/>
        <v>0</v>
      </c>
      <c r="BP462" s="432"/>
      <c r="BQ462" s="21"/>
      <c r="BR462" s="21"/>
      <c r="BS462" s="39"/>
      <c r="BT462" s="39"/>
      <c r="BU462" s="334">
        <v>28500</v>
      </c>
      <c r="BV462" s="334">
        <v>0</v>
      </c>
      <c r="BW462" s="39"/>
      <c r="BX462" s="39"/>
      <c r="BY462" s="39"/>
      <c r="BZ462" s="39">
        <v>449</v>
      </c>
      <c r="CA462" s="39" t="str">
        <f t="shared" si="243"/>
        <v/>
      </c>
      <c r="CB462" s="39"/>
      <c r="CC462" s="39"/>
      <c r="CD462" s="39"/>
      <c r="CE462" s="39"/>
      <c r="CF462" s="39"/>
      <c r="CG462" s="39"/>
      <c r="CH462" s="39"/>
      <c r="CI462" s="39"/>
      <c r="CJ462" s="39"/>
      <c r="CK462" s="39"/>
    </row>
    <row r="463" spans="1:89" s="193" customFormat="1">
      <c r="A463" s="195"/>
      <c r="B463" s="21" t="str">
        <f t="shared" si="255"/>
        <v>N/A</v>
      </c>
      <c r="C463" s="21"/>
      <c r="D463" s="432"/>
      <c r="E463" s="439" t="s">
        <v>3626</v>
      </c>
      <c r="F463" s="439"/>
      <c r="G463" s="273" t="s">
        <v>3132</v>
      </c>
      <c r="H463" s="358"/>
      <c r="I463" s="262" t="s">
        <v>3161</v>
      </c>
      <c r="J463" s="262"/>
      <c r="K463" s="263">
        <v>18255566.039999999</v>
      </c>
      <c r="L463" s="263">
        <v>18838728.700082581</v>
      </c>
      <c r="M463" s="263">
        <v>22822746.045813099</v>
      </c>
      <c r="N463" s="263">
        <v>25575632.983164549</v>
      </c>
      <c r="O463" s="263">
        <v>27147213.200963747</v>
      </c>
      <c r="P463" s="263">
        <v>32604470.440000001</v>
      </c>
      <c r="Q463" s="263">
        <v>35147059.436257258</v>
      </c>
      <c r="R463" s="263">
        <v>37892251.437426314</v>
      </c>
      <c r="S463" s="263">
        <v>42884057.977534346</v>
      </c>
      <c r="T463" s="263">
        <v>50631527.058624431</v>
      </c>
      <c r="U463" s="263">
        <f t="shared" si="244"/>
        <v>311799253.31986636</v>
      </c>
      <c r="V463" s="196" t="str">
        <f t="shared" si="256"/>
        <v>R</v>
      </c>
      <c r="W463" s="196" t="s">
        <v>1168</v>
      </c>
      <c r="X463" s="196" t="str">
        <f t="shared" si="249"/>
        <v>N</v>
      </c>
      <c r="Y463" s="197">
        <f t="shared" si="254"/>
        <v>0</v>
      </c>
      <c r="Z463" s="198"/>
      <c r="AA463" s="197">
        <f t="shared" si="257"/>
        <v>0</v>
      </c>
      <c r="AB463" s="196"/>
      <c r="AC463" s="196"/>
      <c r="AD463" s="275">
        <v>0</v>
      </c>
      <c r="AE463" s="275">
        <v>0</v>
      </c>
      <c r="AF463" s="275">
        <v>1</v>
      </c>
      <c r="AG463" s="199"/>
      <c r="AH463" s="199"/>
      <c r="AI463" s="377">
        <f t="shared" si="258"/>
        <v>0</v>
      </c>
      <c r="AJ463" s="203"/>
      <c r="AK463" s="203"/>
      <c r="AL463" s="197">
        <f t="shared" si="251"/>
        <v>0</v>
      </c>
      <c r="AM463" s="197">
        <f t="shared" si="252"/>
        <v>0</v>
      </c>
      <c r="AN463" s="197">
        <f t="shared" si="253"/>
        <v>0</v>
      </c>
      <c r="AO463" s="202"/>
      <c r="AP463" s="161" t="s">
        <v>3900</v>
      </c>
      <c r="AQ463" s="279"/>
      <c r="AR463" s="287">
        <f t="shared" ref="AR463:AR526" si="259">K463*$AI463*$AJ463</f>
        <v>0</v>
      </c>
      <c r="AS463" s="287">
        <f t="shared" ref="AS463:AS526" si="260">L463*$AI463*$AJ463</f>
        <v>0</v>
      </c>
      <c r="AT463" s="287">
        <f t="shared" ref="AT463:AT526" si="261">M463*$AI463*$AJ463</f>
        <v>0</v>
      </c>
      <c r="AU463" s="287">
        <f t="shared" ref="AU463:AU526" si="262">N463*$AI463*$AJ463</f>
        <v>0</v>
      </c>
      <c r="AV463" s="287">
        <f t="shared" ref="AV463:AV526" si="263">O463*$AI463*$AJ463</f>
        <v>0</v>
      </c>
      <c r="AW463" s="287">
        <f t="shared" ref="AW463:AW526" si="264">P463*$AI463*$AJ463</f>
        <v>0</v>
      </c>
      <c r="AX463" s="287">
        <f t="shared" ref="AX463:AX526" si="265">Q463*$AI463*$AJ463</f>
        <v>0</v>
      </c>
      <c r="AY463" s="287">
        <f t="shared" ref="AY463:AY526" si="266">R463*$AI463*$AJ463</f>
        <v>0</v>
      </c>
      <c r="AZ463" s="287">
        <f t="shared" ref="AZ463:AZ526" si="267">S463*$AI463*$AJ463</f>
        <v>0</v>
      </c>
      <c r="BA463" s="287">
        <f t="shared" ref="BA463:BA526" si="268">T463*$AI463*$AJ463</f>
        <v>0</v>
      </c>
      <c r="BB463" s="16"/>
      <c r="BC463" s="287">
        <f t="shared" ref="BC463:BC526" si="269">K463*$AI463*$AK463</f>
        <v>0</v>
      </c>
      <c r="BD463" s="287">
        <f t="shared" ref="BD463:BD526" si="270">L463*$AI463*$AK463</f>
        <v>0</v>
      </c>
      <c r="BE463" s="287">
        <f t="shared" ref="BE463:BE526" si="271">M463*$AI463*$AK463</f>
        <v>0</v>
      </c>
      <c r="BF463" s="287">
        <f t="shared" ref="BF463:BF526" si="272">N463*$AI463*$AK463</f>
        <v>0</v>
      </c>
      <c r="BG463" s="287">
        <f t="shared" ref="BG463:BG526" si="273">O463*$AI463*$AK463</f>
        <v>0</v>
      </c>
      <c r="BH463" s="287">
        <f t="shared" ref="BH463:BH526" si="274">P463*$AI463*$AK463</f>
        <v>0</v>
      </c>
      <c r="BI463" s="287">
        <f t="shared" ref="BI463:BI526" si="275">Q463*$AI463*$AK463</f>
        <v>0</v>
      </c>
      <c r="BJ463" s="287">
        <f t="shared" ref="BJ463:BJ526" si="276">R463*$AI463*$AK463</f>
        <v>0</v>
      </c>
      <c r="BK463" s="287">
        <f t="shared" ref="BK463:BK526" si="277">S463*$AI463*$AK463</f>
        <v>0</v>
      </c>
      <c r="BL463" s="287">
        <f t="shared" ref="BL463:BL526" si="278">T463*$AI463*$AK463</f>
        <v>0</v>
      </c>
      <c r="BM463" s="16"/>
      <c r="BN463" s="287">
        <f t="shared" ref="BN463:BN526" si="279">SUM(AR463:BA463)</f>
        <v>0</v>
      </c>
      <c r="BO463" s="287">
        <f t="shared" ref="BO463:BO526" si="280">SUM(BC463:BL463)</f>
        <v>0</v>
      </c>
      <c r="BP463" s="432"/>
      <c r="BQ463" s="21"/>
      <c r="BR463" s="21"/>
      <c r="BS463" s="39"/>
      <c r="BT463" s="39"/>
      <c r="BU463" s="334">
        <v>320625</v>
      </c>
      <c r="BV463" s="334">
        <v>0</v>
      </c>
      <c r="BW463" s="39"/>
      <c r="BX463" s="39"/>
      <c r="BY463" s="39"/>
      <c r="BZ463" s="39">
        <v>450</v>
      </c>
      <c r="CA463" s="39" t="str">
        <f t="shared" ref="CA463:CA526" si="281">IFERROR(ROUND(IF(AJ463=100%,2031,1/AJ463*10+2021),0),"")</f>
        <v/>
      </c>
      <c r="CB463" s="39"/>
      <c r="CC463" s="39"/>
      <c r="CD463" s="39"/>
      <c r="CE463" s="39"/>
      <c r="CF463" s="39"/>
      <c r="CG463" s="39"/>
      <c r="CH463" s="39"/>
      <c r="CI463" s="39"/>
      <c r="CJ463" s="39"/>
      <c r="CK463" s="39"/>
    </row>
    <row r="464" spans="1:89" s="193" customFormat="1">
      <c r="A464" s="195"/>
      <c r="B464" s="21" t="str">
        <f t="shared" si="255"/>
        <v>N/A</v>
      </c>
      <c r="C464" s="21"/>
      <c r="D464" s="432"/>
      <c r="E464" s="439" t="s">
        <v>3626</v>
      </c>
      <c r="F464" s="439"/>
      <c r="G464" s="273" t="s">
        <v>3133</v>
      </c>
      <c r="H464" s="358"/>
      <c r="I464" s="262" t="s">
        <v>3161</v>
      </c>
      <c r="J464" s="262"/>
      <c r="K464" s="263">
        <v>1772635.28</v>
      </c>
      <c r="L464" s="263">
        <v>1615801.6096923617</v>
      </c>
      <c r="M464" s="263">
        <v>1759957.2266896553</v>
      </c>
      <c r="N464" s="263">
        <v>2083447.5059214206</v>
      </c>
      <c r="O464" s="263">
        <v>2461035.3502334137</v>
      </c>
      <c r="P464" s="263">
        <v>3518699.32</v>
      </c>
      <c r="Q464" s="263">
        <v>4227392.4464239832</v>
      </c>
      <c r="R464" s="263">
        <v>4795945.9164492832</v>
      </c>
      <c r="S464" s="263">
        <v>5168779.9297984317</v>
      </c>
      <c r="T464" s="263">
        <v>5676179.5189361526</v>
      </c>
      <c r="U464" s="263">
        <f t="shared" si="244"/>
        <v>33079874.1041447</v>
      </c>
      <c r="V464" s="196" t="str">
        <f t="shared" si="256"/>
        <v>R</v>
      </c>
      <c r="W464" s="196" t="s">
        <v>1168</v>
      </c>
      <c r="X464" s="196" t="str">
        <f t="shared" si="249"/>
        <v>N</v>
      </c>
      <c r="Y464" s="197">
        <f t="shared" si="254"/>
        <v>0</v>
      </c>
      <c r="Z464" s="198"/>
      <c r="AA464" s="197">
        <f t="shared" si="257"/>
        <v>0</v>
      </c>
      <c r="AB464" s="196"/>
      <c r="AC464" s="196"/>
      <c r="AD464" s="275">
        <v>0</v>
      </c>
      <c r="AE464" s="275">
        <v>0</v>
      </c>
      <c r="AF464" s="275">
        <v>1</v>
      </c>
      <c r="AG464" s="199"/>
      <c r="AH464" s="199"/>
      <c r="AI464" s="377">
        <f t="shared" si="258"/>
        <v>0</v>
      </c>
      <c r="AJ464" s="203"/>
      <c r="AK464" s="203"/>
      <c r="AL464" s="197">
        <f t="shared" si="251"/>
        <v>0</v>
      </c>
      <c r="AM464" s="197">
        <f t="shared" si="252"/>
        <v>0</v>
      </c>
      <c r="AN464" s="197">
        <f t="shared" si="253"/>
        <v>0</v>
      </c>
      <c r="AO464" s="202"/>
      <c r="AP464" s="161" t="s">
        <v>3900</v>
      </c>
      <c r="AQ464" s="279"/>
      <c r="AR464" s="287">
        <f t="shared" si="259"/>
        <v>0</v>
      </c>
      <c r="AS464" s="287">
        <f t="shared" si="260"/>
        <v>0</v>
      </c>
      <c r="AT464" s="287">
        <f t="shared" si="261"/>
        <v>0</v>
      </c>
      <c r="AU464" s="287">
        <f t="shared" si="262"/>
        <v>0</v>
      </c>
      <c r="AV464" s="287">
        <f t="shared" si="263"/>
        <v>0</v>
      </c>
      <c r="AW464" s="287">
        <f t="shared" si="264"/>
        <v>0</v>
      </c>
      <c r="AX464" s="287">
        <f t="shared" si="265"/>
        <v>0</v>
      </c>
      <c r="AY464" s="287">
        <f t="shared" si="266"/>
        <v>0</v>
      </c>
      <c r="AZ464" s="287">
        <f t="shared" si="267"/>
        <v>0</v>
      </c>
      <c r="BA464" s="287">
        <f t="shared" si="268"/>
        <v>0</v>
      </c>
      <c r="BB464" s="16"/>
      <c r="BC464" s="287">
        <f t="shared" si="269"/>
        <v>0</v>
      </c>
      <c r="BD464" s="287">
        <f t="shared" si="270"/>
        <v>0</v>
      </c>
      <c r="BE464" s="287">
        <f t="shared" si="271"/>
        <v>0</v>
      </c>
      <c r="BF464" s="287">
        <f t="shared" si="272"/>
        <v>0</v>
      </c>
      <c r="BG464" s="287">
        <f t="shared" si="273"/>
        <v>0</v>
      </c>
      <c r="BH464" s="287">
        <f t="shared" si="274"/>
        <v>0</v>
      </c>
      <c r="BI464" s="287">
        <f t="shared" si="275"/>
        <v>0</v>
      </c>
      <c r="BJ464" s="287">
        <f t="shared" si="276"/>
        <v>0</v>
      </c>
      <c r="BK464" s="287">
        <f t="shared" si="277"/>
        <v>0</v>
      </c>
      <c r="BL464" s="287">
        <f t="shared" si="278"/>
        <v>0</v>
      </c>
      <c r="BM464" s="16"/>
      <c r="BN464" s="287">
        <f t="shared" si="279"/>
        <v>0</v>
      </c>
      <c r="BO464" s="287">
        <f t="shared" si="280"/>
        <v>0</v>
      </c>
      <c r="BP464" s="432"/>
      <c r="BQ464" s="21"/>
      <c r="BR464" s="21"/>
      <c r="BS464" s="39"/>
      <c r="BT464" s="39"/>
      <c r="BU464" s="334">
        <v>350000</v>
      </c>
      <c r="BV464" s="334">
        <v>0</v>
      </c>
      <c r="BW464" s="39"/>
      <c r="BX464" s="39"/>
      <c r="BY464" s="39"/>
      <c r="BZ464" s="39">
        <v>451</v>
      </c>
      <c r="CA464" s="39" t="str">
        <f t="shared" si="281"/>
        <v/>
      </c>
      <c r="CB464" s="39"/>
      <c r="CC464" s="39"/>
      <c r="CD464" s="39"/>
      <c r="CE464" s="39"/>
      <c r="CF464" s="39"/>
      <c r="CG464" s="39"/>
      <c r="CH464" s="39"/>
      <c r="CI464" s="39"/>
      <c r="CJ464" s="39"/>
      <c r="CK464" s="39"/>
    </row>
    <row r="465" spans="1:89" s="193" customFormat="1">
      <c r="A465" s="195"/>
      <c r="B465" s="21" t="str">
        <f t="shared" si="255"/>
        <v>N/A</v>
      </c>
      <c r="C465" s="21"/>
      <c r="D465" s="432"/>
      <c r="E465" s="439" t="s">
        <v>3626</v>
      </c>
      <c r="F465" s="439"/>
      <c r="G465" s="273" t="s">
        <v>3134</v>
      </c>
      <c r="H465" s="358"/>
      <c r="I465" s="262" t="s">
        <v>3161</v>
      </c>
      <c r="J465" s="262"/>
      <c r="K465" s="263">
        <v>329964.96000000002</v>
      </c>
      <c r="L465" s="263">
        <v>341692.41098135541</v>
      </c>
      <c r="M465" s="263">
        <v>417089.41583051952</v>
      </c>
      <c r="N465" s="263">
        <v>475523.58493877924</v>
      </c>
      <c r="O465" s="263">
        <v>540478.23697237938</v>
      </c>
      <c r="P465" s="263">
        <v>729481.03</v>
      </c>
      <c r="Q465" s="263">
        <v>873875.12009053479</v>
      </c>
      <c r="R465" s="263">
        <v>998522.68187979469</v>
      </c>
      <c r="S465" s="263">
        <v>1161458.688564023</v>
      </c>
      <c r="T465" s="263">
        <v>1388862.4816935442</v>
      </c>
      <c r="U465" s="263">
        <f t="shared" si="244"/>
        <v>7256948.610950931</v>
      </c>
      <c r="V465" s="196" t="str">
        <f t="shared" si="256"/>
        <v>R</v>
      </c>
      <c r="W465" s="196" t="s">
        <v>1168</v>
      </c>
      <c r="X465" s="196" t="str">
        <f t="shared" si="249"/>
        <v>N</v>
      </c>
      <c r="Y465" s="197">
        <f t="shared" si="254"/>
        <v>0</v>
      </c>
      <c r="Z465" s="198"/>
      <c r="AA465" s="197">
        <f t="shared" si="257"/>
        <v>0</v>
      </c>
      <c r="AB465" s="196"/>
      <c r="AC465" s="196"/>
      <c r="AD465" s="275">
        <v>0</v>
      </c>
      <c r="AE465" s="275">
        <v>0</v>
      </c>
      <c r="AF465" s="275">
        <v>1</v>
      </c>
      <c r="AG465" s="199"/>
      <c r="AH465" s="199"/>
      <c r="AI465" s="377">
        <f t="shared" si="258"/>
        <v>0</v>
      </c>
      <c r="AJ465" s="203"/>
      <c r="AK465" s="203"/>
      <c r="AL465" s="197">
        <f t="shared" si="251"/>
        <v>0</v>
      </c>
      <c r="AM465" s="197">
        <f t="shared" si="252"/>
        <v>0</v>
      </c>
      <c r="AN465" s="197">
        <f t="shared" si="253"/>
        <v>0</v>
      </c>
      <c r="AO465" s="202"/>
      <c r="AP465" s="161" t="s">
        <v>3900</v>
      </c>
      <c r="AQ465" s="279"/>
      <c r="AR465" s="287">
        <f t="shared" si="259"/>
        <v>0</v>
      </c>
      <c r="AS465" s="287">
        <f t="shared" si="260"/>
        <v>0</v>
      </c>
      <c r="AT465" s="287">
        <f t="shared" si="261"/>
        <v>0</v>
      </c>
      <c r="AU465" s="287">
        <f t="shared" si="262"/>
        <v>0</v>
      </c>
      <c r="AV465" s="287">
        <f t="shared" si="263"/>
        <v>0</v>
      </c>
      <c r="AW465" s="287">
        <f t="shared" si="264"/>
        <v>0</v>
      </c>
      <c r="AX465" s="287">
        <f t="shared" si="265"/>
        <v>0</v>
      </c>
      <c r="AY465" s="287">
        <f t="shared" si="266"/>
        <v>0</v>
      </c>
      <c r="AZ465" s="287">
        <f t="shared" si="267"/>
        <v>0</v>
      </c>
      <c r="BA465" s="287">
        <f t="shared" si="268"/>
        <v>0</v>
      </c>
      <c r="BB465" s="16"/>
      <c r="BC465" s="287">
        <f t="shared" si="269"/>
        <v>0</v>
      </c>
      <c r="BD465" s="287">
        <f t="shared" si="270"/>
        <v>0</v>
      </c>
      <c r="BE465" s="287">
        <f t="shared" si="271"/>
        <v>0</v>
      </c>
      <c r="BF465" s="287">
        <f t="shared" si="272"/>
        <v>0</v>
      </c>
      <c r="BG465" s="287">
        <f t="shared" si="273"/>
        <v>0</v>
      </c>
      <c r="BH465" s="287">
        <f t="shared" si="274"/>
        <v>0</v>
      </c>
      <c r="BI465" s="287">
        <f t="shared" si="275"/>
        <v>0</v>
      </c>
      <c r="BJ465" s="287">
        <f t="shared" si="276"/>
        <v>0</v>
      </c>
      <c r="BK465" s="287">
        <f t="shared" si="277"/>
        <v>0</v>
      </c>
      <c r="BL465" s="287">
        <f t="shared" si="278"/>
        <v>0</v>
      </c>
      <c r="BM465" s="16"/>
      <c r="BN465" s="287">
        <f t="shared" si="279"/>
        <v>0</v>
      </c>
      <c r="BO465" s="287">
        <f t="shared" si="280"/>
        <v>0</v>
      </c>
      <c r="BP465" s="432"/>
      <c r="BQ465" s="21"/>
      <c r="BR465" s="21"/>
      <c r="BS465" s="39"/>
      <c r="BT465" s="39"/>
      <c r="BU465" s="334">
        <v>3843750</v>
      </c>
      <c r="BV465" s="334">
        <v>0</v>
      </c>
      <c r="BW465" s="39"/>
      <c r="BX465" s="39"/>
      <c r="BY465" s="39"/>
      <c r="BZ465" s="39">
        <v>452</v>
      </c>
      <c r="CA465" s="39" t="str">
        <f t="shared" si="281"/>
        <v/>
      </c>
      <c r="CB465" s="39"/>
      <c r="CC465" s="39"/>
      <c r="CD465" s="39"/>
      <c r="CE465" s="39"/>
      <c r="CF465" s="39"/>
      <c r="CG465" s="39"/>
      <c r="CH465" s="39"/>
      <c r="CI465" s="39"/>
      <c r="CJ465" s="39"/>
      <c r="CK465" s="39"/>
    </row>
    <row r="466" spans="1:89" s="193" customFormat="1">
      <c r="A466" s="195"/>
      <c r="B466" s="21" t="str">
        <f t="shared" si="255"/>
        <v>N/A</v>
      </c>
      <c r="C466" s="21"/>
      <c r="D466" s="432"/>
      <c r="E466" s="439" t="s">
        <v>3626</v>
      </c>
      <c r="F466" s="439"/>
      <c r="G466" s="273" t="s">
        <v>3135</v>
      </c>
      <c r="H466" s="358"/>
      <c r="I466" s="262" t="s">
        <v>3161</v>
      </c>
      <c r="J466" s="262"/>
      <c r="K466" s="263">
        <v>2673817.12</v>
      </c>
      <c r="L466" s="263">
        <v>2717419.8235696084</v>
      </c>
      <c r="M466" s="263">
        <v>3198146.5362857259</v>
      </c>
      <c r="N466" s="263">
        <v>3476415.9515396575</v>
      </c>
      <c r="O466" s="263">
        <v>3744622.0846269703</v>
      </c>
      <c r="P466" s="263">
        <v>4778508.8499999996</v>
      </c>
      <c r="Q466" s="263">
        <v>5413856.4377810499</v>
      </c>
      <c r="R466" s="263">
        <v>5861440.1380239101</v>
      </c>
      <c r="S466" s="263">
        <v>6478128.789653453</v>
      </c>
      <c r="T466" s="263">
        <v>7383013.0518343924</v>
      </c>
      <c r="U466" s="263">
        <f t="shared" si="244"/>
        <v>45725368.783314764</v>
      </c>
      <c r="V466" s="196" t="str">
        <f t="shared" si="256"/>
        <v>R</v>
      </c>
      <c r="W466" s="196" t="s">
        <v>1168</v>
      </c>
      <c r="X466" s="196" t="str">
        <f t="shared" si="249"/>
        <v>N</v>
      </c>
      <c r="Y466" s="197">
        <f t="shared" si="254"/>
        <v>0</v>
      </c>
      <c r="Z466" s="198"/>
      <c r="AA466" s="197">
        <f t="shared" si="257"/>
        <v>0</v>
      </c>
      <c r="AB466" s="196"/>
      <c r="AC466" s="196"/>
      <c r="AD466" s="275">
        <v>0</v>
      </c>
      <c r="AE466" s="275">
        <v>0</v>
      </c>
      <c r="AF466" s="275">
        <v>1</v>
      </c>
      <c r="AG466" s="199"/>
      <c r="AH466" s="199"/>
      <c r="AI466" s="377">
        <f t="shared" si="258"/>
        <v>0</v>
      </c>
      <c r="AJ466" s="203"/>
      <c r="AK466" s="203"/>
      <c r="AL466" s="197">
        <f t="shared" si="251"/>
        <v>0</v>
      </c>
      <c r="AM466" s="197">
        <f t="shared" si="252"/>
        <v>0</v>
      </c>
      <c r="AN466" s="197">
        <f t="shared" si="253"/>
        <v>0</v>
      </c>
      <c r="AO466" s="202"/>
      <c r="AP466" s="161" t="s">
        <v>3900</v>
      </c>
      <c r="AQ466" s="279"/>
      <c r="AR466" s="287">
        <f t="shared" si="259"/>
        <v>0</v>
      </c>
      <c r="AS466" s="287">
        <f t="shared" si="260"/>
        <v>0</v>
      </c>
      <c r="AT466" s="287">
        <f t="shared" si="261"/>
        <v>0</v>
      </c>
      <c r="AU466" s="287">
        <f t="shared" si="262"/>
        <v>0</v>
      </c>
      <c r="AV466" s="287">
        <f t="shared" si="263"/>
        <v>0</v>
      </c>
      <c r="AW466" s="287">
        <f t="shared" si="264"/>
        <v>0</v>
      </c>
      <c r="AX466" s="287">
        <f t="shared" si="265"/>
        <v>0</v>
      </c>
      <c r="AY466" s="287">
        <f t="shared" si="266"/>
        <v>0</v>
      </c>
      <c r="AZ466" s="287">
        <f t="shared" si="267"/>
        <v>0</v>
      </c>
      <c r="BA466" s="287">
        <f t="shared" si="268"/>
        <v>0</v>
      </c>
      <c r="BB466" s="16"/>
      <c r="BC466" s="287">
        <f t="shared" si="269"/>
        <v>0</v>
      </c>
      <c r="BD466" s="287">
        <f t="shared" si="270"/>
        <v>0</v>
      </c>
      <c r="BE466" s="287">
        <f t="shared" si="271"/>
        <v>0</v>
      </c>
      <c r="BF466" s="287">
        <f t="shared" si="272"/>
        <v>0</v>
      </c>
      <c r="BG466" s="287">
        <f t="shared" si="273"/>
        <v>0</v>
      </c>
      <c r="BH466" s="287">
        <f t="shared" si="274"/>
        <v>0</v>
      </c>
      <c r="BI466" s="287">
        <f t="shared" si="275"/>
        <v>0</v>
      </c>
      <c r="BJ466" s="287">
        <f t="shared" si="276"/>
        <v>0</v>
      </c>
      <c r="BK466" s="287">
        <f t="shared" si="277"/>
        <v>0</v>
      </c>
      <c r="BL466" s="287">
        <f t="shared" si="278"/>
        <v>0</v>
      </c>
      <c r="BM466" s="16"/>
      <c r="BN466" s="287">
        <f t="shared" si="279"/>
        <v>0</v>
      </c>
      <c r="BO466" s="287">
        <f t="shared" si="280"/>
        <v>0</v>
      </c>
      <c r="BP466" s="432"/>
      <c r="BQ466" s="21"/>
      <c r="BR466" s="21"/>
      <c r="BS466" s="39"/>
      <c r="BT466" s="39"/>
      <c r="BU466" s="334">
        <v>3722231.25</v>
      </c>
      <c r="BV466" s="334">
        <v>0</v>
      </c>
      <c r="BW466" s="39"/>
      <c r="BX466" s="39"/>
      <c r="BY466" s="39"/>
      <c r="BZ466" s="39">
        <v>453</v>
      </c>
      <c r="CA466" s="39" t="str">
        <f t="shared" si="281"/>
        <v/>
      </c>
      <c r="CB466" s="39"/>
      <c r="CC466" s="39"/>
      <c r="CD466" s="39"/>
      <c r="CE466" s="39"/>
      <c r="CF466" s="39"/>
      <c r="CG466" s="39"/>
      <c r="CH466" s="39"/>
      <c r="CI466" s="39"/>
      <c r="CJ466" s="39"/>
      <c r="CK466" s="39"/>
    </row>
    <row r="467" spans="1:89" s="193" customFormat="1">
      <c r="A467" s="195"/>
      <c r="B467" s="21" t="str">
        <f t="shared" si="255"/>
        <v>N/A</v>
      </c>
      <c r="C467" s="21"/>
      <c r="D467" s="432"/>
      <c r="E467" s="439" t="s">
        <v>3626</v>
      </c>
      <c r="F467" s="439"/>
      <c r="G467" s="273" t="s">
        <v>3136</v>
      </c>
      <c r="H467" s="358"/>
      <c r="I467" s="262" t="s">
        <v>3161</v>
      </c>
      <c r="J467" s="262"/>
      <c r="K467" s="263">
        <v>224718</v>
      </c>
      <c r="L467" s="263">
        <v>210286.85202161979</v>
      </c>
      <c r="M467" s="263">
        <v>212250.26842204054</v>
      </c>
      <c r="N467" s="263">
        <v>213767.74159835835</v>
      </c>
      <c r="O467" s="263">
        <v>215229.93383582102</v>
      </c>
      <c r="P467" s="263">
        <v>272306.11</v>
      </c>
      <c r="Q467" s="263">
        <v>299726.5929818814</v>
      </c>
      <c r="R467" s="263">
        <v>319217.29691931355</v>
      </c>
      <c r="S467" s="263">
        <v>328122.28437335225</v>
      </c>
      <c r="T467" s="263">
        <v>347159.36573899974</v>
      </c>
      <c r="U467" s="263">
        <f t="shared" si="244"/>
        <v>2642784.4458913864</v>
      </c>
      <c r="V467" s="196" t="str">
        <f t="shared" si="256"/>
        <v>R</v>
      </c>
      <c r="W467" s="196" t="s">
        <v>1168</v>
      </c>
      <c r="X467" s="196" t="str">
        <f t="shared" si="249"/>
        <v>N</v>
      </c>
      <c r="Y467" s="197">
        <f t="shared" si="254"/>
        <v>0</v>
      </c>
      <c r="Z467" s="198"/>
      <c r="AA467" s="197">
        <f t="shared" si="257"/>
        <v>0</v>
      </c>
      <c r="AB467" s="196"/>
      <c r="AC467" s="196"/>
      <c r="AD467" s="275">
        <v>0</v>
      </c>
      <c r="AE467" s="275">
        <v>0</v>
      </c>
      <c r="AF467" s="275">
        <v>1</v>
      </c>
      <c r="AG467" s="199"/>
      <c r="AH467" s="199"/>
      <c r="AI467" s="377">
        <f t="shared" si="258"/>
        <v>0</v>
      </c>
      <c r="AJ467" s="203"/>
      <c r="AK467" s="203"/>
      <c r="AL467" s="197">
        <f t="shared" si="251"/>
        <v>0</v>
      </c>
      <c r="AM467" s="197">
        <f t="shared" si="252"/>
        <v>0</v>
      </c>
      <c r="AN467" s="197">
        <f t="shared" si="253"/>
        <v>0</v>
      </c>
      <c r="AO467" s="202"/>
      <c r="AP467" s="161" t="s">
        <v>3900</v>
      </c>
      <c r="AQ467" s="279"/>
      <c r="AR467" s="287">
        <f t="shared" si="259"/>
        <v>0</v>
      </c>
      <c r="AS467" s="287">
        <f t="shared" si="260"/>
        <v>0</v>
      </c>
      <c r="AT467" s="287">
        <f t="shared" si="261"/>
        <v>0</v>
      </c>
      <c r="AU467" s="287">
        <f t="shared" si="262"/>
        <v>0</v>
      </c>
      <c r="AV467" s="287">
        <f t="shared" si="263"/>
        <v>0</v>
      </c>
      <c r="AW467" s="287">
        <f t="shared" si="264"/>
        <v>0</v>
      </c>
      <c r="AX467" s="287">
        <f t="shared" si="265"/>
        <v>0</v>
      </c>
      <c r="AY467" s="287">
        <f t="shared" si="266"/>
        <v>0</v>
      </c>
      <c r="AZ467" s="287">
        <f t="shared" si="267"/>
        <v>0</v>
      </c>
      <c r="BA467" s="287">
        <f t="shared" si="268"/>
        <v>0</v>
      </c>
      <c r="BB467" s="16"/>
      <c r="BC467" s="287">
        <f t="shared" si="269"/>
        <v>0</v>
      </c>
      <c r="BD467" s="287">
        <f t="shared" si="270"/>
        <v>0</v>
      </c>
      <c r="BE467" s="287">
        <f t="shared" si="271"/>
        <v>0</v>
      </c>
      <c r="BF467" s="287">
        <f t="shared" si="272"/>
        <v>0</v>
      </c>
      <c r="BG467" s="287">
        <f t="shared" si="273"/>
        <v>0</v>
      </c>
      <c r="BH467" s="287">
        <f t="shared" si="274"/>
        <v>0</v>
      </c>
      <c r="BI467" s="287">
        <f t="shared" si="275"/>
        <v>0</v>
      </c>
      <c r="BJ467" s="287">
        <f t="shared" si="276"/>
        <v>0</v>
      </c>
      <c r="BK467" s="287">
        <f t="shared" si="277"/>
        <v>0</v>
      </c>
      <c r="BL467" s="287">
        <f t="shared" si="278"/>
        <v>0</v>
      </c>
      <c r="BM467" s="16"/>
      <c r="BN467" s="287">
        <f t="shared" si="279"/>
        <v>0</v>
      </c>
      <c r="BO467" s="287">
        <f t="shared" si="280"/>
        <v>0</v>
      </c>
      <c r="BP467" s="432"/>
      <c r="BQ467" s="21"/>
      <c r="BR467" s="21"/>
      <c r="BS467" s="39"/>
      <c r="BT467" s="39"/>
      <c r="BU467" s="334">
        <v>1200000</v>
      </c>
      <c r="BV467" s="334">
        <v>0</v>
      </c>
      <c r="BW467" s="39"/>
      <c r="BX467" s="39"/>
      <c r="BY467" s="39"/>
      <c r="BZ467" s="39">
        <v>454</v>
      </c>
      <c r="CA467" s="39" t="str">
        <f t="shared" si="281"/>
        <v/>
      </c>
      <c r="CB467" s="39"/>
      <c r="CC467" s="39"/>
      <c r="CD467" s="39"/>
      <c r="CE467" s="39"/>
      <c r="CF467" s="39"/>
      <c r="CG467" s="39"/>
      <c r="CH467" s="39"/>
      <c r="CI467" s="39"/>
      <c r="CJ467" s="39"/>
      <c r="CK467" s="39"/>
    </row>
    <row r="468" spans="1:89" s="193" customFormat="1">
      <c r="A468" s="195"/>
      <c r="B468" s="21" t="str">
        <f t="shared" si="255"/>
        <v>N/A</v>
      </c>
      <c r="C468" s="21"/>
      <c r="D468" s="432"/>
      <c r="E468" s="439" t="s">
        <v>3626</v>
      </c>
      <c r="F468" s="439"/>
      <c r="G468" s="273" t="s">
        <v>3137</v>
      </c>
      <c r="H468" s="358"/>
      <c r="I468" s="262" t="s">
        <v>3161</v>
      </c>
      <c r="J468" s="262"/>
      <c r="K468" s="263">
        <v>575057.6</v>
      </c>
      <c r="L468" s="263">
        <v>599752.48828321393</v>
      </c>
      <c r="M468" s="263">
        <v>844887.5767949922</v>
      </c>
      <c r="N468" s="263">
        <v>1067395.489448111</v>
      </c>
      <c r="O468" s="263">
        <v>1266723.0928927106</v>
      </c>
      <c r="P468" s="263">
        <v>1776327.98</v>
      </c>
      <c r="Q468" s="263">
        <v>2186210.4105841564</v>
      </c>
      <c r="R468" s="263">
        <v>2554378.7516236356</v>
      </c>
      <c r="S468" s="263">
        <v>3014846.3314321381</v>
      </c>
      <c r="T468" s="263">
        <v>3649401.0188595005</v>
      </c>
      <c r="U468" s="263">
        <f t="shared" si="244"/>
        <v>17534980.739918459</v>
      </c>
      <c r="V468" s="196" t="str">
        <f t="shared" si="256"/>
        <v>R</v>
      </c>
      <c r="W468" s="196" t="s">
        <v>1168</v>
      </c>
      <c r="X468" s="196" t="str">
        <f t="shared" si="249"/>
        <v>N</v>
      </c>
      <c r="Y468" s="197">
        <f t="shared" si="254"/>
        <v>0</v>
      </c>
      <c r="Z468" s="198"/>
      <c r="AA468" s="197">
        <f t="shared" si="257"/>
        <v>0</v>
      </c>
      <c r="AB468" s="196"/>
      <c r="AC468" s="196"/>
      <c r="AD468" s="275">
        <v>0</v>
      </c>
      <c r="AE468" s="275">
        <v>0</v>
      </c>
      <c r="AF468" s="275">
        <v>1</v>
      </c>
      <c r="AG468" s="199"/>
      <c r="AH468" s="199"/>
      <c r="AI468" s="377">
        <f t="shared" si="258"/>
        <v>0</v>
      </c>
      <c r="AJ468" s="203"/>
      <c r="AK468" s="203"/>
      <c r="AL468" s="197">
        <f t="shared" si="251"/>
        <v>0</v>
      </c>
      <c r="AM468" s="197">
        <f t="shared" si="252"/>
        <v>0</v>
      </c>
      <c r="AN468" s="197">
        <f t="shared" si="253"/>
        <v>0</v>
      </c>
      <c r="AO468" s="202"/>
      <c r="AP468" s="161" t="s">
        <v>3900</v>
      </c>
      <c r="AQ468" s="279"/>
      <c r="AR468" s="287">
        <f t="shared" si="259"/>
        <v>0</v>
      </c>
      <c r="AS468" s="287">
        <f t="shared" si="260"/>
        <v>0</v>
      </c>
      <c r="AT468" s="287">
        <f t="shared" si="261"/>
        <v>0</v>
      </c>
      <c r="AU468" s="287">
        <f t="shared" si="262"/>
        <v>0</v>
      </c>
      <c r="AV468" s="287">
        <f t="shared" si="263"/>
        <v>0</v>
      </c>
      <c r="AW468" s="287">
        <f t="shared" si="264"/>
        <v>0</v>
      </c>
      <c r="AX468" s="287">
        <f t="shared" si="265"/>
        <v>0</v>
      </c>
      <c r="AY468" s="287">
        <f t="shared" si="266"/>
        <v>0</v>
      </c>
      <c r="AZ468" s="287">
        <f t="shared" si="267"/>
        <v>0</v>
      </c>
      <c r="BA468" s="287">
        <f t="shared" si="268"/>
        <v>0</v>
      </c>
      <c r="BB468" s="16"/>
      <c r="BC468" s="287">
        <f t="shared" si="269"/>
        <v>0</v>
      </c>
      <c r="BD468" s="287">
        <f t="shared" si="270"/>
        <v>0</v>
      </c>
      <c r="BE468" s="287">
        <f t="shared" si="271"/>
        <v>0</v>
      </c>
      <c r="BF468" s="287">
        <f t="shared" si="272"/>
        <v>0</v>
      </c>
      <c r="BG468" s="287">
        <f t="shared" si="273"/>
        <v>0</v>
      </c>
      <c r="BH468" s="287">
        <f t="shared" si="274"/>
        <v>0</v>
      </c>
      <c r="BI468" s="287">
        <f t="shared" si="275"/>
        <v>0</v>
      </c>
      <c r="BJ468" s="287">
        <f t="shared" si="276"/>
        <v>0</v>
      </c>
      <c r="BK468" s="287">
        <f t="shared" si="277"/>
        <v>0</v>
      </c>
      <c r="BL468" s="287">
        <f t="shared" si="278"/>
        <v>0</v>
      </c>
      <c r="BM468" s="16"/>
      <c r="BN468" s="287">
        <f t="shared" si="279"/>
        <v>0</v>
      </c>
      <c r="BO468" s="287">
        <f t="shared" si="280"/>
        <v>0</v>
      </c>
      <c r="BP468" s="432"/>
      <c r="BQ468" s="21"/>
      <c r="BR468" s="21"/>
      <c r="BS468" s="39"/>
      <c r="BT468" s="39"/>
      <c r="BU468" s="334">
        <v>47645.25</v>
      </c>
      <c r="BV468" s="334">
        <v>0</v>
      </c>
      <c r="BW468" s="39"/>
      <c r="BX468" s="39"/>
      <c r="BY468" s="39"/>
      <c r="BZ468" s="39">
        <v>455</v>
      </c>
      <c r="CA468" s="39" t="str">
        <f t="shared" si="281"/>
        <v/>
      </c>
      <c r="CB468" s="39"/>
      <c r="CC468" s="39"/>
      <c r="CD468" s="39"/>
      <c r="CE468" s="39"/>
      <c r="CF468" s="39"/>
      <c r="CG468" s="39"/>
      <c r="CH468" s="39"/>
      <c r="CI468" s="39"/>
      <c r="CJ468" s="39"/>
      <c r="CK468" s="39"/>
    </row>
    <row r="469" spans="1:89" s="193" customFormat="1">
      <c r="A469" s="195"/>
      <c r="B469" s="21" t="str">
        <f t="shared" si="255"/>
        <v>N/A</v>
      </c>
      <c r="C469" s="21"/>
      <c r="D469" s="432"/>
      <c r="E469" s="439" t="s">
        <v>3626</v>
      </c>
      <c r="F469" s="439"/>
      <c r="G469" s="273" t="s">
        <v>3138</v>
      </c>
      <c r="H469" s="358"/>
      <c r="I469" s="262" t="s">
        <v>3161</v>
      </c>
      <c r="J469" s="262"/>
      <c r="K469" s="263">
        <v>723572.72</v>
      </c>
      <c r="L469" s="263">
        <v>459807.46166742692</v>
      </c>
      <c r="M469" s="263">
        <v>426913.14027675823</v>
      </c>
      <c r="N469" s="263">
        <v>636877.35964173137</v>
      </c>
      <c r="O469" s="263">
        <v>901587.29625176033</v>
      </c>
      <c r="P469" s="263">
        <v>1433790.51</v>
      </c>
      <c r="Q469" s="263">
        <v>3588468.1948132953</v>
      </c>
      <c r="R469" s="263">
        <v>4768240.2448184323</v>
      </c>
      <c r="S469" s="263">
        <v>5969022.2820590399</v>
      </c>
      <c r="T469" s="263">
        <v>7544009.3729000809</v>
      </c>
      <c r="U469" s="263">
        <f t="shared" si="244"/>
        <v>26452288.582428526</v>
      </c>
      <c r="V469" s="196" t="str">
        <f t="shared" si="256"/>
        <v>R</v>
      </c>
      <c r="W469" s="196" t="s">
        <v>1168</v>
      </c>
      <c r="X469" s="196" t="str">
        <f t="shared" si="249"/>
        <v>N</v>
      </c>
      <c r="Y469" s="197">
        <f t="shared" si="254"/>
        <v>0</v>
      </c>
      <c r="Z469" s="198"/>
      <c r="AA469" s="197">
        <f t="shared" si="257"/>
        <v>0</v>
      </c>
      <c r="AB469" s="196"/>
      <c r="AC469" s="196"/>
      <c r="AD469" s="275">
        <v>0</v>
      </c>
      <c r="AE469" s="275">
        <v>0</v>
      </c>
      <c r="AF469" s="275">
        <v>1</v>
      </c>
      <c r="AG469" s="199"/>
      <c r="AH469" s="199"/>
      <c r="AI469" s="377">
        <f t="shared" si="258"/>
        <v>0</v>
      </c>
      <c r="AJ469" s="203"/>
      <c r="AK469" s="203"/>
      <c r="AL469" s="197">
        <f t="shared" si="251"/>
        <v>0</v>
      </c>
      <c r="AM469" s="197">
        <f t="shared" si="252"/>
        <v>0</v>
      </c>
      <c r="AN469" s="197">
        <f t="shared" si="253"/>
        <v>0</v>
      </c>
      <c r="AO469" s="202"/>
      <c r="AP469" s="161" t="s">
        <v>3900</v>
      </c>
      <c r="AQ469" s="279"/>
      <c r="AR469" s="287">
        <f t="shared" si="259"/>
        <v>0</v>
      </c>
      <c r="AS469" s="287">
        <f t="shared" si="260"/>
        <v>0</v>
      </c>
      <c r="AT469" s="287">
        <f t="shared" si="261"/>
        <v>0</v>
      </c>
      <c r="AU469" s="287">
        <f t="shared" si="262"/>
        <v>0</v>
      </c>
      <c r="AV469" s="287">
        <f t="shared" si="263"/>
        <v>0</v>
      </c>
      <c r="AW469" s="287">
        <f t="shared" si="264"/>
        <v>0</v>
      </c>
      <c r="AX469" s="287">
        <f t="shared" si="265"/>
        <v>0</v>
      </c>
      <c r="AY469" s="287">
        <f t="shared" si="266"/>
        <v>0</v>
      </c>
      <c r="AZ469" s="287">
        <f t="shared" si="267"/>
        <v>0</v>
      </c>
      <c r="BA469" s="287">
        <f t="shared" si="268"/>
        <v>0</v>
      </c>
      <c r="BB469" s="16"/>
      <c r="BC469" s="287">
        <f t="shared" si="269"/>
        <v>0</v>
      </c>
      <c r="BD469" s="287">
        <f t="shared" si="270"/>
        <v>0</v>
      </c>
      <c r="BE469" s="287">
        <f t="shared" si="271"/>
        <v>0</v>
      </c>
      <c r="BF469" s="287">
        <f t="shared" si="272"/>
        <v>0</v>
      </c>
      <c r="BG469" s="287">
        <f t="shared" si="273"/>
        <v>0</v>
      </c>
      <c r="BH469" s="287">
        <f t="shared" si="274"/>
        <v>0</v>
      </c>
      <c r="BI469" s="287">
        <f t="shared" si="275"/>
        <v>0</v>
      </c>
      <c r="BJ469" s="287">
        <f t="shared" si="276"/>
        <v>0</v>
      </c>
      <c r="BK469" s="287">
        <f t="shared" si="277"/>
        <v>0</v>
      </c>
      <c r="BL469" s="287">
        <f t="shared" si="278"/>
        <v>0</v>
      </c>
      <c r="BM469" s="16"/>
      <c r="BN469" s="287">
        <f t="shared" si="279"/>
        <v>0</v>
      </c>
      <c r="BO469" s="287">
        <f t="shared" si="280"/>
        <v>0</v>
      </c>
      <c r="BP469" s="432"/>
      <c r="BQ469" s="21"/>
      <c r="BR469" s="21"/>
      <c r="BS469" s="39"/>
      <c r="BT469" s="39"/>
      <c r="BU469" s="334">
        <v>80000</v>
      </c>
      <c r="BV469" s="334">
        <v>0</v>
      </c>
      <c r="BW469" s="39"/>
      <c r="BX469" s="39"/>
      <c r="BY469" s="39"/>
      <c r="BZ469" s="39">
        <v>456</v>
      </c>
      <c r="CA469" s="39" t="str">
        <f t="shared" si="281"/>
        <v/>
      </c>
      <c r="CB469" s="39"/>
      <c r="CC469" s="39"/>
      <c r="CD469" s="39"/>
      <c r="CE469" s="39"/>
      <c r="CF469" s="39"/>
      <c r="CG469" s="39"/>
      <c r="CH469" s="39"/>
      <c r="CI469" s="39"/>
      <c r="CJ469" s="39"/>
      <c r="CK469" s="39"/>
    </row>
    <row r="470" spans="1:89" s="193" customFormat="1">
      <c r="A470" s="195"/>
      <c r="B470" s="21" t="str">
        <f t="shared" si="255"/>
        <v>N/A</v>
      </c>
      <c r="C470" s="21"/>
      <c r="D470" s="432"/>
      <c r="E470" s="439" t="s">
        <v>3626</v>
      </c>
      <c r="F470" s="439"/>
      <c r="G470" s="273" t="s">
        <v>3139</v>
      </c>
      <c r="H470" s="358"/>
      <c r="I470" s="262" t="s">
        <v>3161</v>
      </c>
      <c r="J470" s="262"/>
      <c r="K470" s="263">
        <v>1474683.34</v>
      </c>
      <c r="L470" s="263">
        <v>1475485.5295950293</v>
      </c>
      <c r="M470" s="263">
        <v>2272748.6190566225</v>
      </c>
      <c r="N470" s="263">
        <v>2450309.7750038039</v>
      </c>
      <c r="O470" s="263">
        <v>2732809.5836401917</v>
      </c>
      <c r="P470" s="263">
        <v>2894413.49</v>
      </c>
      <c r="Q470" s="263">
        <v>3001022.881944865</v>
      </c>
      <c r="R470" s="263">
        <v>2814462.4224865367</v>
      </c>
      <c r="S470" s="263">
        <v>3603421.6279769787</v>
      </c>
      <c r="T470" s="263">
        <v>4655559.5794523722</v>
      </c>
      <c r="U470" s="263">
        <f t="shared" si="244"/>
        <v>27374916.849156402</v>
      </c>
      <c r="V470" s="196" t="str">
        <f t="shared" si="256"/>
        <v>R</v>
      </c>
      <c r="W470" s="196" t="s">
        <v>1168</v>
      </c>
      <c r="X470" s="196" t="str">
        <f t="shared" si="249"/>
        <v>N</v>
      </c>
      <c r="Y470" s="197">
        <f t="shared" si="254"/>
        <v>0</v>
      </c>
      <c r="Z470" s="198"/>
      <c r="AA470" s="197">
        <f t="shared" si="257"/>
        <v>0</v>
      </c>
      <c r="AB470" s="196"/>
      <c r="AC470" s="196"/>
      <c r="AD470" s="275">
        <v>0</v>
      </c>
      <c r="AE470" s="275">
        <v>0</v>
      </c>
      <c r="AF470" s="275">
        <v>1</v>
      </c>
      <c r="AG470" s="199"/>
      <c r="AH470" s="199"/>
      <c r="AI470" s="377">
        <f t="shared" si="258"/>
        <v>0</v>
      </c>
      <c r="AJ470" s="203"/>
      <c r="AK470" s="203"/>
      <c r="AL470" s="197">
        <f t="shared" si="251"/>
        <v>0</v>
      </c>
      <c r="AM470" s="197">
        <f t="shared" si="252"/>
        <v>0</v>
      </c>
      <c r="AN470" s="197">
        <f t="shared" si="253"/>
        <v>0</v>
      </c>
      <c r="AO470" s="202"/>
      <c r="AP470" s="161" t="s">
        <v>3900</v>
      </c>
      <c r="AQ470" s="279"/>
      <c r="AR470" s="287">
        <f t="shared" si="259"/>
        <v>0</v>
      </c>
      <c r="AS470" s="287">
        <f t="shared" si="260"/>
        <v>0</v>
      </c>
      <c r="AT470" s="287">
        <f t="shared" si="261"/>
        <v>0</v>
      </c>
      <c r="AU470" s="287">
        <f t="shared" si="262"/>
        <v>0</v>
      </c>
      <c r="AV470" s="287">
        <f t="shared" si="263"/>
        <v>0</v>
      </c>
      <c r="AW470" s="287">
        <f t="shared" si="264"/>
        <v>0</v>
      </c>
      <c r="AX470" s="287">
        <f t="shared" si="265"/>
        <v>0</v>
      </c>
      <c r="AY470" s="287">
        <f t="shared" si="266"/>
        <v>0</v>
      </c>
      <c r="AZ470" s="287">
        <f t="shared" si="267"/>
        <v>0</v>
      </c>
      <c r="BA470" s="287">
        <f t="shared" si="268"/>
        <v>0</v>
      </c>
      <c r="BB470" s="16"/>
      <c r="BC470" s="287">
        <f t="shared" si="269"/>
        <v>0</v>
      </c>
      <c r="BD470" s="287">
        <f t="shared" si="270"/>
        <v>0</v>
      </c>
      <c r="BE470" s="287">
        <f t="shared" si="271"/>
        <v>0</v>
      </c>
      <c r="BF470" s="287">
        <f t="shared" si="272"/>
        <v>0</v>
      </c>
      <c r="BG470" s="287">
        <f t="shared" si="273"/>
        <v>0</v>
      </c>
      <c r="BH470" s="287">
        <f t="shared" si="274"/>
        <v>0</v>
      </c>
      <c r="BI470" s="287">
        <f t="shared" si="275"/>
        <v>0</v>
      </c>
      <c r="BJ470" s="287">
        <f t="shared" si="276"/>
        <v>0</v>
      </c>
      <c r="BK470" s="287">
        <f t="shared" si="277"/>
        <v>0</v>
      </c>
      <c r="BL470" s="287">
        <f t="shared" si="278"/>
        <v>0</v>
      </c>
      <c r="BM470" s="16"/>
      <c r="BN470" s="287">
        <f t="shared" si="279"/>
        <v>0</v>
      </c>
      <c r="BO470" s="287">
        <f t="shared" si="280"/>
        <v>0</v>
      </c>
      <c r="BP470" s="432"/>
      <c r="BQ470" s="21"/>
      <c r="BR470" s="21"/>
      <c r="BS470" s="39"/>
      <c r="BT470" s="39"/>
      <c r="BU470" s="334">
        <v>1332000</v>
      </c>
      <c r="BV470" s="334">
        <v>0</v>
      </c>
      <c r="BW470" s="39"/>
      <c r="BX470" s="39"/>
      <c r="BY470" s="39"/>
      <c r="BZ470" s="39">
        <v>457</v>
      </c>
      <c r="CA470" s="39" t="str">
        <f t="shared" si="281"/>
        <v/>
      </c>
      <c r="CB470" s="39"/>
      <c r="CC470" s="39"/>
      <c r="CD470" s="39"/>
      <c r="CE470" s="39"/>
      <c r="CF470" s="39"/>
      <c r="CG470" s="39"/>
      <c r="CH470" s="39"/>
      <c r="CI470" s="39"/>
      <c r="CJ470" s="39"/>
      <c r="CK470" s="39"/>
    </row>
    <row r="471" spans="1:89" s="193" customFormat="1">
      <c r="A471" s="195"/>
      <c r="B471" s="21" t="str">
        <f t="shared" si="255"/>
        <v>N/A</v>
      </c>
      <c r="C471" s="21"/>
      <c r="D471" s="432"/>
      <c r="E471" s="439" t="s">
        <v>3626</v>
      </c>
      <c r="F471" s="439"/>
      <c r="G471" s="273" t="s">
        <v>3140</v>
      </c>
      <c r="H471" s="358"/>
      <c r="I471" s="262" t="s">
        <v>3161</v>
      </c>
      <c r="J471" s="262"/>
      <c r="K471" s="263">
        <v>42859.24</v>
      </c>
      <c r="L471" s="263">
        <v>40905.011369955115</v>
      </c>
      <c r="M471" s="263">
        <v>42108.572957302145</v>
      </c>
      <c r="N471" s="263">
        <v>43253.587154185931</v>
      </c>
      <c r="O471" s="263">
        <v>44416.109520005994</v>
      </c>
      <c r="P471" s="263">
        <v>57312.99</v>
      </c>
      <c r="Q471" s="263">
        <v>64339.643340868322</v>
      </c>
      <c r="R471" s="263">
        <v>69887.203525662699</v>
      </c>
      <c r="S471" s="263">
        <v>73266.384298171572</v>
      </c>
      <c r="T471" s="263">
        <v>79059.799369489716</v>
      </c>
      <c r="U471" s="263">
        <f t="shared" si="244"/>
        <v>557408.54153564153</v>
      </c>
      <c r="V471" s="196" t="str">
        <f t="shared" si="256"/>
        <v>R</v>
      </c>
      <c r="W471" s="196" t="s">
        <v>1168</v>
      </c>
      <c r="X471" s="196" t="str">
        <f t="shared" si="249"/>
        <v>N</v>
      </c>
      <c r="Y471" s="197">
        <f t="shared" si="254"/>
        <v>0</v>
      </c>
      <c r="Z471" s="198"/>
      <c r="AA471" s="197">
        <f t="shared" si="257"/>
        <v>0</v>
      </c>
      <c r="AB471" s="196"/>
      <c r="AC471" s="196"/>
      <c r="AD471" s="275">
        <v>0</v>
      </c>
      <c r="AE471" s="275">
        <v>0</v>
      </c>
      <c r="AF471" s="275">
        <v>1</v>
      </c>
      <c r="AG471" s="199"/>
      <c r="AH471" s="199"/>
      <c r="AI471" s="377">
        <f t="shared" si="258"/>
        <v>0</v>
      </c>
      <c r="AJ471" s="203"/>
      <c r="AK471" s="203"/>
      <c r="AL471" s="197">
        <f t="shared" si="251"/>
        <v>0</v>
      </c>
      <c r="AM471" s="197">
        <f t="shared" si="252"/>
        <v>0</v>
      </c>
      <c r="AN471" s="197">
        <f t="shared" si="253"/>
        <v>0</v>
      </c>
      <c r="AO471" s="202"/>
      <c r="AP471" s="161" t="s">
        <v>3900</v>
      </c>
      <c r="AQ471" s="279"/>
      <c r="AR471" s="287">
        <f t="shared" si="259"/>
        <v>0</v>
      </c>
      <c r="AS471" s="287">
        <f t="shared" si="260"/>
        <v>0</v>
      </c>
      <c r="AT471" s="287">
        <f t="shared" si="261"/>
        <v>0</v>
      </c>
      <c r="AU471" s="287">
        <f t="shared" si="262"/>
        <v>0</v>
      </c>
      <c r="AV471" s="287">
        <f t="shared" si="263"/>
        <v>0</v>
      </c>
      <c r="AW471" s="287">
        <f t="shared" si="264"/>
        <v>0</v>
      </c>
      <c r="AX471" s="287">
        <f t="shared" si="265"/>
        <v>0</v>
      </c>
      <c r="AY471" s="287">
        <f t="shared" si="266"/>
        <v>0</v>
      </c>
      <c r="AZ471" s="287">
        <f t="shared" si="267"/>
        <v>0</v>
      </c>
      <c r="BA471" s="287">
        <f t="shared" si="268"/>
        <v>0</v>
      </c>
      <c r="BB471" s="16"/>
      <c r="BC471" s="287">
        <f t="shared" si="269"/>
        <v>0</v>
      </c>
      <c r="BD471" s="287">
        <f t="shared" si="270"/>
        <v>0</v>
      </c>
      <c r="BE471" s="287">
        <f t="shared" si="271"/>
        <v>0</v>
      </c>
      <c r="BF471" s="287">
        <f t="shared" si="272"/>
        <v>0</v>
      </c>
      <c r="BG471" s="287">
        <f t="shared" si="273"/>
        <v>0</v>
      </c>
      <c r="BH471" s="287">
        <f t="shared" si="274"/>
        <v>0</v>
      </c>
      <c r="BI471" s="287">
        <f t="shared" si="275"/>
        <v>0</v>
      </c>
      <c r="BJ471" s="287">
        <f t="shared" si="276"/>
        <v>0</v>
      </c>
      <c r="BK471" s="287">
        <f t="shared" si="277"/>
        <v>0</v>
      </c>
      <c r="BL471" s="287">
        <f t="shared" si="278"/>
        <v>0</v>
      </c>
      <c r="BM471" s="16"/>
      <c r="BN471" s="287">
        <f t="shared" si="279"/>
        <v>0</v>
      </c>
      <c r="BO471" s="287">
        <f t="shared" si="280"/>
        <v>0</v>
      </c>
      <c r="BP471" s="432"/>
      <c r="BQ471" s="21"/>
      <c r="BR471" s="21"/>
      <c r="BS471" s="39"/>
      <c r="BT471" s="39"/>
      <c r="BU471" s="334">
        <v>1562500</v>
      </c>
      <c r="BV471" s="334">
        <v>0</v>
      </c>
      <c r="BW471" s="39"/>
      <c r="BX471" s="39"/>
      <c r="BY471" s="39"/>
      <c r="BZ471" s="39">
        <v>458</v>
      </c>
      <c r="CA471" s="39" t="str">
        <f t="shared" si="281"/>
        <v/>
      </c>
      <c r="CB471" s="39"/>
      <c r="CC471" s="39"/>
      <c r="CD471" s="39"/>
      <c r="CE471" s="39"/>
      <c r="CF471" s="39"/>
      <c r="CG471" s="39"/>
      <c r="CH471" s="39"/>
      <c r="CI471" s="39"/>
      <c r="CJ471" s="39"/>
      <c r="CK471" s="39"/>
    </row>
    <row r="472" spans="1:89" s="193" customFormat="1">
      <c r="A472" s="195"/>
      <c r="B472" s="21" t="str">
        <f t="shared" si="255"/>
        <v>N/A</v>
      </c>
      <c r="C472" s="21"/>
      <c r="D472" s="432"/>
      <c r="E472" s="439" t="s">
        <v>3626</v>
      </c>
      <c r="F472" s="439" t="s">
        <v>4002</v>
      </c>
      <c r="G472" s="273" t="s">
        <v>4001</v>
      </c>
      <c r="H472" s="358"/>
      <c r="I472" s="262" t="s">
        <v>3491</v>
      </c>
      <c r="J472" s="262" t="s">
        <v>4200</v>
      </c>
      <c r="K472" s="263">
        <v>7815000</v>
      </c>
      <c r="L472" s="263">
        <v>22284666.669999994</v>
      </c>
      <c r="M472" s="263">
        <v>12240666.67</v>
      </c>
      <c r="N472" s="263">
        <v>0</v>
      </c>
      <c r="O472" s="263">
        <v>0</v>
      </c>
      <c r="P472" s="263">
        <v>0</v>
      </c>
      <c r="Q472" s="263">
        <v>0</v>
      </c>
      <c r="R472" s="263">
        <v>0</v>
      </c>
      <c r="S472" s="263">
        <v>0</v>
      </c>
      <c r="T472" s="263">
        <v>0</v>
      </c>
      <c r="U472" s="263">
        <f t="shared" si="244"/>
        <v>42340333.339999996</v>
      </c>
      <c r="V472" s="196" t="str">
        <f t="shared" si="256"/>
        <v>LOS/R</v>
      </c>
      <c r="W472" s="196" t="s">
        <v>1168</v>
      </c>
      <c r="X472" s="196" t="str">
        <f t="shared" si="249"/>
        <v>N</v>
      </c>
      <c r="Y472" s="197">
        <f>SUM(K472:T472)</f>
        <v>42340333.339999996</v>
      </c>
      <c r="Z472" s="198"/>
      <c r="AA472" s="197">
        <f t="shared" si="257"/>
        <v>42340333.339999996</v>
      </c>
      <c r="AB472" s="196"/>
      <c r="AC472" s="196"/>
      <c r="AD472" s="275">
        <v>0</v>
      </c>
      <c r="AE472" s="275">
        <v>0.9</v>
      </c>
      <c r="AF472" s="275">
        <v>0.1</v>
      </c>
      <c r="AG472" s="442"/>
      <c r="AH472" s="442"/>
      <c r="AI472" s="200">
        <f t="shared" si="258"/>
        <v>0</v>
      </c>
      <c r="AJ472" s="203"/>
      <c r="AK472" s="203"/>
      <c r="AL472" s="197">
        <f t="shared" si="251"/>
        <v>42340333.339999996</v>
      </c>
      <c r="AM472" s="197">
        <f t="shared" si="252"/>
        <v>0</v>
      </c>
      <c r="AN472" s="197">
        <f t="shared" si="253"/>
        <v>0</v>
      </c>
      <c r="AO472" s="202"/>
      <c r="AP472" s="161" t="s">
        <v>3900</v>
      </c>
      <c r="AQ472" s="279"/>
      <c r="AR472" s="287">
        <f t="shared" si="259"/>
        <v>0</v>
      </c>
      <c r="AS472" s="287">
        <f t="shared" si="260"/>
        <v>0</v>
      </c>
      <c r="AT472" s="287">
        <f t="shared" si="261"/>
        <v>0</v>
      </c>
      <c r="AU472" s="287">
        <f t="shared" si="262"/>
        <v>0</v>
      </c>
      <c r="AV472" s="287">
        <f t="shared" si="263"/>
        <v>0</v>
      </c>
      <c r="AW472" s="287">
        <f t="shared" si="264"/>
        <v>0</v>
      </c>
      <c r="AX472" s="287">
        <f t="shared" si="265"/>
        <v>0</v>
      </c>
      <c r="AY472" s="287">
        <f t="shared" si="266"/>
        <v>0</v>
      </c>
      <c r="AZ472" s="287">
        <f t="shared" si="267"/>
        <v>0</v>
      </c>
      <c r="BA472" s="287">
        <f t="shared" si="268"/>
        <v>0</v>
      </c>
      <c r="BB472" s="16"/>
      <c r="BC472" s="287">
        <f t="shared" si="269"/>
        <v>0</v>
      </c>
      <c r="BD472" s="287">
        <f t="shared" si="270"/>
        <v>0</v>
      </c>
      <c r="BE472" s="287">
        <f t="shared" si="271"/>
        <v>0</v>
      </c>
      <c r="BF472" s="287">
        <f t="shared" si="272"/>
        <v>0</v>
      </c>
      <c r="BG472" s="287">
        <f t="shared" si="273"/>
        <v>0</v>
      </c>
      <c r="BH472" s="287">
        <f t="shared" si="274"/>
        <v>0</v>
      </c>
      <c r="BI472" s="287">
        <f t="shared" si="275"/>
        <v>0</v>
      </c>
      <c r="BJ472" s="287">
        <f t="shared" si="276"/>
        <v>0</v>
      </c>
      <c r="BK472" s="287">
        <f t="shared" si="277"/>
        <v>0</v>
      </c>
      <c r="BL472" s="287">
        <f t="shared" si="278"/>
        <v>0</v>
      </c>
      <c r="BM472" s="16"/>
      <c r="BN472" s="287">
        <f t="shared" si="279"/>
        <v>0</v>
      </c>
      <c r="BO472" s="287">
        <f t="shared" si="280"/>
        <v>0</v>
      </c>
      <c r="BP472" s="432"/>
      <c r="BQ472" s="21"/>
      <c r="BR472" s="21"/>
      <c r="BS472" s="39"/>
      <c r="BT472" s="39"/>
      <c r="BU472" s="39"/>
      <c r="BV472" s="39"/>
      <c r="BW472" s="39"/>
      <c r="BX472" s="39"/>
      <c r="BY472" s="39"/>
      <c r="BZ472" s="39">
        <v>459</v>
      </c>
      <c r="CA472" s="39" t="str">
        <f t="shared" si="281"/>
        <v/>
      </c>
      <c r="CB472" s="39"/>
      <c r="CC472" s="39"/>
      <c r="CD472" s="39"/>
      <c r="CE472" s="39"/>
      <c r="CF472" s="39"/>
      <c r="CG472" s="39"/>
      <c r="CH472" s="39"/>
      <c r="CI472" s="39"/>
      <c r="CJ472" s="39"/>
      <c r="CK472" s="39"/>
    </row>
    <row r="473" spans="1:89" s="193" customFormat="1">
      <c r="A473" s="195"/>
      <c r="B473" s="21" t="str">
        <f t="shared" si="255"/>
        <v>N/A</v>
      </c>
      <c r="C473" s="21"/>
      <c r="D473" s="432"/>
      <c r="E473" s="439" t="s">
        <v>3626</v>
      </c>
      <c r="F473" s="439"/>
      <c r="G473" s="273" t="s">
        <v>3141</v>
      </c>
      <c r="H473" s="358"/>
      <c r="I473" s="262" t="s">
        <v>3157</v>
      </c>
      <c r="J473" s="262"/>
      <c r="K473" s="263">
        <v>1438924.24</v>
      </c>
      <c r="L473" s="263">
        <v>2038471.0980029022</v>
      </c>
      <c r="M473" s="263">
        <v>5411974.0250919294</v>
      </c>
      <c r="N473" s="263">
        <v>9734703.6412649434</v>
      </c>
      <c r="O473" s="263">
        <v>12965716.755949451</v>
      </c>
      <c r="P473" s="263">
        <v>18233416.870000001</v>
      </c>
      <c r="Q473" s="263">
        <v>23103046.619761381</v>
      </c>
      <c r="R473" s="263">
        <v>26136085.413384769</v>
      </c>
      <c r="S473" s="263">
        <v>26436109.65569197</v>
      </c>
      <c r="T473" s="263">
        <v>25968846.86652622</v>
      </c>
      <c r="U473" s="263">
        <f t="shared" si="244"/>
        <v>151467295.18567356</v>
      </c>
      <c r="V473" s="196" t="str">
        <f t="shared" si="256"/>
        <v>R</v>
      </c>
      <c r="W473" s="196" t="s">
        <v>1168</v>
      </c>
      <c r="X473" s="196" t="str">
        <f t="shared" si="249"/>
        <v>N</v>
      </c>
      <c r="Y473" s="197">
        <f>IF(X473="N",0,SUM(K473:T473))</f>
        <v>0</v>
      </c>
      <c r="Z473" s="198"/>
      <c r="AA473" s="197">
        <f t="shared" si="257"/>
        <v>0</v>
      </c>
      <c r="AB473" s="196"/>
      <c r="AC473" s="196"/>
      <c r="AD473" s="275">
        <v>0</v>
      </c>
      <c r="AE473" s="275">
        <v>0</v>
      </c>
      <c r="AF473" s="275">
        <v>1</v>
      </c>
      <c r="AG473" s="199"/>
      <c r="AH473" s="199"/>
      <c r="AI473" s="377">
        <f t="shared" si="258"/>
        <v>0</v>
      </c>
      <c r="AJ473" s="203"/>
      <c r="AK473" s="203"/>
      <c r="AL473" s="197">
        <f t="shared" si="251"/>
        <v>0</v>
      </c>
      <c r="AM473" s="197">
        <f t="shared" si="252"/>
        <v>0</v>
      </c>
      <c r="AN473" s="197">
        <f t="shared" si="253"/>
        <v>0</v>
      </c>
      <c r="AO473" s="202"/>
      <c r="AP473" s="161" t="s">
        <v>3900</v>
      </c>
      <c r="AQ473" s="279"/>
      <c r="AR473" s="287">
        <f t="shared" si="259"/>
        <v>0</v>
      </c>
      <c r="AS473" s="287">
        <f t="shared" si="260"/>
        <v>0</v>
      </c>
      <c r="AT473" s="287">
        <f t="shared" si="261"/>
        <v>0</v>
      </c>
      <c r="AU473" s="287">
        <f t="shared" si="262"/>
        <v>0</v>
      </c>
      <c r="AV473" s="287">
        <f t="shared" si="263"/>
        <v>0</v>
      </c>
      <c r="AW473" s="287">
        <f t="shared" si="264"/>
        <v>0</v>
      </c>
      <c r="AX473" s="287">
        <f t="shared" si="265"/>
        <v>0</v>
      </c>
      <c r="AY473" s="287">
        <f t="shared" si="266"/>
        <v>0</v>
      </c>
      <c r="AZ473" s="287">
        <f t="shared" si="267"/>
        <v>0</v>
      </c>
      <c r="BA473" s="287">
        <f t="shared" si="268"/>
        <v>0</v>
      </c>
      <c r="BB473" s="16"/>
      <c r="BC473" s="287">
        <f t="shared" si="269"/>
        <v>0</v>
      </c>
      <c r="BD473" s="287">
        <f t="shared" si="270"/>
        <v>0</v>
      </c>
      <c r="BE473" s="287">
        <f t="shared" si="271"/>
        <v>0</v>
      </c>
      <c r="BF473" s="287">
        <f t="shared" si="272"/>
        <v>0</v>
      </c>
      <c r="BG473" s="287">
        <f t="shared" si="273"/>
        <v>0</v>
      </c>
      <c r="BH473" s="287">
        <f t="shared" si="274"/>
        <v>0</v>
      </c>
      <c r="BI473" s="287">
        <f t="shared" si="275"/>
        <v>0</v>
      </c>
      <c r="BJ473" s="287">
        <f t="shared" si="276"/>
        <v>0</v>
      </c>
      <c r="BK473" s="287">
        <f t="shared" si="277"/>
        <v>0</v>
      </c>
      <c r="BL473" s="287">
        <f t="shared" si="278"/>
        <v>0</v>
      </c>
      <c r="BM473" s="16"/>
      <c r="BN473" s="287">
        <f t="shared" si="279"/>
        <v>0</v>
      </c>
      <c r="BO473" s="287">
        <f t="shared" si="280"/>
        <v>0</v>
      </c>
      <c r="BP473" s="432"/>
      <c r="BQ473" s="21"/>
      <c r="BR473" s="21"/>
      <c r="BS473" s="39"/>
      <c r="BT473" s="39"/>
      <c r="BU473" s="334">
        <v>2254281.5</v>
      </c>
      <c r="BV473" s="334">
        <v>0</v>
      </c>
      <c r="BW473" s="39"/>
      <c r="BX473" s="39"/>
      <c r="BY473" s="39"/>
      <c r="BZ473" s="39">
        <v>460</v>
      </c>
      <c r="CA473" s="39" t="str">
        <f t="shared" si="281"/>
        <v/>
      </c>
      <c r="CB473" s="39"/>
      <c r="CC473" s="39"/>
      <c r="CD473" s="39"/>
      <c r="CE473" s="39"/>
      <c r="CF473" s="39"/>
      <c r="CG473" s="39"/>
      <c r="CH473" s="39"/>
      <c r="CI473" s="39"/>
      <c r="CJ473" s="39"/>
      <c r="CK473" s="39"/>
    </row>
    <row r="474" spans="1:89" s="193" customFormat="1">
      <c r="A474" s="195"/>
      <c r="B474" s="21" t="str">
        <f t="shared" si="255"/>
        <v>N/A</v>
      </c>
      <c r="C474" s="21"/>
      <c r="D474" s="432"/>
      <c r="E474" s="439" t="s">
        <v>3626</v>
      </c>
      <c r="F474" s="439"/>
      <c r="G474" s="273" t="s">
        <v>3634</v>
      </c>
      <c r="H474" s="358"/>
      <c r="I474" s="262" t="s">
        <v>3161</v>
      </c>
      <c r="J474" s="262"/>
      <c r="K474" s="263">
        <v>5548608</v>
      </c>
      <c r="L474" s="263">
        <v>5453171.3599999994</v>
      </c>
      <c r="M474" s="263">
        <v>8080970.0595999993</v>
      </c>
      <c r="N474" s="263">
        <v>7942848.4659479996</v>
      </c>
      <c r="O474" s="263">
        <v>8015307.323059679</v>
      </c>
      <c r="P474" s="263">
        <v>10705647.699798971</v>
      </c>
      <c r="Q474" s="263">
        <v>8222262.5348953838</v>
      </c>
      <c r="R474" s="263">
        <v>2384164.0221795575</v>
      </c>
      <c r="S474" s="263">
        <v>1320894.6064117507</v>
      </c>
      <c r="T474" s="263">
        <v>556460.92810665665</v>
      </c>
      <c r="U474" s="263">
        <f t="shared" si="244"/>
        <v>58230335</v>
      </c>
      <c r="V474" s="196" t="str">
        <f t="shared" si="256"/>
        <v>LOS/R</v>
      </c>
      <c r="W474" s="196" t="s">
        <v>1168</v>
      </c>
      <c r="X474" s="196" t="str">
        <f t="shared" si="249"/>
        <v>N</v>
      </c>
      <c r="Y474" s="197">
        <f>IF(X474="N",0,SUM(K474:T474))</f>
        <v>0</v>
      </c>
      <c r="Z474" s="198"/>
      <c r="AA474" s="197">
        <f t="shared" si="257"/>
        <v>0</v>
      </c>
      <c r="AB474" s="196"/>
      <c r="AC474" s="196"/>
      <c r="AD474" s="275">
        <v>0</v>
      </c>
      <c r="AE474" s="275">
        <v>0.22324834771144039</v>
      </c>
      <c r="AF474" s="275">
        <v>0.77675165228855958</v>
      </c>
      <c r="AG474" s="199"/>
      <c r="AH474" s="199"/>
      <c r="AI474" s="377">
        <f t="shared" si="258"/>
        <v>0</v>
      </c>
      <c r="AJ474" s="203"/>
      <c r="AK474" s="203"/>
      <c r="AL474" s="197">
        <f t="shared" si="251"/>
        <v>0</v>
      </c>
      <c r="AM474" s="197">
        <f t="shared" si="252"/>
        <v>0</v>
      </c>
      <c r="AN474" s="197">
        <f t="shared" si="253"/>
        <v>0</v>
      </c>
      <c r="AO474" s="202"/>
      <c r="AP474" s="161" t="s">
        <v>3900</v>
      </c>
      <c r="AQ474" s="279"/>
      <c r="AR474" s="287">
        <f t="shared" si="259"/>
        <v>0</v>
      </c>
      <c r="AS474" s="287">
        <f t="shared" si="260"/>
        <v>0</v>
      </c>
      <c r="AT474" s="287">
        <f t="shared" si="261"/>
        <v>0</v>
      </c>
      <c r="AU474" s="287">
        <f t="shared" si="262"/>
        <v>0</v>
      </c>
      <c r="AV474" s="287">
        <f t="shared" si="263"/>
        <v>0</v>
      </c>
      <c r="AW474" s="287">
        <f t="shared" si="264"/>
        <v>0</v>
      </c>
      <c r="AX474" s="287">
        <f t="shared" si="265"/>
        <v>0</v>
      </c>
      <c r="AY474" s="287">
        <f t="shared" si="266"/>
        <v>0</v>
      </c>
      <c r="AZ474" s="287">
        <f t="shared" si="267"/>
        <v>0</v>
      </c>
      <c r="BA474" s="287">
        <f t="shared" si="268"/>
        <v>0</v>
      </c>
      <c r="BB474" s="16"/>
      <c r="BC474" s="287">
        <f t="shared" si="269"/>
        <v>0</v>
      </c>
      <c r="BD474" s="287">
        <f t="shared" si="270"/>
        <v>0</v>
      </c>
      <c r="BE474" s="287">
        <f t="shared" si="271"/>
        <v>0</v>
      </c>
      <c r="BF474" s="287">
        <f t="shared" si="272"/>
        <v>0</v>
      </c>
      <c r="BG474" s="287">
        <f t="shared" si="273"/>
        <v>0</v>
      </c>
      <c r="BH474" s="287">
        <f t="shared" si="274"/>
        <v>0</v>
      </c>
      <c r="BI474" s="287">
        <f t="shared" si="275"/>
        <v>0</v>
      </c>
      <c r="BJ474" s="287">
        <f t="shared" si="276"/>
        <v>0</v>
      </c>
      <c r="BK474" s="287">
        <f t="shared" si="277"/>
        <v>0</v>
      </c>
      <c r="BL474" s="287">
        <f t="shared" si="278"/>
        <v>0</v>
      </c>
      <c r="BM474" s="16"/>
      <c r="BN474" s="287">
        <f t="shared" si="279"/>
        <v>0</v>
      </c>
      <c r="BO474" s="287">
        <f t="shared" si="280"/>
        <v>0</v>
      </c>
      <c r="BP474" s="432"/>
      <c r="BQ474" s="21"/>
      <c r="BR474" s="21"/>
      <c r="BS474" s="39"/>
      <c r="BT474" s="39"/>
      <c r="BU474" s="334">
        <v>1030819.375</v>
      </c>
      <c r="BV474" s="334">
        <v>0</v>
      </c>
      <c r="BW474" s="39"/>
      <c r="BX474" s="39"/>
      <c r="BY474" s="39"/>
      <c r="BZ474" s="39">
        <v>461</v>
      </c>
      <c r="CA474" s="39" t="str">
        <f t="shared" si="281"/>
        <v/>
      </c>
      <c r="CB474" s="39"/>
      <c r="CC474" s="39"/>
      <c r="CD474" s="39"/>
      <c r="CE474" s="39"/>
      <c r="CF474" s="39"/>
      <c r="CG474" s="39"/>
      <c r="CH474" s="39"/>
      <c r="CI474" s="39"/>
      <c r="CJ474" s="39"/>
      <c r="CK474" s="39"/>
    </row>
    <row r="475" spans="1:89" s="193" customFormat="1">
      <c r="A475" s="195"/>
      <c r="B475" s="21" t="str">
        <f t="shared" si="255"/>
        <v>N/A</v>
      </c>
      <c r="C475" s="21"/>
      <c r="D475" s="432"/>
      <c r="E475" s="439" t="s">
        <v>3626</v>
      </c>
      <c r="F475" s="439" t="s">
        <v>4021</v>
      </c>
      <c r="G475" s="273" t="s">
        <v>4020</v>
      </c>
      <c r="H475" s="358"/>
      <c r="I475" s="262" t="s">
        <v>3491</v>
      </c>
      <c r="J475" s="262" t="s">
        <v>4221</v>
      </c>
      <c r="K475" s="263">
        <v>2696000</v>
      </c>
      <c r="L475" s="263">
        <v>2398000</v>
      </c>
      <c r="M475" s="263">
        <v>0</v>
      </c>
      <c r="N475" s="263">
        <v>0</v>
      </c>
      <c r="O475" s="263">
        <v>0</v>
      </c>
      <c r="P475" s="263">
        <v>0</v>
      </c>
      <c r="Q475" s="263">
        <v>0</v>
      </c>
      <c r="R475" s="263">
        <v>0</v>
      </c>
      <c r="S475" s="263">
        <v>0</v>
      </c>
      <c r="T475" s="263">
        <v>0</v>
      </c>
      <c r="U475" s="263">
        <f t="shared" si="244"/>
        <v>5094000</v>
      </c>
      <c r="V475" s="196" t="str">
        <f t="shared" si="256"/>
        <v>LOS</v>
      </c>
      <c r="W475" s="196" t="s">
        <v>1168</v>
      </c>
      <c r="X475" s="196" t="str">
        <f t="shared" si="249"/>
        <v>N</v>
      </c>
      <c r="Y475" s="197">
        <f>SUM(K475:T475)</f>
        <v>5094000</v>
      </c>
      <c r="Z475" s="198"/>
      <c r="AA475" s="197">
        <f t="shared" si="257"/>
        <v>5094000</v>
      </c>
      <c r="AB475" s="196"/>
      <c r="AC475" s="196"/>
      <c r="AD475" s="275">
        <v>0</v>
      </c>
      <c r="AE475" s="275">
        <v>1</v>
      </c>
      <c r="AF475" s="275">
        <v>0</v>
      </c>
      <c r="AG475" s="442"/>
      <c r="AH475" s="442"/>
      <c r="AI475" s="200">
        <f t="shared" si="258"/>
        <v>0</v>
      </c>
      <c r="AJ475" s="203"/>
      <c r="AK475" s="203"/>
      <c r="AL475" s="197">
        <f t="shared" si="251"/>
        <v>5094000</v>
      </c>
      <c r="AM475" s="197">
        <f t="shared" si="252"/>
        <v>0</v>
      </c>
      <c r="AN475" s="197">
        <f t="shared" si="253"/>
        <v>0</v>
      </c>
      <c r="AO475" s="202"/>
      <c r="AP475" s="161" t="s">
        <v>3900</v>
      </c>
      <c r="AQ475" s="279"/>
      <c r="AR475" s="287">
        <f t="shared" si="259"/>
        <v>0</v>
      </c>
      <c r="AS475" s="287">
        <f t="shared" si="260"/>
        <v>0</v>
      </c>
      <c r="AT475" s="287">
        <f t="shared" si="261"/>
        <v>0</v>
      </c>
      <c r="AU475" s="287">
        <f t="shared" si="262"/>
        <v>0</v>
      </c>
      <c r="AV475" s="287">
        <f t="shared" si="263"/>
        <v>0</v>
      </c>
      <c r="AW475" s="287">
        <f t="shared" si="264"/>
        <v>0</v>
      </c>
      <c r="AX475" s="287">
        <f t="shared" si="265"/>
        <v>0</v>
      </c>
      <c r="AY475" s="287">
        <f t="shared" si="266"/>
        <v>0</v>
      </c>
      <c r="AZ475" s="287">
        <f t="shared" si="267"/>
        <v>0</v>
      </c>
      <c r="BA475" s="287">
        <f t="shared" si="268"/>
        <v>0</v>
      </c>
      <c r="BB475" s="16"/>
      <c r="BC475" s="287">
        <f t="shared" si="269"/>
        <v>0</v>
      </c>
      <c r="BD475" s="287">
        <f t="shared" si="270"/>
        <v>0</v>
      </c>
      <c r="BE475" s="287">
        <f t="shared" si="271"/>
        <v>0</v>
      </c>
      <c r="BF475" s="287">
        <f t="shared" si="272"/>
        <v>0</v>
      </c>
      <c r="BG475" s="287">
        <f t="shared" si="273"/>
        <v>0</v>
      </c>
      <c r="BH475" s="287">
        <f t="shared" si="274"/>
        <v>0</v>
      </c>
      <c r="BI475" s="287">
        <f t="shared" si="275"/>
        <v>0</v>
      </c>
      <c r="BJ475" s="287">
        <f t="shared" si="276"/>
        <v>0</v>
      </c>
      <c r="BK475" s="287">
        <f t="shared" si="277"/>
        <v>0</v>
      </c>
      <c r="BL475" s="287">
        <f t="shared" si="278"/>
        <v>0</v>
      </c>
      <c r="BM475" s="16"/>
      <c r="BN475" s="287">
        <f t="shared" si="279"/>
        <v>0</v>
      </c>
      <c r="BO475" s="287">
        <f t="shared" si="280"/>
        <v>0</v>
      </c>
      <c r="BP475" s="432"/>
      <c r="BQ475" s="21"/>
      <c r="BR475" s="21"/>
      <c r="BS475" s="39"/>
      <c r="BT475" s="39"/>
      <c r="BU475" s="39"/>
      <c r="BV475" s="39"/>
      <c r="BW475" s="39"/>
      <c r="BX475" s="39"/>
      <c r="BY475" s="39"/>
      <c r="BZ475" s="39">
        <v>462</v>
      </c>
      <c r="CA475" s="39" t="str">
        <f t="shared" si="281"/>
        <v/>
      </c>
      <c r="CB475" s="39"/>
      <c r="CC475" s="39"/>
      <c r="CD475" s="39"/>
      <c r="CE475" s="39"/>
      <c r="CF475" s="39"/>
      <c r="CG475" s="39"/>
      <c r="CH475" s="39"/>
      <c r="CI475" s="39"/>
      <c r="CJ475" s="39"/>
      <c r="CK475" s="39"/>
    </row>
    <row r="476" spans="1:89" s="193" customFormat="1">
      <c r="A476" s="195"/>
      <c r="B476" s="21" t="str">
        <f t="shared" si="255"/>
        <v>N/A</v>
      </c>
      <c r="C476" s="21"/>
      <c r="D476" s="432"/>
      <c r="E476" s="439" t="s">
        <v>3626</v>
      </c>
      <c r="F476" s="439"/>
      <c r="G476" s="273" t="s">
        <v>3142</v>
      </c>
      <c r="H476" s="358"/>
      <c r="I476" s="262" t="s">
        <v>3161</v>
      </c>
      <c r="J476" s="262"/>
      <c r="K476" s="263">
        <v>0</v>
      </c>
      <c r="L476" s="263">
        <v>0</v>
      </c>
      <c r="M476" s="263">
        <v>0</v>
      </c>
      <c r="N476" s="263">
        <v>0</v>
      </c>
      <c r="O476" s="263">
        <v>0</v>
      </c>
      <c r="P476" s="263">
        <v>5200000</v>
      </c>
      <c r="Q476" s="263">
        <v>0</v>
      </c>
      <c r="R476" s="263">
        <v>0</v>
      </c>
      <c r="S476" s="263">
        <v>0</v>
      </c>
      <c r="T476" s="263">
        <v>0</v>
      </c>
      <c r="U476" s="263">
        <f t="shared" si="244"/>
        <v>5200000</v>
      </c>
      <c r="V476" s="196" t="str">
        <f t="shared" si="256"/>
        <v>LOS</v>
      </c>
      <c r="W476" s="196" t="s">
        <v>1168</v>
      </c>
      <c r="X476" s="196" t="str">
        <f t="shared" si="249"/>
        <v>N</v>
      </c>
      <c r="Y476" s="197">
        <f t="shared" ref="Y476:Y489" si="282">IF(X476="N",0,SUM(K476:T476))</f>
        <v>0</v>
      </c>
      <c r="Z476" s="198"/>
      <c r="AA476" s="197">
        <f t="shared" si="257"/>
        <v>0</v>
      </c>
      <c r="AB476" s="196"/>
      <c r="AC476" s="196"/>
      <c r="AD476" s="275">
        <v>0</v>
      </c>
      <c r="AE476" s="275">
        <v>1</v>
      </c>
      <c r="AF476" s="275">
        <v>0</v>
      </c>
      <c r="AG476" s="199"/>
      <c r="AH476" s="199"/>
      <c r="AI476" s="377">
        <f t="shared" si="258"/>
        <v>0</v>
      </c>
      <c r="AJ476" s="203"/>
      <c r="AK476" s="203"/>
      <c r="AL476" s="197">
        <f t="shared" si="251"/>
        <v>0</v>
      </c>
      <c r="AM476" s="197">
        <f t="shared" si="252"/>
        <v>0</v>
      </c>
      <c r="AN476" s="197">
        <f t="shared" si="253"/>
        <v>0</v>
      </c>
      <c r="AO476" s="202"/>
      <c r="AP476" s="161" t="s">
        <v>3900</v>
      </c>
      <c r="AQ476" s="279"/>
      <c r="AR476" s="287">
        <f t="shared" si="259"/>
        <v>0</v>
      </c>
      <c r="AS476" s="287">
        <f t="shared" si="260"/>
        <v>0</v>
      </c>
      <c r="AT476" s="287">
        <f t="shared" si="261"/>
        <v>0</v>
      </c>
      <c r="AU476" s="287">
        <f t="shared" si="262"/>
        <v>0</v>
      </c>
      <c r="AV476" s="287">
        <f t="shared" si="263"/>
        <v>0</v>
      </c>
      <c r="AW476" s="287">
        <f t="shared" si="264"/>
        <v>0</v>
      </c>
      <c r="AX476" s="287">
        <f t="shared" si="265"/>
        <v>0</v>
      </c>
      <c r="AY476" s="287">
        <f t="shared" si="266"/>
        <v>0</v>
      </c>
      <c r="AZ476" s="287">
        <f t="shared" si="267"/>
        <v>0</v>
      </c>
      <c r="BA476" s="287">
        <f t="shared" si="268"/>
        <v>0</v>
      </c>
      <c r="BB476" s="16"/>
      <c r="BC476" s="287">
        <f t="shared" si="269"/>
        <v>0</v>
      </c>
      <c r="BD476" s="287">
        <f t="shared" si="270"/>
        <v>0</v>
      </c>
      <c r="BE476" s="287">
        <f t="shared" si="271"/>
        <v>0</v>
      </c>
      <c r="BF476" s="287">
        <f t="shared" si="272"/>
        <v>0</v>
      </c>
      <c r="BG476" s="287">
        <f t="shared" si="273"/>
        <v>0</v>
      </c>
      <c r="BH476" s="287">
        <f t="shared" si="274"/>
        <v>0</v>
      </c>
      <c r="BI476" s="287">
        <f t="shared" si="275"/>
        <v>0</v>
      </c>
      <c r="BJ476" s="287">
        <f t="shared" si="276"/>
        <v>0</v>
      </c>
      <c r="BK476" s="287">
        <f t="shared" si="277"/>
        <v>0</v>
      </c>
      <c r="BL476" s="287">
        <f t="shared" si="278"/>
        <v>0</v>
      </c>
      <c r="BM476" s="16"/>
      <c r="BN476" s="287">
        <f t="shared" si="279"/>
        <v>0</v>
      </c>
      <c r="BO476" s="287">
        <f t="shared" si="280"/>
        <v>0</v>
      </c>
      <c r="BP476" s="432"/>
      <c r="BQ476" s="21"/>
      <c r="BR476" s="21"/>
      <c r="BS476" s="39"/>
      <c r="BT476" s="39"/>
      <c r="BU476" s="334">
        <v>250000</v>
      </c>
      <c r="BV476" s="334">
        <v>0</v>
      </c>
      <c r="BW476" s="39"/>
      <c r="BX476" s="39"/>
      <c r="BY476" s="39"/>
      <c r="BZ476" s="39">
        <v>463</v>
      </c>
      <c r="CA476" s="39" t="str">
        <f t="shared" si="281"/>
        <v/>
      </c>
      <c r="CB476" s="39"/>
      <c r="CC476" s="39"/>
      <c r="CD476" s="39"/>
      <c r="CE476" s="39"/>
      <c r="CF476" s="39"/>
      <c r="CG476" s="39"/>
      <c r="CH476" s="39"/>
      <c r="CI476" s="39"/>
      <c r="CJ476" s="39"/>
      <c r="CK476" s="39"/>
    </row>
    <row r="477" spans="1:89" s="193" customFormat="1">
      <c r="A477" s="195"/>
      <c r="B477" s="21" t="str">
        <f t="shared" si="255"/>
        <v>N/A</v>
      </c>
      <c r="C477" s="21"/>
      <c r="D477" s="432"/>
      <c r="E477" s="439" t="s">
        <v>3626</v>
      </c>
      <c r="F477" s="439"/>
      <c r="G477" s="273" t="s">
        <v>3143</v>
      </c>
      <c r="H477" s="358"/>
      <c r="I477" s="262" t="s">
        <v>3161</v>
      </c>
      <c r="J477" s="262"/>
      <c r="K477" s="263">
        <v>1560000</v>
      </c>
      <c r="L477" s="263">
        <v>1476384</v>
      </c>
      <c r="M477" s="263">
        <v>1631647.68</v>
      </c>
      <c r="N477" s="263">
        <v>1536235.4034</v>
      </c>
      <c r="O477" s="263">
        <v>1496030.5765440001</v>
      </c>
      <c r="P477" s="263">
        <v>1949000.3729250999</v>
      </c>
      <c r="Q477" s="263">
        <v>1813876.2053783275</v>
      </c>
      <c r="R477" s="263">
        <v>1638897.3109740079</v>
      </c>
      <c r="S477" s="263">
        <v>2738346.0202084929</v>
      </c>
      <c r="T477" s="263">
        <v>2345986.4305700706</v>
      </c>
      <c r="U477" s="263">
        <f t="shared" ref="U477:U540" si="283">SUM(K477:T477)</f>
        <v>18186404</v>
      </c>
      <c r="V477" s="196" t="str">
        <f t="shared" si="256"/>
        <v>LOS</v>
      </c>
      <c r="W477" s="196" t="s">
        <v>1168</v>
      </c>
      <c r="X477" s="196" t="str">
        <f t="shared" si="249"/>
        <v>N</v>
      </c>
      <c r="Y477" s="197">
        <f t="shared" si="282"/>
        <v>0</v>
      </c>
      <c r="Z477" s="198"/>
      <c r="AA477" s="197">
        <f t="shared" si="257"/>
        <v>0</v>
      </c>
      <c r="AB477" s="196"/>
      <c r="AC477" s="196"/>
      <c r="AD477" s="275">
        <v>0</v>
      </c>
      <c r="AE477" s="275">
        <v>1</v>
      </c>
      <c r="AF477" s="275">
        <v>0</v>
      </c>
      <c r="AG477" s="199"/>
      <c r="AH477" s="199"/>
      <c r="AI477" s="377">
        <f t="shared" si="258"/>
        <v>0</v>
      </c>
      <c r="AJ477" s="203"/>
      <c r="AK477" s="203"/>
      <c r="AL477" s="197">
        <f t="shared" si="251"/>
        <v>0</v>
      </c>
      <c r="AM477" s="197">
        <f t="shared" si="252"/>
        <v>0</v>
      </c>
      <c r="AN477" s="197">
        <f t="shared" si="253"/>
        <v>0</v>
      </c>
      <c r="AO477" s="202"/>
      <c r="AP477" s="161" t="s">
        <v>3900</v>
      </c>
      <c r="AQ477" s="279"/>
      <c r="AR477" s="287">
        <f t="shared" si="259"/>
        <v>0</v>
      </c>
      <c r="AS477" s="287">
        <f t="shared" si="260"/>
        <v>0</v>
      </c>
      <c r="AT477" s="287">
        <f t="shared" si="261"/>
        <v>0</v>
      </c>
      <c r="AU477" s="287">
        <f t="shared" si="262"/>
        <v>0</v>
      </c>
      <c r="AV477" s="287">
        <f t="shared" si="263"/>
        <v>0</v>
      </c>
      <c r="AW477" s="287">
        <f t="shared" si="264"/>
        <v>0</v>
      </c>
      <c r="AX477" s="287">
        <f t="shared" si="265"/>
        <v>0</v>
      </c>
      <c r="AY477" s="287">
        <f t="shared" si="266"/>
        <v>0</v>
      </c>
      <c r="AZ477" s="287">
        <f t="shared" si="267"/>
        <v>0</v>
      </c>
      <c r="BA477" s="287">
        <f t="shared" si="268"/>
        <v>0</v>
      </c>
      <c r="BB477" s="16"/>
      <c r="BC477" s="287">
        <f t="shared" si="269"/>
        <v>0</v>
      </c>
      <c r="BD477" s="287">
        <f t="shared" si="270"/>
        <v>0</v>
      </c>
      <c r="BE477" s="287">
        <f t="shared" si="271"/>
        <v>0</v>
      </c>
      <c r="BF477" s="287">
        <f t="shared" si="272"/>
        <v>0</v>
      </c>
      <c r="BG477" s="287">
        <f t="shared" si="273"/>
        <v>0</v>
      </c>
      <c r="BH477" s="287">
        <f t="shared" si="274"/>
        <v>0</v>
      </c>
      <c r="BI477" s="287">
        <f t="shared" si="275"/>
        <v>0</v>
      </c>
      <c r="BJ477" s="287">
        <f t="shared" si="276"/>
        <v>0</v>
      </c>
      <c r="BK477" s="287">
        <f t="shared" si="277"/>
        <v>0</v>
      </c>
      <c r="BL477" s="287">
        <f t="shared" si="278"/>
        <v>0</v>
      </c>
      <c r="BM477" s="16"/>
      <c r="BN477" s="287">
        <f t="shared" si="279"/>
        <v>0</v>
      </c>
      <c r="BO477" s="287">
        <f t="shared" si="280"/>
        <v>0</v>
      </c>
      <c r="BP477" s="432"/>
      <c r="BQ477" s="21"/>
      <c r="BR477" s="21"/>
      <c r="BS477" s="39"/>
      <c r="BT477" s="39"/>
      <c r="BU477" s="334">
        <v>2275000</v>
      </c>
      <c r="BV477" s="334">
        <v>0</v>
      </c>
      <c r="BW477" s="39"/>
      <c r="BX477" s="39"/>
      <c r="BY477" s="39"/>
      <c r="BZ477" s="39">
        <v>464</v>
      </c>
      <c r="CA477" s="39" t="str">
        <f t="shared" si="281"/>
        <v/>
      </c>
      <c r="CB477" s="39"/>
      <c r="CC477" s="39"/>
      <c r="CD477" s="39"/>
      <c r="CE477" s="39"/>
      <c r="CF477" s="39"/>
      <c r="CG477" s="39"/>
      <c r="CH477" s="39"/>
      <c r="CI477" s="39"/>
      <c r="CJ477" s="39"/>
      <c r="CK477" s="39"/>
    </row>
    <row r="478" spans="1:89" s="193" customFormat="1">
      <c r="A478" s="195"/>
      <c r="B478" s="21" t="str">
        <f t="shared" si="255"/>
        <v>N/A</v>
      </c>
      <c r="C478" s="21"/>
      <c r="D478" s="432"/>
      <c r="E478" s="439" t="s">
        <v>3626</v>
      </c>
      <c r="F478" s="439"/>
      <c r="G478" s="273" t="s">
        <v>3632</v>
      </c>
      <c r="H478" s="358"/>
      <c r="I478" s="262" t="s">
        <v>3161</v>
      </c>
      <c r="J478" s="262"/>
      <c r="K478" s="263">
        <v>0</v>
      </c>
      <c r="L478" s="263">
        <v>0</v>
      </c>
      <c r="M478" s="263">
        <v>0</v>
      </c>
      <c r="N478" s="263">
        <v>2267979.0750000002</v>
      </c>
      <c r="O478" s="263">
        <v>2456682.0515999999</v>
      </c>
      <c r="P478" s="263">
        <v>917725.34421749995</v>
      </c>
      <c r="Q478" s="263">
        <v>186739.00135883997</v>
      </c>
      <c r="R478" s="263">
        <v>38206.981635892647</v>
      </c>
      <c r="S478" s="263">
        <v>11478.327030868288</v>
      </c>
      <c r="T478" s="263">
        <v>1135.2191568990613</v>
      </c>
      <c r="U478" s="263">
        <f t="shared" si="283"/>
        <v>5879946</v>
      </c>
      <c r="V478" s="196" t="str">
        <f t="shared" si="256"/>
        <v>LOS</v>
      </c>
      <c r="W478" s="196" t="s">
        <v>1168</v>
      </c>
      <c r="X478" s="196" t="str">
        <f t="shared" si="249"/>
        <v>N</v>
      </c>
      <c r="Y478" s="197">
        <f t="shared" si="282"/>
        <v>0</v>
      </c>
      <c r="Z478" s="198"/>
      <c r="AA478" s="197">
        <f t="shared" si="257"/>
        <v>0</v>
      </c>
      <c r="AB478" s="196"/>
      <c r="AC478" s="196"/>
      <c r="AD478" s="275">
        <v>0</v>
      </c>
      <c r="AE478" s="275">
        <v>1</v>
      </c>
      <c r="AF478" s="275">
        <v>0</v>
      </c>
      <c r="AG478" s="199"/>
      <c r="AH478" s="199"/>
      <c r="AI478" s="377">
        <v>0</v>
      </c>
      <c r="AJ478" s="203"/>
      <c r="AK478" s="203"/>
      <c r="AL478" s="197">
        <v>0</v>
      </c>
      <c r="AM478" s="197">
        <v>0</v>
      </c>
      <c r="AN478" s="197">
        <v>0</v>
      </c>
      <c r="AO478" s="202"/>
      <c r="AP478" s="161" t="s">
        <v>3900</v>
      </c>
      <c r="AQ478" s="279"/>
      <c r="AR478" s="287">
        <f t="shared" si="259"/>
        <v>0</v>
      </c>
      <c r="AS478" s="287">
        <f t="shared" si="260"/>
        <v>0</v>
      </c>
      <c r="AT478" s="287">
        <f t="shared" si="261"/>
        <v>0</v>
      </c>
      <c r="AU478" s="287">
        <f t="shared" si="262"/>
        <v>0</v>
      </c>
      <c r="AV478" s="287">
        <f t="shared" si="263"/>
        <v>0</v>
      </c>
      <c r="AW478" s="287">
        <f t="shared" si="264"/>
        <v>0</v>
      </c>
      <c r="AX478" s="287">
        <f t="shared" si="265"/>
        <v>0</v>
      </c>
      <c r="AY478" s="287">
        <f t="shared" si="266"/>
        <v>0</v>
      </c>
      <c r="AZ478" s="287">
        <f t="shared" si="267"/>
        <v>0</v>
      </c>
      <c r="BA478" s="287">
        <f t="shared" si="268"/>
        <v>0</v>
      </c>
      <c r="BB478" s="16"/>
      <c r="BC478" s="287">
        <f t="shared" si="269"/>
        <v>0</v>
      </c>
      <c r="BD478" s="287">
        <f t="shared" si="270"/>
        <v>0</v>
      </c>
      <c r="BE478" s="287">
        <f t="shared" si="271"/>
        <v>0</v>
      </c>
      <c r="BF478" s="287">
        <f t="shared" si="272"/>
        <v>0</v>
      </c>
      <c r="BG478" s="287">
        <f t="shared" si="273"/>
        <v>0</v>
      </c>
      <c r="BH478" s="287">
        <f t="shared" si="274"/>
        <v>0</v>
      </c>
      <c r="BI478" s="287">
        <f t="shared" si="275"/>
        <v>0</v>
      </c>
      <c r="BJ478" s="287">
        <f t="shared" si="276"/>
        <v>0</v>
      </c>
      <c r="BK478" s="287">
        <f t="shared" si="277"/>
        <v>0</v>
      </c>
      <c r="BL478" s="287">
        <f t="shared" si="278"/>
        <v>0</v>
      </c>
      <c r="BM478" s="16"/>
      <c r="BN478" s="287">
        <f t="shared" si="279"/>
        <v>0</v>
      </c>
      <c r="BO478" s="287">
        <f t="shared" si="280"/>
        <v>0</v>
      </c>
      <c r="BP478" s="432"/>
      <c r="BQ478" s="21"/>
      <c r="BR478" s="21"/>
      <c r="BS478" s="39"/>
      <c r="BT478" s="39"/>
      <c r="BU478" s="334">
        <v>163750</v>
      </c>
      <c r="BV478" s="334">
        <v>0</v>
      </c>
      <c r="BW478" s="39"/>
      <c r="BX478" s="39"/>
      <c r="BY478" s="39"/>
      <c r="BZ478" s="39">
        <v>465</v>
      </c>
      <c r="CA478" s="39" t="str">
        <f t="shared" si="281"/>
        <v/>
      </c>
      <c r="CB478" s="39"/>
      <c r="CC478" s="39"/>
      <c r="CD478" s="39"/>
      <c r="CE478" s="39"/>
      <c r="CF478" s="39"/>
      <c r="CG478" s="39"/>
      <c r="CH478" s="39"/>
      <c r="CI478" s="39"/>
      <c r="CJ478" s="39"/>
      <c r="CK478" s="39"/>
    </row>
    <row r="479" spans="1:89" s="193" customFormat="1">
      <c r="A479" s="195"/>
      <c r="B479" s="21" t="str">
        <f t="shared" si="255"/>
        <v>N/A</v>
      </c>
      <c r="C479" s="21"/>
      <c r="D479" s="432"/>
      <c r="E479" s="439" t="s">
        <v>3626</v>
      </c>
      <c r="F479" s="439"/>
      <c r="G479" s="273" t="s">
        <v>3145</v>
      </c>
      <c r="H479" s="358"/>
      <c r="I479" s="262" t="s">
        <v>3161</v>
      </c>
      <c r="J479" s="262"/>
      <c r="K479" s="263">
        <v>215049.12</v>
      </c>
      <c r="L479" s="263">
        <v>255949.0189963486</v>
      </c>
      <c r="M479" s="263">
        <v>350097.31120773125</v>
      </c>
      <c r="N479" s="263">
        <v>437093.95013071992</v>
      </c>
      <c r="O479" s="263">
        <v>533361.15076912334</v>
      </c>
      <c r="P479" s="263">
        <v>760427.37</v>
      </c>
      <c r="Q479" s="263">
        <v>949771.08433051908</v>
      </c>
      <c r="R479" s="263">
        <v>1119879.7943476937</v>
      </c>
      <c r="S479" s="263">
        <v>1333299.4951193382</v>
      </c>
      <c r="T479" s="263">
        <v>1621496.5368340458</v>
      </c>
      <c r="U479" s="263">
        <f t="shared" si="283"/>
        <v>7576424.8317355197</v>
      </c>
      <c r="V479" s="196" t="str">
        <f t="shared" si="256"/>
        <v>R</v>
      </c>
      <c r="W479" s="196" t="s">
        <v>1168</v>
      </c>
      <c r="X479" s="196" t="str">
        <f t="shared" si="249"/>
        <v>N</v>
      </c>
      <c r="Y479" s="197">
        <f t="shared" si="282"/>
        <v>0</v>
      </c>
      <c r="Z479" s="198"/>
      <c r="AA479" s="197">
        <f t="shared" si="257"/>
        <v>0</v>
      </c>
      <c r="AB479" s="196"/>
      <c r="AC479" s="196"/>
      <c r="AD479" s="275">
        <v>0</v>
      </c>
      <c r="AE479" s="275">
        <v>0</v>
      </c>
      <c r="AF479" s="275">
        <v>1</v>
      </c>
      <c r="AG479" s="199"/>
      <c r="AH479" s="199"/>
      <c r="AI479" s="377">
        <f t="shared" ref="AI479:AI542" si="284">(AG479+AH479)/2</f>
        <v>0</v>
      </c>
      <c r="AJ479" s="203"/>
      <c r="AK479" s="203"/>
      <c r="AL479" s="197">
        <f t="shared" ref="AL479:AL542" si="285">(100%-AI479)*AA479</f>
        <v>0</v>
      </c>
      <c r="AM479" s="197">
        <f t="shared" ref="AM479:AM542" si="286">AA479*AI479*AJ479</f>
        <v>0</v>
      </c>
      <c r="AN479" s="197">
        <f t="shared" ref="AN479:AN542" si="287">AA479*AI479*AK479</f>
        <v>0</v>
      </c>
      <c r="AO479" s="202"/>
      <c r="AP479" s="161" t="s">
        <v>3900</v>
      </c>
      <c r="AQ479" s="279"/>
      <c r="AR479" s="287">
        <f t="shared" si="259"/>
        <v>0</v>
      </c>
      <c r="AS479" s="287">
        <f t="shared" si="260"/>
        <v>0</v>
      </c>
      <c r="AT479" s="287">
        <f t="shared" si="261"/>
        <v>0</v>
      </c>
      <c r="AU479" s="287">
        <f t="shared" si="262"/>
        <v>0</v>
      </c>
      <c r="AV479" s="287">
        <f t="shared" si="263"/>
        <v>0</v>
      </c>
      <c r="AW479" s="287">
        <f t="shared" si="264"/>
        <v>0</v>
      </c>
      <c r="AX479" s="287">
        <f t="shared" si="265"/>
        <v>0</v>
      </c>
      <c r="AY479" s="287">
        <f t="shared" si="266"/>
        <v>0</v>
      </c>
      <c r="AZ479" s="287">
        <f t="shared" si="267"/>
        <v>0</v>
      </c>
      <c r="BA479" s="287">
        <f t="shared" si="268"/>
        <v>0</v>
      </c>
      <c r="BB479" s="16"/>
      <c r="BC479" s="287">
        <f t="shared" si="269"/>
        <v>0</v>
      </c>
      <c r="BD479" s="287">
        <f t="shared" si="270"/>
        <v>0</v>
      </c>
      <c r="BE479" s="287">
        <f t="shared" si="271"/>
        <v>0</v>
      </c>
      <c r="BF479" s="287">
        <f t="shared" si="272"/>
        <v>0</v>
      </c>
      <c r="BG479" s="287">
        <f t="shared" si="273"/>
        <v>0</v>
      </c>
      <c r="BH479" s="287">
        <f t="shared" si="274"/>
        <v>0</v>
      </c>
      <c r="BI479" s="287">
        <f t="shared" si="275"/>
        <v>0</v>
      </c>
      <c r="BJ479" s="287">
        <f t="shared" si="276"/>
        <v>0</v>
      </c>
      <c r="BK479" s="287">
        <f t="shared" si="277"/>
        <v>0</v>
      </c>
      <c r="BL479" s="287">
        <f t="shared" si="278"/>
        <v>0</v>
      </c>
      <c r="BM479" s="16"/>
      <c r="BN479" s="287">
        <f t="shared" si="279"/>
        <v>0</v>
      </c>
      <c r="BO479" s="287">
        <f t="shared" si="280"/>
        <v>0</v>
      </c>
      <c r="BP479" s="432"/>
      <c r="BQ479" s="21"/>
      <c r="BR479" s="21"/>
      <c r="BS479" s="39"/>
      <c r="BT479" s="39"/>
      <c r="BU479" s="334">
        <v>806250</v>
      </c>
      <c r="BV479" s="334">
        <v>0</v>
      </c>
      <c r="BW479" s="39"/>
      <c r="BX479" s="39"/>
      <c r="BY479" s="39"/>
      <c r="BZ479" s="39">
        <v>466</v>
      </c>
      <c r="CA479" s="39" t="str">
        <f t="shared" si="281"/>
        <v/>
      </c>
      <c r="CB479" s="39"/>
      <c r="CC479" s="39"/>
      <c r="CD479" s="39"/>
      <c r="CE479" s="39"/>
      <c r="CF479" s="39"/>
      <c r="CG479" s="39"/>
      <c r="CH479" s="39"/>
      <c r="CI479" s="39"/>
      <c r="CJ479" s="39"/>
      <c r="CK479" s="39"/>
    </row>
    <row r="480" spans="1:89" s="193" customFormat="1">
      <c r="A480" s="195"/>
      <c r="B480" s="21" t="str">
        <f t="shared" si="255"/>
        <v>N/A</v>
      </c>
      <c r="C480" s="21"/>
      <c r="D480" s="432"/>
      <c r="E480" s="439" t="s">
        <v>3626</v>
      </c>
      <c r="F480" s="439"/>
      <c r="G480" s="273" t="s">
        <v>3146</v>
      </c>
      <c r="H480" s="358"/>
      <c r="I480" s="262" t="s">
        <v>3161</v>
      </c>
      <c r="J480" s="262"/>
      <c r="K480" s="263">
        <v>318786</v>
      </c>
      <c r="L480" s="263">
        <v>298313.89178139006</v>
      </c>
      <c r="M480" s="263">
        <v>301099.21799405746</v>
      </c>
      <c r="N480" s="263">
        <v>303251.90956553305</v>
      </c>
      <c r="O480" s="263">
        <v>305326.18901443516</v>
      </c>
      <c r="P480" s="263">
        <v>386294.70999999996</v>
      </c>
      <c r="Q480" s="263">
        <v>425193.53987039125</v>
      </c>
      <c r="R480" s="263">
        <v>452843.14214135183</v>
      </c>
      <c r="S480" s="263">
        <v>465475.78739362117</v>
      </c>
      <c r="T480" s="263">
        <v>492481.88705883792</v>
      </c>
      <c r="U480" s="263">
        <f t="shared" si="283"/>
        <v>3749066.2748196176</v>
      </c>
      <c r="V480" s="196" t="str">
        <f t="shared" si="256"/>
        <v>R</v>
      </c>
      <c r="W480" s="196" t="s">
        <v>1168</v>
      </c>
      <c r="X480" s="196" t="str">
        <f t="shared" ref="X480:X511" si="288">IF(LEFT(V480,1)="G","Y","N")</f>
        <v>N</v>
      </c>
      <c r="Y480" s="197">
        <f t="shared" si="282"/>
        <v>0</v>
      </c>
      <c r="Z480" s="198"/>
      <c r="AA480" s="197">
        <f t="shared" si="257"/>
        <v>0</v>
      </c>
      <c r="AB480" s="196"/>
      <c r="AC480" s="196"/>
      <c r="AD480" s="275">
        <v>0</v>
      </c>
      <c r="AE480" s="275">
        <v>0</v>
      </c>
      <c r="AF480" s="275">
        <v>1</v>
      </c>
      <c r="AG480" s="199"/>
      <c r="AH480" s="199"/>
      <c r="AI480" s="377">
        <f t="shared" si="284"/>
        <v>0</v>
      </c>
      <c r="AJ480" s="203"/>
      <c r="AK480" s="203"/>
      <c r="AL480" s="197">
        <f t="shared" si="285"/>
        <v>0</v>
      </c>
      <c r="AM480" s="197">
        <f t="shared" si="286"/>
        <v>0</v>
      </c>
      <c r="AN480" s="197">
        <f t="shared" si="287"/>
        <v>0</v>
      </c>
      <c r="AO480" s="202"/>
      <c r="AP480" s="161" t="s">
        <v>3900</v>
      </c>
      <c r="AQ480" s="279"/>
      <c r="AR480" s="287">
        <f t="shared" si="259"/>
        <v>0</v>
      </c>
      <c r="AS480" s="287">
        <f t="shared" si="260"/>
        <v>0</v>
      </c>
      <c r="AT480" s="287">
        <f t="shared" si="261"/>
        <v>0</v>
      </c>
      <c r="AU480" s="287">
        <f t="shared" si="262"/>
        <v>0</v>
      </c>
      <c r="AV480" s="287">
        <f t="shared" si="263"/>
        <v>0</v>
      </c>
      <c r="AW480" s="287">
        <f t="shared" si="264"/>
        <v>0</v>
      </c>
      <c r="AX480" s="287">
        <f t="shared" si="265"/>
        <v>0</v>
      </c>
      <c r="AY480" s="287">
        <f t="shared" si="266"/>
        <v>0</v>
      </c>
      <c r="AZ480" s="287">
        <f t="shared" si="267"/>
        <v>0</v>
      </c>
      <c r="BA480" s="287">
        <f t="shared" si="268"/>
        <v>0</v>
      </c>
      <c r="BB480" s="16"/>
      <c r="BC480" s="287">
        <f t="shared" si="269"/>
        <v>0</v>
      </c>
      <c r="BD480" s="287">
        <f t="shared" si="270"/>
        <v>0</v>
      </c>
      <c r="BE480" s="287">
        <f t="shared" si="271"/>
        <v>0</v>
      </c>
      <c r="BF480" s="287">
        <f t="shared" si="272"/>
        <v>0</v>
      </c>
      <c r="BG480" s="287">
        <f t="shared" si="273"/>
        <v>0</v>
      </c>
      <c r="BH480" s="287">
        <f t="shared" si="274"/>
        <v>0</v>
      </c>
      <c r="BI480" s="287">
        <f t="shared" si="275"/>
        <v>0</v>
      </c>
      <c r="BJ480" s="287">
        <f t="shared" si="276"/>
        <v>0</v>
      </c>
      <c r="BK480" s="287">
        <f t="shared" si="277"/>
        <v>0</v>
      </c>
      <c r="BL480" s="287">
        <f t="shared" si="278"/>
        <v>0</v>
      </c>
      <c r="BM480" s="16"/>
      <c r="BN480" s="287">
        <f t="shared" si="279"/>
        <v>0</v>
      </c>
      <c r="BO480" s="287">
        <f t="shared" si="280"/>
        <v>0</v>
      </c>
      <c r="BP480" s="432"/>
      <c r="BQ480" s="21"/>
      <c r="BR480" s="21"/>
      <c r="BS480" s="39"/>
      <c r="BT480" s="39"/>
      <c r="BU480" s="334">
        <v>225000</v>
      </c>
      <c r="BV480" s="334">
        <v>0</v>
      </c>
      <c r="BW480" s="39"/>
      <c r="BX480" s="39"/>
      <c r="BY480" s="39"/>
      <c r="BZ480" s="39">
        <v>467</v>
      </c>
      <c r="CA480" s="39" t="str">
        <f t="shared" si="281"/>
        <v/>
      </c>
      <c r="CB480" s="39"/>
      <c r="CC480" s="39"/>
      <c r="CD480" s="39"/>
      <c r="CE480" s="39"/>
      <c r="CF480" s="39"/>
      <c r="CG480" s="39"/>
      <c r="CH480" s="39"/>
      <c r="CI480" s="39"/>
      <c r="CJ480" s="39"/>
      <c r="CK480" s="39"/>
    </row>
    <row r="481" spans="1:89" s="193" customFormat="1">
      <c r="A481" s="195"/>
      <c r="B481" s="21" t="str">
        <f t="shared" si="255"/>
        <v>N/A</v>
      </c>
      <c r="C481" s="21"/>
      <c r="D481" s="432"/>
      <c r="E481" s="439" t="s">
        <v>3626</v>
      </c>
      <c r="F481" s="439"/>
      <c r="G481" s="273" t="s">
        <v>3147</v>
      </c>
      <c r="H481" s="358"/>
      <c r="I481" s="262" t="s">
        <v>3161</v>
      </c>
      <c r="J481" s="262"/>
      <c r="K481" s="263">
        <v>3851220.88</v>
      </c>
      <c r="L481" s="263">
        <v>4058696.1665994949</v>
      </c>
      <c r="M481" s="263">
        <v>4816316.7760902718</v>
      </c>
      <c r="N481" s="263">
        <v>5149218.9998463187</v>
      </c>
      <c r="O481" s="263">
        <v>5682100.4473118242</v>
      </c>
      <c r="P481" s="263">
        <v>7713786.8300000001</v>
      </c>
      <c r="Q481" s="263">
        <v>6992783.4047233453</v>
      </c>
      <c r="R481" s="263">
        <v>6722026.5242482573</v>
      </c>
      <c r="S481" s="263">
        <v>6969885.8911948707</v>
      </c>
      <c r="T481" s="263">
        <v>7668190.6476811906</v>
      </c>
      <c r="U481" s="263">
        <f t="shared" si="283"/>
        <v>59624226.567695573</v>
      </c>
      <c r="V481" s="196" t="str">
        <f t="shared" si="256"/>
        <v>R</v>
      </c>
      <c r="W481" s="196" t="s">
        <v>1168</v>
      </c>
      <c r="X481" s="196" t="str">
        <f t="shared" si="288"/>
        <v>N</v>
      </c>
      <c r="Y481" s="197">
        <f t="shared" si="282"/>
        <v>0</v>
      </c>
      <c r="Z481" s="198"/>
      <c r="AA481" s="197">
        <f t="shared" si="257"/>
        <v>0</v>
      </c>
      <c r="AB481" s="196"/>
      <c r="AC481" s="196"/>
      <c r="AD481" s="275">
        <v>0</v>
      </c>
      <c r="AE481" s="275">
        <v>0</v>
      </c>
      <c r="AF481" s="275">
        <v>1</v>
      </c>
      <c r="AG481" s="199"/>
      <c r="AH481" s="199"/>
      <c r="AI481" s="377">
        <f t="shared" si="284"/>
        <v>0</v>
      </c>
      <c r="AJ481" s="203"/>
      <c r="AK481" s="203"/>
      <c r="AL481" s="197">
        <f t="shared" si="285"/>
        <v>0</v>
      </c>
      <c r="AM481" s="197">
        <f t="shared" si="286"/>
        <v>0</v>
      </c>
      <c r="AN481" s="197">
        <f t="shared" si="287"/>
        <v>0</v>
      </c>
      <c r="AO481" s="202"/>
      <c r="AP481" s="161" t="s">
        <v>3900</v>
      </c>
      <c r="AQ481" s="279"/>
      <c r="AR481" s="287">
        <f t="shared" si="259"/>
        <v>0</v>
      </c>
      <c r="AS481" s="287">
        <f t="shared" si="260"/>
        <v>0</v>
      </c>
      <c r="AT481" s="287">
        <f t="shared" si="261"/>
        <v>0</v>
      </c>
      <c r="AU481" s="287">
        <f t="shared" si="262"/>
        <v>0</v>
      </c>
      <c r="AV481" s="287">
        <f t="shared" si="263"/>
        <v>0</v>
      </c>
      <c r="AW481" s="287">
        <f t="shared" si="264"/>
        <v>0</v>
      </c>
      <c r="AX481" s="287">
        <f t="shared" si="265"/>
        <v>0</v>
      </c>
      <c r="AY481" s="287">
        <f t="shared" si="266"/>
        <v>0</v>
      </c>
      <c r="AZ481" s="287">
        <f t="shared" si="267"/>
        <v>0</v>
      </c>
      <c r="BA481" s="287">
        <f t="shared" si="268"/>
        <v>0</v>
      </c>
      <c r="BB481" s="16"/>
      <c r="BC481" s="287">
        <f t="shared" si="269"/>
        <v>0</v>
      </c>
      <c r="BD481" s="287">
        <f t="shared" si="270"/>
        <v>0</v>
      </c>
      <c r="BE481" s="287">
        <f t="shared" si="271"/>
        <v>0</v>
      </c>
      <c r="BF481" s="287">
        <f t="shared" si="272"/>
        <v>0</v>
      </c>
      <c r="BG481" s="287">
        <f t="shared" si="273"/>
        <v>0</v>
      </c>
      <c r="BH481" s="287">
        <f t="shared" si="274"/>
        <v>0</v>
      </c>
      <c r="BI481" s="287">
        <f t="shared" si="275"/>
        <v>0</v>
      </c>
      <c r="BJ481" s="287">
        <f t="shared" si="276"/>
        <v>0</v>
      </c>
      <c r="BK481" s="287">
        <f t="shared" si="277"/>
        <v>0</v>
      </c>
      <c r="BL481" s="287">
        <f t="shared" si="278"/>
        <v>0</v>
      </c>
      <c r="BM481" s="16"/>
      <c r="BN481" s="287">
        <f t="shared" si="279"/>
        <v>0</v>
      </c>
      <c r="BO481" s="287">
        <f t="shared" si="280"/>
        <v>0</v>
      </c>
      <c r="BP481" s="432"/>
      <c r="BQ481" s="21"/>
      <c r="BR481" s="21"/>
      <c r="BS481" s="39"/>
      <c r="BT481" s="39"/>
      <c r="BU481" s="334">
        <v>37500</v>
      </c>
      <c r="BV481" s="334">
        <v>0</v>
      </c>
      <c r="BW481" s="39"/>
      <c r="BX481" s="39"/>
      <c r="BY481" s="39"/>
      <c r="BZ481" s="39">
        <v>468</v>
      </c>
      <c r="CA481" s="39" t="str">
        <f t="shared" si="281"/>
        <v/>
      </c>
      <c r="CB481" s="39"/>
      <c r="CC481" s="39"/>
      <c r="CD481" s="39"/>
      <c r="CE481" s="39"/>
      <c r="CF481" s="39"/>
      <c r="CG481" s="39"/>
      <c r="CH481" s="39"/>
      <c r="CI481" s="39"/>
      <c r="CJ481" s="39"/>
      <c r="CK481" s="39"/>
    </row>
    <row r="482" spans="1:89" s="193" customFormat="1">
      <c r="A482" s="195"/>
      <c r="B482" s="21" t="str">
        <f t="shared" si="255"/>
        <v>N/A</v>
      </c>
      <c r="C482" s="21"/>
      <c r="D482" s="432"/>
      <c r="E482" s="439" t="s">
        <v>3626</v>
      </c>
      <c r="F482" s="439"/>
      <c r="G482" s="273" t="s">
        <v>3148</v>
      </c>
      <c r="H482" s="358"/>
      <c r="I482" s="262" t="s">
        <v>3161</v>
      </c>
      <c r="J482" s="262"/>
      <c r="K482" s="263">
        <v>1413251.84</v>
      </c>
      <c r="L482" s="263">
        <v>1322494.2897856247</v>
      </c>
      <c r="M482" s="263">
        <v>1334842.2693816137</v>
      </c>
      <c r="N482" s="263">
        <v>1344385.6483984194</v>
      </c>
      <c r="O482" s="263">
        <v>1353581.3835292701</v>
      </c>
      <c r="P482" s="263">
        <v>1712533.52</v>
      </c>
      <c r="Q482" s="263">
        <v>1884981.0005996081</v>
      </c>
      <c r="R482" s="263">
        <v>2007558.0397549465</v>
      </c>
      <c r="S482" s="263">
        <v>2063561.5045622229</v>
      </c>
      <c r="T482" s="263">
        <v>2183285.7717201803</v>
      </c>
      <c r="U482" s="263">
        <f t="shared" si="283"/>
        <v>16620475.267731884</v>
      </c>
      <c r="V482" s="196" t="str">
        <f t="shared" si="256"/>
        <v>R</v>
      </c>
      <c r="W482" s="196" t="s">
        <v>1168</v>
      </c>
      <c r="X482" s="196" t="str">
        <f t="shared" si="288"/>
        <v>N</v>
      </c>
      <c r="Y482" s="197">
        <f t="shared" si="282"/>
        <v>0</v>
      </c>
      <c r="Z482" s="198"/>
      <c r="AA482" s="197">
        <f t="shared" si="257"/>
        <v>0</v>
      </c>
      <c r="AB482" s="196"/>
      <c r="AC482" s="196"/>
      <c r="AD482" s="275">
        <v>0</v>
      </c>
      <c r="AE482" s="275">
        <v>0</v>
      </c>
      <c r="AF482" s="275">
        <v>1</v>
      </c>
      <c r="AG482" s="199"/>
      <c r="AH482" s="199"/>
      <c r="AI482" s="377">
        <f t="shared" si="284"/>
        <v>0</v>
      </c>
      <c r="AJ482" s="203"/>
      <c r="AK482" s="203"/>
      <c r="AL482" s="197">
        <f t="shared" si="285"/>
        <v>0</v>
      </c>
      <c r="AM482" s="197">
        <f t="shared" si="286"/>
        <v>0</v>
      </c>
      <c r="AN482" s="197">
        <f t="shared" si="287"/>
        <v>0</v>
      </c>
      <c r="AO482" s="202"/>
      <c r="AP482" s="161" t="s">
        <v>3900</v>
      </c>
      <c r="AQ482" s="279"/>
      <c r="AR482" s="287">
        <f t="shared" si="259"/>
        <v>0</v>
      </c>
      <c r="AS482" s="287">
        <f t="shared" si="260"/>
        <v>0</v>
      </c>
      <c r="AT482" s="287">
        <f t="shared" si="261"/>
        <v>0</v>
      </c>
      <c r="AU482" s="287">
        <f t="shared" si="262"/>
        <v>0</v>
      </c>
      <c r="AV482" s="287">
        <f t="shared" si="263"/>
        <v>0</v>
      </c>
      <c r="AW482" s="287">
        <f t="shared" si="264"/>
        <v>0</v>
      </c>
      <c r="AX482" s="287">
        <f t="shared" si="265"/>
        <v>0</v>
      </c>
      <c r="AY482" s="287">
        <f t="shared" si="266"/>
        <v>0</v>
      </c>
      <c r="AZ482" s="287">
        <f t="shared" si="267"/>
        <v>0</v>
      </c>
      <c r="BA482" s="287">
        <f t="shared" si="268"/>
        <v>0</v>
      </c>
      <c r="BB482" s="16"/>
      <c r="BC482" s="287">
        <f t="shared" si="269"/>
        <v>0</v>
      </c>
      <c r="BD482" s="287">
        <f t="shared" si="270"/>
        <v>0</v>
      </c>
      <c r="BE482" s="287">
        <f t="shared" si="271"/>
        <v>0</v>
      </c>
      <c r="BF482" s="287">
        <f t="shared" si="272"/>
        <v>0</v>
      </c>
      <c r="BG482" s="287">
        <f t="shared" si="273"/>
        <v>0</v>
      </c>
      <c r="BH482" s="287">
        <f t="shared" si="274"/>
        <v>0</v>
      </c>
      <c r="BI482" s="287">
        <f t="shared" si="275"/>
        <v>0</v>
      </c>
      <c r="BJ482" s="287">
        <f t="shared" si="276"/>
        <v>0</v>
      </c>
      <c r="BK482" s="287">
        <f t="shared" si="277"/>
        <v>0</v>
      </c>
      <c r="BL482" s="287">
        <f t="shared" si="278"/>
        <v>0</v>
      </c>
      <c r="BM482" s="16"/>
      <c r="BN482" s="287">
        <f t="shared" si="279"/>
        <v>0</v>
      </c>
      <c r="BO482" s="287">
        <f t="shared" si="280"/>
        <v>0</v>
      </c>
      <c r="BP482" s="432"/>
      <c r="BQ482" s="21"/>
      <c r="BR482" s="21"/>
      <c r="BS482" s="39"/>
      <c r="BT482" s="39"/>
      <c r="BU482" s="334">
        <v>74930.25</v>
      </c>
      <c r="BV482" s="334">
        <v>0</v>
      </c>
      <c r="BW482" s="39"/>
      <c r="BX482" s="39"/>
      <c r="BY482" s="39"/>
      <c r="BZ482" s="39">
        <v>469</v>
      </c>
      <c r="CA482" s="39" t="str">
        <f t="shared" si="281"/>
        <v/>
      </c>
      <c r="CB482" s="39"/>
      <c r="CC482" s="39"/>
      <c r="CD482" s="39"/>
      <c r="CE482" s="39"/>
      <c r="CF482" s="39"/>
      <c r="CG482" s="39"/>
      <c r="CH482" s="39"/>
      <c r="CI482" s="39"/>
      <c r="CJ482" s="39"/>
      <c r="CK482" s="39"/>
    </row>
    <row r="483" spans="1:89" s="193" customFormat="1">
      <c r="A483" s="195"/>
      <c r="B483" s="21" t="str">
        <f t="shared" si="255"/>
        <v>N/A</v>
      </c>
      <c r="C483" s="21"/>
      <c r="D483" s="432"/>
      <c r="E483" s="439" t="s">
        <v>3626</v>
      </c>
      <c r="F483" s="439"/>
      <c r="G483" s="273" t="s">
        <v>3149</v>
      </c>
      <c r="H483" s="358"/>
      <c r="I483" s="262" t="s">
        <v>3161</v>
      </c>
      <c r="J483" s="262"/>
      <c r="K483" s="263">
        <v>3714648.08</v>
      </c>
      <c r="L483" s="263">
        <v>4434320.2832113942</v>
      </c>
      <c r="M483" s="263">
        <v>6034323.8563108193</v>
      </c>
      <c r="N483" s="263">
        <v>6896257.6083026603</v>
      </c>
      <c r="O483" s="263">
        <v>7561455.8275190759</v>
      </c>
      <c r="P483" s="263">
        <v>9496153.8699999992</v>
      </c>
      <c r="Q483" s="263">
        <v>10667865.014319556</v>
      </c>
      <c r="R483" s="263">
        <v>11404604.59438134</v>
      </c>
      <c r="S483" s="263">
        <v>12705285.09391793</v>
      </c>
      <c r="T483" s="263">
        <v>14561675.391573217</v>
      </c>
      <c r="U483" s="263">
        <f t="shared" si="283"/>
        <v>87476589.619535998</v>
      </c>
      <c r="V483" s="196" t="str">
        <f t="shared" si="256"/>
        <v>R</v>
      </c>
      <c r="W483" s="196" t="s">
        <v>1168</v>
      </c>
      <c r="X483" s="196" t="str">
        <f t="shared" si="288"/>
        <v>N</v>
      </c>
      <c r="Y483" s="197">
        <f t="shared" si="282"/>
        <v>0</v>
      </c>
      <c r="Z483" s="198"/>
      <c r="AA483" s="197">
        <f t="shared" si="257"/>
        <v>0</v>
      </c>
      <c r="AB483" s="196"/>
      <c r="AC483" s="196"/>
      <c r="AD483" s="275">
        <v>0</v>
      </c>
      <c r="AE483" s="275">
        <v>0</v>
      </c>
      <c r="AF483" s="275">
        <v>1</v>
      </c>
      <c r="AG483" s="199"/>
      <c r="AH483" s="199"/>
      <c r="AI483" s="377">
        <f t="shared" si="284"/>
        <v>0</v>
      </c>
      <c r="AJ483" s="203"/>
      <c r="AK483" s="203"/>
      <c r="AL483" s="197">
        <f t="shared" si="285"/>
        <v>0</v>
      </c>
      <c r="AM483" s="197">
        <f t="shared" si="286"/>
        <v>0</v>
      </c>
      <c r="AN483" s="197">
        <f t="shared" si="287"/>
        <v>0</v>
      </c>
      <c r="AO483" s="202"/>
      <c r="AP483" s="161" t="s">
        <v>3900</v>
      </c>
      <c r="AQ483" s="279"/>
      <c r="AR483" s="287">
        <f t="shared" si="259"/>
        <v>0</v>
      </c>
      <c r="AS483" s="287">
        <f t="shared" si="260"/>
        <v>0</v>
      </c>
      <c r="AT483" s="287">
        <f t="shared" si="261"/>
        <v>0</v>
      </c>
      <c r="AU483" s="287">
        <f t="shared" si="262"/>
        <v>0</v>
      </c>
      <c r="AV483" s="287">
        <f t="shared" si="263"/>
        <v>0</v>
      </c>
      <c r="AW483" s="287">
        <f t="shared" si="264"/>
        <v>0</v>
      </c>
      <c r="AX483" s="287">
        <f t="shared" si="265"/>
        <v>0</v>
      </c>
      <c r="AY483" s="287">
        <f t="shared" si="266"/>
        <v>0</v>
      </c>
      <c r="AZ483" s="287">
        <f t="shared" si="267"/>
        <v>0</v>
      </c>
      <c r="BA483" s="287">
        <f t="shared" si="268"/>
        <v>0</v>
      </c>
      <c r="BB483" s="16"/>
      <c r="BC483" s="287">
        <f t="shared" si="269"/>
        <v>0</v>
      </c>
      <c r="BD483" s="287">
        <f t="shared" si="270"/>
        <v>0</v>
      </c>
      <c r="BE483" s="287">
        <f t="shared" si="271"/>
        <v>0</v>
      </c>
      <c r="BF483" s="287">
        <f t="shared" si="272"/>
        <v>0</v>
      </c>
      <c r="BG483" s="287">
        <f t="shared" si="273"/>
        <v>0</v>
      </c>
      <c r="BH483" s="287">
        <f t="shared" si="274"/>
        <v>0</v>
      </c>
      <c r="BI483" s="287">
        <f t="shared" si="275"/>
        <v>0</v>
      </c>
      <c r="BJ483" s="287">
        <f t="shared" si="276"/>
        <v>0</v>
      </c>
      <c r="BK483" s="287">
        <f t="shared" si="277"/>
        <v>0</v>
      </c>
      <c r="BL483" s="287">
        <f t="shared" si="278"/>
        <v>0</v>
      </c>
      <c r="BM483" s="16"/>
      <c r="BN483" s="287">
        <f t="shared" si="279"/>
        <v>0</v>
      </c>
      <c r="BO483" s="287">
        <f t="shared" si="280"/>
        <v>0</v>
      </c>
      <c r="BP483" s="432"/>
      <c r="BQ483" s="21"/>
      <c r="BR483" s="21"/>
      <c r="BS483" s="39"/>
      <c r="BT483" s="39"/>
      <c r="BU483" s="334">
        <v>875000</v>
      </c>
      <c r="BV483" s="334">
        <v>0</v>
      </c>
      <c r="BW483" s="39"/>
      <c r="BX483" s="39"/>
      <c r="BY483" s="39"/>
      <c r="BZ483" s="39">
        <v>470</v>
      </c>
      <c r="CA483" s="39" t="str">
        <f t="shared" si="281"/>
        <v/>
      </c>
      <c r="CB483" s="39"/>
      <c r="CC483" s="39"/>
      <c r="CD483" s="39"/>
      <c r="CE483" s="39"/>
      <c r="CF483" s="39"/>
      <c r="CG483" s="39"/>
      <c r="CH483" s="39"/>
      <c r="CI483" s="39"/>
      <c r="CJ483" s="39"/>
      <c r="CK483" s="39"/>
    </row>
    <row r="484" spans="1:89" s="193" customFormat="1">
      <c r="A484" s="195"/>
      <c r="B484" s="21" t="str">
        <f t="shared" si="255"/>
        <v>N/A</v>
      </c>
      <c r="C484" s="21"/>
      <c r="D484" s="432"/>
      <c r="E484" s="439" t="s">
        <v>3626</v>
      </c>
      <c r="F484" s="439"/>
      <c r="G484" s="273" t="s">
        <v>3150</v>
      </c>
      <c r="H484" s="358"/>
      <c r="I484" s="262" t="s">
        <v>3161</v>
      </c>
      <c r="J484" s="262"/>
      <c r="K484" s="263">
        <v>2549079.52</v>
      </c>
      <c r="L484" s="263">
        <v>2768726.0341625358</v>
      </c>
      <c r="M484" s="263">
        <v>3032231.5784480702</v>
      </c>
      <c r="N484" s="263">
        <v>3131495.6196326856</v>
      </c>
      <c r="O484" s="263">
        <v>3133036.5171547527</v>
      </c>
      <c r="P484" s="263">
        <v>3893070.61</v>
      </c>
      <c r="Q484" s="263">
        <v>4196819.203671732</v>
      </c>
      <c r="R484" s="263">
        <v>4376521.7133885883</v>
      </c>
      <c r="S484" s="263">
        <v>4404088.5399689469</v>
      </c>
      <c r="T484" s="263">
        <v>4558575.7041354729</v>
      </c>
      <c r="U484" s="263">
        <f t="shared" si="283"/>
        <v>36043645.040562779</v>
      </c>
      <c r="V484" s="196" t="str">
        <f t="shared" si="256"/>
        <v>R</v>
      </c>
      <c r="W484" s="196" t="s">
        <v>1168</v>
      </c>
      <c r="X484" s="196" t="str">
        <f t="shared" si="288"/>
        <v>N</v>
      </c>
      <c r="Y484" s="197">
        <f t="shared" si="282"/>
        <v>0</v>
      </c>
      <c r="Z484" s="198"/>
      <c r="AA484" s="197">
        <f t="shared" si="257"/>
        <v>0</v>
      </c>
      <c r="AB484" s="196"/>
      <c r="AC484" s="196"/>
      <c r="AD484" s="275">
        <v>0</v>
      </c>
      <c r="AE484" s="275">
        <v>0</v>
      </c>
      <c r="AF484" s="275">
        <v>1</v>
      </c>
      <c r="AG484" s="199"/>
      <c r="AH484" s="199"/>
      <c r="AI484" s="377">
        <f t="shared" si="284"/>
        <v>0</v>
      </c>
      <c r="AJ484" s="203"/>
      <c r="AK484" s="203"/>
      <c r="AL484" s="197">
        <f t="shared" si="285"/>
        <v>0</v>
      </c>
      <c r="AM484" s="197">
        <f t="shared" si="286"/>
        <v>0</v>
      </c>
      <c r="AN484" s="197">
        <f t="shared" si="287"/>
        <v>0</v>
      </c>
      <c r="AO484" s="202"/>
      <c r="AP484" s="161" t="s">
        <v>3900</v>
      </c>
      <c r="AQ484" s="279"/>
      <c r="AR484" s="287">
        <f t="shared" si="259"/>
        <v>0</v>
      </c>
      <c r="AS484" s="287">
        <f t="shared" si="260"/>
        <v>0</v>
      </c>
      <c r="AT484" s="287">
        <f t="shared" si="261"/>
        <v>0</v>
      </c>
      <c r="AU484" s="287">
        <f t="shared" si="262"/>
        <v>0</v>
      </c>
      <c r="AV484" s="287">
        <f t="shared" si="263"/>
        <v>0</v>
      </c>
      <c r="AW484" s="287">
        <f t="shared" si="264"/>
        <v>0</v>
      </c>
      <c r="AX484" s="287">
        <f t="shared" si="265"/>
        <v>0</v>
      </c>
      <c r="AY484" s="287">
        <f t="shared" si="266"/>
        <v>0</v>
      </c>
      <c r="AZ484" s="287">
        <f t="shared" si="267"/>
        <v>0</v>
      </c>
      <c r="BA484" s="287">
        <f t="shared" si="268"/>
        <v>0</v>
      </c>
      <c r="BB484" s="16"/>
      <c r="BC484" s="287">
        <f t="shared" si="269"/>
        <v>0</v>
      </c>
      <c r="BD484" s="287">
        <f t="shared" si="270"/>
        <v>0</v>
      </c>
      <c r="BE484" s="287">
        <f t="shared" si="271"/>
        <v>0</v>
      </c>
      <c r="BF484" s="287">
        <f t="shared" si="272"/>
        <v>0</v>
      </c>
      <c r="BG484" s="287">
        <f t="shared" si="273"/>
        <v>0</v>
      </c>
      <c r="BH484" s="287">
        <f t="shared" si="274"/>
        <v>0</v>
      </c>
      <c r="BI484" s="287">
        <f t="shared" si="275"/>
        <v>0</v>
      </c>
      <c r="BJ484" s="287">
        <f t="shared" si="276"/>
        <v>0</v>
      </c>
      <c r="BK484" s="287">
        <f t="shared" si="277"/>
        <v>0</v>
      </c>
      <c r="BL484" s="287">
        <f t="shared" si="278"/>
        <v>0</v>
      </c>
      <c r="BM484" s="16"/>
      <c r="BN484" s="287">
        <f t="shared" si="279"/>
        <v>0</v>
      </c>
      <c r="BO484" s="287">
        <f t="shared" si="280"/>
        <v>0</v>
      </c>
      <c r="BP484" s="432"/>
      <c r="BQ484" s="21"/>
      <c r="BR484" s="21"/>
      <c r="BS484" s="39"/>
      <c r="BT484" s="39"/>
      <c r="BU484" s="334">
        <v>175000</v>
      </c>
      <c r="BV484" s="334">
        <v>0</v>
      </c>
      <c r="BW484" s="39"/>
      <c r="BX484" s="39"/>
      <c r="BY484" s="39"/>
      <c r="BZ484" s="39">
        <v>471</v>
      </c>
      <c r="CA484" s="39" t="str">
        <f t="shared" si="281"/>
        <v/>
      </c>
      <c r="CB484" s="39"/>
      <c r="CC484" s="39"/>
      <c r="CD484" s="39"/>
      <c r="CE484" s="39"/>
      <c r="CF484" s="39"/>
      <c r="CG484" s="39"/>
      <c r="CH484" s="39"/>
      <c r="CI484" s="39"/>
      <c r="CJ484" s="39"/>
      <c r="CK484" s="39"/>
    </row>
    <row r="485" spans="1:89" s="193" customFormat="1">
      <c r="A485" s="195"/>
      <c r="B485" s="21" t="str">
        <f t="shared" si="255"/>
        <v>N/A</v>
      </c>
      <c r="C485" s="21"/>
      <c r="D485" s="432"/>
      <c r="E485" s="439" t="s">
        <v>3626</v>
      </c>
      <c r="F485" s="439"/>
      <c r="G485" s="273" t="s">
        <v>3151</v>
      </c>
      <c r="H485" s="358"/>
      <c r="I485" s="262" t="s">
        <v>3161</v>
      </c>
      <c r="J485" s="262"/>
      <c r="K485" s="263">
        <v>448974.24</v>
      </c>
      <c r="L485" s="263">
        <v>461883.6475351745</v>
      </c>
      <c r="M485" s="263">
        <v>549318.18620483438</v>
      </c>
      <c r="N485" s="263">
        <v>602308.23601610609</v>
      </c>
      <c r="O485" s="263">
        <v>653517.65542618139</v>
      </c>
      <c r="P485" s="263">
        <v>839295.3</v>
      </c>
      <c r="Q485" s="263">
        <v>956422.88509132434</v>
      </c>
      <c r="R485" s="263">
        <v>1041108.3820950827</v>
      </c>
      <c r="S485" s="263">
        <v>1156496.0913172355</v>
      </c>
      <c r="T485" s="263">
        <v>1324315.5692542149</v>
      </c>
      <c r="U485" s="263">
        <f t="shared" si="283"/>
        <v>8033640.1929401532</v>
      </c>
      <c r="V485" s="196" t="str">
        <f t="shared" si="256"/>
        <v>R</v>
      </c>
      <c r="W485" s="196" t="s">
        <v>1168</v>
      </c>
      <c r="X485" s="196" t="str">
        <f t="shared" si="288"/>
        <v>N</v>
      </c>
      <c r="Y485" s="197">
        <f t="shared" si="282"/>
        <v>0</v>
      </c>
      <c r="Z485" s="198"/>
      <c r="AA485" s="197">
        <f t="shared" si="257"/>
        <v>0</v>
      </c>
      <c r="AB485" s="196"/>
      <c r="AC485" s="196"/>
      <c r="AD485" s="275">
        <v>0</v>
      </c>
      <c r="AE485" s="275">
        <v>0</v>
      </c>
      <c r="AF485" s="275">
        <v>1</v>
      </c>
      <c r="AG485" s="199"/>
      <c r="AH485" s="199"/>
      <c r="AI485" s="377">
        <f t="shared" si="284"/>
        <v>0</v>
      </c>
      <c r="AJ485" s="203"/>
      <c r="AK485" s="203"/>
      <c r="AL485" s="197">
        <f t="shared" si="285"/>
        <v>0</v>
      </c>
      <c r="AM485" s="197">
        <f t="shared" si="286"/>
        <v>0</v>
      </c>
      <c r="AN485" s="197">
        <f t="shared" si="287"/>
        <v>0</v>
      </c>
      <c r="AO485" s="202"/>
      <c r="AP485" s="161" t="s">
        <v>3900</v>
      </c>
      <c r="AQ485" s="279"/>
      <c r="AR485" s="287">
        <f t="shared" si="259"/>
        <v>0</v>
      </c>
      <c r="AS485" s="287">
        <f t="shared" si="260"/>
        <v>0</v>
      </c>
      <c r="AT485" s="287">
        <f t="shared" si="261"/>
        <v>0</v>
      </c>
      <c r="AU485" s="287">
        <f t="shared" si="262"/>
        <v>0</v>
      </c>
      <c r="AV485" s="287">
        <f t="shared" si="263"/>
        <v>0</v>
      </c>
      <c r="AW485" s="287">
        <f t="shared" si="264"/>
        <v>0</v>
      </c>
      <c r="AX485" s="287">
        <f t="shared" si="265"/>
        <v>0</v>
      </c>
      <c r="AY485" s="287">
        <f t="shared" si="266"/>
        <v>0</v>
      </c>
      <c r="AZ485" s="287">
        <f t="shared" si="267"/>
        <v>0</v>
      </c>
      <c r="BA485" s="287">
        <f t="shared" si="268"/>
        <v>0</v>
      </c>
      <c r="BB485" s="16"/>
      <c r="BC485" s="287">
        <f t="shared" si="269"/>
        <v>0</v>
      </c>
      <c r="BD485" s="287">
        <f t="shared" si="270"/>
        <v>0</v>
      </c>
      <c r="BE485" s="287">
        <f t="shared" si="271"/>
        <v>0</v>
      </c>
      <c r="BF485" s="287">
        <f t="shared" si="272"/>
        <v>0</v>
      </c>
      <c r="BG485" s="287">
        <f t="shared" si="273"/>
        <v>0</v>
      </c>
      <c r="BH485" s="287">
        <f t="shared" si="274"/>
        <v>0</v>
      </c>
      <c r="BI485" s="287">
        <f t="shared" si="275"/>
        <v>0</v>
      </c>
      <c r="BJ485" s="287">
        <f t="shared" si="276"/>
        <v>0</v>
      </c>
      <c r="BK485" s="287">
        <f t="shared" si="277"/>
        <v>0</v>
      </c>
      <c r="BL485" s="287">
        <f t="shared" si="278"/>
        <v>0</v>
      </c>
      <c r="BM485" s="16"/>
      <c r="BN485" s="287">
        <f t="shared" si="279"/>
        <v>0</v>
      </c>
      <c r="BO485" s="287">
        <f t="shared" si="280"/>
        <v>0</v>
      </c>
      <c r="BP485" s="432"/>
      <c r="BQ485" s="21"/>
      <c r="BR485" s="21"/>
      <c r="BS485" s="39"/>
      <c r="BT485" s="39"/>
      <c r="BU485" s="334">
        <v>750000</v>
      </c>
      <c r="BV485" s="334">
        <v>0</v>
      </c>
      <c r="BW485" s="39"/>
      <c r="BX485" s="39"/>
      <c r="BY485" s="39"/>
      <c r="BZ485" s="39">
        <v>472</v>
      </c>
      <c r="CA485" s="39" t="str">
        <f t="shared" si="281"/>
        <v/>
      </c>
      <c r="CB485" s="39"/>
      <c r="CC485" s="39"/>
      <c r="CD485" s="39"/>
      <c r="CE485" s="39"/>
      <c r="CF485" s="39"/>
      <c r="CG485" s="39"/>
      <c r="CH485" s="39"/>
      <c r="CI485" s="39"/>
      <c r="CJ485" s="39"/>
      <c r="CK485" s="39"/>
    </row>
    <row r="486" spans="1:89" s="193" customFormat="1">
      <c r="A486" s="195"/>
      <c r="B486" s="21" t="str">
        <f t="shared" si="255"/>
        <v>N/A</v>
      </c>
      <c r="C486" s="21"/>
      <c r="D486" s="432"/>
      <c r="E486" s="439" t="s">
        <v>3626</v>
      </c>
      <c r="F486" s="439"/>
      <c r="G486" s="273" t="s">
        <v>3152</v>
      </c>
      <c r="H486" s="358"/>
      <c r="I486" s="262" t="s">
        <v>3161</v>
      </c>
      <c r="J486" s="262"/>
      <c r="K486" s="263">
        <v>6106726.1600000001</v>
      </c>
      <c r="L486" s="263">
        <v>5877367.7487469809</v>
      </c>
      <c r="M486" s="263">
        <v>6402008.1589802587</v>
      </c>
      <c r="N486" s="263">
        <v>6336300.4052686021</v>
      </c>
      <c r="O486" s="263">
        <v>6887772.4045201028</v>
      </c>
      <c r="P486" s="263">
        <v>10519883.789999999</v>
      </c>
      <c r="Q486" s="263">
        <v>14034185.031528428</v>
      </c>
      <c r="R486" s="263">
        <v>15745668.059323233</v>
      </c>
      <c r="S486" s="263">
        <v>16566500.298948586</v>
      </c>
      <c r="T486" s="263">
        <v>17825369.833791021</v>
      </c>
      <c r="U486" s="263">
        <f t="shared" si="283"/>
        <v>106301781.8911072</v>
      </c>
      <c r="V486" s="196" t="str">
        <f t="shared" si="256"/>
        <v>R</v>
      </c>
      <c r="W486" s="196" t="s">
        <v>1168</v>
      </c>
      <c r="X486" s="196" t="str">
        <f t="shared" si="288"/>
        <v>N</v>
      </c>
      <c r="Y486" s="197">
        <f t="shared" si="282"/>
        <v>0</v>
      </c>
      <c r="Z486" s="198"/>
      <c r="AA486" s="197">
        <f t="shared" si="257"/>
        <v>0</v>
      </c>
      <c r="AB486" s="196"/>
      <c r="AC486" s="196"/>
      <c r="AD486" s="275">
        <v>0</v>
      </c>
      <c r="AE486" s="275">
        <v>0</v>
      </c>
      <c r="AF486" s="275">
        <v>1</v>
      </c>
      <c r="AG486" s="199"/>
      <c r="AH486" s="199"/>
      <c r="AI486" s="377">
        <f t="shared" si="284"/>
        <v>0</v>
      </c>
      <c r="AJ486" s="203"/>
      <c r="AK486" s="203"/>
      <c r="AL486" s="197">
        <f t="shared" si="285"/>
        <v>0</v>
      </c>
      <c r="AM486" s="197">
        <f t="shared" si="286"/>
        <v>0</v>
      </c>
      <c r="AN486" s="197">
        <f t="shared" si="287"/>
        <v>0</v>
      </c>
      <c r="AO486" s="202"/>
      <c r="AP486" s="161" t="s">
        <v>3900</v>
      </c>
      <c r="AQ486" s="279"/>
      <c r="AR486" s="287">
        <f t="shared" si="259"/>
        <v>0</v>
      </c>
      <c r="AS486" s="287">
        <f t="shared" si="260"/>
        <v>0</v>
      </c>
      <c r="AT486" s="287">
        <f t="shared" si="261"/>
        <v>0</v>
      </c>
      <c r="AU486" s="287">
        <f t="shared" si="262"/>
        <v>0</v>
      </c>
      <c r="AV486" s="287">
        <f t="shared" si="263"/>
        <v>0</v>
      </c>
      <c r="AW486" s="287">
        <f t="shared" si="264"/>
        <v>0</v>
      </c>
      <c r="AX486" s="287">
        <f t="shared" si="265"/>
        <v>0</v>
      </c>
      <c r="AY486" s="287">
        <f t="shared" si="266"/>
        <v>0</v>
      </c>
      <c r="AZ486" s="287">
        <f t="shared" si="267"/>
        <v>0</v>
      </c>
      <c r="BA486" s="287">
        <f t="shared" si="268"/>
        <v>0</v>
      </c>
      <c r="BB486" s="16"/>
      <c r="BC486" s="287">
        <f t="shared" si="269"/>
        <v>0</v>
      </c>
      <c r="BD486" s="287">
        <f t="shared" si="270"/>
        <v>0</v>
      </c>
      <c r="BE486" s="287">
        <f t="shared" si="271"/>
        <v>0</v>
      </c>
      <c r="BF486" s="287">
        <f t="shared" si="272"/>
        <v>0</v>
      </c>
      <c r="BG486" s="287">
        <f t="shared" si="273"/>
        <v>0</v>
      </c>
      <c r="BH486" s="287">
        <f t="shared" si="274"/>
        <v>0</v>
      </c>
      <c r="BI486" s="287">
        <f t="shared" si="275"/>
        <v>0</v>
      </c>
      <c r="BJ486" s="287">
        <f t="shared" si="276"/>
        <v>0</v>
      </c>
      <c r="BK486" s="287">
        <f t="shared" si="277"/>
        <v>0</v>
      </c>
      <c r="BL486" s="287">
        <f t="shared" si="278"/>
        <v>0</v>
      </c>
      <c r="BM486" s="16"/>
      <c r="BN486" s="287">
        <f t="shared" si="279"/>
        <v>0</v>
      </c>
      <c r="BO486" s="287">
        <f t="shared" si="280"/>
        <v>0</v>
      </c>
      <c r="BP486" s="432"/>
      <c r="BQ486" s="21"/>
      <c r="BR486" s="21"/>
      <c r="BS486" s="39"/>
      <c r="BT486" s="39"/>
      <c r="BU486" s="334">
        <v>665000</v>
      </c>
      <c r="BV486" s="334">
        <v>0</v>
      </c>
      <c r="BW486" s="39"/>
      <c r="BX486" s="39"/>
      <c r="BY486" s="39"/>
      <c r="BZ486" s="39">
        <v>473</v>
      </c>
      <c r="CA486" s="39" t="str">
        <f t="shared" si="281"/>
        <v/>
      </c>
      <c r="CB486" s="39"/>
      <c r="CC486" s="39"/>
      <c r="CD486" s="39"/>
      <c r="CE486" s="39"/>
      <c r="CF486" s="39"/>
      <c r="CG486" s="39"/>
      <c r="CH486" s="39"/>
      <c r="CI486" s="39"/>
      <c r="CJ486" s="39"/>
      <c r="CK486" s="39"/>
    </row>
    <row r="487" spans="1:89" s="193" customFormat="1">
      <c r="A487" s="195"/>
      <c r="B487" s="21" t="str">
        <f t="shared" si="255"/>
        <v>N/A</v>
      </c>
      <c r="C487" s="21"/>
      <c r="D487" s="432"/>
      <c r="E487" s="439" t="s">
        <v>3626</v>
      </c>
      <c r="F487" s="439"/>
      <c r="G487" s="273" t="s">
        <v>3153</v>
      </c>
      <c r="H487" s="358"/>
      <c r="I487" s="262" t="s">
        <v>3161</v>
      </c>
      <c r="J487" s="262"/>
      <c r="K487" s="263">
        <v>139776.73000000001</v>
      </c>
      <c r="L487" s="263">
        <v>133403.40494804294</v>
      </c>
      <c r="M487" s="263">
        <v>137328.5631084324</v>
      </c>
      <c r="N487" s="263">
        <v>141062.83566384533</v>
      </c>
      <c r="O487" s="263">
        <v>144854.13641268722</v>
      </c>
      <c r="P487" s="263">
        <v>186914.68</v>
      </c>
      <c r="Q487" s="263">
        <v>209830.74557889838</v>
      </c>
      <c r="R487" s="263">
        <v>227922.94664684247</v>
      </c>
      <c r="S487" s="263">
        <v>238943.47043446652</v>
      </c>
      <c r="T487" s="263">
        <v>257837.53055022101</v>
      </c>
      <c r="U487" s="263">
        <f t="shared" si="283"/>
        <v>1817875.0433434362</v>
      </c>
      <c r="V487" s="196" t="str">
        <f t="shared" si="256"/>
        <v>R</v>
      </c>
      <c r="W487" s="196" t="s">
        <v>1168</v>
      </c>
      <c r="X487" s="196" t="str">
        <f t="shared" si="288"/>
        <v>N</v>
      </c>
      <c r="Y487" s="197">
        <f t="shared" si="282"/>
        <v>0</v>
      </c>
      <c r="Z487" s="198"/>
      <c r="AA487" s="197">
        <f t="shared" si="257"/>
        <v>0</v>
      </c>
      <c r="AB487" s="196"/>
      <c r="AC487" s="196"/>
      <c r="AD487" s="275">
        <v>0</v>
      </c>
      <c r="AE487" s="275">
        <v>0</v>
      </c>
      <c r="AF487" s="275">
        <v>1</v>
      </c>
      <c r="AG487" s="199"/>
      <c r="AH487" s="199"/>
      <c r="AI487" s="377">
        <f t="shared" si="284"/>
        <v>0</v>
      </c>
      <c r="AJ487" s="203"/>
      <c r="AK487" s="203"/>
      <c r="AL487" s="197">
        <f t="shared" si="285"/>
        <v>0</v>
      </c>
      <c r="AM487" s="197">
        <f t="shared" si="286"/>
        <v>0</v>
      </c>
      <c r="AN487" s="197">
        <f t="shared" si="287"/>
        <v>0</v>
      </c>
      <c r="AO487" s="202"/>
      <c r="AP487" s="161" t="s">
        <v>3900</v>
      </c>
      <c r="AQ487" s="279"/>
      <c r="AR487" s="287">
        <f t="shared" si="259"/>
        <v>0</v>
      </c>
      <c r="AS487" s="287">
        <f t="shared" si="260"/>
        <v>0</v>
      </c>
      <c r="AT487" s="287">
        <f t="shared" si="261"/>
        <v>0</v>
      </c>
      <c r="AU487" s="287">
        <f t="shared" si="262"/>
        <v>0</v>
      </c>
      <c r="AV487" s="287">
        <f t="shared" si="263"/>
        <v>0</v>
      </c>
      <c r="AW487" s="287">
        <f t="shared" si="264"/>
        <v>0</v>
      </c>
      <c r="AX487" s="287">
        <f t="shared" si="265"/>
        <v>0</v>
      </c>
      <c r="AY487" s="287">
        <f t="shared" si="266"/>
        <v>0</v>
      </c>
      <c r="AZ487" s="287">
        <f t="shared" si="267"/>
        <v>0</v>
      </c>
      <c r="BA487" s="287">
        <f t="shared" si="268"/>
        <v>0</v>
      </c>
      <c r="BB487" s="16"/>
      <c r="BC487" s="287">
        <f t="shared" si="269"/>
        <v>0</v>
      </c>
      <c r="BD487" s="287">
        <f t="shared" si="270"/>
        <v>0</v>
      </c>
      <c r="BE487" s="287">
        <f t="shared" si="271"/>
        <v>0</v>
      </c>
      <c r="BF487" s="287">
        <f t="shared" si="272"/>
        <v>0</v>
      </c>
      <c r="BG487" s="287">
        <f t="shared" si="273"/>
        <v>0</v>
      </c>
      <c r="BH487" s="287">
        <f t="shared" si="274"/>
        <v>0</v>
      </c>
      <c r="BI487" s="287">
        <f t="shared" si="275"/>
        <v>0</v>
      </c>
      <c r="BJ487" s="287">
        <f t="shared" si="276"/>
        <v>0</v>
      </c>
      <c r="BK487" s="287">
        <f t="shared" si="277"/>
        <v>0</v>
      </c>
      <c r="BL487" s="287">
        <f t="shared" si="278"/>
        <v>0</v>
      </c>
      <c r="BM487" s="16"/>
      <c r="BN487" s="287">
        <f t="shared" si="279"/>
        <v>0</v>
      </c>
      <c r="BO487" s="287">
        <f t="shared" si="280"/>
        <v>0</v>
      </c>
      <c r="BP487" s="432"/>
      <c r="BQ487" s="21"/>
      <c r="BR487" s="21"/>
      <c r="BS487" s="39"/>
      <c r="BT487" s="39"/>
      <c r="BU487" s="334">
        <v>260000</v>
      </c>
      <c r="BV487" s="334">
        <v>0</v>
      </c>
      <c r="BW487" s="39"/>
      <c r="BX487" s="39"/>
      <c r="BY487" s="39"/>
      <c r="BZ487" s="39">
        <v>474</v>
      </c>
      <c r="CA487" s="39" t="str">
        <f t="shared" si="281"/>
        <v/>
      </c>
      <c r="CB487" s="39"/>
      <c r="CC487" s="39"/>
      <c r="CD487" s="39"/>
      <c r="CE487" s="39"/>
      <c r="CF487" s="39"/>
      <c r="CG487" s="39"/>
      <c r="CH487" s="39"/>
      <c r="CI487" s="39"/>
      <c r="CJ487" s="39"/>
      <c r="CK487" s="39"/>
    </row>
    <row r="488" spans="1:89" s="193" customFormat="1">
      <c r="A488" s="195"/>
      <c r="B488" s="21" t="str">
        <f t="shared" si="255"/>
        <v>N/A</v>
      </c>
      <c r="C488" s="21"/>
      <c r="D488" s="432"/>
      <c r="E488" s="439" t="s">
        <v>3626</v>
      </c>
      <c r="F488" s="439"/>
      <c r="G488" s="273" t="s">
        <v>3154</v>
      </c>
      <c r="H488" s="358"/>
      <c r="I488" s="262" t="s">
        <v>3161</v>
      </c>
      <c r="J488" s="262"/>
      <c r="K488" s="263">
        <v>60308.56</v>
      </c>
      <c r="L488" s="263">
        <v>70133.262263940283</v>
      </c>
      <c r="M488" s="263">
        <v>102988.10737668692</v>
      </c>
      <c r="N488" s="263">
        <v>131944.33991419073</v>
      </c>
      <c r="O488" s="263">
        <v>156941.91664520794</v>
      </c>
      <c r="P488" s="263">
        <v>219777.27</v>
      </c>
      <c r="Q488" s="263">
        <v>270145.7719378199</v>
      </c>
      <c r="R488" s="263">
        <v>315729.09959330718</v>
      </c>
      <c r="S488" s="263">
        <v>373448.47335650917</v>
      </c>
      <c r="T488" s="263">
        <v>453785.47050159372</v>
      </c>
      <c r="U488" s="263">
        <f t="shared" si="283"/>
        <v>2155202.2715892559</v>
      </c>
      <c r="V488" s="196" t="str">
        <f t="shared" si="256"/>
        <v>R</v>
      </c>
      <c r="W488" s="196" t="s">
        <v>1168</v>
      </c>
      <c r="X488" s="196" t="str">
        <f t="shared" si="288"/>
        <v>N</v>
      </c>
      <c r="Y488" s="197">
        <f t="shared" si="282"/>
        <v>0</v>
      </c>
      <c r="Z488" s="198"/>
      <c r="AA488" s="197">
        <f t="shared" si="257"/>
        <v>0</v>
      </c>
      <c r="AB488" s="196"/>
      <c r="AC488" s="196"/>
      <c r="AD488" s="275">
        <v>0</v>
      </c>
      <c r="AE488" s="275">
        <v>0</v>
      </c>
      <c r="AF488" s="275">
        <v>1</v>
      </c>
      <c r="AG488" s="199"/>
      <c r="AH488" s="199"/>
      <c r="AI488" s="377">
        <f t="shared" si="284"/>
        <v>0</v>
      </c>
      <c r="AJ488" s="203"/>
      <c r="AK488" s="203"/>
      <c r="AL488" s="197">
        <f t="shared" si="285"/>
        <v>0</v>
      </c>
      <c r="AM488" s="197">
        <f t="shared" si="286"/>
        <v>0</v>
      </c>
      <c r="AN488" s="197">
        <f t="shared" si="287"/>
        <v>0</v>
      </c>
      <c r="AO488" s="202"/>
      <c r="AP488" s="161" t="s">
        <v>3900</v>
      </c>
      <c r="AQ488" s="279"/>
      <c r="AR488" s="287">
        <f t="shared" si="259"/>
        <v>0</v>
      </c>
      <c r="AS488" s="287">
        <f t="shared" si="260"/>
        <v>0</v>
      </c>
      <c r="AT488" s="287">
        <f t="shared" si="261"/>
        <v>0</v>
      </c>
      <c r="AU488" s="287">
        <f t="shared" si="262"/>
        <v>0</v>
      </c>
      <c r="AV488" s="287">
        <f t="shared" si="263"/>
        <v>0</v>
      </c>
      <c r="AW488" s="287">
        <f t="shared" si="264"/>
        <v>0</v>
      </c>
      <c r="AX488" s="287">
        <f t="shared" si="265"/>
        <v>0</v>
      </c>
      <c r="AY488" s="287">
        <f t="shared" si="266"/>
        <v>0</v>
      </c>
      <c r="AZ488" s="287">
        <f t="shared" si="267"/>
        <v>0</v>
      </c>
      <c r="BA488" s="287">
        <f t="shared" si="268"/>
        <v>0</v>
      </c>
      <c r="BB488" s="16"/>
      <c r="BC488" s="287">
        <f t="shared" si="269"/>
        <v>0</v>
      </c>
      <c r="BD488" s="287">
        <f t="shared" si="270"/>
        <v>0</v>
      </c>
      <c r="BE488" s="287">
        <f t="shared" si="271"/>
        <v>0</v>
      </c>
      <c r="BF488" s="287">
        <f t="shared" si="272"/>
        <v>0</v>
      </c>
      <c r="BG488" s="287">
        <f t="shared" si="273"/>
        <v>0</v>
      </c>
      <c r="BH488" s="287">
        <f t="shared" si="274"/>
        <v>0</v>
      </c>
      <c r="BI488" s="287">
        <f t="shared" si="275"/>
        <v>0</v>
      </c>
      <c r="BJ488" s="287">
        <f t="shared" si="276"/>
        <v>0</v>
      </c>
      <c r="BK488" s="287">
        <f t="shared" si="277"/>
        <v>0</v>
      </c>
      <c r="BL488" s="287">
        <f t="shared" si="278"/>
        <v>0</v>
      </c>
      <c r="BM488" s="16"/>
      <c r="BN488" s="287">
        <f t="shared" si="279"/>
        <v>0</v>
      </c>
      <c r="BO488" s="287">
        <f t="shared" si="280"/>
        <v>0</v>
      </c>
      <c r="BP488" s="432"/>
      <c r="BQ488" s="21"/>
      <c r="BR488" s="21"/>
      <c r="BS488" s="39"/>
      <c r="BT488" s="39"/>
      <c r="BU488" s="334">
        <v>824250</v>
      </c>
      <c r="BV488" s="334">
        <v>0</v>
      </c>
      <c r="BW488" s="39"/>
      <c r="BX488" s="39"/>
      <c r="BY488" s="39"/>
      <c r="BZ488" s="39">
        <v>475</v>
      </c>
      <c r="CA488" s="39" t="str">
        <f t="shared" si="281"/>
        <v/>
      </c>
      <c r="CB488" s="39"/>
      <c r="CC488" s="39"/>
      <c r="CD488" s="39"/>
      <c r="CE488" s="39"/>
      <c r="CF488" s="39"/>
      <c r="CG488" s="39"/>
      <c r="CH488" s="39"/>
      <c r="CI488" s="39"/>
      <c r="CJ488" s="39"/>
      <c r="CK488" s="39"/>
    </row>
    <row r="489" spans="1:89" s="193" customFormat="1">
      <c r="A489" s="195"/>
      <c r="B489" s="21" t="str">
        <f t="shared" si="255"/>
        <v>N/A</v>
      </c>
      <c r="C489" s="21"/>
      <c r="D489" s="432"/>
      <c r="E489" s="439" t="s">
        <v>3626</v>
      </c>
      <c r="F489" s="439"/>
      <c r="G489" s="273" t="s">
        <v>3155</v>
      </c>
      <c r="H489" s="358"/>
      <c r="I489" s="262" t="s">
        <v>3161</v>
      </c>
      <c r="J489" s="262"/>
      <c r="K489" s="263">
        <v>577.20000000000005</v>
      </c>
      <c r="L489" s="263">
        <v>1017.7559011711005</v>
      </c>
      <c r="M489" s="263">
        <v>17227.738734859271</v>
      </c>
      <c r="N489" s="263">
        <v>42204.375920598824</v>
      </c>
      <c r="O489" s="263">
        <v>64226.550507536391</v>
      </c>
      <c r="P489" s="263">
        <v>185917.73</v>
      </c>
      <c r="Q489" s="263">
        <v>282599.89135549229</v>
      </c>
      <c r="R489" s="263">
        <v>336716.64080724749</v>
      </c>
      <c r="S489" s="263">
        <v>329751.03072928113</v>
      </c>
      <c r="T489" s="263">
        <v>307402.42097112595</v>
      </c>
      <c r="U489" s="263">
        <f t="shared" si="283"/>
        <v>1567641.3349273126</v>
      </c>
      <c r="V489" s="196" t="str">
        <f t="shared" si="256"/>
        <v>R</v>
      </c>
      <c r="W489" s="196" t="s">
        <v>1168</v>
      </c>
      <c r="X489" s="196" t="str">
        <f t="shared" si="288"/>
        <v>N</v>
      </c>
      <c r="Y489" s="197">
        <f t="shared" si="282"/>
        <v>0</v>
      </c>
      <c r="Z489" s="198"/>
      <c r="AA489" s="197">
        <f t="shared" si="257"/>
        <v>0</v>
      </c>
      <c r="AB489" s="196"/>
      <c r="AC489" s="196"/>
      <c r="AD489" s="275">
        <v>0</v>
      </c>
      <c r="AE489" s="275">
        <v>0</v>
      </c>
      <c r="AF489" s="275">
        <v>1</v>
      </c>
      <c r="AG489" s="199"/>
      <c r="AH489" s="199"/>
      <c r="AI489" s="377">
        <f t="shared" si="284"/>
        <v>0</v>
      </c>
      <c r="AJ489" s="203"/>
      <c r="AK489" s="203"/>
      <c r="AL489" s="197">
        <f t="shared" si="285"/>
        <v>0</v>
      </c>
      <c r="AM489" s="197">
        <f t="shared" si="286"/>
        <v>0</v>
      </c>
      <c r="AN489" s="197">
        <f t="shared" si="287"/>
        <v>0</v>
      </c>
      <c r="AO489" s="202"/>
      <c r="AP489" s="161" t="s">
        <v>3900</v>
      </c>
      <c r="AQ489" s="279"/>
      <c r="AR489" s="287">
        <f t="shared" si="259"/>
        <v>0</v>
      </c>
      <c r="AS489" s="287">
        <f t="shared" si="260"/>
        <v>0</v>
      </c>
      <c r="AT489" s="287">
        <f t="shared" si="261"/>
        <v>0</v>
      </c>
      <c r="AU489" s="287">
        <f t="shared" si="262"/>
        <v>0</v>
      </c>
      <c r="AV489" s="287">
        <f t="shared" si="263"/>
        <v>0</v>
      </c>
      <c r="AW489" s="287">
        <f t="shared" si="264"/>
        <v>0</v>
      </c>
      <c r="AX489" s="287">
        <f t="shared" si="265"/>
        <v>0</v>
      </c>
      <c r="AY489" s="287">
        <f t="shared" si="266"/>
        <v>0</v>
      </c>
      <c r="AZ489" s="287">
        <f t="shared" si="267"/>
        <v>0</v>
      </c>
      <c r="BA489" s="287">
        <f t="shared" si="268"/>
        <v>0</v>
      </c>
      <c r="BB489" s="16"/>
      <c r="BC489" s="287">
        <f t="shared" si="269"/>
        <v>0</v>
      </c>
      <c r="BD489" s="287">
        <f t="shared" si="270"/>
        <v>0</v>
      </c>
      <c r="BE489" s="287">
        <f t="shared" si="271"/>
        <v>0</v>
      </c>
      <c r="BF489" s="287">
        <f t="shared" si="272"/>
        <v>0</v>
      </c>
      <c r="BG489" s="287">
        <f t="shared" si="273"/>
        <v>0</v>
      </c>
      <c r="BH489" s="287">
        <f t="shared" si="274"/>
        <v>0</v>
      </c>
      <c r="BI489" s="287">
        <f t="shared" si="275"/>
        <v>0</v>
      </c>
      <c r="BJ489" s="287">
        <f t="shared" si="276"/>
        <v>0</v>
      </c>
      <c r="BK489" s="287">
        <f t="shared" si="277"/>
        <v>0</v>
      </c>
      <c r="BL489" s="287">
        <f t="shared" si="278"/>
        <v>0</v>
      </c>
      <c r="BM489" s="16"/>
      <c r="BN489" s="287">
        <f t="shared" si="279"/>
        <v>0</v>
      </c>
      <c r="BO489" s="287">
        <f t="shared" si="280"/>
        <v>0</v>
      </c>
      <c r="BP489" s="432"/>
      <c r="BQ489" s="21"/>
      <c r="BR489" s="21"/>
      <c r="BS489" s="39"/>
      <c r="BT489" s="39"/>
      <c r="BU489" s="334">
        <v>461750</v>
      </c>
      <c r="BV489" s="334">
        <v>0</v>
      </c>
      <c r="BW489" s="39"/>
      <c r="BX489" s="39"/>
      <c r="BY489" s="39"/>
      <c r="BZ489" s="39">
        <v>476</v>
      </c>
      <c r="CA489" s="39" t="str">
        <f t="shared" si="281"/>
        <v/>
      </c>
      <c r="CB489" s="39"/>
      <c r="CC489" s="39"/>
      <c r="CD489" s="39"/>
      <c r="CE489" s="39"/>
      <c r="CF489" s="39"/>
      <c r="CG489" s="39"/>
      <c r="CH489" s="39"/>
      <c r="CI489" s="39"/>
      <c r="CJ489" s="39"/>
      <c r="CK489" s="39"/>
    </row>
    <row r="490" spans="1:89" s="193" customFormat="1" ht="48">
      <c r="A490" s="375" t="s">
        <v>2507</v>
      </c>
      <c r="B490" s="21" t="str">
        <f t="shared" si="255"/>
        <v>OSD</v>
      </c>
      <c r="C490" s="21"/>
      <c r="D490" s="432">
        <v>3200889</v>
      </c>
      <c r="E490" s="439" t="s">
        <v>3626</v>
      </c>
      <c r="F490" s="439" t="s">
        <v>3747</v>
      </c>
      <c r="G490" s="273" t="s">
        <v>4314</v>
      </c>
      <c r="H490" s="500" t="s">
        <v>5112</v>
      </c>
      <c r="I490" s="262" t="s">
        <v>3492</v>
      </c>
      <c r="J490" s="262" t="s">
        <v>3511</v>
      </c>
      <c r="K490" s="263">
        <v>100000</v>
      </c>
      <c r="L490" s="263">
        <v>1233958</v>
      </c>
      <c r="M490" s="263">
        <v>0</v>
      </c>
      <c r="N490" s="263">
        <v>0</v>
      </c>
      <c r="O490" s="263">
        <v>0</v>
      </c>
      <c r="P490" s="263">
        <v>0</v>
      </c>
      <c r="Q490" s="263">
        <v>0</v>
      </c>
      <c r="R490" s="263">
        <v>0</v>
      </c>
      <c r="S490" s="263">
        <v>0</v>
      </c>
      <c r="T490" s="263">
        <v>0</v>
      </c>
      <c r="U490" s="263">
        <f t="shared" si="283"/>
        <v>1333958</v>
      </c>
      <c r="V490" s="196" t="str">
        <f t="shared" si="256"/>
        <v>G/LOS</v>
      </c>
      <c r="W490" s="196" t="s">
        <v>1168</v>
      </c>
      <c r="X490" s="196" t="str">
        <f t="shared" si="288"/>
        <v>Y</v>
      </c>
      <c r="Y490" s="376">
        <f t="shared" ref="Y490:Y521" si="289">SUM(K490:T490)</f>
        <v>1333958</v>
      </c>
      <c r="Z490" s="198"/>
      <c r="AA490" s="376">
        <f t="shared" si="257"/>
        <v>1333958</v>
      </c>
      <c r="AB490" s="196" t="s">
        <v>1166</v>
      </c>
      <c r="AC490" s="196" t="s">
        <v>1168</v>
      </c>
      <c r="AD490" s="275">
        <v>0.74</v>
      </c>
      <c r="AE490" s="275">
        <v>0.26</v>
      </c>
      <c r="AF490" s="275">
        <v>0</v>
      </c>
      <c r="AG490" s="199">
        <v>0.5</v>
      </c>
      <c r="AH490" s="199">
        <v>0.75</v>
      </c>
      <c r="AI490" s="377">
        <f t="shared" si="284"/>
        <v>0.625</v>
      </c>
      <c r="AJ490" s="203">
        <v>1</v>
      </c>
      <c r="AK490" s="203">
        <f t="shared" ref="AK490:AK503" si="290">1-AJ490</f>
        <v>0</v>
      </c>
      <c r="AL490" s="376">
        <f t="shared" si="285"/>
        <v>500234.25</v>
      </c>
      <c r="AM490" s="376">
        <f t="shared" si="286"/>
        <v>833723.75</v>
      </c>
      <c r="AN490" s="376">
        <f t="shared" si="287"/>
        <v>0</v>
      </c>
      <c r="AO490" s="378" t="s">
        <v>3608</v>
      </c>
      <c r="AP490" s="379" t="s">
        <v>2714</v>
      </c>
      <c r="AQ490" s="279"/>
      <c r="AR490" s="287">
        <f t="shared" si="259"/>
        <v>62500</v>
      </c>
      <c r="AS490" s="287">
        <f t="shared" si="260"/>
        <v>771223.75</v>
      </c>
      <c r="AT490" s="287">
        <f t="shared" si="261"/>
        <v>0</v>
      </c>
      <c r="AU490" s="287">
        <f t="shared" si="262"/>
        <v>0</v>
      </c>
      <c r="AV490" s="287">
        <f t="shared" si="263"/>
        <v>0</v>
      </c>
      <c r="AW490" s="287">
        <f t="shared" si="264"/>
        <v>0</v>
      </c>
      <c r="AX490" s="287">
        <f t="shared" si="265"/>
        <v>0</v>
      </c>
      <c r="AY490" s="287">
        <f t="shared" si="266"/>
        <v>0</v>
      </c>
      <c r="AZ490" s="287">
        <f t="shared" si="267"/>
        <v>0</v>
      </c>
      <c r="BA490" s="287">
        <f t="shared" si="268"/>
        <v>0</v>
      </c>
      <c r="BB490" s="16"/>
      <c r="BC490" s="287">
        <f t="shared" si="269"/>
        <v>0</v>
      </c>
      <c r="BD490" s="287">
        <f t="shared" si="270"/>
        <v>0</v>
      </c>
      <c r="BE490" s="287">
        <f t="shared" si="271"/>
        <v>0</v>
      </c>
      <c r="BF490" s="287">
        <f t="shared" si="272"/>
        <v>0</v>
      </c>
      <c r="BG490" s="287">
        <f t="shared" si="273"/>
        <v>0</v>
      </c>
      <c r="BH490" s="287">
        <f t="shared" si="274"/>
        <v>0</v>
      </c>
      <c r="BI490" s="287">
        <f t="shared" si="275"/>
        <v>0</v>
      </c>
      <c r="BJ490" s="287">
        <f t="shared" si="276"/>
        <v>0</v>
      </c>
      <c r="BK490" s="287">
        <f t="shared" si="277"/>
        <v>0</v>
      </c>
      <c r="BL490" s="287">
        <f t="shared" si="278"/>
        <v>0</v>
      </c>
      <c r="BM490" s="16"/>
      <c r="BN490" s="287">
        <f t="shared" si="279"/>
        <v>833723.75</v>
      </c>
      <c r="BO490" s="287">
        <f t="shared" si="280"/>
        <v>0</v>
      </c>
      <c r="BP490" s="432"/>
      <c r="BQ490" s="21"/>
      <c r="BR490" s="21"/>
      <c r="BS490" s="6"/>
      <c r="BT490" s="194">
        <f t="shared" ref="BT490:BT521" si="291">+BN490+BO490</f>
        <v>833723.75</v>
      </c>
      <c r="BU490" s="194">
        <f t="shared" ref="BU490:BU521" si="292">+AM490</f>
        <v>833723.75</v>
      </c>
      <c r="BV490" s="194">
        <f t="shared" ref="BV490:BV521" si="293">+AN490</f>
        <v>0</v>
      </c>
      <c r="BW490" s="194">
        <f t="shared" ref="BW490:BW521" si="294">+BT490-BU490-BV490</f>
        <v>0</v>
      </c>
      <c r="BX490" s="6"/>
      <c r="BY490" s="6"/>
      <c r="BZ490" s="39">
        <v>477</v>
      </c>
      <c r="CA490" s="39">
        <f t="shared" si="281"/>
        <v>2031</v>
      </c>
      <c r="CB490" s="6"/>
      <c r="CC490" s="39"/>
      <c r="CD490" s="39"/>
      <c r="CE490" s="39"/>
      <c r="CF490" s="39"/>
      <c r="CG490" s="39"/>
      <c r="CH490" s="39"/>
      <c r="CI490" s="39"/>
      <c r="CJ490" s="39"/>
      <c r="CK490" s="39"/>
    </row>
    <row r="491" spans="1:89" s="193" customFormat="1" ht="24">
      <c r="A491" s="375" t="s">
        <v>2507</v>
      </c>
      <c r="B491" s="21" t="str">
        <f t="shared" si="255"/>
        <v>OSD</v>
      </c>
      <c r="C491" s="21"/>
      <c r="D491" s="432">
        <v>3201000</v>
      </c>
      <c r="E491" s="439" t="s">
        <v>3626</v>
      </c>
      <c r="F491" s="439" t="s">
        <v>3751</v>
      </c>
      <c r="G491" s="273" t="s">
        <v>4410</v>
      </c>
      <c r="H491" s="500" t="s">
        <v>4662</v>
      </c>
      <c r="I491" s="262" t="s">
        <v>3492</v>
      </c>
      <c r="J491" s="262" t="s">
        <v>3519</v>
      </c>
      <c r="K491" s="263">
        <v>0</v>
      </c>
      <c r="L491" s="263">
        <v>484769</v>
      </c>
      <c r="M491" s="263">
        <v>2793283</v>
      </c>
      <c r="N491" s="263">
        <v>10000000</v>
      </c>
      <c r="O491" s="263">
        <v>5000000</v>
      </c>
      <c r="P491" s="263">
        <v>63069576</v>
      </c>
      <c r="Q491" s="263">
        <v>74050001</v>
      </c>
      <c r="R491" s="263">
        <v>89320000</v>
      </c>
      <c r="S491" s="263">
        <v>85420000</v>
      </c>
      <c r="T491" s="263">
        <v>85780000</v>
      </c>
      <c r="U491" s="263">
        <f t="shared" si="283"/>
        <v>415917629</v>
      </c>
      <c r="V491" s="196" t="str">
        <f t="shared" si="256"/>
        <v>G/LOS</v>
      </c>
      <c r="W491" s="196" t="s">
        <v>1168</v>
      </c>
      <c r="X491" s="196" t="str">
        <f t="shared" si="288"/>
        <v>Y</v>
      </c>
      <c r="Y491" s="376">
        <f t="shared" si="289"/>
        <v>415917629</v>
      </c>
      <c r="Z491" s="198"/>
      <c r="AA491" s="376">
        <f t="shared" si="257"/>
        <v>415917629</v>
      </c>
      <c r="AB491" s="196" t="s">
        <v>1166</v>
      </c>
      <c r="AC491" s="196" t="s">
        <v>1168</v>
      </c>
      <c r="AD491" s="275">
        <v>0.75</v>
      </c>
      <c r="AE491" s="275">
        <v>0.25</v>
      </c>
      <c r="AF491" s="275">
        <v>0</v>
      </c>
      <c r="AG491" s="199">
        <v>0.75</v>
      </c>
      <c r="AH491" s="199">
        <v>0.75</v>
      </c>
      <c r="AI491" s="377">
        <f t="shared" si="284"/>
        <v>0.75</v>
      </c>
      <c r="AJ491" s="203">
        <v>1</v>
      </c>
      <c r="AK491" s="203">
        <f t="shared" si="290"/>
        <v>0</v>
      </c>
      <c r="AL491" s="376">
        <f t="shared" si="285"/>
        <v>103979407.25</v>
      </c>
      <c r="AM491" s="376">
        <f t="shared" si="286"/>
        <v>311938221.75</v>
      </c>
      <c r="AN491" s="376">
        <f t="shared" si="287"/>
        <v>0</v>
      </c>
      <c r="AO491" s="378" t="s">
        <v>3608</v>
      </c>
      <c r="AP491" s="379" t="s">
        <v>2714</v>
      </c>
      <c r="AQ491" s="279"/>
      <c r="AR491" s="287">
        <f t="shared" si="259"/>
        <v>0</v>
      </c>
      <c r="AS491" s="287">
        <f t="shared" si="260"/>
        <v>363576.75</v>
      </c>
      <c r="AT491" s="287">
        <f t="shared" si="261"/>
        <v>2094962.25</v>
      </c>
      <c r="AU491" s="287">
        <f t="shared" si="262"/>
        <v>7500000</v>
      </c>
      <c r="AV491" s="287">
        <f t="shared" si="263"/>
        <v>3750000</v>
      </c>
      <c r="AW491" s="287">
        <f t="shared" si="264"/>
        <v>47302182</v>
      </c>
      <c r="AX491" s="287">
        <f t="shared" si="265"/>
        <v>55537500.75</v>
      </c>
      <c r="AY491" s="287">
        <f t="shared" si="266"/>
        <v>66990000</v>
      </c>
      <c r="AZ491" s="287">
        <f t="shared" si="267"/>
        <v>64065000</v>
      </c>
      <c r="BA491" s="287">
        <f t="shared" si="268"/>
        <v>64335000</v>
      </c>
      <c r="BB491" s="16"/>
      <c r="BC491" s="287">
        <f t="shared" si="269"/>
        <v>0</v>
      </c>
      <c r="BD491" s="287">
        <f t="shared" si="270"/>
        <v>0</v>
      </c>
      <c r="BE491" s="287">
        <f t="shared" si="271"/>
        <v>0</v>
      </c>
      <c r="BF491" s="287">
        <f t="shared" si="272"/>
        <v>0</v>
      </c>
      <c r="BG491" s="287">
        <f t="shared" si="273"/>
        <v>0</v>
      </c>
      <c r="BH491" s="287">
        <f t="shared" si="274"/>
        <v>0</v>
      </c>
      <c r="BI491" s="287">
        <f t="shared" si="275"/>
        <v>0</v>
      </c>
      <c r="BJ491" s="287">
        <f t="shared" si="276"/>
        <v>0</v>
      </c>
      <c r="BK491" s="287">
        <f t="shared" si="277"/>
        <v>0</v>
      </c>
      <c r="BL491" s="287">
        <f t="shared" si="278"/>
        <v>0</v>
      </c>
      <c r="BM491" s="16"/>
      <c r="BN491" s="287">
        <f t="shared" si="279"/>
        <v>311938221.75</v>
      </c>
      <c r="BO491" s="287">
        <f t="shared" si="280"/>
        <v>0</v>
      </c>
      <c r="BP491" s="432"/>
      <c r="BQ491" s="21"/>
      <c r="BR491" s="21"/>
      <c r="BS491" s="6"/>
      <c r="BT491" s="194">
        <f t="shared" si="291"/>
        <v>311938221.75</v>
      </c>
      <c r="BU491" s="194">
        <f t="shared" si="292"/>
        <v>311938221.75</v>
      </c>
      <c r="BV491" s="194">
        <f t="shared" si="293"/>
        <v>0</v>
      </c>
      <c r="BW491" s="194">
        <f t="shared" si="294"/>
        <v>0</v>
      </c>
      <c r="BX491" s="6"/>
      <c r="BY491" s="6"/>
      <c r="BZ491" s="39">
        <v>478</v>
      </c>
      <c r="CA491" s="39">
        <f t="shared" si="281"/>
        <v>2031</v>
      </c>
      <c r="CB491" s="6"/>
      <c r="CC491" s="39"/>
      <c r="CD491" s="39"/>
      <c r="CE491" s="39"/>
      <c r="CF491" s="39"/>
      <c r="CG491" s="39"/>
      <c r="CH491" s="39"/>
      <c r="CI491" s="39"/>
      <c r="CJ491" s="39"/>
      <c r="CK491" s="39"/>
    </row>
    <row r="492" spans="1:89" s="193" customFormat="1" ht="48">
      <c r="A492" s="375" t="s">
        <v>2507</v>
      </c>
      <c r="B492" s="21" t="str">
        <f t="shared" si="255"/>
        <v>OSD</v>
      </c>
      <c r="C492" s="21"/>
      <c r="D492" s="432">
        <v>3201440</v>
      </c>
      <c r="E492" s="439" t="s">
        <v>3626</v>
      </c>
      <c r="F492" s="439" t="s">
        <v>3766</v>
      </c>
      <c r="G492" s="273" t="s">
        <v>3296</v>
      </c>
      <c r="H492" s="500" t="s">
        <v>5189</v>
      </c>
      <c r="I492" s="262" t="s">
        <v>3492</v>
      </c>
      <c r="J492" s="262" t="s">
        <v>3525</v>
      </c>
      <c r="K492" s="263">
        <v>4500000</v>
      </c>
      <c r="L492" s="263">
        <v>500000</v>
      </c>
      <c r="M492" s="263">
        <v>111051</v>
      </c>
      <c r="N492" s="263">
        <v>0</v>
      </c>
      <c r="O492" s="263">
        <v>0</v>
      </c>
      <c r="P492" s="263">
        <v>0</v>
      </c>
      <c r="Q492" s="263">
        <v>0</v>
      </c>
      <c r="R492" s="263">
        <v>0</v>
      </c>
      <c r="S492" s="263">
        <v>0</v>
      </c>
      <c r="T492" s="263">
        <v>0</v>
      </c>
      <c r="U492" s="263">
        <f t="shared" si="283"/>
        <v>5111051</v>
      </c>
      <c r="V492" s="196" t="str">
        <f t="shared" si="256"/>
        <v>G/LOS</v>
      </c>
      <c r="W492" s="196" t="s">
        <v>1168</v>
      </c>
      <c r="X492" s="196" t="str">
        <f t="shared" si="288"/>
        <v>Y</v>
      </c>
      <c r="Y492" s="376">
        <f t="shared" si="289"/>
        <v>5111051</v>
      </c>
      <c r="Z492" s="198"/>
      <c r="AA492" s="376">
        <f t="shared" si="257"/>
        <v>5111051</v>
      </c>
      <c r="AB492" s="196" t="s">
        <v>1166</v>
      </c>
      <c r="AC492" s="196" t="s">
        <v>1168</v>
      </c>
      <c r="AD492" s="275">
        <v>0.2551632021401477</v>
      </c>
      <c r="AE492" s="275">
        <v>0.74483679785985235</v>
      </c>
      <c r="AF492" s="275">
        <v>0</v>
      </c>
      <c r="AG492" s="199">
        <v>0.26</v>
      </c>
      <c r="AH492" s="199">
        <v>0.26</v>
      </c>
      <c r="AI492" s="377">
        <f t="shared" si="284"/>
        <v>0.26</v>
      </c>
      <c r="AJ492" s="203">
        <v>1</v>
      </c>
      <c r="AK492" s="203">
        <f t="shared" si="290"/>
        <v>0</v>
      </c>
      <c r="AL492" s="376">
        <f t="shared" si="285"/>
        <v>3782177.7399999998</v>
      </c>
      <c r="AM492" s="376">
        <f t="shared" si="286"/>
        <v>1328873.26</v>
      </c>
      <c r="AN492" s="376">
        <f t="shared" si="287"/>
        <v>0</v>
      </c>
      <c r="AO492" s="378" t="s">
        <v>3608</v>
      </c>
      <c r="AP492" s="379" t="s">
        <v>2714</v>
      </c>
      <c r="AQ492" s="279"/>
      <c r="AR492" s="287">
        <f t="shared" si="259"/>
        <v>1170000</v>
      </c>
      <c r="AS492" s="287">
        <f t="shared" si="260"/>
        <v>130000</v>
      </c>
      <c r="AT492" s="287">
        <f t="shared" si="261"/>
        <v>28873.260000000002</v>
      </c>
      <c r="AU492" s="287">
        <f t="shared" si="262"/>
        <v>0</v>
      </c>
      <c r="AV492" s="287">
        <f t="shared" si="263"/>
        <v>0</v>
      </c>
      <c r="AW492" s="287">
        <f t="shared" si="264"/>
        <v>0</v>
      </c>
      <c r="AX492" s="287">
        <f t="shared" si="265"/>
        <v>0</v>
      </c>
      <c r="AY492" s="287">
        <f t="shared" si="266"/>
        <v>0</v>
      </c>
      <c r="AZ492" s="287">
        <f t="shared" si="267"/>
        <v>0</v>
      </c>
      <c r="BA492" s="287">
        <f t="shared" si="268"/>
        <v>0</v>
      </c>
      <c r="BB492" s="16"/>
      <c r="BC492" s="287">
        <f t="shared" si="269"/>
        <v>0</v>
      </c>
      <c r="BD492" s="287">
        <f t="shared" si="270"/>
        <v>0</v>
      </c>
      <c r="BE492" s="287">
        <f t="shared" si="271"/>
        <v>0</v>
      </c>
      <c r="BF492" s="287">
        <f t="shared" si="272"/>
        <v>0</v>
      </c>
      <c r="BG492" s="287">
        <f t="shared" si="273"/>
        <v>0</v>
      </c>
      <c r="BH492" s="287">
        <f t="shared" si="274"/>
        <v>0</v>
      </c>
      <c r="BI492" s="287">
        <f t="shared" si="275"/>
        <v>0</v>
      </c>
      <c r="BJ492" s="287">
        <f t="shared" si="276"/>
        <v>0</v>
      </c>
      <c r="BK492" s="287">
        <f t="shared" si="277"/>
        <v>0</v>
      </c>
      <c r="BL492" s="287">
        <f t="shared" si="278"/>
        <v>0</v>
      </c>
      <c r="BM492" s="16"/>
      <c r="BN492" s="287">
        <f t="shared" si="279"/>
        <v>1328873.26</v>
      </c>
      <c r="BO492" s="287">
        <f t="shared" si="280"/>
        <v>0</v>
      </c>
      <c r="BP492" s="432"/>
      <c r="BQ492" s="21"/>
      <c r="BR492" s="21"/>
      <c r="BS492" s="6"/>
      <c r="BT492" s="194">
        <f t="shared" si="291"/>
        <v>1328873.26</v>
      </c>
      <c r="BU492" s="194">
        <f t="shared" si="292"/>
        <v>1328873.26</v>
      </c>
      <c r="BV492" s="194">
        <f t="shared" si="293"/>
        <v>0</v>
      </c>
      <c r="BW492" s="194">
        <f t="shared" si="294"/>
        <v>0</v>
      </c>
      <c r="BX492" s="6"/>
      <c r="BY492" s="6"/>
      <c r="BZ492" s="39">
        <v>479</v>
      </c>
      <c r="CA492" s="39">
        <f t="shared" si="281"/>
        <v>2031</v>
      </c>
      <c r="CB492" s="6"/>
      <c r="CC492" s="39"/>
      <c r="CD492" s="39"/>
      <c r="CE492" s="39"/>
      <c r="CF492" s="39"/>
      <c r="CG492" s="39"/>
      <c r="CH492" s="39"/>
      <c r="CI492" s="39"/>
      <c r="CJ492" s="39"/>
      <c r="CK492" s="39"/>
    </row>
    <row r="493" spans="1:89" s="193" customFormat="1" ht="24">
      <c r="A493" s="375" t="s">
        <v>2507</v>
      </c>
      <c r="B493" s="21" t="str">
        <f t="shared" si="255"/>
        <v>OSD</v>
      </c>
      <c r="C493" s="21"/>
      <c r="D493" s="432">
        <v>3201442</v>
      </c>
      <c r="E493" s="439" t="s">
        <v>3626</v>
      </c>
      <c r="F493" s="439" t="s">
        <v>3768</v>
      </c>
      <c r="G493" s="273" t="s">
        <v>3379</v>
      </c>
      <c r="H493" s="500" t="s">
        <v>5125</v>
      </c>
      <c r="I493" s="262" t="s">
        <v>3492</v>
      </c>
      <c r="J493" s="262" t="s">
        <v>3525</v>
      </c>
      <c r="K493" s="263">
        <v>200000</v>
      </c>
      <c r="L493" s="263">
        <v>2740066</v>
      </c>
      <c r="M493" s="263">
        <v>3028325</v>
      </c>
      <c r="N493" s="263">
        <v>0</v>
      </c>
      <c r="O493" s="263">
        <v>0</v>
      </c>
      <c r="P493" s="263">
        <v>0</v>
      </c>
      <c r="Q493" s="263">
        <v>0</v>
      </c>
      <c r="R493" s="263">
        <v>0</v>
      </c>
      <c r="S493" s="263">
        <v>0</v>
      </c>
      <c r="T493" s="263">
        <v>0</v>
      </c>
      <c r="U493" s="263">
        <f t="shared" si="283"/>
        <v>5968391</v>
      </c>
      <c r="V493" s="196" t="str">
        <f t="shared" si="256"/>
        <v>G/LOS</v>
      </c>
      <c r="W493" s="196" t="s">
        <v>1168</v>
      </c>
      <c r="X493" s="196" t="str">
        <f t="shared" si="288"/>
        <v>Y</v>
      </c>
      <c r="Y493" s="376">
        <f t="shared" si="289"/>
        <v>5968391</v>
      </c>
      <c r="Z493" s="198"/>
      <c r="AA493" s="376">
        <f t="shared" si="257"/>
        <v>5968391</v>
      </c>
      <c r="AB493" s="196" t="s">
        <v>1166</v>
      </c>
      <c r="AC493" s="196" t="s">
        <v>1168</v>
      </c>
      <c r="AD493" s="275">
        <v>0.76955334786521079</v>
      </c>
      <c r="AE493" s="275">
        <v>0.23044665213478929</v>
      </c>
      <c r="AF493" s="275">
        <v>0</v>
      </c>
      <c r="AG493" s="199">
        <v>0.75</v>
      </c>
      <c r="AH493" s="199">
        <v>0.75</v>
      </c>
      <c r="AI493" s="377">
        <f t="shared" si="284"/>
        <v>0.75</v>
      </c>
      <c r="AJ493" s="203">
        <v>1</v>
      </c>
      <c r="AK493" s="203">
        <f t="shared" si="290"/>
        <v>0</v>
      </c>
      <c r="AL493" s="376">
        <f t="shared" si="285"/>
        <v>1492097.75</v>
      </c>
      <c r="AM493" s="376">
        <f t="shared" si="286"/>
        <v>4476293.25</v>
      </c>
      <c r="AN493" s="376">
        <f t="shared" si="287"/>
        <v>0</v>
      </c>
      <c r="AO493" s="378" t="s">
        <v>3608</v>
      </c>
      <c r="AP493" s="379" t="s">
        <v>2714</v>
      </c>
      <c r="AQ493" s="279"/>
      <c r="AR493" s="287">
        <f t="shared" si="259"/>
        <v>150000</v>
      </c>
      <c r="AS493" s="287">
        <f t="shared" si="260"/>
        <v>2055049.5</v>
      </c>
      <c r="AT493" s="287">
        <f t="shared" si="261"/>
        <v>2271243.75</v>
      </c>
      <c r="AU493" s="287">
        <f t="shared" si="262"/>
        <v>0</v>
      </c>
      <c r="AV493" s="287">
        <f t="shared" si="263"/>
        <v>0</v>
      </c>
      <c r="AW493" s="287">
        <f t="shared" si="264"/>
        <v>0</v>
      </c>
      <c r="AX493" s="287">
        <f t="shared" si="265"/>
        <v>0</v>
      </c>
      <c r="AY493" s="287">
        <f t="shared" si="266"/>
        <v>0</v>
      </c>
      <c r="AZ493" s="287">
        <f t="shared" si="267"/>
        <v>0</v>
      </c>
      <c r="BA493" s="287">
        <f t="shared" si="268"/>
        <v>0</v>
      </c>
      <c r="BB493" s="16"/>
      <c r="BC493" s="287">
        <f t="shared" si="269"/>
        <v>0</v>
      </c>
      <c r="BD493" s="287">
        <f t="shared" si="270"/>
        <v>0</v>
      </c>
      <c r="BE493" s="287">
        <f t="shared" si="271"/>
        <v>0</v>
      </c>
      <c r="BF493" s="287">
        <f t="shared" si="272"/>
        <v>0</v>
      </c>
      <c r="BG493" s="287">
        <f t="shared" si="273"/>
        <v>0</v>
      </c>
      <c r="BH493" s="287">
        <f t="shared" si="274"/>
        <v>0</v>
      </c>
      <c r="BI493" s="287">
        <f t="shared" si="275"/>
        <v>0</v>
      </c>
      <c r="BJ493" s="287">
        <f t="shared" si="276"/>
        <v>0</v>
      </c>
      <c r="BK493" s="287">
        <f t="shared" si="277"/>
        <v>0</v>
      </c>
      <c r="BL493" s="287">
        <f t="shared" si="278"/>
        <v>0</v>
      </c>
      <c r="BM493" s="16"/>
      <c r="BN493" s="287">
        <f t="shared" si="279"/>
        <v>4476293.25</v>
      </c>
      <c r="BO493" s="287">
        <f t="shared" si="280"/>
        <v>0</v>
      </c>
      <c r="BP493" s="432"/>
      <c r="BQ493" s="21"/>
      <c r="BR493" s="21"/>
      <c r="BS493" s="6"/>
      <c r="BT493" s="194">
        <f t="shared" si="291"/>
        <v>4476293.25</v>
      </c>
      <c r="BU493" s="194">
        <f t="shared" si="292"/>
        <v>4476293.25</v>
      </c>
      <c r="BV493" s="194">
        <f t="shared" si="293"/>
        <v>0</v>
      </c>
      <c r="BW493" s="194">
        <f t="shared" si="294"/>
        <v>0</v>
      </c>
      <c r="BX493" s="6"/>
      <c r="BY493" s="6"/>
      <c r="BZ493" s="39">
        <v>480</v>
      </c>
      <c r="CA493" s="39">
        <f t="shared" si="281"/>
        <v>2031</v>
      </c>
      <c r="CB493" s="6"/>
      <c r="CC493" s="39"/>
      <c r="CD493" s="39"/>
      <c r="CE493" s="39"/>
      <c r="CF493" s="39"/>
      <c r="CG493" s="39"/>
      <c r="CH493" s="39"/>
      <c r="CI493" s="39"/>
      <c r="CJ493" s="39"/>
      <c r="CK493" s="39"/>
    </row>
    <row r="494" spans="1:89" s="193" customFormat="1" ht="24">
      <c r="A494" s="375" t="s">
        <v>2502</v>
      </c>
      <c r="B494" s="21" t="str">
        <f t="shared" si="255"/>
        <v>OSD</v>
      </c>
      <c r="C494" s="21"/>
      <c r="D494" s="432">
        <v>3201491</v>
      </c>
      <c r="E494" s="439" t="s">
        <v>3626</v>
      </c>
      <c r="F494" s="439" t="s">
        <v>3793</v>
      </c>
      <c r="G494" s="273" t="s">
        <v>4409</v>
      </c>
      <c r="H494" s="513" t="s">
        <v>5194</v>
      </c>
      <c r="I494" s="262" t="s">
        <v>3492</v>
      </c>
      <c r="J494" s="262" t="s">
        <v>3519</v>
      </c>
      <c r="K494" s="263">
        <v>0</v>
      </c>
      <c r="L494" s="263">
        <v>0</v>
      </c>
      <c r="M494" s="263">
        <v>0</v>
      </c>
      <c r="N494" s="263">
        <v>0</v>
      </c>
      <c r="O494" s="263">
        <v>0</v>
      </c>
      <c r="P494" s="263">
        <v>4000000</v>
      </c>
      <c r="Q494" s="263">
        <v>4500000</v>
      </c>
      <c r="R494" s="263">
        <v>6500000</v>
      </c>
      <c r="S494" s="263">
        <v>7500000</v>
      </c>
      <c r="T494" s="263">
        <v>10421000</v>
      </c>
      <c r="U494" s="263">
        <f t="shared" si="283"/>
        <v>32921000</v>
      </c>
      <c r="V494" s="196" t="str">
        <f t="shared" si="256"/>
        <v>G/LOS</v>
      </c>
      <c r="W494" s="196" t="s">
        <v>1168</v>
      </c>
      <c r="X494" s="196" t="str">
        <f t="shared" si="288"/>
        <v>Y</v>
      </c>
      <c r="Y494" s="376">
        <f t="shared" si="289"/>
        <v>32921000</v>
      </c>
      <c r="Z494" s="198"/>
      <c r="AA494" s="376">
        <f t="shared" si="257"/>
        <v>32921000</v>
      </c>
      <c r="AB494" s="196" t="s">
        <v>1166</v>
      </c>
      <c r="AC494" s="196" t="s">
        <v>1168</v>
      </c>
      <c r="AD494" s="275">
        <v>0.2</v>
      </c>
      <c r="AE494" s="275">
        <v>0.8</v>
      </c>
      <c r="AF494" s="275">
        <v>0</v>
      </c>
      <c r="AG494" s="199">
        <v>0.2</v>
      </c>
      <c r="AH494" s="199">
        <v>0.2</v>
      </c>
      <c r="AI494" s="377">
        <f t="shared" si="284"/>
        <v>0.2</v>
      </c>
      <c r="AJ494" s="203">
        <v>1</v>
      </c>
      <c r="AK494" s="203">
        <f t="shared" si="290"/>
        <v>0</v>
      </c>
      <c r="AL494" s="376">
        <f t="shared" si="285"/>
        <v>26336800</v>
      </c>
      <c r="AM494" s="376">
        <f t="shared" si="286"/>
        <v>6584200</v>
      </c>
      <c r="AN494" s="376">
        <f t="shared" si="287"/>
        <v>0</v>
      </c>
      <c r="AO494" s="378" t="s">
        <v>3607</v>
      </c>
      <c r="AP494" s="379" t="s">
        <v>2714</v>
      </c>
      <c r="AQ494" s="279"/>
      <c r="AR494" s="287">
        <f t="shared" si="259"/>
        <v>0</v>
      </c>
      <c r="AS494" s="287">
        <f t="shared" si="260"/>
        <v>0</v>
      </c>
      <c r="AT494" s="287">
        <f t="shared" si="261"/>
        <v>0</v>
      </c>
      <c r="AU494" s="287">
        <f t="shared" si="262"/>
        <v>0</v>
      </c>
      <c r="AV494" s="287">
        <f t="shared" si="263"/>
        <v>0</v>
      </c>
      <c r="AW494" s="287">
        <f t="shared" si="264"/>
        <v>800000</v>
      </c>
      <c r="AX494" s="287">
        <f t="shared" si="265"/>
        <v>900000</v>
      </c>
      <c r="AY494" s="287">
        <f t="shared" si="266"/>
        <v>1300000</v>
      </c>
      <c r="AZ494" s="287">
        <f t="shared" si="267"/>
        <v>1500000</v>
      </c>
      <c r="BA494" s="287">
        <f t="shared" si="268"/>
        <v>2084200</v>
      </c>
      <c r="BB494" s="16"/>
      <c r="BC494" s="287">
        <f t="shared" si="269"/>
        <v>0</v>
      </c>
      <c r="BD494" s="287">
        <f t="shared" si="270"/>
        <v>0</v>
      </c>
      <c r="BE494" s="287">
        <f t="shared" si="271"/>
        <v>0</v>
      </c>
      <c r="BF494" s="287">
        <f t="shared" si="272"/>
        <v>0</v>
      </c>
      <c r="BG494" s="287">
        <f t="shared" si="273"/>
        <v>0</v>
      </c>
      <c r="BH494" s="287">
        <f t="shared" si="274"/>
        <v>0</v>
      </c>
      <c r="BI494" s="287">
        <f t="shared" si="275"/>
        <v>0</v>
      </c>
      <c r="BJ494" s="287">
        <f t="shared" si="276"/>
        <v>0</v>
      </c>
      <c r="BK494" s="287">
        <f t="shared" si="277"/>
        <v>0</v>
      </c>
      <c r="BL494" s="287">
        <f t="shared" si="278"/>
        <v>0</v>
      </c>
      <c r="BM494" s="16"/>
      <c r="BN494" s="287">
        <f t="shared" si="279"/>
        <v>6584200</v>
      </c>
      <c r="BO494" s="287">
        <f t="shared" si="280"/>
        <v>0</v>
      </c>
      <c r="BP494" s="432"/>
      <c r="BQ494" s="21"/>
      <c r="BR494" s="21"/>
      <c r="BS494" s="6"/>
      <c r="BT494" s="194">
        <f t="shared" si="291"/>
        <v>6584200</v>
      </c>
      <c r="BU494" s="194">
        <f t="shared" si="292"/>
        <v>6584200</v>
      </c>
      <c r="BV494" s="194">
        <f t="shared" si="293"/>
        <v>0</v>
      </c>
      <c r="BW494" s="194">
        <f t="shared" si="294"/>
        <v>0</v>
      </c>
      <c r="BX494" s="6"/>
      <c r="BY494" s="627"/>
      <c r="BZ494" s="39">
        <v>481</v>
      </c>
      <c r="CA494" s="39">
        <f t="shared" si="281"/>
        <v>2031</v>
      </c>
      <c r="CB494" s="6"/>
      <c r="CC494" s="39"/>
      <c r="CD494" s="39"/>
      <c r="CE494" s="39"/>
      <c r="CF494" s="39"/>
      <c r="CG494" s="39"/>
      <c r="CH494" s="39"/>
      <c r="CI494" s="39"/>
      <c r="CJ494" s="39"/>
      <c r="CK494" s="39"/>
    </row>
    <row r="495" spans="1:89" s="193" customFormat="1" ht="36">
      <c r="A495" s="375" t="s">
        <v>2507</v>
      </c>
      <c r="B495" s="21" t="str">
        <f t="shared" si="255"/>
        <v>OSD</v>
      </c>
      <c r="C495" s="21"/>
      <c r="D495" s="432">
        <v>3201501</v>
      </c>
      <c r="E495" s="439" t="s">
        <v>3626</v>
      </c>
      <c r="F495" s="439" t="s">
        <v>3466</v>
      </c>
      <c r="G495" s="273" t="s">
        <v>4491</v>
      </c>
      <c r="H495" s="500" t="s">
        <v>5167</v>
      </c>
      <c r="I495" s="262" t="s">
        <v>3492</v>
      </c>
      <c r="J495" s="262" t="s">
        <v>3504</v>
      </c>
      <c r="K495" s="263">
        <v>572000</v>
      </c>
      <c r="L495" s="263">
        <v>200000</v>
      </c>
      <c r="M495" s="263">
        <v>500000</v>
      </c>
      <c r="N495" s="263">
        <v>0</v>
      </c>
      <c r="O495" s="263">
        <v>0</v>
      </c>
      <c r="P495" s="263">
        <v>0</v>
      </c>
      <c r="Q495" s="263">
        <v>0</v>
      </c>
      <c r="R495" s="263">
        <v>0</v>
      </c>
      <c r="S495" s="263">
        <v>0</v>
      </c>
      <c r="T495" s="263">
        <v>0</v>
      </c>
      <c r="U495" s="263">
        <f t="shared" si="283"/>
        <v>1272000</v>
      </c>
      <c r="V495" s="196" t="str">
        <f t="shared" si="256"/>
        <v>G/LOS</v>
      </c>
      <c r="W495" s="196" t="s">
        <v>1168</v>
      </c>
      <c r="X495" s="196" t="str">
        <f t="shared" si="288"/>
        <v>Y</v>
      </c>
      <c r="Y495" s="376">
        <f t="shared" si="289"/>
        <v>1272000</v>
      </c>
      <c r="Z495" s="198"/>
      <c r="AA495" s="376">
        <f t="shared" si="257"/>
        <v>1272000</v>
      </c>
      <c r="AB495" s="196" t="s">
        <v>1166</v>
      </c>
      <c r="AC495" s="196" t="s">
        <v>1168</v>
      </c>
      <c r="AD495" s="275">
        <v>0.75</v>
      </c>
      <c r="AE495" s="275">
        <v>0.25</v>
      </c>
      <c r="AF495" s="275">
        <v>0</v>
      </c>
      <c r="AG495" s="199">
        <v>0.5</v>
      </c>
      <c r="AH495" s="199">
        <v>0.75</v>
      </c>
      <c r="AI495" s="381">
        <f t="shared" si="284"/>
        <v>0.625</v>
      </c>
      <c r="AJ495" s="203">
        <v>1</v>
      </c>
      <c r="AK495" s="203">
        <f t="shared" si="290"/>
        <v>0</v>
      </c>
      <c r="AL495" s="376">
        <f t="shared" si="285"/>
        <v>477000</v>
      </c>
      <c r="AM495" s="376">
        <f t="shared" si="286"/>
        <v>795000</v>
      </c>
      <c r="AN495" s="376">
        <f t="shared" si="287"/>
        <v>0</v>
      </c>
      <c r="AO495" s="378" t="s">
        <v>3608</v>
      </c>
      <c r="AP495" s="379" t="s">
        <v>2714</v>
      </c>
      <c r="AQ495" s="279"/>
      <c r="AR495" s="287">
        <f t="shared" si="259"/>
        <v>357500</v>
      </c>
      <c r="AS495" s="287">
        <f t="shared" si="260"/>
        <v>125000</v>
      </c>
      <c r="AT495" s="287">
        <f t="shared" si="261"/>
        <v>312500</v>
      </c>
      <c r="AU495" s="287">
        <f t="shared" si="262"/>
        <v>0</v>
      </c>
      <c r="AV495" s="287">
        <f t="shared" si="263"/>
        <v>0</v>
      </c>
      <c r="AW495" s="287">
        <f t="shared" si="264"/>
        <v>0</v>
      </c>
      <c r="AX495" s="287">
        <f t="shared" si="265"/>
        <v>0</v>
      </c>
      <c r="AY495" s="287">
        <f t="shared" si="266"/>
        <v>0</v>
      </c>
      <c r="AZ495" s="287">
        <f t="shared" si="267"/>
        <v>0</v>
      </c>
      <c r="BA495" s="287">
        <f t="shared" si="268"/>
        <v>0</v>
      </c>
      <c r="BB495" s="16"/>
      <c r="BC495" s="287">
        <f t="shared" si="269"/>
        <v>0</v>
      </c>
      <c r="BD495" s="287">
        <f t="shared" si="270"/>
        <v>0</v>
      </c>
      <c r="BE495" s="287">
        <f t="shared" si="271"/>
        <v>0</v>
      </c>
      <c r="BF495" s="287">
        <f t="shared" si="272"/>
        <v>0</v>
      </c>
      <c r="BG495" s="287">
        <f t="shared" si="273"/>
        <v>0</v>
      </c>
      <c r="BH495" s="287">
        <f t="shared" si="274"/>
        <v>0</v>
      </c>
      <c r="BI495" s="287">
        <f t="shared" si="275"/>
        <v>0</v>
      </c>
      <c r="BJ495" s="287">
        <f t="shared" si="276"/>
        <v>0</v>
      </c>
      <c r="BK495" s="287">
        <f t="shared" si="277"/>
        <v>0</v>
      </c>
      <c r="BL495" s="287">
        <f t="shared" si="278"/>
        <v>0</v>
      </c>
      <c r="BM495" s="16"/>
      <c r="BN495" s="287">
        <f t="shared" si="279"/>
        <v>795000</v>
      </c>
      <c r="BO495" s="287">
        <f t="shared" si="280"/>
        <v>0</v>
      </c>
      <c r="BP495" s="432"/>
      <c r="BQ495" s="21"/>
      <c r="BR495" s="21"/>
      <c r="BS495" s="6"/>
      <c r="BT495" s="194">
        <f t="shared" si="291"/>
        <v>795000</v>
      </c>
      <c r="BU495" s="194">
        <f t="shared" si="292"/>
        <v>795000</v>
      </c>
      <c r="BV495" s="194">
        <f t="shared" si="293"/>
        <v>0</v>
      </c>
      <c r="BW495" s="194">
        <f t="shared" si="294"/>
        <v>0</v>
      </c>
      <c r="BX495" s="6"/>
      <c r="BY495" s="6"/>
      <c r="BZ495" s="39">
        <v>482</v>
      </c>
      <c r="CA495" s="39">
        <f t="shared" si="281"/>
        <v>2031</v>
      </c>
      <c r="CB495" s="6"/>
      <c r="CC495" s="39"/>
      <c r="CD495" s="39"/>
      <c r="CE495" s="39"/>
      <c r="CF495" s="39"/>
      <c r="CG495" s="39"/>
      <c r="CH495" s="39"/>
      <c r="CI495" s="39"/>
      <c r="CJ495" s="39"/>
      <c r="CK495" s="39"/>
    </row>
    <row r="496" spans="1:89" s="193" customFormat="1" ht="48">
      <c r="A496" s="375" t="s">
        <v>2507</v>
      </c>
      <c r="B496" s="21" t="str">
        <f t="shared" si="255"/>
        <v>OSD</v>
      </c>
      <c r="C496" s="21"/>
      <c r="D496" s="432">
        <v>3201501</v>
      </c>
      <c r="E496" s="439" t="s">
        <v>3626</v>
      </c>
      <c r="F496" s="439" t="s">
        <v>5045</v>
      </c>
      <c r="G496" s="273" t="s">
        <v>4239</v>
      </c>
      <c r="H496" s="500" t="s">
        <v>5044</v>
      </c>
      <c r="I496" s="262" t="s">
        <v>3492</v>
      </c>
      <c r="J496" s="262" t="s">
        <v>3504</v>
      </c>
      <c r="K496" s="263">
        <v>0</v>
      </c>
      <c r="L496" s="263">
        <v>0</v>
      </c>
      <c r="M496" s="263">
        <v>1034214</v>
      </c>
      <c r="N496" s="263">
        <v>0</v>
      </c>
      <c r="O496" s="263">
        <v>0</v>
      </c>
      <c r="P496" s="263">
        <v>0</v>
      </c>
      <c r="Q496" s="263">
        <v>0</v>
      </c>
      <c r="R496" s="263">
        <v>0</v>
      </c>
      <c r="S496" s="263">
        <v>0</v>
      </c>
      <c r="T496" s="263">
        <v>0</v>
      </c>
      <c r="U496" s="263">
        <f t="shared" si="283"/>
        <v>1034214</v>
      </c>
      <c r="V496" s="196" t="str">
        <f t="shared" si="256"/>
        <v>G/LOS</v>
      </c>
      <c r="W496" s="196" t="s">
        <v>1168</v>
      </c>
      <c r="X496" s="196" t="str">
        <f t="shared" si="288"/>
        <v>Y</v>
      </c>
      <c r="Y496" s="376">
        <f t="shared" si="289"/>
        <v>1034214</v>
      </c>
      <c r="Z496" s="198"/>
      <c r="AA496" s="376">
        <f t="shared" si="257"/>
        <v>1034214</v>
      </c>
      <c r="AB496" s="196" t="s">
        <v>1166</v>
      </c>
      <c r="AC496" s="196" t="s">
        <v>1168</v>
      </c>
      <c r="AD496" s="275">
        <v>0.75</v>
      </c>
      <c r="AE496" s="275">
        <v>0.25</v>
      </c>
      <c r="AF496" s="275">
        <v>0</v>
      </c>
      <c r="AG496" s="199">
        <v>0.5</v>
      </c>
      <c r="AH496" s="199">
        <v>0.75</v>
      </c>
      <c r="AI496" s="381">
        <f t="shared" si="284"/>
        <v>0.625</v>
      </c>
      <c r="AJ496" s="203">
        <v>1</v>
      </c>
      <c r="AK496" s="203">
        <f t="shared" si="290"/>
        <v>0</v>
      </c>
      <c r="AL496" s="376">
        <f t="shared" si="285"/>
        <v>387830.25</v>
      </c>
      <c r="AM496" s="376">
        <f t="shared" si="286"/>
        <v>646383.75</v>
      </c>
      <c r="AN496" s="376">
        <f t="shared" si="287"/>
        <v>0</v>
      </c>
      <c r="AO496" s="378" t="s">
        <v>3608</v>
      </c>
      <c r="AP496" s="379" t="s">
        <v>2714</v>
      </c>
      <c r="AQ496" s="279"/>
      <c r="AR496" s="287">
        <f t="shared" si="259"/>
        <v>0</v>
      </c>
      <c r="AS496" s="287">
        <f t="shared" si="260"/>
        <v>0</v>
      </c>
      <c r="AT496" s="287">
        <f t="shared" si="261"/>
        <v>646383.75</v>
      </c>
      <c r="AU496" s="287">
        <f t="shared" si="262"/>
        <v>0</v>
      </c>
      <c r="AV496" s="287">
        <f t="shared" si="263"/>
        <v>0</v>
      </c>
      <c r="AW496" s="287">
        <f t="shared" si="264"/>
        <v>0</v>
      </c>
      <c r="AX496" s="287">
        <f t="shared" si="265"/>
        <v>0</v>
      </c>
      <c r="AY496" s="287">
        <f t="shared" si="266"/>
        <v>0</v>
      </c>
      <c r="AZ496" s="287">
        <f t="shared" si="267"/>
        <v>0</v>
      </c>
      <c r="BA496" s="287">
        <f t="shared" si="268"/>
        <v>0</v>
      </c>
      <c r="BB496" s="16"/>
      <c r="BC496" s="287">
        <f t="shared" si="269"/>
        <v>0</v>
      </c>
      <c r="BD496" s="287">
        <f t="shared" si="270"/>
        <v>0</v>
      </c>
      <c r="BE496" s="287">
        <f t="shared" si="271"/>
        <v>0</v>
      </c>
      <c r="BF496" s="287">
        <f t="shared" si="272"/>
        <v>0</v>
      </c>
      <c r="BG496" s="287">
        <f t="shared" si="273"/>
        <v>0</v>
      </c>
      <c r="BH496" s="287">
        <f t="shared" si="274"/>
        <v>0</v>
      </c>
      <c r="BI496" s="287">
        <f t="shared" si="275"/>
        <v>0</v>
      </c>
      <c r="BJ496" s="287">
        <f t="shared" si="276"/>
        <v>0</v>
      </c>
      <c r="BK496" s="287">
        <f t="shared" si="277"/>
        <v>0</v>
      </c>
      <c r="BL496" s="287">
        <f t="shared" si="278"/>
        <v>0</v>
      </c>
      <c r="BM496" s="16"/>
      <c r="BN496" s="287">
        <f t="shared" si="279"/>
        <v>646383.75</v>
      </c>
      <c r="BO496" s="287">
        <f t="shared" si="280"/>
        <v>0</v>
      </c>
      <c r="BP496" s="432"/>
      <c r="BQ496" s="21"/>
      <c r="BR496" s="21"/>
      <c r="BS496" s="6"/>
      <c r="BT496" s="194">
        <f t="shared" si="291"/>
        <v>646383.75</v>
      </c>
      <c r="BU496" s="194">
        <f t="shared" si="292"/>
        <v>646383.75</v>
      </c>
      <c r="BV496" s="194">
        <f t="shared" si="293"/>
        <v>0</v>
      </c>
      <c r="BW496" s="194">
        <f t="shared" si="294"/>
        <v>0</v>
      </c>
      <c r="BX496" s="6"/>
      <c r="BY496" s="6"/>
      <c r="BZ496" s="39">
        <v>483</v>
      </c>
      <c r="CA496" s="39">
        <f t="shared" si="281"/>
        <v>2031</v>
      </c>
      <c r="CB496" s="6"/>
      <c r="CC496" s="39"/>
      <c r="CD496" s="39"/>
      <c r="CE496" s="39"/>
      <c r="CF496" s="39"/>
      <c r="CG496" s="39"/>
      <c r="CH496" s="39"/>
      <c r="CI496" s="39"/>
      <c r="CJ496" s="39"/>
      <c r="CK496" s="39"/>
    </row>
    <row r="497" spans="1:89" s="193" customFormat="1" ht="48">
      <c r="A497" s="375" t="s">
        <v>2507</v>
      </c>
      <c r="B497" s="21" t="str">
        <f t="shared" si="255"/>
        <v>OSD</v>
      </c>
      <c r="C497" s="21"/>
      <c r="D497" s="432">
        <v>3201501</v>
      </c>
      <c r="E497" s="439" t="s">
        <v>3626</v>
      </c>
      <c r="F497" s="439" t="s">
        <v>5181</v>
      </c>
      <c r="G497" s="273" t="s">
        <v>4238</v>
      </c>
      <c r="H497" s="500" t="s">
        <v>5180</v>
      </c>
      <c r="I497" s="262" t="s">
        <v>3492</v>
      </c>
      <c r="J497" s="262" t="s">
        <v>3504</v>
      </c>
      <c r="K497" s="263">
        <v>1250000</v>
      </c>
      <c r="L497" s="263">
        <v>0</v>
      </c>
      <c r="M497" s="263">
        <v>0</v>
      </c>
      <c r="N497" s="263">
        <v>0</v>
      </c>
      <c r="O497" s="263">
        <v>0</v>
      </c>
      <c r="P497" s="263">
        <v>0</v>
      </c>
      <c r="Q497" s="263">
        <v>0</v>
      </c>
      <c r="R497" s="263">
        <v>0</v>
      </c>
      <c r="S497" s="263">
        <v>0</v>
      </c>
      <c r="T497" s="263">
        <v>0</v>
      </c>
      <c r="U497" s="263">
        <f t="shared" si="283"/>
        <v>1250000</v>
      </c>
      <c r="V497" s="196" t="str">
        <f t="shared" si="256"/>
        <v>G/LOS</v>
      </c>
      <c r="W497" s="196" t="s">
        <v>1168</v>
      </c>
      <c r="X497" s="196" t="str">
        <f t="shared" si="288"/>
        <v>Y</v>
      </c>
      <c r="Y497" s="376">
        <f t="shared" si="289"/>
        <v>1250000</v>
      </c>
      <c r="Z497" s="198"/>
      <c r="AA497" s="376">
        <f t="shared" si="257"/>
        <v>1250000</v>
      </c>
      <c r="AB497" s="196" t="s">
        <v>1166</v>
      </c>
      <c r="AC497" s="196" t="s">
        <v>1168</v>
      </c>
      <c r="AD497" s="275">
        <v>0.5</v>
      </c>
      <c r="AE497" s="275">
        <v>0.5</v>
      </c>
      <c r="AF497" s="275">
        <v>0</v>
      </c>
      <c r="AG497" s="199">
        <v>0.5</v>
      </c>
      <c r="AH497" s="199">
        <v>0.5</v>
      </c>
      <c r="AI497" s="381">
        <f t="shared" si="284"/>
        <v>0.5</v>
      </c>
      <c r="AJ497" s="203">
        <v>1</v>
      </c>
      <c r="AK497" s="203">
        <f t="shared" si="290"/>
        <v>0</v>
      </c>
      <c r="AL497" s="376">
        <f t="shared" si="285"/>
        <v>625000</v>
      </c>
      <c r="AM497" s="376">
        <f t="shared" si="286"/>
        <v>625000</v>
      </c>
      <c r="AN497" s="376">
        <f t="shared" si="287"/>
        <v>0</v>
      </c>
      <c r="AO497" s="378" t="s">
        <v>3608</v>
      </c>
      <c r="AP497" s="379" t="s">
        <v>2714</v>
      </c>
      <c r="AQ497" s="279"/>
      <c r="AR497" s="287">
        <f t="shared" si="259"/>
        <v>625000</v>
      </c>
      <c r="AS497" s="287">
        <f t="shared" si="260"/>
        <v>0</v>
      </c>
      <c r="AT497" s="287">
        <f t="shared" si="261"/>
        <v>0</v>
      </c>
      <c r="AU497" s="287">
        <f t="shared" si="262"/>
        <v>0</v>
      </c>
      <c r="AV497" s="287">
        <f t="shared" si="263"/>
        <v>0</v>
      </c>
      <c r="AW497" s="287">
        <f t="shared" si="264"/>
        <v>0</v>
      </c>
      <c r="AX497" s="287">
        <f t="shared" si="265"/>
        <v>0</v>
      </c>
      <c r="AY497" s="287">
        <f t="shared" si="266"/>
        <v>0</v>
      </c>
      <c r="AZ497" s="287">
        <f t="shared" si="267"/>
        <v>0</v>
      </c>
      <c r="BA497" s="287">
        <f t="shared" si="268"/>
        <v>0</v>
      </c>
      <c r="BB497" s="16"/>
      <c r="BC497" s="287">
        <f t="shared" si="269"/>
        <v>0</v>
      </c>
      <c r="BD497" s="287">
        <f t="shared" si="270"/>
        <v>0</v>
      </c>
      <c r="BE497" s="287">
        <f t="shared" si="271"/>
        <v>0</v>
      </c>
      <c r="BF497" s="287">
        <f t="shared" si="272"/>
        <v>0</v>
      </c>
      <c r="BG497" s="287">
        <f t="shared" si="273"/>
        <v>0</v>
      </c>
      <c r="BH497" s="287">
        <f t="shared" si="274"/>
        <v>0</v>
      </c>
      <c r="BI497" s="287">
        <f t="shared" si="275"/>
        <v>0</v>
      </c>
      <c r="BJ497" s="287">
        <f t="shared" si="276"/>
        <v>0</v>
      </c>
      <c r="BK497" s="287">
        <f t="shared" si="277"/>
        <v>0</v>
      </c>
      <c r="BL497" s="287">
        <f t="shared" si="278"/>
        <v>0</v>
      </c>
      <c r="BM497" s="16"/>
      <c r="BN497" s="287">
        <f t="shared" si="279"/>
        <v>625000</v>
      </c>
      <c r="BO497" s="287">
        <f t="shared" si="280"/>
        <v>0</v>
      </c>
      <c r="BP497" s="432"/>
      <c r="BQ497" s="21"/>
      <c r="BR497" s="21"/>
      <c r="BS497" s="6"/>
      <c r="BT497" s="194">
        <f t="shared" si="291"/>
        <v>625000</v>
      </c>
      <c r="BU497" s="194">
        <f t="shared" si="292"/>
        <v>625000</v>
      </c>
      <c r="BV497" s="194">
        <f t="shared" si="293"/>
        <v>0</v>
      </c>
      <c r="BW497" s="194">
        <f t="shared" si="294"/>
        <v>0</v>
      </c>
      <c r="BX497" s="6"/>
      <c r="BY497" s="6"/>
      <c r="BZ497" s="39">
        <v>484</v>
      </c>
      <c r="CA497" s="39">
        <f t="shared" si="281"/>
        <v>2031</v>
      </c>
      <c r="CB497" s="6"/>
      <c r="CC497" s="39"/>
      <c r="CD497" s="39"/>
      <c r="CE497" s="39"/>
      <c r="CF497" s="39"/>
      <c r="CG497" s="39"/>
      <c r="CH497" s="39"/>
      <c r="CI497" s="39"/>
      <c r="CJ497" s="39"/>
      <c r="CK497" s="39"/>
    </row>
    <row r="498" spans="1:89" s="193" customFormat="1" ht="36">
      <c r="A498" s="375" t="s">
        <v>2507</v>
      </c>
      <c r="B498" s="21" t="str">
        <f t="shared" si="255"/>
        <v>OSD</v>
      </c>
      <c r="C498" s="21"/>
      <c r="D498" s="432">
        <v>3201502</v>
      </c>
      <c r="E498" s="439" t="s">
        <v>3626</v>
      </c>
      <c r="F498" s="439" t="s">
        <v>5047</v>
      </c>
      <c r="G498" s="273" t="s">
        <v>4248</v>
      </c>
      <c r="H498" s="500" t="s">
        <v>5046</v>
      </c>
      <c r="I498" s="262" t="s">
        <v>3492</v>
      </c>
      <c r="J498" s="262" t="s">
        <v>3504</v>
      </c>
      <c r="K498" s="263">
        <v>0</v>
      </c>
      <c r="L498" s="263">
        <v>150000</v>
      </c>
      <c r="M498" s="263">
        <v>450000</v>
      </c>
      <c r="N498" s="263">
        <v>0</v>
      </c>
      <c r="O498" s="263">
        <v>0</v>
      </c>
      <c r="P498" s="263">
        <v>0</v>
      </c>
      <c r="Q498" s="263">
        <v>0</v>
      </c>
      <c r="R498" s="263">
        <v>0</v>
      </c>
      <c r="S498" s="263">
        <v>0</v>
      </c>
      <c r="T498" s="263">
        <v>0</v>
      </c>
      <c r="U498" s="263">
        <f t="shared" si="283"/>
        <v>600000</v>
      </c>
      <c r="V498" s="196" t="str">
        <f t="shared" si="256"/>
        <v>G/LOS</v>
      </c>
      <c r="W498" s="196" t="s">
        <v>1168</v>
      </c>
      <c r="X498" s="196" t="str">
        <f t="shared" si="288"/>
        <v>Y</v>
      </c>
      <c r="Y498" s="376">
        <f t="shared" si="289"/>
        <v>600000</v>
      </c>
      <c r="Z498" s="198"/>
      <c r="AA498" s="376">
        <f t="shared" si="257"/>
        <v>600000</v>
      </c>
      <c r="AB498" s="196" t="s">
        <v>1166</v>
      </c>
      <c r="AC498" s="196" t="s">
        <v>1168</v>
      </c>
      <c r="AD498" s="275">
        <v>0.5</v>
      </c>
      <c r="AE498" s="275">
        <v>0.5</v>
      </c>
      <c r="AF498" s="275">
        <v>0</v>
      </c>
      <c r="AG498" s="199">
        <v>0.5</v>
      </c>
      <c r="AH498" s="199">
        <v>0.5</v>
      </c>
      <c r="AI498" s="377">
        <f t="shared" si="284"/>
        <v>0.5</v>
      </c>
      <c r="AJ498" s="203">
        <v>1</v>
      </c>
      <c r="AK498" s="203">
        <f t="shared" si="290"/>
        <v>0</v>
      </c>
      <c r="AL498" s="376">
        <f t="shared" si="285"/>
        <v>300000</v>
      </c>
      <c r="AM498" s="376">
        <f t="shared" si="286"/>
        <v>300000</v>
      </c>
      <c r="AN498" s="376">
        <f t="shared" si="287"/>
        <v>0</v>
      </c>
      <c r="AO498" s="378" t="s">
        <v>3608</v>
      </c>
      <c r="AP498" s="379" t="s">
        <v>2714</v>
      </c>
      <c r="AQ498" s="279"/>
      <c r="AR498" s="287">
        <f t="shared" si="259"/>
        <v>0</v>
      </c>
      <c r="AS498" s="287">
        <f t="shared" si="260"/>
        <v>75000</v>
      </c>
      <c r="AT498" s="287">
        <f t="shared" si="261"/>
        <v>225000</v>
      </c>
      <c r="AU498" s="287">
        <f t="shared" si="262"/>
        <v>0</v>
      </c>
      <c r="AV498" s="287">
        <f t="shared" si="263"/>
        <v>0</v>
      </c>
      <c r="AW498" s="287">
        <f t="shared" si="264"/>
        <v>0</v>
      </c>
      <c r="AX498" s="287">
        <f t="shared" si="265"/>
        <v>0</v>
      </c>
      <c r="AY498" s="287">
        <f t="shared" si="266"/>
        <v>0</v>
      </c>
      <c r="AZ498" s="287">
        <f t="shared" si="267"/>
        <v>0</v>
      </c>
      <c r="BA498" s="287">
        <f t="shared" si="268"/>
        <v>0</v>
      </c>
      <c r="BB498" s="16"/>
      <c r="BC498" s="287">
        <f t="shared" si="269"/>
        <v>0</v>
      </c>
      <c r="BD498" s="287">
        <f t="shared" si="270"/>
        <v>0</v>
      </c>
      <c r="BE498" s="287">
        <f t="shared" si="271"/>
        <v>0</v>
      </c>
      <c r="BF498" s="287">
        <f t="shared" si="272"/>
        <v>0</v>
      </c>
      <c r="BG498" s="287">
        <f t="shared" si="273"/>
        <v>0</v>
      </c>
      <c r="BH498" s="287">
        <f t="shared" si="274"/>
        <v>0</v>
      </c>
      <c r="BI498" s="287">
        <f t="shared" si="275"/>
        <v>0</v>
      </c>
      <c r="BJ498" s="287">
        <f t="shared" si="276"/>
        <v>0</v>
      </c>
      <c r="BK498" s="287">
        <f t="shared" si="277"/>
        <v>0</v>
      </c>
      <c r="BL498" s="287">
        <f t="shared" si="278"/>
        <v>0</v>
      </c>
      <c r="BM498" s="16"/>
      <c r="BN498" s="287">
        <f t="shared" si="279"/>
        <v>300000</v>
      </c>
      <c r="BO498" s="287">
        <f t="shared" si="280"/>
        <v>0</v>
      </c>
      <c r="BP498" s="432"/>
      <c r="BQ498" s="21"/>
      <c r="BR498" s="21"/>
      <c r="BS498" s="6"/>
      <c r="BT498" s="194">
        <f t="shared" si="291"/>
        <v>300000</v>
      </c>
      <c r="BU498" s="194">
        <f t="shared" si="292"/>
        <v>300000</v>
      </c>
      <c r="BV498" s="194">
        <f t="shared" si="293"/>
        <v>0</v>
      </c>
      <c r="BW498" s="194">
        <f t="shared" si="294"/>
        <v>0</v>
      </c>
      <c r="BX498" s="6"/>
      <c r="BY498" s="6"/>
      <c r="BZ498" s="39">
        <v>485</v>
      </c>
      <c r="CA498" s="39">
        <f t="shared" si="281"/>
        <v>2031</v>
      </c>
      <c r="CB498" s="6"/>
      <c r="CC498" s="39"/>
      <c r="CD498" s="39"/>
      <c r="CE498" s="39"/>
      <c r="CF498" s="39"/>
      <c r="CG498" s="39"/>
      <c r="CH498" s="39"/>
      <c r="CI498" s="39"/>
      <c r="CJ498" s="39"/>
      <c r="CK498" s="39"/>
    </row>
    <row r="499" spans="1:89" s="193" customFormat="1" ht="72">
      <c r="A499" s="375" t="s">
        <v>2502</v>
      </c>
      <c r="B499" s="21" t="str">
        <f t="shared" si="255"/>
        <v>OSD</v>
      </c>
      <c r="C499" s="21"/>
      <c r="D499" s="432">
        <v>3201503</v>
      </c>
      <c r="E499" s="439" t="s">
        <v>3626</v>
      </c>
      <c r="F499" s="439"/>
      <c r="G499" s="273" t="s">
        <v>4254</v>
      </c>
      <c r="H499" s="500" t="s">
        <v>5175</v>
      </c>
      <c r="I499" s="262" t="s">
        <v>3492</v>
      </c>
      <c r="J499" s="262" t="s">
        <v>3504</v>
      </c>
      <c r="K499" s="263">
        <v>1146863</v>
      </c>
      <c r="L499" s="263">
        <v>2425000</v>
      </c>
      <c r="M499" s="263">
        <v>936700</v>
      </c>
      <c r="N499" s="263">
        <v>0</v>
      </c>
      <c r="O499" s="263">
        <v>0</v>
      </c>
      <c r="P499" s="263">
        <v>0</v>
      </c>
      <c r="Q499" s="263">
        <v>0</v>
      </c>
      <c r="R499" s="263">
        <v>0</v>
      </c>
      <c r="S499" s="263">
        <v>0</v>
      </c>
      <c r="T499" s="263">
        <v>0</v>
      </c>
      <c r="U499" s="263">
        <f t="shared" si="283"/>
        <v>4508563</v>
      </c>
      <c r="V499" s="196" t="str">
        <f t="shared" si="256"/>
        <v>G/LOS</v>
      </c>
      <c r="W499" s="196" t="s">
        <v>1168</v>
      </c>
      <c r="X499" s="196" t="str">
        <f t="shared" si="288"/>
        <v>Y</v>
      </c>
      <c r="Y499" s="376">
        <f t="shared" si="289"/>
        <v>4508563</v>
      </c>
      <c r="Z499" s="198"/>
      <c r="AA499" s="376">
        <f t="shared" si="257"/>
        <v>4508563</v>
      </c>
      <c r="AB499" s="196" t="s">
        <v>1166</v>
      </c>
      <c r="AC499" s="196" t="s">
        <v>1168</v>
      </c>
      <c r="AD499" s="275">
        <v>0.5</v>
      </c>
      <c r="AE499" s="275">
        <v>0.5</v>
      </c>
      <c r="AF499" s="275">
        <v>0</v>
      </c>
      <c r="AG499" s="199">
        <v>0.5</v>
      </c>
      <c r="AH499" s="199">
        <v>0.5</v>
      </c>
      <c r="AI499" s="377">
        <f t="shared" si="284"/>
        <v>0.5</v>
      </c>
      <c r="AJ499" s="203">
        <v>1</v>
      </c>
      <c r="AK499" s="203">
        <f t="shared" si="290"/>
        <v>0</v>
      </c>
      <c r="AL499" s="376">
        <f t="shared" si="285"/>
        <v>2254281.5</v>
      </c>
      <c r="AM499" s="376">
        <f t="shared" si="286"/>
        <v>2254281.5</v>
      </c>
      <c r="AN499" s="376">
        <f t="shared" si="287"/>
        <v>0</v>
      </c>
      <c r="AO499" s="378" t="s">
        <v>3607</v>
      </c>
      <c r="AP499" s="379" t="s">
        <v>2714</v>
      </c>
      <c r="AQ499" s="279"/>
      <c r="AR499" s="287">
        <f t="shared" si="259"/>
        <v>573431.5</v>
      </c>
      <c r="AS499" s="287">
        <f t="shared" si="260"/>
        <v>1212500</v>
      </c>
      <c r="AT499" s="287">
        <f t="shared" si="261"/>
        <v>468350</v>
      </c>
      <c r="AU499" s="287">
        <f t="shared" si="262"/>
        <v>0</v>
      </c>
      <c r="AV499" s="287">
        <f t="shared" si="263"/>
        <v>0</v>
      </c>
      <c r="AW499" s="287">
        <f t="shared" si="264"/>
        <v>0</v>
      </c>
      <c r="AX499" s="287">
        <f t="shared" si="265"/>
        <v>0</v>
      </c>
      <c r="AY499" s="287">
        <f t="shared" si="266"/>
        <v>0</v>
      </c>
      <c r="AZ499" s="287">
        <f t="shared" si="267"/>
        <v>0</v>
      </c>
      <c r="BA499" s="287">
        <f t="shared" si="268"/>
        <v>0</v>
      </c>
      <c r="BB499" s="16"/>
      <c r="BC499" s="287">
        <f t="shared" si="269"/>
        <v>0</v>
      </c>
      <c r="BD499" s="287">
        <f t="shared" si="270"/>
        <v>0</v>
      </c>
      <c r="BE499" s="287">
        <f t="shared" si="271"/>
        <v>0</v>
      </c>
      <c r="BF499" s="287">
        <f t="shared" si="272"/>
        <v>0</v>
      </c>
      <c r="BG499" s="287">
        <f t="shared" si="273"/>
        <v>0</v>
      </c>
      <c r="BH499" s="287">
        <f t="shared" si="274"/>
        <v>0</v>
      </c>
      <c r="BI499" s="287">
        <f t="shared" si="275"/>
        <v>0</v>
      </c>
      <c r="BJ499" s="287">
        <f t="shared" si="276"/>
        <v>0</v>
      </c>
      <c r="BK499" s="287">
        <f t="shared" si="277"/>
        <v>0</v>
      </c>
      <c r="BL499" s="287">
        <f t="shared" si="278"/>
        <v>0</v>
      </c>
      <c r="BM499" s="16"/>
      <c r="BN499" s="287">
        <f t="shared" si="279"/>
        <v>2254281.5</v>
      </c>
      <c r="BO499" s="287">
        <f t="shared" si="280"/>
        <v>0</v>
      </c>
      <c r="BP499" s="432"/>
      <c r="BQ499" s="21"/>
      <c r="BR499" s="21"/>
      <c r="BS499" s="6"/>
      <c r="BT499" s="194">
        <f t="shared" si="291"/>
        <v>2254281.5</v>
      </c>
      <c r="BU499" s="194">
        <f t="shared" si="292"/>
        <v>2254281.5</v>
      </c>
      <c r="BV499" s="194">
        <f t="shared" si="293"/>
        <v>0</v>
      </c>
      <c r="BW499" s="194">
        <f t="shared" si="294"/>
        <v>0</v>
      </c>
      <c r="BX499" s="6"/>
      <c r="BY499" s="6"/>
      <c r="BZ499" s="39">
        <v>486</v>
      </c>
      <c r="CA499" s="39">
        <f t="shared" si="281"/>
        <v>2031</v>
      </c>
      <c r="CB499" s="6"/>
      <c r="CC499" s="39"/>
      <c r="CD499" s="39"/>
      <c r="CE499" s="39"/>
      <c r="CF499" s="39"/>
      <c r="CG499" s="39"/>
      <c r="CH499" s="39"/>
      <c r="CI499" s="39"/>
      <c r="CJ499" s="39"/>
      <c r="CK499" s="39"/>
    </row>
    <row r="500" spans="1:89" s="193" customFormat="1" ht="48">
      <c r="A500" s="375" t="s">
        <v>2507</v>
      </c>
      <c r="B500" s="21" t="str">
        <f t="shared" si="255"/>
        <v>OSD</v>
      </c>
      <c r="C500" s="21"/>
      <c r="D500" s="432">
        <v>3201504</v>
      </c>
      <c r="E500" s="439" t="s">
        <v>3626</v>
      </c>
      <c r="F500" s="439" t="s">
        <v>5077</v>
      </c>
      <c r="G500" s="273" t="s">
        <v>4301</v>
      </c>
      <c r="H500" s="500" t="s">
        <v>5062</v>
      </c>
      <c r="I500" s="262" t="s">
        <v>3492</v>
      </c>
      <c r="J500" s="262" t="s">
        <v>3521</v>
      </c>
      <c r="K500" s="263">
        <v>40000</v>
      </c>
      <c r="L500" s="263">
        <v>0</v>
      </c>
      <c r="M500" s="263">
        <v>0</v>
      </c>
      <c r="N500" s="263">
        <v>1450000</v>
      </c>
      <c r="O500" s="263">
        <v>0</v>
      </c>
      <c r="P500" s="263">
        <v>0</v>
      </c>
      <c r="Q500" s="263">
        <v>0</v>
      </c>
      <c r="R500" s="263">
        <v>0</v>
      </c>
      <c r="S500" s="263">
        <v>0</v>
      </c>
      <c r="T500" s="263">
        <v>0</v>
      </c>
      <c r="U500" s="263">
        <f t="shared" si="283"/>
        <v>1490000</v>
      </c>
      <c r="V500" s="196" t="str">
        <f t="shared" si="256"/>
        <v>G/LOS</v>
      </c>
      <c r="W500" s="196" t="s">
        <v>1168</v>
      </c>
      <c r="X500" s="196" t="str">
        <f t="shared" si="288"/>
        <v>Y</v>
      </c>
      <c r="Y500" s="376">
        <f t="shared" si="289"/>
        <v>1490000</v>
      </c>
      <c r="Z500" s="198"/>
      <c r="AA500" s="376">
        <f t="shared" si="257"/>
        <v>1490000</v>
      </c>
      <c r="AB500" s="196" t="s">
        <v>1166</v>
      </c>
      <c r="AC500" s="196" t="s">
        <v>1168</v>
      </c>
      <c r="AD500" s="275">
        <v>0.65249580575958055</v>
      </c>
      <c r="AE500" s="275">
        <v>0.34750419424041945</v>
      </c>
      <c r="AF500" s="275">
        <v>0</v>
      </c>
      <c r="AG500" s="442">
        <v>0.75</v>
      </c>
      <c r="AH500" s="442">
        <v>0.5</v>
      </c>
      <c r="AI500" s="377">
        <f t="shared" si="284"/>
        <v>0.625</v>
      </c>
      <c r="AJ500" s="203">
        <v>1</v>
      </c>
      <c r="AK500" s="203">
        <f t="shared" si="290"/>
        <v>0</v>
      </c>
      <c r="AL500" s="376">
        <f t="shared" si="285"/>
        <v>558750</v>
      </c>
      <c r="AM500" s="376">
        <f t="shared" si="286"/>
        <v>931250</v>
      </c>
      <c r="AN500" s="376">
        <f t="shared" si="287"/>
        <v>0</v>
      </c>
      <c r="AO500" s="378" t="s">
        <v>3608</v>
      </c>
      <c r="AP500" s="379" t="s">
        <v>2714</v>
      </c>
      <c r="AQ500" s="279" t="s">
        <v>4287</v>
      </c>
      <c r="AR500" s="287">
        <f t="shared" si="259"/>
        <v>25000</v>
      </c>
      <c r="AS500" s="287">
        <f t="shared" si="260"/>
        <v>0</v>
      </c>
      <c r="AT500" s="287">
        <f t="shared" si="261"/>
        <v>0</v>
      </c>
      <c r="AU500" s="287">
        <f t="shared" si="262"/>
        <v>906250</v>
      </c>
      <c r="AV500" s="287">
        <f t="shared" si="263"/>
        <v>0</v>
      </c>
      <c r="AW500" s="287">
        <f t="shared" si="264"/>
        <v>0</v>
      </c>
      <c r="AX500" s="287">
        <f t="shared" si="265"/>
        <v>0</v>
      </c>
      <c r="AY500" s="287">
        <f t="shared" si="266"/>
        <v>0</v>
      </c>
      <c r="AZ500" s="287">
        <f t="shared" si="267"/>
        <v>0</v>
      </c>
      <c r="BA500" s="287">
        <f t="shared" si="268"/>
        <v>0</v>
      </c>
      <c r="BB500" s="16"/>
      <c r="BC500" s="287">
        <f t="shared" si="269"/>
        <v>0</v>
      </c>
      <c r="BD500" s="287">
        <f t="shared" si="270"/>
        <v>0</v>
      </c>
      <c r="BE500" s="287">
        <f t="shared" si="271"/>
        <v>0</v>
      </c>
      <c r="BF500" s="287">
        <f t="shared" si="272"/>
        <v>0</v>
      </c>
      <c r="BG500" s="287">
        <f t="shared" si="273"/>
        <v>0</v>
      </c>
      <c r="BH500" s="287">
        <f t="shared" si="274"/>
        <v>0</v>
      </c>
      <c r="BI500" s="287">
        <f t="shared" si="275"/>
        <v>0</v>
      </c>
      <c r="BJ500" s="287">
        <f t="shared" si="276"/>
        <v>0</v>
      </c>
      <c r="BK500" s="287">
        <f t="shared" si="277"/>
        <v>0</v>
      </c>
      <c r="BL500" s="287">
        <f t="shared" si="278"/>
        <v>0</v>
      </c>
      <c r="BM500" s="16"/>
      <c r="BN500" s="287">
        <f t="shared" si="279"/>
        <v>931250</v>
      </c>
      <c r="BO500" s="287">
        <f t="shared" si="280"/>
        <v>0</v>
      </c>
      <c r="BP500" s="432"/>
      <c r="BQ500" s="21"/>
      <c r="BR500" s="21"/>
      <c r="BS500" s="6"/>
      <c r="BT500" s="194">
        <f t="shared" si="291"/>
        <v>931250</v>
      </c>
      <c r="BU500" s="194">
        <f t="shared" si="292"/>
        <v>931250</v>
      </c>
      <c r="BV500" s="194">
        <f t="shared" si="293"/>
        <v>0</v>
      </c>
      <c r="BW500" s="194">
        <f t="shared" si="294"/>
        <v>0</v>
      </c>
      <c r="BX500" s="6"/>
      <c r="BY500" s="6"/>
      <c r="BZ500" s="39">
        <v>487</v>
      </c>
      <c r="CA500" s="39">
        <f t="shared" si="281"/>
        <v>2031</v>
      </c>
      <c r="CB500" s="6"/>
      <c r="CC500" s="39"/>
      <c r="CD500" s="39"/>
      <c r="CE500" s="39"/>
      <c r="CF500" s="39"/>
      <c r="CG500" s="39"/>
      <c r="CH500" s="39"/>
      <c r="CI500" s="39"/>
      <c r="CJ500" s="39"/>
      <c r="CK500" s="39"/>
    </row>
    <row r="501" spans="1:89" s="193" customFormat="1" ht="48">
      <c r="A501" s="375" t="s">
        <v>2507</v>
      </c>
      <c r="B501" s="21" t="str">
        <f t="shared" si="255"/>
        <v>OSD</v>
      </c>
      <c r="C501" s="21"/>
      <c r="D501" s="432">
        <v>3201504</v>
      </c>
      <c r="E501" s="439" t="s">
        <v>3626</v>
      </c>
      <c r="F501" s="439" t="s">
        <v>5136</v>
      </c>
      <c r="G501" s="273" t="s">
        <v>4268</v>
      </c>
      <c r="H501" s="500" t="s">
        <v>5135</v>
      </c>
      <c r="I501" s="262" t="s">
        <v>3492</v>
      </c>
      <c r="J501" s="262" t="s">
        <v>3517</v>
      </c>
      <c r="K501" s="263">
        <v>256300</v>
      </c>
      <c r="L501" s="263">
        <v>200000</v>
      </c>
      <c r="M501" s="263">
        <v>600000</v>
      </c>
      <c r="N501" s="263">
        <v>200000</v>
      </c>
      <c r="O501" s="263">
        <v>0</v>
      </c>
      <c r="P501" s="263">
        <v>0</v>
      </c>
      <c r="Q501" s="263">
        <v>0</v>
      </c>
      <c r="R501" s="263">
        <v>0</v>
      </c>
      <c r="S501" s="263">
        <v>0</v>
      </c>
      <c r="T501" s="263">
        <v>0</v>
      </c>
      <c r="U501" s="263">
        <f t="shared" si="283"/>
        <v>1256300</v>
      </c>
      <c r="V501" s="196" t="str">
        <f t="shared" si="256"/>
        <v>G/LOS</v>
      </c>
      <c r="W501" s="196" t="s">
        <v>1168</v>
      </c>
      <c r="X501" s="196" t="str">
        <f t="shared" si="288"/>
        <v>Y</v>
      </c>
      <c r="Y501" s="376">
        <f t="shared" si="289"/>
        <v>1256300</v>
      </c>
      <c r="Z501" s="198"/>
      <c r="AA501" s="376">
        <f t="shared" si="257"/>
        <v>1256300</v>
      </c>
      <c r="AB501" s="196" t="s">
        <v>1166</v>
      </c>
      <c r="AC501" s="196" t="s">
        <v>1168</v>
      </c>
      <c r="AD501" s="275">
        <v>0.78497314767145709</v>
      </c>
      <c r="AE501" s="275">
        <v>0.21502685232854291</v>
      </c>
      <c r="AF501" s="275">
        <v>0</v>
      </c>
      <c r="AG501" s="442">
        <v>0.75</v>
      </c>
      <c r="AH501" s="442">
        <v>0.75</v>
      </c>
      <c r="AI501" s="377">
        <f t="shared" si="284"/>
        <v>0.75</v>
      </c>
      <c r="AJ501" s="203">
        <v>1</v>
      </c>
      <c r="AK501" s="203">
        <f t="shared" si="290"/>
        <v>0</v>
      </c>
      <c r="AL501" s="376">
        <f t="shared" si="285"/>
        <v>314075</v>
      </c>
      <c r="AM501" s="376">
        <f t="shared" si="286"/>
        <v>942225</v>
      </c>
      <c r="AN501" s="376">
        <f t="shared" si="287"/>
        <v>0</v>
      </c>
      <c r="AO501" s="378" t="s">
        <v>3608</v>
      </c>
      <c r="AP501" s="379" t="s">
        <v>2714</v>
      </c>
      <c r="AQ501" s="279" t="s">
        <v>4287</v>
      </c>
      <c r="AR501" s="287">
        <f t="shared" si="259"/>
        <v>192225</v>
      </c>
      <c r="AS501" s="287">
        <f t="shared" si="260"/>
        <v>150000</v>
      </c>
      <c r="AT501" s="287">
        <f t="shared" si="261"/>
        <v>450000</v>
      </c>
      <c r="AU501" s="287">
        <f t="shared" si="262"/>
        <v>150000</v>
      </c>
      <c r="AV501" s="287">
        <f t="shared" si="263"/>
        <v>0</v>
      </c>
      <c r="AW501" s="287">
        <f t="shared" si="264"/>
        <v>0</v>
      </c>
      <c r="AX501" s="287">
        <f t="shared" si="265"/>
        <v>0</v>
      </c>
      <c r="AY501" s="287">
        <f t="shared" si="266"/>
        <v>0</v>
      </c>
      <c r="AZ501" s="287">
        <f t="shared" si="267"/>
        <v>0</v>
      </c>
      <c r="BA501" s="287">
        <f t="shared" si="268"/>
        <v>0</v>
      </c>
      <c r="BB501" s="16"/>
      <c r="BC501" s="287">
        <f t="shared" si="269"/>
        <v>0</v>
      </c>
      <c r="BD501" s="287">
        <f t="shared" si="270"/>
        <v>0</v>
      </c>
      <c r="BE501" s="287">
        <f t="shared" si="271"/>
        <v>0</v>
      </c>
      <c r="BF501" s="287">
        <f t="shared" si="272"/>
        <v>0</v>
      </c>
      <c r="BG501" s="287">
        <f t="shared" si="273"/>
        <v>0</v>
      </c>
      <c r="BH501" s="287">
        <f t="shared" si="274"/>
        <v>0</v>
      </c>
      <c r="BI501" s="287">
        <f t="shared" si="275"/>
        <v>0</v>
      </c>
      <c r="BJ501" s="287">
        <f t="shared" si="276"/>
        <v>0</v>
      </c>
      <c r="BK501" s="287">
        <f t="shared" si="277"/>
        <v>0</v>
      </c>
      <c r="BL501" s="287">
        <f t="shared" si="278"/>
        <v>0</v>
      </c>
      <c r="BM501" s="16"/>
      <c r="BN501" s="287">
        <f t="shared" si="279"/>
        <v>942225</v>
      </c>
      <c r="BO501" s="287">
        <f t="shared" si="280"/>
        <v>0</v>
      </c>
      <c r="BP501" s="432"/>
      <c r="BQ501" s="21"/>
      <c r="BR501" s="21"/>
      <c r="BS501" s="6"/>
      <c r="BT501" s="194">
        <f t="shared" si="291"/>
        <v>942225</v>
      </c>
      <c r="BU501" s="194">
        <f t="shared" si="292"/>
        <v>942225</v>
      </c>
      <c r="BV501" s="194">
        <f t="shared" si="293"/>
        <v>0</v>
      </c>
      <c r="BW501" s="194">
        <f t="shared" si="294"/>
        <v>0</v>
      </c>
      <c r="BX501" s="6"/>
      <c r="BY501" s="6"/>
      <c r="BZ501" s="39">
        <v>488</v>
      </c>
      <c r="CA501" s="39">
        <f t="shared" si="281"/>
        <v>2031</v>
      </c>
      <c r="CB501" s="6"/>
      <c r="CC501" s="39"/>
      <c r="CD501" s="39"/>
      <c r="CE501" s="39"/>
      <c r="CF501" s="39"/>
      <c r="CG501" s="39"/>
      <c r="CH501" s="39"/>
      <c r="CI501" s="39"/>
      <c r="CJ501" s="39"/>
      <c r="CK501" s="39"/>
    </row>
    <row r="502" spans="1:89" s="193" customFormat="1" ht="60">
      <c r="A502" s="375" t="s">
        <v>2507</v>
      </c>
      <c r="B502" s="21" t="str">
        <f t="shared" si="255"/>
        <v>OSD</v>
      </c>
      <c r="C502" s="21"/>
      <c r="D502" s="432">
        <v>3201504</v>
      </c>
      <c r="E502" s="439" t="s">
        <v>3626</v>
      </c>
      <c r="F502" s="439" t="s">
        <v>5099</v>
      </c>
      <c r="G502" s="273" t="s">
        <v>4271</v>
      </c>
      <c r="H502" s="500" t="s">
        <v>5098</v>
      </c>
      <c r="I502" s="262" t="s">
        <v>3492</v>
      </c>
      <c r="J502" s="262" t="s">
        <v>3507</v>
      </c>
      <c r="K502" s="263">
        <v>74000</v>
      </c>
      <c r="L502" s="263">
        <v>150000</v>
      </c>
      <c r="M502" s="263">
        <v>100000</v>
      </c>
      <c r="N502" s="263">
        <v>0</v>
      </c>
      <c r="O502" s="263">
        <v>0</v>
      </c>
      <c r="P502" s="263">
        <v>0</v>
      </c>
      <c r="Q502" s="263">
        <v>0</v>
      </c>
      <c r="R502" s="263">
        <v>0</v>
      </c>
      <c r="S502" s="263">
        <v>0</v>
      </c>
      <c r="T502" s="263">
        <v>0</v>
      </c>
      <c r="U502" s="263">
        <f t="shared" si="283"/>
        <v>324000</v>
      </c>
      <c r="V502" s="196" t="str">
        <f t="shared" si="256"/>
        <v>G/LOS</v>
      </c>
      <c r="W502" s="196" t="s">
        <v>1168</v>
      </c>
      <c r="X502" s="196" t="str">
        <f t="shared" si="288"/>
        <v>Y</v>
      </c>
      <c r="Y502" s="376">
        <f t="shared" si="289"/>
        <v>324000</v>
      </c>
      <c r="Z502" s="198"/>
      <c r="AA502" s="376">
        <f t="shared" si="257"/>
        <v>324000</v>
      </c>
      <c r="AB502" s="196" t="s">
        <v>1166</v>
      </c>
      <c r="AC502" s="196" t="s">
        <v>1168</v>
      </c>
      <c r="AD502" s="275">
        <v>0.9</v>
      </c>
      <c r="AE502" s="275">
        <v>0.1</v>
      </c>
      <c r="AF502" s="275">
        <v>0</v>
      </c>
      <c r="AG502" s="442">
        <v>0.75</v>
      </c>
      <c r="AH502" s="442">
        <v>1</v>
      </c>
      <c r="AI502" s="377">
        <f t="shared" si="284"/>
        <v>0.875</v>
      </c>
      <c r="AJ502" s="203">
        <v>1</v>
      </c>
      <c r="AK502" s="203">
        <f t="shared" si="290"/>
        <v>0</v>
      </c>
      <c r="AL502" s="376">
        <f t="shared" si="285"/>
        <v>40500</v>
      </c>
      <c r="AM502" s="376">
        <f t="shared" si="286"/>
        <v>283500</v>
      </c>
      <c r="AN502" s="376">
        <f t="shared" si="287"/>
        <v>0</v>
      </c>
      <c r="AO502" s="378" t="s">
        <v>3608</v>
      </c>
      <c r="AP502" s="379" t="s">
        <v>2714</v>
      </c>
      <c r="AQ502" s="279" t="s">
        <v>4287</v>
      </c>
      <c r="AR502" s="287">
        <f t="shared" si="259"/>
        <v>64750</v>
      </c>
      <c r="AS502" s="287">
        <f t="shared" si="260"/>
        <v>131250</v>
      </c>
      <c r="AT502" s="287">
        <f t="shared" si="261"/>
        <v>87500</v>
      </c>
      <c r="AU502" s="287">
        <f t="shared" si="262"/>
        <v>0</v>
      </c>
      <c r="AV502" s="287">
        <f t="shared" si="263"/>
        <v>0</v>
      </c>
      <c r="AW502" s="287">
        <f t="shared" si="264"/>
        <v>0</v>
      </c>
      <c r="AX502" s="287">
        <f t="shared" si="265"/>
        <v>0</v>
      </c>
      <c r="AY502" s="287">
        <f t="shared" si="266"/>
        <v>0</v>
      </c>
      <c r="AZ502" s="287">
        <f t="shared" si="267"/>
        <v>0</v>
      </c>
      <c r="BA502" s="287">
        <f t="shared" si="268"/>
        <v>0</v>
      </c>
      <c r="BB502" s="16"/>
      <c r="BC502" s="287">
        <f t="shared" si="269"/>
        <v>0</v>
      </c>
      <c r="BD502" s="287">
        <f t="shared" si="270"/>
        <v>0</v>
      </c>
      <c r="BE502" s="287">
        <f t="shared" si="271"/>
        <v>0</v>
      </c>
      <c r="BF502" s="287">
        <f t="shared" si="272"/>
        <v>0</v>
      </c>
      <c r="BG502" s="287">
        <f t="shared" si="273"/>
        <v>0</v>
      </c>
      <c r="BH502" s="287">
        <f t="shared" si="274"/>
        <v>0</v>
      </c>
      <c r="BI502" s="287">
        <f t="shared" si="275"/>
        <v>0</v>
      </c>
      <c r="BJ502" s="287">
        <f t="shared" si="276"/>
        <v>0</v>
      </c>
      <c r="BK502" s="287">
        <f t="shared" si="277"/>
        <v>0</v>
      </c>
      <c r="BL502" s="287">
        <f t="shared" si="278"/>
        <v>0</v>
      </c>
      <c r="BM502" s="16"/>
      <c r="BN502" s="287">
        <f t="shared" si="279"/>
        <v>283500</v>
      </c>
      <c r="BO502" s="287">
        <f t="shared" si="280"/>
        <v>0</v>
      </c>
      <c r="BP502" s="432"/>
      <c r="BQ502" s="21"/>
      <c r="BR502" s="21"/>
      <c r="BS502" s="6"/>
      <c r="BT502" s="194">
        <f t="shared" si="291"/>
        <v>283500</v>
      </c>
      <c r="BU502" s="194">
        <f t="shared" si="292"/>
        <v>283500</v>
      </c>
      <c r="BV502" s="194">
        <f t="shared" si="293"/>
        <v>0</v>
      </c>
      <c r="BW502" s="194">
        <f t="shared" si="294"/>
        <v>0</v>
      </c>
      <c r="BX502" s="6"/>
      <c r="BY502" s="6"/>
      <c r="BZ502" s="39">
        <v>489</v>
      </c>
      <c r="CA502" s="39">
        <f t="shared" si="281"/>
        <v>2031</v>
      </c>
      <c r="CB502" s="6"/>
      <c r="CC502" s="39"/>
      <c r="CD502" s="39"/>
      <c r="CE502" s="39"/>
      <c r="CF502" s="39"/>
      <c r="CG502" s="39"/>
      <c r="CH502" s="39"/>
      <c r="CI502" s="39"/>
      <c r="CJ502" s="39"/>
      <c r="CK502" s="39"/>
    </row>
    <row r="503" spans="1:89" s="193" customFormat="1" ht="72">
      <c r="A503" s="375" t="s">
        <v>2507</v>
      </c>
      <c r="B503" s="21" t="str">
        <f t="shared" si="255"/>
        <v>OSD</v>
      </c>
      <c r="C503" s="21"/>
      <c r="D503" s="432">
        <v>3201504</v>
      </c>
      <c r="E503" s="439" t="s">
        <v>3626</v>
      </c>
      <c r="F503" s="439" t="s">
        <v>5153</v>
      </c>
      <c r="G503" s="273" t="s">
        <v>4278</v>
      </c>
      <c r="H503" s="500" t="s">
        <v>5152</v>
      </c>
      <c r="I503" s="262" t="s">
        <v>3492</v>
      </c>
      <c r="J503" s="262" t="s">
        <v>3505</v>
      </c>
      <c r="K503" s="263">
        <v>472000</v>
      </c>
      <c r="L503" s="263">
        <v>0</v>
      </c>
      <c r="M503" s="263">
        <v>0</v>
      </c>
      <c r="N503" s="263">
        <v>0</v>
      </c>
      <c r="O503" s="263">
        <v>0</v>
      </c>
      <c r="P503" s="263">
        <v>0</v>
      </c>
      <c r="Q503" s="263">
        <v>0</v>
      </c>
      <c r="R503" s="263">
        <v>0</v>
      </c>
      <c r="S503" s="263">
        <v>0</v>
      </c>
      <c r="T503" s="263">
        <v>0</v>
      </c>
      <c r="U503" s="263">
        <f t="shared" si="283"/>
        <v>472000</v>
      </c>
      <c r="V503" s="196" t="str">
        <f t="shared" si="256"/>
        <v>G/LOS</v>
      </c>
      <c r="W503" s="196" t="s">
        <v>1168</v>
      </c>
      <c r="X503" s="196" t="str">
        <f t="shared" si="288"/>
        <v>Y</v>
      </c>
      <c r="Y503" s="376">
        <f t="shared" si="289"/>
        <v>472000</v>
      </c>
      <c r="Z503" s="198"/>
      <c r="AA503" s="376">
        <f t="shared" si="257"/>
        <v>472000</v>
      </c>
      <c r="AB503" s="196" t="s">
        <v>1166</v>
      </c>
      <c r="AC503" s="196" t="s">
        <v>1168</v>
      </c>
      <c r="AD503" s="275">
        <v>0.9</v>
      </c>
      <c r="AE503" s="275">
        <v>0.1</v>
      </c>
      <c r="AF503" s="275">
        <v>0</v>
      </c>
      <c r="AG503" s="442">
        <v>0.75</v>
      </c>
      <c r="AH503" s="442">
        <v>1</v>
      </c>
      <c r="AI503" s="377">
        <f t="shared" si="284"/>
        <v>0.875</v>
      </c>
      <c r="AJ503" s="203">
        <v>1</v>
      </c>
      <c r="AK503" s="203">
        <f t="shared" si="290"/>
        <v>0</v>
      </c>
      <c r="AL503" s="376">
        <f t="shared" si="285"/>
        <v>59000</v>
      </c>
      <c r="AM503" s="376">
        <f t="shared" si="286"/>
        <v>413000</v>
      </c>
      <c r="AN503" s="376">
        <f t="shared" si="287"/>
        <v>0</v>
      </c>
      <c r="AO503" s="378" t="s">
        <v>3608</v>
      </c>
      <c r="AP503" s="379" t="s">
        <v>2714</v>
      </c>
      <c r="AQ503" s="279" t="s">
        <v>4287</v>
      </c>
      <c r="AR503" s="287">
        <f t="shared" si="259"/>
        <v>413000</v>
      </c>
      <c r="AS503" s="287">
        <f t="shared" si="260"/>
        <v>0</v>
      </c>
      <c r="AT503" s="287">
        <f t="shared" si="261"/>
        <v>0</v>
      </c>
      <c r="AU503" s="287">
        <f t="shared" si="262"/>
        <v>0</v>
      </c>
      <c r="AV503" s="287">
        <f t="shared" si="263"/>
        <v>0</v>
      </c>
      <c r="AW503" s="287">
        <f t="shared" si="264"/>
        <v>0</v>
      </c>
      <c r="AX503" s="287">
        <f t="shared" si="265"/>
        <v>0</v>
      </c>
      <c r="AY503" s="287">
        <f t="shared" si="266"/>
        <v>0</v>
      </c>
      <c r="AZ503" s="287">
        <f t="shared" si="267"/>
        <v>0</v>
      </c>
      <c r="BA503" s="287">
        <f t="shared" si="268"/>
        <v>0</v>
      </c>
      <c r="BB503" s="16"/>
      <c r="BC503" s="287">
        <f t="shared" si="269"/>
        <v>0</v>
      </c>
      <c r="BD503" s="287">
        <f t="shared" si="270"/>
        <v>0</v>
      </c>
      <c r="BE503" s="287">
        <f t="shared" si="271"/>
        <v>0</v>
      </c>
      <c r="BF503" s="287">
        <f t="shared" si="272"/>
        <v>0</v>
      </c>
      <c r="BG503" s="287">
        <f t="shared" si="273"/>
        <v>0</v>
      </c>
      <c r="BH503" s="287">
        <f t="shared" si="274"/>
        <v>0</v>
      </c>
      <c r="BI503" s="287">
        <f t="shared" si="275"/>
        <v>0</v>
      </c>
      <c r="BJ503" s="287">
        <f t="shared" si="276"/>
        <v>0</v>
      </c>
      <c r="BK503" s="287">
        <f t="shared" si="277"/>
        <v>0</v>
      </c>
      <c r="BL503" s="287">
        <f t="shared" si="278"/>
        <v>0</v>
      </c>
      <c r="BM503" s="16"/>
      <c r="BN503" s="287">
        <f t="shared" si="279"/>
        <v>413000</v>
      </c>
      <c r="BO503" s="287">
        <f t="shared" si="280"/>
        <v>0</v>
      </c>
      <c r="BP503" s="432"/>
      <c r="BQ503" s="21"/>
      <c r="BR503" s="21"/>
      <c r="BS503" s="6"/>
      <c r="BT503" s="194">
        <f t="shared" si="291"/>
        <v>413000</v>
      </c>
      <c r="BU503" s="194">
        <f t="shared" si="292"/>
        <v>413000</v>
      </c>
      <c r="BV503" s="194">
        <f t="shared" si="293"/>
        <v>0</v>
      </c>
      <c r="BW503" s="194">
        <f t="shared" si="294"/>
        <v>0</v>
      </c>
      <c r="BX503" s="6"/>
      <c r="BY503" s="6"/>
      <c r="BZ503" s="39">
        <v>490</v>
      </c>
      <c r="CA503" s="39">
        <f t="shared" si="281"/>
        <v>2031</v>
      </c>
      <c r="CB503" s="6"/>
      <c r="CC503" s="39"/>
      <c r="CD503" s="39"/>
      <c r="CE503" s="39"/>
      <c r="CF503" s="39"/>
      <c r="CG503" s="39"/>
      <c r="CH503" s="39"/>
      <c r="CI503" s="39"/>
      <c r="CJ503" s="39"/>
      <c r="CK503" s="39"/>
    </row>
    <row r="504" spans="1:89" s="193" customFormat="1" ht="48">
      <c r="A504" s="375" t="s">
        <v>2507</v>
      </c>
      <c r="B504" s="21" t="str">
        <f t="shared" si="255"/>
        <v>OSD</v>
      </c>
      <c r="C504" s="21"/>
      <c r="D504" s="432">
        <v>3201504</v>
      </c>
      <c r="E504" s="439" t="s">
        <v>3626</v>
      </c>
      <c r="F504" s="439" t="s">
        <v>5085</v>
      </c>
      <c r="G504" s="273" t="s">
        <v>4288</v>
      </c>
      <c r="H504" s="500" t="s">
        <v>5124</v>
      </c>
      <c r="I504" s="262" t="s">
        <v>3492</v>
      </c>
      <c r="J504" s="262" t="s">
        <v>3512</v>
      </c>
      <c r="K504" s="263">
        <v>200000</v>
      </c>
      <c r="L504" s="263">
        <v>1000000</v>
      </c>
      <c r="M504" s="263">
        <v>0</v>
      </c>
      <c r="N504" s="263">
        <v>0</v>
      </c>
      <c r="O504" s="263">
        <v>0</v>
      </c>
      <c r="P504" s="263">
        <v>0</v>
      </c>
      <c r="Q504" s="263">
        <v>0</v>
      </c>
      <c r="R504" s="263">
        <v>0</v>
      </c>
      <c r="S504" s="263">
        <v>0</v>
      </c>
      <c r="T504" s="263">
        <v>0</v>
      </c>
      <c r="U504" s="263">
        <f t="shared" si="283"/>
        <v>1200000</v>
      </c>
      <c r="V504" s="196" t="str">
        <f t="shared" si="256"/>
        <v>G/LOS/R</v>
      </c>
      <c r="W504" s="196" t="s">
        <v>1168</v>
      </c>
      <c r="X504" s="196" t="str">
        <f t="shared" si="288"/>
        <v>Y</v>
      </c>
      <c r="Y504" s="376">
        <f t="shared" si="289"/>
        <v>1200000</v>
      </c>
      <c r="Z504" s="198"/>
      <c r="AA504" s="376">
        <f t="shared" si="257"/>
        <v>1200000</v>
      </c>
      <c r="AB504" s="196" t="s">
        <v>1166</v>
      </c>
      <c r="AC504" s="196" t="s">
        <v>1168</v>
      </c>
      <c r="AD504" s="275">
        <v>0.64026683369019255</v>
      </c>
      <c r="AE504" s="275">
        <v>0.21342227789673085</v>
      </c>
      <c r="AF504" s="275">
        <v>0.14631088841307668</v>
      </c>
      <c r="AG504" s="442">
        <v>0.5</v>
      </c>
      <c r="AH504" s="442">
        <v>0.75</v>
      </c>
      <c r="AI504" s="377">
        <f t="shared" si="284"/>
        <v>0.625</v>
      </c>
      <c r="AJ504" s="203">
        <v>1</v>
      </c>
      <c r="AK504" s="203">
        <f>100%-AJ504</f>
        <v>0</v>
      </c>
      <c r="AL504" s="376">
        <f t="shared" si="285"/>
        <v>450000</v>
      </c>
      <c r="AM504" s="376">
        <f t="shared" si="286"/>
        <v>750000</v>
      </c>
      <c r="AN504" s="376">
        <f t="shared" si="287"/>
        <v>0</v>
      </c>
      <c r="AO504" s="378" t="s">
        <v>3608</v>
      </c>
      <c r="AP504" s="379" t="s">
        <v>2714</v>
      </c>
      <c r="AQ504" s="279" t="s">
        <v>4287</v>
      </c>
      <c r="AR504" s="287">
        <f t="shared" si="259"/>
        <v>125000</v>
      </c>
      <c r="AS504" s="287">
        <f t="shared" si="260"/>
        <v>625000</v>
      </c>
      <c r="AT504" s="287">
        <f t="shared" si="261"/>
        <v>0</v>
      </c>
      <c r="AU504" s="287">
        <f t="shared" si="262"/>
        <v>0</v>
      </c>
      <c r="AV504" s="287">
        <f t="shared" si="263"/>
        <v>0</v>
      </c>
      <c r="AW504" s="287">
        <f t="shared" si="264"/>
        <v>0</v>
      </c>
      <c r="AX504" s="287">
        <f t="shared" si="265"/>
        <v>0</v>
      </c>
      <c r="AY504" s="287">
        <f t="shared" si="266"/>
        <v>0</v>
      </c>
      <c r="AZ504" s="287">
        <f t="shared" si="267"/>
        <v>0</v>
      </c>
      <c r="BA504" s="287">
        <f t="shared" si="268"/>
        <v>0</v>
      </c>
      <c r="BB504" s="16"/>
      <c r="BC504" s="287">
        <f t="shared" si="269"/>
        <v>0</v>
      </c>
      <c r="BD504" s="287">
        <f t="shared" si="270"/>
        <v>0</v>
      </c>
      <c r="BE504" s="287">
        <f t="shared" si="271"/>
        <v>0</v>
      </c>
      <c r="BF504" s="287">
        <f t="shared" si="272"/>
        <v>0</v>
      </c>
      <c r="BG504" s="287">
        <f t="shared" si="273"/>
        <v>0</v>
      </c>
      <c r="BH504" s="287">
        <f t="shared" si="274"/>
        <v>0</v>
      </c>
      <c r="BI504" s="287">
        <f t="shared" si="275"/>
        <v>0</v>
      </c>
      <c r="BJ504" s="287">
        <f t="shared" si="276"/>
        <v>0</v>
      </c>
      <c r="BK504" s="287">
        <f t="shared" si="277"/>
        <v>0</v>
      </c>
      <c r="BL504" s="287">
        <f t="shared" si="278"/>
        <v>0</v>
      </c>
      <c r="BM504" s="16"/>
      <c r="BN504" s="287">
        <f t="shared" si="279"/>
        <v>750000</v>
      </c>
      <c r="BO504" s="287">
        <f t="shared" si="280"/>
        <v>0</v>
      </c>
      <c r="BP504" s="432"/>
      <c r="BQ504" s="21"/>
      <c r="BR504" s="21"/>
      <c r="BS504" s="6"/>
      <c r="BT504" s="194">
        <f t="shared" si="291"/>
        <v>750000</v>
      </c>
      <c r="BU504" s="194">
        <f t="shared" si="292"/>
        <v>750000</v>
      </c>
      <c r="BV504" s="194">
        <f t="shared" si="293"/>
        <v>0</v>
      </c>
      <c r="BW504" s="194">
        <f t="shared" si="294"/>
        <v>0</v>
      </c>
      <c r="BX504" s="6"/>
      <c r="BY504" s="6"/>
      <c r="BZ504" s="39">
        <v>491</v>
      </c>
      <c r="CA504" s="39">
        <f t="shared" si="281"/>
        <v>2031</v>
      </c>
      <c r="CB504" s="6"/>
      <c r="CC504" s="39"/>
      <c r="CD504" s="39"/>
      <c r="CE504" s="39"/>
      <c r="CF504" s="39"/>
      <c r="CG504" s="39"/>
      <c r="CH504" s="39"/>
      <c r="CI504" s="39"/>
      <c r="CJ504" s="39"/>
      <c r="CK504" s="39"/>
    </row>
    <row r="505" spans="1:89" s="193" customFormat="1" ht="48">
      <c r="A505" s="375" t="s">
        <v>2507</v>
      </c>
      <c r="B505" s="21" t="str">
        <f t="shared" si="255"/>
        <v>OSD</v>
      </c>
      <c r="C505" s="21"/>
      <c r="D505" s="432">
        <v>3201504</v>
      </c>
      <c r="E505" s="439" t="s">
        <v>3626</v>
      </c>
      <c r="F505" s="439" t="s">
        <v>5142</v>
      </c>
      <c r="G505" s="273" t="s">
        <v>4292</v>
      </c>
      <c r="H505" s="500" t="s">
        <v>5141</v>
      </c>
      <c r="I505" s="262" t="s">
        <v>3492</v>
      </c>
      <c r="J505" s="262" t="s">
        <v>3526</v>
      </c>
      <c r="K505" s="263">
        <v>300000</v>
      </c>
      <c r="L505" s="263">
        <v>300000</v>
      </c>
      <c r="M505" s="263">
        <v>300000</v>
      </c>
      <c r="N505" s="263">
        <v>360000</v>
      </c>
      <c r="O505" s="263">
        <v>0</v>
      </c>
      <c r="P505" s="263">
        <v>0</v>
      </c>
      <c r="Q505" s="263">
        <v>0</v>
      </c>
      <c r="R505" s="263">
        <v>0</v>
      </c>
      <c r="S505" s="263">
        <v>0</v>
      </c>
      <c r="T505" s="263">
        <v>0</v>
      </c>
      <c r="U505" s="263">
        <f t="shared" si="283"/>
        <v>1260000</v>
      </c>
      <c r="V505" s="196" t="str">
        <f t="shared" si="256"/>
        <v>G/LOS</v>
      </c>
      <c r="W505" s="196" t="s">
        <v>1168</v>
      </c>
      <c r="X505" s="196" t="str">
        <f t="shared" si="288"/>
        <v>Y</v>
      </c>
      <c r="Y505" s="376">
        <f t="shared" si="289"/>
        <v>1260000</v>
      </c>
      <c r="Z505" s="198"/>
      <c r="AA505" s="376">
        <f t="shared" si="257"/>
        <v>1260000</v>
      </c>
      <c r="AB505" s="196" t="s">
        <v>1166</v>
      </c>
      <c r="AC505" s="196" t="s">
        <v>1168</v>
      </c>
      <c r="AD505" s="275">
        <v>0.53850541638035354</v>
      </c>
      <c r="AE505" s="275">
        <v>0.46149458361964635</v>
      </c>
      <c r="AF505" s="275">
        <v>0</v>
      </c>
      <c r="AG505" s="442">
        <v>0.55000000000000004</v>
      </c>
      <c r="AH505" s="442">
        <v>0.5</v>
      </c>
      <c r="AI505" s="377">
        <f t="shared" si="284"/>
        <v>0.52500000000000002</v>
      </c>
      <c r="AJ505" s="203">
        <v>1</v>
      </c>
      <c r="AK505" s="203">
        <f>1-AJ505</f>
        <v>0</v>
      </c>
      <c r="AL505" s="376">
        <f t="shared" si="285"/>
        <v>598500</v>
      </c>
      <c r="AM505" s="376">
        <f t="shared" si="286"/>
        <v>661500</v>
      </c>
      <c r="AN505" s="376">
        <f t="shared" si="287"/>
        <v>0</v>
      </c>
      <c r="AO505" s="378" t="s">
        <v>3608</v>
      </c>
      <c r="AP505" s="379" t="s">
        <v>2714</v>
      </c>
      <c r="AQ505" s="279" t="s">
        <v>4287</v>
      </c>
      <c r="AR505" s="287">
        <f t="shared" si="259"/>
        <v>157500</v>
      </c>
      <c r="AS505" s="287">
        <f t="shared" si="260"/>
        <v>157500</v>
      </c>
      <c r="AT505" s="287">
        <f t="shared" si="261"/>
        <v>157500</v>
      </c>
      <c r="AU505" s="287">
        <f t="shared" si="262"/>
        <v>189000</v>
      </c>
      <c r="AV505" s="287">
        <f t="shared" si="263"/>
        <v>0</v>
      </c>
      <c r="AW505" s="287">
        <f t="shared" si="264"/>
        <v>0</v>
      </c>
      <c r="AX505" s="287">
        <f t="shared" si="265"/>
        <v>0</v>
      </c>
      <c r="AY505" s="287">
        <f t="shared" si="266"/>
        <v>0</v>
      </c>
      <c r="AZ505" s="287">
        <f t="shared" si="267"/>
        <v>0</v>
      </c>
      <c r="BA505" s="287">
        <f t="shared" si="268"/>
        <v>0</v>
      </c>
      <c r="BB505" s="16"/>
      <c r="BC505" s="287">
        <f t="shared" si="269"/>
        <v>0</v>
      </c>
      <c r="BD505" s="287">
        <f t="shared" si="270"/>
        <v>0</v>
      </c>
      <c r="BE505" s="287">
        <f t="shared" si="271"/>
        <v>0</v>
      </c>
      <c r="BF505" s="287">
        <f t="shared" si="272"/>
        <v>0</v>
      </c>
      <c r="BG505" s="287">
        <f t="shared" si="273"/>
        <v>0</v>
      </c>
      <c r="BH505" s="287">
        <f t="shared" si="274"/>
        <v>0</v>
      </c>
      <c r="BI505" s="287">
        <f t="shared" si="275"/>
        <v>0</v>
      </c>
      <c r="BJ505" s="287">
        <f t="shared" si="276"/>
        <v>0</v>
      </c>
      <c r="BK505" s="287">
        <f t="shared" si="277"/>
        <v>0</v>
      </c>
      <c r="BL505" s="287">
        <f t="shared" si="278"/>
        <v>0</v>
      </c>
      <c r="BM505" s="16"/>
      <c r="BN505" s="287">
        <f t="shared" si="279"/>
        <v>661500</v>
      </c>
      <c r="BO505" s="287">
        <f t="shared" si="280"/>
        <v>0</v>
      </c>
      <c r="BP505" s="432"/>
      <c r="BQ505" s="21"/>
      <c r="BR505" s="21"/>
      <c r="BS505" s="6"/>
      <c r="BT505" s="194">
        <f t="shared" si="291"/>
        <v>661500</v>
      </c>
      <c r="BU505" s="194">
        <f t="shared" si="292"/>
        <v>661500</v>
      </c>
      <c r="BV505" s="194">
        <f t="shared" si="293"/>
        <v>0</v>
      </c>
      <c r="BW505" s="194">
        <f t="shared" si="294"/>
        <v>0</v>
      </c>
      <c r="BX505" s="6"/>
      <c r="BY505" s="6"/>
      <c r="BZ505" s="39">
        <v>492</v>
      </c>
      <c r="CA505" s="39">
        <f t="shared" si="281"/>
        <v>2031</v>
      </c>
      <c r="CB505" s="6"/>
      <c r="CC505" s="39"/>
      <c r="CD505" s="39"/>
      <c r="CE505" s="39"/>
      <c r="CF505" s="39"/>
      <c r="CG505" s="39"/>
      <c r="CH505" s="39"/>
      <c r="CI505" s="39"/>
      <c r="CJ505" s="39"/>
      <c r="CK505" s="39"/>
    </row>
    <row r="506" spans="1:89" s="193" customFormat="1" ht="36">
      <c r="A506" s="375" t="s">
        <v>2507</v>
      </c>
      <c r="B506" s="21" t="str">
        <f t="shared" si="255"/>
        <v>OSD</v>
      </c>
      <c r="C506" s="21"/>
      <c r="D506" s="432">
        <v>3201504</v>
      </c>
      <c r="E506" s="439" t="s">
        <v>3626</v>
      </c>
      <c r="F506" s="439" t="s">
        <v>5075</v>
      </c>
      <c r="G506" s="273" t="s">
        <v>4300</v>
      </c>
      <c r="H506" s="500" t="s">
        <v>5060</v>
      </c>
      <c r="I506" s="262" t="s">
        <v>3492</v>
      </c>
      <c r="J506" s="262" t="s">
        <v>3512</v>
      </c>
      <c r="K506" s="263">
        <v>30000</v>
      </c>
      <c r="L506" s="263">
        <v>0</v>
      </c>
      <c r="M506" s="263">
        <v>0</v>
      </c>
      <c r="N506" s="263">
        <v>0</v>
      </c>
      <c r="O506" s="263">
        <v>0</v>
      </c>
      <c r="P506" s="263">
        <v>0</v>
      </c>
      <c r="Q506" s="263">
        <v>0</v>
      </c>
      <c r="R506" s="263">
        <v>0</v>
      </c>
      <c r="S506" s="263">
        <v>0</v>
      </c>
      <c r="T506" s="263">
        <v>0</v>
      </c>
      <c r="U506" s="263">
        <f t="shared" si="283"/>
        <v>30000</v>
      </c>
      <c r="V506" s="196" t="str">
        <f t="shared" si="256"/>
        <v>G/LOS/R</v>
      </c>
      <c r="W506" s="196" t="s">
        <v>1168</v>
      </c>
      <c r="X506" s="196" t="str">
        <f t="shared" si="288"/>
        <v>Y</v>
      </c>
      <c r="Y506" s="376">
        <f t="shared" si="289"/>
        <v>30000</v>
      </c>
      <c r="Z506" s="198"/>
      <c r="AA506" s="376">
        <f t="shared" si="257"/>
        <v>30000</v>
      </c>
      <c r="AB506" s="196" t="s">
        <v>1166</v>
      </c>
      <c r="AC506" s="196" t="s">
        <v>1168</v>
      </c>
      <c r="AD506" s="275">
        <v>0.64026683369019255</v>
      </c>
      <c r="AE506" s="275">
        <v>0.21342227789673085</v>
      </c>
      <c r="AF506" s="275">
        <v>0.14631088841307668</v>
      </c>
      <c r="AG506" s="442">
        <v>0.5</v>
      </c>
      <c r="AH506" s="442">
        <v>0.75</v>
      </c>
      <c r="AI506" s="377">
        <f t="shared" si="284"/>
        <v>0.625</v>
      </c>
      <c r="AJ506" s="203">
        <v>1</v>
      </c>
      <c r="AK506" s="203">
        <f>100%-AJ506</f>
        <v>0</v>
      </c>
      <c r="AL506" s="376">
        <f t="shared" si="285"/>
        <v>11250</v>
      </c>
      <c r="AM506" s="376">
        <f t="shared" si="286"/>
        <v>18750</v>
      </c>
      <c r="AN506" s="376">
        <f t="shared" si="287"/>
        <v>0</v>
      </c>
      <c r="AO506" s="378" t="s">
        <v>3608</v>
      </c>
      <c r="AP506" s="379" t="s">
        <v>2714</v>
      </c>
      <c r="AQ506" s="279" t="s">
        <v>4287</v>
      </c>
      <c r="AR506" s="287">
        <f t="shared" si="259"/>
        <v>18750</v>
      </c>
      <c r="AS506" s="287">
        <f t="shared" si="260"/>
        <v>0</v>
      </c>
      <c r="AT506" s="287">
        <f t="shared" si="261"/>
        <v>0</v>
      </c>
      <c r="AU506" s="287">
        <f t="shared" si="262"/>
        <v>0</v>
      </c>
      <c r="AV506" s="287">
        <f t="shared" si="263"/>
        <v>0</v>
      </c>
      <c r="AW506" s="287">
        <f t="shared" si="264"/>
        <v>0</v>
      </c>
      <c r="AX506" s="287">
        <f t="shared" si="265"/>
        <v>0</v>
      </c>
      <c r="AY506" s="287">
        <f t="shared" si="266"/>
        <v>0</v>
      </c>
      <c r="AZ506" s="287">
        <f t="shared" si="267"/>
        <v>0</v>
      </c>
      <c r="BA506" s="287">
        <f t="shared" si="268"/>
        <v>0</v>
      </c>
      <c r="BB506" s="16"/>
      <c r="BC506" s="287">
        <f t="shared" si="269"/>
        <v>0</v>
      </c>
      <c r="BD506" s="287">
        <f t="shared" si="270"/>
        <v>0</v>
      </c>
      <c r="BE506" s="287">
        <f t="shared" si="271"/>
        <v>0</v>
      </c>
      <c r="BF506" s="287">
        <f t="shared" si="272"/>
        <v>0</v>
      </c>
      <c r="BG506" s="287">
        <f t="shared" si="273"/>
        <v>0</v>
      </c>
      <c r="BH506" s="287">
        <f t="shared" si="274"/>
        <v>0</v>
      </c>
      <c r="BI506" s="287">
        <f t="shared" si="275"/>
        <v>0</v>
      </c>
      <c r="BJ506" s="287">
        <f t="shared" si="276"/>
        <v>0</v>
      </c>
      <c r="BK506" s="287">
        <f t="shared" si="277"/>
        <v>0</v>
      </c>
      <c r="BL506" s="287">
        <f t="shared" si="278"/>
        <v>0</v>
      </c>
      <c r="BM506" s="16"/>
      <c r="BN506" s="287">
        <f t="shared" si="279"/>
        <v>18750</v>
      </c>
      <c r="BO506" s="287">
        <f t="shared" si="280"/>
        <v>0</v>
      </c>
      <c r="BP506" s="432"/>
      <c r="BQ506" s="21"/>
      <c r="BR506" s="21"/>
      <c r="BS506" s="6"/>
      <c r="BT506" s="194">
        <f t="shared" si="291"/>
        <v>18750</v>
      </c>
      <c r="BU506" s="194">
        <f t="shared" si="292"/>
        <v>18750</v>
      </c>
      <c r="BV506" s="194">
        <f t="shared" si="293"/>
        <v>0</v>
      </c>
      <c r="BW506" s="194">
        <f t="shared" si="294"/>
        <v>0</v>
      </c>
      <c r="BX506" s="6"/>
      <c r="BY506" s="6"/>
      <c r="BZ506" s="39">
        <v>493</v>
      </c>
      <c r="CA506" s="39">
        <f t="shared" si="281"/>
        <v>2031</v>
      </c>
      <c r="CB506" s="6"/>
      <c r="CC506" s="39"/>
      <c r="CD506" s="39"/>
      <c r="CE506" s="39"/>
      <c r="CF506" s="39"/>
      <c r="CG506" s="39"/>
      <c r="CH506" s="39"/>
      <c r="CI506" s="39"/>
      <c r="CJ506" s="39"/>
      <c r="CK506" s="39"/>
    </row>
    <row r="507" spans="1:89" s="193" customFormat="1" ht="36">
      <c r="A507" s="375" t="s">
        <v>2507</v>
      </c>
      <c r="B507" s="21" t="str">
        <f t="shared" si="255"/>
        <v>OSD</v>
      </c>
      <c r="C507" s="21"/>
      <c r="D507" s="432">
        <v>3201504</v>
      </c>
      <c r="E507" s="439" t="s">
        <v>3626</v>
      </c>
      <c r="F507" s="439" t="s">
        <v>5105</v>
      </c>
      <c r="G507" s="273" t="s">
        <v>4266</v>
      </c>
      <c r="H507" s="500" t="s">
        <v>5104</v>
      </c>
      <c r="I507" s="262" t="s">
        <v>3492</v>
      </c>
      <c r="J507" s="262" t="s">
        <v>3508</v>
      </c>
      <c r="K507" s="263">
        <v>100000</v>
      </c>
      <c r="L507" s="263">
        <v>200000</v>
      </c>
      <c r="M507" s="263">
        <v>1300000</v>
      </c>
      <c r="N507" s="263">
        <v>400000</v>
      </c>
      <c r="O507" s="263">
        <v>0</v>
      </c>
      <c r="P507" s="263">
        <v>0</v>
      </c>
      <c r="Q507" s="263">
        <v>0</v>
      </c>
      <c r="R507" s="263">
        <v>0</v>
      </c>
      <c r="S507" s="263">
        <v>0</v>
      </c>
      <c r="T507" s="263">
        <v>0</v>
      </c>
      <c r="U507" s="263">
        <f t="shared" si="283"/>
        <v>2000000</v>
      </c>
      <c r="V507" s="196" t="str">
        <f t="shared" si="256"/>
        <v>G/LOS/R</v>
      </c>
      <c r="W507" s="196" t="s">
        <v>1168</v>
      </c>
      <c r="X507" s="196" t="str">
        <f t="shared" si="288"/>
        <v>Y</v>
      </c>
      <c r="Y507" s="376">
        <f t="shared" si="289"/>
        <v>2000000</v>
      </c>
      <c r="Z507" s="198"/>
      <c r="AA507" s="376">
        <f t="shared" si="257"/>
        <v>2000000</v>
      </c>
      <c r="AB507" s="196" t="s">
        <v>1166</v>
      </c>
      <c r="AC507" s="196" t="s">
        <v>1168</v>
      </c>
      <c r="AD507" s="275">
        <v>0.6420863309352518</v>
      </c>
      <c r="AE507" s="275">
        <v>0.21402877697841727</v>
      </c>
      <c r="AF507" s="275">
        <v>0.14388489208633093</v>
      </c>
      <c r="AG507" s="442">
        <v>0.5</v>
      </c>
      <c r="AH507" s="442">
        <v>0.75</v>
      </c>
      <c r="AI507" s="377">
        <f t="shared" si="284"/>
        <v>0.625</v>
      </c>
      <c r="AJ507" s="203">
        <v>1</v>
      </c>
      <c r="AK507" s="203">
        <f t="shared" ref="AK507:AK529" si="295">1-AJ507</f>
        <v>0</v>
      </c>
      <c r="AL507" s="376">
        <f t="shared" si="285"/>
        <v>750000</v>
      </c>
      <c r="AM507" s="376">
        <f t="shared" si="286"/>
        <v>1250000</v>
      </c>
      <c r="AN507" s="376">
        <f t="shared" si="287"/>
        <v>0</v>
      </c>
      <c r="AO507" s="378" t="s">
        <v>3608</v>
      </c>
      <c r="AP507" s="379" t="s">
        <v>2714</v>
      </c>
      <c r="AQ507" s="279" t="s">
        <v>4287</v>
      </c>
      <c r="AR507" s="287">
        <f t="shared" si="259"/>
        <v>62500</v>
      </c>
      <c r="AS507" s="287">
        <f t="shared" si="260"/>
        <v>125000</v>
      </c>
      <c r="AT507" s="287">
        <f t="shared" si="261"/>
        <v>812500</v>
      </c>
      <c r="AU507" s="287">
        <f t="shared" si="262"/>
        <v>250000</v>
      </c>
      <c r="AV507" s="287">
        <f t="shared" si="263"/>
        <v>0</v>
      </c>
      <c r="AW507" s="287">
        <f t="shared" si="264"/>
        <v>0</v>
      </c>
      <c r="AX507" s="287">
        <f t="shared" si="265"/>
        <v>0</v>
      </c>
      <c r="AY507" s="287">
        <f t="shared" si="266"/>
        <v>0</v>
      </c>
      <c r="AZ507" s="287">
        <f t="shared" si="267"/>
        <v>0</v>
      </c>
      <c r="BA507" s="287">
        <f t="shared" si="268"/>
        <v>0</v>
      </c>
      <c r="BB507" s="16"/>
      <c r="BC507" s="287">
        <f t="shared" si="269"/>
        <v>0</v>
      </c>
      <c r="BD507" s="287">
        <f t="shared" si="270"/>
        <v>0</v>
      </c>
      <c r="BE507" s="287">
        <f t="shared" si="271"/>
        <v>0</v>
      </c>
      <c r="BF507" s="287">
        <f t="shared" si="272"/>
        <v>0</v>
      </c>
      <c r="BG507" s="287">
        <f t="shared" si="273"/>
        <v>0</v>
      </c>
      <c r="BH507" s="287">
        <f t="shared" si="274"/>
        <v>0</v>
      </c>
      <c r="BI507" s="287">
        <f t="shared" si="275"/>
        <v>0</v>
      </c>
      <c r="BJ507" s="287">
        <f t="shared" si="276"/>
        <v>0</v>
      </c>
      <c r="BK507" s="287">
        <f t="shared" si="277"/>
        <v>0</v>
      </c>
      <c r="BL507" s="287">
        <f t="shared" si="278"/>
        <v>0</v>
      </c>
      <c r="BM507" s="16"/>
      <c r="BN507" s="287">
        <f t="shared" si="279"/>
        <v>1250000</v>
      </c>
      <c r="BO507" s="287">
        <f t="shared" si="280"/>
        <v>0</v>
      </c>
      <c r="BP507" s="432"/>
      <c r="BQ507" s="21"/>
      <c r="BR507" s="21"/>
      <c r="BS507" s="6"/>
      <c r="BT507" s="194">
        <f t="shared" si="291"/>
        <v>1250000</v>
      </c>
      <c r="BU507" s="194">
        <f t="shared" si="292"/>
        <v>1250000</v>
      </c>
      <c r="BV507" s="194">
        <f t="shared" si="293"/>
        <v>0</v>
      </c>
      <c r="BW507" s="194">
        <f t="shared" si="294"/>
        <v>0</v>
      </c>
      <c r="BX507" s="6"/>
      <c r="BY507" s="6"/>
      <c r="BZ507" s="39">
        <v>494</v>
      </c>
      <c r="CA507" s="39">
        <f t="shared" si="281"/>
        <v>2031</v>
      </c>
      <c r="CB507" s="6"/>
      <c r="CC507" s="39"/>
      <c r="CD507" s="39"/>
      <c r="CE507" s="39"/>
      <c r="CF507" s="39"/>
      <c r="CG507" s="39"/>
      <c r="CH507" s="39"/>
      <c r="CI507" s="39"/>
      <c r="CJ507" s="39"/>
      <c r="CK507" s="39"/>
    </row>
    <row r="508" spans="1:89" s="193" customFormat="1" ht="36">
      <c r="A508" s="375" t="s">
        <v>2507</v>
      </c>
      <c r="B508" s="21" t="str">
        <f t="shared" si="255"/>
        <v>OSD</v>
      </c>
      <c r="C508" s="21"/>
      <c r="D508" s="432">
        <v>3201504</v>
      </c>
      <c r="E508" s="439" t="s">
        <v>3626</v>
      </c>
      <c r="F508" s="439" t="s">
        <v>5079</v>
      </c>
      <c r="G508" s="273" t="s">
        <v>4274</v>
      </c>
      <c r="H508" s="500" t="s">
        <v>5050</v>
      </c>
      <c r="I508" s="262" t="s">
        <v>3492</v>
      </c>
      <c r="J508" s="262" t="s">
        <v>3507</v>
      </c>
      <c r="K508" s="263">
        <v>50000</v>
      </c>
      <c r="L508" s="263">
        <v>350000</v>
      </c>
      <c r="M508" s="263">
        <v>0</v>
      </c>
      <c r="N508" s="263">
        <v>0</v>
      </c>
      <c r="O508" s="263">
        <v>0</v>
      </c>
      <c r="P508" s="263">
        <v>0</v>
      </c>
      <c r="Q508" s="263">
        <v>0</v>
      </c>
      <c r="R508" s="263">
        <v>0</v>
      </c>
      <c r="S508" s="263">
        <v>0</v>
      </c>
      <c r="T508" s="263">
        <v>0</v>
      </c>
      <c r="U508" s="263">
        <f t="shared" si="283"/>
        <v>400000</v>
      </c>
      <c r="V508" s="196" t="str">
        <f t="shared" si="256"/>
        <v>G/LOS</v>
      </c>
      <c r="W508" s="196" t="s">
        <v>1168</v>
      </c>
      <c r="X508" s="196" t="str">
        <f t="shared" si="288"/>
        <v>Y</v>
      </c>
      <c r="Y508" s="376">
        <f t="shared" si="289"/>
        <v>400000</v>
      </c>
      <c r="Z508" s="198"/>
      <c r="AA508" s="376">
        <f t="shared" si="257"/>
        <v>400000</v>
      </c>
      <c r="AB508" s="196" t="s">
        <v>1166</v>
      </c>
      <c r="AC508" s="196" t="s">
        <v>1168</v>
      </c>
      <c r="AD508" s="275">
        <v>0.75</v>
      </c>
      <c r="AE508" s="275">
        <v>0.25</v>
      </c>
      <c r="AF508" s="275">
        <v>0</v>
      </c>
      <c r="AG508" s="442">
        <v>0.5</v>
      </c>
      <c r="AH508" s="442">
        <v>0.75</v>
      </c>
      <c r="AI508" s="377">
        <f t="shared" si="284"/>
        <v>0.625</v>
      </c>
      <c r="AJ508" s="203">
        <v>1</v>
      </c>
      <c r="AK508" s="203">
        <f t="shared" si="295"/>
        <v>0</v>
      </c>
      <c r="AL508" s="376">
        <f t="shared" si="285"/>
        <v>150000</v>
      </c>
      <c r="AM508" s="376">
        <f t="shared" si="286"/>
        <v>250000</v>
      </c>
      <c r="AN508" s="376">
        <f t="shared" si="287"/>
        <v>0</v>
      </c>
      <c r="AO508" s="378" t="s">
        <v>3608</v>
      </c>
      <c r="AP508" s="379" t="s">
        <v>2714</v>
      </c>
      <c r="AQ508" s="279" t="s">
        <v>4287</v>
      </c>
      <c r="AR508" s="287">
        <f t="shared" si="259"/>
        <v>31250</v>
      </c>
      <c r="AS508" s="287">
        <f t="shared" si="260"/>
        <v>218750</v>
      </c>
      <c r="AT508" s="287">
        <f t="shared" si="261"/>
        <v>0</v>
      </c>
      <c r="AU508" s="287">
        <f t="shared" si="262"/>
        <v>0</v>
      </c>
      <c r="AV508" s="287">
        <f t="shared" si="263"/>
        <v>0</v>
      </c>
      <c r="AW508" s="287">
        <f t="shared" si="264"/>
        <v>0</v>
      </c>
      <c r="AX508" s="287">
        <f t="shared" si="265"/>
        <v>0</v>
      </c>
      <c r="AY508" s="287">
        <f t="shared" si="266"/>
        <v>0</v>
      </c>
      <c r="AZ508" s="287">
        <f t="shared" si="267"/>
        <v>0</v>
      </c>
      <c r="BA508" s="287">
        <f t="shared" si="268"/>
        <v>0</v>
      </c>
      <c r="BB508" s="16"/>
      <c r="BC508" s="287">
        <f t="shared" si="269"/>
        <v>0</v>
      </c>
      <c r="BD508" s="287">
        <f t="shared" si="270"/>
        <v>0</v>
      </c>
      <c r="BE508" s="287">
        <f t="shared" si="271"/>
        <v>0</v>
      </c>
      <c r="BF508" s="287">
        <f t="shared" si="272"/>
        <v>0</v>
      </c>
      <c r="BG508" s="287">
        <f t="shared" si="273"/>
        <v>0</v>
      </c>
      <c r="BH508" s="287">
        <f t="shared" si="274"/>
        <v>0</v>
      </c>
      <c r="BI508" s="287">
        <f t="shared" si="275"/>
        <v>0</v>
      </c>
      <c r="BJ508" s="287">
        <f t="shared" si="276"/>
        <v>0</v>
      </c>
      <c r="BK508" s="287">
        <f t="shared" si="277"/>
        <v>0</v>
      </c>
      <c r="BL508" s="287">
        <f t="shared" si="278"/>
        <v>0</v>
      </c>
      <c r="BM508" s="16"/>
      <c r="BN508" s="287">
        <f t="shared" si="279"/>
        <v>250000</v>
      </c>
      <c r="BO508" s="287">
        <f t="shared" si="280"/>
        <v>0</v>
      </c>
      <c r="BP508" s="432"/>
      <c r="BQ508" s="21"/>
      <c r="BR508" s="21"/>
      <c r="BS508" s="6"/>
      <c r="BT508" s="194">
        <f t="shared" si="291"/>
        <v>250000</v>
      </c>
      <c r="BU508" s="194">
        <f t="shared" si="292"/>
        <v>250000</v>
      </c>
      <c r="BV508" s="194">
        <f t="shared" si="293"/>
        <v>0</v>
      </c>
      <c r="BW508" s="194">
        <f t="shared" si="294"/>
        <v>0</v>
      </c>
      <c r="BX508" s="6"/>
      <c r="BY508" s="6"/>
      <c r="BZ508" s="39">
        <v>495</v>
      </c>
      <c r="CA508" s="39">
        <f t="shared" si="281"/>
        <v>2031</v>
      </c>
      <c r="CB508" s="6"/>
      <c r="CC508" s="39"/>
      <c r="CD508" s="39"/>
      <c r="CE508" s="39"/>
      <c r="CF508" s="39"/>
      <c r="CG508" s="39"/>
      <c r="CH508" s="39"/>
      <c r="CI508" s="39"/>
      <c r="CJ508" s="39"/>
      <c r="CK508" s="39"/>
    </row>
    <row r="509" spans="1:89" s="193" customFormat="1" ht="36">
      <c r="A509" s="375" t="s">
        <v>2507</v>
      </c>
      <c r="B509" s="21" t="str">
        <f t="shared" si="255"/>
        <v>OSD</v>
      </c>
      <c r="C509" s="21"/>
      <c r="D509" s="432">
        <v>3201504</v>
      </c>
      <c r="E509" s="439" t="s">
        <v>3626</v>
      </c>
      <c r="F509" s="439" t="s">
        <v>5149</v>
      </c>
      <c r="G509" s="273" t="s">
        <v>4280</v>
      </c>
      <c r="H509" s="500" t="s">
        <v>5147</v>
      </c>
      <c r="I509" s="262" t="s">
        <v>3492</v>
      </c>
      <c r="J509" s="262" t="s">
        <v>3518</v>
      </c>
      <c r="K509" s="263">
        <v>385000</v>
      </c>
      <c r="L509" s="263">
        <v>0</v>
      </c>
      <c r="M509" s="263">
        <v>0</v>
      </c>
      <c r="N509" s="263">
        <v>0</v>
      </c>
      <c r="O509" s="263">
        <v>0</v>
      </c>
      <c r="P509" s="263">
        <v>0</v>
      </c>
      <c r="Q509" s="263">
        <v>0</v>
      </c>
      <c r="R509" s="263">
        <v>0</v>
      </c>
      <c r="S509" s="263">
        <v>0</v>
      </c>
      <c r="T509" s="263">
        <v>0</v>
      </c>
      <c r="U509" s="263">
        <f t="shared" si="283"/>
        <v>385000</v>
      </c>
      <c r="V509" s="196" t="str">
        <f t="shared" si="256"/>
        <v>G/LOS</v>
      </c>
      <c r="W509" s="196" t="s">
        <v>1168</v>
      </c>
      <c r="X509" s="196" t="str">
        <f t="shared" si="288"/>
        <v>Y</v>
      </c>
      <c r="Y509" s="376">
        <f t="shared" si="289"/>
        <v>385000</v>
      </c>
      <c r="Z509" s="198"/>
      <c r="AA509" s="376">
        <f t="shared" si="257"/>
        <v>385000</v>
      </c>
      <c r="AB509" s="196" t="s">
        <v>1166</v>
      </c>
      <c r="AC509" s="196" t="s">
        <v>1168</v>
      </c>
      <c r="AD509" s="275">
        <v>0.75</v>
      </c>
      <c r="AE509" s="275">
        <v>0.25</v>
      </c>
      <c r="AF509" s="275">
        <v>0</v>
      </c>
      <c r="AG509" s="442">
        <v>0.75</v>
      </c>
      <c r="AH509" s="442">
        <v>0.75</v>
      </c>
      <c r="AI509" s="377">
        <f t="shared" si="284"/>
        <v>0.75</v>
      </c>
      <c r="AJ509" s="203">
        <v>1</v>
      </c>
      <c r="AK509" s="203">
        <f t="shared" si="295"/>
        <v>0</v>
      </c>
      <c r="AL509" s="376">
        <f t="shared" si="285"/>
        <v>96250</v>
      </c>
      <c r="AM509" s="376">
        <f t="shared" si="286"/>
        <v>288750</v>
      </c>
      <c r="AN509" s="376">
        <f t="shared" si="287"/>
        <v>0</v>
      </c>
      <c r="AO509" s="378" t="s">
        <v>3608</v>
      </c>
      <c r="AP509" s="379" t="s">
        <v>2714</v>
      </c>
      <c r="AQ509" s="279" t="s">
        <v>4287</v>
      </c>
      <c r="AR509" s="287">
        <f t="shared" si="259"/>
        <v>288750</v>
      </c>
      <c r="AS509" s="287">
        <f t="shared" si="260"/>
        <v>0</v>
      </c>
      <c r="AT509" s="287">
        <f t="shared" si="261"/>
        <v>0</v>
      </c>
      <c r="AU509" s="287">
        <f t="shared" si="262"/>
        <v>0</v>
      </c>
      <c r="AV509" s="287">
        <f t="shared" si="263"/>
        <v>0</v>
      </c>
      <c r="AW509" s="287">
        <f t="shared" si="264"/>
        <v>0</v>
      </c>
      <c r="AX509" s="287">
        <f t="shared" si="265"/>
        <v>0</v>
      </c>
      <c r="AY509" s="287">
        <f t="shared" si="266"/>
        <v>0</v>
      </c>
      <c r="AZ509" s="287">
        <f t="shared" si="267"/>
        <v>0</v>
      </c>
      <c r="BA509" s="287">
        <f t="shared" si="268"/>
        <v>0</v>
      </c>
      <c r="BB509" s="16"/>
      <c r="BC509" s="287">
        <f t="shared" si="269"/>
        <v>0</v>
      </c>
      <c r="BD509" s="287">
        <f t="shared" si="270"/>
        <v>0</v>
      </c>
      <c r="BE509" s="287">
        <f t="shared" si="271"/>
        <v>0</v>
      </c>
      <c r="BF509" s="287">
        <f t="shared" si="272"/>
        <v>0</v>
      </c>
      <c r="BG509" s="287">
        <f t="shared" si="273"/>
        <v>0</v>
      </c>
      <c r="BH509" s="287">
        <f t="shared" si="274"/>
        <v>0</v>
      </c>
      <c r="BI509" s="287">
        <f t="shared" si="275"/>
        <v>0</v>
      </c>
      <c r="BJ509" s="287">
        <f t="shared" si="276"/>
        <v>0</v>
      </c>
      <c r="BK509" s="287">
        <f t="shared" si="277"/>
        <v>0</v>
      </c>
      <c r="BL509" s="287">
        <f t="shared" si="278"/>
        <v>0</v>
      </c>
      <c r="BM509" s="16"/>
      <c r="BN509" s="287">
        <f t="shared" si="279"/>
        <v>288750</v>
      </c>
      <c r="BO509" s="287">
        <f t="shared" si="280"/>
        <v>0</v>
      </c>
      <c r="BP509" s="432"/>
      <c r="BQ509" s="21"/>
      <c r="BR509" s="21"/>
      <c r="BS509" s="6"/>
      <c r="BT509" s="194">
        <f t="shared" si="291"/>
        <v>288750</v>
      </c>
      <c r="BU509" s="194">
        <f t="shared" si="292"/>
        <v>288750</v>
      </c>
      <c r="BV509" s="194">
        <f t="shared" si="293"/>
        <v>0</v>
      </c>
      <c r="BW509" s="194">
        <f t="shared" si="294"/>
        <v>0</v>
      </c>
      <c r="BX509" s="6"/>
      <c r="BY509" s="6"/>
      <c r="BZ509" s="39">
        <v>496</v>
      </c>
      <c r="CA509" s="39">
        <f t="shared" si="281"/>
        <v>2031</v>
      </c>
      <c r="CB509" s="6"/>
      <c r="CC509" s="39"/>
      <c r="CD509" s="39"/>
      <c r="CE509" s="39"/>
      <c r="CF509" s="39"/>
      <c r="CG509" s="39"/>
      <c r="CH509" s="39"/>
      <c r="CI509" s="39"/>
      <c r="CJ509" s="39"/>
      <c r="CK509" s="39"/>
    </row>
    <row r="510" spans="1:89" s="193" customFormat="1" ht="36">
      <c r="A510" s="375" t="s">
        <v>2507</v>
      </c>
      <c r="B510" s="21" t="str">
        <f t="shared" si="255"/>
        <v>OSD</v>
      </c>
      <c r="C510" s="21"/>
      <c r="D510" s="432">
        <v>3201504</v>
      </c>
      <c r="E510" s="439" t="s">
        <v>3626</v>
      </c>
      <c r="F510" s="439" t="s">
        <v>5148</v>
      </c>
      <c r="G510" s="273" t="s">
        <v>4281</v>
      </c>
      <c r="H510" s="500" t="s">
        <v>5147</v>
      </c>
      <c r="I510" s="262" t="s">
        <v>3492</v>
      </c>
      <c r="J510" s="262" t="s">
        <v>3514</v>
      </c>
      <c r="K510" s="263">
        <v>360000</v>
      </c>
      <c r="L510" s="263">
        <v>0</v>
      </c>
      <c r="M510" s="263">
        <v>0</v>
      </c>
      <c r="N510" s="263">
        <v>0</v>
      </c>
      <c r="O510" s="263">
        <v>0</v>
      </c>
      <c r="P510" s="263">
        <v>0</v>
      </c>
      <c r="Q510" s="263">
        <v>0</v>
      </c>
      <c r="R510" s="263">
        <v>0</v>
      </c>
      <c r="S510" s="263">
        <v>0</v>
      </c>
      <c r="T510" s="263">
        <v>0</v>
      </c>
      <c r="U510" s="263">
        <f t="shared" si="283"/>
        <v>360000</v>
      </c>
      <c r="V510" s="196" t="str">
        <f t="shared" si="256"/>
        <v>G/LOS/R</v>
      </c>
      <c r="W510" s="196" t="s">
        <v>1168</v>
      </c>
      <c r="X510" s="196" t="str">
        <f t="shared" si="288"/>
        <v>Y</v>
      </c>
      <c r="Y510" s="376">
        <f t="shared" si="289"/>
        <v>360000</v>
      </c>
      <c r="Z510" s="198"/>
      <c r="AA510" s="376">
        <f t="shared" si="257"/>
        <v>360000</v>
      </c>
      <c r="AB510" s="196" t="s">
        <v>1166</v>
      </c>
      <c r="AC510" s="196" t="s">
        <v>1168</v>
      </c>
      <c r="AD510" s="275">
        <v>0.67120622568093391</v>
      </c>
      <c r="AE510" s="275">
        <v>0.22373540856031129</v>
      </c>
      <c r="AF510" s="275">
        <v>0.10505836575875487</v>
      </c>
      <c r="AG510" s="442">
        <v>0.75</v>
      </c>
      <c r="AH510" s="442">
        <v>0.5</v>
      </c>
      <c r="AI510" s="377">
        <f t="shared" si="284"/>
        <v>0.625</v>
      </c>
      <c r="AJ510" s="203">
        <v>1</v>
      </c>
      <c r="AK510" s="203">
        <f t="shared" si="295"/>
        <v>0</v>
      </c>
      <c r="AL510" s="376">
        <f t="shared" si="285"/>
        <v>135000</v>
      </c>
      <c r="AM510" s="376">
        <f t="shared" si="286"/>
        <v>225000</v>
      </c>
      <c r="AN510" s="376">
        <f t="shared" si="287"/>
        <v>0</v>
      </c>
      <c r="AO510" s="378" t="s">
        <v>3608</v>
      </c>
      <c r="AP510" s="379" t="s">
        <v>2714</v>
      </c>
      <c r="AQ510" s="279" t="s">
        <v>4287</v>
      </c>
      <c r="AR510" s="287">
        <f t="shared" si="259"/>
        <v>225000</v>
      </c>
      <c r="AS510" s="287">
        <f t="shared" si="260"/>
        <v>0</v>
      </c>
      <c r="AT510" s="287">
        <f t="shared" si="261"/>
        <v>0</v>
      </c>
      <c r="AU510" s="287">
        <f t="shared" si="262"/>
        <v>0</v>
      </c>
      <c r="AV510" s="287">
        <f t="shared" si="263"/>
        <v>0</v>
      </c>
      <c r="AW510" s="287">
        <f t="shared" si="264"/>
        <v>0</v>
      </c>
      <c r="AX510" s="287">
        <f t="shared" si="265"/>
        <v>0</v>
      </c>
      <c r="AY510" s="287">
        <f t="shared" si="266"/>
        <v>0</v>
      </c>
      <c r="AZ510" s="287">
        <f t="shared" si="267"/>
        <v>0</v>
      </c>
      <c r="BA510" s="287">
        <f t="shared" si="268"/>
        <v>0</v>
      </c>
      <c r="BB510" s="16"/>
      <c r="BC510" s="287">
        <f t="shared" si="269"/>
        <v>0</v>
      </c>
      <c r="BD510" s="287">
        <f t="shared" si="270"/>
        <v>0</v>
      </c>
      <c r="BE510" s="287">
        <f t="shared" si="271"/>
        <v>0</v>
      </c>
      <c r="BF510" s="287">
        <f t="shared" si="272"/>
        <v>0</v>
      </c>
      <c r="BG510" s="287">
        <f t="shared" si="273"/>
        <v>0</v>
      </c>
      <c r="BH510" s="287">
        <f t="shared" si="274"/>
        <v>0</v>
      </c>
      <c r="BI510" s="287">
        <f t="shared" si="275"/>
        <v>0</v>
      </c>
      <c r="BJ510" s="287">
        <f t="shared" si="276"/>
        <v>0</v>
      </c>
      <c r="BK510" s="287">
        <f t="shared" si="277"/>
        <v>0</v>
      </c>
      <c r="BL510" s="287">
        <f t="shared" si="278"/>
        <v>0</v>
      </c>
      <c r="BM510" s="16"/>
      <c r="BN510" s="287">
        <f t="shared" si="279"/>
        <v>225000</v>
      </c>
      <c r="BO510" s="287">
        <f t="shared" si="280"/>
        <v>0</v>
      </c>
      <c r="BP510" s="432"/>
      <c r="BQ510" s="21"/>
      <c r="BR510" s="21"/>
      <c r="BS510" s="6"/>
      <c r="BT510" s="194">
        <f t="shared" si="291"/>
        <v>225000</v>
      </c>
      <c r="BU510" s="194">
        <f t="shared" si="292"/>
        <v>225000</v>
      </c>
      <c r="BV510" s="194">
        <f t="shared" si="293"/>
        <v>0</v>
      </c>
      <c r="BW510" s="194">
        <f t="shared" si="294"/>
        <v>0</v>
      </c>
      <c r="BX510" s="6"/>
      <c r="BY510" s="6"/>
      <c r="BZ510" s="39">
        <v>497</v>
      </c>
      <c r="CA510" s="39">
        <f t="shared" si="281"/>
        <v>2031</v>
      </c>
      <c r="CB510" s="6"/>
      <c r="CC510" s="39"/>
      <c r="CD510" s="39"/>
      <c r="CE510" s="39"/>
      <c r="CF510" s="39"/>
      <c r="CG510" s="39"/>
      <c r="CH510" s="39"/>
      <c r="CI510" s="39"/>
      <c r="CJ510" s="39"/>
      <c r="CK510" s="39"/>
    </row>
    <row r="511" spans="1:89" s="193" customFormat="1" ht="36">
      <c r="A511" s="375" t="s">
        <v>2507</v>
      </c>
      <c r="B511" s="21" t="str">
        <f t="shared" si="255"/>
        <v>OSD</v>
      </c>
      <c r="C511" s="21"/>
      <c r="D511" s="432">
        <v>3201504</v>
      </c>
      <c r="E511" s="439" t="s">
        <v>3626</v>
      </c>
      <c r="F511" s="439" t="s">
        <v>5140</v>
      </c>
      <c r="G511" s="273" t="s">
        <v>4286</v>
      </c>
      <c r="H511" s="500" t="s">
        <v>5139</v>
      </c>
      <c r="I511" s="262" t="s">
        <v>3492</v>
      </c>
      <c r="J511" s="262" t="s">
        <v>3514</v>
      </c>
      <c r="K511" s="263">
        <v>280000</v>
      </c>
      <c r="L511" s="263">
        <v>0</v>
      </c>
      <c r="M511" s="263">
        <v>0</v>
      </c>
      <c r="N511" s="263">
        <v>0</v>
      </c>
      <c r="O511" s="263">
        <v>0</v>
      </c>
      <c r="P511" s="263">
        <v>0</v>
      </c>
      <c r="Q511" s="263">
        <v>0</v>
      </c>
      <c r="R511" s="263">
        <v>0</v>
      </c>
      <c r="S511" s="263">
        <v>0</v>
      </c>
      <c r="T511" s="263">
        <v>0</v>
      </c>
      <c r="U511" s="263">
        <f t="shared" si="283"/>
        <v>280000</v>
      </c>
      <c r="V511" s="196" t="str">
        <f t="shared" si="256"/>
        <v>G/LOS/R</v>
      </c>
      <c r="W511" s="196" t="s">
        <v>1168</v>
      </c>
      <c r="X511" s="196" t="str">
        <f t="shared" si="288"/>
        <v>Y</v>
      </c>
      <c r="Y511" s="376">
        <f t="shared" si="289"/>
        <v>280000</v>
      </c>
      <c r="Z511" s="198"/>
      <c r="AA511" s="376">
        <f t="shared" si="257"/>
        <v>280000</v>
      </c>
      <c r="AB511" s="196" t="s">
        <v>1166</v>
      </c>
      <c r="AC511" s="196" t="s">
        <v>1168</v>
      </c>
      <c r="AD511" s="275">
        <v>0.67120622568093391</v>
      </c>
      <c r="AE511" s="275">
        <v>0.22373540856031129</v>
      </c>
      <c r="AF511" s="275">
        <v>0.10505836575875487</v>
      </c>
      <c r="AG511" s="442">
        <v>0.75</v>
      </c>
      <c r="AH511" s="442">
        <v>0.5</v>
      </c>
      <c r="AI511" s="377">
        <f t="shared" si="284"/>
        <v>0.625</v>
      </c>
      <c r="AJ511" s="203">
        <v>1</v>
      </c>
      <c r="AK511" s="203">
        <f t="shared" si="295"/>
        <v>0</v>
      </c>
      <c r="AL511" s="376">
        <f t="shared" si="285"/>
        <v>105000</v>
      </c>
      <c r="AM511" s="376">
        <f t="shared" si="286"/>
        <v>175000</v>
      </c>
      <c r="AN511" s="376">
        <f t="shared" si="287"/>
        <v>0</v>
      </c>
      <c r="AO511" s="378" t="s">
        <v>3608</v>
      </c>
      <c r="AP511" s="379" t="s">
        <v>2714</v>
      </c>
      <c r="AQ511" s="279" t="s">
        <v>4287</v>
      </c>
      <c r="AR511" s="287">
        <f t="shared" si="259"/>
        <v>175000</v>
      </c>
      <c r="AS511" s="287">
        <f t="shared" si="260"/>
        <v>0</v>
      </c>
      <c r="AT511" s="287">
        <f t="shared" si="261"/>
        <v>0</v>
      </c>
      <c r="AU511" s="287">
        <f t="shared" si="262"/>
        <v>0</v>
      </c>
      <c r="AV511" s="287">
        <f t="shared" si="263"/>
        <v>0</v>
      </c>
      <c r="AW511" s="287">
        <f t="shared" si="264"/>
        <v>0</v>
      </c>
      <c r="AX511" s="287">
        <f t="shared" si="265"/>
        <v>0</v>
      </c>
      <c r="AY511" s="287">
        <f t="shared" si="266"/>
        <v>0</v>
      </c>
      <c r="AZ511" s="287">
        <f t="shared" si="267"/>
        <v>0</v>
      </c>
      <c r="BA511" s="287">
        <f t="shared" si="268"/>
        <v>0</v>
      </c>
      <c r="BB511" s="16"/>
      <c r="BC511" s="287">
        <f t="shared" si="269"/>
        <v>0</v>
      </c>
      <c r="BD511" s="287">
        <f t="shared" si="270"/>
        <v>0</v>
      </c>
      <c r="BE511" s="287">
        <f t="shared" si="271"/>
        <v>0</v>
      </c>
      <c r="BF511" s="287">
        <f t="shared" si="272"/>
        <v>0</v>
      </c>
      <c r="BG511" s="287">
        <f t="shared" si="273"/>
        <v>0</v>
      </c>
      <c r="BH511" s="287">
        <f t="shared" si="274"/>
        <v>0</v>
      </c>
      <c r="BI511" s="287">
        <f t="shared" si="275"/>
        <v>0</v>
      </c>
      <c r="BJ511" s="287">
        <f t="shared" si="276"/>
        <v>0</v>
      </c>
      <c r="BK511" s="287">
        <f t="shared" si="277"/>
        <v>0</v>
      </c>
      <c r="BL511" s="287">
        <f t="shared" si="278"/>
        <v>0</v>
      </c>
      <c r="BM511" s="16"/>
      <c r="BN511" s="287">
        <f t="shared" si="279"/>
        <v>175000</v>
      </c>
      <c r="BO511" s="287">
        <f t="shared" si="280"/>
        <v>0</v>
      </c>
      <c r="BP511" s="432"/>
      <c r="BQ511" s="21"/>
      <c r="BR511" s="21"/>
      <c r="BS511" s="6"/>
      <c r="BT511" s="194">
        <f t="shared" si="291"/>
        <v>175000</v>
      </c>
      <c r="BU511" s="194">
        <f t="shared" si="292"/>
        <v>175000</v>
      </c>
      <c r="BV511" s="194">
        <f t="shared" si="293"/>
        <v>0</v>
      </c>
      <c r="BW511" s="194">
        <f t="shared" si="294"/>
        <v>0</v>
      </c>
      <c r="BX511" s="6"/>
      <c r="BY511" s="6"/>
      <c r="BZ511" s="39">
        <v>498</v>
      </c>
      <c r="CA511" s="39">
        <f t="shared" si="281"/>
        <v>2031</v>
      </c>
      <c r="CB511" s="6"/>
      <c r="CC511" s="39"/>
      <c r="CD511" s="39"/>
      <c r="CE511" s="39"/>
      <c r="CF511" s="39"/>
      <c r="CG511" s="39"/>
      <c r="CH511" s="39"/>
      <c r="CI511" s="39"/>
      <c r="CJ511" s="39"/>
      <c r="CK511" s="39"/>
    </row>
    <row r="512" spans="1:89" s="193" customFormat="1" ht="60">
      <c r="A512" s="375" t="s">
        <v>2507</v>
      </c>
      <c r="B512" s="21" t="str">
        <f t="shared" si="255"/>
        <v>OSD</v>
      </c>
      <c r="C512" s="21"/>
      <c r="D512" s="432">
        <v>3201504</v>
      </c>
      <c r="E512" s="439" t="s">
        <v>3626</v>
      </c>
      <c r="F512" s="439" t="s">
        <v>5121</v>
      </c>
      <c r="G512" s="273" t="s">
        <v>4276</v>
      </c>
      <c r="H512" s="500" t="s">
        <v>5120</v>
      </c>
      <c r="I512" s="262" t="s">
        <v>3492</v>
      </c>
      <c r="J512" s="262" t="s">
        <v>3510</v>
      </c>
      <c r="K512" s="263">
        <v>200000</v>
      </c>
      <c r="L512" s="263">
        <v>300000</v>
      </c>
      <c r="M512" s="263">
        <v>1950000</v>
      </c>
      <c r="N512" s="263">
        <v>2100000</v>
      </c>
      <c r="O512" s="263">
        <v>0</v>
      </c>
      <c r="P512" s="263">
        <v>0</v>
      </c>
      <c r="Q512" s="263">
        <v>0</v>
      </c>
      <c r="R512" s="263">
        <v>0</v>
      </c>
      <c r="S512" s="263">
        <v>0</v>
      </c>
      <c r="T512" s="263">
        <v>0</v>
      </c>
      <c r="U512" s="263">
        <f t="shared" si="283"/>
        <v>4550000</v>
      </c>
      <c r="V512" s="196" t="str">
        <f t="shared" si="256"/>
        <v>G/LOS</v>
      </c>
      <c r="W512" s="196" t="s">
        <v>1168</v>
      </c>
      <c r="X512" s="196" t="str">
        <f t="shared" ref="X512:X543" si="296">IF(LEFT(V512,1)="G","Y","N")</f>
        <v>Y</v>
      </c>
      <c r="Y512" s="376">
        <f t="shared" si="289"/>
        <v>4550000</v>
      </c>
      <c r="Z512" s="198"/>
      <c r="AA512" s="376">
        <f t="shared" si="257"/>
        <v>4550000</v>
      </c>
      <c r="AB512" s="196" t="s">
        <v>1166</v>
      </c>
      <c r="AC512" s="196" t="s">
        <v>1168</v>
      </c>
      <c r="AD512" s="275">
        <v>0.5</v>
      </c>
      <c r="AE512" s="275">
        <v>0.5</v>
      </c>
      <c r="AF512" s="275">
        <v>0</v>
      </c>
      <c r="AG512" s="442">
        <v>0.5</v>
      </c>
      <c r="AH512" s="442">
        <v>0.5</v>
      </c>
      <c r="AI512" s="377">
        <f t="shared" si="284"/>
        <v>0.5</v>
      </c>
      <c r="AJ512" s="203">
        <v>1</v>
      </c>
      <c r="AK512" s="203">
        <f t="shared" si="295"/>
        <v>0</v>
      </c>
      <c r="AL512" s="376">
        <f t="shared" si="285"/>
        <v>2275000</v>
      </c>
      <c r="AM512" s="376">
        <f t="shared" si="286"/>
        <v>2275000</v>
      </c>
      <c r="AN512" s="376">
        <f t="shared" si="287"/>
        <v>0</v>
      </c>
      <c r="AO512" s="378" t="s">
        <v>3608</v>
      </c>
      <c r="AP512" s="379" t="s">
        <v>2714</v>
      </c>
      <c r="AQ512" s="279" t="s">
        <v>4287</v>
      </c>
      <c r="AR512" s="287">
        <f t="shared" si="259"/>
        <v>100000</v>
      </c>
      <c r="AS512" s="287">
        <f t="shared" si="260"/>
        <v>150000</v>
      </c>
      <c r="AT512" s="287">
        <f t="shared" si="261"/>
        <v>975000</v>
      </c>
      <c r="AU512" s="287">
        <f t="shared" si="262"/>
        <v>1050000</v>
      </c>
      <c r="AV512" s="287">
        <f t="shared" si="263"/>
        <v>0</v>
      </c>
      <c r="AW512" s="287">
        <f t="shared" si="264"/>
        <v>0</v>
      </c>
      <c r="AX512" s="287">
        <f t="shared" si="265"/>
        <v>0</v>
      </c>
      <c r="AY512" s="287">
        <f t="shared" si="266"/>
        <v>0</v>
      </c>
      <c r="AZ512" s="287">
        <f t="shared" si="267"/>
        <v>0</v>
      </c>
      <c r="BA512" s="287">
        <f t="shared" si="268"/>
        <v>0</v>
      </c>
      <c r="BB512" s="16"/>
      <c r="BC512" s="287">
        <f t="shared" si="269"/>
        <v>0</v>
      </c>
      <c r="BD512" s="287">
        <f t="shared" si="270"/>
        <v>0</v>
      </c>
      <c r="BE512" s="287">
        <f t="shared" si="271"/>
        <v>0</v>
      </c>
      <c r="BF512" s="287">
        <f t="shared" si="272"/>
        <v>0</v>
      </c>
      <c r="BG512" s="287">
        <f t="shared" si="273"/>
        <v>0</v>
      </c>
      <c r="BH512" s="287">
        <f t="shared" si="274"/>
        <v>0</v>
      </c>
      <c r="BI512" s="287">
        <f t="shared" si="275"/>
        <v>0</v>
      </c>
      <c r="BJ512" s="287">
        <f t="shared" si="276"/>
        <v>0</v>
      </c>
      <c r="BK512" s="287">
        <f t="shared" si="277"/>
        <v>0</v>
      </c>
      <c r="BL512" s="287">
        <f t="shared" si="278"/>
        <v>0</v>
      </c>
      <c r="BM512" s="16"/>
      <c r="BN512" s="287">
        <f t="shared" si="279"/>
        <v>2275000</v>
      </c>
      <c r="BO512" s="287">
        <f t="shared" si="280"/>
        <v>0</v>
      </c>
      <c r="BP512" s="432"/>
      <c r="BQ512" s="21"/>
      <c r="BR512" s="21"/>
      <c r="BS512" s="6"/>
      <c r="BT512" s="194">
        <f t="shared" si="291"/>
        <v>2275000</v>
      </c>
      <c r="BU512" s="194">
        <f t="shared" si="292"/>
        <v>2275000</v>
      </c>
      <c r="BV512" s="194">
        <f t="shared" si="293"/>
        <v>0</v>
      </c>
      <c r="BW512" s="194">
        <f t="shared" si="294"/>
        <v>0</v>
      </c>
      <c r="BX512" s="6"/>
      <c r="BY512" s="6"/>
      <c r="BZ512" s="39">
        <v>499</v>
      </c>
      <c r="CA512" s="39">
        <f t="shared" si="281"/>
        <v>2031</v>
      </c>
      <c r="CB512" s="6"/>
      <c r="CC512" s="39"/>
      <c r="CD512" s="39"/>
      <c r="CE512" s="39"/>
      <c r="CF512" s="39"/>
      <c r="CG512" s="39"/>
      <c r="CH512" s="39"/>
      <c r="CI512" s="39"/>
      <c r="CJ512" s="39"/>
      <c r="CK512" s="39"/>
    </row>
    <row r="513" spans="1:89" s="193" customFormat="1" ht="48">
      <c r="A513" s="375" t="s">
        <v>2507</v>
      </c>
      <c r="B513" s="21" t="str">
        <f t="shared" si="255"/>
        <v>OSD</v>
      </c>
      <c r="C513" s="21"/>
      <c r="D513" s="432">
        <v>3201504</v>
      </c>
      <c r="E513" s="439" t="s">
        <v>3626</v>
      </c>
      <c r="F513" s="439" t="s">
        <v>5151</v>
      </c>
      <c r="G513" s="273" t="s">
        <v>4302</v>
      </c>
      <c r="H513" s="500" t="s">
        <v>5150</v>
      </c>
      <c r="I513" s="262" t="s">
        <v>3492</v>
      </c>
      <c r="J513" s="262" t="s">
        <v>3515</v>
      </c>
      <c r="K513" s="263">
        <v>460000</v>
      </c>
      <c r="L513" s="263">
        <v>360000</v>
      </c>
      <c r="M513" s="263">
        <v>0</v>
      </c>
      <c r="N513" s="263">
        <v>465000</v>
      </c>
      <c r="O513" s="263">
        <v>0</v>
      </c>
      <c r="P513" s="263">
        <v>0</v>
      </c>
      <c r="Q513" s="263">
        <v>0</v>
      </c>
      <c r="R513" s="263">
        <v>0</v>
      </c>
      <c r="S513" s="263">
        <v>0</v>
      </c>
      <c r="T513" s="263">
        <v>0</v>
      </c>
      <c r="U513" s="263">
        <f t="shared" si="283"/>
        <v>1285000</v>
      </c>
      <c r="V513" s="196" t="str">
        <f t="shared" si="256"/>
        <v>G/LOS/R</v>
      </c>
      <c r="W513" s="196" t="s">
        <v>1168</v>
      </c>
      <c r="X513" s="196" t="str">
        <f t="shared" si="296"/>
        <v>Y</v>
      </c>
      <c r="Y513" s="376">
        <f t="shared" si="289"/>
        <v>1285000</v>
      </c>
      <c r="Z513" s="198"/>
      <c r="AA513" s="376">
        <f t="shared" si="257"/>
        <v>1285000</v>
      </c>
      <c r="AB513" s="196" t="s">
        <v>1166</v>
      </c>
      <c r="AC513" s="196" t="s">
        <v>1168</v>
      </c>
      <c r="AD513" s="275">
        <v>0.70946986164476511</v>
      </c>
      <c r="AE513" s="275">
        <v>0.23648995388158839</v>
      </c>
      <c r="AF513" s="275">
        <v>5.4040184473646488E-2</v>
      </c>
      <c r="AG513" s="442">
        <v>0.65</v>
      </c>
      <c r="AH513" s="442">
        <v>0.75</v>
      </c>
      <c r="AI513" s="377">
        <f t="shared" si="284"/>
        <v>0.7</v>
      </c>
      <c r="AJ513" s="203">
        <v>1</v>
      </c>
      <c r="AK513" s="203">
        <f t="shared" si="295"/>
        <v>0</v>
      </c>
      <c r="AL513" s="376">
        <f t="shared" si="285"/>
        <v>385500.00000000006</v>
      </c>
      <c r="AM513" s="376">
        <f t="shared" si="286"/>
        <v>899500</v>
      </c>
      <c r="AN513" s="376">
        <f t="shared" si="287"/>
        <v>0</v>
      </c>
      <c r="AO513" s="378" t="s">
        <v>3608</v>
      </c>
      <c r="AP513" s="379" t="s">
        <v>2714</v>
      </c>
      <c r="AQ513" s="279" t="s">
        <v>4287</v>
      </c>
      <c r="AR513" s="287">
        <f t="shared" si="259"/>
        <v>322000</v>
      </c>
      <c r="AS513" s="287">
        <f t="shared" si="260"/>
        <v>251999.99999999997</v>
      </c>
      <c r="AT513" s="287">
        <f t="shared" si="261"/>
        <v>0</v>
      </c>
      <c r="AU513" s="287">
        <f t="shared" si="262"/>
        <v>325500</v>
      </c>
      <c r="AV513" s="287">
        <f t="shared" si="263"/>
        <v>0</v>
      </c>
      <c r="AW513" s="287">
        <f t="shared" si="264"/>
        <v>0</v>
      </c>
      <c r="AX513" s="287">
        <f t="shared" si="265"/>
        <v>0</v>
      </c>
      <c r="AY513" s="287">
        <f t="shared" si="266"/>
        <v>0</v>
      </c>
      <c r="AZ513" s="287">
        <f t="shared" si="267"/>
        <v>0</v>
      </c>
      <c r="BA513" s="287">
        <f t="shared" si="268"/>
        <v>0</v>
      </c>
      <c r="BB513" s="16"/>
      <c r="BC513" s="287">
        <f t="shared" si="269"/>
        <v>0</v>
      </c>
      <c r="BD513" s="287">
        <f t="shared" si="270"/>
        <v>0</v>
      </c>
      <c r="BE513" s="287">
        <f t="shared" si="271"/>
        <v>0</v>
      </c>
      <c r="BF513" s="287">
        <f t="shared" si="272"/>
        <v>0</v>
      </c>
      <c r="BG513" s="287">
        <f t="shared" si="273"/>
        <v>0</v>
      </c>
      <c r="BH513" s="287">
        <f t="shared" si="274"/>
        <v>0</v>
      </c>
      <c r="BI513" s="287">
        <f t="shared" si="275"/>
        <v>0</v>
      </c>
      <c r="BJ513" s="287">
        <f t="shared" si="276"/>
        <v>0</v>
      </c>
      <c r="BK513" s="287">
        <f t="shared" si="277"/>
        <v>0</v>
      </c>
      <c r="BL513" s="287">
        <f t="shared" si="278"/>
        <v>0</v>
      </c>
      <c r="BM513" s="16"/>
      <c r="BN513" s="287">
        <f t="shared" si="279"/>
        <v>899500</v>
      </c>
      <c r="BO513" s="287">
        <f t="shared" si="280"/>
        <v>0</v>
      </c>
      <c r="BP513" s="432"/>
      <c r="BQ513" s="21"/>
      <c r="BR513" s="21"/>
      <c r="BS513" s="6"/>
      <c r="BT513" s="194">
        <f t="shared" si="291"/>
        <v>899500</v>
      </c>
      <c r="BU513" s="194">
        <f t="shared" si="292"/>
        <v>899500</v>
      </c>
      <c r="BV513" s="194">
        <f t="shared" si="293"/>
        <v>0</v>
      </c>
      <c r="BW513" s="194">
        <f t="shared" si="294"/>
        <v>0</v>
      </c>
      <c r="BX513" s="6"/>
      <c r="BY513" s="6"/>
      <c r="BZ513" s="39">
        <v>500</v>
      </c>
      <c r="CA513" s="39">
        <f t="shared" si="281"/>
        <v>2031</v>
      </c>
      <c r="CB513" s="6"/>
      <c r="CC513" s="39"/>
      <c r="CD513" s="39"/>
      <c r="CE513" s="39"/>
      <c r="CF513" s="39"/>
      <c r="CG513" s="39"/>
      <c r="CH513" s="39"/>
      <c r="CI513" s="39"/>
      <c r="CJ513" s="39"/>
      <c r="CK513" s="39"/>
    </row>
    <row r="514" spans="1:89" s="193" customFormat="1" ht="48">
      <c r="A514" s="375" t="s">
        <v>2507</v>
      </c>
      <c r="B514" s="21" t="str">
        <f t="shared" si="255"/>
        <v>OSD</v>
      </c>
      <c r="C514" s="21"/>
      <c r="D514" s="432">
        <v>3201504</v>
      </c>
      <c r="E514" s="439" t="s">
        <v>3626</v>
      </c>
      <c r="F514" s="439" t="s">
        <v>5116</v>
      </c>
      <c r="G514" s="273" t="s">
        <v>4289</v>
      </c>
      <c r="H514" s="500" t="s">
        <v>5115</v>
      </c>
      <c r="I514" s="262" t="s">
        <v>3492</v>
      </c>
      <c r="J514" s="262" t="s">
        <v>3523</v>
      </c>
      <c r="K514" s="263">
        <v>150000</v>
      </c>
      <c r="L514" s="263">
        <v>50000</v>
      </c>
      <c r="M514" s="263">
        <v>0</v>
      </c>
      <c r="N514" s="263">
        <v>750000</v>
      </c>
      <c r="O514" s="263">
        <v>0</v>
      </c>
      <c r="P514" s="263">
        <v>0</v>
      </c>
      <c r="Q514" s="263">
        <v>0</v>
      </c>
      <c r="R514" s="263">
        <v>0</v>
      </c>
      <c r="S514" s="263">
        <v>0</v>
      </c>
      <c r="T514" s="263">
        <v>0</v>
      </c>
      <c r="U514" s="263">
        <f t="shared" si="283"/>
        <v>950000</v>
      </c>
      <c r="V514" s="196" t="str">
        <f t="shared" si="256"/>
        <v>G/LOS</v>
      </c>
      <c r="W514" s="196" t="s">
        <v>1168</v>
      </c>
      <c r="X514" s="196" t="str">
        <f t="shared" si="296"/>
        <v>Y</v>
      </c>
      <c r="Y514" s="376">
        <f t="shared" si="289"/>
        <v>950000</v>
      </c>
      <c r="Z514" s="198"/>
      <c r="AA514" s="376">
        <f t="shared" si="257"/>
        <v>950000</v>
      </c>
      <c r="AB514" s="196" t="s">
        <v>1166</v>
      </c>
      <c r="AC514" s="196" t="s">
        <v>1168</v>
      </c>
      <c r="AD514" s="275">
        <v>0.69369881710646042</v>
      </c>
      <c r="AE514" s="275">
        <v>0.30630118289353958</v>
      </c>
      <c r="AF514" s="275">
        <v>0</v>
      </c>
      <c r="AG514" s="442">
        <v>0.65</v>
      </c>
      <c r="AH514" s="442">
        <v>0.75</v>
      </c>
      <c r="AI514" s="377">
        <f t="shared" si="284"/>
        <v>0.7</v>
      </c>
      <c r="AJ514" s="203">
        <v>1</v>
      </c>
      <c r="AK514" s="203">
        <f t="shared" si="295"/>
        <v>0</v>
      </c>
      <c r="AL514" s="376">
        <f t="shared" si="285"/>
        <v>285000.00000000006</v>
      </c>
      <c r="AM514" s="376">
        <f t="shared" si="286"/>
        <v>665000</v>
      </c>
      <c r="AN514" s="376">
        <f t="shared" si="287"/>
        <v>0</v>
      </c>
      <c r="AO514" s="378" t="s">
        <v>3608</v>
      </c>
      <c r="AP514" s="379" t="s">
        <v>2714</v>
      </c>
      <c r="AQ514" s="279" t="s">
        <v>4287</v>
      </c>
      <c r="AR514" s="287">
        <f t="shared" si="259"/>
        <v>105000</v>
      </c>
      <c r="AS514" s="287">
        <f t="shared" si="260"/>
        <v>35000</v>
      </c>
      <c r="AT514" s="287">
        <f t="shared" si="261"/>
        <v>0</v>
      </c>
      <c r="AU514" s="287">
        <f t="shared" si="262"/>
        <v>525000</v>
      </c>
      <c r="AV514" s="287">
        <f t="shared" si="263"/>
        <v>0</v>
      </c>
      <c r="AW514" s="287">
        <f t="shared" si="264"/>
        <v>0</v>
      </c>
      <c r="AX514" s="287">
        <f t="shared" si="265"/>
        <v>0</v>
      </c>
      <c r="AY514" s="287">
        <f t="shared" si="266"/>
        <v>0</v>
      </c>
      <c r="AZ514" s="287">
        <f t="shared" si="267"/>
        <v>0</v>
      </c>
      <c r="BA514" s="287">
        <f t="shared" si="268"/>
        <v>0</v>
      </c>
      <c r="BB514" s="16"/>
      <c r="BC514" s="287">
        <f t="shared" si="269"/>
        <v>0</v>
      </c>
      <c r="BD514" s="287">
        <f t="shared" si="270"/>
        <v>0</v>
      </c>
      <c r="BE514" s="287">
        <f t="shared" si="271"/>
        <v>0</v>
      </c>
      <c r="BF514" s="287">
        <f t="shared" si="272"/>
        <v>0</v>
      </c>
      <c r="BG514" s="287">
        <f t="shared" si="273"/>
        <v>0</v>
      </c>
      <c r="BH514" s="287">
        <f t="shared" si="274"/>
        <v>0</v>
      </c>
      <c r="BI514" s="287">
        <f t="shared" si="275"/>
        <v>0</v>
      </c>
      <c r="BJ514" s="287">
        <f t="shared" si="276"/>
        <v>0</v>
      </c>
      <c r="BK514" s="287">
        <f t="shared" si="277"/>
        <v>0</v>
      </c>
      <c r="BL514" s="287">
        <f t="shared" si="278"/>
        <v>0</v>
      </c>
      <c r="BM514" s="16"/>
      <c r="BN514" s="287">
        <f t="shared" si="279"/>
        <v>665000</v>
      </c>
      <c r="BO514" s="287">
        <f t="shared" si="280"/>
        <v>0</v>
      </c>
      <c r="BP514" s="432"/>
      <c r="BQ514" s="21"/>
      <c r="BR514" s="21"/>
      <c r="BS514" s="6"/>
      <c r="BT514" s="194">
        <f t="shared" si="291"/>
        <v>665000</v>
      </c>
      <c r="BU514" s="194">
        <f t="shared" si="292"/>
        <v>665000</v>
      </c>
      <c r="BV514" s="194">
        <f t="shared" si="293"/>
        <v>0</v>
      </c>
      <c r="BW514" s="194">
        <f t="shared" si="294"/>
        <v>0</v>
      </c>
      <c r="BX514" s="6"/>
      <c r="BY514" s="6"/>
      <c r="BZ514" s="39">
        <v>501</v>
      </c>
      <c r="CA514" s="39">
        <f t="shared" si="281"/>
        <v>2031</v>
      </c>
      <c r="CB514" s="6"/>
      <c r="CC514" s="39"/>
      <c r="CD514" s="39"/>
      <c r="CE514" s="39"/>
      <c r="CF514" s="39"/>
      <c r="CG514" s="39"/>
      <c r="CH514" s="39"/>
      <c r="CI514" s="39"/>
      <c r="CJ514" s="39"/>
      <c r="CK514" s="39"/>
    </row>
    <row r="515" spans="1:89" s="193" customFormat="1" ht="36">
      <c r="A515" s="375" t="s">
        <v>2507</v>
      </c>
      <c r="B515" s="21" t="str">
        <f t="shared" si="255"/>
        <v>OSD</v>
      </c>
      <c r="C515" s="21"/>
      <c r="D515" s="432">
        <v>3201504</v>
      </c>
      <c r="E515" s="439" t="s">
        <v>3626</v>
      </c>
      <c r="F515" s="439" t="s">
        <v>5069</v>
      </c>
      <c r="G515" s="273" t="s">
        <v>4290</v>
      </c>
      <c r="H515" s="500" t="s">
        <v>5050</v>
      </c>
      <c r="I515" s="262" t="s">
        <v>3492</v>
      </c>
      <c r="J515" s="262" t="s">
        <v>3510</v>
      </c>
      <c r="K515" s="263">
        <v>0</v>
      </c>
      <c r="L515" s="263">
        <v>520000</v>
      </c>
      <c r="M515" s="263">
        <v>0</v>
      </c>
      <c r="N515" s="263">
        <v>0</v>
      </c>
      <c r="O515" s="263">
        <v>0</v>
      </c>
      <c r="P515" s="263">
        <v>0</v>
      </c>
      <c r="Q515" s="263">
        <v>0</v>
      </c>
      <c r="R515" s="263">
        <v>0</v>
      </c>
      <c r="S515" s="263">
        <v>0</v>
      </c>
      <c r="T515" s="263">
        <v>0</v>
      </c>
      <c r="U515" s="263">
        <f t="shared" si="283"/>
        <v>520000</v>
      </c>
      <c r="V515" s="196" t="str">
        <f t="shared" si="256"/>
        <v>G/LOS/R</v>
      </c>
      <c r="W515" s="196" t="s">
        <v>1168</v>
      </c>
      <c r="X515" s="196" t="str">
        <f t="shared" si="296"/>
        <v>Y</v>
      </c>
      <c r="Y515" s="376">
        <f t="shared" si="289"/>
        <v>520000</v>
      </c>
      <c r="Z515" s="198"/>
      <c r="AA515" s="376">
        <f t="shared" si="257"/>
        <v>520000</v>
      </c>
      <c r="AB515" s="196" t="s">
        <v>1166</v>
      </c>
      <c r="AC515" s="196" t="s">
        <v>1168</v>
      </c>
      <c r="AD515" s="275">
        <v>0.72368421052631582</v>
      </c>
      <c r="AE515" s="275">
        <v>0.2412280701754386</v>
      </c>
      <c r="AF515" s="275">
        <v>3.5087719298245612E-2</v>
      </c>
      <c r="AG515" s="442">
        <v>0.5</v>
      </c>
      <c r="AH515" s="442">
        <v>0.5</v>
      </c>
      <c r="AI515" s="377">
        <f t="shared" si="284"/>
        <v>0.5</v>
      </c>
      <c r="AJ515" s="203">
        <v>1</v>
      </c>
      <c r="AK515" s="203">
        <f t="shared" si="295"/>
        <v>0</v>
      </c>
      <c r="AL515" s="376">
        <f t="shared" si="285"/>
        <v>260000</v>
      </c>
      <c r="AM515" s="376">
        <f t="shared" si="286"/>
        <v>260000</v>
      </c>
      <c r="AN515" s="376">
        <f t="shared" si="287"/>
        <v>0</v>
      </c>
      <c r="AO515" s="378" t="s">
        <v>3608</v>
      </c>
      <c r="AP515" s="379" t="s">
        <v>2714</v>
      </c>
      <c r="AQ515" s="279" t="s">
        <v>4287</v>
      </c>
      <c r="AR515" s="287">
        <f t="shared" si="259"/>
        <v>0</v>
      </c>
      <c r="AS515" s="287">
        <f t="shared" si="260"/>
        <v>260000</v>
      </c>
      <c r="AT515" s="287">
        <f t="shared" si="261"/>
        <v>0</v>
      </c>
      <c r="AU515" s="287">
        <f t="shared" si="262"/>
        <v>0</v>
      </c>
      <c r="AV515" s="287">
        <f t="shared" si="263"/>
        <v>0</v>
      </c>
      <c r="AW515" s="287">
        <f t="shared" si="264"/>
        <v>0</v>
      </c>
      <c r="AX515" s="287">
        <f t="shared" si="265"/>
        <v>0</v>
      </c>
      <c r="AY515" s="287">
        <f t="shared" si="266"/>
        <v>0</v>
      </c>
      <c r="AZ515" s="287">
        <f t="shared" si="267"/>
        <v>0</v>
      </c>
      <c r="BA515" s="287">
        <f t="shared" si="268"/>
        <v>0</v>
      </c>
      <c r="BB515" s="16"/>
      <c r="BC515" s="287">
        <f t="shared" si="269"/>
        <v>0</v>
      </c>
      <c r="BD515" s="287">
        <f t="shared" si="270"/>
        <v>0</v>
      </c>
      <c r="BE515" s="287">
        <f t="shared" si="271"/>
        <v>0</v>
      </c>
      <c r="BF515" s="287">
        <f t="shared" si="272"/>
        <v>0</v>
      </c>
      <c r="BG515" s="287">
        <f t="shared" si="273"/>
        <v>0</v>
      </c>
      <c r="BH515" s="287">
        <f t="shared" si="274"/>
        <v>0</v>
      </c>
      <c r="BI515" s="287">
        <f t="shared" si="275"/>
        <v>0</v>
      </c>
      <c r="BJ515" s="287">
        <f t="shared" si="276"/>
        <v>0</v>
      </c>
      <c r="BK515" s="287">
        <f t="shared" si="277"/>
        <v>0</v>
      </c>
      <c r="BL515" s="287">
        <f t="shared" si="278"/>
        <v>0</v>
      </c>
      <c r="BM515" s="16"/>
      <c r="BN515" s="287">
        <f t="shared" si="279"/>
        <v>260000</v>
      </c>
      <c r="BO515" s="287">
        <f t="shared" si="280"/>
        <v>0</v>
      </c>
      <c r="BP515" s="432"/>
      <c r="BQ515" s="21"/>
      <c r="BR515" s="21"/>
      <c r="BS515" s="6"/>
      <c r="BT515" s="194">
        <f t="shared" si="291"/>
        <v>260000</v>
      </c>
      <c r="BU515" s="194">
        <f t="shared" si="292"/>
        <v>260000</v>
      </c>
      <c r="BV515" s="194">
        <f t="shared" si="293"/>
        <v>0</v>
      </c>
      <c r="BW515" s="194">
        <f t="shared" si="294"/>
        <v>0</v>
      </c>
      <c r="BX515" s="6"/>
      <c r="BY515" s="6"/>
      <c r="BZ515" s="39">
        <v>502</v>
      </c>
      <c r="CA515" s="39">
        <f t="shared" si="281"/>
        <v>2031</v>
      </c>
      <c r="CB515" s="6"/>
      <c r="CC515" s="39"/>
      <c r="CD515" s="39"/>
      <c r="CE515" s="39"/>
      <c r="CF515" s="39"/>
      <c r="CG515" s="39"/>
      <c r="CH515" s="39"/>
      <c r="CI515" s="39"/>
      <c r="CJ515" s="39"/>
      <c r="CK515" s="39"/>
    </row>
    <row r="516" spans="1:89" s="193" customFormat="1" ht="48">
      <c r="A516" s="375" t="s">
        <v>2507</v>
      </c>
      <c r="B516" s="21" t="str">
        <f t="shared" si="255"/>
        <v>OSD</v>
      </c>
      <c r="C516" s="21"/>
      <c r="D516" s="432">
        <v>3201504</v>
      </c>
      <c r="E516" s="439" t="s">
        <v>3626</v>
      </c>
      <c r="F516" s="439" t="s">
        <v>5127</v>
      </c>
      <c r="G516" s="273" t="s">
        <v>4295</v>
      </c>
      <c r="H516" s="500" t="s">
        <v>5126</v>
      </c>
      <c r="I516" s="262" t="s">
        <v>3492</v>
      </c>
      <c r="J516" s="262" t="s">
        <v>3507</v>
      </c>
      <c r="K516" s="263">
        <v>200000</v>
      </c>
      <c r="L516" s="263">
        <v>538800</v>
      </c>
      <c r="M516" s="263">
        <v>0</v>
      </c>
      <c r="N516" s="263">
        <v>0</v>
      </c>
      <c r="O516" s="263">
        <v>0</v>
      </c>
      <c r="P516" s="263">
        <v>0</v>
      </c>
      <c r="Q516" s="263">
        <v>0</v>
      </c>
      <c r="R516" s="263">
        <v>0</v>
      </c>
      <c r="S516" s="263">
        <v>0</v>
      </c>
      <c r="T516" s="263">
        <v>0</v>
      </c>
      <c r="U516" s="263">
        <f t="shared" si="283"/>
        <v>738800</v>
      </c>
      <c r="V516" s="196" t="str">
        <f t="shared" si="256"/>
        <v>G/LOS/R</v>
      </c>
      <c r="W516" s="196" t="s">
        <v>1168</v>
      </c>
      <c r="X516" s="196" t="str">
        <f t="shared" si="296"/>
        <v>Y</v>
      </c>
      <c r="Y516" s="376">
        <f t="shared" si="289"/>
        <v>738800</v>
      </c>
      <c r="Z516" s="198"/>
      <c r="AA516" s="376">
        <f t="shared" si="257"/>
        <v>738800</v>
      </c>
      <c r="AB516" s="196" t="s">
        <v>1166</v>
      </c>
      <c r="AC516" s="196" t="s">
        <v>1168</v>
      </c>
      <c r="AD516" s="275">
        <v>0.75</v>
      </c>
      <c r="AE516" s="275">
        <v>0.1</v>
      </c>
      <c r="AF516" s="275">
        <v>0.15</v>
      </c>
      <c r="AG516" s="442">
        <v>0.5</v>
      </c>
      <c r="AH516" s="442">
        <v>0.75</v>
      </c>
      <c r="AI516" s="377">
        <f t="shared" si="284"/>
        <v>0.625</v>
      </c>
      <c r="AJ516" s="203">
        <v>1</v>
      </c>
      <c r="AK516" s="203">
        <f t="shared" si="295"/>
        <v>0</v>
      </c>
      <c r="AL516" s="376">
        <f t="shared" si="285"/>
        <v>277050</v>
      </c>
      <c r="AM516" s="376">
        <f t="shared" si="286"/>
        <v>461750</v>
      </c>
      <c r="AN516" s="376">
        <f t="shared" si="287"/>
        <v>0</v>
      </c>
      <c r="AO516" s="378" t="s">
        <v>3608</v>
      </c>
      <c r="AP516" s="379" t="s">
        <v>2714</v>
      </c>
      <c r="AQ516" s="279" t="s">
        <v>4287</v>
      </c>
      <c r="AR516" s="287">
        <f t="shared" si="259"/>
        <v>125000</v>
      </c>
      <c r="AS516" s="287">
        <f t="shared" si="260"/>
        <v>336750</v>
      </c>
      <c r="AT516" s="287">
        <f t="shared" si="261"/>
        <v>0</v>
      </c>
      <c r="AU516" s="287">
        <f t="shared" si="262"/>
        <v>0</v>
      </c>
      <c r="AV516" s="287">
        <f t="shared" si="263"/>
        <v>0</v>
      </c>
      <c r="AW516" s="287">
        <f t="shared" si="264"/>
        <v>0</v>
      </c>
      <c r="AX516" s="287">
        <f t="shared" si="265"/>
        <v>0</v>
      </c>
      <c r="AY516" s="287">
        <f t="shared" si="266"/>
        <v>0</v>
      </c>
      <c r="AZ516" s="287">
        <f t="shared" si="267"/>
        <v>0</v>
      </c>
      <c r="BA516" s="287">
        <f t="shared" si="268"/>
        <v>0</v>
      </c>
      <c r="BB516" s="16"/>
      <c r="BC516" s="287">
        <f t="shared" si="269"/>
        <v>0</v>
      </c>
      <c r="BD516" s="287">
        <f t="shared" si="270"/>
        <v>0</v>
      </c>
      <c r="BE516" s="287">
        <f t="shared" si="271"/>
        <v>0</v>
      </c>
      <c r="BF516" s="287">
        <f t="shared" si="272"/>
        <v>0</v>
      </c>
      <c r="BG516" s="287">
        <f t="shared" si="273"/>
        <v>0</v>
      </c>
      <c r="BH516" s="287">
        <f t="shared" si="274"/>
        <v>0</v>
      </c>
      <c r="BI516" s="287">
        <f t="shared" si="275"/>
        <v>0</v>
      </c>
      <c r="BJ516" s="287">
        <f t="shared" si="276"/>
        <v>0</v>
      </c>
      <c r="BK516" s="287">
        <f t="shared" si="277"/>
        <v>0</v>
      </c>
      <c r="BL516" s="287">
        <f t="shared" si="278"/>
        <v>0</v>
      </c>
      <c r="BM516" s="16"/>
      <c r="BN516" s="287">
        <f t="shared" si="279"/>
        <v>461750</v>
      </c>
      <c r="BO516" s="287">
        <f t="shared" si="280"/>
        <v>0</v>
      </c>
      <c r="BP516" s="432"/>
      <c r="BQ516" s="21"/>
      <c r="BR516" s="21"/>
      <c r="BS516" s="6"/>
      <c r="BT516" s="194">
        <f t="shared" si="291"/>
        <v>461750</v>
      </c>
      <c r="BU516" s="194">
        <f t="shared" si="292"/>
        <v>461750</v>
      </c>
      <c r="BV516" s="194">
        <f t="shared" si="293"/>
        <v>0</v>
      </c>
      <c r="BW516" s="194">
        <f t="shared" si="294"/>
        <v>0</v>
      </c>
      <c r="BX516" s="6"/>
      <c r="BY516" s="6"/>
      <c r="BZ516" s="39">
        <v>503</v>
      </c>
      <c r="CA516" s="39">
        <f t="shared" si="281"/>
        <v>2031</v>
      </c>
      <c r="CB516" s="6"/>
      <c r="CC516" s="39"/>
      <c r="CD516" s="39"/>
      <c r="CE516" s="39"/>
      <c r="CF516" s="39"/>
      <c r="CG516" s="39"/>
      <c r="CH516" s="39"/>
      <c r="CI516" s="39"/>
      <c r="CJ516" s="39"/>
      <c r="CK516" s="39"/>
    </row>
    <row r="517" spans="1:89" s="193" customFormat="1" ht="48">
      <c r="A517" s="375" t="s">
        <v>2507</v>
      </c>
      <c r="B517" s="21" t="str">
        <f t="shared" si="255"/>
        <v>OSD</v>
      </c>
      <c r="C517" s="21"/>
      <c r="D517" s="432">
        <v>3201504</v>
      </c>
      <c r="E517" s="439" t="s">
        <v>3626</v>
      </c>
      <c r="F517" s="439" t="s">
        <v>5092</v>
      </c>
      <c r="G517" s="273" t="s">
        <v>4305</v>
      </c>
      <c r="H517" s="500" t="s">
        <v>5093</v>
      </c>
      <c r="I517" s="262" t="s">
        <v>3492</v>
      </c>
      <c r="J517" s="262" t="s">
        <v>3523</v>
      </c>
      <c r="K517" s="263">
        <v>50000</v>
      </c>
      <c r="L517" s="263">
        <v>100000</v>
      </c>
      <c r="M517" s="263">
        <v>700000</v>
      </c>
      <c r="N517" s="263">
        <v>0</v>
      </c>
      <c r="O517" s="263">
        <v>0</v>
      </c>
      <c r="P517" s="263">
        <v>0</v>
      </c>
      <c r="Q517" s="263">
        <v>0</v>
      </c>
      <c r="R517" s="263">
        <v>0</v>
      </c>
      <c r="S517" s="263">
        <v>0</v>
      </c>
      <c r="T517" s="263">
        <v>0</v>
      </c>
      <c r="U517" s="263">
        <f t="shared" si="283"/>
        <v>850000</v>
      </c>
      <c r="V517" s="196" t="str">
        <f t="shared" si="256"/>
        <v>G/LOS</v>
      </c>
      <c r="W517" s="196" t="s">
        <v>1168</v>
      </c>
      <c r="X517" s="196" t="str">
        <f t="shared" si="296"/>
        <v>Y</v>
      </c>
      <c r="Y517" s="376">
        <f t="shared" si="289"/>
        <v>850000</v>
      </c>
      <c r="Z517" s="198"/>
      <c r="AA517" s="376">
        <f t="shared" si="257"/>
        <v>850000</v>
      </c>
      <c r="AB517" s="196" t="s">
        <v>1166</v>
      </c>
      <c r="AC517" s="196" t="s">
        <v>1168</v>
      </c>
      <c r="AD517" s="275">
        <v>0.69369881710646042</v>
      </c>
      <c r="AE517" s="275">
        <v>0.30630118289353958</v>
      </c>
      <c r="AF517" s="275">
        <v>0</v>
      </c>
      <c r="AG517" s="442">
        <v>0.65</v>
      </c>
      <c r="AH517" s="442">
        <v>0.75</v>
      </c>
      <c r="AI517" s="377">
        <f t="shared" si="284"/>
        <v>0.7</v>
      </c>
      <c r="AJ517" s="203">
        <v>1</v>
      </c>
      <c r="AK517" s="203">
        <f t="shared" si="295"/>
        <v>0</v>
      </c>
      <c r="AL517" s="376">
        <f t="shared" si="285"/>
        <v>255000.00000000003</v>
      </c>
      <c r="AM517" s="376">
        <f t="shared" si="286"/>
        <v>595000</v>
      </c>
      <c r="AN517" s="376">
        <f t="shared" si="287"/>
        <v>0</v>
      </c>
      <c r="AO517" s="378" t="s">
        <v>3608</v>
      </c>
      <c r="AP517" s="379" t="s">
        <v>2714</v>
      </c>
      <c r="AQ517" s="279" t="s">
        <v>4287</v>
      </c>
      <c r="AR517" s="287">
        <f t="shared" si="259"/>
        <v>35000</v>
      </c>
      <c r="AS517" s="287">
        <f t="shared" si="260"/>
        <v>70000</v>
      </c>
      <c r="AT517" s="287">
        <f t="shared" si="261"/>
        <v>489999.99999999994</v>
      </c>
      <c r="AU517" s="287">
        <f t="shared" si="262"/>
        <v>0</v>
      </c>
      <c r="AV517" s="287">
        <f t="shared" si="263"/>
        <v>0</v>
      </c>
      <c r="AW517" s="287">
        <f t="shared" si="264"/>
        <v>0</v>
      </c>
      <c r="AX517" s="287">
        <f t="shared" si="265"/>
        <v>0</v>
      </c>
      <c r="AY517" s="287">
        <f t="shared" si="266"/>
        <v>0</v>
      </c>
      <c r="AZ517" s="287">
        <f t="shared" si="267"/>
        <v>0</v>
      </c>
      <c r="BA517" s="287">
        <f t="shared" si="268"/>
        <v>0</v>
      </c>
      <c r="BB517" s="16"/>
      <c r="BC517" s="287">
        <f t="shared" si="269"/>
        <v>0</v>
      </c>
      <c r="BD517" s="287">
        <f t="shared" si="270"/>
        <v>0</v>
      </c>
      <c r="BE517" s="287">
        <f t="shared" si="271"/>
        <v>0</v>
      </c>
      <c r="BF517" s="287">
        <f t="shared" si="272"/>
        <v>0</v>
      </c>
      <c r="BG517" s="287">
        <f t="shared" si="273"/>
        <v>0</v>
      </c>
      <c r="BH517" s="287">
        <f t="shared" si="274"/>
        <v>0</v>
      </c>
      <c r="BI517" s="287">
        <f t="shared" si="275"/>
        <v>0</v>
      </c>
      <c r="BJ517" s="287">
        <f t="shared" si="276"/>
        <v>0</v>
      </c>
      <c r="BK517" s="287">
        <f t="shared" si="277"/>
        <v>0</v>
      </c>
      <c r="BL517" s="287">
        <f t="shared" si="278"/>
        <v>0</v>
      </c>
      <c r="BM517" s="16"/>
      <c r="BN517" s="287">
        <f t="shared" si="279"/>
        <v>595000</v>
      </c>
      <c r="BO517" s="287">
        <f t="shared" si="280"/>
        <v>0</v>
      </c>
      <c r="BP517" s="432"/>
      <c r="BQ517" s="21"/>
      <c r="BR517" s="21"/>
      <c r="BS517" s="6"/>
      <c r="BT517" s="194">
        <f t="shared" si="291"/>
        <v>595000</v>
      </c>
      <c r="BU517" s="194">
        <f t="shared" si="292"/>
        <v>595000</v>
      </c>
      <c r="BV517" s="194">
        <f t="shared" si="293"/>
        <v>0</v>
      </c>
      <c r="BW517" s="194">
        <f t="shared" si="294"/>
        <v>0</v>
      </c>
      <c r="BX517" s="6"/>
      <c r="BY517" s="6"/>
      <c r="BZ517" s="39">
        <v>504</v>
      </c>
      <c r="CA517" s="39">
        <f t="shared" si="281"/>
        <v>2031</v>
      </c>
      <c r="CB517" s="6"/>
      <c r="CC517" s="39"/>
      <c r="CD517" s="39"/>
      <c r="CE517" s="39"/>
      <c r="CF517" s="39"/>
      <c r="CG517" s="39"/>
      <c r="CH517" s="39"/>
      <c r="CI517" s="39"/>
      <c r="CJ517" s="39"/>
      <c r="CK517" s="39"/>
    </row>
    <row r="518" spans="1:89" s="193" customFormat="1" ht="48">
      <c r="A518" s="375" t="s">
        <v>2507</v>
      </c>
      <c r="B518" s="21" t="str">
        <f t="shared" si="255"/>
        <v>OSD</v>
      </c>
      <c r="C518" s="21"/>
      <c r="D518" s="432">
        <v>3201504</v>
      </c>
      <c r="E518" s="439" t="s">
        <v>3626</v>
      </c>
      <c r="F518" s="439" t="s">
        <v>5103</v>
      </c>
      <c r="G518" s="273" t="s">
        <v>4284</v>
      </c>
      <c r="H518" s="500" t="s">
        <v>5102</v>
      </c>
      <c r="I518" s="262" t="s">
        <v>3492</v>
      </c>
      <c r="J518" s="262" t="s">
        <v>3516</v>
      </c>
      <c r="K518" s="263">
        <v>99907</v>
      </c>
      <c r="L518" s="263">
        <v>0</v>
      </c>
      <c r="M518" s="263">
        <v>0</v>
      </c>
      <c r="N518" s="263">
        <v>0</v>
      </c>
      <c r="O518" s="263">
        <v>0</v>
      </c>
      <c r="P518" s="263">
        <v>0</v>
      </c>
      <c r="Q518" s="263">
        <v>0</v>
      </c>
      <c r="R518" s="263">
        <v>0</v>
      </c>
      <c r="S518" s="263">
        <v>0</v>
      </c>
      <c r="T518" s="263">
        <v>0</v>
      </c>
      <c r="U518" s="263">
        <f t="shared" si="283"/>
        <v>99907</v>
      </c>
      <c r="V518" s="196" t="str">
        <f t="shared" si="256"/>
        <v>G/LOS</v>
      </c>
      <c r="W518" s="196" t="s">
        <v>1168</v>
      </c>
      <c r="X518" s="196" t="str">
        <f t="shared" si="296"/>
        <v>Y</v>
      </c>
      <c r="Y518" s="376">
        <f t="shared" si="289"/>
        <v>99907</v>
      </c>
      <c r="Z518" s="198"/>
      <c r="AA518" s="376">
        <f t="shared" si="257"/>
        <v>99907</v>
      </c>
      <c r="AB518" s="196" t="s">
        <v>1166</v>
      </c>
      <c r="AC518" s="196" t="s">
        <v>1168</v>
      </c>
      <c r="AD518" s="275">
        <v>0.75</v>
      </c>
      <c r="AE518" s="275">
        <v>0.25</v>
      </c>
      <c r="AF518" s="275">
        <v>0</v>
      </c>
      <c r="AG518" s="442">
        <v>0.75</v>
      </c>
      <c r="AH518" s="442">
        <v>0.75</v>
      </c>
      <c r="AI518" s="377">
        <f t="shared" si="284"/>
        <v>0.75</v>
      </c>
      <c r="AJ518" s="203">
        <v>1</v>
      </c>
      <c r="AK518" s="203">
        <f t="shared" si="295"/>
        <v>0</v>
      </c>
      <c r="AL518" s="376">
        <f t="shared" si="285"/>
        <v>24976.75</v>
      </c>
      <c r="AM518" s="376">
        <f t="shared" si="286"/>
        <v>74930.25</v>
      </c>
      <c r="AN518" s="376">
        <f t="shared" si="287"/>
        <v>0</v>
      </c>
      <c r="AO518" s="378" t="s">
        <v>3608</v>
      </c>
      <c r="AP518" s="379" t="s">
        <v>2714</v>
      </c>
      <c r="AQ518" s="279" t="s">
        <v>4287</v>
      </c>
      <c r="AR518" s="287">
        <f t="shared" si="259"/>
        <v>74930.25</v>
      </c>
      <c r="AS518" s="287">
        <f t="shared" si="260"/>
        <v>0</v>
      </c>
      <c r="AT518" s="287">
        <f t="shared" si="261"/>
        <v>0</v>
      </c>
      <c r="AU518" s="287">
        <f t="shared" si="262"/>
        <v>0</v>
      </c>
      <c r="AV518" s="287">
        <f t="shared" si="263"/>
        <v>0</v>
      </c>
      <c r="AW518" s="287">
        <f t="shared" si="264"/>
        <v>0</v>
      </c>
      <c r="AX518" s="287">
        <f t="shared" si="265"/>
        <v>0</v>
      </c>
      <c r="AY518" s="287">
        <f t="shared" si="266"/>
        <v>0</v>
      </c>
      <c r="AZ518" s="287">
        <f t="shared" si="267"/>
        <v>0</v>
      </c>
      <c r="BA518" s="287">
        <f t="shared" si="268"/>
        <v>0</v>
      </c>
      <c r="BB518" s="16"/>
      <c r="BC518" s="287">
        <f t="shared" si="269"/>
        <v>0</v>
      </c>
      <c r="BD518" s="287">
        <f t="shared" si="270"/>
        <v>0</v>
      </c>
      <c r="BE518" s="287">
        <f t="shared" si="271"/>
        <v>0</v>
      </c>
      <c r="BF518" s="287">
        <f t="shared" si="272"/>
        <v>0</v>
      </c>
      <c r="BG518" s="287">
        <f t="shared" si="273"/>
        <v>0</v>
      </c>
      <c r="BH518" s="287">
        <f t="shared" si="274"/>
        <v>0</v>
      </c>
      <c r="BI518" s="287">
        <f t="shared" si="275"/>
        <v>0</v>
      </c>
      <c r="BJ518" s="287">
        <f t="shared" si="276"/>
        <v>0</v>
      </c>
      <c r="BK518" s="287">
        <f t="shared" si="277"/>
        <v>0</v>
      </c>
      <c r="BL518" s="287">
        <f t="shared" si="278"/>
        <v>0</v>
      </c>
      <c r="BM518" s="16"/>
      <c r="BN518" s="287">
        <f t="shared" si="279"/>
        <v>74930.25</v>
      </c>
      <c r="BO518" s="287">
        <f t="shared" si="280"/>
        <v>0</v>
      </c>
      <c r="BP518" s="432"/>
      <c r="BQ518" s="21"/>
      <c r="BR518" s="21"/>
      <c r="BS518" s="6"/>
      <c r="BT518" s="194">
        <f t="shared" si="291"/>
        <v>74930.25</v>
      </c>
      <c r="BU518" s="194">
        <f t="shared" si="292"/>
        <v>74930.25</v>
      </c>
      <c r="BV518" s="194">
        <f t="shared" si="293"/>
        <v>0</v>
      </c>
      <c r="BW518" s="194">
        <f t="shared" si="294"/>
        <v>0</v>
      </c>
      <c r="BX518" s="6"/>
      <c r="BY518" s="6"/>
      <c r="BZ518" s="39">
        <v>505</v>
      </c>
      <c r="CA518" s="39">
        <f t="shared" si="281"/>
        <v>2031</v>
      </c>
      <c r="CB518" s="6"/>
      <c r="CC518" s="39"/>
      <c r="CD518" s="39"/>
      <c r="CE518" s="39"/>
      <c r="CF518" s="39"/>
      <c r="CG518" s="39"/>
      <c r="CH518" s="39"/>
      <c r="CI518" s="39"/>
      <c r="CJ518" s="39"/>
      <c r="CK518" s="39"/>
    </row>
    <row r="519" spans="1:89" s="193" customFormat="1" ht="48">
      <c r="A519" s="375" t="s">
        <v>2507</v>
      </c>
      <c r="B519" s="21" t="str">
        <f t="shared" si="255"/>
        <v>OSD</v>
      </c>
      <c r="C519" s="21"/>
      <c r="D519" s="432">
        <v>3201504</v>
      </c>
      <c r="E519" s="439" t="s">
        <v>3626</v>
      </c>
      <c r="F519" s="439" t="s">
        <v>5174</v>
      </c>
      <c r="G519" s="273" t="s">
        <v>4285</v>
      </c>
      <c r="H519" s="500" t="s">
        <v>5173</v>
      </c>
      <c r="I519" s="262" t="s">
        <v>3492</v>
      </c>
      <c r="J519" s="262" t="s">
        <v>3507</v>
      </c>
      <c r="K519" s="263">
        <v>1000000</v>
      </c>
      <c r="L519" s="263">
        <v>0</v>
      </c>
      <c r="M519" s="263">
        <v>0</v>
      </c>
      <c r="N519" s="263">
        <v>0</v>
      </c>
      <c r="O519" s="263">
        <v>0</v>
      </c>
      <c r="P519" s="263">
        <v>0</v>
      </c>
      <c r="Q519" s="263">
        <v>0</v>
      </c>
      <c r="R519" s="263">
        <v>0</v>
      </c>
      <c r="S519" s="263">
        <v>0</v>
      </c>
      <c r="T519" s="263">
        <v>0</v>
      </c>
      <c r="U519" s="263">
        <f t="shared" si="283"/>
        <v>1000000</v>
      </c>
      <c r="V519" s="196" t="str">
        <f t="shared" si="256"/>
        <v>G/LOS</v>
      </c>
      <c r="W519" s="196" t="s">
        <v>1168</v>
      </c>
      <c r="X519" s="196" t="str">
        <f t="shared" si="296"/>
        <v>Y</v>
      </c>
      <c r="Y519" s="376">
        <f t="shared" si="289"/>
        <v>1000000</v>
      </c>
      <c r="Z519" s="198"/>
      <c r="AA519" s="376">
        <f t="shared" si="257"/>
        <v>1000000</v>
      </c>
      <c r="AB519" s="196" t="s">
        <v>1166</v>
      </c>
      <c r="AC519" s="196" t="s">
        <v>1168</v>
      </c>
      <c r="AD519" s="275">
        <v>0.9</v>
      </c>
      <c r="AE519" s="275">
        <v>0.1</v>
      </c>
      <c r="AF519" s="275">
        <v>0</v>
      </c>
      <c r="AG519" s="442">
        <v>0.75</v>
      </c>
      <c r="AH519" s="442">
        <v>1</v>
      </c>
      <c r="AI519" s="377">
        <f t="shared" si="284"/>
        <v>0.875</v>
      </c>
      <c r="AJ519" s="203">
        <v>1</v>
      </c>
      <c r="AK519" s="203">
        <f t="shared" si="295"/>
        <v>0</v>
      </c>
      <c r="AL519" s="376">
        <f t="shared" si="285"/>
        <v>125000</v>
      </c>
      <c r="AM519" s="376">
        <f t="shared" si="286"/>
        <v>875000</v>
      </c>
      <c r="AN519" s="376">
        <f t="shared" si="287"/>
        <v>0</v>
      </c>
      <c r="AO519" s="378" t="s">
        <v>3608</v>
      </c>
      <c r="AP519" s="379" t="s">
        <v>2714</v>
      </c>
      <c r="AQ519" s="279" t="s">
        <v>4287</v>
      </c>
      <c r="AR519" s="287">
        <f t="shared" si="259"/>
        <v>875000</v>
      </c>
      <c r="AS519" s="287">
        <f t="shared" si="260"/>
        <v>0</v>
      </c>
      <c r="AT519" s="287">
        <f t="shared" si="261"/>
        <v>0</v>
      </c>
      <c r="AU519" s="287">
        <f t="shared" si="262"/>
        <v>0</v>
      </c>
      <c r="AV519" s="287">
        <f t="shared" si="263"/>
        <v>0</v>
      </c>
      <c r="AW519" s="287">
        <f t="shared" si="264"/>
        <v>0</v>
      </c>
      <c r="AX519" s="287">
        <f t="shared" si="265"/>
        <v>0</v>
      </c>
      <c r="AY519" s="287">
        <f t="shared" si="266"/>
        <v>0</v>
      </c>
      <c r="AZ519" s="287">
        <f t="shared" si="267"/>
        <v>0</v>
      </c>
      <c r="BA519" s="287">
        <f t="shared" si="268"/>
        <v>0</v>
      </c>
      <c r="BB519" s="16"/>
      <c r="BC519" s="287">
        <f t="shared" si="269"/>
        <v>0</v>
      </c>
      <c r="BD519" s="287">
        <f t="shared" si="270"/>
        <v>0</v>
      </c>
      <c r="BE519" s="287">
        <f t="shared" si="271"/>
        <v>0</v>
      </c>
      <c r="BF519" s="287">
        <f t="shared" si="272"/>
        <v>0</v>
      </c>
      <c r="BG519" s="287">
        <f t="shared" si="273"/>
        <v>0</v>
      </c>
      <c r="BH519" s="287">
        <f t="shared" si="274"/>
        <v>0</v>
      </c>
      <c r="BI519" s="287">
        <f t="shared" si="275"/>
        <v>0</v>
      </c>
      <c r="BJ519" s="287">
        <f t="shared" si="276"/>
        <v>0</v>
      </c>
      <c r="BK519" s="287">
        <f t="shared" si="277"/>
        <v>0</v>
      </c>
      <c r="BL519" s="287">
        <f t="shared" si="278"/>
        <v>0</v>
      </c>
      <c r="BM519" s="16"/>
      <c r="BN519" s="287">
        <f t="shared" si="279"/>
        <v>875000</v>
      </c>
      <c r="BO519" s="287">
        <f t="shared" si="280"/>
        <v>0</v>
      </c>
      <c r="BP519" s="432"/>
      <c r="BQ519" s="21"/>
      <c r="BR519" s="21"/>
      <c r="BS519" s="6"/>
      <c r="BT519" s="194">
        <f t="shared" si="291"/>
        <v>875000</v>
      </c>
      <c r="BU519" s="194">
        <f t="shared" si="292"/>
        <v>875000</v>
      </c>
      <c r="BV519" s="194">
        <f t="shared" si="293"/>
        <v>0</v>
      </c>
      <c r="BW519" s="194">
        <f t="shared" si="294"/>
        <v>0</v>
      </c>
      <c r="BX519" s="6"/>
      <c r="BY519" s="6"/>
      <c r="BZ519" s="39">
        <v>506</v>
      </c>
      <c r="CA519" s="39">
        <f t="shared" si="281"/>
        <v>2031</v>
      </c>
      <c r="CB519" s="6"/>
      <c r="CC519" s="39"/>
      <c r="CD519" s="39"/>
      <c r="CE519" s="39"/>
      <c r="CF519" s="39"/>
      <c r="CG519" s="39"/>
      <c r="CH519" s="39"/>
      <c r="CI519" s="39"/>
      <c r="CJ519" s="39"/>
      <c r="CK519" s="39"/>
    </row>
    <row r="520" spans="1:89" s="193" customFormat="1" ht="84">
      <c r="A520" s="375" t="s">
        <v>2507</v>
      </c>
      <c r="B520" s="21" t="str">
        <f t="shared" si="255"/>
        <v>OSD</v>
      </c>
      <c r="C520" s="21"/>
      <c r="D520" s="432">
        <v>3201504</v>
      </c>
      <c r="E520" s="439" t="s">
        <v>3626</v>
      </c>
      <c r="F520" s="439" t="s">
        <v>5144</v>
      </c>
      <c r="G520" s="273" t="s">
        <v>4297</v>
      </c>
      <c r="H520" s="500" t="s">
        <v>5143</v>
      </c>
      <c r="I520" s="262" t="s">
        <v>3492</v>
      </c>
      <c r="J520" s="262" t="s">
        <v>3509</v>
      </c>
      <c r="K520" s="263">
        <v>300000</v>
      </c>
      <c r="L520" s="263">
        <v>1000000</v>
      </c>
      <c r="M520" s="263">
        <v>3000000</v>
      </c>
      <c r="N520" s="263">
        <v>0</v>
      </c>
      <c r="O520" s="263">
        <v>0</v>
      </c>
      <c r="P520" s="263">
        <v>3000000</v>
      </c>
      <c r="Q520" s="263">
        <v>0</v>
      </c>
      <c r="R520" s="263">
        <v>0</v>
      </c>
      <c r="S520" s="263">
        <v>0</v>
      </c>
      <c r="T520" s="263">
        <v>0</v>
      </c>
      <c r="U520" s="263">
        <f t="shared" si="283"/>
        <v>7300000</v>
      </c>
      <c r="V520" s="196" t="str">
        <f t="shared" si="256"/>
        <v>G</v>
      </c>
      <c r="W520" s="196" t="s">
        <v>1168</v>
      </c>
      <c r="X520" s="196" t="str">
        <f t="shared" si="296"/>
        <v>Y</v>
      </c>
      <c r="Y520" s="376">
        <f t="shared" si="289"/>
        <v>7300000</v>
      </c>
      <c r="Z520" s="198"/>
      <c r="AA520" s="376">
        <f t="shared" si="257"/>
        <v>7300000</v>
      </c>
      <c r="AB520" s="196" t="s">
        <v>1166</v>
      </c>
      <c r="AC520" s="196" t="s">
        <v>1168</v>
      </c>
      <c r="AD520" s="275">
        <v>1</v>
      </c>
      <c r="AE520" s="275">
        <v>0</v>
      </c>
      <c r="AF520" s="275">
        <v>0</v>
      </c>
      <c r="AG520" s="442">
        <v>1</v>
      </c>
      <c r="AH520" s="442">
        <v>1</v>
      </c>
      <c r="AI520" s="377">
        <f t="shared" si="284"/>
        <v>1</v>
      </c>
      <c r="AJ520" s="203">
        <v>1</v>
      </c>
      <c r="AK520" s="203">
        <f t="shared" si="295"/>
        <v>0</v>
      </c>
      <c r="AL520" s="376">
        <f t="shared" si="285"/>
        <v>0</v>
      </c>
      <c r="AM520" s="376">
        <f t="shared" si="286"/>
        <v>7300000</v>
      </c>
      <c r="AN520" s="376">
        <f t="shared" si="287"/>
        <v>0</v>
      </c>
      <c r="AO520" s="378" t="s">
        <v>3608</v>
      </c>
      <c r="AP520" s="379" t="s">
        <v>2714</v>
      </c>
      <c r="AQ520" s="279" t="s">
        <v>4287</v>
      </c>
      <c r="AR520" s="287">
        <f t="shared" si="259"/>
        <v>300000</v>
      </c>
      <c r="AS520" s="287">
        <f t="shared" si="260"/>
        <v>1000000</v>
      </c>
      <c r="AT520" s="287">
        <f t="shared" si="261"/>
        <v>3000000</v>
      </c>
      <c r="AU520" s="287">
        <f t="shared" si="262"/>
        <v>0</v>
      </c>
      <c r="AV520" s="287">
        <f t="shared" si="263"/>
        <v>0</v>
      </c>
      <c r="AW520" s="287">
        <f t="shared" si="264"/>
        <v>3000000</v>
      </c>
      <c r="AX520" s="287">
        <f t="shared" si="265"/>
        <v>0</v>
      </c>
      <c r="AY520" s="287">
        <f t="shared" si="266"/>
        <v>0</v>
      </c>
      <c r="AZ520" s="287">
        <f t="shared" si="267"/>
        <v>0</v>
      </c>
      <c r="BA520" s="287">
        <f t="shared" si="268"/>
        <v>0</v>
      </c>
      <c r="BB520" s="16"/>
      <c r="BC520" s="287">
        <f t="shared" si="269"/>
        <v>0</v>
      </c>
      <c r="BD520" s="287">
        <f t="shared" si="270"/>
        <v>0</v>
      </c>
      <c r="BE520" s="287">
        <f t="shared" si="271"/>
        <v>0</v>
      </c>
      <c r="BF520" s="287">
        <f t="shared" si="272"/>
        <v>0</v>
      </c>
      <c r="BG520" s="287">
        <f t="shared" si="273"/>
        <v>0</v>
      </c>
      <c r="BH520" s="287">
        <f t="shared" si="274"/>
        <v>0</v>
      </c>
      <c r="BI520" s="287">
        <f t="shared" si="275"/>
        <v>0</v>
      </c>
      <c r="BJ520" s="287">
        <f t="shared" si="276"/>
        <v>0</v>
      </c>
      <c r="BK520" s="287">
        <f t="shared" si="277"/>
        <v>0</v>
      </c>
      <c r="BL520" s="287">
        <f t="shared" si="278"/>
        <v>0</v>
      </c>
      <c r="BM520" s="16"/>
      <c r="BN520" s="287">
        <f t="shared" si="279"/>
        <v>7300000</v>
      </c>
      <c r="BO520" s="287">
        <f t="shared" si="280"/>
        <v>0</v>
      </c>
      <c r="BP520" s="432"/>
      <c r="BQ520" s="21"/>
      <c r="BR520" s="21"/>
      <c r="BS520" s="6"/>
      <c r="BT520" s="194">
        <f t="shared" si="291"/>
        <v>7300000</v>
      </c>
      <c r="BU520" s="194">
        <f t="shared" si="292"/>
        <v>7300000</v>
      </c>
      <c r="BV520" s="194">
        <f t="shared" si="293"/>
        <v>0</v>
      </c>
      <c r="BW520" s="194">
        <f t="shared" si="294"/>
        <v>0</v>
      </c>
      <c r="BX520" s="6"/>
      <c r="BY520" s="6"/>
      <c r="BZ520" s="39">
        <v>507</v>
      </c>
      <c r="CA520" s="39">
        <f t="shared" si="281"/>
        <v>2031</v>
      </c>
      <c r="CB520" s="6"/>
      <c r="CC520" s="39"/>
      <c r="CD520" s="39"/>
      <c r="CE520" s="39"/>
      <c r="CF520" s="39"/>
      <c r="CG520" s="39"/>
      <c r="CH520" s="39"/>
      <c r="CI520" s="39"/>
      <c r="CJ520" s="39"/>
      <c r="CK520" s="39"/>
    </row>
    <row r="521" spans="1:89" s="193" customFormat="1" ht="72">
      <c r="A521" s="375" t="s">
        <v>2507</v>
      </c>
      <c r="B521" s="21" t="str">
        <f t="shared" si="255"/>
        <v>OSD</v>
      </c>
      <c r="C521" s="21"/>
      <c r="D521" s="432">
        <v>3201504</v>
      </c>
      <c r="E521" s="439" t="s">
        <v>3626</v>
      </c>
      <c r="F521" s="439" t="s">
        <v>5177</v>
      </c>
      <c r="G521" s="273" t="s">
        <v>4272</v>
      </c>
      <c r="H521" s="500" t="s">
        <v>5176</v>
      </c>
      <c r="I521" s="262" t="s">
        <v>3492</v>
      </c>
      <c r="J521" s="262" t="s">
        <v>3515</v>
      </c>
      <c r="K521" s="263">
        <v>1150120</v>
      </c>
      <c r="L521" s="263">
        <v>316138</v>
      </c>
      <c r="M521" s="263">
        <v>1770000</v>
      </c>
      <c r="N521" s="263">
        <v>500000</v>
      </c>
      <c r="O521" s="263">
        <v>0</v>
      </c>
      <c r="P521" s="263">
        <v>0</v>
      </c>
      <c r="Q521" s="263">
        <v>0</v>
      </c>
      <c r="R521" s="263">
        <v>0</v>
      </c>
      <c r="S521" s="263">
        <v>0</v>
      </c>
      <c r="T521" s="263">
        <v>0</v>
      </c>
      <c r="U521" s="263">
        <f t="shared" si="283"/>
        <v>3736258</v>
      </c>
      <c r="V521" s="196" t="str">
        <f t="shared" si="256"/>
        <v>G/LOS/R</v>
      </c>
      <c r="W521" s="196" t="s">
        <v>1168</v>
      </c>
      <c r="X521" s="196" t="str">
        <f t="shared" si="296"/>
        <v>Y</v>
      </c>
      <c r="Y521" s="376">
        <f t="shared" si="289"/>
        <v>3736258</v>
      </c>
      <c r="Z521" s="198"/>
      <c r="AA521" s="376">
        <f t="shared" si="257"/>
        <v>3736258</v>
      </c>
      <c r="AB521" s="196" t="s">
        <v>1166</v>
      </c>
      <c r="AC521" s="196" t="s">
        <v>1168</v>
      </c>
      <c r="AD521" s="275">
        <v>0.70946986164476511</v>
      </c>
      <c r="AE521" s="275">
        <v>0.23648995388158839</v>
      </c>
      <c r="AF521" s="275">
        <v>5.4040184473646488E-2</v>
      </c>
      <c r="AG521" s="442">
        <v>0.5</v>
      </c>
      <c r="AH521" s="442">
        <v>0.75</v>
      </c>
      <c r="AI521" s="377">
        <f t="shared" si="284"/>
        <v>0.625</v>
      </c>
      <c r="AJ521" s="203">
        <v>1</v>
      </c>
      <c r="AK521" s="203">
        <f t="shared" si="295"/>
        <v>0</v>
      </c>
      <c r="AL521" s="376">
        <f t="shared" si="285"/>
        <v>1401096.75</v>
      </c>
      <c r="AM521" s="376">
        <f t="shared" si="286"/>
        <v>2335161.25</v>
      </c>
      <c r="AN521" s="376">
        <f t="shared" si="287"/>
        <v>0</v>
      </c>
      <c r="AO521" s="378" t="s">
        <v>3608</v>
      </c>
      <c r="AP521" s="379" t="s">
        <v>2714</v>
      </c>
      <c r="AQ521" s="279" t="s">
        <v>4287</v>
      </c>
      <c r="AR521" s="287">
        <f t="shared" si="259"/>
        <v>718825</v>
      </c>
      <c r="AS521" s="287">
        <f t="shared" si="260"/>
        <v>197586.25</v>
      </c>
      <c r="AT521" s="287">
        <f t="shared" si="261"/>
        <v>1106250</v>
      </c>
      <c r="AU521" s="287">
        <f t="shared" si="262"/>
        <v>312500</v>
      </c>
      <c r="AV521" s="287">
        <f t="shared" si="263"/>
        <v>0</v>
      </c>
      <c r="AW521" s="287">
        <f t="shared" si="264"/>
        <v>0</v>
      </c>
      <c r="AX521" s="287">
        <f t="shared" si="265"/>
        <v>0</v>
      </c>
      <c r="AY521" s="287">
        <f t="shared" si="266"/>
        <v>0</v>
      </c>
      <c r="AZ521" s="287">
        <f t="shared" si="267"/>
        <v>0</v>
      </c>
      <c r="BA521" s="287">
        <f t="shared" si="268"/>
        <v>0</v>
      </c>
      <c r="BB521" s="16"/>
      <c r="BC521" s="287">
        <f t="shared" si="269"/>
        <v>0</v>
      </c>
      <c r="BD521" s="287">
        <f t="shared" si="270"/>
        <v>0</v>
      </c>
      <c r="BE521" s="287">
        <f t="shared" si="271"/>
        <v>0</v>
      </c>
      <c r="BF521" s="287">
        <f t="shared" si="272"/>
        <v>0</v>
      </c>
      <c r="BG521" s="287">
        <f t="shared" si="273"/>
        <v>0</v>
      </c>
      <c r="BH521" s="287">
        <f t="shared" si="274"/>
        <v>0</v>
      </c>
      <c r="BI521" s="287">
        <f t="shared" si="275"/>
        <v>0</v>
      </c>
      <c r="BJ521" s="287">
        <f t="shared" si="276"/>
        <v>0</v>
      </c>
      <c r="BK521" s="287">
        <f t="shared" si="277"/>
        <v>0</v>
      </c>
      <c r="BL521" s="287">
        <f t="shared" si="278"/>
        <v>0</v>
      </c>
      <c r="BM521" s="16"/>
      <c r="BN521" s="287">
        <f t="shared" si="279"/>
        <v>2335161.25</v>
      </c>
      <c r="BO521" s="287">
        <f t="shared" si="280"/>
        <v>0</v>
      </c>
      <c r="BP521" s="432"/>
      <c r="BQ521" s="21"/>
      <c r="BR521" s="21"/>
      <c r="BS521" s="6"/>
      <c r="BT521" s="194">
        <f t="shared" si="291"/>
        <v>2335161.25</v>
      </c>
      <c r="BU521" s="194">
        <f t="shared" si="292"/>
        <v>2335161.25</v>
      </c>
      <c r="BV521" s="194">
        <f t="shared" si="293"/>
        <v>0</v>
      </c>
      <c r="BW521" s="194">
        <f t="shared" si="294"/>
        <v>0</v>
      </c>
      <c r="BX521" s="6"/>
      <c r="BY521" s="6"/>
      <c r="BZ521" s="39">
        <v>508</v>
      </c>
      <c r="CA521" s="39">
        <f t="shared" si="281"/>
        <v>2031</v>
      </c>
      <c r="CB521" s="6"/>
      <c r="CC521" s="39"/>
      <c r="CD521" s="39"/>
      <c r="CE521" s="39"/>
      <c r="CF521" s="39"/>
      <c r="CG521" s="39"/>
      <c r="CH521" s="39"/>
      <c r="CI521" s="39"/>
      <c r="CJ521" s="39"/>
      <c r="CK521" s="39"/>
    </row>
    <row r="522" spans="1:89" s="193" customFormat="1" ht="84">
      <c r="A522" s="375" t="s">
        <v>2507</v>
      </c>
      <c r="B522" s="21" t="str">
        <f t="shared" si="255"/>
        <v>OSD</v>
      </c>
      <c r="C522" s="21"/>
      <c r="D522" s="432">
        <v>3201504</v>
      </c>
      <c r="E522" s="439" t="s">
        <v>3626</v>
      </c>
      <c r="F522" s="439" t="s">
        <v>5130</v>
      </c>
      <c r="G522" s="273" t="s">
        <v>4303</v>
      </c>
      <c r="H522" s="500" t="s">
        <v>5129</v>
      </c>
      <c r="I522" s="262" t="s">
        <v>3492</v>
      </c>
      <c r="J522" s="262" t="s">
        <v>3511</v>
      </c>
      <c r="K522" s="263">
        <v>200000</v>
      </c>
      <c r="L522" s="263">
        <v>1570418</v>
      </c>
      <c r="M522" s="263">
        <v>900000</v>
      </c>
      <c r="N522" s="263">
        <v>24680</v>
      </c>
      <c r="O522" s="263">
        <v>0</v>
      </c>
      <c r="P522" s="263">
        <v>0</v>
      </c>
      <c r="Q522" s="263">
        <v>0</v>
      </c>
      <c r="R522" s="263">
        <v>0</v>
      </c>
      <c r="S522" s="263">
        <v>0</v>
      </c>
      <c r="T522" s="263">
        <v>0</v>
      </c>
      <c r="U522" s="263">
        <f t="shared" si="283"/>
        <v>2695098</v>
      </c>
      <c r="V522" s="196" t="str">
        <f t="shared" si="256"/>
        <v>G/LOS</v>
      </c>
      <c r="W522" s="196" t="s">
        <v>1168</v>
      </c>
      <c r="X522" s="196" t="str">
        <f t="shared" si="296"/>
        <v>Y</v>
      </c>
      <c r="Y522" s="376">
        <f t="shared" ref="Y522:Y553" si="297">SUM(K522:T522)</f>
        <v>2695098</v>
      </c>
      <c r="Z522" s="198"/>
      <c r="AA522" s="376">
        <f t="shared" si="257"/>
        <v>2695098</v>
      </c>
      <c r="AB522" s="196" t="s">
        <v>1166</v>
      </c>
      <c r="AC522" s="196" t="s">
        <v>1168</v>
      </c>
      <c r="AD522" s="275">
        <v>0.73757961783439496</v>
      </c>
      <c r="AE522" s="275">
        <v>0.26242038216560509</v>
      </c>
      <c r="AF522" s="275">
        <v>0</v>
      </c>
      <c r="AG522" s="442">
        <v>0.5</v>
      </c>
      <c r="AH522" s="442">
        <v>0.75</v>
      </c>
      <c r="AI522" s="377">
        <f t="shared" si="284"/>
        <v>0.625</v>
      </c>
      <c r="AJ522" s="203">
        <v>1</v>
      </c>
      <c r="AK522" s="203">
        <f t="shared" si="295"/>
        <v>0</v>
      </c>
      <c r="AL522" s="376">
        <f t="shared" si="285"/>
        <v>1010661.75</v>
      </c>
      <c r="AM522" s="376">
        <f t="shared" si="286"/>
        <v>1684436.25</v>
      </c>
      <c r="AN522" s="376">
        <f t="shared" si="287"/>
        <v>0</v>
      </c>
      <c r="AO522" s="378" t="s">
        <v>3608</v>
      </c>
      <c r="AP522" s="379" t="s">
        <v>2714</v>
      </c>
      <c r="AQ522" s="279" t="s">
        <v>4287</v>
      </c>
      <c r="AR522" s="287">
        <f t="shared" si="259"/>
        <v>125000</v>
      </c>
      <c r="AS522" s="287">
        <f t="shared" si="260"/>
        <v>981511.25</v>
      </c>
      <c r="AT522" s="287">
        <f t="shared" si="261"/>
        <v>562500</v>
      </c>
      <c r="AU522" s="287">
        <f t="shared" si="262"/>
        <v>15425</v>
      </c>
      <c r="AV522" s="287">
        <f t="shared" si="263"/>
        <v>0</v>
      </c>
      <c r="AW522" s="287">
        <f t="shared" si="264"/>
        <v>0</v>
      </c>
      <c r="AX522" s="287">
        <f t="shared" si="265"/>
        <v>0</v>
      </c>
      <c r="AY522" s="287">
        <f t="shared" si="266"/>
        <v>0</v>
      </c>
      <c r="AZ522" s="287">
        <f t="shared" si="267"/>
        <v>0</v>
      </c>
      <c r="BA522" s="287">
        <f t="shared" si="268"/>
        <v>0</v>
      </c>
      <c r="BB522" s="16"/>
      <c r="BC522" s="287">
        <f t="shared" si="269"/>
        <v>0</v>
      </c>
      <c r="BD522" s="287">
        <f t="shared" si="270"/>
        <v>0</v>
      </c>
      <c r="BE522" s="287">
        <f t="shared" si="271"/>
        <v>0</v>
      </c>
      <c r="BF522" s="287">
        <f t="shared" si="272"/>
        <v>0</v>
      </c>
      <c r="BG522" s="287">
        <f t="shared" si="273"/>
        <v>0</v>
      </c>
      <c r="BH522" s="287">
        <f t="shared" si="274"/>
        <v>0</v>
      </c>
      <c r="BI522" s="287">
        <f t="shared" si="275"/>
        <v>0</v>
      </c>
      <c r="BJ522" s="287">
        <f t="shared" si="276"/>
        <v>0</v>
      </c>
      <c r="BK522" s="287">
        <f t="shared" si="277"/>
        <v>0</v>
      </c>
      <c r="BL522" s="287">
        <f t="shared" si="278"/>
        <v>0</v>
      </c>
      <c r="BM522" s="16"/>
      <c r="BN522" s="287">
        <f t="shared" si="279"/>
        <v>1684436.25</v>
      </c>
      <c r="BO522" s="287">
        <f t="shared" si="280"/>
        <v>0</v>
      </c>
      <c r="BP522" s="432"/>
      <c r="BQ522" s="21"/>
      <c r="BR522" s="21"/>
      <c r="BS522" s="6"/>
      <c r="BT522" s="194">
        <f t="shared" ref="BT522:BT553" si="298">+BN522+BO522</f>
        <v>1684436.25</v>
      </c>
      <c r="BU522" s="194">
        <f t="shared" ref="BU522:BU553" si="299">+AM522</f>
        <v>1684436.25</v>
      </c>
      <c r="BV522" s="194">
        <f t="shared" ref="BV522:BV553" si="300">+AN522</f>
        <v>0</v>
      </c>
      <c r="BW522" s="194">
        <f t="shared" ref="BW522:BW553" si="301">+BT522-BU522-BV522</f>
        <v>0</v>
      </c>
      <c r="BX522" s="6"/>
      <c r="BY522" s="6"/>
      <c r="BZ522" s="39">
        <v>509</v>
      </c>
      <c r="CA522" s="39">
        <f t="shared" si="281"/>
        <v>2031</v>
      </c>
      <c r="CB522" s="6"/>
      <c r="CC522" s="39"/>
      <c r="CD522" s="39"/>
      <c r="CE522" s="39"/>
      <c r="CF522" s="39"/>
      <c r="CG522" s="39"/>
      <c r="CH522" s="39"/>
      <c r="CI522" s="39"/>
      <c r="CJ522" s="39"/>
      <c r="CK522" s="39"/>
    </row>
    <row r="523" spans="1:89" s="193" customFormat="1" ht="48">
      <c r="A523" s="375" t="s">
        <v>2507</v>
      </c>
      <c r="B523" s="21" t="str">
        <f t="shared" si="255"/>
        <v>OSD</v>
      </c>
      <c r="C523" s="21"/>
      <c r="D523" s="432">
        <v>3201504</v>
      </c>
      <c r="E523" s="439" t="s">
        <v>3626</v>
      </c>
      <c r="F523" s="439" t="s">
        <v>5119</v>
      </c>
      <c r="G523" s="273" t="s">
        <v>4267</v>
      </c>
      <c r="H523" s="500" t="s">
        <v>5118</v>
      </c>
      <c r="I523" s="262" t="s">
        <v>3492</v>
      </c>
      <c r="J523" s="262" t="s">
        <v>3508</v>
      </c>
      <c r="K523" s="263">
        <v>172000</v>
      </c>
      <c r="L523" s="263">
        <v>200000</v>
      </c>
      <c r="M523" s="263">
        <v>900000</v>
      </c>
      <c r="N523" s="263">
        <v>200000</v>
      </c>
      <c r="O523" s="263">
        <v>0</v>
      </c>
      <c r="P523" s="263">
        <v>0</v>
      </c>
      <c r="Q523" s="263">
        <v>0</v>
      </c>
      <c r="R523" s="263">
        <v>0</v>
      </c>
      <c r="S523" s="263">
        <v>0</v>
      </c>
      <c r="T523" s="263">
        <v>0</v>
      </c>
      <c r="U523" s="263">
        <f t="shared" si="283"/>
        <v>1472000</v>
      </c>
      <c r="V523" s="196" t="str">
        <f t="shared" si="256"/>
        <v>G/LOS/R</v>
      </c>
      <c r="W523" s="196" t="s">
        <v>1168</v>
      </c>
      <c r="X523" s="196" t="str">
        <f t="shared" si="296"/>
        <v>Y</v>
      </c>
      <c r="Y523" s="376">
        <f t="shared" si="297"/>
        <v>1472000</v>
      </c>
      <c r="Z523" s="198"/>
      <c r="AA523" s="376">
        <f t="shared" si="257"/>
        <v>1472000</v>
      </c>
      <c r="AB523" s="196" t="s">
        <v>1166</v>
      </c>
      <c r="AC523" s="196" t="s">
        <v>1168</v>
      </c>
      <c r="AD523" s="275">
        <v>0.6420863309352518</v>
      </c>
      <c r="AE523" s="275">
        <v>0.21402877697841727</v>
      </c>
      <c r="AF523" s="275">
        <v>0.14388489208633093</v>
      </c>
      <c r="AG523" s="442">
        <v>0.5</v>
      </c>
      <c r="AH523" s="442">
        <v>0.75</v>
      </c>
      <c r="AI523" s="377">
        <f t="shared" si="284"/>
        <v>0.625</v>
      </c>
      <c r="AJ523" s="203">
        <v>1</v>
      </c>
      <c r="AK523" s="203">
        <f t="shared" si="295"/>
        <v>0</v>
      </c>
      <c r="AL523" s="376">
        <f t="shared" si="285"/>
        <v>552000</v>
      </c>
      <c r="AM523" s="376">
        <f t="shared" si="286"/>
        <v>920000</v>
      </c>
      <c r="AN523" s="376">
        <f t="shared" si="287"/>
        <v>0</v>
      </c>
      <c r="AO523" s="378" t="s">
        <v>3608</v>
      </c>
      <c r="AP523" s="379" t="s">
        <v>2714</v>
      </c>
      <c r="AQ523" s="279" t="s">
        <v>4287</v>
      </c>
      <c r="AR523" s="287">
        <f t="shared" si="259"/>
        <v>107500</v>
      </c>
      <c r="AS523" s="287">
        <f t="shared" si="260"/>
        <v>125000</v>
      </c>
      <c r="AT523" s="287">
        <f t="shared" si="261"/>
        <v>562500</v>
      </c>
      <c r="AU523" s="287">
        <f t="shared" si="262"/>
        <v>125000</v>
      </c>
      <c r="AV523" s="287">
        <f t="shared" si="263"/>
        <v>0</v>
      </c>
      <c r="AW523" s="287">
        <f t="shared" si="264"/>
        <v>0</v>
      </c>
      <c r="AX523" s="287">
        <f t="shared" si="265"/>
        <v>0</v>
      </c>
      <c r="AY523" s="287">
        <f t="shared" si="266"/>
        <v>0</v>
      </c>
      <c r="AZ523" s="287">
        <f t="shared" si="267"/>
        <v>0</v>
      </c>
      <c r="BA523" s="287">
        <f t="shared" si="268"/>
        <v>0</v>
      </c>
      <c r="BB523" s="16"/>
      <c r="BC523" s="287">
        <f t="shared" si="269"/>
        <v>0</v>
      </c>
      <c r="BD523" s="287">
        <f t="shared" si="270"/>
        <v>0</v>
      </c>
      <c r="BE523" s="287">
        <f t="shared" si="271"/>
        <v>0</v>
      </c>
      <c r="BF523" s="287">
        <f t="shared" si="272"/>
        <v>0</v>
      </c>
      <c r="BG523" s="287">
        <f t="shared" si="273"/>
        <v>0</v>
      </c>
      <c r="BH523" s="287">
        <f t="shared" si="274"/>
        <v>0</v>
      </c>
      <c r="BI523" s="287">
        <f t="shared" si="275"/>
        <v>0</v>
      </c>
      <c r="BJ523" s="287">
        <f t="shared" si="276"/>
        <v>0</v>
      </c>
      <c r="BK523" s="287">
        <f t="shared" si="277"/>
        <v>0</v>
      </c>
      <c r="BL523" s="287">
        <f t="shared" si="278"/>
        <v>0</v>
      </c>
      <c r="BM523" s="16"/>
      <c r="BN523" s="287">
        <f t="shared" si="279"/>
        <v>920000</v>
      </c>
      <c r="BO523" s="287">
        <f t="shared" si="280"/>
        <v>0</v>
      </c>
      <c r="BP523" s="432"/>
      <c r="BQ523" s="21"/>
      <c r="BR523" s="21"/>
      <c r="BS523" s="6"/>
      <c r="BT523" s="194">
        <f t="shared" si="298"/>
        <v>920000</v>
      </c>
      <c r="BU523" s="194">
        <f t="shared" si="299"/>
        <v>920000</v>
      </c>
      <c r="BV523" s="194">
        <f t="shared" si="300"/>
        <v>0</v>
      </c>
      <c r="BW523" s="194">
        <f t="shared" si="301"/>
        <v>0</v>
      </c>
      <c r="BX523" s="6"/>
      <c r="BY523" s="6"/>
      <c r="BZ523" s="39">
        <v>510</v>
      </c>
      <c r="CA523" s="39">
        <f t="shared" si="281"/>
        <v>2031</v>
      </c>
      <c r="CB523" s="6"/>
      <c r="CC523" s="39"/>
      <c r="CD523" s="39"/>
      <c r="CE523" s="39"/>
      <c r="CF523" s="39"/>
      <c r="CG523" s="39"/>
      <c r="CH523" s="39"/>
      <c r="CI523" s="39"/>
      <c r="CJ523" s="39"/>
      <c r="CK523" s="39"/>
    </row>
    <row r="524" spans="1:89" s="193" customFormat="1" ht="48">
      <c r="A524" s="375" t="s">
        <v>2507</v>
      </c>
      <c r="B524" s="21" t="str">
        <f t="shared" si="255"/>
        <v>OSD</v>
      </c>
      <c r="C524" s="21"/>
      <c r="D524" s="432">
        <v>3201504</v>
      </c>
      <c r="E524" s="439" t="s">
        <v>3626</v>
      </c>
      <c r="F524" s="439" t="s">
        <v>5155</v>
      </c>
      <c r="G524" s="273" t="s">
        <v>4270</v>
      </c>
      <c r="H524" s="500" t="s">
        <v>5154</v>
      </c>
      <c r="I524" s="262" t="s">
        <v>3492</v>
      </c>
      <c r="J524" s="262" t="s">
        <v>3514</v>
      </c>
      <c r="K524" s="263">
        <v>500000</v>
      </c>
      <c r="L524" s="263">
        <v>410000</v>
      </c>
      <c r="M524" s="263">
        <v>1000000</v>
      </c>
      <c r="N524" s="263">
        <v>0</v>
      </c>
      <c r="O524" s="263">
        <v>0</v>
      </c>
      <c r="P524" s="263">
        <v>0</v>
      </c>
      <c r="Q524" s="263">
        <v>0</v>
      </c>
      <c r="R524" s="263">
        <v>0</v>
      </c>
      <c r="S524" s="263">
        <v>0</v>
      </c>
      <c r="T524" s="263">
        <v>0</v>
      </c>
      <c r="U524" s="263">
        <f t="shared" si="283"/>
        <v>1910000</v>
      </c>
      <c r="V524" s="196" t="str">
        <f t="shared" si="256"/>
        <v>G/LOS/R</v>
      </c>
      <c r="W524" s="196" t="s">
        <v>1168</v>
      </c>
      <c r="X524" s="196" t="str">
        <f t="shared" si="296"/>
        <v>Y</v>
      </c>
      <c r="Y524" s="376">
        <f t="shared" si="297"/>
        <v>1910000</v>
      </c>
      <c r="Z524" s="198"/>
      <c r="AA524" s="376">
        <f t="shared" si="257"/>
        <v>1910000</v>
      </c>
      <c r="AB524" s="196" t="s">
        <v>1166</v>
      </c>
      <c r="AC524" s="196" t="s">
        <v>1168</v>
      </c>
      <c r="AD524" s="275">
        <v>0.67120622568093391</v>
      </c>
      <c r="AE524" s="275">
        <v>0.22373540856031129</v>
      </c>
      <c r="AF524" s="275">
        <v>0.10505836575875487</v>
      </c>
      <c r="AG524" s="442">
        <v>0.75</v>
      </c>
      <c r="AH524" s="442">
        <v>0.5</v>
      </c>
      <c r="AI524" s="377">
        <f t="shared" si="284"/>
        <v>0.625</v>
      </c>
      <c r="AJ524" s="203">
        <v>1</v>
      </c>
      <c r="AK524" s="203">
        <f t="shared" si="295"/>
        <v>0</v>
      </c>
      <c r="AL524" s="376">
        <f t="shared" si="285"/>
        <v>716250</v>
      </c>
      <c r="AM524" s="376">
        <f t="shared" si="286"/>
        <v>1193750</v>
      </c>
      <c r="AN524" s="376">
        <f t="shared" si="287"/>
        <v>0</v>
      </c>
      <c r="AO524" s="378" t="s">
        <v>3608</v>
      </c>
      <c r="AP524" s="379" t="s">
        <v>2714</v>
      </c>
      <c r="AQ524" s="279" t="s">
        <v>4287</v>
      </c>
      <c r="AR524" s="287">
        <f t="shared" si="259"/>
        <v>312500</v>
      </c>
      <c r="AS524" s="287">
        <f t="shared" si="260"/>
        <v>256250</v>
      </c>
      <c r="AT524" s="287">
        <f t="shared" si="261"/>
        <v>625000</v>
      </c>
      <c r="AU524" s="287">
        <f t="shared" si="262"/>
        <v>0</v>
      </c>
      <c r="AV524" s="287">
        <f t="shared" si="263"/>
        <v>0</v>
      </c>
      <c r="AW524" s="287">
        <f t="shared" si="264"/>
        <v>0</v>
      </c>
      <c r="AX524" s="287">
        <f t="shared" si="265"/>
        <v>0</v>
      </c>
      <c r="AY524" s="287">
        <f t="shared" si="266"/>
        <v>0</v>
      </c>
      <c r="AZ524" s="287">
        <f t="shared" si="267"/>
        <v>0</v>
      </c>
      <c r="BA524" s="287">
        <f t="shared" si="268"/>
        <v>0</v>
      </c>
      <c r="BB524" s="16"/>
      <c r="BC524" s="287">
        <f t="shared" si="269"/>
        <v>0</v>
      </c>
      <c r="BD524" s="287">
        <f t="shared" si="270"/>
        <v>0</v>
      </c>
      <c r="BE524" s="287">
        <f t="shared" si="271"/>
        <v>0</v>
      </c>
      <c r="BF524" s="287">
        <f t="shared" si="272"/>
        <v>0</v>
      </c>
      <c r="BG524" s="287">
        <f t="shared" si="273"/>
        <v>0</v>
      </c>
      <c r="BH524" s="287">
        <f t="shared" si="274"/>
        <v>0</v>
      </c>
      <c r="BI524" s="287">
        <f t="shared" si="275"/>
        <v>0</v>
      </c>
      <c r="BJ524" s="287">
        <f t="shared" si="276"/>
        <v>0</v>
      </c>
      <c r="BK524" s="287">
        <f t="shared" si="277"/>
        <v>0</v>
      </c>
      <c r="BL524" s="287">
        <f t="shared" si="278"/>
        <v>0</v>
      </c>
      <c r="BM524" s="16"/>
      <c r="BN524" s="287">
        <f t="shared" si="279"/>
        <v>1193750</v>
      </c>
      <c r="BO524" s="287">
        <f t="shared" si="280"/>
        <v>0</v>
      </c>
      <c r="BP524" s="432"/>
      <c r="BQ524" s="21"/>
      <c r="BR524" s="21"/>
      <c r="BS524" s="6"/>
      <c r="BT524" s="194">
        <f t="shared" si="298"/>
        <v>1193750</v>
      </c>
      <c r="BU524" s="194">
        <f t="shared" si="299"/>
        <v>1193750</v>
      </c>
      <c r="BV524" s="194">
        <f t="shared" si="300"/>
        <v>0</v>
      </c>
      <c r="BW524" s="194">
        <f t="shared" si="301"/>
        <v>0</v>
      </c>
      <c r="BX524" s="6"/>
      <c r="BY524" s="6"/>
      <c r="BZ524" s="39">
        <v>511</v>
      </c>
      <c r="CA524" s="39">
        <f t="shared" si="281"/>
        <v>2031</v>
      </c>
      <c r="CB524" s="6"/>
      <c r="CC524" s="39"/>
      <c r="CD524" s="39"/>
      <c r="CE524" s="39"/>
      <c r="CF524" s="39"/>
      <c r="CG524" s="39"/>
      <c r="CH524" s="39"/>
      <c r="CI524" s="39"/>
      <c r="CJ524" s="39"/>
      <c r="CK524" s="39"/>
    </row>
    <row r="525" spans="1:89" s="193" customFormat="1" ht="48">
      <c r="A525" s="375" t="s">
        <v>2507</v>
      </c>
      <c r="B525" s="21" t="str">
        <f t="shared" si="255"/>
        <v>OSD</v>
      </c>
      <c r="C525" s="21"/>
      <c r="D525" s="432">
        <v>3201504</v>
      </c>
      <c r="E525" s="439" t="s">
        <v>3626</v>
      </c>
      <c r="F525" s="439" t="s">
        <v>5159</v>
      </c>
      <c r="G525" s="273" t="s">
        <v>4282</v>
      </c>
      <c r="H525" s="500" t="s">
        <v>5158</v>
      </c>
      <c r="I525" s="262" t="s">
        <v>3492</v>
      </c>
      <c r="J525" s="262" t="s">
        <v>3517</v>
      </c>
      <c r="K525" s="263">
        <v>500000</v>
      </c>
      <c r="L525" s="263">
        <v>575000</v>
      </c>
      <c r="M525" s="263">
        <v>0</v>
      </c>
      <c r="N525" s="263">
        <v>0</v>
      </c>
      <c r="O525" s="263">
        <v>0</v>
      </c>
      <c r="P525" s="263">
        <v>0</v>
      </c>
      <c r="Q525" s="263">
        <v>0</v>
      </c>
      <c r="R525" s="263">
        <v>0</v>
      </c>
      <c r="S525" s="263">
        <v>0</v>
      </c>
      <c r="T525" s="263">
        <v>0</v>
      </c>
      <c r="U525" s="263">
        <f t="shared" si="283"/>
        <v>1075000</v>
      </c>
      <c r="V525" s="196" t="str">
        <f t="shared" si="256"/>
        <v>G/LOS</v>
      </c>
      <c r="W525" s="196" t="s">
        <v>1168</v>
      </c>
      <c r="X525" s="196" t="str">
        <f t="shared" si="296"/>
        <v>Y</v>
      </c>
      <c r="Y525" s="376">
        <f t="shared" si="297"/>
        <v>1075000</v>
      </c>
      <c r="Z525" s="198"/>
      <c r="AA525" s="376">
        <f t="shared" si="257"/>
        <v>1075000</v>
      </c>
      <c r="AB525" s="196" t="s">
        <v>1166</v>
      </c>
      <c r="AC525" s="196" t="s">
        <v>1168</v>
      </c>
      <c r="AD525" s="275">
        <v>0.78497314767145709</v>
      </c>
      <c r="AE525" s="275">
        <v>0.21502685232854291</v>
      </c>
      <c r="AF525" s="275">
        <v>0</v>
      </c>
      <c r="AG525" s="442">
        <v>0.75</v>
      </c>
      <c r="AH525" s="442">
        <v>0.75</v>
      </c>
      <c r="AI525" s="377">
        <f t="shared" si="284"/>
        <v>0.75</v>
      </c>
      <c r="AJ525" s="203">
        <v>1</v>
      </c>
      <c r="AK525" s="203">
        <f t="shared" si="295"/>
        <v>0</v>
      </c>
      <c r="AL525" s="376">
        <f t="shared" si="285"/>
        <v>268750</v>
      </c>
      <c r="AM525" s="376">
        <f t="shared" si="286"/>
        <v>806250</v>
      </c>
      <c r="AN525" s="376">
        <f t="shared" si="287"/>
        <v>0</v>
      </c>
      <c r="AO525" s="378" t="s">
        <v>3608</v>
      </c>
      <c r="AP525" s="379" t="s">
        <v>2714</v>
      </c>
      <c r="AQ525" s="279" t="s">
        <v>4287</v>
      </c>
      <c r="AR525" s="287">
        <f t="shared" si="259"/>
        <v>375000</v>
      </c>
      <c r="AS525" s="287">
        <f t="shared" si="260"/>
        <v>431250</v>
      </c>
      <c r="AT525" s="287">
        <f t="shared" si="261"/>
        <v>0</v>
      </c>
      <c r="AU525" s="287">
        <f t="shared" si="262"/>
        <v>0</v>
      </c>
      <c r="AV525" s="287">
        <f t="shared" si="263"/>
        <v>0</v>
      </c>
      <c r="AW525" s="287">
        <f t="shared" si="264"/>
        <v>0</v>
      </c>
      <c r="AX525" s="287">
        <f t="shared" si="265"/>
        <v>0</v>
      </c>
      <c r="AY525" s="287">
        <f t="shared" si="266"/>
        <v>0</v>
      </c>
      <c r="AZ525" s="287">
        <f t="shared" si="267"/>
        <v>0</v>
      </c>
      <c r="BA525" s="287">
        <f t="shared" si="268"/>
        <v>0</v>
      </c>
      <c r="BB525" s="16"/>
      <c r="BC525" s="287">
        <f t="shared" si="269"/>
        <v>0</v>
      </c>
      <c r="BD525" s="287">
        <f t="shared" si="270"/>
        <v>0</v>
      </c>
      <c r="BE525" s="287">
        <f t="shared" si="271"/>
        <v>0</v>
      </c>
      <c r="BF525" s="287">
        <f t="shared" si="272"/>
        <v>0</v>
      </c>
      <c r="BG525" s="287">
        <f t="shared" si="273"/>
        <v>0</v>
      </c>
      <c r="BH525" s="287">
        <f t="shared" si="274"/>
        <v>0</v>
      </c>
      <c r="BI525" s="287">
        <f t="shared" si="275"/>
        <v>0</v>
      </c>
      <c r="BJ525" s="287">
        <f t="shared" si="276"/>
        <v>0</v>
      </c>
      <c r="BK525" s="287">
        <f t="shared" si="277"/>
        <v>0</v>
      </c>
      <c r="BL525" s="287">
        <f t="shared" si="278"/>
        <v>0</v>
      </c>
      <c r="BM525" s="16"/>
      <c r="BN525" s="287">
        <f t="shared" si="279"/>
        <v>806250</v>
      </c>
      <c r="BO525" s="287">
        <f t="shared" si="280"/>
        <v>0</v>
      </c>
      <c r="BP525" s="432"/>
      <c r="BQ525" s="21"/>
      <c r="BR525" s="21"/>
      <c r="BS525" s="6"/>
      <c r="BT525" s="194">
        <f t="shared" si="298"/>
        <v>806250</v>
      </c>
      <c r="BU525" s="194">
        <f t="shared" si="299"/>
        <v>806250</v>
      </c>
      <c r="BV525" s="194">
        <f t="shared" si="300"/>
        <v>0</v>
      </c>
      <c r="BW525" s="194">
        <f t="shared" si="301"/>
        <v>0</v>
      </c>
      <c r="BX525" s="6"/>
      <c r="BY525" s="6"/>
      <c r="BZ525" s="39">
        <v>512</v>
      </c>
      <c r="CA525" s="39">
        <f t="shared" si="281"/>
        <v>2031</v>
      </c>
      <c r="CB525" s="6"/>
      <c r="CC525" s="39"/>
      <c r="CD525" s="39"/>
      <c r="CE525" s="39"/>
      <c r="CF525" s="39"/>
      <c r="CG525" s="39"/>
      <c r="CH525" s="39"/>
      <c r="CI525" s="39"/>
      <c r="CJ525" s="39"/>
      <c r="CK525" s="39"/>
    </row>
    <row r="526" spans="1:89" s="193" customFormat="1" ht="48">
      <c r="A526" s="375" t="s">
        <v>2507</v>
      </c>
      <c r="B526" s="21" t="str">
        <f t="shared" ref="B526:B589" si="302">LEFT(AP526,3)</f>
        <v>OSD</v>
      </c>
      <c r="C526" s="21"/>
      <c r="D526" s="432">
        <v>3201504</v>
      </c>
      <c r="E526" s="439" t="s">
        <v>3626</v>
      </c>
      <c r="F526" s="439" t="s">
        <v>5170</v>
      </c>
      <c r="G526" s="273" t="s">
        <v>4298</v>
      </c>
      <c r="H526" s="500" t="s">
        <v>5169</v>
      </c>
      <c r="I526" s="262" t="s">
        <v>3492</v>
      </c>
      <c r="J526" s="262" t="s">
        <v>3517</v>
      </c>
      <c r="K526" s="263">
        <v>630000</v>
      </c>
      <c r="L526" s="263">
        <v>0</v>
      </c>
      <c r="M526" s="263">
        <v>0</v>
      </c>
      <c r="N526" s="263">
        <v>0</v>
      </c>
      <c r="O526" s="263">
        <v>0</v>
      </c>
      <c r="P526" s="263">
        <v>0</v>
      </c>
      <c r="Q526" s="263">
        <v>0</v>
      </c>
      <c r="R526" s="263">
        <v>0</v>
      </c>
      <c r="S526" s="263">
        <v>0</v>
      </c>
      <c r="T526" s="263">
        <v>0</v>
      </c>
      <c r="U526" s="263">
        <f t="shared" si="283"/>
        <v>630000</v>
      </c>
      <c r="V526" s="196" t="str">
        <f t="shared" ref="V526:V586" si="303">IF(AND(AD526&gt;0,AE526&gt;0,AF526&gt;0),"G/LOS/R",IF(AND(AD526&gt;0,AE526&gt;0),"G/LOS",IF(AND(AD526&gt;0,AF526&gt;0),"G/R",IF(AND(AE526&gt;0,AF526&gt;0),"LOS/R",IF(AD526&gt;0,"G",IF(AE526&gt;0,"LOS",IF(AF526&gt;0,"R","CHECK")))))))</f>
        <v>G/LOS</v>
      </c>
      <c r="W526" s="196" t="s">
        <v>1168</v>
      </c>
      <c r="X526" s="196" t="str">
        <f t="shared" si="296"/>
        <v>Y</v>
      </c>
      <c r="Y526" s="376">
        <f t="shared" si="297"/>
        <v>630000</v>
      </c>
      <c r="Z526" s="198"/>
      <c r="AA526" s="376">
        <f t="shared" ref="AA526:AA586" si="304">Y526-Z526</f>
        <v>630000</v>
      </c>
      <c r="AB526" s="196" t="s">
        <v>1166</v>
      </c>
      <c r="AC526" s="196" t="s">
        <v>1168</v>
      </c>
      <c r="AD526" s="275">
        <v>0.78497314767145709</v>
      </c>
      <c r="AE526" s="275">
        <v>0.21502685232854291</v>
      </c>
      <c r="AF526" s="275">
        <v>0</v>
      </c>
      <c r="AG526" s="442">
        <v>0.75</v>
      </c>
      <c r="AH526" s="442">
        <v>0.75</v>
      </c>
      <c r="AI526" s="377">
        <f t="shared" si="284"/>
        <v>0.75</v>
      </c>
      <c r="AJ526" s="203">
        <v>1</v>
      </c>
      <c r="AK526" s="203">
        <f t="shared" si="295"/>
        <v>0</v>
      </c>
      <c r="AL526" s="376">
        <f t="shared" si="285"/>
        <v>157500</v>
      </c>
      <c r="AM526" s="376">
        <f t="shared" si="286"/>
        <v>472500</v>
      </c>
      <c r="AN526" s="376">
        <f t="shared" si="287"/>
        <v>0</v>
      </c>
      <c r="AO526" s="378" t="s">
        <v>3608</v>
      </c>
      <c r="AP526" s="379" t="s">
        <v>2714</v>
      </c>
      <c r="AQ526" s="279" t="s">
        <v>4287</v>
      </c>
      <c r="AR526" s="287">
        <f t="shared" si="259"/>
        <v>472500</v>
      </c>
      <c r="AS526" s="287">
        <f t="shared" si="260"/>
        <v>0</v>
      </c>
      <c r="AT526" s="287">
        <f t="shared" si="261"/>
        <v>0</v>
      </c>
      <c r="AU526" s="287">
        <f t="shared" si="262"/>
        <v>0</v>
      </c>
      <c r="AV526" s="287">
        <f t="shared" si="263"/>
        <v>0</v>
      </c>
      <c r="AW526" s="287">
        <f t="shared" si="264"/>
        <v>0</v>
      </c>
      <c r="AX526" s="287">
        <f t="shared" si="265"/>
        <v>0</v>
      </c>
      <c r="AY526" s="287">
        <f t="shared" si="266"/>
        <v>0</v>
      </c>
      <c r="AZ526" s="287">
        <f t="shared" si="267"/>
        <v>0</v>
      </c>
      <c r="BA526" s="287">
        <f t="shared" si="268"/>
        <v>0</v>
      </c>
      <c r="BB526" s="16"/>
      <c r="BC526" s="287">
        <f t="shared" si="269"/>
        <v>0</v>
      </c>
      <c r="BD526" s="287">
        <f t="shared" si="270"/>
        <v>0</v>
      </c>
      <c r="BE526" s="287">
        <f t="shared" si="271"/>
        <v>0</v>
      </c>
      <c r="BF526" s="287">
        <f t="shared" si="272"/>
        <v>0</v>
      </c>
      <c r="BG526" s="287">
        <f t="shared" si="273"/>
        <v>0</v>
      </c>
      <c r="BH526" s="287">
        <f t="shared" si="274"/>
        <v>0</v>
      </c>
      <c r="BI526" s="287">
        <f t="shared" si="275"/>
        <v>0</v>
      </c>
      <c r="BJ526" s="287">
        <f t="shared" si="276"/>
        <v>0</v>
      </c>
      <c r="BK526" s="287">
        <f t="shared" si="277"/>
        <v>0</v>
      </c>
      <c r="BL526" s="287">
        <f t="shared" si="278"/>
        <v>0</v>
      </c>
      <c r="BM526" s="16"/>
      <c r="BN526" s="287">
        <f t="shared" si="279"/>
        <v>472500</v>
      </c>
      <c r="BO526" s="287">
        <f t="shared" si="280"/>
        <v>0</v>
      </c>
      <c r="BP526" s="432"/>
      <c r="BQ526" s="21"/>
      <c r="BR526" s="21"/>
      <c r="BS526" s="6"/>
      <c r="BT526" s="194">
        <f t="shared" si="298"/>
        <v>472500</v>
      </c>
      <c r="BU526" s="194">
        <f t="shared" si="299"/>
        <v>472500</v>
      </c>
      <c r="BV526" s="194">
        <f t="shared" si="300"/>
        <v>0</v>
      </c>
      <c r="BW526" s="194">
        <f t="shared" si="301"/>
        <v>0</v>
      </c>
      <c r="BX526" s="6"/>
      <c r="BY526" s="6"/>
      <c r="BZ526" s="39">
        <v>513</v>
      </c>
      <c r="CA526" s="39">
        <f t="shared" si="281"/>
        <v>2031</v>
      </c>
      <c r="CB526" s="6"/>
      <c r="CC526" s="39"/>
      <c r="CD526" s="39"/>
      <c r="CE526" s="39"/>
      <c r="CF526" s="39"/>
      <c r="CG526" s="39"/>
      <c r="CH526" s="39"/>
      <c r="CI526" s="39"/>
      <c r="CJ526" s="39"/>
      <c r="CK526" s="39"/>
    </row>
    <row r="527" spans="1:89" s="193" customFormat="1" ht="60">
      <c r="A527" s="375" t="s">
        <v>2507</v>
      </c>
      <c r="B527" s="21" t="str">
        <f t="shared" si="302"/>
        <v>OSD</v>
      </c>
      <c r="C527" s="21"/>
      <c r="D527" s="432">
        <v>3201504</v>
      </c>
      <c r="E527" s="439" t="s">
        <v>3626</v>
      </c>
      <c r="F527" s="439" t="s">
        <v>5067</v>
      </c>
      <c r="G527" s="273" t="s">
        <v>4269</v>
      </c>
      <c r="H527" s="500" t="s">
        <v>5048</v>
      </c>
      <c r="I527" s="262" t="s">
        <v>3492</v>
      </c>
      <c r="J527" s="262" t="s">
        <v>3515</v>
      </c>
      <c r="K527" s="263">
        <v>0</v>
      </c>
      <c r="L527" s="263">
        <v>0</v>
      </c>
      <c r="M527" s="263">
        <v>40000</v>
      </c>
      <c r="N527" s="263">
        <v>70000</v>
      </c>
      <c r="O527" s="263">
        <v>3200000</v>
      </c>
      <c r="P527" s="263">
        <v>3000000</v>
      </c>
      <c r="Q527" s="263">
        <v>0</v>
      </c>
      <c r="R527" s="263">
        <v>0</v>
      </c>
      <c r="S527" s="263">
        <v>0</v>
      </c>
      <c r="T527" s="263">
        <v>0</v>
      </c>
      <c r="U527" s="263">
        <f t="shared" si="283"/>
        <v>6310000</v>
      </c>
      <c r="V527" s="196" t="str">
        <f t="shared" si="303"/>
        <v>G/LOS/R</v>
      </c>
      <c r="W527" s="196" t="s">
        <v>1168</v>
      </c>
      <c r="X527" s="196" t="str">
        <f t="shared" si="296"/>
        <v>Y</v>
      </c>
      <c r="Y527" s="376">
        <f t="shared" si="297"/>
        <v>6310000</v>
      </c>
      <c r="Z527" s="198"/>
      <c r="AA527" s="376">
        <f t="shared" si="304"/>
        <v>6310000</v>
      </c>
      <c r="AB527" s="196" t="s">
        <v>1166</v>
      </c>
      <c r="AC527" s="196" t="s">
        <v>1168</v>
      </c>
      <c r="AD527" s="275">
        <v>0.70946986164476511</v>
      </c>
      <c r="AE527" s="275">
        <v>0.23648995388158839</v>
      </c>
      <c r="AF527" s="275">
        <v>5.4040184473646488E-2</v>
      </c>
      <c r="AG527" s="442">
        <v>0.65</v>
      </c>
      <c r="AH527" s="442">
        <v>0.75</v>
      </c>
      <c r="AI527" s="377">
        <f t="shared" si="284"/>
        <v>0.7</v>
      </c>
      <c r="AJ527" s="203">
        <v>1</v>
      </c>
      <c r="AK527" s="203">
        <f t="shared" si="295"/>
        <v>0</v>
      </c>
      <c r="AL527" s="376">
        <f t="shared" si="285"/>
        <v>1893000.0000000002</v>
      </c>
      <c r="AM527" s="376">
        <f t="shared" si="286"/>
        <v>4417000</v>
      </c>
      <c r="AN527" s="376">
        <f t="shared" si="287"/>
        <v>0</v>
      </c>
      <c r="AO527" s="378" t="s">
        <v>3608</v>
      </c>
      <c r="AP527" s="379" t="s">
        <v>2714</v>
      </c>
      <c r="AQ527" s="279" t="s">
        <v>4287</v>
      </c>
      <c r="AR527" s="287">
        <f t="shared" ref="AR527:AR590" si="305">K527*$AI527*$AJ527</f>
        <v>0</v>
      </c>
      <c r="AS527" s="287">
        <f t="shared" ref="AS527:AS590" si="306">L527*$AI527*$AJ527</f>
        <v>0</v>
      </c>
      <c r="AT527" s="287">
        <f t="shared" ref="AT527:AT590" si="307">M527*$AI527*$AJ527</f>
        <v>28000</v>
      </c>
      <c r="AU527" s="287">
        <f t="shared" ref="AU527:AU590" si="308">N527*$AI527*$AJ527</f>
        <v>49000</v>
      </c>
      <c r="AV527" s="287">
        <f t="shared" ref="AV527:AV590" si="309">O527*$AI527*$AJ527</f>
        <v>2240000</v>
      </c>
      <c r="AW527" s="287">
        <f t="shared" ref="AW527:AW590" si="310">P527*$AI527*$AJ527</f>
        <v>2100000</v>
      </c>
      <c r="AX527" s="287">
        <f t="shared" ref="AX527:AX590" si="311">Q527*$AI527*$AJ527</f>
        <v>0</v>
      </c>
      <c r="AY527" s="287">
        <f t="shared" ref="AY527:AY590" si="312">R527*$AI527*$AJ527</f>
        <v>0</v>
      </c>
      <c r="AZ527" s="287">
        <f t="shared" ref="AZ527:AZ590" si="313">S527*$AI527*$AJ527</f>
        <v>0</v>
      </c>
      <c r="BA527" s="287">
        <f t="shared" ref="BA527:BA590" si="314">T527*$AI527*$AJ527</f>
        <v>0</v>
      </c>
      <c r="BB527" s="16"/>
      <c r="BC527" s="287">
        <f t="shared" ref="BC527:BC590" si="315">K527*$AI527*$AK527</f>
        <v>0</v>
      </c>
      <c r="BD527" s="287">
        <f t="shared" ref="BD527:BD590" si="316">L527*$AI527*$AK527</f>
        <v>0</v>
      </c>
      <c r="BE527" s="287">
        <f t="shared" ref="BE527:BE590" si="317">M527*$AI527*$AK527</f>
        <v>0</v>
      </c>
      <c r="BF527" s="287">
        <f t="shared" ref="BF527:BF590" si="318">N527*$AI527*$AK527</f>
        <v>0</v>
      </c>
      <c r="BG527" s="287">
        <f t="shared" ref="BG527:BG590" si="319">O527*$AI527*$AK527</f>
        <v>0</v>
      </c>
      <c r="BH527" s="287">
        <f t="shared" ref="BH527:BH590" si="320">P527*$AI527*$AK527</f>
        <v>0</v>
      </c>
      <c r="BI527" s="287">
        <f t="shared" ref="BI527:BI590" si="321">Q527*$AI527*$AK527</f>
        <v>0</v>
      </c>
      <c r="BJ527" s="287">
        <f t="shared" ref="BJ527:BJ590" si="322">R527*$AI527*$AK527</f>
        <v>0</v>
      </c>
      <c r="BK527" s="287">
        <f t="shared" ref="BK527:BK590" si="323">S527*$AI527*$AK527</f>
        <v>0</v>
      </c>
      <c r="BL527" s="287">
        <f t="shared" ref="BL527:BL590" si="324">T527*$AI527*$AK527</f>
        <v>0</v>
      </c>
      <c r="BM527" s="16"/>
      <c r="BN527" s="287">
        <f t="shared" ref="BN527:BN590" si="325">SUM(AR527:BA527)</f>
        <v>4417000</v>
      </c>
      <c r="BO527" s="287">
        <f t="shared" ref="BO527:BO590" si="326">SUM(BC527:BL527)</f>
        <v>0</v>
      </c>
      <c r="BP527" s="432"/>
      <c r="BQ527" s="21"/>
      <c r="BR527" s="21"/>
      <c r="BS527" s="6"/>
      <c r="BT527" s="194">
        <f t="shared" si="298"/>
        <v>4417000</v>
      </c>
      <c r="BU527" s="194">
        <f t="shared" si="299"/>
        <v>4417000</v>
      </c>
      <c r="BV527" s="194">
        <f t="shared" si="300"/>
        <v>0</v>
      </c>
      <c r="BW527" s="194">
        <f t="shared" si="301"/>
        <v>0</v>
      </c>
      <c r="BX527" s="6"/>
      <c r="BY527" s="6"/>
      <c r="BZ527" s="39">
        <v>514</v>
      </c>
      <c r="CA527" s="39">
        <f t="shared" ref="CA527:CA590" si="327">IFERROR(ROUND(IF(AJ527=100%,2031,1/AJ527*10+2021),0),"")</f>
        <v>2031</v>
      </c>
      <c r="CB527" s="6"/>
      <c r="CC527" s="39"/>
      <c r="CD527" s="39"/>
      <c r="CE527" s="39"/>
      <c r="CF527" s="39"/>
      <c r="CG527" s="39"/>
      <c r="CH527" s="39"/>
      <c r="CI527" s="39"/>
      <c r="CJ527" s="39"/>
      <c r="CK527" s="39"/>
    </row>
    <row r="528" spans="1:89" s="193" customFormat="1" ht="48">
      <c r="A528" s="375" t="s">
        <v>2507</v>
      </c>
      <c r="B528" s="21" t="str">
        <f t="shared" si="302"/>
        <v>OSD</v>
      </c>
      <c r="C528" s="21"/>
      <c r="D528" s="432">
        <v>3201504</v>
      </c>
      <c r="E528" s="439" t="s">
        <v>3626</v>
      </c>
      <c r="F528" s="439" t="s">
        <v>5172</v>
      </c>
      <c r="G528" s="273" t="s">
        <v>4299</v>
      </c>
      <c r="H528" s="500" t="s">
        <v>5171</v>
      </c>
      <c r="I528" s="262" t="s">
        <v>3492</v>
      </c>
      <c r="J528" s="262" t="s">
        <v>3508</v>
      </c>
      <c r="K528" s="263">
        <v>864000</v>
      </c>
      <c r="L528" s="263">
        <v>595000</v>
      </c>
      <c r="M528" s="263">
        <v>0</v>
      </c>
      <c r="N528" s="263">
        <v>0</v>
      </c>
      <c r="O528" s="263">
        <v>0</v>
      </c>
      <c r="P528" s="263">
        <v>0</v>
      </c>
      <c r="Q528" s="263">
        <v>0</v>
      </c>
      <c r="R528" s="263">
        <v>0</v>
      </c>
      <c r="S528" s="263">
        <v>0</v>
      </c>
      <c r="T528" s="263">
        <v>0</v>
      </c>
      <c r="U528" s="263">
        <f t="shared" si="283"/>
        <v>1459000</v>
      </c>
      <c r="V528" s="196" t="str">
        <f t="shared" si="303"/>
        <v>G/LOS/R</v>
      </c>
      <c r="W528" s="196" t="s">
        <v>1168</v>
      </c>
      <c r="X528" s="196" t="str">
        <f t="shared" si="296"/>
        <v>Y</v>
      </c>
      <c r="Y528" s="376">
        <f t="shared" si="297"/>
        <v>1459000</v>
      </c>
      <c r="Z528" s="198"/>
      <c r="AA528" s="376">
        <f t="shared" si="304"/>
        <v>1459000</v>
      </c>
      <c r="AB528" s="196" t="s">
        <v>1166</v>
      </c>
      <c r="AC528" s="196" t="s">
        <v>1168</v>
      </c>
      <c r="AD528" s="275">
        <v>0.6420863309352518</v>
      </c>
      <c r="AE528" s="275">
        <v>0.21402877697841727</v>
      </c>
      <c r="AF528" s="275">
        <v>0.14388489208633093</v>
      </c>
      <c r="AG528" s="442">
        <v>0.5</v>
      </c>
      <c r="AH528" s="442">
        <v>0.75</v>
      </c>
      <c r="AI528" s="377">
        <f t="shared" si="284"/>
        <v>0.625</v>
      </c>
      <c r="AJ528" s="203">
        <v>1</v>
      </c>
      <c r="AK528" s="203">
        <f t="shared" si="295"/>
        <v>0</v>
      </c>
      <c r="AL528" s="376">
        <f t="shared" si="285"/>
        <v>547125</v>
      </c>
      <c r="AM528" s="376">
        <f t="shared" si="286"/>
        <v>911875</v>
      </c>
      <c r="AN528" s="376">
        <f t="shared" si="287"/>
        <v>0</v>
      </c>
      <c r="AO528" s="378" t="s">
        <v>3608</v>
      </c>
      <c r="AP528" s="379" t="s">
        <v>2714</v>
      </c>
      <c r="AQ528" s="279" t="s">
        <v>4287</v>
      </c>
      <c r="AR528" s="287">
        <f t="shared" si="305"/>
        <v>540000</v>
      </c>
      <c r="AS528" s="287">
        <f t="shared" si="306"/>
        <v>371875</v>
      </c>
      <c r="AT528" s="287">
        <f t="shared" si="307"/>
        <v>0</v>
      </c>
      <c r="AU528" s="287">
        <f t="shared" si="308"/>
        <v>0</v>
      </c>
      <c r="AV528" s="287">
        <f t="shared" si="309"/>
        <v>0</v>
      </c>
      <c r="AW528" s="287">
        <f t="shared" si="310"/>
        <v>0</v>
      </c>
      <c r="AX528" s="287">
        <f t="shared" si="311"/>
        <v>0</v>
      </c>
      <c r="AY528" s="287">
        <f t="shared" si="312"/>
        <v>0</v>
      </c>
      <c r="AZ528" s="287">
        <f t="shared" si="313"/>
        <v>0</v>
      </c>
      <c r="BA528" s="287">
        <f t="shared" si="314"/>
        <v>0</v>
      </c>
      <c r="BB528" s="16"/>
      <c r="BC528" s="287">
        <f t="shared" si="315"/>
        <v>0</v>
      </c>
      <c r="BD528" s="287">
        <f t="shared" si="316"/>
        <v>0</v>
      </c>
      <c r="BE528" s="287">
        <f t="shared" si="317"/>
        <v>0</v>
      </c>
      <c r="BF528" s="287">
        <f t="shared" si="318"/>
        <v>0</v>
      </c>
      <c r="BG528" s="287">
        <f t="shared" si="319"/>
        <v>0</v>
      </c>
      <c r="BH528" s="287">
        <f t="shared" si="320"/>
        <v>0</v>
      </c>
      <c r="BI528" s="287">
        <f t="shared" si="321"/>
        <v>0</v>
      </c>
      <c r="BJ528" s="287">
        <f t="shared" si="322"/>
        <v>0</v>
      </c>
      <c r="BK528" s="287">
        <f t="shared" si="323"/>
        <v>0</v>
      </c>
      <c r="BL528" s="287">
        <f t="shared" si="324"/>
        <v>0</v>
      </c>
      <c r="BM528" s="16"/>
      <c r="BN528" s="287">
        <f t="shared" si="325"/>
        <v>911875</v>
      </c>
      <c r="BO528" s="287">
        <f t="shared" si="326"/>
        <v>0</v>
      </c>
      <c r="BP528" s="432"/>
      <c r="BQ528" s="21"/>
      <c r="BR528" s="21"/>
      <c r="BS528" s="6"/>
      <c r="BT528" s="194">
        <f t="shared" si="298"/>
        <v>911875</v>
      </c>
      <c r="BU528" s="194">
        <f t="shared" si="299"/>
        <v>911875</v>
      </c>
      <c r="BV528" s="194">
        <f t="shared" si="300"/>
        <v>0</v>
      </c>
      <c r="BW528" s="194">
        <f t="shared" si="301"/>
        <v>0</v>
      </c>
      <c r="BX528" s="6"/>
      <c r="BY528" s="6"/>
      <c r="BZ528" s="39">
        <v>515</v>
      </c>
      <c r="CA528" s="39">
        <f t="shared" si="327"/>
        <v>2031</v>
      </c>
      <c r="CB528" s="6"/>
      <c r="CC528" s="39"/>
      <c r="CD528" s="39"/>
      <c r="CE528" s="39"/>
      <c r="CF528" s="39"/>
      <c r="CG528" s="39"/>
      <c r="CH528" s="39"/>
      <c r="CI528" s="39"/>
      <c r="CJ528" s="39"/>
      <c r="CK528" s="39"/>
    </row>
    <row r="529" spans="1:89" s="193" customFormat="1" ht="60">
      <c r="A529" s="375" t="s">
        <v>2507</v>
      </c>
      <c r="B529" s="21" t="str">
        <f t="shared" si="302"/>
        <v>OSD</v>
      </c>
      <c r="C529" s="21"/>
      <c r="D529" s="432">
        <v>3201504</v>
      </c>
      <c r="E529" s="439" t="s">
        <v>3626</v>
      </c>
      <c r="F529" s="439" t="s">
        <v>5078</v>
      </c>
      <c r="G529" s="273" t="s">
        <v>4273</v>
      </c>
      <c r="H529" s="500" t="s">
        <v>5065</v>
      </c>
      <c r="I529" s="262" t="s">
        <v>3492</v>
      </c>
      <c r="J529" s="262" t="s">
        <v>3524</v>
      </c>
      <c r="K529" s="263">
        <v>50000</v>
      </c>
      <c r="L529" s="263">
        <v>0</v>
      </c>
      <c r="M529" s="263">
        <v>0</v>
      </c>
      <c r="N529" s="263">
        <v>0</v>
      </c>
      <c r="O529" s="263">
        <v>0</v>
      </c>
      <c r="P529" s="263">
        <v>0</v>
      </c>
      <c r="Q529" s="263">
        <v>0</v>
      </c>
      <c r="R529" s="263">
        <v>0</v>
      </c>
      <c r="S529" s="263">
        <v>0</v>
      </c>
      <c r="T529" s="263">
        <v>0</v>
      </c>
      <c r="U529" s="263">
        <f t="shared" si="283"/>
        <v>50000</v>
      </c>
      <c r="V529" s="196" t="str">
        <f t="shared" si="303"/>
        <v>G/LOS</v>
      </c>
      <c r="W529" s="196" t="s">
        <v>1168</v>
      </c>
      <c r="X529" s="196" t="str">
        <f t="shared" si="296"/>
        <v>Y</v>
      </c>
      <c r="Y529" s="376">
        <f t="shared" si="297"/>
        <v>50000</v>
      </c>
      <c r="Z529" s="198"/>
      <c r="AA529" s="376">
        <f t="shared" si="304"/>
        <v>50000</v>
      </c>
      <c r="AB529" s="196" t="s">
        <v>1166</v>
      </c>
      <c r="AC529" s="196" t="s">
        <v>1168</v>
      </c>
      <c r="AD529" s="275">
        <v>0.68283582089552231</v>
      </c>
      <c r="AE529" s="275">
        <v>0.31716417910447764</v>
      </c>
      <c r="AF529" s="275">
        <v>0</v>
      </c>
      <c r="AG529" s="442">
        <v>0.5</v>
      </c>
      <c r="AH529" s="442">
        <v>0.75</v>
      </c>
      <c r="AI529" s="377">
        <f t="shared" si="284"/>
        <v>0.625</v>
      </c>
      <c r="AJ529" s="203">
        <v>1</v>
      </c>
      <c r="AK529" s="203">
        <f t="shared" si="295"/>
        <v>0</v>
      </c>
      <c r="AL529" s="376">
        <f t="shared" si="285"/>
        <v>18750</v>
      </c>
      <c r="AM529" s="376">
        <f t="shared" si="286"/>
        <v>31250</v>
      </c>
      <c r="AN529" s="376">
        <f t="shared" si="287"/>
        <v>0</v>
      </c>
      <c r="AO529" s="378" t="s">
        <v>3608</v>
      </c>
      <c r="AP529" s="379" t="s">
        <v>2714</v>
      </c>
      <c r="AQ529" s="279" t="s">
        <v>4287</v>
      </c>
      <c r="AR529" s="287">
        <f t="shared" si="305"/>
        <v>31250</v>
      </c>
      <c r="AS529" s="287">
        <f t="shared" si="306"/>
        <v>0</v>
      </c>
      <c r="AT529" s="287">
        <f t="shared" si="307"/>
        <v>0</v>
      </c>
      <c r="AU529" s="287">
        <f t="shared" si="308"/>
        <v>0</v>
      </c>
      <c r="AV529" s="287">
        <f t="shared" si="309"/>
        <v>0</v>
      </c>
      <c r="AW529" s="287">
        <f t="shared" si="310"/>
        <v>0</v>
      </c>
      <c r="AX529" s="287">
        <f t="shared" si="311"/>
        <v>0</v>
      </c>
      <c r="AY529" s="287">
        <f t="shared" si="312"/>
        <v>0</v>
      </c>
      <c r="AZ529" s="287">
        <f t="shared" si="313"/>
        <v>0</v>
      </c>
      <c r="BA529" s="287">
        <f t="shared" si="314"/>
        <v>0</v>
      </c>
      <c r="BB529" s="16"/>
      <c r="BC529" s="287">
        <f t="shared" si="315"/>
        <v>0</v>
      </c>
      <c r="BD529" s="287">
        <f t="shared" si="316"/>
        <v>0</v>
      </c>
      <c r="BE529" s="287">
        <f t="shared" si="317"/>
        <v>0</v>
      </c>
      <c r="BF529" s="287">
        <f t="shared" si="318"/>
        <v>0</v>
      </c>
      <c r="BG529" s="287">
        <f t="shared" si="319"/>
        <v>0</v>
      </c>
      <c r="BH529" s="287">
        <f t="shared" si="320"/>
        <v>0</v>
      </c>
      <c r="BI529" s="287">
        <f t="shared" si="321"/>
        <v>0</v>
      </c>
      <c r="BJ529" s="287">
        <f t="shared" si="322"/>
        <v>0</v>
      </c>
      <c r="BK529" s="287">
        <f t="shared" si="323"/>
        <v>0</v>
      </c>
      <c r="BL529" s="287">
        <f t="shared" si="324"/>
        <v>0</v>
      </c>
      <c r="BM529" s="16"/>
      <c r="BN529" s="287">
        <f t="shared" si="325"/>
        <v>31250</v>
      </c>
      <c r="BO529" s="287">
        <f t="shared" si="326"/>
        <v>0</v>
      </c>
      <c r="BP529" s="432"/>
      <c r="BQ529" s="21"/>
      <c r="BR529" s="21"/>
      <c r="BS529" s="6"/>
      <c r="BT529" s="194">
        <f t="shared" si="298"/>
        <v>31250</v>
      </c>
      <c r="BU529" s="194">
        <f t="shared" si="299"/>
        <v>31250</v>
      </c>
      <c r="BV529" s="194">
        <f t="shared" si="300"/>
        <v>0</v>
      </c>
      <c r="BW529" s="194">
        <f t="shared" si="301"/>
        <v>0</v>
      </c>
      <c r="BX529" s="6"/>
      <c r="BY529" s="6"/>
      <c r="BZ529" s="39">
        <v>516</v>
      </c>
      <c r="CA529" s="39">
        <f t="shared" si="327"/>
        <v>2031</v>
      </c>
      <c r="CB529" s="6"/>
      <c r="CC529" s="39"/>
      <c r="CD529" s="39"/>
      <c r="CE529" s="39"/>
      <c r="CF529" s="39"/>
      <c r="CG529" s="39"/>
      <c r="CH529" s="39"/>
      <c r="CI529" s="39"/>
      <c r="CJ529" s="39"/>
      <c r="CK529" s="39"/>
    </row>
    <row r="530" spans="1:89" s="193" customFormat="1" ht="60">
      <c r="A530" s="375" t="s">
        <v>2507</v>
      </c>
      <c r="B530" s="21" t="str">
        <f t="shared" si="302"/>
        <v>OSD</v>
      </c>
      <c r="C530" s="21"/>
      <c r="D530" s="432">
        <v>3201504</v>
      </c>
      <c r="E530" s="439" t="s">
        <v>3626</v>
      </c>
      <c r="F530" s="439" t="s">
        <v>5074</v>
      </c>
      <c r="G530" s="273" t="s">
        <v>4307</v>
      </c>
      <c r="H530" s="500" t="s">
        <v>5058</v>
      </c>
      <c r="I530" s="262" t="s">
        <v>3492</v>
      </c>
      <c r="J530" s="262" t="s">
        <v>3512</v>
      </c>
      <c r="K530" s="263">
        <v>30000</v>
      </c>
      <c r="L530" s="263">
        <v>0</v>
      </c>
      <c r="M530" s="263">
        <v>0</v>
      </c>
      <c r="N530" s="263">
        <v>0</v>
      </c>
      <c r="O530" s="263">
        <v>0</v>
      </c>
      <c r="P530" s="263">
        <v>0</v>
      </c>
      <c r="Q530" s="263">
        <v>0</v>
      </c>
      <c r="R530" s="263">
        <v>0</v>
      </c>
      <c r="S530" s="263">
        <v>0</v>
      </c>
      <c r="T530" s="263">
        <v>0</v>
      </c>
      <c r="U530" s="263">
        <f t="shared" si="283"/>
        <v>30000</v>
      </c>
      <c r="V530" s="196" t="str">
        <f t="shared" si="303"/>
        <v>G/LOS/R</v>
      </c>
      <c r="W530" s="196" t="s">
        <v>1168</v>
      </c>
      <c r="X530" s="196" t="str">
        <f t="shared" si="296"/>
        <v>Y</v>
      </c>
      <c r="Y530" s="376">
        <f t="shared" si="297"/>
        <v>30000</v>
      </c>
      <c r="Z530" s="198"/>
      <c r="AA530" s="376">
        <f t="shared" si="304"/>
        <v>30000</v>
      </c>
      <c r="AB530" s="196" t="s">
        <v>1166</v>
      </c>
      <c r="AC530" s="196" t="s">
        <v>1168</v>
      </c>
      <c r="AD530" s="275">
        <v>0.64026683369019255</v>
      </c>
      <c r="AE530" s="275">
        <v>0.21342227789673085</v>
      </c>
      <c r="AF530" s="275">
        <v>0.14631088841307668</v>
      </c>
      <c r="AG530" s="442">
        <v>0.75</v>
      </c>
      <c r="AH530" s="442">
        <v>0.5</v>
      </c>
      <c r="AI530" s="377">
        <f t="shared" si="284"/>
        <v>0.625</v>
      </c>
      <c r="AJ530" s="203">
        <v>1</v>
      </c>
      <c r="AK530" s="203">
        <f>100%-AJ530</f>
        <v>0</v>
      </c>
      <c r="AL530" s="376">
        <f t="shared" si="285"/>
        <v>11250</v>
      </c>
      <c r="AM530" s="376">
        <f t="shared" si="286"/>
        <v>18750</v>
      </c>
      <c r="AN530" s="376">
        <f t="shared" si="287"/>
        <v>0</v>
      </c>
      <c r="AO530" s="378" t="s">
        <v>3608</v>
      </c>
      <c r="AP530" s="379" t="s">
        <v>2714</v>
      </c>
      <c r="AQ530" s="279" t="s">
        <v>4287</v>
      </c>
      <c r="AR530" s="287">
        <f t="shared" si="305"/>
        <v>18750</v>
      </c>
      <c r="AS530" s="287">
        <f t="shared" si="306"/>
        <v>0</v>
      </c>
      <c r="AT530" s="287">
        <f t="shared" si="307"/>
        <v>0</v>
      </c>
      <c r="AU530" s="287">
        <f t="shared" si="308"/>
        <v>0</v>
      </c>
      <c r="AV530" s="287">
        <f t="shared" si="309"/>
        <v>0</v>
      </c>
      <c r="AW530" s="287">
        <f t="shared" si="310"/>
        <v>0</v>
      </c>
      <c r="AX530" s="287">
        <f t="shared" si="311"/>
        <v>0</v>
      </c>
      <c r="AY530" s="287">
        <f t="shared" si="312"/>
        <v>0</v>
      </c>
      <c r="AZ530" s="287">
        <f t="shared" si="313"/>
        <v>0</v>
      </c>
      <c r="BA530" s="287">
        <f t="shared" si="314"/>
        <v>0</v>
      </c>
      <c r="BB530" s="16"/>
      <c r="BC530" s="287">
        <f t="shared" si="315"/>
        <v>0</v>
      </c>
      <c r="BD530" s="287">
        <f t="shared" si="316"/>
        <v>0</v>
      </c>
      <c r="BE530" s="287">
        <f t="shared" si="317"/>
        <v>0</v>
      </c>
      <c r="BF530" s="287">
        <f t="shared" si="318"/>
        <v>0</v>
      </c>
      <c r="BG530" s="287">
        <f t="shared" si="319"/>
        <v>0</v>
      </c>
      <c r="BH530" s="287">
        <f t="shared" si="320"/>
        <v>0</v>
      </c>
      <c r="BI530" s="287">
        <f t="shared" si="321"/>
        <v>0</v>
      </c>
      <c r="BJ530" s="287">
        <f t="shared" si="322"/>
        <v>0</v>
      </c>
      <c r="BK530" s="287">
        <f t="shared" si="323"/>
        <v>0</v>
      </c>
      <c r="BL530" s="287">
        <f t="shared" si="324"/>
        <v>0</v>
      </c>
      <c r="BM530" s="16"/>
      <c r="BN530" s="287">
        <f t="shared" si="325"/>
        <v>18750</v>
      </c>
      <c r="BO530" s="287">
        <f t="shared" si="326"/>
        <v>0</v>
      </c>
      <c r="BP530" s="432"/>
      <c r="BQ530" s="21"/>
      <c r="BR530" s="21"/>
      <c r="BS530" s="6"/>
      <c r="BT530" s="194">
        <f t="shared" si="298"/>
        <v>18750</v>
      </c>
      <c r="BU530" s="194">
        <f t="shared" si="299"/>
        <v>18750</v>
      </c>
      <c r="BV530" s="194">
        <f t="shared" si="300"/>
        <v>0</v>
      </c>
      <c r="BW530" s="194">
        <f t="shared" si="301"/>
        <v>0</v>
      </c>
      <c r="BX530" s="6"/>
      <c r="BY530" s="6"/>
      <c r="BZ530" s="39">
        <v>517</v>
      </c>
      <c r="CA530" s="39">
        <f t="shared" si="327"/>
        <v>2031</v>
      </c>
      <c r="CB530" s="6"/>
      <c r="CC530" s="39"/>
      <c r="CD530" s="39"/>
      <c r="CE530" s="39"/>
      <c r="CF530" s="39"/>
      <c r="CG530" s="39"/>
      <c r="CH530" s="39"/>
      <c r="CI530" s="39"/>
      <c r="CJ530" s="39"/>
      <c r="CK530" s="39"/>
    </row>
    <row r="531" spans="1:89" s="193" customFormat="1" ht="60">
      <c r="A531" s="375" t="s">
        <v>2507</v>
      </c>
      <c r="B531" s="21" t="str">
        <f t="shared" si="302"/>
        <v>OSD</v>
      </c>
      <c r="C531" s="21"/>
      <c r="D531" s="432">
        <v>3201504</v>
      </c>
      <c r="E531" s="439" t="s">
        <v>3626</v>
      </c>
      <c r="F531" s="439" t="s">
        <v>5083</v>
      </c>
      <c r="G531" s="273" t="s">
        <v>4306</v>
      </c>
      <c r="H531" s="500" t="s">
        <v>5082</v>
      </c>
      <c r="I531" s="262" t="s">
        <v>3492</v>
      </c>
      <c r="J531" s="262" t="s">
        <v>3507</v>
      </c>
      <c r="K531" s="263">
        <v>50000</v>
      </c>
      <c r="L531" s="263">
        <v>0</v>
      </c>
      <c r="M531" s="263">
        <v>0</v>
      </c>
      <c r="N531" s="263">
        <v>0</v>
      </c>
      <c r="O531" s="263">
        <v>0</v>
      </c>
      <c r="P531" s="263">
        <v>0</v>
      </c>
      <c r="Q531" s="263">
        <v>0</v>
      </c>
      <c r="R531" s="263">
        <v>0</v>
      </c>
      <c r="S531" s="263">
        <v>0</v>
      </c>
      <c r="T531" s="263">
        <v>0</v>
      </c>
      <c r="U531" s="263">
        <f t="shared" si="283"/>
        <v>50000</v>
      </c>
      <c r="V531" s="196" t="str">
        <f t="shared" si="303"/>
        <v>G/LOS</v>
      </c>
      <c r="W531" s="196" t="s">
        <v>1168</v>
      </c>
      <c r="X531" s="196" t="str">
        <f t="shared" si="296"/>
        <v>Y</v>
      </c>
      <c r="Y531" s="376">
        <f t="shared" si="297"/>
        <v>50000</v>
      </c>
      <c r="Z531" s="198"/>
      <c r="AA531" s="376">
        <f t="shared" si="304"/>
        <v>50000</v>
      </c>
      <c r="AB531" s="196" t="s">
        <v>1166</v>
      </c>
      <c r="AC531" s="196" t="s">
        <v>1168</v>
      </c>
      <c r="AD531" s="275">
        <v>0.9</v>
      </c>
      <c r="AE531" s="275">
        <v>0.1</v>
      </c>
      <c r="AF531" s="275">
        <v>0</v>
      </c>
      <c r="AG531" s="442">
        <v>0.75</v>
      </c>
      <c r="AH531" s="442">
        <v>1</v>
      </c>
      <c r="AI531" s="377">
        <f t="shared" si="284"/>
        <v>0.875</v>
      </c>
      <c r="AJ531" s="203">
        <v>1</v>
      </c>
      <c r="AK531" s="203">
        <f t="shared" ref="AK531:AK562" si="328">1-AJ531</f>
        <v>0</v>
      </c>
      <c r="AL531" s="376">
        <f t="shared" si="285"/>
        <v>6250</v>
      </c>
      <c r="AM531" s="376">
        <f t="shared" si="286"/>
        <v>43750</v>
      </c>
      <c r="AN531" s="376">
        <f t="shared" si="287"/>
        <v>0</v>
      </c>
      <c r="AO531" s="378" t="s">
        <v>3608</v>
      </c>
      <c r="AP531" s="379" t="s">
        <v>2714</v>
      </c>
      <c r="AQ531" s="279" t="s">
        <v>4287</v>
      </c>
      <c r="AR531" s="287">
        <f t="shared" si="305"/>
        <v>43750</v>
      </c>
      <c r="AS531" s="287">
        <f t="shared" si="306"/>
        <v>0</v>
      </c>
      <c r="AT531" s="287">
        <f t="shared" si="307"/>
        <v>0</v>
      </c>
      <c r="AU531" s="287">
        <f t="shared" si="308"/>
        <v>0</v>
      </c>
      <c r="AV531" s="287">
        <f t="shared" si="309"/>
        <v>0</v>
      </c>
      <c r="AW531" s="287">
        <f t="shared" si="310"/>
        <v>0</v>
      </c>
      <c r="AX531" s="287">
        <f t="shared" si="311"/>
        <v>0</v>
      </c>
      <c r="AY531" s="287">
        <f t="shared" si="312"/>
        <v>0</v>
      </c>
      <c r="AZ531" s="287">
        <f t="shared" si="313"/>
        <v>0</v>
      </c>
      <c r="BA531" s="287">
        <f t="shared" si="314"/>
        <v>0</v>
      </c>
      <c r="BB531" s="16"/>
      <c r="BC531" s="287">
        <f t="shared" si="315"/>
        <v>0</v>
      </c>
      <c r="BD531" s="287">
        <f t="shared" si="316"/>
        <v>0</v>
      </c>
      <c r="BE531" s="287">
        <f t="shared" si="317"/>
        <v>0</v>
      </c>
      <c r="BF531" s="287">
        <f t="shared" si="318"/>
        <v>0</v>
      </c>
      <c r="BG531" s="287">
        <f t="shared" si="319"/>
        <v>0</v>
      </c>
      <c r="BH531" s="287">
        <f t="shared" si="320"/>
        <v>0</v>
      </c>
      <c r="BI531" s="287">
        <f t="shared" si="321"/>
        <v>0</v>
      </c>
      <c r="BJ531" s="287">
        <f t="shared" si="322"/>
        <v>0</v>
      </c>
      <c r="BK531" s="287">
        <f t="shared" si="323"/>
        <v>0</v>
      </c>
      <c r="BL531" s="287">
        <f t="shared" si="324"/>
        <v>0</v>
      </c>
      <c r="BM531" s="16"/>
      <c r="BN531" s="287">
        <f t="shared" si="325"/>
        <v>43750</v>
      </c>
      <c r="BO531" s="287">
        <f t="shared" si="326"/>
        <v>0</v>
      </c>
      <c r="BP531" s="432"/>
      <c r="BQ531" s="21"/>
      <c r="BR531" s="21"/>
      <c r="BS531" s="6"/>
      <c r="BT531" s="194">
        <f t="shared" si="298"/>
        <v>43750</v>
      </c>
      <c r="BU531" s="194">
        <f t="shared" si="299"/>
        <v>43750</v>
      </c>
      <c r="BV531" s="194">
        <f t="shared" si="300"/>
        <v>0</v>
      </c>
      <c r="BW531" s="194">
        <f t="shared" si="301"/>
        <v>0</v>
      </c>
      <c r="BX531" s="6"/>
      <c r="BY531" s="6"/>
      <c r="BZ531" s="39">
        <v>518</v>
      </c>
      <c r="CA531" s="39">
        <f t="shared" si="327"/>
        <v>2031</v>
      </c>
      <c r="CB531" s="6"/>
      <c r="CC531" s="39"/>
      <c r="CD531" s="39"/>
      <c r="CE531" s="39"/>
      <c r="CF531" s="39"/>
      <c r="CG531" s="39"/>
      <c r="CH531" s="39"/>
      <c r="CI531" s="39"/>
      <c r="CJ531" s="39"/>
      <c r="CK531" s="39"/>
    </row>
    <row r="532" spans="1:89" s="193" customFormat="1" ht="60">
      <c r="A532" s="375" t="s">
        <v>2507</v>
      </c>
      <c r="B532" s="21" t="str">
        <f t="shared" si="302"/>
        <v>OSD</v>
      </c>
      <c r="C532" s="21"/>
      <c r="D532" s="432">
        <v>3201504</v>
      </c>
      <c r="E532" s="439" t="s">
        <v>3626</v>
      </c>
      <c r="F532" s="439" t="s">
        <v>5083</v>
      </c>
      <c r="G532" s="273" t="s">
        <v>4283</v>
      </c>
      <c r="H532" s="500" t="s">
        <v>5193</v>
      </c>
      <c r="I532" s="262" t="s">
        <v>3492</v>
      </c>
      <c r="J532" s="262" t="s">
        <v>3522</v>
      </c>
      <c r="K532" s="263">
        <v>50000</v>
      </c>
      <c r="L532" s="263">
        <v>0</v>
      </c>
      <c r="M532" s="263">
        <v>0</v>
      </c>
      <c r="N532" s="263">
        <v>0</v>
      </c>
      <c r="O532" s="263">
        <v>0</v>
      </c>
      <c r="P532" s="263">
        <v>0</v>
      </c>
      <c r="Q532" s="263">
        <v>0</v>
      </c>
      <c r="R532" s="263">
        <v>0</v>
      </c>
      <c r="S532" s="263">
        <v>0</v>
      </c>
      <c r="T532" s="263">
        <v>0</v>
      </c>
      <c r="U532" s="263">
        <f t="shared" si="283"/>
        <v>50000</v>
      </c>
      <c r="V532" s="196" t="str">
        <f t="shared" si="303"/>
        <v>G/LOS</v>
      </c>
      <c r="W532" s="196" t="s">
        <v>1168</v>
      </c>
      <c r="X532" s="196" t="str">
        <f t="shared" si="296"/>
        <v>Y</v>
      </c>
      <c r="Y532" s="376">
        <f t="shared" si="297"/>
        <v>50000</v>
      </c>
      <c r="Z532" s="198"/>
      <c r="AA532" s="376">
        <f t="shared" si="304"/>
        <v>50000</v>
      </c>
      <c r="AB532" s="196" t="s">
        <v>1166</v>
      </c>
      <c r="AC532" s="196" t="s">
        <v>1168</v>
      </c>
      <c r="AD532" s="275">
        <v>0.75</v>
      </c>
      <c r="AE532" s="275">
        <v>0.25</v>
      </c>
      <c r="AF532" s="275">
        <v>0</v>
      </c>
      <c r="AG532" s="442">
        <v>0.75</v>
      </c>
      <c r="AH532" s="442">
        <v>0.75</v>
      </c>
      <c r="AI532" s="377">
        <f t="shared" si="284"/>
        <v>0.75</v>
      </c>
      <c r="AJ532" s="203">
        <v>1</v>
      </c>
      <c r="AK532" s="203">
        <f t="shared" si="328"/>
        <v>0</v>
      </c>
      <c r="AL532" s="376">
        <f t="shared" si="285"/>
        <v>12500</v>
      </c>
      <c r="AM532" s="376">
        <f t="shared" si="286"/>
        <v>37500</v>
      </c>
      <c r="AN532" s="376">
        <f t="shared" si="287"/>
        <v>0</v>
      </c>
      <c r="AO532" s="378" t="s">
        <v>3608</v>
      </c>
      <c r="AP532" s="379" t="s">
        <v>2714</v>
      </c>
      <c r="AQ532" s="279" t="s">
        <v>4287</v>
      </c>
      <c r="AR532" s="287">
        <f t="shared" si="305"/>
        <v>37500</v>
      </c>
      <c r="AS532" s="287">
        <f t="shared" si="306"/>
        <v>0</v>
      </c>
      <c r="AT532" s="287">
        <f t="shared" si="307"/>
        <v>0</v>
      </c>
      <c r="AU532" s="287">
        <f t="shared" si="308"/>
        <v>0</v>
      </c>
      <c r="AV532" s="287">
        <f t="shared" si="309"/>
        <v>0</v>
      </c>
      <c r="AW532" s="287">
        <f t="shared" si="310"/>
        <v>0</v>
      </c>
      <c r="AX532" s="287">
        <f t="shared" si="311"/>
        <v>0</v>
      </c>
      <c r="AY532" s="287">
        <f t="shared" si="312"/>
        <v>0</v>
      </c>
      <c r="AZ532" s="287">
        <f t="shared" si="313"/>
        <v>0</v>
      </c>
      <c r="BA532" s="287">
        <f t="shared" si="314"/>
        <v>0</v>
      </c>
      <c r="BB532" s="16"/>
      <c r="BC532" s="287">
        <f t="shared" si="315"/>
        <v>0</v>
      </c>
      <c r="BD532" s="287">
        <f t="shared" si="316"/>
        <v>0</v>
      </c>
      <c r="BE532" s="287">
        <f t="shared" si="317"/>
        <v>0</v>
      </c>
      <c r="BF532" s="287">
        <f t="shared" si="318"/>
        <v>0</v>
      </c>
      <c r="BG532" s="287">
        <f t="shared" si="319"/>
        <v>0</v>
      </c>
      <c r="BH532" s="287">
        <f t="shared" si="320"/>
        <v>0</v>
      </c>
      <c r="BI532" s="287">
        <f t="shared" si="321"/>
        <v>0</v>
      </c>
      <c r="BJ532" s="287">
        <f t="shared" si="322"/>
        <v>0</v>
      </c>
      <c r="BK532" s="287">
        <f t="shared" si="323"/>
        <v>0</v>
      </c>
      <c r="BL532" s="287">
        <f t="shared" si="324"/>
        <v>0</v>
      </c>
      <c r="BM532" s="16"/>
      <c r="BN532" s="287">
        <f t="shared" si="325"/>
        <v>37500</v>
      </c>
      <c r="BO532" s="287">
        <f t="shared" si="326"/>
        <v>0</v>
      </c>
      <c r="BP532" s="432"/>
      <c r="BQ532" s="21"/>
      <c r="BR532" s="21"/>
      <c r="BS532" s="6"/>
      <c r="BT532" s="194">
        <f t="shared" si="298"/>
        <v>37500</v>
      </c>
      <c r="BU532" s="194">
        <f t="shared" si="299"/>
        <v>37500</v>
      </c>
      <c r="BV532" s="194">
        <f t="shared" si="300"/>
        <v>0</v>
      </c>
      <c r="BW532" s="194">
        <f t="shared" si="301"/>
        <v>0</v>
      </c>
      <c r="BX532" s="6"/>
      <c r="BY532" s="6"/>
      <c r="BZ532" s="39">
        <v>519</v>
      </c>
      <c r="CA532" s="39">
        <f t="shared" si="327"/>
        <v>2031</v>
      </c>
      <c r="CB532" s="6"/>
      <c r="CC532" s="39"/>
      <c r="CD532" s="39"/>
      <c r="CE532" s="39"/>
      <c r="CF532" s="39"/>
      <c r="CG532" s="39"/>
      <c r="CH532" s="39"/>
      <c r="CI532" s="39"/>
      <c r="CJ532" s="39"/>
      <c r="CK532" s="39"/>
    </row>
    <row r="533" spans="1:89" s="193" customFormat="1" ht="60">
      <c r="A533" s="375" t="s">
        <v>2507</v>
      </c>
      <c r="B533" s="21" t="str">
        <f t="shared" si="302"/>
        <v>OSD</v>
      </c>
      <c r="C533" s="21"/>
      <c r="D533" s="432">
        <v>3201504</v>
      </c>
      <c r="E533" s="439" t="s">
        <v>3626</v>
      </c>
      <c r="F533" s="439" t="s">
        <v>5089</v>
      </c>
      <c r="G533" s="273" t="s">
        <v>4293</v>
      </c>
      <c r="H533" s="516" t="s">
        <v>5088</v>
      </c>
      <c r="I533" s="262" t="s">
        <v>3492</v>
      </c>
      <c r="J533" s="262" t="s">
        <v>3521</v>
      </c>
      <c r="K533" s="263">
        <v>50000</v>
      </c>
      <c r="L533" s="263">
        <v>100000</v>
      </c>
      <c r="M533" s="263">
        <v>500000</v>
      </c>
      <c r="N533" s="263">
        <v>0</v>
      </c>
      <c r="O533" s="263">
        <v>0</v>
      </c>
      <c r="P533" s="263">
        <v>0</v>
      </c>
      <c r="Q533" s="263">
        <v>0</v>
      </c>
      <c r="R533" s="263">
        <v>0</v>
      </c>
      <c r="S533" s="263">
        <v>0</v>
      </c>
      <c r="T533" s="263">
        <v>0</v>
      </c>
      <c r="U533" s="263">
        <f t="shared" si="283"/>
        <v>650000</v>
      </c>
      <c r="V533" s="196" t="str">
        <f t="shared" si="303"/>
        <v>G/LOS</v>
      </c>
      <c r="W533" s="196" t="s">
        <v>1168</v>
      </c>
      <c r="X533" s="196" t="str">
        <f t="shared" si="296"/>
        <v>Y</v>
      </c>
      <c r="Y533" s="376">
        <f t="shared" si="297"/>
        <v>650000</v>
      </c>
      <c r="Z533" s="198"/>
      <c r="AA533" s="376">
        <f t="shared" si="304"/>
        <v>650000</v>
      </c>
      <c r="AB533" s="196" t="s">
        <v>1166</v>
      </c>
      <c r="AC533" s="196" t="s">
        <v>1168</v>
      </c>
      <c r="AD533" s="275">
        <v>0.65249580575958055</v>
      </c>
      <c r="AE533" s="275">
        <v>0.34750419424041945</v>
      </c>
      <c r="AF533" s="275">
        <v>0</v>
      </c>
      <c r="AG533" s="442">
        <v>0.75</v>
      </c>
      <c r="AH533" s="442">
        <v>0.5</v>
      </c>
      <c r="AI533" s="377">
        <f t="shared" si="284"/>
        <v>0.625</v>
      </c>
      <c r="AJ533" s="203">
        <v>1</v>
      </c>
      <c r="AK533" s="203">
        <f t="shared" si="328"/>
        <v>0</v>
      </c>
      <c r="AL533" s="376">
        <f t="shared" si="285"/>
        <v>243750</v>
      </c>
      <c r="AM533" s="376">
        <f t="shared" si="286"/>
        <v>406250</v>
      </c>
      <c r="AN533" s="376">
        <f t="shared" si="287"/>
        <v>0</v>
      </c>
      <c r="AO533" s="378" t="s">
        <v>3608</v>
      </c>
      <c r="AP533" s="379" t="s">
        <v>2714</v>
      </c>
      <c r="AQ533" s="279" t="s">
        <v>4287</v>
      </c>
      <c r="AR533" s="287">
        <f t="shared" si="305"/>
        <v>31250</v>
      </c>
      <c r="AS533" s="287">
        <f t="shared" si="306"/>
        <v>62500</v>
      </c>
      <c r="AT533" s="287">
        <f t="shared" si="307"/>
        <v>312500</v>
      </c>
      <c r="AU533" s="287">
        <f t="shared" si="308"/>
        <v>0</v>
      </c>
      <c r="AV533" s="287">
        <f t="shared" si="309"/>
        <v>0</v>
      </c>
      <c r="AW533" s="287">
        <f t="shared" si="310"/>
        <v>0</v>
      </c>
      <c r="AX533" s="287">
        <f t="shared" si="311"/>
        <v>0</v>
      </c>
      <c r="AY533" s="287">
        <f t="shared" si="312"/>
        <v>0</v>
      </c>
      <c r="AZ533" s="287">
        <f t="shared" si="313"/>
        <v>0</v>
      </c>
      <c r="BA533" s="287">
        <f t="shared" si="314"/>
        <v>0</v>
      </c>
      <c r="BB533" s="16"/>
      <c r="BC533" s="287">
        <f t="shared" si="315"/>
        <v>0</v>
      </c>
      <c r="BD533" s="287">
        <f t="shared" si="316"/>
        <v>0</v>
      </c>
      <c r="BE533" s="287">
        <f t="shared" si="317"/>
        <v>0</v>
      </c>
      <c r="BF533" s="287">
        <f t="shared" si="318"/>
        <v>0</v>
      </c>
      <c r="BG533" s="287">
        <f t="shared" si="319"/>
        <v>0</v>
      </c>
      <c r="BH533" s="287">
        <f t="shared" si="320"/>
        <v>0</v>
      </c>
      <c r="BI533" s="287">
        <f t="shared" si="321"/>
        <v>0</v>
      </c>
      <c r="BJ533" s="287">
        <f t="shared" si="322"/>
        <v>0</v>
      </c>
      <c r="BK533" s="287">
        <f t="shared" si="323"/>
        <v>0</v>
      </c>
      <c r="BL533" s="287">
        <f t="shared" si="324"/>
        <v>0</v>
      </c>
      <c r="BM533" s="16"/>
      <c r="BN533" s="287">
        <f t="shared" si="325"/>
        <v>406250</v>
      </c>
      <c r="BO533" s="287">
        <f t="shared" si="326"/>
        <v>0</v>
      </c>
      <c r="BP533" s="432"/>
      <c r="BQ533" s="21"/>
      <c r="BR533" s="21"/>
      <c r="BS533" s="6"/>
      <c r="BT533" s="194">
        <f t="shared" si="298"/>
        <v>406250</v>
      </c>
      <c r="BU533" s="194">
        <f t="shared" si="299"/>
        <v>406250</v>
      </c>
      <c r="BV533" s="194">
        <f t="shared" si="300"/>
        <v>0</v>
      </c>
      <c r="BW533" s="194">
        <f t="shared" si="301"/>
        <v>0</v>
      </c>
      <c r="BX533" s="6"/>
      <c r="BY533" s="6"/>
      <c r="BZ533" s="39">
        <v>520</v>
      </c>
      <c r="CA533" s="39">
        <f t="shared" si="327"/>
        <v>2031</v>
      </c>
      <c r="CB533" s="6"/>
      <c r="CC533" s="39"/>
      <c r="CD533" s="39"/>
      <c r="CE533" s="39"/>
      <c r="CF533" s="39"/>
      <c r="CG533" s="39"/>
      <c r="CH533" s="39"/>
      <c r="CI533" s="39"/>
      <c r="CJ533" s="39"/>
      <c r="CK533" s="39"/>
    </row>
    <row r="534" spans="1:89" s="193" customFormat="1" ht="60">
      <c r="A534" s="375" t="s">
        <v>2507</v>
      </c>
      <c r="B534" s="21" t="str">
        <f t="shared" si="302"/>
        <v>OSD</v>
      </c>
      <c r="C534" s="21"/>
      <c r="D534" s="432">
        <v>3201504</v>
      </c>
      <c r="E534" s="439" t="s">
        <v>3626</v>
      </c>
      <c r="F534" s="439" t="s">
        <v>5091</v>
      </c>
      <c r="G534" s="273" t="s">
        <v>4304</v>
      </c>
      <c r="H534" s="500" t="s">
        <v>5090</v>
      </c>
      <c r="I534" s="262" t="s">
        <v>3492</v>
      </c>
      <c r="J534" s="262" t="s">
        <v>3516</v>
      </c>
      <c r="K534" s="263">
        <v>50000</v>
      </c>
      <c r="L534" s="263">
        <v>0</v>
      </c>
      <c r="M534" s="263">
        <v>0</v>
      </c>
      <c r="N534" s="263">
        <v>0</v>
      </c>
      <c r="O534" s="263">
        <v>0</v>
      </c>
      <c r="P534" s="263">
        <v>0</v>
      </c>
      <c r="Q534" s="263">
        <v>0</v>
      </c>
      <c r="R534" s="263">
        <v>0</v>
      </c>
      <c r="S534" s="263">
        <v>0</v>
      </c>
      <c r="T534" s="263">
        <v>0</v>
      </c>
      <c r="U534" s="263">
        <f t="shared" si="283"/>
        <v>50000</v>
      </c>
      <c r="V534" s="196" t="str">
        <f t="shared" si="303"/>
        <v>G/LOS</v>
      </c>
      <c r="W534" s="196" t="s">
        <v>1168</v>
      </c>
      <c r="X534" s="196" t="str">
        <f t="shared" si="296"/>
        <v>Y</v>
      </c>
      <c r="Y534" s="376">
        <f t="shared" si="297"/>
        <v>50000</v>
      </c>
      <c r="Z534" s="198"/>
      <c r="AA534" s="376">
        <f t="shared" si="304"/>
        <v>50000</v>
      </c>
      <c r="AB534" s="196" t="s">
        <v>1166</v>
      </c>
      <c r="AC534" s="196" t="s">
        <v>1168</v>
      </c>
      <c r="AD534" s="275">
        <v>0.9</v>
      </c>
      <c r="AE534" s="275">
        <v>0.1</v>
      </c>
      <c r="AF534" s="275">
        <v>0</v>
      </c>
      <c r="AG534" s="442">
        <v>0.75</v>
      </c>
      <c r="AH534" s="442">
        <v>1</v>
      </c>
      <c r="AI534" s="377">
        <f t="shared" si="284"/>
        <v>0.875</v>
      </c>
      <c r="AJ534" s="203">
        <v>1</v>
      </c>
      <c r="AK534" s="203">
        <f t="shared" si="328"/>
        <v>0</v>
      </c>
      <c r="AL534" s="376">
        <f t="shared" si="285"/>
        <v>6250</v>
      </c>
      <c r="AM534" s="376">
        <f t="shared" si="286"/>
        <v>43750</v>
      </c>
      <c r="AN534" s="376">
        <f t="shared" si="287"/>
        <v>0</v>
      </c>
      <c r="AO534" s="378" t="s">
        <v>3608</v>
      </c>
      <c r="AP534" s="379" t="s">
        <v>2714</v>
      </c>
      <c r="AQ534" s="279" t="s">
        <v>4287</v>
      </c>
      <c r="AR534" s="287">
        <f t="shared" si="305"/>
        <v>43750</v>
      </c>
      <c r="AS534" s="287">
        <f t="shared" si="306"/>
        <v>0</v>
      </c>
      <c r="AT534" s="287">
        <f t="shared" si="307"/>
        <v>0</v>
      </c>
      <c r="AU534" s="287">
        <f t="shared" si="308"/>
        <v>0</v>
      </c>
      <c r="AV534" s="287">
        <f t="shared" si="309"/>
        <v>0</v>
      </c>
      <c r="AW534" s="287">
        <f t="shared" si="310"/>
        <v>0</v>
      </c>
      <c r="AX534" s="287">
        <f t="shared" si="311"/>
        <v>0</v>
      </c>
      <c r="AY534" s="287">
        <f t="shared" si="312"/>
        <v>0</v>
      </c>
      <c r="AZ534" s="287">
        <f t="shared" si="313"/>
        <v>0</v>
      </c>
      <c r="BA534" s="287">
        <f t="shared" si="314"/>
        <v>0</v>
      </c>
      <c r="BB534" s="16"/>
      <c r="BC534" s="287">
        <f t="shared" si="315"/>
        <v>0</v>
      </c>
      <c r="BD534" s="287">
        <f t="shared" si="316"/>
        <v>0</v>
      </c>
      <c r="BE534" s="287">
        <f t="shared" si="317"/>
        <v>0</v>
      </c>
      <c r="BF534" s="287">
        <f t="shared" si="318"/>
        <v>0</v>
      </c>
      <c r="BG534" s="287">
        <f t="shared" si="319"/>
        <v>0</v>
      </c>
      <c r="BH534" s="287">
        <f t="shared" si="320"/>
        <v>0</v>
      </c>
      <c r="BI534" s="287">
        <f t="shared" si="321"/>
        <v>0</v>
      </c>
      <c r="BJ534" s="287">
        <f t="shared" si="322"/>
        <v>0</v>
      </c>
      <c r="BK534" s="287">
        <f t="shared" si="323"/>
        <v>0</v>
      </c>
      <c r="BL534" s="287">
        <f t="shared" si="324"/>
        <v>0</v>
      </c>
      <c r="BM534" s="16"/>
      <c r="BN534" s="287">
        <f t="shared" si="325"/>
        <v>43750</v>
      </c>
      <c r="BO534" s="287">
        <f t="shared" si="326"/>
        <v>0</v>
      </c>
      <c r="BP534" s="432"/>
      <c r="BQ534" s="21"/>
      <c r="BR534" s="21"/>
      <c r="BS534" s="6"/>
      <c r="BT534" s="194">
        <f t="shared" si="298"/>
        <v>43750</v>
      </c>
      <c r="BU534" s="194">
        <f t="shared" si="299"/>
        <v>43750</v>
      </c>
      <c r="BV534" s="194">
        <f t="shared" si="300"/>
        <v>0</v>
      </c>
      <c r="BW534" s="194">
        <f t="shared" si="301"/>
        <v>0</v>
      </c>
      <c r="BX534" s="6"/>
      <c r="BY534" s="6"/>
      <c r="BZ534" s="39">
        <v>521</v>
      </c>
      <c r="CA534" s="39">
        <f t="shared" si="327"/>
        <v>2031</v>
      </c>
      <c r="CB534" s="6"/>
      <c r="CC534" s="39"/>
      <c r="CD534" s="39"/>
      <c r="CE534" s="39"/>
      <c r="CF534" s="39"/>
      <c r="CG534" s="39"/>
      <c r="CH534" s="39"/>
      <c r="CI534" s="39"/>
      <c r="CJ534" s="39"/>
      <c r="CK534" s="39"/>
    </row>
    <row r="535" spans="1:89" s="193" customFormat="1" ht="36">
      <c r="A535" s="375" t="s">
        <v>2502</v>
      </c>
      <c r="B535" s="21" t="str">
        <f t="shared" si="302"/>
        <v>OSD</v>
      </c>
      <c r="C535" s="21"/>
      <c r="D535" s="432">
        <v>3200693</v>
      </c>
      <c r="E535" s="439" t="s">
        <v>3626</v>
      </c>
      <c r="F535" s="439" t="s">
        <v>3736</v>
      </c>
      <c r="G535" s="273" t="s">
        <v>4315</v>
      </c>
      <c r="H535" s="500" t="s">
        <v>5114</v>
      </c>
      <c r="I535" s="262" t="s">
        <v>3492</v>
      </c>
      <c r="J535" s="262" t="s">
        <v>3525</v>
      </c>
      <c r="K535" s="263">
        <v>120000</v>
      </c>
      <c r="L535" s="263">
        <v>400000</v>
      </c>
      <c r="M535" s="263">
        <v>0</v>
      </c>
      <c r="N535" s="263">
        <v>0</v>
      </c>
      <c r="O535" s="263">
        <v>0</v>
      </c>
      <c r="P535" s="263">
        <v>0</v>
      </c>
      <c r="Q535" s="263">
        <v>0</v>
      </c>
      <c r="R535" s="263">
        <v>0</v>
      </c>
      <c r="S535" s="263">
        <v>0</v>
      </c>
      <c r="T535" s="263">
        <v>0</v>
      </c>
      <c r="U535" s="263">
        <f t="shared" si="283"/>
        <v>520000</v>
      </c>
      <c r="V535" s="196" t="str">
        <f t="shared" si="303"/>
        <v>G/LOS</v>
      </c>
      <c r="W535" s="196" t="s">
        <v>1168</v>
      </c>
      <c r="X535" s="196" t="str">
        <f t="shared" si="296"/>
        <v>Y</v>
      </c>
      <c r="Y535" s="376">
        <f t="shared" si="297"/>
        <v>520000</v>
      </c>
      <c r="Z535" s="198"/>
      <c r="AA535" s="376">
        <f t="shared" si="304"/>
        <v>520000</v>
      </c>
      <c r="AB535" s="196" t="s">
        <v>1166</v>
      </c>
      <c r="AC535" s="196" t="s">
        <v>1168</v>
      </c>
      <c r="AD535" s="275">
        <v>0.92282586664028765</v>
      </c>
      <c r="AE535" s="275">
        <v>7.7174133359712377E-2</v>
      </c>
      <c r="AF535" s="275">
        <v>0</v>
      </c>
      <c r="AG535" s="199">
        <v>0.75</v>
      </c>
      <c r="AH535" s="199">
        <v>1</v>
      </c>
      <c r="AI535" s="377">
        <f t="shared" si="284"/>
        <v>0.875</v>
      </c>
      <c r="AJ535" s="203">
        <v>1</v>
      </c>
      <c r="AK535" s="203">
        <f t="shared" si="328"/>
        <v>0</v>
      </c>
      <c r="AL535" s="376">
        <f t="shared" si="285"/>
        <v>65000</v>
      </c>
      <c r="AM535" s="376">
        <f t="shared" si="286"/>
        <v>455000</v>
      </c>
      <c r="AN535" s="376">
        <f t="shared" si="287"/>
        <v>0</v>
      </c>
      <c r="AO535" s="378" t="s">
        <v>3607</v>
      </c>
      <c r="AP535" s="379" t="s">
        <v>2723</v>
      </c>
      <c r="AQ535" s="279"/>
      <c r="AR535" s="287">
        <f t="shared" si="305"/>
        <v>105000</v>
      </c>
      <c r="AS535" s="287">
        <f t="shared" si="306"/>
        <v>350000</v>
      </c>
      <c r="AT535" s="287">
        <f t="shared" si="307"/>
        <v>0</v>
      </c>
      <c r="AU535" s="287">
        <f t="shared" si="308"/>
        <v>0</v>
      </c>
      <c r="AV535" s="287">
        <f t="shared" si="309"/>
        <v>0</v>
      </c>
      <c r="AW535" s="287">
        <f t="shared" si="310"/>
        <v>0</v>
      </c>
      <c r="AX535" s="287">
        <f t="shared" si="311"/>
        <v>0</v>
      </c>
      <c r="AY535" s="287">
        <f t="shared" si="312"/>
        <v>0</v>
      </c>
      <c r="AZ535" s="287">
        <f t="shared" si="313"/>
        <v>0</v>
      </c>
      <c r="BA535" s="287">
        <f t="shared" si="314"/>
        <v>0</v>
      </c>
      <c r="BB535" s="16"/>
      <c r="BC535" s="287">
        <f t="shared" si="315"/>
        <v>0</v>
      </c>
      <c r="BD535" s="287">
        <f t="shared" si="316"/>
        <v>0</v>
      </c>
      <c r="BE535" s="287">
        <f t="shared" si="317"/>
        <v>0</v>
      </c>
      <c r="BF535" s="287">
        <f t="shared" si="318"/>
        <v>0</v>
      </c>
      <c r="BG535" s="287">
        <f t="shared" si="319"/>
        <v>0</v>
      </c>
      <c r="BH535" s="287">
        <f t="shared" si="320"/>
        <v>0</v>
      </c>
      <c r="BI535" s="287">
        <f t="shared" si="321"/>
        <v>0</v>
      </c>
      <c r="BJ535" s="287">
        <f t="shared" si="322"/>
        <v>0</v>
      </c>
      <c r="BK535" s="287">
        <f t="shared" si="323"/>
        <v>0</v>
      </c>
      <c r="BL535" s="287">
        <f t="shared" si="324"/>
        <v>0</v>
      </c>
      <c r="BM535" s="16"/>
      <c r="BN535" s="287">
        <f t="shared" si="325"/>
        <v>455000</v>
      </c>
      <c r="BO535" s="287">
        <f t="shared" si="326"/>
        <v>0</v>
      </c>
      <c r="BP535" s="432"/>
      <c r="BQ535" s="21"/>
      <c r="BR535" s="21"/>
      <c r="BS535" s="6"/>
      <c r="BT535" s="194">
        <f t="shared" si="298"/>
        <v>455000</v>
      </c>
      <c r="BU535" s="194">
        <f t="shared" si="299"/>
        <v>455000</v>
      </c>
      <c r="BV535" s="194">
        <f t="shared" si="300"/>
        <v>0</v>
      </c>
      <c r="BW535" s="194">
        <f t="shared" si="301"/>
        <v>0</v>
      </c>
      <c r="BX535" s="6"/>
      <c r="BY535" s="6"/>
      <c r="BZ535" s="39">
        <v>522</v>
      </c>
      <c r="CA535" s="39">
        <f t="shared" si="327"/>
        <v>2031</v>
      </c>
      <c r="CB535" s="6"/>
      <c r="CC535" s="39"/>
      <c r="CD535" s="39"/>
      <c r="CE535" s="39"/>
      <c r="CF535" s="39"/>
      <c r="CG535" s="39"/>
      <c r="CH535" s="39"/>
      <c r="CI535" s="39"/>
      <c r="CJ535" s="39"/>
      <c r="CK535" s="39"/>
    </row>
    <row r="536" spans="1:89" s="193" customFormat="1" ht="24">
      <c r="A536" s="375" t="s">
        <v>2502</v>
      </c>
      <c r="B536" s="21" t="str">
        <f t="shared" si="302"/>
        <v>OSD</v>
      </c>
      <c r="C536" s="21"/>
      <c r="D536" s="432">
        <v>3201441</v>
      </c>
      <c r="E536" s="439" t="s">
        <v>3626</v>
      </c>
      <c r="F536" s="439" t="s">
        <v>3767</v>
      </c>
      <c r="G536" s="273" t="s">
        <v>3412</v>
      </c>
      <c r="H536" s="500" t="s">
        <v>5055</v>
      </c>
      <c r="I536" s="262" t="s">
        <v>3492</v>
      </c>
      <c r="J536" s="262" t="s">
        <v>3525</v>
      </c>
      <c r="K536" s="263">
        <v>20000</v>
      </c>
      <c r="L536" s="263">
        <v>400000</v>
      </c>
      <c r="M536" s="263">
        <v>240000</v>
      </c>
      <c r="N536" s="263">
        <v>0</v>
      </c>
      <c r="O536" s="263">
        <v>0</v>
      </c>
      <c r="P536" s="263">
        <v>0</v>
      </c>
      <c r="Q536" s="263">
        <v>0</v>
      </c>
      <c r="R536" s="263">
        <v>0</v>
      </c>
      <c r="S536" s="263">
        <v>0</v>
      </c>
      <c r="T536" s="263">
        <v>0</v>
      </c>
      <c r="U536" s="263">
        <f t="shared" si="283"/>
        <v>660000</v>
      </c>
      <c r="V536" s="196" t="str">
        <f t="shared" si="303"/>
        <v>G/LOS</v>
      </c>
      <c r="W536" s="196" t="s">
        <v>1168</v>
      </c>
      <c r="X536" s="196" t="str">
        <f t="shared" si="296"/>
        <v>Y</v>
      </c>
      <c r="Y536" s="376">
        <f t="shared" si="297"/>
        <v>660000</v>
      </c>
      <c r="Z536" s="198"/>
      <c r="AA536" s="376">
        <f t="shared" si="304"/>
        <v>660000</v>
      </c>
      <c r="AB536" s="196" t="s">
        <v>1166</v>
      </c>
      <c r="AC536" s="196" t="s">
        <v>1168</v>
      </c>
      <c r="AD536" s="275">
        <v>0.84037201382797588</v>
      </c>
      <c r="AE536" s="275">
        <v>0.15962798617202414</v>
      </c>
      <c r="AF536" s="275">
        <v>0</v>
      </c>
      <c r="AG536" s="199">
        <v>0.75</v>
      </c>
      <c r="AH536" s="199">
        <v>1</v>
      </c>
      <c r="AI536" s="377">
        <f t="shared" si="284"/>
        <v>0.875</v>
      </c>
      <c r="AJ536" s="203">
        <v>1</v>
      </c>
      <c r="AK536" s="203">
        <f t="shared" si="328"/>
        <v>0</v>
      </c>
      <c r="AL536" s="376">
        <f t="shared" si="285"/>
        <v>82500</v>
      </c>
      <c r="AM536" s="376">
        <f t="shared" si="286"/>
        <v>577500</v>
      </c>
      <c r="AN536" s="376">
        <f t="shared" si="287"/>
        <v>0</v>
      </c>
      <c r="AO536" s="378" t="s">
        <v>3607</v>
      </c>
      <c r="AP536" s="379" t="s">
        <v>2723</v>
      </c>
      <c r="AQ536" s="279"/>
      <c r="AR536" s="287">
        <f t="shared" si="305"/>
        <v>17500</v>
      </c>
      <c r="AS536" s="287">
        <f t="shared" si="306"/>
        <v>350000</v>
      </c>
      <c r="AT536" s="287">
        <f t="shared" si="307"/>
        <v>210000</v>
      </c>
      <c r="AU536" s="287">
        <f t="shared" si="308"/>
        <v>0</v>
      </c>
      <c r="AV536" s="287">
        <f t="shared" si="309"/>
        <v>0</v>
      </c>
      <c r="AW536" s="287">
        <f t="shared" si="310"/>
        <v>0</v>
      </c>
      <c r="AX536" s="287">
        <f t="shared" si="311"/>
        <v>0</v>
      </c>
      <c r="AY536" s="287">
        <f t="shared" si="312"/>
        <v>0</v>
      </c>
      <c r="AZ536" s="287">
        <f t="shared" si="313"/>
        <v>0</v>
      </c>
      <c r="BA536" s="287">
        <f t="shared" si="314"/>
        <v>0</v>
      </c>
      <c r="BB536" s="16"/>
      <c r="BC536" s="287">
        <f t="shared" si="315"/>
        <v>0</v>
      </c>
      <c r="BD536" s="287">
        <f t="shared" si="316"/>
        <v>0</v>
      </c>
      <c r="BE536" s="287">
        <f t="shared" si="317"/>
        <v>0</v>
      </c>
      <c r="BF536" s="287">
        <f t="shared" si="318"/>
        <v>0</v>
      </c>
      <c r="BG536" s="287">
        <f t="shared" si="319"/>
        <v>0</v>
      </c>
      <c r="BH536" s="287">
        <f t="shared" si="320"/>
        <v>0</v>
      </c>
      <c r="BI536" s="287">
        <f t="shared" si="321"/>
        <v>0</v>
      </c>
      <c r="BJ536" s="287">
        <f t="shared" si="322"/>
        <v>0</v>
      </c>
      <c r="BK536" s="287">
        <f t="shared" si="323"/>
        <v>0</v>
      </c>
      <c r="BL536" s="287">
        <f t="shared" si="324"/>
        <v>0</v>
      </c>
      <c r="BM536" s="16"/>
      <c r="BN536" s="287">
        <f t="shared" si="325"/>
        <v>577500</v>
      </c>
      <c r="BO536" s="287">
        <f t="shared" si="326"/>
        <v>0</v>
      </c>
      <c r="BP536" s="432"/>
      <c r="BQ536" s="21"/>
      <c r="BR536" s="21"/>
      <c r="BS536" s="6"/>
      <c r="BT536" s="194">
        <f t="shared" si="298"/>
        <v>577500</v>
      </c>
      <c r="BU536" s="194">
        <f t="shared" si="299"/>
        <v>577500</v>
      </c>
      <c r="BV536" s="194">
        <f t="shared" si="300"/>
        <v>0</v>
      </c>
      <c r="BW536" s="194">
        <f t="shared" si="301"/>
        <v>0</v>
      </c>
      <c r="BX536" s="6"/>
      <c r="BY536" s="6"/>
      <c r="BZ536" s="39">
        <v>523</v>
      </c>
      <c r="CA536" s="39">
        <f t="shared" si="327"/>
        <v>2031</v>
      </c>
      <c r="CB536" s="6"/>
      <c r="CC536" s="39"/>
      <c r="CD536" s="39"/>
      <c r="CE536" s="39"/>
      <c r="CF536" s="39"/>
      <c r="CG536" s="39"/>
      <c r="CH536" s="39"/>
      <c r="CI536" s="39"/>
      <c r="CJ536" s="39"/>
      <c r="CK536" s="39"/>
    </row>
    <row r="537" spans="1:89" s="193" customFormat="1" ht="36">
      <c r="A537" s="375" t="s">
        <v>2502</v>
      </c>
      <c r="B537" s="21" t="str">
        <f t="shared" si="302"/>
        <v>OSD</v>
      </c>
      <c r="C537" s="21"/>
      <c r="D537" s="432">
        <v>3201501</v>
      </c>
      <c r="E537" s="439" t="s">
        <v>3626</v>
      </c>
      <c r="F537" s="439" t="s">
        <v>5043</v>
      </c>
      <c r="G537" s="273" t="s">
        <v>4237</v>
      </c>
      <c r="H537" s="500" t="s">
        <v>5042</v>
      </c>
      <c r="I537" s="262" t="s">
        <v>3492</v>
      </c>
      <c r="J537" s="262" t="s">
        <v>3526</v>
      </c>
      <c r="K537" s="263">
        <v>0</v>
      </c>
      <c r="L537" s="263">
        <v>0</v>
      </c>
      <c r="M537" s="263">
        <v>50000</v>
      </c>
      <c r="N537" s="263">
        <v>100000</v>
      </c>
      <c r="O537" s="263">
        <v>425000</v>
      </c>
      <c r="P537" s="263">
        <v>0</v>
      </c>
      <c r="Q537" s="263">
        <v>0</v>
      </c>
      <c r="R537" s="263">
        <v>0</v>
      </c>
      <c r="S537" s="263">
        <v>0</v>
      </c>
      <c r="T537" s="263">
        <v>0</v>
      </c>
      <c r="U537" s="263">
        <f t="shared" si="283"/>
        <v>575000</v>
      </c>
      <c r="V537" s="196" t="str">
        <f t="shared" si="303"/>
        <v>G/LOS</v>
      </c>
      <c r="W537" s="196" t="s">
        <v>1168</v>
      </c>
      <c r="X537" s="196" t="str">
        <f t="shared" si="296"/>
        <v>Y</v>
      </c>
      <c r="Y537" s="376">
        <f t="shared" si="297"/>
        <v>575000</v>
      </c>
      <c r="Z537" s="198"/>
      <c r="AA537" s="376">
        <f t="shared" si="304"/>
        <v>575000</v>
      </c>
      <c r="AB537" s="196" t="s">
        <v>1166</v>
      </c>
      <c r="AC537" s="196" t="s">
        <v>1168</v>
      </c>
      <c r="AD537" s="275">
        <v>0.75</v>
      </c>
      <c r="AE537" s="275">
        <v>0.25</v>
      </c>
      <c r="AF537" s="275">
        <v>0</v>
      </c>
      <c r="AG537" s="199">
        <v>0.75</v>
      </c>
      <c r="AH537" s="199">
        <v>0.75</v>
      </c>
      <c r="AI537" s="381">
        <f t="shared" si="284"/>
        <v>0.75</v>
      </c>
      <c r="AJ537" s="203">
        <v>1</v>
      </c>
      <c r="AK537" s="203">
        <f t="shared" si="328"/>
        <v>0</v>
      </c>
      <c r="AL537" s="376">
        <f t="shared" si="285"/>
        <v>143750</v>
      </c>
      <c r="AM537" s="376">
        <f t="shared" si="286"/>
        <v>431250</v>
      </c>
      <c r="AN537" s="376">
        <f t="shared" si="287"/>
        <v>0</v>
      </c>
      <c r="AO537" s="378" t="s">
        <v>3607</v>
      </c>
      <c r="AP537" s="379" t="s">
        <v>2724</v>
      </c>
      <c r="AQ537" s="279"/>
      <c r="AR537" s="287">
        <f t="shared" si="305"/>
        <v>0</v>
      </c>
      <c r="AS537" s="287">
        <f t="shared" si="306"/>
        <v>0</v>
      </c>
      <c r="AT537" s="287">
        <f t="shared" si="307"/>
        <v>37500</v>
      </c>
      <c r="AU537" s="287">
        <f t="shared" si="308"/>
        <v>75000</v>
      </c>
      <c r="AV537" s="287">
        <f t="shared" si="309"/>
        <v>318750</v>
      </c>
      <c r="AW537" s="287">
        <f t="shared" si="310"/>
        <v>0</v>
      </c>
      <c r="AX537" s="287">
        <f t="shared" si="311"/>
        <v>0</v>
      </c>
      <c r="AY537" s="287">
        <f t="shared" si="312"/>
        <v>0</v>
      </c>
      <c r="AZ537" s="287">
        <f t="shared" si="313"/>
        <v>0</v>
      </c>
      <c r="BA537" s="287">
        <f t="shared" si="314"/>
        <v>0</v>
      </c>
      <c r="BB537" s="16"/>
      <c r="BC537" s="287">
        <f t="shared" si="315"/>
        <v>0</v>
      </c>
      <c r="BD537" s="287">
        <f t="shared" si="316"/>
        <v>0</v>
      </c>
      <c r="BE537" s="287">
        <f t="shared" si="317"/>
        <v>0</v>
      </c>
      <c r="BF537" s="287">
        <f t="shared" si="318"/>
        <v>0</v>
      </c>
      <c r="BG537" s="287">
        <f t="shared" si="319"/>
        <v>0</v>
      </c>
      <c r="BH537" s="287">
        <f t="shared" si="320"/>
        <v>0</v>
      </c>
      <c r="BI537" s="287">
        <f t="shared" si="321"/>
        <v>0</v>
      </c>
      <c r="BJ537" s="287">
        <f t="shared" si="322"/>
        <v>0</v>
      </c>
      <c r="BK537" s="287">
        <f t="shared" si="323"/>
        <v>0</v>
      </c>
      <c r="BL537" s="287">
        <f t="shared" si="324"/>
        <v>0</v>
      </c>
      <c r="BM537" s="16"/>
      <c r="BN537" s="287">
        <f t="shared" si="325"/>
        <v>431250</v>
      </c>
      <c r="BO537" s="287">
        <f t="shared" si="326"/>
        <v>0</v>
      </c>
      <c r="BP537" s="432"/>
      <c r="BQ537" s="21"/>
      <c r="BR537" s="21"/>
      <c r="BS537" s="6"/>
      <c r="BT537" s="194">
        <f t="shared" si="298"/>
        <v>431250</v>
      </c>
      <c r="BU537" s="194">
        <f t="shared" si="299"/>
        <v>431250</v>
      </c>
      <c r="BV537" s="194">
        <f t="shared" si="300"/>
        <v>0</v>
      </c>
      <c r="BW537" s="194">
        <f t="shared" si="301"/>
        <v>0</v>
      </c>
      <c r="BX537" s="6"/>
      <c r="BY537" s="6"/>
      <c r="BZ537" s="39">
        <v>524</v>
      </c>
      <c r="CA537" s="39">
        <f t="shared" si="327"/>
        <v>2031</v>
      </c>
      <c r="CB537" s="6"/>
      <c r="CC537" s="39"/>
      <c r="CD537" s="39"/>
      <c r="CE537" s="39"/>
      <c r="CF537" s="39"/>
      <c r="CG537" s="39"/>
      <c r="CH537" s="39"/>
      <c r="CI537" s="39"/>
      <c r="CJ537" s="39"/>
      <c r="CK537" s="39"/>
    </row>
    <row r="538" spans="1:89" s="193" customFormat="1" ht="36">
      <c r="A538" s="375" t="s">
        <v>2502</v>
      </c>
      <c r="B538" s="21" t="str">
        <f t="shared" si="302"/>
        <v>OSD</v>
      </c>
      <c r="C538" s="21"/>
      <c r="D538" s="432">
        <v>3201501</v>
      </c>
      <c r="E538" s="439" t="s">
        <v>3626</v>
      </c>
      <c r="F538" s="439" t="s">
        <v>5097</v>
      </c>
      <c r="G538" s="273" t="s">
        <v>4243</v>
      </c>
      <c r="H538" s="500" t="s">
        <v>5096</v>
      </c>
      <c r="I538" s="262" t="s">
        <v>3492</v>
      </c>
      <c r="J538" s="262"/>
      <c r="K538" s="263">
        <v>71000</v>
      </c>
      <c r="L538" s="263">
        <v>0</v>
      </c>
      <c r="M538" s="263">
        <v>0</v>
      </c>
      <c r="N538" s="263">
        <v>1000000</v>
      </c>
      <c r="O538" s="263">
        <v>500000</v>
      </c>
      <c r="P538" s="263">
        <v>0</v>
      </c>
      <c r="Q538" s="263">
        <v>0</v>
      </c>
      <c r="R538" s="263">
        <v>0</v>
      </c>
      <c r="S538" s="263">
        <v>0</v>
      </c>
      <c r="T538" s="263">
        <v>0</v>
      </c>
      <c r="U538" s="263">
        <f t="shared" si="283"/>
        <v>1571000</v>
      </c>
      <c r="V538" s="196" t="str">
        <f t="shared" si="303"/>
        <v>G/LOS</v>
      </c>
      <c r="W538" s="196" t="s">
        <v>1168</v>
      </c>
      <c r="X538" s="196" t="str">
        <f t="shared" si="296"/>
        <v>Y</v>
      </c>
      <c r="Y538" s="376">
        <f t="shared" si="297"/>
        <v>1571000</v>
      </c>
      <c r="Z538" s="198"/>
      <c r="AA538" s="376">
        <f t="shared" si="304"/>
        <v>1571000</v>
      </c>
      <c r="AB538" s="196" t="s">
        <v>1166</v>
      </c>
      <c r="AC538" s="196" t="s">
        <v>1168</v>
      </c>
      <c r="AD538" s="275">
        <v>0.75</v>
      </c>
      <c r="AE538" s="275">
        <v>0.25</v>
      </c>
      <c r="AF538" s="275">
        <v>0</v>
      </c>
      <c r="AG538" s="199">
        <v>0.75</v>
      </c>
      <c r="AH538" s="199">
        <v>1</v>
      </c>
      <c r="AI538" s="381">
        <f t="shared" si="284"/>
        <v>0.875</v>
      </c>
      <c r="AJ538" s="203">
        <v>1</v>
      </c>
      <c r="AK538" s="203">
        <f t="shared" si="328"/>
        <v>0</v>
      </c>
      <c r="AL538" s="376">
        <f t="shared" si="285"/>
        <v>196375</v>
      </c>
      <c r="AM538" s="376">
        <f t="shared" si="286"/>
        <v>1374625</v>
      </c>
      <c r="AN538" s="376">
        <f t="shared" si="287"/>
        <v>0</v>
      </c>
      <c r="AO538" s="378" t="s">
        <v>3607</v>
      </c>
      <c r="AP538" s="379" t="s">
        <v>2726</v>
      </c>
      <c r="AQ538" s="279"/>
      <c r="AR538" s="287">
        <f t="shared" si="305"/>
        <v>62125</v>
      </c>
      <c r="AS538" s="287">
        <f t="shared" si="306"/>
        <v>0</v>
      </c>
      <c r="AT538" s="287">
        <f t="shared" si="307"/>
        <v>0</v>
      </c>
      <c r="AU538" s="287">
        <f t="shared" si="308"/>
        <v>875000</v>
      </c>
      <c r="AV538" s="287">
        <f t="shared" si="309"/>
        <v>437500</v>
      </c>
      <c r="AW538" s="287">
        <f t="shared" si="310"/>
        <v>0</v>
      </c>
      <c r="AX538" s="287">
        <f t="shared" si="311"/>
        <v>0</v>
      </c>
      <c r="AY538" s="287">
        <f t="shared" si="312"/>
        <v>0</v>
      </c>
      <c r="AZ538" s="287">
        <f t="shared" si="313"/>
        <v>0</v>
      </c>
      <c r="BA538" s="287">
        <f t="shared" si="314"/>
        <v>0</v>
      </c>
      <c r="BB538" s="16"/>
      <c r="BC538" s="287">
        <f t="shared" si="315"/>
        <v>0</v>
      </c>
      <c r="BD538" s="287">
        <f t="shared" si="316"/>
        <v>0</v>
      </c>
      <c r="BE538" s="287">
        <f t="shared" si="317"/>
        <v>0</v>
      </c>
      <c r="BF538" s="287">
        <f t="shared" si="318"/>
        <v>0</v>
      </c>
      <c r="BG538" s="287">
        <f t="shared" si="319"/>
        <v>0</v>
      </c>
      <c r="BH538" s="287">
        <f t="shared" si="320"/>
        <v>0</v>
      </c>
      <c r="BI538" s="287">
        <f t="shared" si="321"/>
        <v>0</v>
      </c>
      <c r="BJ538" s="287">
        <f t="shared" si="322"/>
        <v>0</v>
      </c>
      <c r="BK538" s="287">
        <f t="shared" si="323"/>
        <v>0</v>
      </c>
      <c r="BL538" s="287">
        <f t="shared" si="324"/>
        <v>0</v>
      </c>
      <c r="BM538" s="16"/>
      <c r="BN538" s="287">
        <f t="shared" si="325"/>
        <v>1374625</v>
      </c>
      <c r="BO538" s="287">
        <f t="shared" si="326"/>
        <v>0</v>
      </c>
      <c r="BP538" s="432"/>
      <c r="BQ538" s="21"/>
      <c r="BR538" s="21"/>
      <c r="BS538" s="6"/>
      <c r="BT538" s="194">
        <f t="shared" si="298"/>
        <v>1374625</v>
      </c>
      <c r="BU538" s="194">
        <f t="shared" si="299"/>
        <v>1374625</v>
      </c>
      <c r="BV538" s="194">
        <f t="shared" si="300"/>
        <v>0</v>
      </c>
      <c r="BW538" s="194">
        <f t="shared" si="301"/>
        <v>0</v>
      </c>
      <c r="BX538" s="6"/>
      <c r="BY538" s="6"/>
      <c r="BZ538" s="39">
        <v>525</v>
      </c>
      <c r="CA538" s="39">
        <f t="shared" si="327"/>
        <v>2031</v>
      </c>
      <c r="CB538" s="6"/>
      <c r="CC538" s="39"/>
      <c r="CD538" s="39"/>
      <c r="CE538" s="39"/>
      <c r="CF538" s="39"/>
      <c r="CG538" s="39"/>
      <c r="CH538" s="39"/>
      <c r="CI538" s="39"/>
      <c r="CJ538" s="39"/>
      <c r="CK538" s="39"/>
    </row>
    <row r="539" spans="1:89" s="193" customFormat="1" ht="48">
      <c r="A539" s="375" t="s">
        <v>2502</v>
      </c>
      <c r="B539" s="21" t="str">
        <f t="shared" si="302"/>
        <v>OSD</v>
      </c>
      <c r="C539" s="21"/>
      <c r="D539" s="432">
        <v>3201501</v>
      </c>
      <c r="E539" s="439" t="s">
        <v>3626</v>
      </c>
      <c r="F539" s="439" t="s">
        <v>5107</v>
      </c>
      <c r="G539" s="273" t="s">
        <v>4245</v>
      </c>
      <c r="H539" s="500" t="s">
        <v>5106</v>
      </c>
      <c r="I539" s="262" t="s">
        <v>3492</v>
      </c>
      <c r="J539" s="262"/>
      <c r="K539" s="263">
        <v>100000</v>
      </c>
      <c r="L539" s="263">
        <v>400000</v>
      </c>
      <c r="M539" s="263">
        <v>0</v>
      </c>
      <c r="N539" s="263">
        <v>2000000</v>
      </c>
      <c r="O539" s="263">
        <v>2000000</v>
      </c>
      <c r="P539" s="263">
        <v>2200000</v>
      </c>
      <c r="Q539" s="263">
        <v>0</v>
      </c>
      <c r="R539" s="263">
        <v>0</v>
      </c>
      <c r="S539" s="263">
        <v>0</v>
      </c>
      <c r="T539" s="263">
        <v>0</v>
      </c>
      <c r="U539" s="263">
        <f t="shared" si="283"/>
        <v>6700000</v>
      </c>
      <c r="V539" s="196" t="str">
        <f t="shared" si="303"/>
        <v>G/LOS</v>
      </c>
      <c r="W539" s="196" t="s">
        <v>1168</v>
      </c>
      <c r="X539" s="196" t="str">
        <f t="shared" si="296"/>
        <v>Y</v>
      </c>
      <c r="Y539" s="376">
        <f t="shared" si="297"/>
        <v>6700000</v>
      </c>
      <c r="Z539" s="198"/>
      <c r="AA539" s="376">
        <f t="shared" si="304"/>
        <v>6700000</v>
      </c>
      <c r="AB539" s="196" t="s">
        <v>1166</v>
      </c>
      <c r="AC539" s="196" t="s">
        <v>1168</v>
      </c>
      <c r="AD539" s="275">
        <v>0.75</v>
      </c>
      <c r="AE539" s="275">
        <v>0.25</v>
      </c>
      <c r="AF539" s="275">
        <v>0</v>
      </c>
      <c r="AG539" s="199">
        <v>0.75</v>
      </c>
      <c r="AH539" s="199">
        <v>1</v>
      </c>
      <c r="AI539" s="381">
        <f t="shared" si="284"/>
        <v>0.875</v>
      </c>
      <c r="AJ539" s="203">
        <v>1</v>
      </c>
      <c r="AK539" s="203">
        <f t="shared" si="328"/>
        <v>0</v>
      </c>
      <c r="AL539" s="376">
        <f t="shared" si="285"/>
        <v>837500</v>
      </c>
      <c r="AM539" s="376">
        <f t="shared" si="286"/>
        <v>5862500</v>
      </c>
      <c r="AN539" s="376">
        <f t="shared" si="287"/>
        <v>0</v>
      </c>
      <c r="AO539" s="378" t="s">
        <v>3607</v>
      </c>
      <c r="AP539" s="379" t="s">
        <v>2728</v>
      </c>
      <c r="AQ539" s="279"/>
      <c r="AR539" s="287">
        <f t="shared" si="305"/>
        <v>87500</v>
      </c>
      <c r="AS539" s="287">
        <f t="shared" si="306"/>
        <v>350000</v>
      </c>
      <c r="AT539" s="287">
        <f t="shared" si="307"/>
        <v>0</v>
      </c>
      <c r="AU539" s="287">
        <f t="shared" si="308"/>
        <v>1750000</v>
      </c>
      <c r="AV539" s="287">
        <f t="shared" si="309"/>
        <v>1750000</v>
      </c>
      <c r="AW539" s="287">
        <f t="shared" si="310"/>
        <v>1925000</v>
      </c>
      <c r="AX539" s="287">
        <f t="shared" si="311"/>
        <v>0</v>
      </c>
      <c r="AY539" s="287">
        <f t="shared" si="312"/>
        <v>0</v>
      </c>
      <c r="AZ539" s="287">
        <f t="shared" si="313"/>
        <v>0</v>
      </c>
      <c r="BA539" s="287">
        <f t="shared" si="314"/>
        <v>0</v>
      </c>
      <c r="BB539" s="16"/>
      <c r="BC539" s="287">
        <f t="shared" si="315"/>
        <v>0</v>
      </c>
      <c r="BD539" s="287">
        <f t="shared" si="316"/>
        <v>0</v>
      </c>
      <c r="BE539" s="287">
        <f t="shared" si="317"/>
        <v>0</v>
      </c>
      <c r="BF539" s="287">
        <f t="shared" si="318"/>
        <v>0</v>
      </c>
      <c r="BG539" s="287">
        <f t="shared" si="319"/>
        <v>0</v>
      </c>
      <c r="BH539" s="287">
        <f t="shared" si="320"/>
        <v>0</v>
      </c>
      <c r="BI539" s="287">
        <f t="shared" si="321"/>
        <v>0</v>
      </c>
      <c r="BJ539" s="287">
        <f t="shared" si="322"/>
        <v>0</v>
      </c>
      <c r="BK539" s="287">
        <f t="shared" si="323"/>
        <v>0</v>
      </c>
      <c r="BL539" s="287">
        <f t="shared" si="324"/>
        <v>0</v>
      </c>
      <c r="BM539" s="16"/>
      <c r="BN539" s="287">
        <f t="shared" si="325"/>
        <v>5862500</v>
      </c>
      <c r="BO539" s="287">
        <f t="shared" si="326"/>
        <v>0</v>
      </c>
      <c r="BP539" s="432"/>
      <c r="BQ539" s="21"/>
      <c r="BR539" s="21"/>
      <c r="BS539" s="6"/>
      <c r="BT539" s="194">
        <f t="shared" si="298"/>
        <v>5862500</v>
      </c>
      <c r="BU539" s="194">
        <f t="shared" si="299"/>
        <v>5862500</v>
      </c>
      <c r="BV539" s="194">
        <f t="shared" si="300"/>
        <v>0</v>
      </c>
      <c r="BW539" s="194">
        <f t="shared" si="301"/>
        <v>0</v>
      </c>
      <c r="BX539" s="6"/>
      <c r="BY539" s="6"/>
      <c r="BZ539" s="39">
        <v>526</v>
      </c>
      <c r="CA539" s="39">
        <f t="shared" si="327"/>
        <v>2031</v>
      </c>
      <c r="CB539" s="6"/>
      <c r="CC539" s="39"/>
      <c r="CD539" s="39"/>
      <c r="CE539" s="39"/>
      <c r="CF539" s="39"/>
      <c r="CG539" s="39"/>
      <c r="CH539" s="39"/>
      <c r="CI539" s="39"/>
      <c r="CJ539" s="39"/>
      <c r="CK539" s="39"/>
    </row>
    <row r="540" spans="1:89" s="193" customFormat="1" ht="24">
      <c r="A540" s="375" t="s">
        <v>2502</v>
      </c>
      <c r="B540" s="21" t="str">
        <f t="shared" si="302"/>
        <v>OSD</v>
      </c>
      <c r="C540" s="21"/>
      <c r="D540" s="432">
        <v>3201502</v>
      </c>
      <c r="E540" s="439" t="s">
        <v>3626</v>
      </c>
      <c r="F540" s="439" t="s">
        <v>5146</v>
      </c>
      <c r="G540" s="273" t="s">
        <v>4249</v>
      </c>
      <c r="H540" s="500" t="s">
        <v>5145</v>
      </c>
      <c r="I540" s="262" t="s">
        <v>3492</v>
      </c>
      <c r="J540" s="262" t="s">
        <v>3507</v>
      </c>
      <c r="K540" s="263">
        <v>350000</v>
      </c>
      <c r="L540" s="263">
        <v>0</v>
      </c>
      <c r="M540" s="263">
        <v>0</v>
      </c>
      <c r="N540" s="263">
        <v>0</v>
      </c>
      <c r="O540" s="263">
        <v>0</v>
      </c>
      <c r="P540" s="263">
        <v>0</v>
      </c>
      <c r="Q540" s="263">
        <v>0</v>
      </c>
      <c r="R540" s="263">
        <v>0</v>
      </c>
      <c r="S540" s="263">
        <v>0</v>
      </c>
      <c r="T540" s="263">
        <v>0</v>
      </c>
      <c r="U540" s="263">
        <f t="shared" si="283"/>
        <v>350000</v>
      </c>
      <c r="V540" s="196" t="str">
        <f t="shared" si="303"/>
        <v>G/LOS</v>
      </c>
      <c r="W540" s="196" t="s">
        <v>1168</v>
      </c>
      <c r="X540" s="196" t="str">
        <f t="shared" si="296"/>
        <v>Y</v>
      </c>
      <c r="Y540" s="376">
        <f t="shared" si="297"/>
        <v>350000</v>
      </c>
      <c r="Z540" s="198"/>
      <c r="AA540" s="376">
        <f t="shared" si="304"/>
        <v>350000</v>
      </c>
      <c r="AB540" s="196" t="s">
        <v>1166</v>
      </c>
      <c r="AC540" s="196" t="s">
        <v>1168</v>
      </c>
      <c r="AD540" s="275">
        <v>0.875</v>
      </c>
      <c r="AE540" s="275">
        <f>1-AD540</f>
        <v>0.125</v>
      </c>
      <c r="AF540" s="275">
        <v>0</v>
      </c>
      <c r="AG540" s="199">
        <v>0.75</v>
      </c>
      <c r="AH540" s="199">
        <v>1</v>
      </c>
      <c r="AI540" s="377">
        <f t="shared" si="284"/>
        <v>0.875</v>
      </c>
      <c r="AJ540" s="203">
        <v>1</v>
      </c>
      <c r="AK540" s="203">
        <f t="shared" si="328"/>
        <v>0</v>
      </c>
      <c r="AL540" s="376">
        <f t="shared" si="285"/>
        <v>43750</v>
      </c>
      <c r="AM540" s="376">
        <f t="shared" si="286"/>
        <v>306250</v>
      </c>
      <c r="AN540" s="376">
        <f t="shared" si="287"/>
        <v>0</v>
      </c>
      <c r="AO540" s="378" t="s">
        <v>3607</v>
      </c>
      <c r="AP540" s="379" t="s">
        <v>2728</v>
      </c>
      <c r="AQ540" s="279"/>
      <c r="AR540" s="287">
        <f t="shared" si="305"/>
        <v>306250</v>
      </c>
      <c r="AS540" s="287">
        <f t="shared" si="306"/>
        <v>0</v>
      </c>
      <c r="AT540" s="287">
        <f t="shared" si="307"/>
        <v>0</v>
      </c>
      <c r="AU540" s="287">
        <f t="shared" si="308"/>
        <v>0</v>
      </c>
      <c r="AV540" s="287">
        <f t="shared" si="309"/>
        <v>0</v>
      </c>
      <c r="AW540" s="287">
        <f t="shared" si="310"/>
        <v>0</v>
      </c>
      <c r="AX540" s="287">
        <f t="shared" si="311"/>
        <v>0</v>
      </c>
      <c r="AY540" s="287">
        <f t="shared" si="312"/>
        <v>0</v>
      </c>
      <c r="AZ540" s="287">
        <f t="shared" si="313"/>
        <v>0</v>
      </c>
      <c r="BA540" s="287">
        <f t="shared" si="314"/>
        <v>0</v>
      </c>
      <c r="BB540" s="16"/>
      <c r="BC540" s="287">
        <f t="shared" si="315"/>
        <v>0</v>
      </c>
      <c r="BD540" s="287">
        <f t="shared" si="316"/>
        <v>0</v>
      </c>
      <c r="BE540" s="287">
        <f t="shared" si="317"/>
        <v>0</v>
      </c>
      <c r="BF540" s="287">
        <f t="shared" si="318"/>
        <v>0</v>
      </c>
      <c r="BG540" s="287">
        <f t="shared" si="319"/>
        <v>0</v>
      </c>
      <c r="BH540" s="287">
        <f t="shared" si="320"/>
        <v>0</v>
      </c>
      <c r="BI540" s="287">
        <f t="shared" si="321"/>
        <v>0</v>
      </c>
      <c r="BJ540" s="287">
        <f t="shared" si="322"/>
        <v>0</v>
      </c>
      <c r="BK540" s="287">
        <f t="shared" si="323"/>
        <v>0</v>
      </c>
      <c r="BL540" s="287">
        <f t="shared" si="324"/>
        <v>0</v>
      </c>
      <c r="BM540" s="16"/>
      <c r="BN540" s="287">
        <f t="shared" si="325"/>
        <v>306250</v>
      </c>
      <c r="BO540" s="287">
        <f t="shared" si="326"/>
        <v>0</v>
      </c>
      <c r="BP540" s="432"/>
      <c r="BQ540" s="21"/>
      <c r="BR540" s="21"/>
      <c r="BS540" s="6"/>
      <c r="BT540" s="194">
        <f t="shared" si="298"/>
        <v>306250</v>
      </c>
      <c r="BU540" s="194">
        <f t="shared" si="299"/>
        <v>306250</v>
      </c>
      <c r="BV540" s="194">
        <f t="shared" si="300"/>
        <v>0</v>
      </c>
      <c r="BW540" s="194">
        <f t="shared" si="301"/>
        <v>0</v>
      </c>
      <c r="BX540" s="6"/>
      <c r="BY540" s="6"/>
      <c r="BZ540" s="39">
        <v>527</v>
      </c>
      <c r="CA540" s="39">
        <f t="shared" si="327"/>
        <v>2031</v>
      </c>
      <c r="CB540" s="6"/>
      <c r="CC540" s="39"/>
      <c r="CD540" s="39"/>
      <c r="CE540" s="39"/>
      <c r="CF540" s="39"/>
      <c r="CG540" s="39"/>
      <c r="CH540" s="39"/>
      <c r="CI540" s="39"/>
      <c r="CJ540" s="39"/>
      <c r="CK540" s="39"/>
    </row>
    <row r="541" spans="1:89" s="193" customFormat="1" ht="24">
      <c r="A541" s="375" t="s">
        <v>2503</v>
      </c>
      <c r="B541" s="21" t="str">
        <f t="shared" si="302"/>
        <v>OSD</v>
      </c>
      <c r="C541" s="21"/>
      <c r="D541" s="432">
        <v>3200658</v>
      </c>
      <c r="E541" s="439" t="s">
        <v>3626</v>
      </c>
      <c r="F541" s="439" t="s">
        <v>3452</v>
      </c>
      <c r="G541" s="273" t="s">
        <v>4318</v>
      </c>
      <c r="H541" s="500" t="s">
        <v>4486</v>
      </c>
      <c r="I541" s="262" t="s">
        <v>3493</v>
      </c>
      <c r="J541" s="262" t="s">
        <v>3504</v>
      </c>
      <c r="K541" s="263">
        <v>0</v>
      </c>
      <c r="L541" s="263">
        <v>0</v>
      </c>
      <c r="M541" s="263">
        <v>5000000</v>
      </c>
      <c r="N541" s="263">
        <v>2500000</v>
      </c>
      <c r="O541" s="263">
        <v>2500000</v>
      </c>
      <c r="P541" s="263">
        <v>0</v>
      </c>
      <c r="Q541" s="263">
        <v>0</v>
      </c>
      <c r="R541" s="263">
        <v>0</v>
      </c>
      <c r="S541" s="263">
        <v>0</v>
      </c>
      <c r="T541" s="263">
        <v>0</v>
      </c>
      <c r="U541" s="263">
        <f t="shared" ref="U541:U602" si="329">SUM(K541:T541)</f>
        <v>10000000</v>
      </c>
      <c r="V541" s="196" t="str">
        <f t="shared" si="303"/>
        <v>G/LOS/R</v>
      </c>
      <c r="W541" s="196" t="s">
        <v>1168</v>
      </c>
      <c r="X541" s="196" t="str">
        <f t="shared" si="296"/>
        <v>Y</v>
      </c>
      <c r="Y541" s="376">
        <f t="shared" si="297"/>
        <v>10000000</v>
      </c>
      <c r="Z541" s="198"/>
      <c r="AA541" s="376">
        <f t="shared" si="304"/>
        <v>10000000</v>
      </c>
      <c r="AB541" s="196" t="s">
        <v>1166</v>
      </c>
      <c r="AC541" s="196" t="s">
        <v>1168</v>
      </c>
      <c r="AD541" s="275">
        <v>0.8</v>
      </c>
      <c r="AE541" s="275">
        <v>0.1</v>
      </c>
      <c r="AF541" s="275">
        <v>0.1</v>
      </c>
      <c r="AG541" s="199">
        <v>0.72499999999999998</v>
      </c>
      <c r="AH541" s="199">
        <v>0.88</v>
      </c>
      <c r="AI541" s="377">
        <f t="shared" si="284"/>
        <v>0.80249999999999999</v>
      </c>
      <c r="AJ541" s="203">
        <v>1</v>
      </c>
      <c r="AK541" s="203">
        <f t="shared" si="328"/>
        <v>0</v>
      </c>
      <c r="AL541" s="376">
        <f t="shared" si="285"/>
        <v>1975000</v>
      </c>
      <c r="AM541" s="376">
        <f t="shared" si="286"/>
        <v>8025000</v>
      </c>
      <c r="AN541" s="376">
        <f t="shared" si="287"/>
        <v>0</v>
      </c>
      <c r="AO541" s="378" t="s">
        <v>3607</v>
      </c>
      <c r="AP541" s="379" t="s">
        <v>2729</v>
      </c>
      <c r="AQ541" s="279"/>
      <c r="AR541" s="287">
        <f t="shared" si="305"/>
        <v>0</v>
      </c>
      <c r="AS541" s="287">
        <f t="shared" si="306"/>
        <v>0</v>
      </c>
      <c r="AT541" s="287">
        <f t="shared" si="307"/>
        <v>4012500</v>
      </c>
      <c r="AU541" s="287">
        <f t="shared" si="308"/>
        <v>2006250</v>
      </c>
      <c r="AV541" s="287">
        <f t="shared" si="309"/>
        <v>2006250</v>
      </c>
      <c r="AW541" s="287">
        <f t="shared" si="310"/>
        <v>0</v>
      </c>
      <c r="AX541" s="287">
        <f t="shared" si="311"/>
        <v>0</v>
      </c>
      <c r="AY541" s="287">
        <f t="shared" si="312"/>
        <v>0</v>
      </c>
      <c r="AZ541" s="287">
        <f t="shared" si="313"/>
        <v>0</v>
      </c>
      <c r="BA541" s="287">
        <f t="shared" si="314"/>
        <v>0</v>
      </c>
      <c r="BB541" s="16"/>
      <c r="BC541" s="287">
        <f t="shared" si="315"/>
        <v>0</v>
      </c>
      <c r="BD541" s="287">
        <f t="shared" si="316"/>
        <v>0</v>
      </c>
      <c r="BE541" s="287">
        <f t="shared" si="317"/>
        <v>0</v>
      </c>
      <c r="BF541" s="287">
        <f t="shared" si="318"/>
        <v>0</v>
      </c>
      <c r="BG541" s="287">
        <f t="shared" si="319"/>
        <v>0</v>
      </c>
      <c r="BH541" s="287">
        <f t="shared" si="320"/>
        <v>0</v>
      </c>
      <c r="BI541" s="287">
        <f t="shared" si="321"/>
        <v>0</v>
      </c>
      <c r="BJ541" s="287">
        <f t="shared" si="322"/>
        <v>0</v>
      </c>
      <c r="BK541" s="287">
        <f t="shared" si="323"/>
        <v>0</v>
      </c>
      <c r="BL541" s="287">
        <f t="shared" si="324"/>
        <v>0</v>
      </c>
      <c r="BM541" s="16"/>
      <c r="BN541" s="287">
        <f t="shared" si="325"/>
        <v>8025000</v>
      </c>
      <c r="BO541" s="287">
        <f t="shared" si="326"/>
        <v>0</v>
      </c>
      <c r="BP541" s="432"/>
      <c r="BQ541" s="21"/>
      <c r="BR541" s="21"/>
      <c r="BS541" s="6"/>
      <c r="BT541" s="194">
        <f t="shared" si="298"/>
        <v>8025000</v>
      </c>
      <c r="BU541" s="194">
        <f t="shared" si="299"/>
        <v>8025000</v>
      </c>
      <c r="BV541" s="194">
        <f t="shared" si="300"/>
        <v>0</v>
      </c>
      <c r="BW541" s="194">
        <f t="shared" si="301"/>
        <v>0</v>
      </c>
      <c r="BX541" s="6"/>
      <c r="BY541" s="6"/>
      <c r="BZ541" s="39">
        <v>528</v>
      </c>
      <c r="CA541" s="39">
        <f t="shared" si="327"/>
        <v>2031</v>
      </c>
      <c r="CB541" s="6"/>
      <c r="CC541" s="39"/>
      <c r="CD541" s="39"/>
      <c r="CE541" s="39"/>
      <c r="CF541" s="39"/>
      <c r="CG541" s="39"/>
      <c r="CH541" s="39"/>
      <c r="CI541" s="39"/>
      <c r="CJ541" s="39"/>
      <c r="CK541" s="39"/>
    </row>
    <row r="542" spans="1:89" s="193" customFormat="1" ht="24">
      <c r="A542" s="375" t="s">
        <v>2503</v>
      </c>
      <c r="B542" s="21" t="str">
        <f t="shared" si="302"/>
        <v>OSD</v>
      </c>
      <c r="C542" s="21"/>
      <c r="D542" s="432">
        <v>3200658</v>
      </c>
      <c r="E542" s="439" t="s">
        <v>3626</v>
      </c>
      <c r="F542" s="439" t="s">
        <v>3452</v>
      </c>
      <c r="G542" s="273" t="s">
        <v>4317</v>
      </c>
      <c r="H542" s="500" t="s">
        <v>4488</v>
      </c>
      <c r="I542" s="262" t="s">
        <v>3493</v>
      </c>
      <c r="J542" s="262" t="s">
        <v>3504</v>
      </c>
      <c r="K542" s="263">
        <v>0</v>
      </c>
      <c r="L542" s="263">
        <v>5250000</v>
      </c>
      <c r="M542" s="263">
        <v>1750000</v>
      </c>
      <c r="N542" s="263">
        <v>0</v>
      </c>
      <c r="O542" s="263">
        <v>0</v>
      </c>
      <c r="P542" s="263">
        <v>0</v>
      </c>
      <c r="Q542" s="263">
        <v>0</v>
      </c>
      <c r="R542" s="263">
        <v>0</v>
      </c>
      <c r="S542" s="263">
        <v>0</v>
      </c>
      <c r="T542" s="263">
        <v>0</v>
      </c>
      <c r="U542" s="263">
        <f t="shared" si="329"/>
        <v>7000000</v>
      </c>
      <c r="V542" s="196" t="str">
        <f t="shared" si="303"/>
        <v>G/LOS/R</v>
      </c>
      <c r="W542" s="196" t="s">
        <v>1168</v>
      </c>
      <c r="X542" s="196" t="str">
        <f t="shared" si="296"/>
        <v>Y</v>
      </c>
      <c r="Y542" s="376">
        <f t="shared" si="297"/>
        <v>7000000</v>
      </c>
      <c r="Z542" s="198"/>
      <c r="AA542" s="376">
        <f t="shared" si="304"/>
        <v>7000000</v>
      </c>
      <c r="AB542" s="196" t="s">
        <v>1166</v>
      </c>
      <c r="AC542" s="196" t="s">
        <v>1168</v>
      </c>
      <c r="AD542" s="275">
        <v>0.8</v>
      </c>
      <c r="AE542" s="275">
        <v>0.1</v>
      </c>
      <c r="AF542" s="275">
        <v>0.1</v>
      </c>
      <c r="AG542" s="199">
        <v>0.72499999999999998</v>
      </c>
      <c r="AH542" s="199">
        <v>0.88</v>
      </c>
      <c r="AI542" s="377">
        <f t="shared" si="284"/>
        <v>0.80249999999999999</v>
      </c>
      <c r="AJ542" s="203">
        <v>1</v>
      </c>
      <c r="AK542" s="203">
        <f t="shared" si="328"/>
        <v>0</v>
      </c>
      <c r="AL542" s="376">
        <f t="shared" si="285"/>
        <v>1382500</v>
      </c>
      <c r="AM542" s="376">
        <f t="shared" si="286"/>
        <v>5617500</v>
      </c>
      <c r="AN542" s="376">
        <f t="shared" si="287"/>
        <v>0</v>
      </c>
      <c r="AO542" s="378" t="s">
        <v>3607</v>
      </c>
      <c r="AP542" s="379" t="s">
        <v>2729</v>
      </c>
      <c r="AQ542" s="279"/>
      <c r="AR542" s="287">
        <f t="shared" si="305"/>
        <v>0</v>
      </c>
      <c r="AS542" s="287">
        <f t="shared" si="306"/>
        <v>4213125</v>
      </c>
      <c r="AT542" s="287">
        <f t="shared" si="307"/>
        <v>1404375</v>
      </c>
      <c r="AU542" s="287">
        <f t="shared" si="308"/>
        <v>0</v>
      </c>
      <c r="AV542" s="287">
        <f t="shared" si="309"/>
        <v>0</v>
      </c>
      <c r="AW542" s="287">
        <f t="shared" si="310"/>
        <v>0</v>
      </c>
      <c r="AX542" s="287">
        <f t="shared" si="311"/>
        <v>0</v>
      </c>
      <c r="AY542" s="287">
        <f t="shared" si="312"/>
        <v>0</v>
      </c>
      <c r="AZ542" s="287">
        <f t="shared" si="313"/>
        <v>0</v>
      </c>
      <c r="BA542" s="287">
        <f t="shared" si="314"/>
        <v>0</v>
      </c>
      <c r="BB542" s="16"/>
      <c r="BC542" s="287">
        <f t="shared" si="315"/>
        <v>0</v>
      </c>
      <c r="BD542" s="287">
        <f t="shared" si="316"/>
        <v>0</v>
      </c>
      <c r="BE542" s="287">
        <f t="shared" si="317"/>
        <v>0</v>
      </c>
      <c r="BF542" s="287">
        <f t="shared" si="318"/>
        <v>0</v>
      </c>
      <c r="BG542" s="287">
        <f t="shared" si="319"/>
        <v>0</v>
      </c>
      <c r="BH542" s="287">
        <f t="shared" si="320"/>
        <v>0</v>
      </c>
      <c r="BI542" s="287">
        <f t="shared" si="321"/>
        <v>0</v>
      </c>
      <c r="BJ542" s="287">
        <f t="shared" si="322"/>
        <v>0</v>
      </c>
      <c r="BK542" s="287">
        <f t="shared" si="323"/>
        <v>0</v>
      </c>
      <c r="BL542" s="287">
        <f t="shared" si="324"/>
        <v>0</v>
      </c>
      <c r="BM542" s="16"/>
      <c r="BN542" s="287">
        <f t="shared" si="325"/>
        <v>5617500</v>
      </c>
      <c r="BO542" s="287">
        <f t="shared" si="326"/>
        <v>0</v>
      </c>
      <c r="BP542" s="432"/>
      <c r="BQ542" s="21"/>
      <c r="BR542" s="21"/>
      <c r="BS542" s="6"/>
      <c r="BT542" s="194">
        <f t="shared" si="298"/>
        <v>5617500</v>
      </c>
      <c r="BU542" s="194">
        <f t="shared" si="299"/>
        <v>5617500</v>
      </c>
      <c r="BV542" s="194">
        <f t="shared" si="300"/>
        <v>0</v>
      </c>
      <c r="BW542" s="194">
        <f t="shared" si="301"/>
        <v>0</v>
      </c>
      <c r="BX542" s="6"/>
      <c r="BY542" s="6"/>
      <c r="BZ542" s="39">
        <v>529</v>
      </c>
      <c r="CA542" s="39">
        <f t="shared" si="327"/>
        <v>2031</v>
      </c>
      <c r="CB542" s="6"/>
      <c r="CC542" s="39"/>
      <c r="CD542" s="39"/>
      <c r="CE542" s="39"/>
      <c r="CF542" s="39"/>
      <c r="CG542" s="39"/>
      <c r="CH542" s="39"/>
      <c r="CI542" s="39"/>
      <c r="CJ542" s="39"/>
      <c r="CK542" s="39"/>
    </row>
    <row r="543" spans="1:89" s="193" customFormat="1" ht="60">
      <c r="A543" s="375" t="s">
        <v>2502</v>
      </c>
      <c r="B543" s="21" t="str">
        <f t="shared" si="302"/>
        <v>OSD</v>
      </c>
      <c r="C543" s="21"/>
      <c r="D543" s="432">
        <v>3201501</v>
      </c>
      <c r="E543" s="439" t="s">
        <v>3626</v>
      </c>
      <c r="F543" s="439" t="s">
        <v>5188</v>
      </c>
      <c r="G543" s="273" t="s">
        <v>4241</v>
      </c>
      <c r="H543" s="500" t="s">
        <v>5187</v>
      </c>
      <c r="I543" s="262" t="s">
        <v>3492</v>
      </c>
      <c r="J543" s="262"/>
      <c r="K543" s="263">
        <v>1800400</v>
      </c>
      <c r="L543" s="263">
        <v>0</v>
      </c>
      <c r="M543" s="263">
        <v>0</v>
      </c>
      <c r="N543" s="263">
        <v>0</v>
      </c>
      <c r="O543" s="263">
        <v>0</v>
      </c>
      <c r="P543" s="263">
        <v>0</v>
      </c>
      <c r="Q543" s="263">
        <v>0</v>
      </c>
      <c r="R543" s="263">
        <v>0</v>
      </c>
      <c r="S543" s="263">
        <v>0</v>
      </c>
      <c r="T543" s="263">
        <v>0</v>
      </c>
      <c r="U543" s="263">
        <f t="shared" si="329"/>
        <v>1800400</v>
      </c>
      <c r="V543" s="196" t="str">
        <f t="shared" si="303"/>
        <v>G/LOS</v>
      </c>
      <c r="W543" s="196" t="s">
        <v>1168</v>
      </c>
      <c r="X543" s="196" t="str">
        <f t="shared" si="296"/>
        <v>Y</v>
      </c>
      <c r="Y543" s="376">
        <f t="shared" si="297"/>
        <v>1800400</v>
      </c>
      <c r="Z543" s="198"/>
      <c r="AA543" s="376">
        <f t="shared" si="304"/>
        <v>1800400</v>
      </c>
      <c r="AB543" s="196" t="s">
        <v>1166</v>
      </c>
      <c r="AC543" s="196" t="s">
        <v>1168</v>
      </c>
      <c r="AD543" s="275">
        <v>0.75</v>
      </c>
      <c r="AE543" s="275">
        <v>0.25</v>
      </c>
      <c r="AF543" s="275">
        <v>0</v>
      </c>
      <c r="AG543" s="199">
        <v>0.75</v>
      </c>
      <c r="AH543" s="199">
        <v>1</v>
      </c>
      <c r="AI543" s="381">
        <f t="shared" ref="AI543:AI604" si="330">(AG543+AH543)/2</f>
        <v>0.875</v>
      </c>
      <c r="AJ543" s="203">
        <v>1</v>
      </c>
      <c r="AK543" s="203">
        <f t="shared" si="328"/>
        <v>0</v>
      </c>
      <c r="AL543" s="376">
        <f t="shared" ref="AL543:AL604" si="331">(100%-AI543)*AA543</f>
        <v>225050</v>
      </c>
      <c r="AM543" s="376">
        <f t="shared" ref="AM543:AM604" si="332">AA543*AI543*AJ543</f>
        <v>1575350</v>
      </c>
      <c r="AN543" s="376">
        <f t="shared" ref="AN543:AN604" si="333">AA543*AI543*AK543</f>
        <v>0</v>
      </c>
      <c r="AO543" s="378" t="s">
        <v>3607</v>
      </c>
      <c r="AP543" s="379" t="s">
        <v>2729</v>
      </c>
      <c r="AQ543" s="279"/>
      <c r="AR543" s="287">
        <f t="shared" si="305"/>
        <v>1575350</v>
      </c>
      <c r="AS543" s="287">
        <f t="shared" si="306"/>
        <v>0</v>
      </c>
      <c r="AT543" s="287">
        <f t="shared" si="307"/>
        <v>0</v>
      </c>
      <c r="AU543" s="287">
        <f t="shared" si="308"/>
        <v>0</v>
      </c>
      <c r="AV543" s="287">
        <f t="shared" si="309"/>
        <v>0</v>
      </c>
      <c r="AW543" s="287">
        <f t="shared" si="310"/>
        <v>0</v>
      </c>
      <c r="AX543" s="287">
        <f t="shared" si="311"/>
        <v>0</v>
      </c>
      <c r="AY543" s="287">
        <f t="shared" si="312"/>
        <v>0</v>
      </c>
      <c r="AZ543" s="287">
        <f t="shared" si="313"/>
        <v>0</v>
      </c>
      <c r="BA543" s="287">
        <f t="shared" si="314"/>
        <v>0</v>
      </c>
      <c r="BB543" s="16"/>
      <c r="BC543" s="287">
        <f t="shared" si="315"/>
        <v>0</v>
      </c>
      <c r="BD543" s="287">
        <f t="shared" si="316"/>
        <v>0</v>
      </c>
      <c r="BE543" s="287">
        <f t="shared" si="317"/>
        <v>0</v>
      </c>
      <c r="BF543" s="287">
        <f t="shared" si="318"/>
        <v>0</v>
      </c>
      <c r="BG543" s="287">
        <f t="shared" si="319"/>
        <v>0</v>
      </c>
      <c r="BH543" s="287">
        <f t="shared" si="320"/>
        <v>0</v>
      </c>
      <c r="BI543" s="287">
        <f t="shared" si="321"/>
        <v>0</v>
      </c>
      <c r="BJ543" s="287">
        <f t="shared" si="322"/>
        <v>0</v>
      </c>
      <c r="BK543" s="287">
        <f t="shared" si="323"/>
        <v>0</v>
      </c>
      <c r="BL543" s="287">
        <f t="shared" si="324"/>
        <v>0</v>
      </c>
      <c r="BM543" s="16"/>
      <c r="BN543" s="287">
        <f t="shared" si="325"/>
        <v>1575350</v>
      </c>
      <c r="BO543" s="287">
        <f t="shared" si="326"/>
        <v>0</v>
      </c>
      <c r="BP543" s="432"/>
      <c r="BQ543" s="21"/>
      <c r="BR543" s="21"/>
      <c r="BS543" s="6"/>
      <c r="BT543" s="194">
        <f t="shared" si="298"/>
        <v>1575350</v>
      </c>
      <c r="BU543" s="194">
        <f t="shared" si="299"/>
        <v>1575350</v>
      </c>
      <c r="BV543" s="194">
        <f t="shared" si="300"/>
        <v>0</v>
      </c>
      <c r="BW543" s="194">
        <f t="shared" si="301"/>
        <v>0</v>
      </c>
      <c r="BX543" s="6"/>
      <c r="BY543" s="6"/>
      <c r="BZ543" s="39">
        <v>530</v>
      </c>
      <c r="CA543" s="39">
        <f t="shared" si="327"/>
        <v>2031</v>
      </c>
      <c r="CB543" s="6"/>
      <c r="CC543" s="39"/>
      <c r="CD543" s="39"/>
      <c r="CE543" s="39"/>
      <c r="CF543" s="39"/>
      <c r="CG543" s="39"/>
      <c r="CH543" s="39"/>
      <c r="CI543" s="39"/>
      <c r="CJ543" s="39"/>
      <c r="CK543" s="39"/>
    </row>
    <row r="544" spans="1:89" s="193" customFormat="1" ht="36">
      <c r="A544" s="375" t="s">
        <v>2502</v>
      </c>
      <c r="B544" s="21" t="str">
        <f t="shared" si="302"/>
        <v>OSD</v>
      </c>
      <c r="C544" s="21"/>
      <c r="D544" s="432">
        <v>3201503</v>
      </c>
      <c r="E544" s="439" t="s">
        <v>3626</v>
      </c>
      <c r="F544" s="439" t="s">
        <v>5068</v>
      </c>
      <c r="G544" s="273" t="s">
        <v>4256</v>
      </c>
      <c r="H544" s="500" t="s">
        <v>5049</v>
      </c>
      <c r="I544" s="262" t="s">
        <v>3492</v>
      </c>
      <c r="J544" s="262"/>
      <c r="K544" s="263">
        <v>0</v>
      </c>
      <c r="L544" s="263">
        <v>160000</v>
      </c>
      <c r="M544" s="263">
        <v>200000</v>
      </c>
      <c r="N544" s="263">
        <v>200000</v>
      </c>
      <c r="O544" s="263">
        <v>0</v>
      </c>
      <c r="P544" s="263">
        <v>0</v>
      </c>
      <c r="Q544" s="263">
        <v>0</v>
      </c>
      <c r="R544" s="263">
        <v>0</v>
      </c>
      <c r="S544" s="263">
        <v>0</v>
      </c>
      <c r="T544" s="263">
        <v>0</v>
      </c>
      <c r="U544" s="263">
        <f t="shared" si="329"/>
        <v>560000</v>
      </c>
      <c r="V544" s="196" t="str">
        <f t="shared" si="303"/>
        <v>G/LOS</v>
      </c>
      <c r="W544" s="196" t="s">
        <v>1168</v>
      </c>
      <c r="X544" s="196" t="str">
        <f t="shared" ref="X544:X570" si="334">IF(LEFT(V544,1)="G","Y","N")</f>
        <v>Y</v>
      </c>
      <c r="Y544" s="376">
        <f t="shared" si="297"/>
        <v>560000</v>
      </c>
      <c r="Z544" s="198"/>
      <c r="AA544" s="376">
        <f t="shared" si="304"/>
        <v>560000</v>
      </c>
      <c r="AB544" s="196" t="s">
        <v>1166</v>
      </c>
      <c r="AC544" s="196" t="s">
        <v>1168</v>
      </c>
      <c r="AD544" s="275">
        <v>0.75</v>
      </c>
      <c r="AE544" s="275">
        <v>0.25</v>
      </c>
      <c r="AF544" s="275">
        <v>0</v>
      </c>
      <c r="AG544" s="199">
        <v>0.5</v>
      </c>
      <c r="AH544" s="199">
        <v>0.75</v>
      </c>
      <c r="AI544" s="377">
        <f t="shared" si="330"/>
        <v>0.625</v>
      </c>
      <c r="AJ544" s="203">
        <v>1</v>
      </c>
      <c r="AK544" s="203">
        <f t="shared" si="328"/>
        <v>0</v>
      </c>
      <c r="AL544" s="376">
        <f t="shared" si="331"/>
        <v>210000</v>
      </c>
      <c r="AM544" s="376">
        <f t="shared" si="332"/>
        <v>350000</v>
      </c>
      <c r="AN544" s="376">
        <f t="shared" si="333"/>
        <v>0</v>
      </c>
      <c r="AO544" s="378" t="s">
        <v>3607</v>
      </c>
      <c r="AP544" s="379" t="s">
        <v>2729</v>
      </c>
      <c r="AQ544" s="279"/>
      <c r="AR544" s="287">
        <f t="shared" si="305"/>
        <v>0</v>
      </c>
      <c r="AS544" s="287">
        <f t="shared" si="306"/>
        <v>100000</v>
      </c>
      <c r="AT544" s="287">
        <f t="shared" si="307"/>
        <v>125000</v>
      </c>
      <c r="AU544" s="287">
        <f t="shared" si="308"/>
        <v>125000</v>
      </c>
      <c r="AV544" s="287">
        <f t="shared" si="309"/>
        <v>0</v>
      </c>
      <c r="AW544" s="287">
        <f t="shared" si="310"/>
        <v>0</v>
      </c>
      <c r="AX544" s="287">
        <f t="shared" si="311"/>
        <v>0</v>
      </c>
      <c r="AY544" s="287">
        <f t="shared" si="312"/>
        <v>0</v>
      </c>
      <c r="AZ544" s="287">
        <f t="shared" si="313"/>
        <v>0</v>
      </c>
      <c r="BA544" s="287">
        <f t="shared" si="314"/>
        <v>0</v>
      </c>
      <c r="BB544" s="16"/>
      <c r="BC544" s="287">
        <f t="shared" si="315"/>
        <v>0</v>
      </c>
      <c r="BD544" s="287">
        <f t="shared" si="316"/>
        <v>0</v>
      </c>
      <c r="BE544" s="287">
        <f t="shared" si="317"/>
        <v>0</v>
      </c>
      <c r="BF544" s="287">
        <f t="shared" si="318"/>
        <v>0</v>
      </c>
      <c r="BG544" s="287">
        <f t="shared" si="319"/>
        <v>0</v>
      </c>
      <c r="BH544" s="287">
        <f t="shared" si="320"/>
        <v>0</v>
      </c>
      <c r="BI544" s="287">
        <f t="shared" si="321"/>
        <v>0</v>
      </c>
      <c r="BJ544" s="287">
        <f t="shared" si="322"/>
        <v>0</v>
      </c>
      <c r="BK544" s="287">
        <f t="shared" si="323"/>
        <v>0</v>
      </c>
      <c r="BL544" s="287">
        <f t="shared" si="324"/>
        <v>0</v>
      </c>
      <c r="BM544" s="16"/>
      <c r="BN544" s="287">
        <f t="shared" si="325"/>
        <v>350000</v>
      </c>
      <c r="BO544" s="287">
        <f t="shared" si="326"/>
        <v>0</v>
      </c>
      <c r="BP544" s="432"/>
      <c r="BQ544" s="21"/>
      <c r="BR544" s="21"/>
      <c r="BS544" s="6"/>
      <c r="BT544" s="194">
        <f t="shared" si="298"/>
        <v>350000</v>
      </c>
      <c r="BU544" s="194">
        <f t="shared" si="299"/>
        <v>350000</v>
      </c>
      <c r="BV544" s="194">
        <f t="shared" si="300"/>
        <v>0</v>
      </c>
      <c r="BW544" s="194">
        <f t="shared" si="301"/>
        <v>0</v>
      </c>
      <c r="BX544" s="6"/>
      <c r="BY544" s="6"/>
      <c r="BZ544" s="39">
        <v>531</v>
      </c>
      <c r="CA544" s="39">
        <f t="shared" si="327"/>
        <v>2031</v>
      </c>
      <c r="CB544" s="6"/>
      <c r="CC544" s="39"/>
      <c r="CD544" s="39"/>
      <c r="CE544" s="39"/>
      <c r="CF544" s="39"/>
      <c r="CG544" s="39"/>
      <c r="CH544" s="39"/>
      <c r="CI544" s="39"/>
      <c r="CJ544" s="39"/>
      <c r="CK544" s="39"/>
    </row>
    <row r="545" spans="1:89" s="193" customFormat="1" ht="48">
      <c r="A545" s="375" t="s">
        <v>2502</v>
      </c>
      <c r="B545" s="21" t="str">
        <f t="shared" si="302"/>
        <v>OSD</v>
      </c>
      <c r="C545" s="21"/>
      <c r="D545" s="432">
        <v>3201503</v>
      </c>
      <c r="E545" s="439" t="s">
        <v>3626</v>
      </c>
      <c r="F545" s="439" t="s">
        <v>5165</v>
      </c>
      <c r="G545" s="273" t="s">
        <v>4255</v>
      </c>
      <c r="H545" s="500" t="s">
        <v>5164</v>
      </c>
      <c r="I545" s="262" t="s">
        <v>3492</v>
      </c>
      <c r="J545" s="262"/>
      <c r="K545" s="263">
        <v>513000</v>
      </c>
      <c r="L545" s="263">
        <v>0</v>
      </c>
      <c r="M545" s="263">
        <v>0</v>
      </c>
      <c r="N545" s="263">
        <v>0</v>
      </c>
      <c r="O545" s="263">
        <v>0</v>
      </c>
      <c r="P545" s="263">
        <v>0</v>
      </c>
      <c r="Q545" s="263">
        <v>0</v>
      </c>
      <c r="R545" s="263">
        <v>0</v>
      </c>
      <c r="S545" s="263">
        <v>0</v>
      </c>
      <c r="T545" s="263">
        <v>0</v>
      </c>
      <c r="U545" s="263">
        <f t="shared" si="329"/>
        <v>513000</v>
      </c>
      <c r="V545" s="196" t="str">
        <f t="shared" si="303"/>
        <v>G/LOS</v>
      </c>
      <c r="W545" s="196" t="s">
        <v>1168</v>
      </c>
      <c r="X545" s="196" t="str">
        <f t="shared" si="334"/>
        <v>Y</v>
      </c>
      <c r="Y545" s="376">
        <f t="shared" si="297"/>
        <v>513000</v>
      </c>
      <c r="Z545" s="198"/>
      <c r="AA545" s="376">
        <f t="shared" si="304"/>
        <v>513000</v>
      </c>
      <c r="AB545" s="196" t="s">
        <v>1166</v>
      </c>
      <c r="AC545" s="196" t="s">
        <v>1168</v>
      </c>
      <c r="AD545" s="275">
        <v>0.75</v>
      </c>
      <c r="AE545" s="275">
        <v>0.25</v>
      </c>
      <c r="AF545" s="275">
        <v>0</v>
      </c>
      <c r="AG545" s="199">
        <v>0.5</v>
      </c>
      <c r="AH545" s="199">
        <v>0.75</v>
      </c>
      <c r="AI545" s="377">
        <f t="shared" si="330"/>
        <v>0.625</v>
      </c>
      <c r="AJ545" s="203">
        <v>1</v>
      </c>
      <c r="AK545" s="203">
        <f t="shared" si="328"/>
        <v>0</v>
      </c>
      <c r="AL545" s="376">
        <f t="shared" si="331"/>
        <v>192375</v>
      </c>
      <c r="AM545" s="376">
        <f t="shared" si="332"/>
        <v>320625</v>
      </c>
      <c r="AN545" s="376">
        <f t="shared" si="333"/>
        <v>0</v>
      </c>
      <c r="AO545" s="378" t="s">
        <v>3607</v>
      </c>
      <c r="AP545" s="379" t="s">
        <v>2729</v>
      </c>
      <c r="AQ545" s="279"/>
      <c r="AR545" s="287">
        <f t="shared" si="305"/>
        <v>320625</v>
      </c>
      <c r="AS545" s="287">
        <f t="shared" si="306"/>
        <v>0</v>
      </c>
      <c r="AT545" s="287">
        <f t="shared" si="307"/>
        <v>0</v>
      </c>
      <c r="AU545" s="287">
        <f t="shared" si="308"/>
        <v>0</v>
      </c>
      <c r="AV545" s="287">
        <f t="shared" si="309"/>
        <v>0</v>
      </c>
      <c r="AW545" s="287">
        <f t="shared" si="310"/>
        <v>0</v>
      </c>
      <c r="AX545" s="287">
        <f t="shared" si="311"/>
        <v>0</v>
      </c>
      <c r="AY545" s="287">
        <f t="shared" si="312"/>
        <v>0</v>
      </c>
      <c r="AZ545" s="287">
        <f t="shared" si="313"/>
        <v>0</v>
      </c>
      <c r="BA545" s="287">
        <f t="shared" si="314"/>
        <v>0</v>
      </c>
      <c r="BB545" s="16"/>
      <c r="BC545" s="287">
        <f t="shared" si="315"/>
        <v>0</v>
      </c>
      <c r="BD545" s="287">
        <f t="shared" si="316"/>
        <v>0</v>
      </c>
      <c r="BE545" s="287">
        <f t="shared" si="317"/>
        <v>0</v>
      </c>
      <c r="BF545" s="287">
        <f t="shared" si="318"/>
        <v>0</v>
      </c>
      <c r="BG545" s="287">
        <f t="shared" si="319"/>
        <v>0</v>
      </c>
      <c r="BH545" s="287">
        <f t="shared" si="320"/>
        <v>0</v>
      </c>
      <c r="BI545" s="287">
        <f t="shared" si="321"/>
        <v>0</v>
      </c>
      <c r="BJ545" s="287">
        <f t="shared" si="322"/>
        <v>0</v>
      </c>
      <c r="BK545" s="287">
        <f t="shared" si="323"/>
        <v>0</v>
      </c>
      <c r="BL545" s="287">
        <f t="shared" si="324"/>
        <v>0</v>
      </c>
      <c r="BM545" s="16"/>
      <c r="BN545" s="287">
        <f t="shared" si="325"/>
        <v>320625</v>
      </c>
      <c r="BO545" s="287">
        <f t="shared" si="326"/>
        <v>0</v>
      </c>
      <c r="BP545" s="432"/>
      <c r="BQ545" s="21"/>
      <c r="BR545" s="21"/>
      <c r="BS545" s="6"/>
      <c r="BT545" s="194">
        <f t="shared" si="298"/>
        <v>320625</v>
      </c>
      <c r="BU545" s="194">
        <f t="shared" si="299"/>
        <v>320625</v>
      </c>
      <c r="BV545" s="194">
        <f t="shared" si="300"/>
        <v>0</v>
      </c>
      <c r="BW545" s="194">
        <f t="shared" si="301"/>
        <v>0</v>
      </c>
      <c r="BX545" s="6"/>
      <c r="BY545" s="6"/>
      <c r="BZ545" s="39">
        <v>532</v>
      </c>
      <c r="CA545" s="39">
        <f t="shared" si="327"/>
        <v>2031</v>
      </c>
      <c r="CB545" s="6"/>
      <c r="CC545" s="39"/>
      <c r="CD545" s="39"/>
      <c r="CE545" s="39"/>
      <c r="CF545" s="39"/>
      <c r="CG545" s="39"/>
      <c r="CH545" s="39"/>
      <c r="CI545" s="39"/>
      <c r="CJ545" s="39"/>
      <c r="CK545" s="39"/>
    </row>
    <row r="546" spans="1:89" s="193" customFormat="1" ht="14.5">
      <c r="A546" s="375" t="s">
        <v>2502</v>
      </c>
      <c r="B546" s="21" t="str">
        <f t="shared" si="302"/>
        <v>OSD</v>
      </c>
      <c r="C546" s="21"/>
      <c r="D546" s="432">
        <v>2130386</v>
      </c>
      <c r="E546" s="439" t="s">
        <v>3626</v>
      </c>
      <c r="F546" s="439" t="s">
        <v>3667</v>
      </c>
      <c r="G546" s="273" t="s">
        <v>3426</v>
      </c>
      <c r="H546" s="358" t="s">
        <v>4622</v>
      </c>
      <c r="I546" s="262" t="s">
        <v>3491</v>
      </c>
      <c r="J546" s="262" t="s">
        <v>3509</v>
      </c>
      <c r="K546" s="263">
        <v>0</v>
      </c>
      <c r="L546" s="263">
        <v>0</v>
      </c>
      <c r="M546" s="263">
        <v>0</v>
      </c>
      <c r="N546" s="263">
        <v>0</v>
      </c>
      <c r="O546" s="263">
        <v>0</v>
      </c>
      <c r="P546" s="263">
        <v>1554201</v>
      </c>
      <c r="Q546" s="263">
        <v>0</v>
      </c>
      <c r="R546" s="263">
        <v>0</v>
      </c>
      <c r="S546" s="263">
        <v>0</v>
      </c>
      <c r="T546" s="263">
        <v>0</v>
      </c>
      <c r="U546" s="263">
        <f t="shared" si="329"/>
        <v>1554201</v>
      </c>
      <c r="V546" s="196" t="str">
        <f t="shared" si="303"/>
        <v>G/LOS</v>
      </c>
      <c r="W546" s="196" t="s">
        <v>1168</v>
      </c>
      <c r="X546" s="196" t="str">
        <f t="shared" si="334"/>
        <v>Y</v>
      </c>
      <c r="Y546" s="376">
        <f t="shared" si="297"/>
        <v>1554201</v>
      </c>
      <c r="Z546" s="198"/>
      <c r="AA546" s="376">
        <f t="shared" si="304"/>
        <v>1554201</v>
      </c>
      <c r="AB546" s="196" t="s">
        <v>1166</v>
      </c>
      <c r="AC546" s="196" t="s">
        <v>3624</v>
      </c>
      <c r="AD546" s="275">
        <v>0.5</v>
      </c>
      <c r="AE546" s="275">
        <v>0.5</v>
      </c>
      <c r="AF546" s="275">
        <v>0</v>
      </c>
      <c r="AG546" s="442">
        <v>0.5</v>
      </c>
      <c r="AH546" s="442">
        <v>0.5</v>
      </c>
      <c r="AI546" s="377">
        <f t="shared" si="330"/>
        <v>0.5</v>
      </c>
      <c r="AJ546" s="203">
        <v>1</v>
      </c>
      <c r="AK546" s="203">
        <f t="shared" si="328"/>
        <v>0</v>
      </c>
      <c r="AL546" s="376">
        <f t="shared" si="331"/>
        <v>777100.5</v>
      </c>
      <c r="AM546" s="376">
        <f t="shared" si="332"/>
        <v>777100.5</v>
      </c>
      <c r="AN546" s="376">
        <f t="shared" si="333"/>
        <v>0</v>
      </c>
      <c r="AO546" s="378" t="s">
        <v>3607</v>
      </c>
      <c r="AP546" s="379" t="s">
        <v>2730</v>
      </c>
      <c r="AQ546" s="279"/>
      <c r="AR546" s="287">
        <f t="shared" si="305"/>
        <v>0</v>
      </c>
      <c r="AS546" s="287">
        <f t="shared" si="306"/>
        <v>0</v>
      </c>
      <c r="AT546" s="287">
        <f t="shared" si="307"/>
        <v>0</v>
      </c>
      <c r="AU546" s="287">
        <f t="shared" si="308"/>
        <v>0</v>
      </c>
      <c r="AV546" s="287">
        <f t="shared" si="309"/>
        <v>0</v>
      </c>
      <c r="AW546" s="287">
        <f t="shared" si="310"/>
        <v>777100.5</v>
      </c>
      <c r="AX546" s="287">
        <f t="shared" si="311"/>
        <v>0</v>
      </c>
      <c r="AY546" s="287">
        <f t="shared" si="312"/>
        <v>0</v>
      </c>
      <c r="AZ546" s="287">
        <f t="shared" si="313"/>
        <v>0</v>
      </c>
      <c r="BA546" s="287">
        <f t="shared" si="314"/>
        <v>0</v>
      </c>
      <c r="BB546" s="16"/>
      <c r="BC546" s="287">
        <f t="shared" si="315"/>
        <v>0</v>
      </c>
      <c r="BD546" s="287">
        <f t="shared" si="316"/>
        <v>0</v>
      </c>
      <c r="BE546" s="287">
        <f t="shared" si="317"/>
        <v>0</v>
      </c>
      <c r="BF546" s="287">
        <f t="shared" si="318"/>
        <v>0</v>
      </c>
      <c r="BG546" s="287">
        <f t="shared" si="319"/>
        <v>0</v>
      </c>
      <c r="BH546" s="287">
        <f t="shared" si="320"/>
        <v>0</v>
      </c>
      <c r="BI546" s="287">
        <f t="shared" si="321"/>
        <v>0</v>
      </c>
      <c r="BJ546" s="287">
        <f t="shared" si="322"/>
        <v>0</v>
      </c>
      <c r="BK546" s="287">
        <f t="shared" si="323"/>
        <v>0</v>
      </c>
      <c r="BL546" s="287">
        <f t="shared" si="324"/>
        <v>0</v>
      </c>
      <c r="BM546" s="16"/>
      <c r="BN546" s="287">
        <f t="shared" si="325"/>
        <v>777100.5</v>
      </c>
      <c r="BO546" s="287">
        <f t="shared" si="326"/>
        <v>0</v>
      </c>
      <c r="BP546" s="432"/>
      <c r="BQ546" s="21"/>
      <c r="BR546" s="21"/>
      <c r="BS546" s="6"/>
      <c r="BT546" s="194">
        <f t="shared" si="298"/>
        <v>777100.5</v>
      </c>
      <c r="BU546" s="194">
        <f t="shared" si="299"/>
        <v>777100.5</v>
      </c>
      <c r="BV546" s="194">
        <f t="shared" si="300"/>
        <v>0</v>
      </c>
      <c r="BW546" s="194">
        <f t="shared" si="301"/>
        <v>0</v>
      </c>
      <c r="BX546" s="6"/>
      <c r="BY546" s="6"/>
      <c r="BZ546" s="39">
        <v>533</v>
      </c>
      <c r="CA546" s="39">
        <f t="shared" si="327"/>
        <v>2031</v>
      </c>
      <c r="CB546" s="6"/>
      <c r="CC546" s="39"/>
      <c r="CD546" s="39"/>
      <c r="CE546" s="39"/>
      <c r="CF546" s="39"/>
      <c r="CG546" s="39"/>
      <c r="CH546" s="39"/>
      <c r="CI546" s="39"/>
      <c r="CJ546" s="39"/>
      <c r="CK546" s="39"/>
    </row>
    <row r="547" spans="1:89" s="193" customFormat="1" ht="24">
      <c r="A547" s="375" t="s">
        <v>2502</v>
      </c>
      <c r="B547" s="21" t="str">
        <f t="shared" si="302"/>
        <v>OSD</v>
      </c>
      <c r="C547" s="21"/>
      <c r="D547" s="432">
        <v>2133002</v>
      </c>
      <c r="E547" s="439" t="s">
        <v>3626</v>
      </c>
      <c r="F547" s="439" t="s">
        <v>3668</v>
      </c>
      <c r="G547" s="273" t="s">
        <v>3336</v>
      </c>
      <c r="H547" s="500" t="s">
        <v>4623</v>
      </c>
      <c r="I547" s="262" t="s">
        <v>3491</v>
      </c>
      <c r="J547" s="262" t="s">
        <v>3512</v>
      </c>
      <c r="K547" s="263">
        <v>1144749.96</v>
      </c>
      <c r="L547" s="263">
        <v>0</v>
      </c>
      <c r="M547" s="263">
        <v>0</v>
      </c>
      <c r="N547" s="263">
        <v>3151021</v>
      </c>
      <c r="O547" s="263">
        <v>0</v>
      </c>
      <c r="P547" s="263">
        <v>0</v>
      </c>
      <c r="Q547" s="263">
        <v>0</v>
      </c>
      <c r="R547" s="263">
        <v>0</v>
      </c>
      <c r="S547" s="263">
        <v>0</v>
      </c>
      <c r="T547" s="263">
        <v>0</v>
      </c>
      <c r="U547" s="263">
        <f t="shared" si="329"/>
        <v>4295770.96</v>
      </c>
      <c r="V547" s="196" t="str">
        <f t="shared" si="303"/>
        <v>G/LOS</v>
      </c>
      <c r="W547" s="196" t="s">
        <v>1168</v>
      </c>
      <c r="X547" s="196" t="str">
        <f t="shared" si="334"/>
        <v>Y</v>
      </c>
      <c r="Y547" s="376">
        <f t="shared" si="297"/>
        <v>4295770.96</v>
      </c>
      <c r="Z547" s="198"/>
      <c r="AA547" s="376">
        <f t="shared" si="304"/>
        <v>4295770.96</v>
      </c>
      <c r="AB547" s="196" t="s">
        <v>1166</v>
      </c>
      <c r="AC547" s="196" t="s">
        <v>3624</v>
      </c>
      <c r="AD547" s="275">
        <v>0.5</v>
      </c>
      <c r="AE547" s="275">
        <v>0.5</v>
      </c>
      <c r="AF547" s="275">
        <v>0</v>
      </c>
      <c r="AG547" s="442">
        <v>0.5</v>
      </c>
      <c r="AH547" s="442">
        <v>0.5</v>
      </c>
      <c r="AI547" s="377">
        <f t="shared" si="330"/>
        <v>0.5</v>
      </c>
      <c r="AJ547" s="203">
        <v>1</v>
      </c>
      <c r="AK547" s="203">
        <f t="shared" si="328"/>
        <v>0</v>
      </c>
      <c r="AL547" s="376">
        <f t="shared" si="331"/>
        <v>2147885.48</v>
      </c>
      <c r="AM547" s="376">
        <f t="shared" si="332"/>
        <v>2147885.48</v>
      </c>
      <c r="AN547" s="376">
        <f t="shared" si="333"/>
        <v>0</v>
      </c>
      <c r="AO547" s="378" t="s">
        <v>3607</v>
      </c>
      <c r="AP547" s="379" t="s">
        <v>2730</v>
      </c>
      <c r="AQ547" s="279"/>
      <c r="AR547" s="287">
        <f t="shared" si="305"/>
        <v>572374.98</v>
      </c>
      <c r="AS547" s="287">
        <f t="shared" si="306"/>
        <v>0</v>
      </c>
      <c r="AT547" s="287">
        <f t="shared" si="307"/>
        <v>0</v>
      </c>
      <c r="AU547" s="287">
        <f t="shared" si="308"/>
        <v>1575510.5</v>
      </c>
      <c r="AV547" s="287">
        <f t="shared" si="309"/>
        <v>0</v>
      </c>
      <c r="AW547" s="287">
        <f t="shared" si="310"/>
        <v>0</v>
      </c>
      <c r="AX547" s="287">
        <f t="shared" si="311"/>
        <v>0</v>
      </c>
      <c r="AY547" s="287">
        <f t="shared" si="312"/>
        <v>0</v>
      </c>
      <c r="AZ547" s="287">
        <f t="shared" si="313"/>
        <v>0</v>
      </c>
      <c r="BA547" s="287">
        <f t="shared" si="314"/>
        <v>0</v>
      </c>
      <c r="BB547" s="16"/>
      <c r="BC547" s="287">
        <f t="shared" si="315"/>
        <v>0</v>
      </c>
      <c r="BD547" s="287">
        <f t="shared" si="316"/>
        <v>0</v>
      </c>
      <c r="BE547" s="287">
        <f t="shared" si="317"/>
        <v>0</v>
      </c>
      <c r="BF547" s="287">
        <f t="shared" si="318"/>
        <v>0</v>
      </c>
      <c r="BG547" s="287">
        <f t="shared" si="319"/>
        <v>0</v>
      </c>
      <c r="BH547" s="287">
        <f t="shared" si="320"/>
        <v>0</v>
      </c>
      <c r="BI547" s="287">
        <f t="shared" si="321"/>
        <v>0</v>
      </c>
      <c r="BJ547" s="287">
        <f t="shared" si="322"/>
        <v>0</v>
      </c>
      <c r="BK547" s="287">
        <f t="shared" si="323"/>
        <v>0</v>
      </c>
      <c r="BL547" s="287">
        <f t="shared" si="324"/>
        <v>0</v>
      </c>
      <c r="BM547" s="16"/>
      <c r="BN547" s="287">
        <f t="shared" si="325"/>
        <v>2147885.48</v>
      </c>
      <c r="BO547" s="287">
        <f t="shared" si="326"/>
        <v>0</v>
      </c>
      <c r="BP547" s="432"/>
      <c r="BQ547" s="21"/>
      <c r="BR547" s="21"/>
      <c r="BS547" s="6"/>
      <c r="BT547" s="194">
        <f t="shared" si="298"/>
        <v>2147885.48</v>
      </c>
      <c r="BU547" s="194">
        <f t="shared" si="299"/>
        <v>2147885.48</v>
      </c>
      <c r="BV547" s="194">
        <f t="shared" si="300"/>
        <v>0</v>
      </c>
      <c r="BW547" s="194">
        <f t="shared" si="301"/>
        <v>0</v>
      </c>
      <c r="BX547" s="6"/>
      <c r="BY547" s="6"/>
      <c r="BZ547" s="39">
        <v>534</v>
      </c>
      <c r="CA547" s="39">
        <f t="shared" si="327"/>
        <v>2031</v>
      </c>
      <c r="CB547" s="6"/>
      <c r="CC547" s="39"/>
      <c r="CD547" s="39"/>
      <c r="CE547" s="39"/>
      <c r="CF547" s="39"/>
      <c r="CG547" s="39"/>
      <c r="CH547" s="39"/>
      <c r="CI547" s="39"/>
      <c r="CJ547" s="39"/>
      <c r="CK547" s="39"/>
    </row>
    <row r="548" spans="1:89" s="193" customFormat="1" ht="36">
      <c r="A548" s="375" t="s">
        <v>2502</v>
      </c>
      <c r="B548" s="21" t="str">
        <f t="shared" si="302"/>
        <v>OSD</v>
      </c>
      <c r="C548" s="21"/>
      <c r="D548" s="432">
        <v>3200916</v>
      </c>
      <c r="E548" s="439" t="s">
        <v>3626</v>
      </c>
      <c r="F548" s="439" t="s">
        <v>3748</v>
      </c>
      <c r="G548" s="273" t="s">
        <v>4311</v>
      </c>
      <c r="H548" s="500" t="s">
        <v>5063</v>
      </c>
      <c r="I548" s="262" t="s">
        <v>3492</v>
      </c>
      <c r="J548" s="262" t="s">
        <v>3517</v>
      </c>
      <c r="K548" s="263">
        <v>1800216</v>
      </c>
      <c r="L548" s="263">
        <v>400000</v>
      </c>
      <c r="M548" s="263">
        <v>4687882</v>
      </c>
      <c r="N548" s="263">
        <v>0</v>
      </c>
      <c r="O548" s="263">
        <v>0</v>
      </c>
      <c r="P548" s="263">
        <v>0</v>
      </c>
      <c r="Q548" s="263">
        <v>0</v>
      </c>
      <c r="R548" s="263">
        <v>0</v>
      </c>
      <c r="S548" s="263">
        <v>0</v>
      </c>
      <c r="T548" s="263">
        <v>0</v>
      </c>
      <c r="U548" s="263">
        <f t="shared" si="329"/>
        <v>6888098</v>
      </c>
      <c r="V548" s="196" t="str">
        <f t="shared" si="303"/>
        <v>G/LOS</v>
      </c>
      <c r="W548" s="196" t="s">
        <v>1168</v>
      </c>
      <c r="X548" s="196" t="str">
        <f t="shared" si="334"/>
        <v>Y</v>
      </c>
      <c r="Y548" s="376">
        <f t="shared" si="297"/>
        <v>6888098</v>
      </c>
      <c r="Z548" s="198"/>
      <c r="AA548" s="376">
        <f t="shared" si="304"/>
        <v>6888098</v>
      </c>
      <c r="AB548" s="196" t="s">
        <v>1166</v>
      </c>
      <c r="AC548" s="196" t="s">
        <v>3624</v>
      </c>
      <c r="AD548" s="275">
        <v>0.78497314767145709</v>
      </c>
      <c r="AE548" s="275">
        <v>0.21502685232854291</v>
      </c>
      <c r="AF548" s="275">
        <v>0</v>
      </c>
      <c r="AG548" s="199">
        <v>0.78</v>
      </c>
      <c r="AH548" s="199">
        <v>0.78</v>
      </c>
      <c r="AI548" s="377">
        <f t="shared" si="330"/>
        <v>0.78</v>
      </c>
      <c r="AJ548" s="203">
        <v>1</v>
      </c>
      <c r="AK548" s="203">
        <f t="shared" si="328"/>
        <v>0</v>
      </c>
      <c r="AL548" s="376">
        <f t="shared" si="331"/>
        <v>1515381.5599999998</v>
      </c>
      <c r="AM548" s="376">
        <f t="shared" si="332"/>
        <v>5372716.4400000004</v>
      </c>
      <c r="AN548" s="376">
        <f t="shared" si="333"/>
        <v>0</v>
      </c>
      <c r="AO548" s="378" t="s">
        <v>3607</v>
      </c>
      <c r="AP548" s="379" t="s">
        <v>2730</v>
      </c>
      <c r="AQ548" s="279"/>
      <c r="AR548" s="287">
        <f t="shared" si="305"/>
        <v>1404168.48</v>
      </c>
      <c r="AS548" s="287">
        <f t="shared" si="306"/>
        <v>312000</v>
      </c>
      <c r="AT548" s="287">
        <f t="shared" si="307"/>
        <v>3656547.96</v>
      </c>
      <c r="AU548" s="287">
        <f t="shared" si="308"/>
        <v>0</v>
      </c>
      <c r="AV548" s="287">
        <f t="shared" si="309"/>
        <v>0</v>
      </c>
      <c r="AW548" s="287">
        <f t="shared" si="310"/>
        <v>0</v>
      </c>
      <c r="AX548" s="287">
        <f t="shared" si="311"/>
        <v>0</v>
      </c>
      <c r="AY548" s="287">
        <f t="shared" si="312"/>
        <v>0</v>
      </c>
      <c r="AZ548" s="287">
        <f t="shared" si="313"/>
        <v>0</v>
      </c>
      <c r="BA548" s="287">
        <f t="shared" si="314"/>
        <v>0</v>
      </c>
      <c r="BB548" s="16"/>
      <c r="BC548" s="287">
        <f t="shared" si="315"/>
        <v>0</v>
      </c>
      <c r="BD548" s="287">
        <f t="shared" si="316"/>
        <v>0</v>
      </c>
      <c r="BE548" s="287">
        <f t="shared" si="317"/>
        <v>0</v>
      </c>
      <c r="BF548" s="287">
        <f t="shared" si="318"/>
        <v>0</v>
      </c>
      <c r="BG548" s="287">
        <f t="shared" si="319"/>
        <v>0</v>
      </c>
      <c r="BH548" s="287">
        <f t="shared" si="320"/>
        <v>0</v>
      </c>
      <c r="BI548" s="287">
        <f t="shared" si="321"/>
        <v>0</v>
      </c>
      <c r="BJ548" s="287">
        <f t="shared" si="322"/>
        <v>0</v>
      </c>
      <c r="BK548" s="287">
        <f t="shared" si="323"/>
        <v>0</v>
      </c>
      <c r="BL548" s="287">
        <f t="shared" si="324"/>
        <v>0</v>
      </c>
      <c r="BM548" s="16"/>
      <c r="BN548" s="287">
        <f t="shared" si="325"/>
        <v>5372716.4399999995</v>
      </c>
      <c r="BO548" s="287">
        <f t="shared" si="326"/>
        <v>0</v>
      </c>
      <c r="BP548" s="432"/>
      <c r="BQ548" s="21"/>
      <c r="BR548" s="21"/>
      <c r="BS548" s="6"/>
      <c r="BT548" s="194">
        <f t="shared" si="298"/>
        <v>5372716.4399999995</v>
      </c>
      <c r="BU548" s="194">
        <f t="shared" si="299"/>
        <v>5372716.4400000004</v>
      </c>
      <c r="BV548" s="194">
        <f t="shared" si="300"/>
        <v>0</v>
      </c>
      <c r="BW548" s="194">
        <f t="shared" si="301"/>
        <v>-9.3132257461547852E-10</v>
      </c>
      <c r="BX548" s="6"/>
      <c r="BY548" s="6"/>
      <c r="BZ548" s="39">
        <v>535</v>
      </c>
      <c r="CA548" s="39">
        <f t="shared" si="327"/>
        <v>2031</v>
      </c>
      <c r="CB548" s="6"/>
      <c r="CC548" s="39"/>
      <c r="CD548" s="39"/>
      <c r="CE548" s="39"/>
      <c r="CF548" s="39"/>
      <c r="CG548" s="39"/>
      <c r="CH548" s="39"/>
      <c r="CI548" s="39"/>
      <c r="CJ548" s="39"/>
      <c r="CK548" s="39"/>
    </row>
    <row r="549" spans="1:89" s="193" customFormat="1" ht="24">
      <c r="A549" s="375" t="s">
        <v>2502</v>
      </c>
      <c r="B549" s="21" t="str">
        <f t="shared" si="302"/>
        <v>OSD</v>
      </c>
      <c r="C549" s="21"/>
      <c r="D549" s="432">
        <v>3201502</v>
      </c>
      <c r="E549" s="439" t="s">
        <v>3626</v>
      </c>
      <c r="F549" s="439" t="s">
        <v>5085</v>
      </c>
      <c r="G549" s="273" t="s">
        <v>4251</v>
      </c>
      <c r="H549" s="500" t="s">
        <v>5084</v>
      </c>
      <c r="I549" s="262" t="s">
        <v>3492</v>
      </c>
      <c r="J549" s="262"/>
      <c r="K549" s="263">
        <v>50000</v>
      </c>
      <c r="L549" s="263">
        <v>0</v>
      </c>
      <c r="M549" s="263">
        <v>0</v>
      </c>
      <c r="N549" s="263">
        <v>0</v>
      </c>
      <c r="O549" s="263">
        <v>0</v>
      </c>
      <c r="P549" s="263">
        <v>0</v>
      </c>
      <c r="Q549" s="263">
        <v>0</v>
      </c>
      <c r="R549" s="263">
        <v>0</v>
      </c>
      <c r="S549" s="263">
        <v>0</v>
      </c>
      <c r="T549" s="263">
        <v>0</v>
      </c>
      <c r="U549" s="263">
        <f t="shared" si="329"/>
        <v>50000</v>
      </c>
      <c r="V549" s="196" t="str">
        <f t="shared" si="303"/>
        <v>G/LOS</v>
      </c>
      <c r="W549" s="196" t="s">
        <v>1168</v>
      </c>
      <c r="X549" s="196" t="str">
        <f t="shared" si="334"/>
        <v>Y</v>
      </c>
      <c r="Y549" s="376">
        <f t="shared" si="297"/>
        <v>50000</v>
      </c>
      <c r="Z549" s="198"/>
      <c r="AA549" s="376">
        <f t="shared" si="304"/>
        <v>50000</v>
      </c>
      <c r="AB549" s="196" t="s">
        <v>1166</v>
      </c>
      <c r="AC549" s="196" t="s">
        <v>1168</v>
      </c>
      <c r="AD549" s="275">
        <v>0.75</v>
      </c>
      <c r="AE549" s="275">
        <v>0.25</v>
      </c>
      <c r="AF549" s="275">
        <v>0</v>
      </c>
      <c r="AG549" s="199">
        <v>0.75</v>
      </c>
      <c r="AH549" s="199">
        <v>0.75</v>
      </c>
      <c r="AI549" s="377">
        <f t="shared" si="330"/>
        <v>0.75</v>
      </c>
      <c r="AJ549" s="203">
        <v>1</v>
      </c>
      <c r="AK549" s="203">
        <f t="shared" si="328"/>
        <v>0</v>
      </c>
      <c r="AL549" s="376">
        <f t="shared" si="331"/>
        <v>12500</v>
      </c>
      <c r="AM549" s="376">
        <f t="shared" si="332"/>
        <v>37500</v>
      </c>
      <c r="AN549" s="376">
        <f t="shared" si="333"/>
        <v>0</v>
      </c>
      <c r="AO549" s="378" t="s">
        <v>3607</v>
      </c>
      <c r="AP549" s="379" t="s">
        <v>2730</v>
      </c>
      <c r="AQ549" s="279"/>
      <c r="AR549" s="287">
        <f t="shared" si="305"/>
        <v>37500</v>
      </c>
      <c r="AS549" s="287">
        <f t="shared" si="306"/>
        <v>0</v>
      </c>
      <c r="AT549" s="287">
        <f t="shared" si="307"/>
        <v>0</v>
      </c>
      <c r="AU549" s="287">
        <f t="shared" si="308"/>
        <v>0</v>
      </c>
      <c r="AV549" s="287">
        <f t="shared" si="309"/>
        <v>0</v>
      </c>
      <c r="AW549" s="287">
        <f t="shared" si="310"/>
        <v>0</v>
      </c>
      <c r="AX549" s="287">
        <f t="shared" si="311"/>
        <v>0</v>
      </c>
      <c r="AY549" s="287">
        <f t="shared" si="312"/>
        <v>0</v>
      </c>
      <c r="AZ549" s="287">
        <f t="shared" si="313"/>
        <v>0</v>
      </c>
      <c r="BA549" s="287">
        <f t="shared" si="314"/>
        <v>0</v>
      </c>
      <c r="BB549" s="16"/>
      <c r="BC549" s="287">
        <f t="shared" si="315"/>
        <v>0</v>
      </c>
      <c r="BD549" s="287">
        <f t="shared" si="316"/>
        <v>0</v>
      </c>
      <c r="BE549" s="287">
        <f t="shared" si="317"/>
        <v>0</v>
      </c>
      <c r="BF549" s="287">
        <f t="shared" si="318"/>
        <v>0</v>
      </c>
      <c r="BG549" s="287">
        <f t="shared" si="319"/>
        <v>0</v>
      </c>
      <c r="BH549" s="287">
        <f t="shared" si="320"/>
        <v>0</v>
      </c>
      <c r="BI549" s="287">
        <f t="shared" si="321"/>
        <v>0</v>
      </c>
      <c r="BJ549" s="287">
        <f t="shared" si="322"/>
        <v>0</v>
      </c>
      <c r="BK549" s="287">
        <f t="shared" si="323"/>
        <v>0</v>
      </c>
      <c r="BL549" s="287">
        <f t="shared" si="324"/>
        <v>0</v>
      </c>
      <c r="BM549" s="16"/>
      <c r="BN549" s="287">
        <f t="shared" si="325"/>
        <v>37500</v>
      </c>
      <c r="BO549" s="287">
        <f t="shared" si="326"/>
        <v>0</v>
      </c>
      <c r="BP549" s="432"/>
      <c r="BQ549" s="21"/>
      <c r="BR549" s="21"/>
      <c r="BS549" s="6"/>
      <c r="BT549" s="194">
        <f t="shared" si="298"/>
        <v>37500</v>
      </c>
      <c r="BU549" s="194">
        <f t="shared" si="299"/>
        <v>37500</v>
      </c>
      <c r="BV549" s="194">
        <f t="shared" si="300"/>
        <v>0</v>
      </c>
      <c r="BW549" s="194">
        <f t="shared" si="301"/>
        <v>0</v>
      </c>
      <c r="BX549" s="6"/>
      <c r="BY549" s="6"/>
      <c r="BZ549" s="39">
        <v>536</v>
      </c>
      <c r="CA549" s="39">
        <f t="shared" si="327"/>
        <v>2031</v>
      </c>
      <c r="CB549" s="6"/>
      <c r="CC549" s="39"/>
      <c r="CD549" s="39"/>
      <c r="CE549" s="39"/>
      <c r="CF549" s="39"/>
      <c r="CG549" s="39"/>
      <c r="CH549" s="39"/>
      <c r="CI549" s="39"/>
      <c r="CJ549" s="39"/>
      <c r="CK549" s="39"/>
    </row>
    <row r="550" spans="1:89" s="193" customFormat="1" ht="36">
      <c r="A550" s="375" t="s">
        <v>2502</v>
      </c>
      <c r="B550" s="21" t="str">
        <f t="shared" si="302"/>
        <v>OSD</v>
      </c>
      <c r="C550" s="21"/>
      <c r="D550" s="432">
        <v>2130131</v>
      </c>
      <c r="E550" s="439" t="s">
        <v>3626</v>
      </c>
      <c r="F550" s="439" t="s">
        <v>3666</v>
      </c>
      <c r="G550" s="273" t="s">
        <v>2927</v>
      </c>
      <c r="H550" s="500" t="s">
        <v>5128</v>
      </c>
      <c r="I550" s="262" t="s">
        <v>3492</v>
      </c>
      <c r="J550" s="262" t="s">
        <v>3514</v>
      </c>
      <c r="K550" s="263">
        <v>200000</v>
      </c>
      <c r="L550" s="263">
        <v>0</v>
      </c>
      <c r="M550" s="263">
        <v>0</v>
      </c>
      <c r="N550" s="263">
        <v>0</v>
      </c>
      <c r="O550" s="263">
        <v>0</v>
      </c>
      <c r="P550" s="263">
        <v>0</v>
      </c>
      <c r="Q550" s="263">
        <v>0</v>
      </c>
      <c r="R550" s="263">
        <v>0</v>
      </c>
      <c r="S550" s="263">
        <v>0</v>
      </c>
      <c r="T550" s="263">
        <v>0</v>
      </c>
      <c r="U550" s="263">
        <f t="shared" si="329"/>
        <v>200000</v>
      </c>
      <c r="V550" s="196" t="str">
        <f t="shared" si="303"/>
        <v>G</v>
      </c>
      <c r="W550" s="196" t="s">
        <v>1168</v>
      </c>
      <c r="X550" s="196" t="str">
        <f t="shared" si="334"/>
        <v>Y</v>
      </c>
      <c r="Y550" s="376">
        <f t="shared" si="297"/>
        <v>200000</v>
      </c>
      <c r="Z550" s="198"/>
      <c r="AA550" s="376">
        <f t="shared" si="304"/>
        <v>200000</v>
      </c>
      <c r="AB550" s="196" t="s">
        <v>1166</v>
      </c>
      <c r="AC550" s="196" t="s">
        <v>1168</v>
      </c>
      <c r="AD550" s="518">
        <v>1</v>
      </c>
      <c r="AE550" s="275">
        <v>0</v>
      </c>
      <c r="AF550" s="275">
        <v>0</v>
      </c>
      <c r="AG550" s="199">
        <v>1</v>
      </c>
      <c r="AH550" s="199">
        <v>1</v>
      </c>
      <c r="AI550" s="377">
        <f t="shared" si="330"/>
        <v>1</v>
      </c>
      <c r="AJ550" s="203">
        <v>1</v>
      </c>
      <c r="AK550" s="203">
        <f t="shared" si="328"/>
        <v>0</v>
      </c>
      <c r="AL550" s="376">
        <f t="shared" si="331"/>
        <v>0</v>
      </c>
      <c r="AM550" s="376">
        <f t="shared" si="332"/>
        <v>200000</v>
      </c>
      <c r="AN550" s="376">
        <f t="shared" si="333"/>
        <v>0</v>
      </c>
      <c r="AO550" s="378" t="s">
        <v>3607</v>
      </c>
      <c r="AP550" s="379" t="s">
        <v>2731</v>
      </c>
      <c r="AQ550" s="279"/>
      <c r="AR550" s="287">
        <f t="shared" si="305"/>
        <v>200000</v>
      </c>
      <c r="AS550" s="287">
        <f t="shared" si="306"/>
        <v>0</v>
      </c>
      <c r="AT550" s="287">
        <f t="shared" si="307"/>
        <v>0</v>
      </c>
      <c r="AU550" s="287">
        <f t="shared" si="308"/>
        <v>0</v>
      </c>
      <c r="AV550" s="287">
        <f t="shared" si="309"/>
        <v>0</v>
      </c>
      <c r="AW550" s="287">
        <f t="shared" si="310"/>
        <v>0</v>
      </c>
      <c r="AX550" s="287">
        <f t="shared" si="311"/>
        <v>0</v>
      </c>
      <c r="AY550" s="287">
        <f t="shared" si="312"/>
        <v>0</v>
      </c>
      <c r="AZ550" s="287">
        <f t="shared" si="313"/>
        <v>0</v>
      </c>
      <c r="BA550" s="287">
        <f t="shared" si="314"/>
        <v>0</v>
      </c>
      <c r="BB550" s="16"/>
      <c r="BC550" s="287">
        <f t="shared" si="315"/>
        <v>0</v>
      </c>
      <c r="BD550" s="287">
        <f t="shared" si="316"/>
        <v>0</v>
      </c>
      <c r="BE550" s="287">
        <f t="shared" si="317"/>
        <v>0</v>
      </c>
      <c r="BF550" s="287">
        <f t="shared" si="318"/>
        <v>0</v>
      </c>
      <c r="BG550" s="287">
        <f t="shared" si="319"/>
        <v>0</v>
      </c>
      <c r="BH550" s="287">
        <f t="shared" si="320"/>
        <v>0</v>
      </c>
      <c r="BI550" s="287">
        <f t="shared" si="321"/>
        <v>0</v>
      </c>
      <c r="BJ550" s="287">
        <f t="shared" si="322"/>
        <v>0</v>
      </c>
      <c r="BK550" s="287">
        <f t="shared" si="323"/>
        <v>0</v>
      </c>
      <c r="BL550" s="287">
        <f t="shared" si="324"/>
        <v>0</v>
      </c>
      <c r="BM550" s="16"/>
      <c r="BN550" s="287">
        <f t="shared" si="325"/>
        <v>200000</v>
      </c>
      <c r="BO550" s="287">
        <f t="shared" si="326"/>
        <v>0</v>
      </c>
      <c r="BP550" s="432"/>
      <c r="BQ550" s="21"/>
      <c r="BR550" s="21"/>
      <c r="BS550" s="6"/>
      <c r="BT550" s="194">
        <f t="shared" si="298"/>
        <v>200000</v>
      </c>
      <c r="BU550" s="194">
        <f t="shared" si="299"/>
        <v>200000</v>
      </c>
      <c r="BV550" s="194">
        <f t="shared" si="300"/>
        <v>0</v>
      </c>
      <c r="BW550" s="194">
        <f t="shared" si="301"/>
        <v>0</v>
      </c>
      <c r="BX550" s="6"/>
      <c r="BY550" s="6"/>
      <c r="BZ550" s="39">
        <v>537</v>
      </c>
      <c r="CA550" s="39">
        <f t="shared" si="327"/>
        <v>2031</v>
      </c>
      <c r="CB550" s="6"/>
      <c r="CC550" s="39"/>
      <c r="CD550" s="39"/>
      <c r="CE550" s="39"/>
      <c r="CF550" s="39"/>
      <c r="CG550" s="39"/>
      <c r="CH550" s="39"/>
      <c r="CI550" s="39"/>
      <c r="CJ550" s="39"/>
      <c r="CK550" s="39"/>
    </row>
    <row r="551" spans="1:89" s="193" customFormat="1" ht="24">
      <c r="A551" s="375" t="s">
        <v>2502</v>
      </c>
      <c r="B551" s="21" t="str">
        <f t="shared" si="302"/>
        <v>OSD</v>
      </c>
      <c r="C551" s="21"/>
      <c r="D551" s="432">
        <v>3200606</v>
      </c>
      <c r="E551" s="439" t="s">
        <v>3626</v>
      </c>
      <c r="F551" s="439" t="s">
        <v>3728</v>
      </c>
      <c r="G551" s="273" t="s">
        <v>4313</v>
      </c>
      <c r="H551" s="500" t="s">
        <v>5168</v>
      </c>
      <c r="I551" s="262" t="s">
        <v>3492</v>
      </c>
      <c r="J551" s="262" t="s">
        <v>3518</v>
      </c>
      <c r="K551" s="263">
        <v>620000</v>
      </c>
      <c r="L551" s="263">
        <v>500000</v>
      </c>
      <c r="M551" s="263">
        <v>0</v>
      </c>
      <c r="N551" s="263">
        <v>0</v>
      </c>
      <c r="O551" s="263">
        <v>0</v>
      </c>
      <c r="P551" s="263">
        <v>0</v>
      </c>
      <c r="Q551" s="263">
        <v>0</v>
      </c>
      <c r="R551" s="263">
        <v>0</v>
      </c>
      <c r="S551" s="263">
        <v>0</v>
      </c>
      <c r="T551" s="263">
        <v>0</v>
      </c>
      <c r="U551" s="263">
        <f t="shared" si="329"/>
        <v>1120000</v>
      </c>
      <c r="V551" s="196" t="str">
        <f t="shared" si="303"/>
        <v>G/LOS</v>
      </c>
      <c r="W551" s="196" t="s">
        <v>1168</v>
      </c>
      <c r="X551" s="196" t="str">
        <f t="shared" si="334"/>
        <v>Y</v>
      </c>
      <c r="Y551" s="376">
        <f t="shared" si="297"/>
        <v>1120000</v>
      </c>
      <c r="Z551" s="198"/>
      <c r="AA551" s="376">
        <f t="shared" si="304"/>
        <v>1120000</v>
      </c>
      <c r="AB551" s="196" t="s">
        <v>1166</v>
      </c>
      <c r="AC551" s="196" t="s">
        <v>1168</v>
      </c>
      <c r="AD551" s="275">
        <v>0.13628008406177403</v>
      </c>
      <c r="AE551" s="275">
        <v>0.86371991593822595</v>
      </c>
      <c r="AF551" s="275">
        <v>0</v>
      </c>
      <c r="AG551" s="199">
        <v>0.14000000000000001</v>
      </c>
      <c r="AH551" s="199">
        <v>0.14000000000000001</v>
      </c>
      <c r="AI551" s="377">
        <f t="shared" si="330"/>
        <v>0.14000000000000001</v>
      </c>
      <c r="AJ551" s="203">
        <v>1</v>
      </c>
      <c r="AK551" s="203">
        <f t="shared" si="328"/>
        <v>0</v>
      </c>
      <c r="AL551" s="376">
        <f t="shared" si="331"/>
        <v>963200</v>
      </c>
      <c r="AM551" s="376">
        <f t="shared" si="332"/>
        <v>156800.00000000003</v>
      </c>
      <c r="AN551" s="376">
        <f t="shared" si="333"/>
        <v>0</v>
      </c>
      <c r="AO551" s="378" t="s">
        <v>3607</v>
      </c>
      <c r="AP551" s="379" t="s">
        <v>2731</v>
      </c>
      <c r="AQ551" s="279"/>
      <c r="AR551" s="287">
        <f t="shared" si="305"/>
        <v>86800.000000000015</v>
      </c>
      <c r="AS551" s="287">
        <f t="shared" si="306"/>
        <v>70000</v>
      </c>
      <c r="AT551" s="287">
        <f t="shared" si="307"/>
        <v>0</v>
      </c>
      <c r="AU551" s="287">
        <f t="shared" si="308"/>
        <v>0</v>
      </c>
      <c r="AV551" s="287">
        <f t="shared" si="309"/>
        <v>0</v>
      </c>
      <c r="AW551" s="287">
        <f t="shared" si="310"/>
        <v>0</v>
      </c>
      <c r="AX551" s="287">
        <f t="shared" si="311"/>
        <v>0</v>
      </c>
      <c r="AY551" s="287">
        <f t="shared" si="312"/>
        <v>0</v>
      </c>
      <c r="AZ551" s="287">
        <f t="shared" si="313"/>
        <v>0</v>
      </c>
      <c r="BA551" s="287">
        <f t="shared" si="314"/>
        <v>0</v>
      </c>
      <c r="BB551" s="16"/>
      <c r="BC551" s="287">
        <f t="shared" si="315"/>
        <v>0</v>
      </c>
      <c r="BD551" s="287">
        <f t="shared" si="316"/>
        <v>0</v>
      </c>
      <c r="BE551" s="287">
        <f t="shared" si="317"/>
        <v>0</v>
      </c>
      <c r="BF551" s="287">
        <f t="shared" si="318"/>
        <v>0</v>
      </c>
      <c r="BG551" s="287">
        <f t="shared" si="319"/>
        <v>0</v>
      </c>
      <c r="BH551" s="287">
        <f t="shared" si="320"/>
        <v>0</v>
      </c>
      <c r="BI551" s="287">
        <f t="shared" si="321"/>
        <v>0</v>
      </c>
      <c r="BJ551" s="287">
        <f t="shared" si="322"/>
        <v>0</v>
      </c>
      <c r="BK551" s="287">
        <f t="shared" si="323"/>
        <v>0</v>
      </c>
      <c r="BL551" s="287">
        <f t="shared" si="324"/>
        <v>0</v>
      </c>
      <c r="BM551" s="16"/>
      <c r="BN551" s="287">
        <f t="shared" si="325"/>
        <v>156800</v>
      </c>
      <c r="BO551" s="287">
        <f t="shared" si="326"/>
        <v>0</v>
      </c>
      <c r="BP551" s="432"/>
      <c r="BQ551" s="21"/>
      <c r="BR551" s="21"/>
      <c r="BS551" s="6"/>
      <c r="BT551" s="194">
        <f t="shared" si="298"/>
        <v>156800</v>
      </c>
      <c r="BU551" s="194">
        <f t="shared" si="299"/>
        <v>156800.00000000003</v>
      </c>
      <c r="BV551" s="194">
        <f t="shared" si="300"/>
        <v>0</v>
      </c>
      <c r="BW551" s="194">
        <f t="shared" si="301"/>
        <v>-2.9103830456733704E-11</v>
      </c>
      <c r="BX551" s="6"/>
      <c r="BY551" s="6"/>
      <c r="BZ551" s="39">
        <v>538</v>
      </c>
      <c r="CA551" s="39">
        <f t="shared" si="327"/>
        <v>2031</v>
      </c>
      <c r="CB551" s="6"/>
      <c r="CC551" s="39"/>
      <c r="CD551" s="39"/>
      <c r="CE551" s="39"/>
      <c r="CF551" s="39"/>
      <c r="CG551" s="39"/>
      <c r="CH551" s="39"/>
      <c r="CI551" s="39"/>
      <c r="CJ551" s="39"/>
      <c r="CK551" s="39"/>
    </row>
    <row r="552" spans="1:89" s="193" customFormat="1" ht="24">
      <c r="A552" s="375" t="s">
        <v>2502</v>
      </c>
      <c r="B552" s="21" t="str">
        <f t="shared" si="302"/>
        <v xml:space="preserve">CI </v>
      </c>
      <c r="C552" s="21"/>
      <c r="D552" s="432">
        <v>3200917</v>
      </c>
      <c r="E552" s="439" t="s">
        <v>3626</v>
      </c>
      <c r="F552" s="439" t="s">
        <v>3749</v>
      </c>
      <c r="G552" s="596" t="s">
        <v>3415</v>
      </c>
      <c r="H552" s="358" t="s">
        <v>5328</v>
      </c>
      <c r="I552" s="262" t="s">
        <v>3492</v>
      </c>
      <c r="J552" s="262" t="s">
        <v>3514</v>
      </c>
      <c r="K552" s="263">
        <v>0</v>
      </c>
      <c r="L552" s="263">
        <v>0</v>
      </c>
      <c r="M552" s="263">
        <v>0</v>
      </c>
      <c r="N552" s="263">
        <v>0</v>
      </c>
      <c r="O552" s="263">
        <v>100000</v>
      </c>
      <c r="P552" s="263">
        <v>2981276</v>
      </c>
      <c r="Q552" s="263">
        <v>0</v>
      </c>
      <c r="R552" s="263">
        <v>0</v>
      </c>
      <c r="S552" s="263">
        <v>0</v>
      </c>
      <c r="T552" s="263">
        <v>0</v>
      </c>
      <c r="U552" s="263">
        <f t="shared" si="329"/>
        <v>3081276</v>
      </c>
      <c r="V552" s="196" t="str">
        <f t="shared" si="303"/>
        <v>G/LOS</v>
      </c>
      <c r="W552" s="196" t="s">
        <v>1168</v>
      </c>
      <c r="X552" s="196" t="str">
        <f t="shared" si="334"/>
        <v>Y</v>
      </c>
      <c r="Y552" s="376">
        <f t="shared" si="297"/>
        <v>3081276</v>
      </c>
      <c r="Z552" s="198"/>
      <c r="AA552" s="376">
        <f t="shared" si="304"/>
        <v>3081276</v>
      </c>
      <c r="AB552" s="196" t="s">
        <v>1166</v>
      </c>
      <c r="AC552" s="196" t="s">
        <v>1168</v>
      </c>
      <c r="AD552" s="518">
        <v>0.75</v>
      </c>
      <c r="AE552" s="275">
        <v>0.25</v>
      </c>
      <c r="AF552" s="275">
        <v>0</v>
      </c>
      <c r="AG552" s="199">
        <v>0.75</v>
      </c>
      <c r="AH552" s="199">
        <v>0.75</v>
      </c>
      <c r="AI552" s="377">
        <f t="shared" si="330"/>
        <v>0.75</v>
      </c>
      <c r="AJ552" s="203">
        <v>1</v>
      </c>
      <c r="AK552" s="203">
        <f t="shared" si="328"/>
        <v>0</v>
      </c>
      <c r="AL552" s="376">
        <f t="shared" si="331"/>
        <v>770319</v>
      </c>
      <c r="AM552" s="376">
        <f t="shared" si="332"/>
        <v>2310957</v>
      </c>
      <c r="AN552" s="376">
        <f t="shared" si="333"/>
        <v>0</v>
      </c>
      <c r="AO552" s="378" t="s">
        <v>3607</v>
      </c>
      <c r="AP552" s="379" t="s">
        <v>2859</v>
      </c>
      <c r="AQ552" s="279"/>
      <c r="AR552" s="287">
        <f t="shared" si="305"/>
        <v>0</v>
      </c>
      <c r="AS552" s="287">
        <f t="shared" si="306"/>
        <v>0</v>
      </c>
      <c r="AT552" s="287">
        <f t="shared" si="307"/>
        <v>0</v>
      </c>
      <c r="AU552" s="287">
        <f t="shared" si="308"/>
        <v>0</v>
      </c>
      <c r="AV552" s="287">
        <f t="shared" si="309"/>
        <v>75000</v>
      </c>
      <c r="AW552" s="287">
        <f t="shared" si="310"/>
        <v>2235957</v>
      </c>
      <c r="AX552" s="287">
        <f t="shared" si="311"/>
        <v>0</v>
      </c>
      <c r="AY552" s="287">
        <f t="shared" si="312"/>
        <v>0</v>
      </c>
      <c r="AZ552" s="287">
        <f t="shared" si="313"/>
        <v>0</v>
      </c>
      <c r="BA552" s="287">
        <f t="shared" si="314"/>
        <v>0</v>
      </c>
      <c r="BB552" s="16"/>
      <c r="BC552" s="287">
        <f t="shared" si="315"/>
        <v>0</v>
      </c>
      <c r="BD552" s="287">
        <f t="shared" si="316"/>
        <v>0</v>
      </c>
      <c r="BE552" s="287">
        <f t="shared" si="317"/>
        <v>0</v>
      </c>
      <c r="BF552" s="287">
        <f t="shared" si="318"/>
        <v>0</v>
      </c>
      <c r="BG552" s="287">
        <f t="shared" si="319"/>
        <v>0</v>
      </c>
      <c r="BH552" s="287">
        <f t="shared" si="320"/>
        <v>0</v>
      </c>
      <c r="BI552" s="287">
        <f t="shared" si="321"/>
        <v>0</v>
      </c>
      <c r="BJ552" s="287">
        <f t="shared" si="322"/>
        <v>0</v>
      </c>
      <c r="BK552" s="287">
        <f t="shared" si="323"/>
        <v>0</v>
      </c>
      <c r="BL552" s="287">
        <f t="shared" si="324"/>
        <v>0</v>
      </c>
      <c r="BM552" s="16"/>
      <c r="BN552" s="287">
        <f t="shared" si="325"/>
        <v>2310957</v>
      </c>
      <c r="BO552" s="287">
        <f t="shared" si="326"/>
        <v>0</v>
      </c>
      <c r="BP552" s="432"/>
      <c r="BQ552" s="21"/>
      <c r="BR552" s="21"/>
      <c r="BS552" s="6"/>
      <c r="BT552" s="194">
        <f t="shared" si="298"/>
        <v>2310957</v>
      </c>
      <c r="BU552" s="194">
        <f t="shared" si="299"/>
        <v>2310957</v>
      </c>
      <c r="BV552" s="194">
        <f t="shared" si="300"/>
        <v>0</v>
      </c>
      <c r="BW552" s="194">
        <f t="shared" si="301"/>
        <v>0</v>
      </c>
      <c r="BX552" s="6"/>
      <c r="BY552" s="627"/>
      <c r="BZ552" s="39">
        <v>539</v>
      </c>
      <c r="CA552" s="39">
        <f t="shared" si="327"/>
        <v>2031</v>
      </c>
      <c r="CB552" s="6"/>
      <c r="CC552" s="39"/>
      <c r="CD552" s="39"/>
      <c r="CE552" s="39"/>
      <c r="CF552" s="39"/>
      <c r="CG552" s="39"/>
      <c r="CH552" s="39"/>
      <c r="CI552" s="39"/>
      <c r="CJ552" s="39"/>
      <c r="CK552" s="39"/>
    </row>
    <row r="553" spans="1:89" s="193" customFormat="1" ht="24">
      <c r="A553" s="375" t="s">
        <v>2502</v>
      </c>
      <c r="B553" s="21" t="str">
        <f t="shared" si="302"/>
        <v>OSD</v>
      </c>
      <c r="C553" s="21"/>
      <c r="D553" s="432">
        <v>3201335</v>
      </c>
      <c r="E553" s="439" t="s">
        <v>3626</v>
      </c>
      <c r="F553" s="439" t="s">
        <v>3761</v>
      </c>
      <c r="G553" s="273" t="s">
        <v>4492</v>
      </c>
      <c r="H553" s="500" t="s">
        <v>5190</v>
      </c>
      <c r="I553" s="262" t="s">
        <v>3492</v>
      </c>
      <c r="J553" s="262" t="s">
        <v>3511</v>
      </c>
      <c r="K553" s="263">
        <v>50000</v>
      </c>
      <c r="L553" s="263">
        <v>950000</v>
      </c>
      <c r="M553" s="263">
        <v>0</v>
      </c>
      <c r="N553" s="263">
        <v>0</v>
      </c>
      <c r="O553" s="263">
        <v>0</v>
      </c>
      <c r="P553" s="263">
        <v>0</v>
      </c>
      <c r="Q553" s="263">
        <v>0</v>
      </c>
      <c r="R553" s="263">
        <v>0</v>
      </c>
      <c r="S553" s="263">
        <v>0</v>
      </c>
      <c r="T553" s="263">
        <v>0</v>
      </c>
      <c r="U553" s="263">
        <f t="shared" si="329"/>
        <v>1000000</v>
      </c>
      <c r="V553" s="196" t="str">
        <f t="shared" si="303"/>
        <v>G/LOS/R</v>
      </c>
      <c r="W553" s="196" t="s">
        <v>1168</v>
      </c>
      <c r="X553" s="196" t="str">
        <f t="shared" si="334"/>
        <v>Y</v>
      </c>
      <c r="Y553" s="376">
        <f t="shared" si="297"/>
        <v>1000000</v>
      </c>
      <c r="Z553" s="198"/>
      <c r="AA553" s="376">
        <f t="shared" si="304"/>
        <v>1000000</v>
      </c>
      <c r="AB553" s="196" t="s">
        <v>1166</v>
      </c>
      <c r="AC553" s="196" t="s">
        <v>1168</v>
      </c>
      <c r="AD553" s="275">
        <v>0.60641761248049486</v>
      </c>
      <c r="AE553" s="275">
        <v>0.20213920416016498</v>
      </c>
      <c r="AF553" s="275">
        <v>0.19144318335934013</v>
      </c>
      <c r="AG553" s="199">
        <v>0.61</v>
      </c>
      <c r="AH553" s="199">
        <v>0.61</v>
      </c>
      <c r="AI553" s="377">
        <f t="shared" si="330"/>
        <v>0.61</v>
      </c>
      <c r="AJ553" s="203">
        <v>1</v>
      </c>
      <c r="AK553" s="203">
        <f t="shared" si="328"/>
        <v>0</v>
      </c>
      <c r="AL553" s="376">
        <f t="shared" si="331"/>
        <v>390000</v>
      </c>
      <c r="AM553" s="376">
        <f t="shared" si="332"/>
        <v>610000</v>
      </c>
      <c r="AN553" s="376">
        <f t="shared" si="333"/>
        <v>0</v>
      </c>
      <c r="AO553" s="378" t="s">
        <v>3615</v>
      </c>
      <c r="AP553" s="379" t="s">
        <v>2731</v>
      </c>
      <c r="AQ553" s="279"/>
      <c r="AR553" s="287">
        <f t="shared" si="305"/>
        <v>30500</v>
      </c>
      <c r="AS553" s="287">
        <f t="shared" si="306"/>
        <v>579500</v>
      </c>
      <c r="AT553" s="287">
        <f t="shared" si="307"/>
        <v>0</v>
      </c>
      <c r="AU553" s="287">
        <f t="shared" si="308"/>
        <v>0</v>
      </c>
      <c r="AV553" s="287">
        <f t="shared" si="309"/>
        <v>0</v>
      </c>
      <c r="AW553" s="287">
        <f t="shared" si="310"/>
        <v>0</v>
      </c>
      <c r="AX553" s="287">
        <f t="shared" si="311"/>
        <v>0</v>
      </c>
      <c r="AY553" s="287">
        <f t="shared" si="312"/>
        <v>0</v>
      </c>
      <c r="AZ553" s="287">
        <f t="shared" si="313"/>
        <v>0</v>
      </c>
      <c r="BA553" s="287">
        <f t="shared" si="314"/>
        <v>0</v>
      </c>
      <c r="BB553" s="16"/>
      <c r="BC553" s="287">
        <f t="shared" si="315"/>
        <v>0</v>
      </c>
      <c r="BD553" s="287">
        <f t="shared" si="316"/>
        <v>0</v>
      </c>
      <c r="BE553" s="287">
        <f t="shared" si="317"/>
        <v>0</v>
      </c>
      <c r="BF553" s="287">
        <f t="shared" si="318"/>
        <v>0</v>
      </c>
      <c r="BG553" s="287">
        <f t="shared" si="319"/>
        <v>0</v>
      </c>
      <c r="BH553" s="287">
        <f t="shared" si="320"/>
        <v>0</v>
      </c>
      <c r="BI553" s="287">
        <f t="shared" si="321"/>
        <v>0</v>
      </c>
      <c r="BJ553" s="287">
        <f t="shared" si="322"/>
        <v>0</v>
      </c>
      <c r="BK553" s="287">
        <f t="shared" si="323"/>
        <v>0</v>
      </c>
      <c r="BL553" s="287">
        <f t="shared" si="324"/>
        <v>0</v>
      </c>
      <c r="BM553" s="16"/>
      <c r="BN553" s="287">
        <f t="shared" si="325"/>
        <v>610000</v>
      </c>
      <c r="BO553" s="287">
        <f t="shared" si="326"/>
        <v>0</v>
      </c>
      <c r="BP553" s="432"/>
      <c r="BQ553" s="21"/>
      <c r="BR553" s="21"/>
      <c r="BS553" s="6"/>
      <c r="BT553" s="194">
        <f t="shared" si="298"/>
        <v>610000</v>
      </c>
      <c r="BU553" s="194">
        <f t="shared" si="299"/>
        <v>610000</v>
      </c>
      <c r="BV553" s="194">
        <f t="shared" si="300"/>
        <v>0</v>
      </c>
      <c r="BW553" s="194">
        <f t="shared" si="301"/>
        <v>0</v>
      </c>
      <c r="BX553" s="6"/>
      <c r="BY553" s="6"/>
      <c r="BZ553" s="39">
        <v>540</v>
      </c>
      <c r="CA553" s="39">
        <f t="shared" si="327"/>
        <v>2031</v>
      </c>
      <c r="CB553" s="6"/>
      <c r="CC553" s="39"/>
      <c r="CD553" s="39"/>
      <c r="CE553" s="39"/>
      <c r="CF553" s="39"/>
      <c r="CG553" s="39"/>
      <c r="CH553" s="39"/>
      <c r="CI553" s="39"/>
      <c r="CJ553" s="39"/>
      <c r="CK553" s="39"/>
    </row>
    <row r="554" spans="1:89" s="193" customFormat="1" ht="36">
      <c r="A554" s="375" t="s">
        <v>2502</v>
      </c>
      <c r="B554" s="21" t="str">
        <f t="shared" si="302"/>
        <v>OSD</v>
      </c>
      <c r="C554" s="21"/>
      <c r="D554" s="432">
        <v>3201503</v>
      </c>
      <c r="E554" s="439" t="s">
        <v>3626</v>
      </c>
      <c r="F554" s="439" t="s">
        <v>5101</v>
      </c>
      <c r="G554" s="273" t="s">
        <v>4262</v>
      </c>
      <c r="H554" s="500" t="s">
        <v>5100</v>
      </c>
      <c r="I554" s="262" t="s">
        <v>3492</v>
      </c>
      <c r="J554" s="262"/>
      <c r="K554" s="263">
        <v>85000</v>
      </c>
      <c r="L554" s="263">
        <v>75000</v>
      </c>
      <c r="M554" s="263">
        <v>0</v>
      </c>
      <c r="N554" s="263">
        <v>0</v>
      </c>
      <c r="O554" s="263">
        <v>0</v>
      </c>
      <c r="P554" s="263">
        <v>0</v>
      </c>
      <c r="Q554" s="263">
        <v>0</v>
      </c>
      <c r="R554" s="263">
        <v>0</v>
      </c>
      <c r="S554" s="263">
        <v>0</v>
      </c>
      <c r="T554" s="263">
        <v>0</v>
      </c>
      <c r="U554" s="263">
        <f t="shared" si="329"/>
        <v>160000</v>
      </c>
      <c r="V554" s="196" t="str">
        <f t="shared" si="303"/>
        <v>G/LOS</v>
      </c>
      <c r="W554" s="196" t="s">
        <v>1168</v>
      </c>
      <c r="X554" s="196" t="str">
        <f t="shared" si="334"/>
        <v>Y</v>
      </c>
      <c r="Y554" s="376">
        <f t="shared" ref="Y554:Y570" si="335">SUM(K554:T554)</f>
        <v>160000</v>
      </c>
      <c r="Z554" s="198"/>
      <c r="AA554" s="376">
        <f t="shared" si="304"/>
        <v>160000</v>
      </c>
      <c r="AB554" s="196" t="s">
        <v>1166</v>
      </c>
      <c r="AC554" s="196" t="s">
        <v>1168</v>
      </c>
      <c r="AD554" s="275">
        <v>0.5</v>
      </c>
      <c r="AE554" s="275">
        <v>0.5</v>
      </c>
      <c r="AF554" s="275">
        <v>0</v>
      </c>
      <c r="AG554" s="199">
        <v>0.5</v>
      </c>
      <c r="AH554" s="199">
        <v>0.5</v>
      </c>
      <c r="AI554" s="377">
        <f t="shared" si="330"/>
        <v>0.5</v>
      </c>
      <c r="AJ554" s="203">
        <v>1</v>
      </c>
      <c r="AK554" s="203">
        <f t="shared" si="328"/>
        <v>0</v>
      </c>
      <c r="AL554" s="376">
        <f t="shared" si="331"/>
        <v>80000</v>
      </c>
      <c r="AM554" s="376">
        <f t="shared" si="332"/>
        <v>80000</v>
      </c>
      <c r="AN554" s="376">
        <f t="shared" si="333"/>
        <v>0</v>
      </c>
      <c r="AO554" s="378" t="s">
        <v>3607</v>
      </c>
      <c r="AP554" s="379" t="s">
        <v>2731</v>
      </c>
      <c r="AQ554" s="279"/>
      <c r="AR554" s="287">
        <f t="shared" si="305"/>
        <v>42500</v>
      </c>
      <c r="AS554" s="287">
        <f t="shared" si="306"/>
        <v>37500</v>
      </c>
      <c r="AT554" s="287">
        <f t="shared" si="307"/>
        <v>0</v>
      </c>
      <c r="AU554" s="287">
        <f t="shared" si="308"/>
        <v>0</v>
      </c>
      <c r="AV554" s="287">
        <f t="shared" si="309"/>
        <v>0</v>
      </c>
      <c r="AW554" s="287">
        <f t="shared" si="310"/>
        <v>0</v>
      </c>
      <c r="AX554" s="287">
        <f t="shared" si="311"/>
        <v>0</v>
      </c>
      <c r="AY554" s="287">
        <f t="shared" si="312"/>
        <v>0</v>
      </c>
      <c r="AZ554" s="287">
        <f t="shared" si="313"/>
        <v>0</v>
      </c>
      <c r="BA554" s="287">
        <f t="shared" si="314"/>
        <v>0</v>
      </c>
      <c r="BB554" s="16"/>
      <c r="BC554" s="287">
        <f t="shared" si="315"/>
        <v>0</v>
      </c>
      <c r="BD554" s="287">
        <f t="shared" si="316"/>
        <v>0</v>
      </c>
      <c r="BE554" s="287">
        <f t="shared" si="317"/>
        <v>0</v>
      </c>
      <c r="BF554" s="287">
        <f t="shared" si="318"/>
        <v>0</v>
      </c>
      <c r="BG554" s="287">
        <f t="shared" si="319"/>
        <v>0</v>
      </c>
      <c r="BH554" s="287">
        <f t="shared" si="320"/>
        <v>0</v>
      </c>
      <c r="BI554" s="287">
        <f t="shared" si="321"/>
        <v>0</v>
      </c>
      <c r="BJ554" s="287">
        <f t="shared" si="322"/>
        <v>0</v>
      </c>
      <c r="BK554" s="287">
        <f t="shared" si="323"/>
        <v>0</v>
      </c>
      <c r="BL554" s="287">
        <f t="shared" si="324"/>
        <v>0</v>
      </c>
      <c r="BM554" s="16"/>
      <c r="BN554" s="287">
        <f t="shared" si="325"/>
        <v>80000</v>
      </c>
      <c r="BO554" s="287">
        <f t="shared" si="326"/>
        <v>0</v>
      </c>
      <c r="BP554" s="432"/>
      <c r="BQ554" s="21"/>
      <c r="BR554" s="21"/>
      <c r="BS554" s="6"/>
      <c r="BT554" s="194">
        <f t="shared" ref="BT554:BT570" si="336">+BN554+BO554</f>
        <v>80000</v>
      </c>
      <c r="BU554" s="194">
        <f t="shared" ref="BU554:BU570" si="337">+AM554</f>
        <v>80000</v>
      </c>
      <c r="BV554" s="194">
        <f t="shared" ref="BV554:BV570" si="338">+AN554</f>
        <v>0</v>
      </c>
      <c r="BW554" s="194">
        <f t="shared" ref="BW554:BW570" si="339">+BT554-BU554-BV554</f>
        <v>0</v>
      </c>
      <c r="BX554" s="6"/>
      <c r="BY554" s="6"/>
      <c r="BZ554" s="39">
        <v>541</v>
      </c>
      <c r="CA554" s="39">
        <f t="shared" si="327"/>
        <v>2031</v>
      </c>
      <c r="CB554" s="6"/>
      <c r="CC554" s="39"/>
      <c r="CD554" s="39"/>
      <c r="CE554" s="39"/>
      <c r="CF554" s="39"/>
      <c r="CG554" s="39"/>
      <c r="CH554" s="39"/>
      <c r="CI554" s="39"/>
      <c r="CJ554" s="39"/>
      <c r="CK554" s="39"/>
    </row>
    <row r="555" spans="1:89" s="193" customFormat="1" ht="36">
      <c r="A555" s="375" t="s">
        <v>2502</v>
      </c>
      <c r="B555" s="21" t="str">
        <f t="shared" si="302"/>
        <v>OSD</v>
      </c>
      <c r="C555" s="21"/>
      <c r="D555" s="432">
        <v>3201503</v>
      </c>
      <c r="E555" s="439" t="s">
        <v>3626</v>
      </c>
      <c r="F555" s="439" t="s">
        <v>3468</v>
      </c>
      <c r="G555" s="273" t="s">
        <v>3300</v>
      </c>
      <c r="H555" s="500" t="s">
        <v>5113</v>
      </c>
      <c r="I555" s="262" t="s">
        <v>3492</v>
      </c>
      <c r="J555" s="262" t="s">
        <v>3518</v>
      </c>
      <c r="K555" s="263">
        <v>100000</v>
      </c>
      <c r="L555" s="263">
        <v>500000</v>
      </c>
      <c r="M555" s="263">
        <v>620000</v>
      </c>
      <c r="N555" s="263">
        <v>429311</v>
      </c>
      <c r="O555" s="263">
        <v>0</v>
      </c>
      <c r="P555" s="263">
        <v>0</v>
      </c>
      <c r="Q555" s="263">
        <v>0</v>
      </c>
      <c r="R555" s="263">
        <v>0</v>
      </c>
      <c r="S555" s="263">
        <v>0</v>
      </c>
      <c r="T555" s="263">
        <v>0</v>
      </c>
      <c r="U555" s="263">
        <f t="shared" si="329"/>
        <v>1649311</v>
      </c>
      <c r="V555" s="196" t="str">
        <f t="shared" si="303"/>
        <v>G/LOS/R</v>
      </c>
      <c r="W555" s="196" t="s">
        <v>1168</v>
      </c>
      <c r="X555" s="196" t="str">
        <f t="shared" si="334"/>
        <v>Y</v>
      </c>
      <c r="Y555" s="376">
        <f t="shared" si="335"/>
        <v>1649311</v>
      </c>
      <c r="Z555" s="198"/>
      <c r="AA555" s="376">
        <f t="shared" si="304"/>
        <v>1649311</v>
      </c>
      <c r="AB555" s="196" t="s">
        <v>1166</v>
      </c>
      <c r="AC555" s="196" t="s">
        <v>1168</v>
      </c>
      <c r="AD555" s="275">
        <v>0.75</v>
      </c>
      <c r="AE555" s="275">
        <v>0.25</v>
      </c>
      <c r="AF555" s="275">
        <v>0.26539494128933111</v>
      </c>
      <c r="AG555" s="199">
        <v>0.5</v>
      </c>
      <c r="AH555" s="199">
        <v>0.75</v>
      </c>
      <c r="AI555" s="377">
        <f t="shared" si="330"/>
        <v>0.625</v>
      </c>
      <c r="AJ555" s="203">
        <v>1</v>
      </c>
      <c r="AK555" s="203">
        <f t="shared" si="328"/>
        <v>0</v>
      </c>
      <c r="AL555" s="376">
        <f t="shared" si="331"/>
        <v>618491.625</v>
      </c>
      <c r="AM555" s="376">
        <f t="shared" si="332"/>
        <v>1030819.375</v>
      </c>
      <c r="AN555" s="376">
        <f t="shared" si="333"/>
        <v>0</v>
      </c>
      <c r="AO555" s="378" t="s">
        <v>3607</v>
      </c>
      <c r="AP555" s="379" t="s">
        <v>2731</v>
      </c>
      <c r="AQ555" s="279"/>
      <c r="AR555" s="287">
        <f t="shared" si="305"/>
        <v>62500</v>
      </c>
      <c r="AS555" s="287">
        <f t="shared" si="306"/>
        <v>312500</v>
      </c>
      <c r="AT555" s="287">
        <f t="shared" si="307"/>
        <v>387500</v>
      </c>
      <c r="AU555" s="287">
        <f t="shared" si="308"/>
        <v>268319.375</v>
      </c>
      <c r="AV555" s="287">
        <f t="shared" si="309"/>
        <v>0</v>
      </c>
      <c r="AW555" s="287">
        <f t="shared" si="310"/>
        <v>0</v>
      </c>
      <c r="AX555" s="287">
        <f t="shared" si="311"/>
        <v>0</v>
      </c>
      <c r="AY555" s="287">
        <f t="shared" si="312"/>
        <v>0</v>
      </c>
      <c r="AZ555" s="287">
        <f t="shared" si="313"/>
        <v>0</v>
      </c>
      <c r="BA555" s="287">
        <f t="shared" si="314"/>
        <v>0</v>
      </c>
      <c r="BB555" s="16"/>
      <c r="BC555" s="287">
        <f t="shared" si="315"/>
        <v>0</v>
      </c>
      <c r="BD555" s="287">
        <f t="shared" si="316"/>
        <v>0</v>
      </c>
      <c r="BE555" s="287">
        <f t="shared" si="317"/>
        <v>0</v>
      </c>
      <c r="BF555" s="287">
        <f t="shared" si="318"/>
        <v>0</v>
      </c>
      <c r="BG555" s="287">
        <f t="shared" si="319"/>
        <v>0</v>
      </c>
      <c r="BH555" s="287">
        <f t="shared" si="320"/>
        <v>0</v>
      </c>
      <c r="BI555" s="287">
        <f t="shared" si="321"/>
        <v>0</v>
      </c>
      <c r="BJ555" s="287">
        <f t="shared" si="322"/>
        <v>0</v>
      </c>
      <c r="BK555" s="287">
        <f t="shared" si="323"/>
        <v>0</v>
      </c>
      <c r="BL555" s="287">
        <f t="shared" si="324"/>
        <v>0</v>
      </c>
      <c r="BM555" s="16"/>
      <c r="BN555" s="287">
        <f t="shared" si="325"/>
        <v>1030819.375</v>
      </c>
      <c r="BO555" s="287">
        <f t="shared" si="326"/>
        <v>0</v>
      </c>
      <c r="BP555" s="432"/>
      <c r="BQ555" s="21"/>
      <c r="BR555" s="21"/>
      <c r="BS555" s="6"/>
      <c r="BT555" s="194">
        <f t="shared" si="336"/>
        <v>1030819.375</v>
      </c>
      <c r="BU555" s="194">
        <f t="shared" si="337"/>
        <v>1030819.375</v>
      </c>
      <c r="BV555" s="194">
        <f t="shared" si="338"/>
        <v>0</v>
      </c>
      <c r="BW555" s="194">
        <f t="shared" si="339"/>
        <v>0</v>
      </c>
      <c r="BX555" s="6"/>
      <c r="BY555" s="6"/>
      <c r="BZ555" s="39">
        <v>542</v>
      </c>
      <c r="CA555" s="39">
        <f t="shared" si="327"/>
        <v>2031</v>
      </c>
      <c r="CB555" s="6"/>
      <c r="CC555" s="39"/>
      <c r="CD555" s="39"/>
      <c r="CE555" s="39"/>
      <c r="CF555" s="39"/>
      <c r="CG555" s="39"/>
      <c r="CH555" s="39"/>
      <c r="CI555" s="39"/>
      <c r="CJ555" s="39"/>
      <c r="CK555" s="39"/>
    </row>
    <row r="556" spans="1:89" s="193" customFormat="1" ht="48">
      <c r="A556" s="375" t="s">
        <v>2502</v>
      </c>
      <c r="B556" s="21" t="str">
        <f t="shared" si="302"/>
        <v>OSD</v>
      </c>
      <c r="C556" s="21"/>
      <c r="D556" s="432">
        <v>3201503</v>
      </c>
      <c r="E556" s="439" t="s">
        <v>3626</v>
      </c>
      <c r="F556" s="439" t="s">
        <v>5183</v>
      </c>
      <c r="G556" s="273" t="s">
        <v>4258</v>
      </c>
      <c r="H556" s="500" t="s">
        <v>5182</v>
      </c>
      <c r="I556" s="262" t="s">
        <v>3492</v>
      </c>
      <c r="J556" s="262"/>
      <c r="K556" s="263">
        <v>1500000</v>
      </c>
      <c r="L556" s="263">
        <v>1019000</v>
      </c>
      <c r="M556" s="263">
        <v>0</v>
      </c>
      <c r="N556" s="263">
        <v>0</v>
      </c>
      <c r="O556" s="263">
        <v>0</v>
      </c>
      <c r="P556" s="263">
        <v>0</v>
      </c>
      <c r="Q556" s="263">
        <v>0</v>
      </c>
      <c r="R556" s="263">
        <v>0</v>
      </c>
      <c r="S556" s="263">
        <v>0</v>
      </c>
      <c r="T556" s="263">
        <v>0</v>
      </c>
      <c r="U556" s="263">
        <f t="shared" si="329"/>
        <v>2519000</v>
      </c>
      <c r="V556" s="196" t="str">
        <f t="shared" si="303"/>
        <v>G/LOS</v>
      </c>
      <c r="W556" s="196" t="s">
        <v>1168</v>
      </c>
      <c r="X556" s="196" t="str">
        <f t="shared" si="334"/>
        <v>Y</v>
      </c>
      <c r="Y556" s="376">
        <f t="shared" si="335"/>
        <v>2519000</v>
      </c>
      <c r="Z556" s="198"/>
      <c r="AA556" s="376">
        <f t="shared" si="304"/>
        <v>2519000</v>
      </c>
      <c r="AB556" s="196" t="s">
        <v>1166</v>
      </c>
      <c r="AC556" s="196" t="s">
        <v>1168</v>
      </c>
      <c r="AD556" s="275">
        <v>0.5</v>
      </c>
      <c r="AE556" s="275">
        <v>0.5</v>
      </c>
      <c r="AF556" s="275">
        <v>0</v>
      </c>
      <c r="AG556" s="199">
        <v>0.5</v>
      </c>
      <c r="AH556" s="199">
        <v>0.5</v>
      </c>
      <c r="AI556" s="377">
        <f t="shared" si="330"/>
        <v>0.5</v>
      </c>
      <c r="AJ556" s="203">
        <v>1</v>
      </c>
      <c r="AK556" s="203">
        <f t="shared" si="328"/>
        <v>0</v>
      </c>
      <c r="AL556" s="376">
        <f t="shared" si="331"/>
        <v>1259500</v>
      </c>
      <c r="AM556" s="376">
        <f t="shared" si="332"/>
        <v>1259500</v>
      </c>
      <c r="AN556" s="376">
        <f t="shared" si="333"/>
        <v>0</v>
      </c>
      <c r="AO556" s="378" t="s">
        <v>3607</v>
      </c>
      <c r="AP556" s="379" t="s">
        <v>2731</v>
      </c>
      <c r="AQ556" s="279"/>
      <c r="AR556" s="287">
        <f t="shared" si="305"/>
        <v>750000</v>
      </c>
      <c r="AS556" s="287">
        <f t="shared" si="306"/>
        <v>509500</v>
      </c>
      <c r="AT556" s="287">
        <f t="shared" si="307"/>
        <v>0</v>
      </c>
      <c r="AU556" s="287">
        <f t="shared" si="308"/>
        <v>0</v>
      </c>
      <c r="AV556" s="287">
        <f t="shared" si="309"/>
        <v>0</v>
      </c>
      <c r="AW556" s="287">
        <f t="shared" si="310"/>
        <v>0</v>
      </c>
      <c r="AX556" s="287">
        <f t="shared" si="311"/>
        <v>0</v>
      </c>
      <c r="AY556" s="287">
        <f t="shared" si="312"/>
        <v>0</v>
      </c>
      <c r="AZ556" s="287">
        <f t="shared" si="313"/>
        <v>0</v>
      </c>
      <c r="BA556" s="287">
        <f t="shared" si="314"/>
        <v>0</v>
      </c>
      <c r="BB556" s="16"/>
      <c r="BC556" s="287">
        <f t="shared" si="315"/>
        <v>0</v>
      </c>
      <c r="BD556" s="287">
        <f t="shared" si="316"/>
        <v>0</v>
      </c>
      <c r="BE556" s="287">
        <f t="shared" si="317"/>
        <v>0</v>
      </c>
      <c r="BF556" s="287">
        <f t="shared" si="318"/>
        <v>0</v>
      </c>
      <c r="BG556" s="287">
        <f t="shared" si="319"/>
        <v>0</v>
      </c>
      <c r="BH556" s="287">
        <f t="shared" si="320"/>
        <v>0</v>
      </c>
      <c r="BI556" s="287">
        <f t="shared" si="321"/>
        <v>0</v>
      </c>
      <c r="BJ556" s="287">
        <f t="shared" si="322"/>
        <v>0</v>
      </c>
      <c r="BK556" s="287">
        <f t="shared" si="323"/>
        <v>0</v>
      </c>
      <c r="BL556" s="287">
        <f t="shared" si="324"/>
        <v>0</v>
      </c>
      <c r="BM556" s="16"/>
      <c r="BN556" s="287">
        <f t="shared" si="325"/>
        <v>1259500</v>
      </c>
      <c r="BO556" s="287">
        <f t="shared" si="326"/>
        <v>0</v>
      </c>
      <c r="BP556" s="432"/>
      <c r="BQ556" s="21"/>
      <c r="BR556" s="21"/>
      <c r="BS556" s="6"/>
      <c r="BT556" s="194">
        <f t="shared" si="336"/>
        <v>1259500</v>
      </c>
      <c r="BU556" s="194">
        <f t="shared" si="337"/>
        <v>1259500</v>
      </c>
      <c r="BV556" s="194">
        <f t="shared" si="338"/>
        <v>0</v>
      </c>
      <c r="BW556" s="194">
        <f t="shared" si="339"/>
        <v>0</v>
      </c>
      <c r="BX556" s="6"/>
      <c r="BY556" s="6"/>
      <c r="BZ556" s="39">
        <v>543</v>
      </c>
      <c r="CA556" s="39">
        <f t="shared" si="327"/>
        <v>2031</v>
      </c>
      <c r="CB556" s="6"/>
      <c r="CC556" s="39"/>
      <c r="CD556" s="39"/>
      <c r="CE556" s="39"/>
      <c r="CF556" s="39"/>
      <c r="CG556" s="39"/>
      <c r="CH556" s="39"/>
      <c r="CI556" s="39"/>
      <c r="CJ556" s="39"/>
      <c r="CK556" s="39"/>
    </row>
    <row r="557" spans="1:89" s="193" customFormat="1" ht="36">
      <c r="A557" s="375" t="s">
        <v>2502</v>
      </c>
      <c r="B557" s="21" t="str">
        <f t="shared" si="302"/>
        <v>OSD</v>
      </c>
      <c r="C557" s="21"/>
      <c r="D557" s="432">
        <v>3201501</v>
      </c>
      <c r="E557" s="439" t="s">
        <v>3626</v>
      </c>
      <c r="F557" s="439" t="s">
        <v>5157</v>
      </c>
      <c r="G557" s="273" t="s">
        <v>4242</v>
      </c>
      <c r="H557" s="500" t="s">
        <v>5156</v>
      </c>
      <c r="I557" s="262" t="s">
        <v>3492</v>
      </c>
      <c r="J557" s="262"/>
      <c r="K557" s="263">
        <v>500000</v>
      </c>
      <c r="L557" s="263">
        <v>800000</v>
      </c>
      <c r="M557" s="263">
        <v>1435000</v>
      </c>
      <c r="N557" s="263">
        <v>1200000</v>
      </c>
      <c r="O557" s="263">
        <v>0</v>
      </c>
      <c r="P557" s="263">
        <v>0</v>
      </c>
      <c r="Q557" s="263">
        <v>0</v>
      </c>
      <c r="R557" s="263">
        <v>0</v>
      </c>
      <c r="S557" s="263">
        <v>0</v>
      </c>
      <c r="T557" s="263">
        <v>0</v>
      </c>
      <c r="U557" s="263">
        <f t="shared" si="329"/>
        <v>3935000</v>
      </c>
      <c r="V557" s="196" t="str">
        <f t="shared" si="303"/>
        <v>G/LOS</v>
      </c>
      <c r="W557" s="196" t="s">
        <v>1168</v>
      </c>
      <c r="X557" s="196" t="str">
        <f t="shared" si="334"/>
        <v>Y</v>
      </c>
      <c r="Y557" s="376">
        <f t="shared" si="335"/>
        <v>3935000</v>
      </c>
      <c r="Z557" s="198"/>
      <c r="AA557" s="376">
        <f t="shared" si="304"/>
        <v>3935000</v>
      </c>
      <c r="AB557" s="196" t="s">
        <v>1166</v>
      </c>
      <c r="AC557" s="196" t="s">
        <v>1168</v>
      </c>
      <c r="AD557" s="275">
        <v>0.75</v>
      </c>
      <c r="AE557" s="275">
        <v>0.25</v>
      </c>
      <c r="AF557" s="275">
        <v>0</v>
      </c>
      <c r="AG557" s="199">
        <v>0.75</v>
      </c>
      <c r="AH557" s="199">
        <v>0.75</v>
      </c>
      <c r="AI557" s="381">
        <f t="shared" si="330"/>
        <v>0.75</v>
      </c>
      <c r="AJ557" s="203">
        <v>1</v>
      </c>
      <c r="AK557" s="203">
        <f t="shared" si="328"/>
        <v>0</v>
      </c>
      <c r="AL557" s="376">
        <f t="shared" si="331"/>
        <v>983750</v>
      </c>
      <c r="AM557" s="376">
        <f t="shared" si="332"/>
        <v>2951250</v>
      </c>
      <c r="AN557" s="376">
        <f t="shared" si="333"/>
        <v>0</v>
      </c>
      <c r="AO557" s="378" t="s">
        <v>3607</v>
      </c>
      <c r="AP557" s="379" t="s">
        <v>2732</v>
      </c>
      <c r="AQ557" s="279"/>
      <c r="AR557" s="287">
        <f t="shared" si="305"/>
        <v>375000</v>
      </c>
      <c r="AS557" s="287">
        <f t="shared" si="306"/>
        <v>600000</v>
      </c>
      <c r="AT557" s="287">
        <f t="shared" si="307"/>
        <v>1076250</v>
      </c>
      <c r="AU557" s="287">
        <f t="shared" si="308"/>
        <v>900000</v>
      </c>
      <c r="AV557" s="287">
        <f t="shared" si="309"/>
        <v>0</v>
      </c>
      <c r="AW557" s="287">
        <f t="shared" si="310"/>
        <v>0</v>
      </c>
      <c r="AX557" s="287">
        <f t="shared" si="311"/>
        <v>0</v>
      </c>
      <c r="AY557" s="287">
        <f t="shared" si="312"/>
        <v>0</v>
      </c>
      <c r="AZ557" s="287">
        <f t="shared" si="313"/>
        <v>0</v>
      </c>
      <c r="BA557" s="287">
        <f t="shared" si="314"/>
        <v>0</v>
      </c>
      <c r="BB557" s="16"/>
      <c r="BC557" s="287">
        <f t="shared" si="315"/>
        <v>0</v>
      </c>
      <c r="BD557" s="287">
        <f t="shared" si="316"/>
        <v>0</v>
      </c>
      <c r="BE557" s="287">
        <f t="shared" si="317"/>
        <v>0</v>
      </c>
      <c r="BF557" s="287">
        <f t="shared" si="318"/>
        <v>0</v>
      </c>
      <c r="BG557" s="287">
        <f t="shared" si="319"/>
        <v>0</v>
      </c>
      <c r="BH557" s="287">
        <f t="shared" si="320"/>
        <v>0</v>
      </c>
      <c r="BI557" s="287">
        <f t="shared" si="321"/>
        <v>0</v>
      </c>
      <c r="BJ557" s="287">
        <f t="shared" si="322"/>
        <v>0</v>
      </c>
      <c r="BK557" s="287">
        <f t="shared" si="323"/>
        <v>0</v>
      </c>
      <c r="BL557" s="287">
        <f t="shared" si="324"/>
        <v>0</v>
      </c>
      <c r="BM557" s="16"/>
      <c r="BN557" s="287">
        <f t="shared" si="325"/>
        <v>2951250</v>
      </c>
      <c r="BO557" s="287">
        <f t="shared" si="326"/>
        <v>0</v>
      </c>
      <c r="BP557" s="432"/>
      <c r="BQ557" s="21"/>
      <c r="BR557" s="21"/>
      <c r="BS557" s="6"/>
      <c r="BT557" s="194">
        <f t="shared" si="336"/>
        <v>2951250</v>
      </c>
      <c r="BU557" s="194">
        <f t="shared" si="337"/>
        <v>2951250</v>
      </c>
      <c r="BV557" s="194">
        <f t="shared" si="338"/>
        <v>0</v>
      </c>
      <c r="BW557" s="194">
        <f t="shared" si="339"/>
        <v>0</v>
      </c>
      <c r="BX557" s="6"/>
      <c r="BY557" s="6"/>
      <c r="BZ557" s="39">
        <v>544</v>
      </c>
      <c r="CA557" s="39">
        <f t="shared" si="327"/>
        <v>2031</v>
      </c>
      <c r="CB557" s="6"/>
      <c r="CC557" s="39"/>
      <c r="CD557" s="39"/>
      <c r="CE557" s="39"/>
      <c r="CF557" s="39"/>
      <c r="CG557" s="39"/>
      <c r="CH557" s="39"/>
      <c r="CI557" s="39"/>
      <c r="CJ557" s="39"/>
      <c r="CK557" s="39"/>
    </row>
    <row r="558" spans="1:89" s="193" customFormat="1" ht="60">
      <c r="A558" s="375" t="s">
        <v>2502</v>
      </c>
      <c r="B558" s="21" t="str">
        <f t="shared" si="302"/>
        <v>OSD</v>
      </c>
      <c r="C558" s="21"/>
      <c r="D558" s="432">
        <v>3201503</v>
      </c>
      <c r="E558" s="439" t="s">
        <v>3626</v>
      </c>
      <c r="F558" s="439" t="s">
        <v>5087</v>
      </c>
      <c r="G558" s="273" t="s">
        <v>4259</v>
      </c>
      <c r="H558" s="500" t="s">
        <v>5086</v>
      </c>
      <c r="I558" s="262" t="s">
        <v>3492</v>
      </c>
      <c r="J558" s="262"/>
      <c r="K558" s="263">
        <v>50000</v>
      </c>
      <c r="L558" s="263">
        <v>150000</v>
      </c>
      <c r="M558" s="263">
        <v>4762975</v>
      </c>
      <c r="N558" s="263">
        <v>0</v>
      </c>
      <c r="O558" s="263">
        <v>0</v>
      </c>
      <c r="P558" s="263">
        <v>0</v>
      </c>
      <c r="Q558" s="263">
        <v>0</v>
      </c>
      <c r="R558" s="263">
        <v>0</v>
      </c>
      <c r="S558" s="263">
        <v>0</v>
      </c>
      <c r="T558" s="263">
        <v>0</v>
      </c>
      <c r="U558" s="263">
        <f t="shared" si="329"/>
        <v>4962975</v>
      </c>
      <c r="V558" s="196" t="str">
        <f t="shared" si="303"/>
        <v>G/LOS</v>
      </c>
      <c r="W558" s="196" t="s">
        <v>1168</v>
      </c>
      <c r="X558" s="196" t="str">
        <f t="shared" si="334"/>
        <v>Y</v>
      </c>
      <c r="Y558" s="376">
        <f t="shared" si="335"/>
        <v>4962975</v>
      </c>
      <c r="Z558" s="198"/>
      <c r="AA558" s="376">
        <f t="shared" si="304"/>
        <v>4962975</v>
      </c>
      <c r="AB558" s="196" t="s">
        <v>1166</v>
      </c>
      <c r="AC558" s="196" t="s">
        <v>1168</v>
      </c>
      <c r="AD558" s="275">
        <v>0.75</v>
      </c>
      <c r="AE558" s="275">
        <v>0.25</v>
      </c>
      <c r="AF558" s="275">
        <v>0</v>
      </c>
      <c r="AG558" s="199">
        <v>0.75</v>
      </c>
      <c r="AH558" s="199">
        <v>0.75</v>
      </c>
      <c r="AI558" s="377">
        <f t="shared" si="330"/>
        <v>0.75</v>
      </c>
      <c r="AJ558" s="203">
        <v>1</v>
      </c>
      <c r="AK558" s="203">
        <f t="shared" si="328"/>
        <v>0</v>
      </c>
      <c r="AL558" s="376">
        <f t="shared" si="331"/>
        <v>1240743.75</v>
      </c>
      <c r="AM558" s="376">
        <f t="shared" si="332"/>
        <v>3722231.25</v>
      </c>
      <c r="AN558" s="376">
        <f t="shared" si="333"/>
        <v>0</v>
      </c>
      <c r="AO558" s="378" t="s">
        <v>3607</v>
      </c>
      <c r="AP558" s="379" t="s">
        <v>2732</v>
      </c>
      <c r="AQ558" s="279"/>
      <c r="AR558" s="287">
        <f t="shared" si="305"/>
        <v>37500</v>
      </c>
      <c r="AS558" s="287">
        <f t="shared" si="306"/>
        <v>112500</v>
      </c>
      <c r="AT558" s="287">
        <f t="shared" si="307"/>
        <v>3572231.25</v>
      </c>
      <c r="AU558" s="287">
        <f t="shared" si="308"/>
        <v>0</v>
      </c>
      <c r="AV558" s="287">
        <f t="shared" si="309"/>
        <v>0</v>
      </c>
      <c r="AW558" s="287">
        <f t="shared" si="310"/>
        <v>0</v>
      </c>
      <c r="AX558" s="287">
        <f t="shared" si="311"/>
        <v>0</v>
      </c>
      <c r="AY558" s="287">
        <f t="shared" si="312"/>
        <v>0</v>
      </c>
      <c r="AZ558" s="287">
        <f t="shared" si="313"/>
        <v>0</v>
      </c>
      <c r="BA558" s="287">
        <f t="shared" si="314"/>
        <v>0</v>
      </c>
      <c r="BB558" s="16"/>
      <c r="BC558" s="287">
        <f t="shared" si="315"/>
        <v>0</v>
      </c>
      <c r="BD558" s="287">
        <f t="shared" si="316"/>
        <v>0</v>
      </c>
      <c r="BE558" s="287">
        <f t="shared" si="317"/>
        <v>0</v>
      </c>
      <c r="BF558" s="287">
        <f t="shared" si="318"/>
        <v>0</v>
      </c>
      <c r="BG558" s="287">
        <f t="shared" si="319"/>
        <v>0</v>
      </c>
      <c r="BH558" s="287">
        <f t="shared" si="320"/>
        <v>0</v>
      </c>
      <c r="BI558" s="287">
        <f t="shared" si="321"/>
        <v>0</v>
      </c>
      <c r="BJ558" s="287">
        <f t="shared" si="322"/>
        <v>0</v>
      </c>
      <c r="BK558" s="287">
        <f t="shared" si="323"/>
        <v>0</v>
      </c>
      <c r="BL558" s="287">
        <f t="shared" si="324"/>
        <v>0</v>
      </c>
      <c r="BM558" s="16"/>
      <c r="BN558" s="287">
        <f t="shared" si="325"/>
        <v>3722231.25</v>
      </c>
      <c r="BO558" s="287">
        <f t="shared" si="326"/>
        <v>0</v>
      </c>
      <c r="BP558" s="432"/>
      <c r="BQ558" s="21"/>
      <c r="BR558" s="21"/>
      <c r="BS558" s="6"/>
      <c r="BT558" s="194">
        <f t="shared" si="336"/>
        <v>3722231.25</v>
      </c>
      <c r="BU558" s="194">
        <f t="shared" si="337"/>
        <v>3722231.25</v>
      </c>
      <c r="BV558" s="194">
        <f t="shared" si="338"/>
        <v>0</v>
      </c>
      <c r="BW558" s="194">
        <f t="shared" si="339"/>
        <v>0</v>
      </c>
      <c r="BX558" s="6"/>
      <c r="BY558" s="6"/>
      <c r="BZ558" s="39">
        <v>545</v>
      </c>
      <c r="CA558" s="39">
        <f t="shared" si="327"/>
        <v>2031</v>
      </c>
      <c r="CB558" s="6"/>
      <c r="CC558" s="39"/>
      <c r="CD558" s="39"/>
      <c r="CE558" s="39"/>
      <c r="CF558" s="39"/>
      <c r="CG558" s="39"/>
      <c r="CH558" s="39"/>
      <c r="CI558" s="39"/>
      <c r="CJ558" s="39"/>
      <c r="CK558" s="39"/>
    </row>
    <row r="559" spans="1:89" s="193" customFormat="1" ht="48">
      <c r="A559" s="375" t="s">
        <v>2502</v>
      </c>
      <c r="B559" s="21" t="str">
        <f t="shared" si="302"/>
        <v>OSD</v>
      </c>
      <c r="C559" s="21"/>
      <c r="D559" s="432">
        <v>3201503</v>
      </c>
      <c r="E559" s="439" t="s">
        <v>3626</v>
      </c>
      <c r="F559" s="439" t="s">
        <v>5161</v>
      </c>
      <c r="G559" s="273" t="s">
        <v>4257</v>
      </c>
      <c r="H559" s="500" t="s">
        <v>5160</v>
      </c>
      <c r="I559" s="262" t="s">
        <v>3492</v>
      </c>
      <c r="J559" s="262"/>
      <c r="K559" s="263">
        <v>500000</v>
      </c>
      <c r="L559" s="263">
        <v>500000</v>
      </c>
      <c r="M559" s="263">
        <v>875000</v>
      </c>
      <c r="N559" s="263">
        <v>3250000</v>
      </c>
      <c r="O559" s="263">
        <v>0</v>
      </c>
      <c r="P559" s="263">
        <v>0</v>
      </c>
      <c r="Q559" s="263">
        <v>0</v>
      </c>
      <c r="R559" s="263">
        <v>0</v>
      </c>
      <c r="S559" s="263">
        <v>0</v>
      </c>
      <c r="T559" s="263">
        <v>0</v>
      </c>
      <c r="U559" s="263">
        <f t="shared" si="329"/>
        <v>5125000</v>
      </c>
      <c r="V559" s="196" t="str">
        <f t="shared" si="303"/>
        <v>G/LOS</v>
      </c>
      <c r="W559" s="196" t="s">
        <v>1168</v>
      </c>
      <c r="X559" s="196" t="str">
        <f t="shared" si="334"/>
        <v>Y</v>
      </c>
      <c r="Y559" s="376">
        <f t="shared" si="335"/>
        <v>5125000</v>
      </c>
      <c r="Z559" s="198"/>
      <c r="AA559" s="376">
        <f t="shared" si="304"/>
        <v>5125000</v>
      </c>
      <c r="AB559" s="196" t="s">
        <v>1166</v>
      </c>
      <c r="AC559" s="196" t="s">
        <v>1168</v>
      </c>
      <c r="AD559" s="275">
        <v>0.75</v>
      </c>
      <c r="AE559" s="275">
        <v>0.25</v>
      </c>
      <c r="AF559" s="275">
        <v>0</v>
      </c>
      <c r="AG559" s="199">
        <v>0.75</v>
      </c>
      <c r="AH559" s="199">
        <v>0.75</v>
      </c>
      <c r="AI559" s="377">
        <f t="shared" si="330"/>
        <v>0.75</v>
      </c>
      <c r="AJ559" s="203">
        <v>1</v>
      </c>
      <c r="AK559" s="203">
        <f t="shared" si="328"/>
        <v>0</v>
      </c>
      <c r="AL559" s="376">
        <f t="shared" si="331"/>
        <v>1281250</v>
      </c>
      <c r="AM559" s="376">
        <f t="shared" si="332"/>
        <v>3843750</v>
      </c>
      <c r="AN559" s="376">
        <f t="shared" si="333"/>
        <v>0</v>
      </c>
      <c r="AO559" s="378" t="s">
        <v>3607</v>
      </c>
      <c r="AP559" s="379" t="s">
        <v>2732</v>
      </c>
      <c r="AQ559" s="279"/>
      <c r="AR559" s="287">
        <f t="shared" si="305"/>
        <v>375000</v>
      </c>
      <c r="AS559" s="287">
        <f t="shared" si="306"/>
        <v>375000</v>
      </c>
      <c r="AT559" s="287">
        <f t="shared" si="307"/>
        <v>656250</v>
      </c>
      <c r="AU559" s="287">
        <f t="shared" si="308"/>
        <v>2437500</v>
      </c>
      <c r="AV559" s="287">
        <f t="shared" si="309"/>
        <v>0</v>
      </c>
      <c r="AW559" s="287">
        <f t="shared" si="310"/>
        <v>0</v>
      </c>
      <c r="AX559" s="287">
        <f t="shared" si="311"/>
        <v>0</v>
      </c>
      <c r="AY559" s="287">
        <f t="shared" si="312"/>
        <v>0</v>
      </c>
      <c r="AZ559" s="287">
        <f t="shared" si="313"/>
        <v>0</v>
      </c>
      <c r="BA559" s="287">
        <f t="shared" si="314"/>
        <v>0</v>
      </c>
      <c r="BB559" s="16"/>
      <c r="BC559" s="287">
        <f t="shared" si="315"/>
        <v>0</v>
      </c>
      <c r="BD559" s="287">
        <f t="shared" si="316"/>
        <v>0</v>
      </c>
      <c r="BE559" s="287">
        <f t="shared" si="317"/>
        <v>0</v>
      </c>
      <c r="BF559" s="287">
        <f t="shared" si="318"/>
        <v>0</v>
      </c>
      <c r="BG559" s="287">
        <f t="shared" si="319"/>
        <v>0</v>
      </c>
      <c r="BH559" s="287">
        <f t="shared" si="320"/>
        <v>0</v>
      </c>
      <c r="BI559" s="287">
        <f t="shared" si="321"/>
        <v>0</v>
      </c>
      <c r="BJ559" s="287">
        <f t="shared" si="322"/>
        <v>0</v>
      </c>
      <c r="BK559" s="287">
        <f t="shared" si="323"/>
        <v>0</v>
      </c>
      <c r="BL559" s="287">
        <f t="shared" si="324"/>
        <v>0</v>
      </c>
      <c r="BM559" s="16"/>
      <c r="BN559" s="287">
        <f t="shared" si="325"/>
        <v>3843750</v>
      </c>
      <c r="BO559" s="287">
        <f t="shared" si="326"/>
        <v>0</v>
      </c>
      <c r="BP559" s="432"/>
      <c r="BQ559" s="21"/>
      <c r="BR559" s="21"/>
      <c r="BS559" s="6"/>
      <c r="BT559" s="194">
        <f t="shared" si="336"/>
        <v>3843750</v>
      </c>
      <c r="BU559" s="194">
        <f t="shared" si="337"/>
        <v>3843750</v>
      </c>
      <c r="BV559" s="194">
        <f t="shared" si="338"/>
        <v>0</v>
      </c>
      <c r="BW559" s="194">
        <f t="shared" si="339"/>
        <v>0</v>
      </c>
      <c r="BX559" s="6"/>
      <c r="BY559" s="6"/>
      <c r="BZ559" s="39">
        <v>546</v>
      </c>
      <c r="CA559" s="39">
        <f t="shared" si="327"/>
        <v>2031</v>
      </c>
      <c r="CB559" s="6"/>
      <c r="CC559" s="39"/>
      <c r="CD559" s="39"/>
      <c r="CE559" s="39"/>
      <c r="CF559" s="39"/>
      <c r="CG559" s="39"/>
      <c r="CH559" s="39"/>
      <c r="CI559" s="39"/>
      <c r="CJ559" s="39"/>
      <c r="CK559" s="39"/>
    </row>
    <row r="560" spans="1:89" s="193" customFormat="1" ht="36">
      <c r="A560" s="375" t="s">
        <v>2502</v>
      </c>
      <c r="B560" s="21" t="str">
        <f t="shared" si="302"/>
        <v>OSD</v>
      </c>
      <c r="C560" s="21"/>
      <c r="D560" s="432">
        <v>3201503</v>
      </c>
      <c r="E560" s="439" t="s">
        <v>3626</v>
      </c>
      <c r="F560" s="439" t="s">
        <v>5081</v>
      </c>
      <c r="G560" s="273" t="s">
        <v>4263</v>
      </c>
      <c r="H560" s="500" t="s">
        <v>5039</v>
      </c>
      <c r="I560" s="262" t="s">
        <v>3492</v>
      </c>
      <c r="J560" s="262" t="s">
        <v>3511</v>
      </c>
      <c r="K560" s="263">
        <v>200000</v>
      </c>
      <c r="L560" s="263">
        <v>576000</v>
      </c>
      <c r="M560" s="263">
        <v>1000000</v>
      </c>
      <c r="N560" s="263">
        <v>0</v>
      </c>
      <c r="O560" s="263">
        <v>0</v>
      </c>
      <c r="P560" s="263">
        <v>0</v>
      </c>
      <c r="Q560" s="263">
        <v>0</v>
      </c>
      <c r="R560" s="263">
        <v>0</v>
      </c>
      <c r="S560" s="263">
        <v>0</v>
      </c>
      <c r="T560" s="263">
        <v>0</v>
      </c>
      <c r="U560" s="263">
        <f t="shared" si="329"/>
        <v>1776000</v>
      </c>
      <c r="V560" s="196" t="str">
        <f t="shared" si="303"/>
        <v>G/LOS</v>
      </c>
      <c r="W560" s="196" t="s">
        <v>1168</v>
      </c>
      <c r="X560" s="196" t="str">
        <f t="shared" si="334"/>
        <v>Y</v>
      </c>
      <c r="Y560" s="376">
        <f t="shared" si="335"/>
        <v>1776000</v>
      </c>
      <c r="Z560" s="198"/>
      <c r="AA560" s="376">
        <f t="shared" si="304"/>
        <v>1776000</v>
      </c>
      <c r="AB560" s="196" t="s">
        <v>1166</v>
      </c>
      <c r="AC560" s="196" t="s">
        <v>1168</v>
      </c>
      <c r="AD560" s="275">
        <v>0.75</v>
      </c>
      <c r="AE560" s="275">
        <v>0.25</v>
      </c>
      <c r="AF560" s="275">
        <v>0</v>
      </c>
      <c r="AG560" s="199">
        <v>0.75</v>
      </c>
      <c r="AH560" s="199">
        <v>0.75</v>
      </c>
      <c r="AI560" s="377">
        <f t="shared" si="330"/>
        <v>0.75</v>
      </c>
      <c r="AJ560" s="203">
        <v>1</v>
      </c>
      <c r="AK560" s="203">
        <f t="shared" si="328"/>
        <v>0</v>
      </c>
      <c r="AL560" s="376">
        <f t="shared" si="331"/>
        <v>444000</v>
      </c>
      <c r="AM560" s="376">
        <f t="shared" si="332"/>
        <v>1332000</v>
      </c>
      <c r="AN560" s="376">
        <f t="shared" si="333"/>
        <v>0</v>
      </c>
      <c r="AO560" s="378" t="s">
        <v>3607</v>
      </c>
      <c r="AP560" s="379" t="s">
        <v>2733</v>
      </c>
      <c r="AQ560" s="279"/>
      <c r="AR560" s="287">
        <f t="shared" si="305"/>
        <v>150000</v>
      </c>
      <c r="AS560" s="287">
        <f t="shared" si="306"/>
        <v>432000</v>
      </c>
      <c r="AT560" s="287">
        <f t="shared" si="307"/>
        <v>750000</v>
      </c>
      <c r="AU560" s="287">
        <f t="shared" si="308"/>
        <v>0</v>
      </c>
      <c r="AV560" s="287">
        <f t="shared" si="309"/>
        <v>0</v>
      </c>
      <c r="AW560" s="287">
        <f t="shared" si="310"/>
        <v>0</v>
      </c>
      <c r="AX560" s="287">
        <f t="shared" si="311"/>
        <v>0</v>
      </c>
      <c r="AY560" s="287">
        <f t="shared" si="312"/>
        <v>0</v>
      </c>
      <c r="AZ560" s="287">
        <f t="shared" si="313"/>
        <v>0</v>
      </c>
      <c r="BA560" s="287">
        <f t="shared" si="314"/>
        <v>0</v>
      </c>
      <c r="BB560" s="16"/>
      <c r="BC560" s="287">
        <f t="shared" si="315"/>
        <v>0</v>
      </c>
      <c r="BD560" s="287">
        <f t="shared" si="316"/>
        <v>0</v>
      </c>
      <c r="BE560" s="287">
        <f t="shared" si="317"/>
        <v>0</v>
      </c>
      <c r="BF560" s="287">
        <f t="shared" si="318"/>
        <v>0</v>
      </c>
      <c r="BG560" s="287">
        <f t="shared" si="319"/>
        <v>0</v>
      </c>
      <c r="BH560" s="287">
        <f t="shared" si="320"/>
        <v>0</v>
      </c>
      <c r="BI560" s="287">
        <f t="shared" si="321"/>
        <v>0</v>
      </c>
      <c r="BJ560" s="287">
        <f t="shared" si="322"/>
        <v>0</v>
      </c>
      <c r="BK560" s="287">
        <f t="shared" si="323"/>
        <v>0</v>
      </c>
      <c r="BL560" s="287">
        <f t="shared" si="324"/>
        <v>0</v>
      </c>
      <c r="BM560" s="16"/>
      <c r="BN560" s="287">
        <f t="shared" si="325"/>
        <v>1332000</v>
      </c>
      <c r="BO560" s="287">
        <f t="shared" si="326"/>
        <v>0</v>
      </c>
      <c r="BP560" s="432"/>
      <c r="BQ560" s="21"/>
      <c r="BR560" s="21"/>
      <c r="BS560" s="6"/>
      <c r="BT560" s="194">
        <f t="shared" si="336"/>
        <v>1332000</v>
      </c>
      <c r="BU560" s="194">
        <f t="shared" si="337"/>
        <v>1332000</v>
      </c>
      <c r="BV560" s="194">
        <f t="shared" si="338"/>
        <v>0</v>
      </c>
      <c r="BW560" s="194">
        <f t="shared" si="339"/>
        <v>0</v>
      </c>
      <c r="BX560" s="6"/>
      <c r="BY560" s="6"/>
      <c r="BZ560" s="39">
        <v>547</v>
      </c>
      <c r="CA560" s="39">
        <f t="shared" si="327"/>
        <v>2031</v>
      </c>
      <c r="CB560" s="6"/>
      <c r="CC560" s="39"/>
      <c r="CD560" s="39"/>
      <c r="CE560" s="39"/>
      <c r="CF560" s="39"/>
      <c r="CG560" s="39"/>
      <c r="CH560" s="39"/>
      <c r="CI560" s="39"/>
      <c r="CJ560" s="39"/>
      <c r="CK560" s="39"/>
    </row>
    <row r="561" spans="1:89" s="193" customFormat="1" ht="36">
      <c r="A561" s="375" t="s">
        <v>2502</v>
      </c>
      <c r="B561" s="21" t="str">
        <f t="shared" si="302"/>
        <v>OSD</v>
      </c>
      <c r="C561" s="21"/>
      <c r="D561" s="432">
        <v>3201520</v>
      </c>
      <c r="E561" s="439" t="s">
        <v>3626</v>
      </c>
      <c r="F561" s="439" t="s">
        <v>3834</v>
      </c>
      <c r="G561" s="273" t="s">
        <v>4412</v>
      </c>
      <c r="H561" s="500" t="s">
        <v>5066</v>
      </c>
      <c r="I561" s="262" t="s">
        <v>3492</v>
      </c>
      <c r="J561" s="262" t="s">
        <v>3525</v>
      </c>
      <c r="K561" s="263">
        <v>50000</v>
      </c>
      <c r="L561" s="263">
        <v>1300000</v>
      </c>
      <c r="M561" s="263">
        <v>1595714</v>
      </c>
      <c r="N561" s="263">
        <v>0</v>
      </c>
      <c r="O561" s="263">
        <v>0</v>
      </c>
      <c r="P561" s="263">
        <v>0</v>
      </c>
      <c r="Q561" s="263">
        <v>0</v>
      </c>
      <c r="R561" s="263">
        <v>0</v>
      </c>
      <c r="S561" s="263">
        <v>0</v>
      </c>
      <c r="T561" s="263">
        <v>0</v>
      </c>
      <c r="U561" s="263">
        <f t="shared" si="329"/>
        <v>2945714</v>
      </c>
      <c r="V561" s="196" t="str">
        <f t="shared" si="303"/>
        <v>G/LOS</v>
      </c>
      <c r="W561" s="196" t="s">
        <v>1168</v>
      </c>
      <c r="X561" s="196" t="str">
        <f t="shared" si="334"/>
        <v>Y</v>
      </c>
      <c r="Y561" s="376">
        <f t="shared" si="335"/>
        <v>2945714</v>
      </c>
      <c r="Z561" s="198"/>
      <c r="AA561" s="376">
        <f t="shared" si="304"/>
        <v>2945714</v>
      </c>
      <c r="AB561" s="196" t="s">
        <v>1166</v>
      </c>
      <c r="AC561" s="196" t="s">
        <v>1168</v>
      </c>
      <c r="AD561" s="275">
        <v>0.28218982114897817</v>
      </c>
      <c r="AE561" s="275">
        <v>0.7</v>
      </c>
      <c r="AF561" s="275">
        <v>0</v>
      </c>
      <c r="AG561" s="442">
        <v>0.28000000000000003</v>
      </c>
      <c r="AH561" s="442">
        <v>0.28000000000000003</v>
      </c>
      <c r="AI561" s="377">
        <f t="shared" si="330"/>
        <v>0.28000000000000003</v>
      </c>
      <c r="AJ561" s="203">
        <v>1</v>
      </c>
      <c r="AK561" s="203">
        <f t="shared" si="328"/>
        <v>0</v>
      </c>
      <c r="AL561" s="376">
        <f t="shared" si="331"/>
        <v>2120914.08</v>
      </c>
      <c r="AM561" s="376">
        <f t="shared" si="332"/>
        <v>824799.92</v>
      </c>
      <c r="AN561" s="376">
        <f t="shared" si="333"/>
        <v>0</v>
      </c>
      <c r="AO561" s="378" t="s">
        <v>3607</v>
      </c>
      <c r="AP561" s="379" t="s">
        <v>2733</v>
      </c>
      <c r="AQ561" s="279"/>
      <c r="AR561" s="287">
        <f t="shared" si="305"/>
        <v>14000.000000000002</v>
      </c>
      <c r="AS561" s="287">
        <f t="shared" si="306"/>
        <v>364000.00000000006</v>
      </c>
      <c r="AT561" s="287">
        <f t="shared" si="307"/>
        <v>446799.92000000004</v>
      </c>
      <c r="AU561" s="287">
        <f t="shared" si="308"/>
        <v>0</v>
      </c>
      <c r="AV561" s="287">
        <f t="shared" si="309"/>
        <v>0</v>
      </c>
      <c r="AW561" s="287">
        <f t="shared" si="310"/>
        <v>0</v>
      </c>
      <c r="AX561" s="287">
        <f t="shared" si="311"/>
        <v>0</v>
      </c>
      <c r="AY561" s="287">
        <f t="shared" si="312"/>
        <v>0</v>
      </c>
      <c r="AZ561" s="287">
        <f t="shared" si="313"/>
        <v>0</v>
      </c>
      <c r="BA561" s="287">
        <f t="shared" si="314"/>
        <v>0</v>
      </c>
      <c r="BB561" s="16"/>
      <c r="BC561" s="287">
        <f t="shared" si="315"/>
        <v>0</v>
      </c>
      <c r="BD561" s="287">
        <f t="shared" si="316"/>
        <v>0</v>
      </c>
      <c r="BE561" s="287">
        <f t="shared" si="317"/>
        <v>0</v>
      </c>
      <c r="BF561" s="287">
        <f t="shared" si="318"/>
        <v>0</v>
      </c>
      <c r="BG561" s="287">
        <f t="shared" si="319"/>
        <v>0</v>
      </c>
      <c r="BH561" s="287">
        <f t="shared" si="320"/>
        <v>0</v>
      </c>
      <c r="BI561" s="287">
        <f t="shared" si="321"/>
        <v>0</v>
      </c>
      <c r="BJ561" s="287">
        <f t="shared" si="322"/>
        <v>0</v>
      </c>
      <c r="BK561" s="287">
        <f t="shared" si="323"/>
        <v>0</v>
      </c>
      <c r="BL561" s="287">
        <f t="shared" si="324"/>
        <v>0</v>
      </c>
      <c r="BM561" s="16"/>
      <c r="BN561" s="287">
        <f t="shared" si="325"/>
        <v>824799.92000000016</v>
      </c>
      <c r="BO561" s="287">
        <f t="shared" si="326"/>
        <v>0</v>
      </c>
      <c r="BP561" s="432"/>
      <c r="BQ561" s="21"/>
      <c r="BR561" s="21"/>
      <c r="BS561" s="6"/>
      <c r="BT561" s="194">
        <f t="shared" si="336"/>
        <v>824799.92000000016</v>
      </c>
      <c r="BU561" s="194">
        <f t="shared" si="337"/>
        <v>824799.92</v>
      </c>
      <c r="BV561" s="194">
        <f t="shared" si="338"/>
        <v>0</v>
      </c>
      <c r="BW561" s="194">
        <f t="shared" si="339"/>
        <v>1.1641532182693481E-10</v>
      </c>
      <c r="BX561" s="6"/>
      <c r="BY561" s="6"/>
      <c r="BZ561" s="39">
        <v>548</v>
      </c>
      <c r="CA561" s="39">
        <f t="shared" si="327"/>
        <v>2031</v>
      </c>
      <c r="CB561" s="6"/>
      <c r="CC561" s="39"/>
      <c r="CD561" s="39"/>
      <c r="CE561" s="39"/>
      <c r="CF561" s="39"/>
      <c r="CG561" s="39"/>
      <c r="CH561" s="39"/>
      <c r="CI561" s="39"/>
      <c r="CJ561" s="39"/>
      <c r="CK561" s="39"/>
    </row>
    <row r="562" spans="1:89" s="193" customFormat="1" ht="48">
      <c r="A562" s="375" t="s">
        <v>2502</v>
      </c>
      <c r="B562" s="21" t="str">
        <f t="shared" si="302"/>
        <v>OSD</v>
      </c>
      <c r="C562" s="21"/>
      <c r="D562" s="432">
        <v>3201503</v>
      </c>
      <c r="E562" s="439" t="s">
        <v>3626</v>
      </c>
      <c r="F562" s="439" t="s">
        <v>5094</v>
      </c>
      <c r="G562" s="273" t="s">
        <v>4261</v>
      </c>
      <c r="H562" s="516" t="s">
        <v>5095</v>
      </c>
      <c r="I562" s="262" t="s">
        <v>3492</v>
      </c>
      <c r="J562" s="262" t="s">
        <v>3505</v>
      </c>
      <c r="K562" s="263">
        <v>63527</v>
      </c>
      <c r="L562" s="263">
        <v>0</v>
      </c>
      <c r="M562" s="263">
        <v>0</v>
      </c>
      <c r="N562" s="263">
        <v>0</v>
      </c>
      <c r="O562" s="263">
        <v>0</v>
      </c>
      <c r="P562" s="263">
        <v>0</v>
      </c>
      <c r="Q562" s="263">
        <v>0</v>
      </c>
      <c r="R562" s="263">
        <v>0</v>
      </c>
      <c r="S562" s="263">
        <v>0</v>
      </c>
      <c r="T562" s="263">
        <v>0</v>
      </c>
      <c r="U562" s="263">
        <f t="shared" si="329"/>
        <v>63527</v>
      </c>
      <c r="V562" s="196" t="str">
        <f t="shared" si="303"/>
        <v>G/LOS</v>
      </c>
      <c r="W562" s="196" t="s">
        <v>1168</v>
      </c>
      <c r="X562" s="196" t="str">
        <f t="shared" si="334"/>
        <v>Y</v>
      </c>
      <c r="Y562" s="376">
        <f t="shared" si="335"/>
        <v>63527</v>
      </c>
      <c r="Z562" s="198"/>
      <c r="AA562" s="376">
        <f t="shared" si="304"/>
        <v>63527</v>
      </c>
      <c r="AB562" s="196" t="s">
        <v>1166</v>
      </c>
      <c r="AC562" s="196" t="s">
        <v>1168</v>
      </c>
      <c r="AD562" s="518">
        <v>0.75</v>
      </c>
      <c r="AE562" s="275">
        <v>0.25</v>
      </c>
      <c r="AF562" s="275">
        <v>0</v>
      </c>
      <c r="AG562" s="199">
        <v>0.75</v>
      </c>
      <c r="AH562" s="199">
        <v>0.75</v>
      </c>
      <c r="AI562" s="377">
        <f t="shared" si="330"/>
        <v>0.75</v>
      </c>
      <c r="AJ562" s="203">
        <v>1</v>
      </c>
      <c r="AK562" s="203">
        <f t="shared" si="328"/>
        <v>0</v>
      </c>
      <c r="AL562" s="376">
        <f t="shared" si="331"/>
        <v>15881.75</v>
      </c>
      <c r="AM562" s="376">
        <f t="shared" si="332"/>
        <v>47645.25</v>
      </c>
      <c r="AN562" s="376">
        <f t="shared" si="333"/>
        <v>0</v>
      </c>
      <c r="AO562" s="378" t="s">
        <v>3607</v>
      </c>
      <c r="AP562" s="379" t="s">
        <v>2736</v>
      </c>
      <c r="AQ562" s="279"/>
      <c r="AR562" s="287">
        <f t="shared" si="305"/>
        <v>47645.25</v>
      </c>
      <c r="AS562" s="287">
        <f t="shared" si="306"/>
        <v>0</v>
      </c>
      <c r="AT562" s="287">
        <f t="shared" si="307"/>
        <v>0</v>
      </c>
      <c r="AU562" s="287">
        <f t="shared" si="308"/>
        <v>0</v>
      </c>
      <c r="AV562" s="287">
        <f t="shared" si="309"/>
        <v>0</v>
      </c>
      <c r="AW562" s="287">
        <f t="shared" si="310"/>
        <v>0</v>
      </c>
      <c r="AX562" s="287">
        <f t="shared" si="311"/>
        <v>0</v>
      </c>
      <c r="AY562" s="287">
        <f t="shared" si="312"/>
        <v>0</v>
      </c>
      <c r="AZ562" s="287">
        <f t="shared" si="313"/>
        <v>0</v>
      </c>
      <c r="BA562" s="287">
        <f t="shared" si="314"/>
        <v>0</v>
      </c>
      <c r="BB562" s="16"/>
      <c r="BC562" s="287">
        <f t="shared" si="315"/>
        <v>0</v>
      </c>
      <c r="BD562" s="287">
        <f t="shared" si="316"/>
        <v>0</v>
      </c>
      <c r="BE562" s="287">
        <f t="shared" si="317"/>
        <v>0</v>
      </c>
      <c r="BF562" s="287">
        <f t="shared" si="318"/>
        <v>0</v>
      </c>
      <c r="BG562" s="287">
        <f t="shared" si="319"/>
        <v>0</v>
      </c>
      <c r="BH562" s="287">
        <f t="shared" si="320"/>
        <v>0</v>
      </c>
      <c r="BI562" s="287">
        <f t="shared" si="321"/>
        <v>0</v>
      </c>
      <c r="BJ562" s="287">
        <f t="shared" si="322"/>
        <v>0</v>
      </c>
      <c r="BK562" s="287">
        <f t="shared" si="323"/>
        <v>0</v>
      </c>
      <c r="BL562" s="287">
        <f t="shared" si="324"/>
        <v>0</v>
      </c>
      <c r="BM562" s="16"/>
      <c r="BN562" s="287">
        <f t="shared" si="325"/>
        <v>47645.25</v>
      </c>
      <c r="BO562" s="287">
        <f t="shared" si="326"/>
        <v>0</v>
      </c>
      <c r="BP562" s="432"/>
      <c r="BQ562" s="21"/>
      <c r="BR562" s="21"/>
      <c r="BS562" s="6"/>
      <c r="BT562" s="194">
        <f t="shared" si="336"/>
        <v>47645.25</v>
      </c>
      <c r="BU562" s="194">
        <f t="shared" si="337"/>
        <v>47645.25</v>
      </c>
      <c r="BV562" s="194">
        <f t="shared" si="338"/>
        <v>0</v>
      </c>
      <c r="BW562" s="194">
        <f t="shared" si="339"/>
        <v>0</v>
      </c>
      <c r="BX562" s="6"/>
      <c r="BY562" s="6"/>
      <c r="BZ562" s="39">
        <v>549</v>
      </c>
      <c r="CA562" s="39">
        <f t="shared" si="327"/>
        <v>2031</v>
      </c>
      <c r="CB562" s="6"/>
      <c r="CC562" s="39"/>
      <c r="CD562" s="39"/>
      <c r="CE562" s="39"/>
      <c r="CF562" s="39"/>
      <c r="CG562" s="39"/>
      <c r="CH562" s="39"/>
      <c r="CI562" s="39"/>
      <c r="CJ562" s="39"/>
      <c r="CK562" s="39"/>
    </row>
    <row r="563" spans="1:89" s="193" customFormat="1" ht="36">
      <c r="A563" s="375" t="s">
        <v>2502</v>
      </c>
      <c r="B563" s="21" t="str">
        <f t="shared" si="302"/>
        <v>OSD</v>
      </c>
      <c r="C563" s="21"/>
      <c r="D563" s="432">
        <v>3201501</v>
      </c>
      <c r="E563" s="439" t="s">
        <v>3626</v>
      </c>
      <c r="F563" s="439" t="s">
        <v>5072</v>
      </c>
      <c r="G563" s="273" t="s">
        <v>4240</v>
      </c>
      <c r="H563" s="500" t="s">
        <v>5056</v>
      </c>
      <c r="I563" s="262" t="s">
        <v>3492</v>
      </c>
      <c r="J563" s="262"/>
      <c r="K563" s="263">
        <v>25000</v>
      </c>
      <c r="L563" s="263">
        <v>150000</v>
      </c>
      <c r="M563" s="263">
        <v>1550000</v>
      </c>
      <c r="N563" s="263">
        <v>1275000</v>
      </c>
      <c r="O563" s="263">
        <v>0</v>
      </c>
      <c r="P563" s="263">
        <v>0</v>
      </c>
      <c r="Q563" s="263">
        <v>0</v>
      </c>
      <c r="R563" s="263">
        <v>0</v>
      </c>
      <c r="S563" s="263">
        <v>0</v>
      </c>
      <c r="T563" s="263">
        <v>0</v>
      </c>
      <c r="U563" s="263">
        <f t="shared" si="329"/>
        <v>3000000</v>
      </c>
      <c r="V563" s="196" t="str">
        <f t="shared" si="303"/>
        <v>G/LOS</v>
      </c>
      <c r="W563" s="196" t="s">
        <v>1168</v>
      </c>
      <c r="X563" s="196" t="str">
        <f t="shared" si="334"/>
        <v>Y</v>
      </c>
      <c r="Y563" s="376">
        <f t="shared" si="335"/>
        <v>3000000</v>
      </c>
      <c r="Z563" s="198"/>
      <c r="AA563" s="376">
        <f t="shared" si="304"/>
        <v>3000000</v>
      </c>
      <c r="AB563" s="196" t="s">
        <v>1166</v>
      </c>
      <c r="AC563" s="196" t="s">
        <v>1168</v>
      </c>
      <c r="AD563" s="275">
        <v>0.75</v>
      </c>
      <c r="AE563" s="275">
        <v>0.25</v>
      </c>
      <c r="AF563" s="275">
        <v>0</v>
      </c>
      <c r="AG563" s="199">
        <v>0.5</v>
      </c>
      <c r="AH563" s="199">
        <v>0.75</v>
      </c>
      <c r="AI563" s="381">
        <f t="shared" si="330"/>
        <v>0.625</v>
      </c>
      <c r="AJ563" s="203">
        <v>1</v>
      </c>
      <c r="AK563" s="203">
        <f t="shared" ref="AK563:AK570" si="340">1-AJ563</f>
        <v>0</v>
      </c>
      <c r="AL563" s="376">
        <f t="shared" si="331"/>
        <v>1125000</v>
      </c>
      <c r="AM563" s="376">
        <f t="shared" si="332"/>
        <v>1875000</v>
      </c>
      <c r="AN563" s="376">
        <f t="shared" si="333"/>
        <v>0</v>
      </c>
      <c r="AO563" s="378" t="s">
        <v>3607</v>
      </c>
      <c r="AP563" s="379" t="s">
        <v>2740</v>
      </c>
      <c r="AQ563" s="279"/>
      <c r="AR563" s="287">
        <f t="shared" si="305"/>
        <v>15625</v>
      </c>
      <c r="AS563" s="287">
        <f t="shared" si="306"/>
        <v>93750</v>
      </c>
      <c r="AT563" s="287">
        <f t="shared" si="307"/>
        <v>968750</v>
      </c>
      <c r="AU563" s="287">
        <f t="shared" si="308"/>
        <v>796875</v>
      </c>
      <c r="AV563" s="287">
        <f t="shared" si="309"/>
        <v>0</v>
      </c>
      <c r="AW563" s="287">
        <f t="shared" si="310"/>
        <v>0</v>
      </c>
      <c r="AX563" s="287">
        <f t="shared" si="311"/>
        <v>0</v>
      </c>
      <c r="AY563" s="287">
        <f t="shared" si="312"/>
        <v>0</v>
      </c>
      <c r="AZ563" s="287">
        <f t="shared" si="313"/>
        <v>0</v>
      </c>
      <c r="BA563" s="287">
        <f t="shared" si="314"/>
        <v>0</v>
      </c>
      <c r="BB563" s="16"/>
      <c r="BC563" s="287">
        <f t="shared" si="315"/>
        <v>0</v>
      </c>
      <c r="BD563" s="287">
        <f t="shared" si="316"/>
        <v>0</v>
      </c>
      <c r="BE563" s="287">
        <f t="shared" si="317"/>
        <v>0</v>
      </c>
      <c r="BF563" s="287">
        <f t="shared" si="318"/>
        <v>0</v>
      </c>
      <c r="BG563" s="287">
        <f t="shared" si="319"/>
        <v>0</v>
      </c>
      <c r="BH563" s="287">
        <f t="shared" si="320"/>
        <v>0</v>
      </c>
      <c r="BI563" s="287">
        <f t="shared" si="321"/>
        <v>0</v>
      </c>
      <c r="BJ563" s="287">
        <f t="shared" si="322"/>
        <v>0</v>
      </c>
      <c r="BK563" s="287">
        <f t="shared" si="323"/>
        <v>0</v>
      </c>
      <c r="BL563" s="287">
        <f t="shared" si="324"/>
        <v>0</v>
      </c>
      <c r="BM563" s="16"/>
      <c r="BN563" s="287">
        <f t="shared" si="325"/>
        <v>1875000</v>
      </c>
      <c r="BO563" s="287">
        <f t="shared" si="326"/>
        <v>0</v>
      </c>
      <c r="BP563" s="432"/>
      <c r="BQ563" s="21"/>
      <c r="BR563" s="21"/>
      <c r="BS563" s="6"/>
      <c r="BT563" s="194">
        <f t="shared" si="336"/>
        <v>1875000</v>
      </c>
      <c r="BU563" s="194">
        <f t="shared" si="337"/>
        <v>1875000</v>
      </c>
      <c r="BV563" s="194">
        <f t="shared" si="338"/>
        <v>0</v>
      </c>
      <c r="BW563" s="194">
        <f t="shared" si="339"/>
        <v>0</v>
      </c>
      <c r="BX563" s="6"/>
      <c r="BY563" s="6"/>
      <c r="BZ563" s="39">
        <v>550</v>
      </c>
      <c r="CA563" s="39">
        <f t="shared" si="327"/>
        <v>2031</v>
      </c>
      <c r="CB563" s="6"/>
      <c r="CC563" s="39"/>
      <c r="CD563" s="39"/>
      <c r="CE563" s="39"/>
      <c r="CF563" s="39"/>
      <c r="CG563" s="39"/>
      <c r="CH563" s="39"/>
      <c r="CI563" s="39"/>
      <c r="CJ563" s="39"/>
      <c r="CK563" s="39"/>
    </row>
    <row r="564" spans="1:89" s="193" customFormat="1" ht="48">
      <c r="A564" s="375" t="s">
        <v>2502</v>
      </c>
      <c r="B564" s="21" t="str">
        <f t="shared" si="302"/>
        <v>OSD</v>
      </c>
      <c r="C564" s="21"/>
      <c r="D564" s="432">
        <v>3201501</v>
      </c>
      <c r="E564" s="439" t="s">
        <v>3626</v>
      </c>
      <c r="F564" s="439" t="s">
        <v>5073</v>
      </c>
      <c r="G564" s="273" t="s">
        <v>4244</v>
      </c>
      <c r="H564" s="500" t="s">
        <v>5057</v>
      </c>
      <c r="I564" s="262" t="s">
        <v>3492</v>
      </c>
      <c r="J564" s="262"/>
      <c r="K564" s="263">
        <v>25000</v>
      </c>
      <c r="L564" s="263">
        <v>425000</v>
      </c>
      <c r="M564" s="263">
        <v>100000</v>
      </c>
      <c r="N564" s="263">
        <v>3950000</v>
      </c>
      <c r="O564" s="263">
        <v>5500000</v>
      </c>
      <c r="P564" s="263">
        <v>0</v>
      </c>
      <c r="Q564" s="263">
        <v>0</v>
      </c>
      <c r="R564" s="263">
        <v>0</v>
      </c>
      <c r="S564" s="263">
        <v>0</v>
      </c>
      <c r="T564" s="263">
        <v>0</v>
      </c>
      <c r="U564" s="263">
        <f t="shared" si="329"/>
        <v>10000000</v>
      </c>
      <c r="V564" s="196" t="str">
        <f t="shared" si="303"/>
        <v>G/LOS</v>
      </c>
      <c r="W564" s="196" t="s">
        <v>1168</v>
      </c>
      <c r="X564" s="196" t="str">
        <f t="shared" si="334"/>
        <v>Y</v>
      </c>
      <c r="Y564" s="376">
        <f t="shared" si="335"/>
        <v>10000000</v>
      </c>
      <c r="Z564" s="198"/>
      <c r="AA564" s="376">
        <f t="shared" si="304"/>
        <v>10000000</v>
      </c>
      <c r="AB564" s="196" t="s">
        <v>1166</v>
      </c>
      <c r="AC564" s="196" t="s">
        <v>1168</v>
      </c>
      <c r="AD564" s="275">
        <v>0.75</v>
      </c>
      <c r="AE564" s="275">
        <v>0.25</v>
      </c>
      <c r="AF564" s="275">
        <v>0</v>
      </c>
      <c r="AG564" s="199">
        <v>0.5</v>
      </c>
      <c r="AH564" s="199">
        <v>0.75</v>
      </c>
      <c r="AI564" s="381">
        <f t="shared" si="330"/>
        <v>0.625</v>
      </c>
      <c r="AJ564" s="203">
        <v>1</v>
      </c>
      <c r="AK564" s="203">
        <f t="shared" si="340"/>
        <v>0</v>
      </c>
      <c r="AL564" s="376">
        <f t="shared" si="331"/>
        <v>3750000</v>
      </c>
      <c r="AM564" s="376">
        <f t="shared" si="332"/>
        <v>6250000</v>
      </c>
      <c r="AN564" s="376">
        <f t="shared" si="333"/>
        <v>0</v>
      </c>
      <c r="AO564" s="378" t="s">
        <v>3607</v>
      </c>
      <c r="AP564" s="379" t="s">
        <v>2740</v>
      </c>
      <c r="AQ564" s="279"/>
      <c r="AR564" s="287">
        <f t="shared" si="305"/>
        <v>15625</v>
      </c>
      <c r="AS564" s="287">
        <f t="shared" si="306"/>
        <v>265625</v>
      </c>
      <c r="AT564" s="287">
        <f t="shared" si="307"/>
        <v>62500</v>
      </c>
      <c r="AU564" s="287">
        <f t="shared" si="308"/>
        <v>2468750</v>
      </c>
      <c r="AV564" s="287">
        <f t="shared" si="309"/>
        <v>3437500</v>
      </c>
      <c r="AW564" s="287">
        <f t="shared" si="310"/>
        <v>0</v>
      </c>
      <c r="AX564" s="287">
        <f t="shared" si="311"/>
        <v>0</v>
      </c>
      <c r="AY564" s="287">
        <f t="shared" si="312"/>
        <v>0</v>
      </c>
      <c r="AZ564" s="287">
        <f t="shared" si="313"/>
        <v>0</v>
      </c>
      <c r="BA564" s="287">
        <f t="shared" si="314"/>
        <v>0</v>
      </c>
      <c r="BB564" s="16"/>
      <c r="BC564" s="287">
        <f t="shared" si="315"/>
        <v>0</v>
      </c>
      <c r="BD564" s="287">
        <f t="shared" si="316"/>
        <v>0</v>
      </c>
      <c r="BE564" s="287">
        <f t="shared" si="317"/>
        <v>0</v>
      </c>
      <c r="BF564" s="287">
        <f t="shared" si="318"/>
        <v>0</v>
      </c>
      <c r="BG564" s="287">
        <f t="shared" si="319"/>
        <v>0</v>
      </c>
      <c r="BH564" s="287">
        <f t="shared" si="320"/>
        <v>0</v>
      </c>
      <c r="BI564" s="287">
        <f t="shared" si="321"/>
        <v>0</v>
      </c>
      <c r="BJ564" s="287">
        <f t="shared" si="322"/>
        <v>0</v>
      </c>
      <c r="BK564" s="287">
        <f t="shared" si="323"/>
        <v>0</v>
      </c>
      <c r="BL564" s="287">
        <f t="shared" si="324"/>
        <v>0</v>
      </c>
      <c r="BM564" s="16"/>
      <c r="BN564" s="287">
        <f t="shared" si="325"/>
        <v>6250000</v>
      </c>
      <c r="BO564" s="287">
        <f t="shared" si="326"/>
        <v>0</v>
      </c>
      <c r="BP564" s="432"/>
      <c r="BQ564" s="21"/>
      <c r="BR564" s="21"/>
      <c r="BS564" s="6"/>
      <c r="BT564" s="194">
        <f t="shared" si="336"/>
        <v>6250000</v>
      </c>
      <c r="BU564" s="194">
        <f t="shared" si="337"/>
        <v>6250000</v>
      </c>
      <c r="BV564" s="194">
        <f t="shared" si="338"/>
        <v>0</v>
      </c>
      <c r="BW564" s="194">
        <f t="shared" si="339"/>
        <v>0</v>
      </c>
      <c r="BX564" s="6"/>
      <c r="BY564" s="6"/>
      <c r="BZ564" s="39">
        <v>551</v>
      </c>
      <c r="CA564" s="39">
        <f t="shared" si="327"/>
        <v>2031</v>
      </c>
      <c r="CB564" s="6"/>
      <c r="CC564" s="39"/>
      <c r="CD564" s="39"/>
      <c r="CE564" s="39"/>
      <c r="CF564" s="39"/>
      <c r="CG564" s="39"/>
      <c r="CH564" s="39"/>
      <c r="CI564" s="39"/>
      <c r="CJ564" s="39"/>
      <c r="CK564" s="39"/>
    </row>
    <row r="565" spans="1:89" s="193" customFormat="1" ht="36">
      <c r="A565" s="375" t="s">
        <v>2502</v>
      </c>
      <c r="B565" s="21" t="str">
        <f t="shared" si="302"/>
        <v>OSD</v>
      </c>
      <c r="C565" s="21"/>
      <c r="D565" s="432">
        <v>3201501</v>
      </c>
      <c r="E565" s="439" t="s">
        <v>3626</v>
      </c>
      <c r="F565" s="439" t="s">
        <v>5163</v>
      </c>
      <c r="G565" s="273" t="s">
        <v>4247</v>
      </c>
      <c r="H565" s="500" t="s">
        <v>5162</v>
      </c>
      <c r="I565" s="262" t="s">
        <v>3492</v>
      </c>
      <c r="J565" s="262"/>
      <c r="K565" s="263">
        <v>500000</v>
      </c>
      <c r="L565" s="263">
        <v>230000</v>
      </c>
      <c r="M565" s="263">
        <v>200000</v>
      </c>
      <c r="N565" s="263">
        <v>0</v>
      </c>
      <c r="O565" s="263">
        <v>0</v>
      </c>
      <c r="P565" s="263">
        <v>0</v>
      </c>
      <c r="Q565" s="263">
        <v>0</v>
      </c>
      <c r="R565" s="263">
        <v>0</v>
      </c>
      <c r="S565" s="263">
        <v>0</v>
      </c>
      <c r="T565" s="263">
        <v>0</v>
      </c>
      <c r="U565" s="263">
        <f t="shared" si="329"/>
        <v>930000</v>
      </c>
      <c r="V565" s="196" t="str">
        <f t="shared" si="303"/>
        <v>G/LOS</v>
      </c>
      <c r="W565" s="196" t="s">
        <v>1168</v>
      </c>
      <c r="X565" s="196" t="str">
        <f t="shared" si="334"/>
        <v>Y</v>
      </c>
      <c r="Y565" s="376">
        <f t="shared" si="335"/>
        <v>930000</v>
      </c>
      <c r="Z565" s="198"/>
      <c r="AA565" s="376">
        <f t="shared" si="304"/>
        <v>930000</v>
      </c>
      <c r="AB565" s="196" t="s">
        <v>1166</v>
      </c>
      <c r="AC565" s="196" t="s">
        <v>1168</v>
      </c>
      <c r="AD565" s="518">
        <v>0.75</v>
      </c>
      <c r="AE565" s="275">
        <v>0.25</v>
      </c>
      <c r="AF565" s="275">
        <v>0</v>
      </c>
      <c r="AG565" s="199">
        <v>0.5</v>
      </c>
      <c r="AH565" s="199">
        <v>0.75</v>
      </c>
      <c r="AI565" s="381">
        <f t="shared" si="330"/>
        <v>0.625</v>
      </c>
      <c r="AJ565" s="203">
        <v>1</v>
      </c>
      <c r="AK565" s="203">
        <f t="shared" si="340"/>
        <v>0</v>
      </c>
      <c r="AL565" s="376">
        <f t="shared" si="331"/>
        <v>348750</v>
      </c>
      <c r="AM565" s="376">
        <f t="shared" si="332"/>
        <v>581250</v>
      </c>
      <c r="AN565" s="376">
        <f t="shared" si="333"/>
        <v>0</v>
      </c>
      <c r="AO565" s="378" t="s">
        <v>3607</v>
      </c>
      <c r="AP565" s="379" t="s">
        <v>2740</v>
      </c>
      <c r="AQ565" s="279"/>
      <c r="AR565" s="287">
        <f t="shared" si="305"/>
        <v>312500</v>
      </c>
      <c r="AS565" s="287">
        <f t="shared" si="306"/>
        <v>143750</v>
      </c>
      <c r="AT565" s="287">
        <f t="shared" si="307"/>
        <v>125000</v>
      </c>
      <c r="AU565" s="287">
        <f t="shared" si="308"/>
        <v>0</v>
      </c>
      <c r="AV565" s="287">
        <f t="shared" si="309"/>
        <v>0</v>
      </c>
      <c r="AW565" s="287">
        <f t="shared" si="310"/>
        <v>0</v>
      </c>
      <c r="AX565" s="287">
        <f t="shared" si="311"/>
        <v>0</v>
      </c>
      <c r="AY565" s="287">
        <f t="shared" si="312"/>
        <v>0</v>
      </c>
      <c r="AZ565" s="287">
        <f t="shared" si="313"/>
        <v>0</v>
      </c>
      <c r="BA565" s="287">
        <f t="shared" si="314"/>
        <v>0</v>
      </c>
      <c r="BB565" s="16"/>
      <c r="BC565" s="287">
        <f t="shared" si="315"/>
        <v>0</v>
      </c>
      <c r="BD565" s="287">
        <f t="shared" si="316"/>
        <v>0</v>
      </c>
      <c r="BE565" s="287">
        <f t="shared" si="317"/>
        <v>0</v>
      </c>
      <c r="BF565" s="287">
        <f t="shared" si="318"/>
        <v>0</v>
      </c>
      <c r="BG565" s="287">
        <f t="shared" si="319"/>
        <v>0</v>
      </c>
      <c r="BH565" s="287">
        <f t="shared" si="320"/>
        <v>0</v>
      </c>
      <c r="BI565" s="287">
        <f t="shared" si="321"/>
        <v>0</v>
      </c>
      <c r="BJ565" s="287">
        <f t="shared" si="322"/>
        <v>0</v>
      </c>
      <c r="BK565" s="287">
        <f t="shared" si="323"/>
        <v>0</v>
      </c>
      <c r="BL565" s="287">
        <f t="shared" si="324"/>
        <v>0</v>
      </c>
      <c r="BM565" s="16"/>
      <c r="BN565" s="287">
        <f t="shared" si="325"/>
        <v>581250</v>
      </c>
      <c r="BO565" s="287">
        <f t="shared" si="326"/>
        <v>0</v>
      </c>
      <c r="BP565" s="432"/>
      <c r="BQ565" s="21"/>
      <c r="BR565" s="21"/>
      <c r="BS565" s="6"/>
      <c r="BT565" s="194">
        <f t="shared" si="336"/>
        <v>581250</v>
      </c>
      <c r="BU565" s="194">
        <f t="shared" si="337"/>
        <v>581250</v>
      </c>
      <c r="BV565" s="194">
        <f t="shared" si="338"/>
        <v>0</v>
      </c>
      <c r="BW565" s="194">
        <f t="shared" si="339"/>
        <v>0</v>
      </c>
      <c r="BX565" s="6"/>
      <c r="BY565" s="6"/>
      <c r="BZ565" s="39">
        <v>552</v>
      </c>
      <c r="CA565" s="39">
        <f t="shared" si="327"/>
        <v>2031</v>
      </c>
      <c r="CB565" s="6"/>
      <c r="CC565" s="39"/>
      <c r="CD565" s="39"/>
      <c r="CE565" s="39"/>
      <c r="CF565" s="39"/>
      <c r="CG565" s="39"/>
      <c r="CH565" s="39"/>
      <c r="CI565" s="39"/>
      <c r="CJ565" s="39"/>
      <c r="CK565" s="39"/>
    </row>
    <row r="566" spans="1:89" s="193" customFormat="1" ht="36">
      <c r="A566" s="375" t="s">
        <v>2502</v>
      </c>
      <c r="B566" s="21" t="str">
        <f t="shared" si="302"/>
        <v>OSD</v>
      </c>
      <c r="C566" s="21"/>
      <c r="D566" s="432">
        <v>3201501</v>
      </c>
      <c r="E566" s="439" t="s">
        <v>3626</v>
      </c>
      <c r="F566" s="439" t="s">
        <v>5109</v>
      </c>
      <c r="G566" s="273" t="s">
        <v>4246</v>
      </c>
      <c r="H566" s="500" t="s">
        <v>5108</v>
      </c>
      <c r="I566" s="262" t="s">
        <v>3492</v>
      </c>
      <c r="J566" s="262"/>
      <c r="K566" s="263">
        <v>100000</v>
      </c>
      <c r="L566" s="263">
        <v>345515</v>
      </c>
      <c r="M566" s="263">
        <v>700000</v>
      </c>
      <c r="N566" s="263">
        <v>0</v>
      </c>
      <c r="O566" s="263">
        <v>0</v>
      </c>
      <c r="P566" s="263">
        <v>0</v>
      </c>
      <c r="Q566" s="263">
        <v>0</v>
      </c>
      <c r="R566" s="263">
        <v>0</v>
      </c>
      <c r="S566" s="263">
        <v>0</v>
      </c>
      <c r="T566" s="263">
        <v>0</v>
      </c>
      <c r="U566" s="263">
        <f t="shared" si="329"/>
        <v>1145515</v>
      </c>
      <c r="V566" s="196" t="str">
        <f t="shared" si="303"/>
        <v>G/LOS</v>
      </c>
      <c r="W566" s="196" t="s">
        <v>1168</v>
      </c>
      <c r="X566" s="196" t="str">
        <f t="shared" si="334"/>
        <v>Y</v>
      </c>
      <c r="Y566" s="376">
        <f t="shared" si="335"/>
        <v>1145515</v>
      </c>
      <c r="Z566" s="198"/>
      <c r="AA566" s="376">
        <f t="shared" si="304"/>
        <v>1145515</v>
      </c>
      <c r="AB566" s="196" t="s">
        <v>1166</v>
      </c>
      <c r="AC566" s="196" t="s">
        <v>1168</v>
      </c>
      <c r="AD566" s="518">
        <v>0.75</v>
      </c>
      <c r="AE566" s="275">
        <v>0.25</v>
      </c>
      <c r="AF566" s="275">
        <v>0</v>
      </c>
      <c r="AG566" s="199">
        <v>0.5</v>
      </c>
      <c r="AH566" s="199">
        <v>0.75</v>
      </c>
      <c r="AI566" s="381">
        <f t="shared" si="330"/>
        <v>0.625</v>
      </c>
      <c r="AJ566" s="203">
        <v>1</v>
      </c>
      <c r="AK566" s="203">
        <f t="shared" si="340"/>
        <v>0</v>
      </c>
      <c r="AL566" s="376">
        <f t="shared" si="331"/>
        <v>429568.125</v>
      </c>
      <c r="AM566" s="376">
        <f t="shared" si="332"/>
        <v>715946.875</v>
      </c>
      <c r="AN566" s="376">
        <f t="shared" si="333"/>
        <v>0</v>
      </c>
      <c r="AO566" s="378" t="s">
        <v>3607</v>
      </c>
      <c r="AP566" s="379" t="s">
        <v>2740</v>
      </c>
      <c r="AQ566" s="279"/>
      <c r="AR566" s="287">
        <f t="shared" si="305"/>
        <v>62500</v>
      </c>
      <c r="AS566" s="287">
        <f t="shared" si="306"/>
        <v>215946.875</v>
      </c>
      <c r="AT566" s="287">
        <f t="shared" si="307"/>
        <v>437500</v>
      </c>
      <c r="AU566" s="287">
        <f t="shared" si="308"/>
        <v>0</v>
      </c>
      <c r="AV566" s="287">
        <f t="shared" si="309"/>
        <v>0</v>
      </c>
      <c r="AW566" s="287">
        <f t="shared" si="310"/>
        <v>0</v>
      </c>
      <c r="AX566" s="287">
        <f t="shared" si="311"/>
        <v>0</v>
      </c>
      <c r="AY566" s="287">
        <f t="shared" si="312"/>
        <v>0</v>
      </c>
      <c r="AZ566" s="287">
        <f t="shared" si="313"/>
        <v>0</v>
      </c>
      <c r="BA566" s="287">
        <f t="shared" si="314"/>
        <v>0</v>
      </c>
      <c r="BB566" s="16"/>
      <c r="BC566" s="287">
        <f t="shared" si="315"/>
        <v>0</v>
      </c>
      <c r="BD566" s="287">
        <f t="shared" si="316"/>
        <v>0</v>
      </c>
      <c r="BE566" s="287">
        <f t="shared" si="317"/>
        <v>0</v>
      </c>
      <c r="BF566" s="287">
        <f t="shared" si="318"/>
        <v>0</v>
      </c>
      <c r="BG566" s="287">
        <f t="shared" si="319"/>
        <v>0</v>
      </c>
      <c r="BH566" s="287">
        <f t="shared" si="320"/>
        <v>0</v>
      </c>
      <c r="BI566" s="287">
        <f t="shared" si="321"/>
        <v>0</v>
      </c>
      <c r="BJ566" s="287">
        <f t="shared" si="322"/>
        <v>0</v>
      </c>
      <c r="BK566" s="287">
        <f t="shared" si="323"/>
        <v>0</v>
      </c>
      <c r="BL566" s="287">
        <f t="shared" si="324"/>
        <v>0</v>
      </c>
      <c r="BM566" s="16"/>
      <c r="BN566" s="287">
        <f t="shared" si="325"/>
        <v>715946.875</v>
      </c>
      <c r="BO566" s="287">
        <f t="shared" si="326"/>
        <v>0</v>
      </c>
      <c r="BP566" s="432"/>
      <c r="BQ566" s="21"/>
      <c r="BR566" s="21"/>
      <c r="BS566" s="6"/>
      <c r="BT566" s="194">
        <f t="shared" si="336"/>
        <v>715946.875</v>
      </c>
      <c r="BU566" s="194">
        <f t="shared" si="337"/>
        <v>715946.875</v>
      </c>
      <c r="BV566" s="194">
        <f t="shared" si="338"/>
        <v>0</v>
      </c>
      <c r="BW566" s="194">
        <f t="shared" si="339"/>
        <v>0</v>
      </c>
      <c r="BX566" s="6"/>
      <c r="BY566" s="6"/>
      <c r="BZ566" s="39">
        <v>553</v>
      </c>
      <c r="CA566" s="39">
        <f t="shared" si="327"/>
        <v>2031</v>
      </c>
      <c r="CB566" s="6"/>
      <c r="CC566" s="39"/>
      <c r="CD566" s="39"/>
      <c r="CE566" s="39"/>
      <c r="CF566" s="39"/>
      <c r="CG566" s="39"/>
      <c r="CH566" s="39"/>
      <c r="CI566" s="39"/>
      <c r="CJ566" s="39"/>
      <c r="CK566" s="39"/>
    </row>
    <row r="567" spans="1:89" s="193" customFormat="1" ht="36">
      <c r="A567" s="375" t="s">
        <v>2502</v>
      </c>
      <c r="B567" s="21" t="str">
        <f t="shared" si="302"/>
        <v>OSD</v>
      </c>
      <c r="C567" s="21"/>
      <c r="D567" s="432">
        <v>3201503</v>
      </c>
      <c r="E567" s="439" t="s">
        <v>3626</v>
      </c>
      <c r="F567" s="439" t="s">
        <v>5111</v>
      </c>
      <c r="G567" s="273" t="s">
        <v>4264</v>
      </c>
      <c r="H567" s="500" t="s">
        <v>5110</v>
      </c>
      <c r="I567" s="262" t="s">
        <v>3492</v>
      </c>
      <c r="J567" s="262"/>
      <c r="K567" s="263">
        <v>100000</v>
      </c>
      <c r="L567" s="263">
        <v>1200000</v>
      </c>
      <c r="M567" s="263">
        <v>800000</v>
      </c>
      <c r="N567" s="263">
        <v>400000</v>
      </c>
      <c r="O567" s="263">
        <v>0</v>
      </c>
      <c r="P567" s="263">
        <v>0</v>
      </c>
      <c r="Q567" s="263">
        <v>0</v>
      </c>
      <c r="R567" s="263">
        <v>0</v>
      </c>
      <c r="S567" s="263">
        <v>0</v>
      </c>
      <c r="T567" s="263">
        <v>0</v>
      </c>
      <c r="U567" s="263">
        <f t="shared" si="329"/>
        <v>2500000</v>
      </c>
      <c r="V567" s="196" t="str">
        <f t="shared" si="303"/>
        <v>G/LOS</v>
      </c>
      <c r="W567" s="196" t="s">
        <v>1168</v>
      </c>
      <c r="X567" s="196" t="str">
        <f t="shared" si="334"/>
        <v>Y</v>
      </c>
      <c r="Y567" s="376">
        <f t="shared" si="335"/>
        <v>2500000</v>
      </c>
      <c r="Z567" s="198"/>
      <c r="AA567" s="376">
        <f t="shared" si="304"/>
        <v>2500000</v>
      </c>
      <c r="AB567" s="196" t="s">
        <v>1166</v>
      </c>
      <c r="AC567" s="196" t="s">
        <v>1168</v>
      </c>
      <c r="AD567" s="275">
        <v>0.75</v>
      </c>
      <c r="AE567" s="275">
        <v>0.25</v>
      </c>
      <c r="AF567" s="275">
        <v>0</v>
      </c>
      <c r="AG567" s="199">
        <v>0.5</v>
      </c>
      <c r="AH567" s="199">
        <v>0.75</v>
      </c>
      <c r="AI567" s="377">
        <f t="shared" si="330"/>
        <v>0.625</v>
      </c>
      <c r="AJ567" s="203">
        <v>1</v>
      </c>
      <c r="AK567" s="203">
        <f t="shared" si="340"/>
        <v>0</v>
      </c>
      <c r="AL567" s="376">
        <f t="shared" si="331"/>
        <v>937500</v>
      </c>
      <c r="AM567" s="376">
        <f t="shared" si="332"/>
        <v>1562500</v>
      </c>
      <c r="AN567" s="376">
        <f t="shared" si="333"/>
        <v>0</v>
      </c>
      <c r="AO567" s="378" t="s">
        <v>3607</v>
      </c>
      <c r="AP567" s="379" t="s">
        <v>2740</v>
      </c>
      <c r="AQ567" s="279"/>
      <c r="AR567" s="287">
        <f t="shared" si="305"/>
        <v>62500</v>
      </c>
      <c r="AS567" s="287">
        <f t="shared" si="306"/>
        <v>750000</v>
      </c>
      <c r="AT567" s="287">
        <f t="shared" si="307"/>
        <v>500000</v>
      </c>
      <c r="AU567" s="287">
        <f t="shared" si="308"/>
        <v>250000</v>
      </c>
      <c r="AV567" s="287">
        <f t="shared" si="309"/>
        <v>0</v>
      </c>
      <c r="AW567" s="287">
        <f t="shared" si="310"/>
        <v>0</v>
      </c>
      <c r="AX567" s="287">
        <f t="shared" si="311"/>
        <v>0</v>
      </c>
      <c r="AY567" s="287">
        <f t="shared" si="312"/>
        <v>0</v>
      </c>
      <c r="AZ567" s="287">
        <f t="shared" si="313"/>
        <v>0</v>
      </c>
      <c r="BA567" s="287">
        <f t="shared" si="314"/>
        <v>0</v>
      </c>
      <c r="BB567" s="16"/>
      <c r="BC567" s="287">
        <f t="shared" si="315"/>
        <v>0</v>
      </c>
      <c r="BD567" s="287">
        <f t="shared" si="316"/>
        <v>0</v>
      </c>
      <c r="BE567" s="287">
        <f t="shared" si="317"/>
        <v>0</v>
      </c>
      <c r="BF567" s="287">
        <f t="shared" si="318"/>
        <v>0</v>
      </c>
      <c r="BG567" s="287">
        <f t="shared" si="319"/>
        <v>0</v>
      </c>
      <c r="BH567" s="287">
        <f t="shared" si="320"/>
        <v>0</v>
      </c>
      <c r="BI567" s="287">
        <f t="shared" si="321"/>
        <v>0</v>
      </c>
      <c r="BJ567" s="287">
        <f t="shared" si="322"/>
        <v>0</v>
      </c>
      <c r="BK567" s="287">
        <f t="shared" si="323"/>
        <v>0</v>
      </c>
      <c r="BL567" s="287">
        <f t="shared" si="324"/>
        <v>0</v>
      </c>
      <c r="BM567" s="16"/>
      <c r="BN567" s="287">
        <f t="shared" si="325"/>
        <v>1562500</v>
      </c>
      <c r="BO567" s="287">
        <f t="shared" si="326"/>
        <v>0</v>
      </c>
      <c r="BP567" s="432"/>
      <c r="BQ567" s="21"/>
      <c r="BR567" s="21"/>
      <c r="BS567" s="6"/>
      <c r="BT567" s="194">
        <f t="shared" si="336"/>
        <v>1562500</v>
      </c>
      <c r="BU567" s="194">
        <f t="shared" si="337"/>
        <v>1562500</v>
      </c>
      <c r="BV567" s="194">
        <f t="shared" si="338"/>
        <v>0</v>
      </c>
      <c r="BW567" s="194">
        <f t="shared" si="339"/>
        <v>0</v>
      </c>
      <c r="BX567" s="6"/>
      <c r="BY567" s="6"/>
      <c r="BZ567" s="39">
        <v>554</v>
      </c>
      <c r="CA567" s="39">
        <f t="shared" si="327"/>
        <v>2031</v>
      </c>
      <c r="CB567" s="6"/>
      <c r="CC567" s="39"/>
      <c r="CD567" s="39"/>
      <c r="CE567" s="39"/>
      <c r="CF567" s="39"/>
      <c r="CG567" s="39"/>
      <c r="CH567" s="39"/>
      <c r="CI567" s="39"/>
      <c r="CJ567" s="39"/>
      <c r="CK567" s="39"/>
    </row>
    <row r="568" spans="1:89" s="193" customFormat="1" ht="36">
      <c r="A568" s="375" t="s">
        <v>2502</v>
      </c>
      <c r="B568" s="21" t="str">
        <f t="shared" si="302"/>
        <v>OSD</v>
      </c>
      <c r="C568" s="21"/>
      <c r="D568" s="432">
        <v>3201503</v>
      </c>
      <c r="E568" s="439" t="s">
        <v>3626</v>
      </c>
      <c r="F568" s="439" t="s">
        <v>5071</v>
      </c>
      <c r="G568" s="273" t="s">
        <v>4260</v>
      </c>
      <c r="H568" s="500" t="s">
        <v>5052</v>
      </c>
      <c r="I568" s="262" t="s">
        <v>3492</v>
      </c>
      <c r="J568" s="262" t="s">
        <v>3505</v>
      </c>
      <c r="K568" s="263">
        <v>0</v>
      </c>
      <c r="L568" s="263">
        <v>200000</v>
      </c>
      <c r="M568" s="263">
        <v>600000</v>
      </c>
      <c r="N568" s="263">
        <v>800000</v>
      </c>
      <c r="O568" s="263">
        <v>0</v>
      </c>
      <c r="P568" s="263">
        <v>0</v>
      </c>
      <c r="Q568" s="263">
        <v>0</v>
      </c>
      <c r="R568" s="263">
        <v>0</v>
      </c>
      <c r="S568" s="263">
        <v>0</v>
      </c>
      <c r="T568" s="263">
        <v>0</v>
      </c>
      <c r="U568" s="263">
        <f t="shared" si="329"/>
        <v>1600000</v>
      </c>
      <c r="V568" s="196" t="str">
        <f t="shared" si="303"/>
        <v>G/LOS</v>
      </c>
      <c r="W568" s="196" t="s">
        <v>1168</v>
      </c>
      <c r="X568" s="196" t="str">
        <f t="shared" si="334"/>
        <v>Y</v>
      </c>
      <c r="Y568" s="376">
        <f t="shared" si="335"/>
        <v>1600000</v>
      </c>
      <c r="Z568" s="198"/>
      <c r="AA568" s="376">
        <f t="shared" si="304"/>
        <v>1600000</v>
      </c>
      <c r="AB568" s="196" t="s">
        <v>1166</v>
      </c>
      <c r="AC568" s="196" t="s">
        <v>1168</v>
      </c>
      <c r="AD568" s="275">
        <v>0.75</v>
      </c>
      <c r="AE568" s="275">
        <v>0.25</v>
      </c>
      <c r="AF568" s="275">
        <v>0</v>
      </c>
      <c r="AG568" s="199">
        <v>0.75</v>
      </c>
      <c r="AH568" s="199">
        <v>0.75</v>
      </c>
      <c r="AI568" s="377">
        <f t="shared" si="330"/>
        <v>0.75</v>
      </c>
      <c r="AJ568" s="203">
        <v>1</v>
      </c>
      <c r="AK568" s="203">
        <f t="shared" si="340"/>
        <v>0</v>
      </c>
      <c r="AL568" s="376">
        <f t="shared" si="331"/>
        <v>400000</v>
      </c>
      <c r="AM568" s="376">
        <f t="shared" si="332"/>
        <v>1200000</v>
      </c>
      <c r="AN568" s="376">
        <f t="shared" si="333"/>
        <v>0</v>
      </c>
      <c r="AO568" s="378" t="s">
        <v>3607</v>
      </c>
      <c r="AP568" s="379" t="s">
        <v>2718</v>
      </c>
      <c r="AQ568" s="279"/>
      <c r="AR568" s="287">
        <f t="shared" si="305"/>
        <v>0</v>
      </c>
      <c r="AS568" s="287">
        <f t="shared" si="306"/>
        <v>150000</v>
      </c>
      <c r="AT568" s="287">
        <f t="shared" si="307"/>
        <v>450000</v>
      </c>
      <c r="AU568" s="287">
        <f t="shared" si="308"/>
        <v>600000</v>
      </c>
      <c r="AV568" s="287">
        <f t="shared" si="309"/>
        <v>0</v>
      </c>
      <c r="AW568" s="287">
        <f t="shared" si="310"/>
        <v>0</v>
      </c>
      <c r="AX568" s="287">
        <f t="shared" si="311"/>
        <v>0</v>
      </c>
      <c r="AY568" s="287">
        <f t="shared" si="312"/>
        <v>0</v>
      </c>
      <c r="AZ568" s="287">
        <f t="shared" si="313"/>
        <v>0</v>
      </c>
      <c r="BA568" s="287">
        <f t="shared" si="314"/>
        <v>0</v>
      </c>
      <c r="BB568" s="16"/>
      <c r="BC568" s="287">
        <f t="shared" si="315"/>
        <v>0</v>
      </c>
      <c r="BD568" s="287">
        <f t="shared" si="316"/>
        <v>0</v>
      </c>
      <c r="BE568" s="287">
        <f t="shared" si="317"/>
        <v>0</v>
      </c>
      <c r="BF568" s="287">
        <f t="shared" si="318"/>
        <v>0</v>
      </c>
      <c r="BG568" s="287">
        <f t="shared" si="319"/>
        <v>0</v>
      </c>
      <c r="BH568" s="287">
        <f t="shared" si="320"/>
        <v>0</v>
      </c>
      <c r="BI568" s="287">
        <f t="shared" si="321"/>
        <v>0</v>
      </c>
      <c r="BJ568" s="287">
        <f t="shared" si="322"/>
        <v>0</v>
      </c>
      <c r="BK568" s="287">
        <f t="shared" si="323"/>
        <v>0</v>
      </c>
      <c r="BL568" s="287">
        <f t="shared" si="324"/>
        <v>0</v>
      </c>
      <c r="BM568" s="16"/>
      <c r="BN568" s="287">
        <f t="shared" si="325"/>
        <v>1200000</v>
      </c>
      <c r="BO568" s="287">
        <f t="shared" si="326"/>
        <v>0</v>
      </c>
      <c r="BP568" s="432"/>
      <c r="BQ568" s="21"/>
      <c r="BR568" s="21"/>
      <c r="BS568" s="6"/>
      <c r="BT568" s="194">
        <f t="shared" si="336"/>
        <v>1200000</v>
      </c>
      <c r="BU568" s="194">
        <f t="shared" si="337"/>
        <v>1200000</v>
      </c>
      <c r="BV568" s="194">
        <f t="shared" si="338"/>
        <v>0</v>
      </c>
      <c r="BW568" s="194">
        <f t="shared" si="339"/>
        <v>0</v>
      </c>
      <c r="BX568" s="6"/>
      <c r="BY568" s="6"/>
      <c r="BZ568" s="39">
        <v>555</v>
      </c>
      <c r="CA568" s="39">
        <f t="shared" si="327"/>
        <v>2031</v>
      </c>
      <c r="CB568" s="6"/>
      <c r="CC568" s="39"/>
      <c r="CD568" s="39"/>
      <c r="CE568" s="39"/>
      <c r="CF568" s="39"/>
      <c r="CG568" s="39"/>
      <c r="CH568" s="39"/>
      <c r="CI568" s="39"/>
      <c r="CJ568" s="39"/>
      <c r="CK568" s="39"/>
    </row>
    <row r="569" spans="1:89" s="193" customFormat="1" ht="36">
      <c r="A569" s="375" t="s">
        <v>2502</v>
      </c>
      <c r="B569" s="21" t="str">
        <f t="shared" si="302"/>
        <v>OSD</v>
      </c>
      <c r="C569" s="21"/>
      <c r="D569" s="432">
        <v>3201501</v>
      </c>
      <c r="E569" s="439" t="s">
        <v>3626</v>
      </c>
      <c r="F569" s="439"/>
      <c r="G569" s="273" t="s">
        <v>4411</v>
      </c>
      <c r="H569" s="500" t="s">
        <v>5040</v>
      </c>
      <c r="I569" s="262" t="s">
        <v>3492</v>
      </c>
      <c r="J569" s="262" t="s">
        <v>3516</v>
      </c>
      <c r="K569" s="263">
        <v>0</v>
      </c>
      <c r="L569" s="263">
        <v>50000</v>
      </c>
      <c r="M569" s="263">
        <v>0</v>
      </c>
      <c r="N569" s="263">
        <v>0</v>
      </c>
      <c r="O569" s="263">
        <v>0</v>
      </c>
      <c r="P569" s="263">
        <v>0</v>
      </c>
      <c r="Q569" s="263">
        <v>0</v>
      </c>
      <c r="R569" s="263">
        <v>0</v>
      </c>
      <c r="S569" s="263">
        <v>0</v>
      </c>
      <c r="T569" s="263">
        <v>0</v>
      </c>
      <c r="U569" s="263">
        <f t="shared" si="329"/>
        <v>50000</v>
      </c>
      <c r="V569" s="196" t="str">
        <f t="shared" si="303"/>
        <v>G/LOS</v>
      </c>
      <c r="W569" s="196" t="s">
        <v>1168</v>
      </c>
      <c r="X569" s="196" t="str">
        <f t="shared" si="334"/>
        <v>Y</v>
      </c>
      <c r="Y569" s="376">
        <f t="shared" si="335"/>
        <v>50000</v>
      </c>
      <c r="Z569" s="198"/>
      <c r="AA569" s="376">
        <f t="shared" si="304"/>
        <v>50000</v>
      </c>
      <c r="AB569" s="196" t="s">
        <v>1166</v>
      </c>
      <c r="AC569" s="196" t="s">
        <v>1168</v>
      </c>
      <c r="AD569" s="275">
        <v>0.875</v>
      </c>
      <c r="AE569" s="275">
        <f>1-AD569</f>
        <v>0.125</v>
      </c>
      <c r="AF569" s="275">
        <v>0</v>
      </c>
      <c r="AG569" s="199">
        <v>0.75</v>
      </c>
      <c r="AH569" s="199">
        <v>1</v>
      </c>
      <c r="AI569" s="381">
        <f t="shared" si="330"/>
        <v>0.875</v>
      </c>
      <c r="AJ569" s="203">
        <v>1</v>
      </c>
      <c r="AK569" s="203">
        <f t="shared" si="340"/>
        <v>0</v>
      </c>
      <c r="AL569" s="376">
        <f t="shared" si="331"/>
        <v>6250</v>
      </c>
      <c r="AM569" s="376">
        <f t="shared" si="332"/>
        <v>43750</v>
      </c>
      <c r="AN569" s="376">
        <f t="shared" si="333"/>
        <v>0</v>
      </c>
      <c r="AO569" s="378" t="s">
        <v>3607</v>
      </c>
      <c r="AP569" s="379" t="s">
        <v>2720</v>
      </c>
      <c r="AQ569" s="279"/>
      <c r="AR569" s="287">
        <f t="shared" si="305"/>
        <v>0</v>
      </c>
      <c r="AS569" s="287">
        <f t="shared" si="306"/>
        <v>43750</v>
      </c>
      <c r="AT569" s="287">
        <f t="shared" si="307"/>
        <v>0</v>
      </c>
      <c r="AU569" s="287">
        <f t="shared" si="308"/>
        <v>0</v>
      </c>
      <c r="AV569" s="287">
        <f t="shared" si="309"/>
        <v>0</v>
      </c>
      <c r="AW569" s="287">
        <f t="shared" si="310"/>
        <v>0</v>
      </c>
      <c r="AX569" s="287">
        <f t="shared" si="311"/>
        <v>0</v>
      </c>
      <c r="AY569" s="287">
        <f t="shared" si="312"/>
        <v>0</v>
      </c>
      <c r="AZ569" s="287">
        <f t="shared" si="313"/>
        <v>0</v>
      </c>
      <c r="BA569" s="287">
        <f t="shared" si="314"/>
        <v>0</v>
      </c>
      <c r="BB569" s="16"/>
      <c r="BC569" s="287">
        <f t="shared" si="315"/>
        <v>0</v>
      </c>
      <c r="BD569" s="287">
        <f t="shared" si="316"/>
        <v>0</v>
      </c>
      <c r="BE569" s="287">
        <f t="shared" si="317"/>
        <v>0</v>
      </c>
      <c r="BF569" s="287">
        <f t="shared" si="318"/>
        <v>0</v>
      </c>
      <c r="BG569" s="287">
        <f t="shared" si="319"/>
        <v>0</v>
      </c>
      <c r="BH569" s="287">
        <f t="shared" si="320"/>
        <v>0</v>
      </c>
      <c r="BI569" s="287">
        <f t="shared" si="321"/>
        <v>0</v>
      </c>
      <c r="BJ569" s="287">
        <f t="shared" si="322"/>
        <v>0</v>
      </c>
      <c r="BK569" s="287">
        <f t="shared" si="323"/>
        <v>0</v>
      </c>
      <c r="BL569" s="287">
        <f t="shared" si="324"/>
        <v>0</v>
      </c>
      <c r="BM569" s="16"/>
      <c r="BN569" s="287">
        <f t="shared" si="325"/>
        <v>43750</v>
      </c>
      <c r="BO569" s="287">
        <f t="shared" si="326"/>
        <v>0</v>
      </c>
      <c r="BP569" s="432"/>
      <c r="BQ569" s="21"/>
      <c r="BR569" s="21"/>
      <c r="BS569" s="6"/>
      <c r="BT569" s="194">
        <f t="shared" si="336"/>
        <v>43750</v>
      </c>
      <c r="BU569" s="194">
        <f t="shared" si="337"/>
        <v>43750</v>
      </c>
      <c r="BV569" s="194">
        <f t="shared" si="338"/>
        <v>0</v>
      </c>
      <c r="BW569" s="194">
        <f t="shared" si="339"/>
        <v>0</v>
      </c>
      <c r="BX569" s="6"/>
      <c r="BY569" s="6"/>
      <c r="BZ569" s="39">
        <v>556</v>
      </c>
      <c r="CA569" s="39">
        <f t="shared" si="327"/>
        <v>2031</v>
      </c>
      <c r="CB569" s="6"/>
      <c r="CC569" s="39"/>
      <c r="CD569" s="39"/>
      <c r="CE569" s="39"/>
      <c r="CF569" s="39"/>
      <c r="CG569" s="39"/>
      <c r="CH569" s="39"/>
      <c r="CI569" s="39"/>
      <c r="CJ569" s="39"/>
      <c r="CK569" s="39"/>
    </row>
    <row r="570" spans="1:89" s="193" customFormat="1" ht="36">
      <c r="A570" s="375" t="s">
        <v>2502</v>
      </c>
      <c r="B570" s="21" t="str">
        <f t="shared" si="302"/>
        <v>OSD</v>
      </c>
      <c r="C570" s="21"/>
      <c r="D570" s="432">
        <v>3201501</v>
      </c>
      <c r="E570" s="439" t="s">
        <v>3626</v>
      </c>
      <c r="F570" s="439"/>
      <c r="G570" s="273" t="s">
        <v>4236</v>
      </c>
      <c r="H570" s="500" t="s">
        <v>5041</v>
      </c>
      <c r="I570" s="262" t="s">
        <v>3492</v>
      </c>
      <c r="J570" s="262" t="s">
        <v>3516</v>
      </c>
      <c r="K570" s="263">
        <v>0</v>
      </c>
      <c r="L570" s="263">
        <v>50000</v>
      </c>
      <c r="M570" s="263">
        <v>0</v>
      </c>
      <c r="N570" s="263">
        <v>0</v>
      </c>
      <c r="O570" s="263">
        <v>0</v>
      </c>
      <c r="P570" s="263">
        <v>0</v>
      </c>
      <c r="Q570" s="263">
        <v>0</v>
      </c>
      <c r="R570" s="263">
        <v>0</v>
      </c>
      <c r="S570" s="263">
        <v>0</v>
      </c>
      <c r="T570" s="263">
        <v>0</v>
      </c>
      <c r="U570" s="263">
        <f t="shared" si="329"/>
        <v>50000</v>
      </c>
      <c r="V570" s="196" t="str">
        <f t="shared" si="303"/>
        <v>G/LOS</v>
      </c>
      <c r="W570" s="196" t="s">
        <v>1168</v>
      </c>
      <c r="X570" s="196" t="str">
        <f t="shared" si="334"/>
        <v>Y</v>
      </c>
      <c r="Y570" s="376">
        <f t="shared" si="335"/>
        <v>50000</v>
      </c>
      <c r="Z570" s="198"/>
      <c r="AA570" s="376">
        <f t="shared" si="304"/>
        <v>50000</v>
      </c>
      <c r="AB570" s="196" t="s">
        <v>1166</v>
      </c>
      <c r="AC570" s="196" t="s">
        <v>1168</v>
      </c>
      <c r="AD570" s="275">
        <v>0.875</v>
      </c>
      <c r="AE570" s="275">
        <f>1-AD570</f>
        <v>0.125</v>
      </c>
      <c r="AF570" s="275">
        <v>0</v>
      </c>
      <c r="AG570" s="199">
        <v>0.75</v>
      </c>
      <c r="AH570" s="199">
        <v>1</v>
      </c>
      <c r="AI570" s="381">
        <f t="shared" si="330"/>
        <v>0.875</v>
      </c>
      <c r="AJ570" s="203">
        <v>1</v>
      </c>
      <c r="AK570" s="203">
        <f t="shared" si="340"/>
        <v>0</v>
      </c>
      <c r="AL570" s="376">
        <f t="shared" si="331"/>
        <v>6250</v>
      </c>
      <c r="AM570" s="376">
        <f t="shared" si="332"/>
        <v>43750</v>
      </c>
      <c r="AN570" s="376">
        <f t="shared" si="333"/>
        <v>0</v>
      </c>
      <c r="AO570" s="378" t="s">
        <v>3607</v>
      </c>
      <c r="AP570" s="379" t="s">
        <v>2720</v>
      </c>
      <c r="AQ570" s="279"/>
      <c r="AR570" s="287">
        <f t="shared" si="305"/>
        <v>0</v>
      </c>
      <c r="AS570" s="287">
        <f t="shared" si="306"/>
        <v>43750</v>
      </c>
      <c r="AT570" s="287">
        <f t="shared" si="307"/>
        <v>0</v>
      </c>
      <c r="AU570" s="287">
        <f t="shared" si="308"/>
        <v>0</v>
      </c>
      <c r="AV570" s="287">
        <f t="shared" si="309"/>
        <v>0</v>
      </c>
      <c r="AW570" s="287">
        <f t="shared" si="310"/>
        <v>0</v>
      </c>
      <c r="AX570" s="287">
        <f t="shared" si="311"/>
        <v>0</v>
      </c>
      <c r="AY570" s="287">
        <f t="shared" si="312"/>
        <v>0</v>
      </c>
      <c r="AZ570" s="287">
        <f t="shared" si="313"/>
        <v>0</v>
      </c>
      <c r="BA570" s="287">
        <f t="shared" si="314"/>
        <v>0</v>
      </c>
      <c r="BB570" s="16"/>
      <c r="BC570" s="287">
        <f t="shared" si="315"/>
        <v>0</v>
      </c>
      <c r="BD570" s="287">
        <f t="shared" si="316"/>
        <v>0</v>
      </c>
      <c r="BE570" s="287">
        <f t="shared" si="317"/>
        <v>0</v>
      </c>
      <c r="BF570" s="287">
        <f t="shared" si="318"/>
        <v>0</v>
      </c>
      <c r="BG570" s="287">
        <f t="shared" si="319"/>
        <v>0</v>
      </c>
      <c r="BH570" s="287">
        <f t="shared" si="320"/>
        <v>0</v>
      </c>
      <c r="BI570" s="287">
        <f t="shared" si="321"/>
        <v>0</v>
      </c>
      <c r="BJ570" s="287">
        <f t="shared" si="322"/>
        <v>0</v>
      </c>
      <c r="BK570" s="287">
        <f t="shared" si="323"/>
        <v>0</v>
      </c>
      <c r="BL570" s="287">
        <f t="shared" si="324"/>
        <v>0</v>
      </c>
      <c r="BM570" s="16"/>
      <c r="BN570" s="287">
        <f t="shared" si="325"/>
        <v>43750</v>
      </c>
      <c r="BO570" s="287">
        <f t="shared" si="326"/>
        <v>0</v>
      </c>
      <c r="BP570" s="432"/>
      <c r="BQ570" s="21"/>
      <c r="BR570" s="21"/>
      <c r="BS570" s="6"/>
      <c r="BT570" s="194">
        <f t="shared" si="336"/>
        <v>43750</v>
      </c>
      <c r="BU570" s="194">
        <f t="shared" si="337"/>
        <v>43750</v>
      </c>
      <c r="BV570" s="194">
        <f t="shared" si="338"/>
        <v>0</v>
      </c>
      <c r="BW570" s="194">
        <f t="shared" si="339"/>
        <v>0</v>
      </c>
      <c r="BX570" s="6"/>
      <c r="BY570" s="6"/>
      <c r="BZ570" s="39">
        <v>557</v>
      </c>
      <c r="CA570" s="39">
        <f t="shared" si="327"/>
        <v>2031</v>
      </c>
      <c r="CB570" s="6"/>
      <c r="CC570" s="39"/>
      <c r="CD570" s="39"/>
      <c r="CE570" s="39"/>
      <c r="CF570" s="39"/>
      <c r="CG570" s="39"/>
      <c r="CH570" s="39"/>
      <c r="CI570" s="39"/>
      <c r="CJ570" s="39"/>
      <c r="CK570" s="39"/>
    </row>
    <row r="571" spans="1:89" s="193" customFormat="1" ht="24">
      <c r="A571" s="375" t="s">
        <v>2507</v>
      </c>
      <c r="B571" s="21" t="str">
        <f t="shared" si="302"/>
        <v>OSL</v>
      </c>
      <c r="C571" s="21"/>
      <c r="D571" s="432" t="s">
        <v>3166</v>
      </c>
      <c r="E571" s="439" t="s">
        <v>3626</v>
      </c>
      <c r="F571" s="439" t="s">
        <v>3449</v>
      </c>
      <c r="G571" s="520" t="s">
        <v>5298</v>
      </c>
      <c r="H571" s="358" t="s">
        <v>4655</v>
      </c>
      <c r="I571" s="262" t="s">
        <v>3492</v>
      </c>
      <c r="J571" s="262" t="s">
        <v>3504</v>
      </c>
      <c r="K571" s="263">
        <v>0</v>
      </c>
      <c r="L571" s="263">
        <v>0</v>
      </c>
      <c r="M571" s="263">
        <v>6800000</v>
      </c>
      <c r="N571" s="263">
        <v>0</v>
      </c>
      <c r="O571" s="263">
        <v>0</v>
      </c>
      <c r="P571" s="263">
        <v>0</v>
      </c>
      <c r="Q571" s="263">
        <v>0</v>
      </c>
      <c r="R571" s="263">
        <v>0</v>
      </c>
      <c r="S571" s="263">
        <v>0</v>
      </c>
      <c r="T571" s="263">
        <v>0</v>
      </c>
      <c r="U571" s="263">
        <f t="shared" ref="U571:U583" si="341">SUM(K571:T571)</f>
        <v>6800000</v>
      </c>
      <c r="V571" s="196" t="str">
        <f t="shared" ref="V571:V583" si="342">IF(AND(AD571&gt;0,AE571&gt;0,AF571&gt;0),"G/LOS/R",IF(AND(AD571&gt;0,AE571&gt;0),"G/LOS",IF(AND(AD571&gt;0,AF571&gt;0),"G/R",IF(AND(AE571&gt;0,AF571&gt;0),"LOS/R",IF(AD571&gt;0,"G",IF(AE571&gt;0,"LOS",IF(AF571&gt;0,"R","CHECK")))))))</f>
        <v>G/LOS</v>
      </c>
      <c r="W571" s="196" t="s">
        <v>1168</v>
      </c>
      <c r="X571" s="196" t="s">
        <v>1166</v>
      </c>
      <c r="Y571" s="376">
        <f t="shared" ref="Y571:Y583" si="343">IF(X571="N",0,SUM(K571:T571))</f>
        <v>6800000</v>
      </c>
      <c r="Z571" s="198"/>
      <c r="AA571" s="376">
        <f t="shared" ref="AA571:AA583" si="344">Y571-Z571</f>
        <v>6800000</v>
      </c>
      <c r="AB571" s="196" t="s">
        <v>1166</v>
      </c>
      <c r="AC571" s="196" t="s">
        <v>1168</v>
      </c>
      <c r="AD571" s="518">
        <v>0.8</v>
      </c>
      <c r="AE571" s="275">
        <v>0.2</v>
      </c>
      <c r="AF571" s="275">
        <v>0</v>
      </c>
      <c r="AG571" s="199">
        <v>0.75</v>
      </c>
      <c r="AH571" s="199">
        <v>0.75</v>
      </c>
      <c r="AI571" s="377">
        <f t="shared" ref="AI571:AI583" si="345">(AG571+AH571)/2</f>
        <v>0.75</v>
      </c>
      <c r="AJ571" s="687">
        <v>1</v>
      </c>
      <c r="AK571" s="203">
        <f t="shared" ref="AK571:AK583" si="346">1-AJ571</f>
        <v>0</v>
      </c>
      <c r="AL571" s="376">
        <f t="shared" ref="AL571:AL583" si="347">(100%-AI571)*AA571</f>
        <v>1700000</v>
      </c>
      <c r="AM571" s="376">
        <f t="shared" ref="AM571:AM583" si="348">AA571*AI571*AJ571</f>
        <v>5100000</v>
      </c>
      <c r="AN571" s="376">
        <f t="shared" ref="AN571:AN583" si="349">AA571*AI571*AK571</f>
        <v>0</v>
      </c>
      <c r="AO571" s="378" t="s">
        <v>3608</v>
      </c>
      <c r="AP571" s="379" t="s">
        <v>2662</v>
      </c>
      <c r="AQ571" s="279"/>
      <c r="AR571" s="287">
        <f t="shared" si="305"/>
        <v>0</v>
      </c>
      <c r="AS571" s="287">
        <f t="shared" si="306"/>
        <v>0</v>
      </c>
      <c r="AT571" s="287">
        <f t="shared" si="307"/>
        <v>5100000</v>
      </c>
      <c r="AU571" s="287">
        <f t="shared" si="308"/>
        <v>0</v>
      </c>
      <c r="AV571" s="287">
        <f t="shared" si="309"/>
        <v>0</v>
      </c>
      <c r="AW571" s="287">
        <f t="shared" si="310"/>
        <v>0</v>
      </c>
      <c r="AX571" s="287">
        <f t="shared" si="311"/>
        <v>0</v>
      </c>
      <c r="AY571" s="287">
        <f t="shared" si="312"/>
        <v>0</v>
      </c>
      <c r="AZ571" s="287">
        <f t="shared" si="313"/>
        <v>0</v>
      </c>
      <c r="BA571" s="287">
        <f t="shared" si="314"/>
        <v>0</v>
      </c>
      <c r="BB571" s="16"/>
      <c r="BC571" s="287">
        <f t="shared" si="315"/>
        <v>0</v>
      </c>
      <c r="BD571" s="287">
        <f t="shared" si="316"/>
        <v>0</v>
      </c>
      <c r="BE571" s="287">
        <f t="shared" si="317"/>
        <v>0</v>
      </c>
      <c r="BF571" s="287">
        <f t="shared" si="318"/>
        <v>0</v>
      </c>
      <c r="BG571" s="287">
        <f t="shared" si="319"/>
        <v>0</v>
      </c>
      <c r="BH571" s="287">
        <f t="shared" si="320"/>
        <v>0</v>
      </c>
      <c r="BI571" s="287">
        <f t="shared" si="321"/>
        <v>0</v>
      </c>
      <c r="BJ571" s="287">
        <f t="shared" si="322"/>
        <v>0</v>
      </c>
      <c r="BK571" s="287">
        <f t="shared" si="323"/>
        <v>0</v>
      </c>
      <c r="BL571" s="287">
        <f t="shared" si="324"/>
        <v>0</v>
      </c>
      <c r="BM571" s="16"/>
      <c r="BN571" s="287">
        <f t="shared" si="325"/>
        <v>5100000</v>
      </c>
      <c r="BO571" s="287">
        <f t="shared" si="326"/>
        <v>0</v>
      </c>
      <c r="BP571" s="432"/>
      <c r="BQ571" s="21"/>
      <c r="BR571" s="21"/>
      <c r="BS571" s="6"/>
      <c r="BT571" s="194">
        <f>+BN571+BO571</f>
        <v>5100000</v>
      </c>
      <c r="BU571" s="194">
        <f>+AM571</f>
        <v>5100000</v>
      </c>
      <c r="BV571" s="194">
        <f>+AN571</f>
        <v>0</v>
      </c>
      <c r="BW571" s="194">
        <f>+BT571-BU571-BV571</f>
        <v>0</v>
      </c>
      <c r="BX571" s="6"/>
      <c r="BY571" s="6"/>
      <c r="BZ571" s="39">
        <v>558</v>
      </c>
      <c r="CA571" s="39">
        <f t="shared" si="327"/>
        <v>2031</v>
      </c>
      <c r="CB571" s="6"/>
      <c r="CC571" s="39"/>
      <c r="CD571" s="39"/>
      <c r="CE571" s="39"/>
      <c r="CF571" s="39"/>
      <c r="CG571" s="39"/>
      <c r="CH571" s="39"/>
      <c r="CI571" s="39"/>
      <c r="CJ571" s="39"/>
      <c r="CK571" s="39"/>
    </row>
    <row r="572" spans="1:89" s="193" customFormat="1" ht="24">
      <c r="A572" s="375" t="s">
        <v>2507</v>
      </c>
      <c r="B572" s="21" t="str">
        <f t="shared" si="302"/>
        <v>OSL</v>
      </c>
      <c r="C572" s="21"/>
      <c r="D572" s="432" t="s">
        <v>3166</v>
      </c>
      <c r="E572" s="439" t="s">
        <v>3626</v>
      </c>
      <c r="F572" s="439" t="s">
        <v>3449</v>
      </c>
      <c r="G572" s="520" t="s">
        <v>5195</v>
      </c>
      <c r="H572" s="358" t="s">
        <v>4655</v>
      </c>
      <c r="I572" s="262" t="s">
        <v>3492</v>
      </c>
      <c r="J572" s="262" t="s">
        <v>3504</v>
      </c>
      <c r="K572" s="263">
        <v>7982250</v>
      </c>
      <c r="L572" s="263">
        <v>5045000</v>
      </c>
      <c r="M572" s="263">
        <v>3035000</v>
      </c>
      <c r="N572" s="263">
        <v>9105000</v>
      </c>
      <c r="O572" s="263">
        <v>9110000</v>
      </c>
      <c r="P572" s="263">
        <v>9110000</v>
      </c>
      <c r="Q572" s="263">
        <v>11491250</v>
      </c>
      <c r="R572" s="263">
        <v>6075000</v>
      </c>
      <c r="S572" s="263">
        <v>6075000</v>
      </c>
      <c r="T572" s="263">
        <v>3035000</v>
      </c>
      <c r="U572" s="263">
        <f t="shared" si="341"/>
        <v>70063500</v>
      </c>
      <c r="V572" s="196" t="str">
        <f t="shared" si="342"/>
        <v>G/LOS</v>
      </c>
      <c r="W572" s="196" t="s">
        <v>1168</v>
      </c>
      <c r="X572" s="196" t="s">
        <v>1166</v>
      </c>
      <c r="Y572" s="376">
        <f t="shared" si="343"/>
        <v>70063500</v>
      </c>
      <c r="Z572" s="198"/>
      <c r="AA572" s="376">
        <f t="shared" si="344"/>
        <v>70063500</v>
      </c>
      <c r="AB572" s="196" t="s">
        <v>1166</v>
      </c>
      <c r="AC572" s="196" t="s">
        <v>1168</v>
      </c>
      <c r="AD572" s="275">
        <v>0.96000000000000008</v>
      </c>
      <c r="AE572" s="275">
        <v>4.0000000000000008E-2</v>
      </c>
      <c r="AF572" s="275">
        <v>0</v>
      </c>
      <c r="AG572" s="199">
        <v>0.97</v>
      </c>
      <c r="AH572" s="199">
        <v>1</v>
      </c>
      <c r="AI572" s="377">
        <f t="shared" si="345"/>
        <v>0.98499999999999999</v>
      </c>
      <c r="AJ572" s="203">
        <v>0.5</v>
      </c>
      <c r="AK572" s="203">
        <f t="shared" si="346"/>
        <v>0.5</v>
      </c>
      <c r="AL572" s="376">
        <f t="shared" si="347"/>
        <v>1050952.5000000009</v>
      </c>
      <c r="AM572" s="376">
        <f t="shared" si="348"/>
        <v>34506273.75</v>
      </c>
      <c r="AN572" s="376">
        <f t="shared" si="349"/>
        <v>34506273.75</v>
      </c>
      <c r="AO572" s="378" t="s">
        <v>3608</v>
      </c>
      <c r="AP572" s="379" t="s">
        <v>2640</v>
      </c>
      <c r="AQ572" s="279"/>
      <c r="AR572" s="287">
        <f t="shared" si="305"/>
        <v>3931258.125</v>
      </c>
      <c r="AS572" s="287">
        <f t="shared" si="306"/>
        <v>2484662.5</v>
      </c>
      <c r="AT572" s="287">
        <f t="shared" si="307"/>
        <v>1494737.5</v>
      </c>
      <c r="AU572" s="287">
        <f t="shared" si="308"/>
        <v>4484212.5</v>
      </c>
      <c r="AV572" s="287">
        <f t="shared" si="309"/>
        <v>4486675</v>
      </c>
      <c r="AW572" s="287">
        <f t="shared" si="310"/>
        <v>4486675</v>
      </c>
      <c r="AX572" s="287">
        <f t="shared" si="311"/>
        <v>5659440.625</v>
      </c>
      <c r="AY572" s="287">
        <f t="shared" si="312"/>
        <v>2991937.5</v>
      </c>
      <c r="AZ572" s="287">
        <f t="shared" si="313"/>
        <v>2991937.5</v>
      </c>
      <c r="BA572" s="287">
        <f t="shared" si="314"/>
        <v>1494737.5</v>
      </c>
      <c r="BB572" s="16"/>
      <c r="BC572" s="287">
        <f t="shared" si="315"/>
        <v>3931258.125</v>
      </c>
      <c r="BD572" s="287">
        <f t="shared" si="316"/>
        <v>2484662.5</v>
      </c>
      <c r="BE572" s="287">
        <f t="shared" si="317"/>
        <v>1494737.5</v>
      </c>
      <c r="BF572" s="287">
        <f t="shared" si="318"/>
        <v>4484212.5</v>
      </c>
      <c r="BG572" s="287">
        <f t="shared" si="319"/>
        <v>4486675</v>
      </c>
      <c r="BH572" s="287">
        <f t="shared" si="320"/>
        <v>4486675</v>
      </c>
      <c r="BI572" s="287">
        <f t="shared" si="321"/>
        <v>5659440.625</v>
      </c>
      <c r="BJ572" s="287">
        <f t="shared" si="322"/>
        <v>2991937.5</v>
      </c>
      <c r="BK572" s="287">
        <f t="shared" si="323"/>
        <v>2991937.5</v>
      </c>
      <c r="BL572" s="287">
        <f t="shared" si="324"/>
        <v>1494737.5</v>
      </c>
      <c r="BM572" s="16"/>
      <c r="BN572" s="287">
        <f t="shared" si="325"/>
        <v>34506273.75</v>
      </c>
      <c r="BO572" s="287">
        <f t="shared" si="326"/>
        <v>34506273.75</v>
      </c>
      <c r="BP572" s="432"/>
      <c r="BQ572" s="21"/>
      <c r="BR572" s="21"/>
      <c r="BS572" s="6"/>
      <c r="BT572" s="194">
        <f>+BN572+BO572</f>
        <v>69012547.5</v>
      </c>
      <c r="BU572" s="194">
        <f>+AM572</f>
        <v>34506273.75</v>
      </c>
      <c r="BV572" s="194">
        <f>+AN572</f>
        <v>34506273.75</v>
      </c>
      <c r="BW572" s="194">
        <f>+BT572-BU572-BV572</f>
        <v>0</v>
      </c>
      <c r="BX572" s="6"/>
      <c r="BY572" s="6"/>
      <c r="BZ572" s="39">
        <v>559</v>
      </c>
      <c r="CA572" s="39">
        <f t="shared" si="327"/>
        <v>2041</v>
      </c>
      <c r="CB572" s="6"/>
      <c r="CC572" s="39"/>
      <c r="CD572" s="39"/>
      <c r="CE572" s="39"/>
      <c r="CF572" s="39"/>
      <c r="CG572" s="39"/>
      <c r="CH572" s="39"/>
      <c r="CI572" s="39"/>
      <c r="CJ572" s="39"/>
      <c r="CK572" s="39"/>
    </row>
    <row r="573" spans="1:89" s="193" customFormat="1" ht="24">
      <c r="A573" s="375" t="s">
        <v>2507</v>
      </c>
      <c r="B573" s="21" t="str">
        <f t="shared" si="302"/>
        <v>OSL</v>
      </c>
      <c r="C573" s="21"/>
      <c r="D573" s="432"/>
      <c r="E573" s="439"/>
      <c r="F573" s="439"/>
      <c r="G573" s="520" t="s">
        <v>5294</v>
      </c>
      <c r="H573" s="358" t="s">
        <v>4655</v>
      </c>
      <c r="I573" s="262"/>
      <c r="J573" s="262"/>
      <c r="K573" s="263">
        <v>0</v>
      </c>
      <c r="L573" s="263">
        <v>0</v>
      </c>
      <c r="M573" s="263">
        <v>0</v>
      </c>
      <c r="N573" s="263">
        <v>0</v>
      </c>
      <c r="O573" s="263">
        <v>5800000</v>
      </c>
      <c r="P573" s="263">
        <v>0</v>
      </c>
      <c r="Q573" s="263">
        <v>0</v>
      </c>
      <c r="R573" s="263">
        <v>0</v>
      </c>
      <c r="S573" s="263">
        <v>0</v>
      </c>
      <c r="T573" s="263">
        <v>0</v>
      </c>
      <c r="U573" s="263">
        <f t="shared" si="341"/>
        <v>5800000</v>
      </c>
      <c r="V573" s="196" t="str">
        <f t="shared" si="342"/>
        <v>G/LOS</v>
      </c>
      <c r="W573" s="196" t="s">
        <v>1168</v>
      </c>
      <c r="X573" s="196" t="s">
        <v>1166</v>
      </c>
      <c r="Y573" s="376">
        <f t="shared" si="343"/>
        <v>5800000</v>
      </c>
      <c r="Z573" s="198"/>
      <c r="AA573" s="376">
        <f t="shared" si="344"/>
        <v>5800000</v>
      </c>
      <c r="AB573" s="196" t="s">
        <v>1166</v>
      </c>
      <c r="AC573" s="196" t="s">
        <v>1168</v>
      </c>
      <c r="AD573" s="275">
        <v>0.96000000000000008</v>
      </c>
      <c r="AE573" s="275">
        <v>4.0000000000000008E-2</v>
      </c>
      <c r="AF573" s="275">
        <v>0</v>
      </c>
      <c r="AG573" s="199">
        <v>0.97</v>
      </c>
      <c r="AH573" s="199">
        <v>1</v>
      </c>
      <c r="AI573" s="377">
        <f t="shared" si="345"/>
        <v>0.98499999999999999</v>
      </c>
      <c r="AJ573" s="203">
        <v>0.5</v>
      </c>
      <c r="AK573" s="203">
        <f t="shared" si="346"/>
        <v>0.5</v>
      </c>
      <c r="AL573" s="376">
        <f t="shared" si="347"/>
        <v>87000.000000000073</v>
      </c>
      <c r="AM573" s="376">
        <f t="shared" si="348"/>
        <v>2856500</v>
      </c>
      <c r="AN573" s="376">
        <f t="shared" si="349"/>
        <v>2856500</v>
      </c>
      <c r="AO573" s="378" t="s">
        <v>3608</v>
      </c>
      <c r="AP573" s="379" t="s">
        <v>2672</v>
      </c>
      <c r="AQ573" s="279"/>
      <c r="AR573" s="287">
        <f t="shared" si="305"/>
        <v>0</v>
      </c>
      <c r="AS573" s="287">
        <f t="shared" si="306"/>
        <v>0</v>
      </c>
      <c r="AT573" s="287">
        <f t="shared" si="307"/>
        <v>0</v>
      </c>
      <c r="AU573" s="287">
        <f t="shared" si="308"/>
        <v>0</v>
      </c>
      <c r="AV573" s="287">
        <f t="shared" si="309"/>
        <v>2856500</v>
      </c>
      <c r="AW573" s="287">
        <f t="shared" si="310"/>
        <v>0</v>
      </c>
      <c r="AX573" s="287">
        <f t="shared" si="311"/>
        <v>0</v>
      </c>
      <c r="AY573" s="287">
        <f t="shared" si="312"/>
        <v>0</v>
      </c>
      <c r="AZ573" s="287">
        <f t="shared" si="313"/>
        <v>0</v>
      </c>
      <c r="BA573" s="287">
        <f t="shared" si="314"/>
        <v>0</v>
      </c>
      <c r="BB573" s="16"/>
      <c r="BC573" s="287">
        <f t="shared" si="315"/>
        <v>0</v>
      </c>
      <c r="BD573" s="287">
        <f t="shared" si="316"/>
        <v>0</v>
      </c>
      <c r="BE573" s="287">
        <f t="shared" si="317"/>
        <v>0</v>
      </c>
      <c r="BF573" s="287">
        <f t="shared" si="318"/>
        <v>0</v>
      </c>
      <c r="BG573" s="287">
        <f t="shared" si="319"/>
        <v>2856500</v>
      </c>
      <c r="BH573" s="287">
        <f t="shared" si="320"/>
        <v>0</v>
      </c>
      <c r="BI573" s="287">
        <f t="shared" si="321"/>
        <v>0</v>
      </c>
      <c r="BJ573" s="287">
        <f t="shared" si="322"/>
        <v>0</v>
      </c>
      <c r="BK573" s="287">
        <f t="shared" si="323"/>
        <v>0</v>
      </c>
      <c r="BL573" s="287">
        <f t="shared" si="324"/>
        <v>0</v>
      </c>
      <c r="BM573" s="16"/>
      <c r="BN573" s="287">
        <f t="shared" si="325"/>
        <v>2856500</v>
      </c>
      <c r="BO573" s="287">
        <f t="shared" si="326"/>
        <v>2856500</v>
      </c>
      <c r="BP573" s="432"/>
      <c r="BQ573" s="21"/>
      <c r="BR573" s="21"/>
      <c r="BS573" s="6"/>
      <c r="BT573" s="194"/>
      <c r="BU573" s="194"/>
      <c r="BV573" s="194"/>
      <c r="BW573" s="194"/>
      <c r="BX573" s="6"/>
      <c r="BY573" s="6"/>
      <c r="BZ573" s="39">
        <v>560</v>
      </c>
      <c r="CA573" s="39">
        <f t="shared" si="327"/>
        <v>2041</v>
      </c>
      <c r="CB573" s="6"/>
      <c r="CC573" s="39"/>
      <c r="CD573" s="39"/>
      <c r="CE573" s="39"/>
      <c r="CF573" s="39"/>
      <c r="CG573" s="39"/>
      <c r="CH573" s="39"/>
      <c r="CI573" s="39"/>
      <c r="CJ573" s="39"/>
      <c r="CK573" s="39"/>
    </row>
    <row r="574" spans="1:89" s="193" customFormat="1" ht="24">
      <c r="A574" s="375" t="s">
        <v>2507</v>
      </c>
      <c r="B574" s="21" t="str">
        <f t="shared" si="302"/>
        <v>OSL</v>
      </c>
      <c r="C574" s="21"/>
      <c r="D574" s="432" t="s">
        <v>3166</v>
      </c>
      <c r="E574" s="439" t="s">
        <v>3626</v>
      </c>
      <c r="F574" s="439" t="s">
        <v>3449</v>
      </c>
      <c r="G574" s="520" t="s">
        <v>5296</v>
      </c>
      <c r="H574" s="358" t="s">
        <v>4655</v>
      </c>
      <c r="I574" s="262" t="s">
        <v>3492</v>
      </c>
      <c r="J574" s="262" t="s">
        <v>3504</v>
      </c>
      <c r="K574" s="263">
        <v>13572400</v>
      </c>
      <c r="L574" s="263">
        <v>24830000</v>
      </c>
      <c r="M574" s="263">
        <v>13780000</v>
      </c>
      <c r="N574" s="263">
        <v>15870000</v>
      </c>
      <c r="O574" s="263">
        <v>6135000</v>
      </c>
      <c r="P574" s="263">
        <v>8180000</v>
      </c>
      <c r="Q574" s="263">
        <v>13826250</v>
      </c>
      <c r="R574" s="263">
        <v>4090000</v>
      </c>
      <c r="S574" s="263">
        <v>4090000</v>
      </c>
      <c r="T574" s="263">
        <v>8788750</v>
      </c>
      <c r="U574" s="263">
        <f t="shared" si="341"/>
        <v>113162400</v>
      </c>
      <c r="V574" s="196" t="str">
        <f t="shared" si="342"/>
        <v>G/LOS</v>
      </c>
      <c r="W574" s="196" t="s">
        <v>1168</v>
      </c>
      <c r="X574" s="196" t="s">
        <v>1166</v>
      </c>
      <c r="Y574" s="376">
        <f t="shared" si="343"/>
        <v>113162400</v>
      </c>
      <c r="Z574" s="198"/>
      <c r="AA574" s="376">
        <f t="shared" si="344"/>
        <v>113162400</v>
      </c>
      <c r="AB574" s="196" t="s">
        <v>1166</v>
      </c>
      <c r="AC574" s="196" t="s">
        <v>1168</v>
      </c>
      <c r="AD574" s="275">
        <v>0.96000000000000008</v>
      </c>
      <c r="AE574" s="275">
        <v>4.0000000000000008E-2</v>
      </c>
      <c r="AF574" s="275">
        <v>0</v>
      </c>
      <c r="AG574" s="199">
        <v>0.9</v>
      </c>
      <c r="AH574" s="199">
        <v>1</v>
      </c>
      <c r="AI574" s="377">
        <f t="shared" si="345"/>
        <v>0.95</v>
      </c>
      <c r="AJ574" s="203">
        <v>0.5</v>
      </c>
      <c r="AK574" s="203">
        <f t="shared" si="346"/>
        <v>0.5</v>
      </c>
      <c r="AL574" s="376">
        <f t="shared" si="347"/>
        <v>5658120.0000000047</v>
      </c>
      <c r="AM574" s="376">
        <f t="shared" si="348"/>
        <v>53752140</v>
      </c>
      <c r="AN574" s="376">
        <f t="shared" si="349"/>
        <v>53752140</v>
      </c>
      <c r="AO574" s="378" t="s">
        <v>3608</v>
      </c>
      <c r="AP574" s="379" t="s">
        <v>2644</v>
      </c>
      <c r="AQ574" s="279"/>
      <c r="AR574" s="287">
        <f t="shared" si="305"/>
        <v>6446890</v>
      </c>
      <c r="AS574" s="287">
        <f t="shared" si="306"/>
        <v>11794250</v>
      </c>
      <c r="AT574" s="287">
        <f t="shared" si="307"/>
        <v>6545500</v>
      </c>
      <c r="AU574" s="287">
        <f t="shared" si="308"/>
        <v>7538250</v>
      </c>
      <c r="AV574" s="287">
        <f t="shared" si="309"/>
        <v>2914125</v>
      </c>
      <c r="AW574" s="287">
        <f t="shared" si="310"/>
        <v>3885500</v>
      </c>
      <c r="AX574" s="287">
        <f t="shared" si="311"/>
        <v>6567468.75</v>
      </c>
      <c r="AY574" s="287">
        <f t="shared" si="312"/>
        <v>1942750</v>
      </c>
      <c r="AZ574" s="287">
        <f t="shared" si="313"/>
        <v>1942750</v>
      </c>
      <c r="BA574" s="287">
        <f t="shared" si="314"/>
        <v>4174656.25</v>
      </c>
      <c r="BB574" s="16"/>
      <c r="BC574" s="287">
        <f t="shared" si="315"/>
        <v>6446890</v>
      </c>
      <c r="BD574" s="287">
        <f t="shared" si="316"/>
        <v>11794250</v>
      </c>
      <c r="BE574" s="287">
        <f t="shared" si="317"/>
        <v>6545500</v>
      </c>
      <c r="BF574" s="287">
        <f t="shared" si="318"/>
        <v>7538250</v>
      </c>
      <c r="BG574" s="287">
        <f t="shared" si="319"/>
        <v>2914125</v>
      </c>
      <c r="BH574" s="287">
        <f t="shared" si="320"/>
        <v>3885500</v>
      </c>
      <c r="BI574" s="287">
        <f t="shared" si="321"/>
        <v>6567468.75</v>
      </c>
      <c r="BJ574" s="287">
        <f t="shared" si="322"/>
        <v>1942750</v>
      </c>
      <c r="BK574" s="287">
        <f t="shared" si="323"/>
        <v>1942750</v>
      </c>
      <c r="BL574" s="287">
        <f t="shared" si="324"/>
        <v>4174656.25</v>
      </c>
      <c r="BM574" s="16"/>
      <c r="BN574" s="287">
        <f t="shared" si="325"/>
        <v>53752140</v>
      </c>
      <c r="BO574" s="287">
        <f t="shared" si="326"/>
        <v>53752140</v>
      </c>
      <c r="BP574" s="432"/>
      <c r="BQ574" s="21"/>
      <c r="BR574" s="21"/>
      <c r="BS574" s="6"/>
      <c r="BT574" s="194">
        <f t="shared" ref="BT574:BT583" si="350">+BN574+BO574</f>
        <v>107504280</v>
      </c>
      <c r="BU574" s="194">
        <f t="shared" ref="BU574:BU583" si="351">+AM574</f>
        <v>53752140</v>
      </c>
      <c r="BV574" s="194">
        <f t="shared" ref="BV574:BV583" si="352">+AN574</f>
        <v>53752140</v>
      </c>
      <c r="BW574" s="194">
        <f t="shared" ref="BW574:BW583" si="353">+BT574-BU574-BV574</f>
        <v>0</v>
      </c>
      <c r="BX574" s="6"/>
      <c r="BY574" s="6"/>
      <c r="BZ574" s="39">
        <v>561</v>
      </c>
      <c r="CA574" s="39">
        <f t="shared" si="327"/>
        <v>2041</v>
      </c>
      <c r="CB574" s="6"/>
      <c r="CC574" s="39"/>
      <c r="CD574" s="39"/>
      <c r="CE574" s="39"/>
      <c r="CF574" s="39"/>
      <c r="CG574" s="39"/>
      <c r="CH574" s="39"/>
      <c r="CI574" s="39"/>
      <c r="CJ574" s="39"/>
      <c r="CK574" s="39"/>
    </row>
    <row r="575" spans="1:89" s="193" customFormat="1" ht="24">
      <c r="A575" s="375" t="s">
        <v>2507</v>
      </c>
      <c r="B575" s="21" t="str">
        <f t="shared" si="302"/>
        <v>OSL</v>
      </c>
      <c r="C575" s="21"/>
      <c r="D575" s="432" t="s">
        <v>3166</v>
      </c>
      <c r="E575" s="439" t="s">
        <v>3626</v>
      </c>
      <c r="F575" s="439" t="s">
        <v>3449</v>
      </c>
      <c r="G575" s="520" t="s">
        <v>5297</v>
      </c>
      <c r="H575" s="358" t="s">
        <v>4655</v>
      </c>
      <c r="I575" s="262" t="s">
        <v>3492</v>
      </c>
      <c r="J575" s="262" t="s">
        <v>3504</v>
      </c>
      <c r="K575" s="263">
        <v>3865000</v>
      </c>
      <c r="L575" s="263">
        <v>3400000</v>
      </c>
      <c r="M575" s="263">
        <v>0</v>
      </c>
      <c r="N575" s="263">
        <v>0</v>
      </c>
      <c r="O575" s="263">
        <v>4070000</v>
      </c>
      <c r="P575" s="263">
        <v>0</v>
      </c>
      <c r="Q575" s="263">
        <v>0</v>
      </c>
      <c r="R575" s="263">
        <v>0</v>
      </c>
      <c r="S575" s="263">
        <v>0</v>
      </c>
      <c r="T575" s="263">
        <v>0</v>
      </c>
      <c r="U575" s="263">
        <f t="shared" si="341"/>
        <v>11335000</v>
      </c>
      <c r="V575" s="196" t="str">
        <f t="shared" si="342"/>
        <v>G/LOS</v>
      </c>
      <c r="W575" s="196" t="s">
        <v>1168</v>
      </c>
      <c r="X575" s="196" t="s">
        <v>1166</v>
      </c>
      <c r="Y575" s="376">
        <f t="shared" si="343"/>
        <v>11335000</v>
      </c>
      <c r="Z575" s="198"/>
      <c r="AA575" s="376">
        <f t="shared" si="344"/>
        <v>11335000</v>
      </c>
      <c r="AB575" s="196" t="s">
        <v>1166</v>
      </c>
      <c r="AC575" s="196" t="s">
        <v>1168</v>
      </c>
      <c r="AD575" s="518">
        <v>0.96000000000000008</v>
      </c>
      <c r="AE575" s="275">
        <v>4.0000000000000008E-2</v>
      </c>
      <c r="AF575" s="275">
        <v>0</v>
      </c>
      <c r="AG575" s="199">
        <v>0.9</v>
      </c>
      <c r="AH575" s="199">
        <v>1</v>
      </c>
      <c r="AI575" s="377">
        <f t="shared" si="345"/>
        <v>0.95</v>
      </c>
      <c r="AJ575" s="203">
        <v>1</v>
      </c>
      <c r="AK575" s="203">
        <f t="shared" si="346"/>
        <v>0</v>
      </c>
      <c r="AL575" s="376">
        <f t="shared" si="347"/>
        <v>566750.00000000047</v>
      </c>
      <c r="AM575" s="376">
        <f t="shared" si="348"/>
        <v>10768250</v>
      </c>
      <c r="AN575" s="376">
        <f t="shared" si="349"/>
        <v>0</v>
      </c>
      <c r="AO575" s="378" t="s">
        <v>3608</v>
      </c>
      <c r="AP575" s="379" t="s">
        <v>2633</v>
      </c>
      <c r="AQ575" s="279"/>
      <c r="AR575" s="287">
        <f t="shared" si="305"/>
        <v>3671750</v>
      </c>
      <c r="AS575" s="287">
        <f t="shared" si="306"/>
        <v>3230000</v>
      </c>
      <c r="AT575" s="287">
        <f t="shared" si="307"/>
        <v>0</v>
      </c>
      <c r="AU575" s="287">
        <f t="shared" si="308"/>
        <v>0</v>
      </c>
      <c r="AV575" s="287">
        <f t="shared" si="309"/>
        <v>3866500</v>
      </c>
      <c r="AW575" s="287">
        <f t="shared" si="310"/>
        <v>0</v>
      </c>
      <c r="AX575" s="287">
        <f t="shared" si="311"/>
        <v>0</v>
      </c>
      <c r="AY575" s="287">
        <f t="shared" si="312"/>
        <v>0</v>
      </c>
      <c r="AZ575" s="287">
        <f t="shared" si="313"/>
        <v>0</v>
      </c>
      <c r="BA575" s="287">
        <f t="shared" si="314"/>
        <v>0</v>
      </c>
      <c r="BB575" s="16"/>
      <c r="BC575" s="287">
        <f t="shared" si="315"/>
        <v>0</v>
      </c>
      <c r="BD575" s="287">
        <f t="shared" si="316"/>
        <v>0</v>
      </c>
      <c r="BE575" s="287">
        <f t="shared" si="317"/>
        <v>0</v>
      </c>
      <c r="BF575" s="287">
        <f t="shared" si="318"/>
        <v>0</v>
      </c>
      <c r="BG575" s="287">
        <f t="shared" si="319"/>
        <v>0</v>
      </c>
      <c r="BH575" s="287">
        <f t="shared" si="320"/>
        <v>0</v>
      </c>
      <c r="BI575" s="287">
        <f t="shared" si="321"/>
        <v>0</v>
      </c>
      <c r="BJ575" s="287">
        <f t="shared" si="322"/>
        <v>0</v>
      </c>
      <c r="BK575" s="287">
        <f t="shared" si="323"/>
        <v>0</v>
      </c>
      <c r="BL575" s="287">
        <f t="shared" si="324"/>
        <v>0</v>
      </c>
      <c r="BM575" s="16"/>
      <c r="BN575" s="287">
        <f t="shared" si="325"/>
        <v>10768250</v>
      </c>
      <c r="BO575" s="287">
        <f t="shared" si="326"/>
        <v>0</v>
      </c>
      <c r="BP575" s="432"/>
      <c r="BQ575" s="21"/>
      <c r="BR575" s="21"/>
      <c r="BS575" s="6"/>
      <c r="BT575" s="194">
        <f t="shared" si="350"/>
        <v>10768250</v>
      </c>
      <c r="BU575" s="194">
        <f t="shared" si="351"/>
        <v>10768250</v>
      </c>
      <c r="BV575" s="194">
        <f t="shared" si="352"/>
        <v>0</v>
      </c>
      <c r="BW575" s="194">
        <f t="shared" si="353"/>
        <v>0</v>
      </c>
      <c r="BX575" s="6"/>
      <c r="BY575" s="6"/>
      <c r="BZ575" s="39">
        <v>562</v>
      </c>
      <c r="CA575" s="39">
        <f t="shared" si="327"/>
        <v>2031</v>
      </c>
      <c r="CB575" s="6"/>
      <c r="CC575" s="39"/>
      <c r="CD575" s="39"/>
      <c r="CE575" s="39"/>
      <c r="CF575" s="39"/>
      <c r="CG575" s="39"/>
      <c r="CH575" s="39"/>
      <c r="CI575" s="39"/>
      <c r="CJ575" s="39"/>
      <c r="CK575" s="39"/>
    </row>
    <row r="576" spans="1:89" s="193" customFormat="1" ht="24">
      <c r="A576" s="375" t="s">
        <v>2502</v>
      </c>
      <c r="B576" s="21" t="str">
        <f t="shared" si="302"/>
        <v>OSL</v>
      </c>
      <c r="C576" s="21"/>
      <c r="D576" s="432" t="s">
        <v>3166</v>
      </c>
      <c r="E576" s="439"/>
      <c r="F576" s="439" t="s">
        <v>3449</v>
      </c>
      <c r="G576" s="520" t="s">
        <v>4328</v>
      </c>
      <c r="H576" s="358" t="s">
        <v>4658</v>
      </c>
      <c r="I576" s="262" t="s">
        <v>3492</v>
      </c>
      <c r="J576" s="262" t="s">
        <v>3504</v>
      </c>
      <c r="K576" s="263">
        <v>0</v>
      </c>
      <c r="L576" s="263">
        <v>0</v>
      </c>
      <c r="M576" s="263">
        <v>20000000</v>
      </c>
      <c r="N576" s="263">
        <v>25000000</v>
      </c>
      <c r="O576" s="263">
        <v>25000000</v>
      </c>
      <c r="P576" s="263">
        <v>25000000</v>
      </c>
      <c r="Q576" s="263">
        <v>25000000</v>
      </c>
      <c r="R576" s="263">
        <v>25000000</v>
      </c>
      <c r="S576" s="263">
        <v>25000000</v>
      </c>
      <c r="T576" s="263">
        <v>25000000</v>
      </c>
      <c r="U576" s="263">
        <f t="shared" si="341"/>
        <v>195000000</v>
      </c>
      <c r="V576" s="196" t="str">
        <f t="shared" si="342"/>
        <v>G/LOS</v>
      </c>
      <c r="W576" s="196" t="s">
        <v>1168</v>
      </c>
      <c r="X576" s="196" t="s">
        <v>1166</v>
      </c>
      <c r="Y576" s="376">
        <f t="shared" si="343"/>
        <v>195000000</v>
      </c>
      <c r="Z576" s="198"/>
      <c r="AA576" s="376">
        <f t="shared" si="344"/>
        <v>195000000</v>
      </c>
      <c r="AB576" s="196" t="s">
        <v>1166</v>
      </c>
      <c r="AC576" s="196" t="s">
        <v>1168</v>
      </c>
      <c r="AD576" s="518">
        <v>0.8</v>
      </c>
      <c r="AE576" s="275">
        <v>0.2</v>
      </c>
      <c r="AF576" s="275">
        <v>0</v>
      </c>
      <c r="AG576" s="691">
        <v>0.8</v>
      </c>
      <c r="AH576" s="691">
        <v>1</v>
      </c>
      <c r="AI576" s="689">
        <f t="shared" si="345"/>
        <v>0.9</v>
      </c>
      <c r="AJ576" s="203">
        <v>0.5</v>
      </c>
      <c r="AK576" s="203">
        <f t="shared" si="346"/>
        <v>0.5</v>
      </c>
      <c r="AL576" s="376">
        <f t="shared" si="347"/>
        <v>19499999.999999996</v>
      </c>
      <c r="AM576" s="376">
        <f t="shared" si="348"/>
        <v>87750000</v>
      </c>
      <c r="AN576" s="376">
        <f t="shared" si="349"/>
        <v>87750000</v>
      </c>
      <c r="AO576" s="378" t="s">
        <v>3607</v>
      </c>
      <c r="AP576" s="379" t="s">
        <v>2633</v>
      </c>
      <c r="AQ576" s="279"/>
      <c r="AR576" s="287">
        <f t="shared" si="305"/>
        <v>0</v>
      </c>
      <c r="AS576" s="287">
        <f t="shared" si="306"/>
        <v>0</v>
      </c>
      <c r="AT576" s="287">
        <f t="shared" si="307"/>
        <v>9000000</v>
      </c>
      <c r="AU576" s="287">
        <f t="shared" si="308"/>
        <v>11250000</v>
      </c>
      <c r="AV576" s="287">
        <f t="shared" si="309"/>
        <v>11250000</v>
      </c>
      <c r="AW576" s="287">
        <f t="shared" si="310"/>
        <v>11250000</v>
      </c>
      <c r="AX576" s="287">
        <f t="shared" si="311"/>
        <v>11250000</v>
      </c>
      <c r="AY576" s="287">
        <f t="shared" si="312"/>
        <v>11250000</v>
      </c>
      <c r="AZ576" s="287">
        <f t="shared" si="313"/>
        <v>11250000</v>
      </c>
      <c r="BA576" s="287">
        <f t="shared" si="314"/>
        <v>11250000</v>
      </c>
      <c r="BB576" s="16"/>
      <c r="BC576" s="287">
        <f t="shared" si="315"/>
        <v>0</v>
      </c>
      <c r="BD576" s="287">
        <f t="shared" si="316"/>
        <v>0</v>
      </c>
      <c r="BE576" s="287">
        <f t="shared" si="317"/>
        <v>9000000</v>
      </c>
      <c r="BF576" s="287">
        <f t="shared" si="318"/>
        <v>11250000</v>
      </c>
      <c r="BG576" s="287">
        <f t="shared" si="319"/>
        <v>11250000</v>
      </c>
      <c r="BH576" s="287">
        <f t="shared" si="320"/>
        <v>11250000</v>
      </c>
      <c r="BI576" s="287">
        <f t="shared" si="321"/>
        <v>11250000</v>
      </c>
      <c r="BJ576" s="287">
        <f t="shared" si="322"/>
        <v>11250000</v>
      </c>
      <c r="BK576" s="287">
        <f t="shared" si="323"/>
        <v>11250000</v>
      </c>
      <c r="BL576" s="287">
        <f t="shared" si="324"/>
        <v>11250000</v>
      </c>
      <c r="BM576" s="16"/>
      <c r="BN576" s="287">
        <f t="shared" si="325"/>
        <v>87750000</v>
      </c>
      <c r="BO576" s="287">
        <f t="shared" si="326"/>
        <v>87750000</v>
      </c>
      <c r="BP576" s="432"/>
      <c r="BQ576" s="21"/>
      <c r="BR576" s="21"/>
      <c r="BS576" s="6"/>
      <c r="BT576" s="194">
        <f t="shared" si="350"/>
        <v>175500000</v>
      </c>
      <c r="BU576" s="194">
        <f t="shared" si="351"/>
        <v>87750000</v>
      </c>
      <c r="BV576" s="194">
        <f t="shared" si="352"/>
        <v>87750000</v>
      </c>
      <c r="BW576" s="194">
        <f t="shared" si="353"/>
        <v>0</v>
      </c>
      <c r="BX576" s="6"/>
      <c r="BY576" s="6"/>
      <c r="BZ576" s="39">
        <v>563</v>
      </c>
      <c r="CA576" s="39">
        <f t="shared" si="327"/>
        <v>2041</v>
      </c>
      <c r="CB576" s="6"/>
      <c r="CC576" s="39"/>
      <c r="CD576" s="39"/>
      <c r="CE576" s="39"/>
      <c r="CF576" s="39"/>
      <c r="CG576" s="39"/>
      <c r="CH576" s="39"/>
      <c r="CI576" s="39"/>
      <c r="CJ576" s="39"/>
      <c r="CK576" s="39"/>
    </row>
    <row r="577" spans="1:89" s="193" customFormat="1" ht="24">
      <c r="A577" s="375" t="s">
        <v>2502</v>
      </c>
      <c r="B577" s="21" t="str">
        <f t="shared" si="302"/>
        <v>OSL</v>
      </c>
      <c r="C577" s="21"/>
      <c r="D577" s="432" t="s">
        <v>3166</v>
      </c>
      <c r="E577" s="439" t="s">
        <v>3626</v>
      </c>
      <c r="F577" s="439" t="s">
        <v>3449</v>
      </c>
      <c r="G577" s="520" t="s">
        <v>5295</v>
      </c>
      <c r="H577" s="358" t="s">
        <v>4656</v>
      </c>
      <c r="I577" s="262" t="s">
        <v>3492</v>
      </c>
      <c r="J577" s="262" t="s">
        <v>3504</v>
      </c>
      <c r="K577" s="263">
        <v>9655000</v>
      </c>
      <c r="L577" s="263">
        <v>2500000</v>
      </c>
      <c r="M577" s="263">
        <v>0</v>
      </c>
      <c r="N577" s="263">
        <v>0</v>
      </c>
      <c r="O577" s="263">
        <v>11600000</v>
      </c>
      <c r="P577" s="263">
        <v>11600000</v>
      </c>
      <c r="Q577" s="263">
        <v>17400000</v>
      </c>
      <c r="R577" s="263">
        <v>5800000</v>
      </c>
      <c r="S577" s="263">
        <v>14500000</v>
      </c>
      <c r="T577" s="263">
        <v>11600000</v>
      </c>
      <c r="U577" s="263">
        <f t="shared" si="341"/>
        <v>84655000</v>
      </c>
      <c r="V577" s="196" t="str">
        <f t="shared" si="342"/>
        <v>G/LOS</v>
      </c>
      <c r="W577" s="196" t="s">
        <v>1168</v>
      </c>
      <c r="X577" s="196" t="s">
        <v>1166</v>
      </c>
      <c r="Y577" s="376">
        <f t="shared" si="343"/>
        <v>84655000</v>
      </c>
      <c r="Z577" s="198"/>
      <c r="AA577" s="376">
        <f t="shared" si="344"/>
        <v>84655000</v>
      </c>
      <c r="AB577" s="196" t="s">
        <v>1166</v>
      </c>
      <c r="AC577" s="196" t="s">
        <v>1168</v>
      </c>
      <c r="AD577" s="518">
        <v>0.96000000000000008</v>
      </c>
      <c r="AE577" s="275">
        <v>4.0000000000000008E-2</v>
      </c>
      <c r="AF577" s="275">
        <v>0</v>
      </c>
      <c r="AG577" s="199">
        <v>0.9</v>
      </c>
      <c r="AH577" s="199">
        <v>1</v>
      </c>
      <c r="AI577" s="377">
        <f t="shared" si="345"/>
        <v>0.95</v>
      </c>
      <c r="AJ577" s="203">
        <v>0.5</v>
      </c>
      <c r="AK577" s="203">
        <f t="shared" si="346"/>
        <v>0.5</v>
      </c>
      <c r="AL577" s="376">
        <f t="shared" si="347"/>
        <v>4232750.0000000037</v>
      </c>
      <c r="AM577" s="376">
        <f t="shared" si="348"/>
        <v>40211125</v>
      </c>
      <c r="AN577" s="376">
        <f t="shared" si="349"/>
        <v>40211125</v>
      </c>
      <c r="AO577" s="378" t="s">
        <v>3607</v>
      </c>
      <c r="AP577" s="379" t="s">
        <v>2642</v>
      </c>
      <c r="AQ577" s="279"/>
      <c r="AR577" s="287">
        <f t="shared" si="305"/>
        <v>4586125</v>
      </c>
      <c r="AS577" s="287">
        <f t="shared" si="306"/>
        <v>1187500</v>
      </c>
      <c r="AT577" s="287">
        <f t="shared" si="307"/>
        <v>0</v>
      </c>
      <c r="AU577" s="287">
        <f t="shared" si="308"/>
        <v>0</v>
      </c>
      <c r="AV577" s="287">
        <f t="shared" si="309"/>
        <v>5510000</v>
      </c>
      <c r="AW577" s="287">
        <f t="shared" si="310"/>
        <v>5510000</v>
      </c>
      <c r="AX577" s="287">
        <f t="shared" si="311"/>
        <v>8265000</v>
      </c>
      <c r="AY577" s="287">
        <f t="shared" si="312"/>
        <v>2755000</v>
      </c>
      <c r="AZ577" s="287">
        <f t="shared" si="313"/>
        <v>6887500</v>
      </c>
      <c r="BA577" s="287">
        <f t="shared" si="314"/>
        <v>5510000</v>
      </c>
      <c r="BB577" s="16"/>
      <c r="BC577" s="287">
        <f t="shared" si="315"/>
        <v>4586125</v>
      </c>
      <c r="BD577" s="287">
        <f t="shared" si="316"/>
        <v>1187500</v>
      </c>
      <c r="BE577" s="287">
        <f t="shared" si="317"/>
        <v>0</v>
      </c>
      <c r="BF577" s="287">
        <f t="shared" si="318"/>
        <v>0</v>
      </c>
      <c r="BG577" s="287">
        <f t="shared" si="319"/>
        <v>5510000</v>
      </c>
      <c r="BH577" s="287">
        <f t="shared" si="320"/>
        <v>5510000</v>
      </c>
      <c r="BI577" s="287">
        <f t="shared" si="321"/>
        <v>8265000</v>
      </c>
      <c r="BJ577" s="287">
        <f t="shared" si="322"/>
        <v>2755000</v>
      </c>
      <c r="BK577" s="287">
        <f t="shared" si="323"/>
        <v>6887500</v>
      </c>
      <c r="BL577" s="287">
        <f t="shared" si="324"/>
        <v>5510000</v>
      </c>
      <c r="BM577" s="16"/>
      <c r="BN577" s="287">
        <f t="shared" si="325"/>
        <v>40211125</v>
      </c>
      <c r="BO577" s="287">
        <f t="shared" si="326"/>
        <v>40211125</v>
      </c>
      <c r="BP577" s="432"/>
      <c r="BQ577" s="21"/>
      <c r="BR577" s="21"/>
      <c r="BS577" s="6"/>
      <c r="BT577" s="194">
        <f t="shared" si="350"/>
        <v>80422250</v>
      </c>
      <c r="BU577" s="194">
        <f t="shared" si="351"/>
        <v>40211125</v>
      </c>
      <c r="BV577" s="194">
        <f t="shared" si="352"/>
        <v>40211125</v>
      </c>
      <c r="BW577" s="194">
        <f t="shared" si="353"/>
        <v>0</v>
      </c>
      <c r="BX577" s="6"/>
      <c r="BY577" s="6"/>
      <c r="BZ577" s="39">
        <v>564</v>
      </c>
      <c r="CA577" s="39">
        <f t="shared" si="327"/>
        <v>2041</v>
      </c>
      <c r="CB577" s="6"/>
      <c r="CC577" s="39"/>
      <c r="CD577" s="39"/>
      <c r="CE577" s="39"/>
      <c r="CF577" s="39"/>
      <c r="CG577" s="39"/>
      <c r="CH577" s="39"/>
      <c r="CI577" s="39"/>
      <c r="CJ577" s="39"/>
      <c r="CK577" s="39"/>
    </row>
    <row r="578" spans="1:89" s="193" customFormat="1" ht="24">
      <c r="A578" s="375" t="s">
        <v>2502</v>
      </c>
      <c r="B578" s="21" t="str">
        <f t="shared" si="302"/>
        <v>OSL</v>
      </c>
      <c r="C578" s="21"/>
      <c r="D578" s="432" t="s">
        <v>3166</v>
      </c>
      <c r="E578" s="439"/>
      <c r="F578" s="439" t="s">
        <v>3449</v>
      </c>
      <c r="G578" s="520" t="s">
        <v>4405</v>
      </c>
      <c r="H578" s="358" t="s">
        <v>4659</v>
      </c>
      <c r="I578" s="262" t="s">
        <v>3492</v>
      </c>
      <c r="J578" s="262" t="s">
        <v>3504</v>
      </c>
      <c r="K578" s="263"/>
      <c r="L578" s="263"/>
      <c r="M578" s="263"/>
      <c r="N578" s="263"/>
      <c r="O578" s="263"/>
      <c r="P578" s="263"/>
      <c r="Q578" s="263"/>
      <c r="R578" s="263"/>
      <c r="S578" s="263"/>
      <c r="T578" s="263">
        <v>2900000</v>
      </c>
      <c r="U578" s="263">
        <f t="shared" si="341"/>
        <v>2900000</v>
      </c>
      <c r="V578" s="196" t="str">
        <f t="shared" si="342"/>
        <v>G/LOS</v>
      </c>
      <c r="W578" s="196" t="s">
        <v>1168</v>
      </c>
      <c r="X578" s="196" t="s">
        <v>1166</v>
      </c>
      <c r="Y578" s="376">
        <f t="shared" si="343"/>
        <v>2900000</v>
      </c>
      <c r="Z578" s="198"/>
      <c r="AA578" s="376">
        <f t="shared" si="344"/>
        <v>2900000</v>
      </c>
      <c r="AB578" s="196" t="s">
        <v>1166</v>
      </c>
      <c r="AC578" s="196" t="s">
        <v>1168</v>
      </c>
      <c r="AD578" s="518">
        <v>0.96000000000000008</v>
      </c>
      <c r="AE578" s="275">
        <v>4.0000000000000008E-2</v>
      </c>
      <c r="AF578" s="275">
        <v>0</v>
      </c>
      <c r="AG578" s="199">
        <v>0.92</v>
      </c>
      <c r="AH578" s="199">
        <v>1</v>
      </c>
      <c r="AI578" s="377">
        <f t="shared" si="345"/>
        <v>0.96</v>
      </c>
      <c r="AJ578" s="203">
        <v>0.5</v>
      </c>
      <c r="AK578" s="203">
        <f t="shared" si="346"/>
        <v>0.5</v>
      </c>
      <c r="AL578" s="376">
        <f t="shared" si="347"/>
        <v>116000.0000000001</v>
      </c>
      <c r="AM578" s="376">
        <f t="shared" si="348"/>
        <v>1392000</v>
      </c>
      <c r="AN578" s="376">
        <f t="shared" si="349"/>
        <v>1392000</v>
      </c>
      <c r="AO578" s="378" t="s">
        <v>3607</v>
      </c>
      <c r="AP578" s="379" t="s">
        <v>2668</v>
      </c>
      <c r="AQ578" s="279"/>
      <c r="AR578" s="287">
        <f t="shared" si="305"/>
        <v>0</v>
      </c>
      <c r="AS578" s="287">
        <f t="shared" si="306"/>
        <v>0</v>
      </c>
      <c r="AT578" s="287">
        <f t="shared" si="307"/>
        <v>0</v>
      </c>
      <c r="AU578" s="287">
        <f t="shared" si="308"/>
        <v>0</v>
      </c>
      <c r="AV578" s="287">
        <f t="shared" si="309"/>
        <v>0</v>
      </c>
      <c r="AW578" s="287">
        <f t="shared" si="310"/>
        <v>0</v>
      </c>
      <c r="AX578" s="287">
        <f t="shared" si="311"/>
        <v>0</v>
      </c>
      <c r="AY578" s="287">
        <f t="shared" si="312"/>
        <v>0</v>
      </c>
      <c r="AZ578" s="287">
        <f t="shared" si="313"/>
        <v>0</v>
      </c>
      <c r="BA578" s="287">
        <f t="shared" si="314"/>
        <v>1392000</v>
      </c>
      <c r="BB578" s="16"/>
      <c r="BC578" s="287">
        <f t="shared" si="315"/>
        <v>0</v>
      </c>
      <c r="BD578" s="287">
        <f t="shared" si="316"/>
        <v>0</v>
      </c>
      <c r="BE578" s="287">
        <f t="shared" si="317"/>
        <v>0</v>
      </c>
      <c r="BF578" s="287">
        <f t="shared" si="318"/>
        <v>0</v>
      </c>
      <c r="BG578" s="287">
        <f t="shared" si="319"/>
        <v>0</v>
      </c>
      <c r="BH578" s="287">
        <f t="shared" si="320"/>
        <v>0</v>
      </c>
      <c r="BI578" s="287">
        <f t="shared" si="321"/>
        <v>0</v>
      </c>
      <c r="BJ578" s="287">
        <f t="shared" si="322"/>
        <v>0</v>
      </c>
      <c r="BK578" s="287">
        <f t="shared" si="323"/>
        <v>0</v>
      </c>
      <c r="BL578" s="287">
        <f t="shared" si="324"/>
        <v>1392000</v>
      </c>
      <c r="BM578" s="16"/>
      <c r="BN578" s="287">
        <f t="shared" si="325"/>
        <v>1392000</v>
      </c>
      <c r="BO578" s="287">
        <f t="shared" si="326"/>
        <v>1392000</v>
      </c>
      <c r="BP578" s="432"/>
      <c r="BQ578" s="21"/>
      <c r="BR578" s="21"/>
      <c r="BS578" s="6"/>
      <c r="BT578" s="194">
        <f t="shared" si="350"/>
        <v>2784000</v>
      </c>
      <c r="BU578" s="194">
        <f t="shared" si="351"/>
        <v>1392000</v>
      </c>
      <c r="BV578" s="194">
        <f t="shared" si="352"/>
        <v>1392000</v>
      </c>
      <c r="BW578" s="194">
        <f t="shared" si="353"/>
        <v>0</v>
      </c>
      <c r="BX578" s="6"/>
      <c r="BY578" s="6"/>
      <c r="BZ578" s="39">
        <v>565</v>
      </c>
      <c r="CA578" s="39">
        <f t="shared" si="327"/>
        <v>2041</v>
      </c>
      <c r="CB578" s="6"/>
      <c r="CC578" s="39"/>
      <c r="CD578" s="39"/>
      <c r="CE578" s="39"/>
      <c r="CF578" s="39"/>
      <c r="CG578" s="39"/>
      <c r="CH578" s="39"/>
      <c r="CI578" s="39"/>
      <c r="CJ578" s="39"/>
      <c r="CK578" s="39"/>
    </row>
    <row r="579" spans="1:89" s="193" customFormat="1" ht="24">
      <c r="A579" s="375" t="s">
        <v>2507</v>
      </c>
      <c r="B579" s="21" t="str">
        <f t="shared" si="302"/>
        <v>OSL</v>
      </c>
      <c r="C579" s="21"/>
      <c r="D579" s="432" t="s">
        <v>3166</v>
      </c>
      <c r="E579" s="439" t="s">
        <v>3626</v>
      </c>
      <c r="F579" s="439" t="s">
        <v>3449</v>
      </c>
      <c r="G579" s="520" t="s">
        <v>3602</v>
      </c>
      <c r="H579" s="358" t="s">
        <v>4660</v>
      </c>
      <c r="I579" s="262" t="s">
        <v>3492</v>
      </c>
      <c r="J579" s="262" t="s">
        <v>3504</v>
      </c>
      <c r="K579" s="263">
        <v>27222000</v>
      </c>
      <c r="L579" s="263">
        <v>5833332.75</v>
      </c>
      <c r="M579" s="263">
        <v>5833332.75</v>
      </c>
      <c r="N579" s="263">
        <v>0</v>
      </c>
      <c r="O579" s="263">
        <v>11666666.654999999</v>
      </c>
      <c r="P579" s="263">
        <v>11666666.654999999</v>
      </c>
      <c r="Q579" s="263">
        <v>11666666.550000001</v>
      </c>
      <c r="R579" s="263">
        <v>0</v>
      </c>
      <c r="S579" s="263">
        <v>0</v>
      </c>
      <c r="T579" s="263">
        <v>2464000</v>
      </c>
      <c r="U579" s="263">
        <f t="shared" si="341"/>
        <v>76352665.359999999</v>
      </c>
      <c r="V579" s="196" t="str">
        <f t="shared" si="342"/>
        <v>G/LOS</v>
      </c>
      <c r="W579" s="196" t="s">
        <v>1168</v>
      </c>
      <c r="X579" s="196" t="s">
        <v>1166</v>
      </c>
      <c r="Y579" s="376">
        <f t="shared" si="343"/>
        <v>76352665.359999999</v>
      </c>
      <c r="Z579" s="198"/>
      <c r="AA579" s="376">
        <f t="shared" si="344"/>
        <v>76352665.359999999</v>
      </c>
      <c r="AB579" s="196" t="s">
        <v>1166</v>
      </c>
      <c r="AC579" s="196" t="s">
        <v>1168</v>
      </c>
      <c r="AD579" s="275">
        <v>0.96000000000000008</v>
      </c>
      <c r="AE579" s="275">
        <v>4.0000000000000008E-2</v>
      </c>
      <c r="AF579" s="275">
        <v>0</v>
      </c>
      <c r="AG579" s="199">
        <v>0.97</v>
      </c>
      <c r="AH579" s="199">
        <v>1</v>
      </c>
      <c r="AI579" s="377">
        <f t="shared" si="345"/>
        <v>0.98499999999999999</v>
      </c>
      <c r="AJ579" s="203">
        <v>0.5</v>
      </c>
      <c r="AK579" s="203">
        <f t="shared" si="346"/>
        <v>0.5</v>
      </c>
      <c r="AL579" s="376">
        <f t="shared" si="347"/>
        <v>1145289.9804000009</v>
      </c>
      <c r="AM579" s="376">
        <f t="shared" si="348"/>
        <v>37603687.689800002</v>
      </c>
      <c r="AN579" s="376">
        <f t="shared" si="349"/>
        <v>37603687.689800002</v>
      </c>
      <c r="AO579" s="378" t="s">
        <v>3608</v>
      </c>
      <c r="AP579" s="379" t="s">
        <v>2640</v>
      </c>
      <c r="AQ579" s="279"/>
      <c r="AR579" s="287">
        <f t="shared" si="305"/>
        <v>13406835</v>
      </c>
      <c r="AS579" s="287">
        <f t="shared" si="306"/>
        <v>2872916.379375</v>
      </c>
      <c r="AT579" s="287">
        <f t="shared" si="307"/>
        <v>2872916.379375</v>
      </c>
      <c r="AU579" s="287">
        <f t="shared" si="308"/>
        <v>0</v>
      </c>
      <c r="AV579" s="287">
        <f t="shared" si="309"/>
        <v>5745833.3275874993</v>
      </c>
      <c r="AW579" s="287">
        <f t="shared" si="310"/>
        <v>5745833.3275874993</v>
      </c>
      <c r="AX579" s="287">
        <f t="shared" si="311"/>
        <v>5745833.2758750003</v>
      </c>
      <c r="AY579" s="287">
        <f t="shared" si="312"/>
        <v>0</v>
      </c>
      <c r="AZ579" s="287">
        <f t="shared" si="313"/>
        <v>0</v>
      </c>
      <c r="BA579" s="287">
        <f t="shared" si="314"/>
        <v>1213520</v>
      </c>
      <c r="BB579" s="16"/>
      <c r="BC579" s="287">
        <f t="shared" si="315"/>
        <v>13406835</v>
      </c>
      <c r="BD579" s="287">
        <f t="shared" si="316"/>
        <v>2872916.379375</v>
      </c>
      <c r="BE579" s="287">
        <f t="shared" si="317"/>
        <v>2872916.379375</v>
      </c>
      <c r="BF579" s="287">
        <f t="shared" si="318"/>
        <v>0</v>
      </c>
      <c r="BG579" s="287">
        <f t="shared" si="319"/>
        <v>5745833.3275874993</v>
      </c>
      <c r="BH579" s="287">
        <f t="shared" si="320"/>
        <v>5745833.3275874993</v>
      </c>
      <c r="BI579" s="287">
        <f t="shared" si="321"/>
        <v>5745833.2758750003</v>
      </c>
      <c r="BJ579" s="287">
        <f t="shared" si="322"/>
        <v>0</v>
      </c>
      <c r="BK579" s="287">
        <f t="shared" si="323"/>
        <v>0</v>
      </c>
      <c r="BL579" s="287">
        <f t="shared" si="324"/>
        <v>1213520</v>
      </c>
      <c r="BM579" s="16"/>
      <c r="BN579" s="287">
        <f t="shared" si="325"/>
        <v>37603687.689800002</v>
      </c>
      <c r="BO579" s="287">
        <f t="shared" si="326"/>
        <v>37603687.689800002</v>
      </c>
      <c r="BP579" s="432"/>
      <c r="BQ579" s="21"/>
      <c r="BR579" s="21"/>
      <c r="BS579" s="6"/>
      <c r="BT579" s="194">
        <f t="shared" si="350"/>
        <v>75207375.379600003</v>
      </c>
      <c r="BU579" s="194">
        <f t="shared" si="351"/>
        <v>37603687.689800002</v>
      </c>
      <c r="BV579" s="194">
        <f t="shared" si="352"/>
        <v>37603687.689800002</v>
      </c>
      <c r="BW579" s="194">
        <f t="shared" si="353"/>
        <v>0</v>
      </c>
      <c r="BX579" s="6"/>
      <c r="BY579" s="6"/>
      <c r="BZ579" s="39">
        <v>566</v>
      </c>
      <c r="CA579" s="39">
        <f t="shared" si="327"/>
        <v>2041</v>
      </c>
      <c r="CB579" s="6"/>
      <c r="CC579" s="39"/>
      <c r="CD579" s="39"/>
      <c r="CE579" s="39"/>
      <c r="CF579" s="39"/>
      <c r="CG579" s="39"/>
      <c r="CH579" s="39"/>
      <c r="CI579" s="39"/>
      <c r="CJ579" s="39"/>
      <c r="CK579" s="39"/>
    </row>
    <row r="580" spans="1:89" s="193" customFormat="1" ht="24">
      <c r="A580" s="375" t="s">
        <v>2507</v>
      </c>
      <c r="B580" s="21" t="str">
        <f t="shared" si="302"/>
        <v>OSL</v>
      </c>
      <c r="C580" s="21"/>
      <c r="D580" s="432" t="s">
        <v>3166</v>
      </c>
      <c r="E580" s="439" t="s">
        <v>3626</v>
      </c>
      <c r="F580" s="439" t="s">
        <v>3449</v>
      </c>
      <c r="G580" s="520" t="s">
        <v>3603</v>
      </c>
      <c r="H580" s="358" t="s">
        <v>4660</v>
      </c>
      <c r="I580" s="262" t="s">
        <v>3492</v>
      </c>
      <c r="J580" s="262" t="s">
        <v>3504</v>
      </c>
      <c r="K580" s="263">
        <v>0</v>
      </c>
      <c r="L580" s="263">
        <v>0</v>
      </c>
      <c r="M580" s="263">
        <v>0</v>
      </c>
      <c r="N580" s="263">
        <v>5983332.7350000003</v>
      </c>
      <c r="O580" s="263">
        <v>13899998.609999999</v>
      </c>
      <c r="P580" s="263">
        <v>13899999.932249999</v>
      </c>
      <c r="Q580" s="263">
        <v>7916666.5874999985</v>
      </c>
      <c r="R580" s="263">
        <v>0</v>
      </c>
      <c r="S580" s="263">
        <v>0</v>
      </c>
      <c r="T580" s="263">
        <v>2393333.333333333</v>
      </c>
      <c r="U580" s="263">
        <f t="shared" si="341"/>
        <v>44093331.198083334</v>
      </c>
      <c r="V580" s="196" t="str">
        <f t="shared" si="342"/>
        <v>G/LOS</v>
      </c>
      <c r="W580" s="196" t="s">
        <v>1168</v>
      </c>
      <c r="X580" s="196" t="s">
        <v>1166</v>
      </c>
      <c r="Y580" s="376">
        <f t="shared" si="343"/>
        <v>44093331.198083334</v>
      </c>
      <c r="Z580" s="198"/>
      <c r="AA580" s="376">
        <f t="shared" si="344"/>
        <v>44093331.198083334</v>
      </c>
      <c r="AB580" s="196" t="s">
        <v>1166</v>
      </c>
      <c r="AC580" s="196" t="s">
        <v>1168</v>
      </c>
      <c r="AD580" s="275">
        <v>0.96000000000000008</v>
      </c>
      <c r="AE580" s="275">
        <v>4.0000000000000008E-2</v>
      </c>
      <c r="AF580" s="275">
        <v>0</v>
      </c>
      <c r="AG580" s="199">
        <v>0.9</v>
      </c>
      <c r="AH580" s="199">
        <v>1</v>
      </c>
      <c r="AI580" s="377">
        <f t="shared" si="345"/>
        <v>0.95</v>
      </c>
      <c r="AJ580" s="203">
        <v>0.5</v>
      </c>
      <c r="AK580" s="203">
        <f t="shared" si="346"/>
        <v>0.5</v>
      </c>
      <c r="AL580" s="376">
        <f t="shared" si="347"/>
        <v>2204666.5599041688</v>
      </c>
      <c r="AM580" s="376">
        <f t="shared" si="348"/>
        <v>20944332.319089584</v>
      </c>
      <c r="AN580" s="376">
        <f t="shared" si="349"/>
        <v>20944332.319089584</v>
      </c>
      <c r="AO580" s="378" t="s">
        <v>3608</v>
      </c>
      <c r="AP580" s="379" t="s">
        <v>2644</v>
      </c>
      <c r="AQ580" s="279"/>
      <c r="AR580" s="287">
        <f t="shared" si="305"/>
        <v>0</v>
      </c>
      <c r="AS580" s="287">
        <f t="shared" si="306"/>
        <v>0</v>
      </c>
      <c r="AT580" s="287">
        <f t="shared" si="307"/>
        <v>0</v>
      </c>
      <c r="AU580" s="287">
        <f t="shared" si="308"/>
        <v>2842083.0491249999</v>
      </c>
      <c r="AV580" s="287">
        <f t="shared" si="309"/>
        <v>6602499.3397499993</v>
      </c>
      <c r="AW580" s="287">
        <f t="shared" si="310"/>
        <v>6602499.9678187491</v>
      </c>
      <c r="AX580" s="287">
        <f t="shared" si="311"/>
        <v>3760416.6290624989</v>
      </c>
      <c r="AY580" s="287">
        <f t="shared" si="312"/>
        <v>0</v>
      </c>
      <c r="AZ580" s="287">
        <f t="shared" si="313"/>
        <v>0</v>
      </c>
      <c r="BA580" s="287">
        <f t="shared" si="314"/>
        <v>1136833.333333333</v>
      </c>
      <c r="BB580" s="16"/>
      <c r="BC580" s="287">
        <f t="shared" si="315"/>
        <v>0</v>
      </c>
      <c r="BD580" s="287">
        <f t="shared" si="316"/>
        <v>0</v>
      </c>
      <c r="BE580" s="287">
        <f t="shared" si="317"/>
        <v>0</v>
      </c>
      <c r="BF580" s="287">
        <f t="shared" si="318"/>
        <v>2842083.0491249999</v>
      </c>
      <c r="BG580" s="287">
        <f t="shared" si="319"/>
        <v>6602499.3397499993</v>
      </c>
      <c r="BH580" s="287">
        <f t="shared" si="320"/>
        <v>6602499.9678187491</v>
      </c>
      <c r="BI580" s="287">
        <f t="shared" si="321"/>
        <v>3760416.6290624989</v>
      </c>
      <c r="BJ580" s="287">
        <f t="shared" si="322"/>
        <v>0</v>
      </c>
      <c r="BK580" s="287">
        <f t="shared" si="323"/>
        <v>0</v>
      </c>
      <c r="BL580" s="287">
        <f t="shared" si="324"/>
        <v>1136833.333333333</v>
      </c>
      <c r="BM580" s="16"/>
      <c r="BN580" s="287">
        <f t="shared" si="325"/>
        <v>20944332.31908958</v>
      </c>
      <c r="BO580" s="287">
        <f t="shared" si="326"/>
        <v>20944332.31908958</v>
      </c>
      <c r="BP580" s="432"/>
      <c r="BQ580" s="21"/>
      <c r="BR580" s="21"/>
      <c r="BS580" s="6"/>
      <c r="BT580" s="194">
        <f t="shared" si="350"/>
        <v>41888664.638179161</v>
      </c>
      <c r="BU580" s="194">
        <f t="shared" si="351"/>
        <v>20944332.319089584</v>
      </c>
      <c r="BV580" s="194">
        <f t="shared" si="352"/>
        <v>20944332.319089584</v>
      </c>
      <c r="BW580" s="194">
        <f t="shared" si="353"/>
        <v>0</v>
      </c>
      <c r="BX580" s="6"/>
      <c r="BY580" s="6"/>
      <c r="BZ580" s="39">
        <v>567</v>
      </c>
      <c r="CA580" s="39">
        <f t="shared" si="327"/>
        <v>2041</v>
      </c>
      <c r="CB580" s="6"/>
      <c r="CC580" s="39"/>
      <c r="CD580" s="39"/>
      <c r="CE580" s="39"/>
      <c r="CF580" s="39"/>
      <c r="CG580" s="39"/>
      <c r="CH580" s="39"/>
      <c r="CI580" s="39"/>
      <c r="CJ580" s="39"/>
      <c r="CK580" s="39"/>
    </row>
    <row r="581" spans="1:89" s="193" customFormat="1" ht="24">
      <c r="A581" s="375" t="s">
        <v>2507</v>
      </c>
      <c r="B581" s="21" t="str">
        <f t="shared" si="302"/>
        <v>OSL</v>
      </c>
      <c r="C581" s="21"/>
      <c r="D581" s="432" t="s">
        <v>3166</v>
      </c>
      <c r="E581" s="439" t="s">
        <v>3626</v>
      </c>
      <c r="F581" s="439" t="s">
        <v>3449</v>
      </c>
      <c r="G581" s="520" t="s">
        <v>3604</v>
      </c>
      <c r="H581" s="358" t="s">
        <v>4661</v>
      </c>
      <c r="I581" s="262" t="s">
        <v>3492</v>
      </c>
      <c r="J581" s="262" t="s">
        <v>3504</v>
      </c>
      <c r="K581" s="263">
        <v>0</v>
      </c>
      <c r="L581" s="263">
        <v>0</v>
      </c>
      <c r="M581" s="263">
        <v>0</v>
      </c>
      <c r="N581" s="263">
        <v>0</v>
      </c>
      <c r="O581" s="263">
        <v>4803921.0882352944</v>
      </c>
      <c r="P581" s="263">
        <v>4803921.520588235</v>
      </c>
      <c r="Q581" s="263">
        <v>4803921.520588235</v>
      </c>
      <c r="R581" s="263">
        <v>0</v>
      </c>
      <c r="S581" s="263">
        <v>0</v>
      </c>
      <c r="T581" s="263">
        <v>0</v>
      </c>
      <c r="U581" s="263">
        <f t="shared" si="341"/>
        <v>14411764.129411764</v>
      </c>
      <c r="V581" s="196" t="str">
        <f t="shared" si="342"/>
        <v>G/LOS</v>
      </c>
      <c r="W581" s="196" t="s">
        <v>1168</v>
      </c>
      <c r="X581" s="196" t="s">
        <v>1166</v>
      </c>
      <c r="Y581" s="376">
        <f t="shared" si="343"/>
        <v>14411764.129411764</v>
      </c>
      <c r="Z581" s="198"/>
      <c r="AA581" s="376">
        <f t="shared" si="344"/>
        <v>14411764.129411764</v>
      </c>
      <c r="AB581" s="196" t="s">
        <v>1166</v>
      </c>
      <c r="AC581" s="196" t="s">
        <v>1168</v>
      </c>
      <c r="AD581" s="275">
        <v>0.96000000000000008</v>
      </c>
      <c r="AE581" s="275">
        <v>4.0000000000000008E-2</v>
      </c>
      <c r="AF581" s="275">
        <v>0</v>
      </c>
      <c r="AG581" s="199">
        <v>0.9</v>
      </c>
      <c r="AH581" s="199">
        <v>1</v>
      </c>
      <c r="AI581" s="377">
        <f t="shared" si="345"/>
        <v>0.95</v>
      </c>
      <c r="AJ581" s="203">
        <v>0.5</v>
      </c>
      <c r="AK581" s="203">
        <f t="shared" si="346"/>
        <v>0.5</v>
      </c>
      <c r="AL581" s="376">
        <f t="shared" si="347"/>
        <v>720588.2064705888</v>
      </c>
      <c r="AM581" s="376">
        <f t="shared" si="348"/>
        <v>6845587.9614705881</v>
      </c>
      <c r="AN581" s="376">
        <f t="shared" si="349"/>
        <v>6845587.9614705881</v>
      </c>
      <c r="AO581" s="378" t="s">
        <v>3607</v>
      </c>
      <c r="AP581" s="379" t="s">
        <v>2642</v>
      </c>
      <c r="AQ581" s="279"/>
      <c r="AR581" s="287">
        <f t="shared" si="305"/>
        <v>0</v>
      </c>
      <c r="AS581" s="287">
        <f t="shared" si="306"/>
        <v>0</v>
      </c>
      <c r="AT581" s="287">
        <f t="shared" si="307"/>
        <v>0</v>
      </c>
      <c r="AU581" s="287">
        <f t="shared" si="308"/>
        <v>0</v>
      </c>
      <c r="AV581" s="287">
        <f t="shared" si="309"/>
        <v>2281862.5169117646</v>
      </c>
      <c r="AW581" s="287">
        <f t="shared" si="310"/>
        <v>2281862.7222794117</v>
      </c>
      <c r="AX581" s="287">
        <f t="shared" si="311"/>
        <v>2281862.7222794117</v>
      </c>
      <c r="AY581" s="287">
        <f t="shared" si="312"/>
        <v>0</v>
      </c>
      <c r="AZ581" s="287">
        <f t="shared" si="313"/>
        <v>0</v>
      </c>
      <c r="BA581" s="287">
        <f t="shared" si="314"/>
        <v>0</v>
      </c>
      <c r="BB581" s="16"/>
      <c r="BC581" s="287">
        <f t="shared" si="315"/>
        <v>0</v>
      </c>
      <c r="BD581" s="287">
        <f t="shared" si="316"/>
        <v>0</v>
      </c>
      <c r="BE581" s="287">
        <f t="shared" si="317"/>
        <v>0</v>
      </c>
      <c r="BF581" s="287">
        <f t="shared" si="318"/>
        <v>0</v>
      </c>
      <c r="BG581" s="287">
        <f t="shared" si="319"/>
        <v>2281862.5169117646</v>
      </c>
      <c r="BH581" s="287">
        <f t="shared" si="320"/>
        <v>2281862.7222794117</v>
      </c>
      <c r="BI581" s="287">
        <f t="shared" si="321"/>
        <v>2281862.7222794117</v>
      </c>
      <c r="BJ581" s="287">
        <f t="shared" si="322"/>
        <v>0</v>
      </c>
      <c r="BK581" s="287">
        <f t="shared" si="323"/>
        <v>0</v>
      </c>
      <c r="BL581" s="287">
        <f t="shared" si="324"/>
        <v>0</v>
      </c>
      <c r="BM581" s="16"/>
      <c r="BN581" s="287">
        <f t="shared" si="325"/>
        <v>6845587.9614705881</v>
      </c>
      <c r="BO581" s="287">
        <f t="shared" si="326"/>
        <v>6845587.9614705881</v>
      </c>
      <c r="BP581" s="432"/>
      <c r="BQ581" s="21"/>
      <c r="BR581" s="21"/>
      <c r="BS581" s="6"/>
      <c r="BT581" s="194">
        <f t="shared" si="350"/>
        <v>13691175.922941176</v>
      </c>
      <c r="BU581" s="194">
        <f t="shared" si="351"/>
        <v>6845587.9614705881</v>
      </c>
      <c r="BV581" s="194">
        <f t="shared" si="352"/>
        <v>6845587.9614705881</v>
      </c>
      <c r="BW581" s="194">
        <f t="shared" si="353"/>
        <v>0</v>
      </c>
      <c r="BX581" s="6"/>
      <c r="BY581" s="6"/>
      <c r="BZ581" s="39">
        <v>568</v>
      </c>
      <c r="CA581" s="39">
        <f t="shared" si="327"/>
        <v>2041</v>
      </c>
      <c r="CB581" s="6"/>
      <c r="CC581" s="39"/>
      <c r="CD581" s="39"/>
      <c r="CE581" s="39"/>
      <c r="CF581" s="39"/>
      <c r="CG581" s="39"/>
      <c r="CH581" s="39"/>
      <c r="CI581" s="39"/>
      <c r="CJ581" s="39"/>
      <c r="CK581" s="39"/>
    </row>
    <row r="582" spans="1:89" s="193" customFormat="1" ht="24">
      <c r="A582" s="375" t="s">
        <v>2507</v>
      </c>
      <c r="B582" s="21" t="str">
        <f t="shared" si="302"/>
        <v>OSL</v>
      </c>
      <c r="C582" s="21"/>
      <c r="D582" s="432" t="s">
        <v>3166</v>
      </c>
      <c r="E582" s="439" t="s">
        <v>3626</v>
      </c>
      <c r="F582" s="439" t="s">
        <v>3449</v>
      </c>
      <c r="G582" s="520" t="s">
        <v>3605</v>
      </c>
      <c r="H582" s="358" t="s">
        <v>4661</v>
      </c>
      <c r="I582" s="262" t="s">
        <v>3492</v>
      </c>
      <c r="J582" s="262" t="s">
        <v>3504</v>
      </c>
      <c r="K582" s="263">
        <v>0</v>
      </c>
      <c r="L582" s="263">
        <v>5849994.1499999994</v>
      </c>
      <c r="M582" s="263">
        <v>5849994.1499999994</v>
      </c>
      <c r="N582" s="263">
        <v>5849994.1499999994</v>
      </c>
      <c r="O582" s="263">
        <v>5450980.3921023533</v>
      </c>
      <c r="P582" s="263">
        <v>13627450.980337648</v>
      </c>
      <c r="Q582" s="263">
        <v>13627450.980337648</v>
      </c>
      <c r="R582" s="263">
        <v>0</v>
      </c>
      <c r="S582" s="263">
        <v>0</v>
      </c>
      <c r="T582" s="263">
        <v>0</v>
      </c>
      <c r="U582" s="263">
        <f t="shared" si="341"/>
        <v>50255864.802777648</v>
      </c>
      <c r="V582" s="196" t="str">
        <f t="shared" si="342"/>
        <v>G/LOS</v>
      </c>
      <c r="W582" s="196" t="s">
        <v>1168</v>
      </c>
      <c r="X582" s="196" t="s">
        <v>1166</v>
      </c>
      <c r="Y582" s="376">
        <f t="shared" si="343"/>
        <v>50255864.802777648</v>
      </c>
      <c r="Z582" s="198"/>
      <c r="AA582" s="376">
        <f t="shared" si="344"/>
        <v>50255864.802777648</v>
      </c>
      <c r="AB582" s="196" t="s">
        <v>1166</v>
      </c>
      <c r="AC582" s="196" t="s">
        <v>1168</v>
      </c>
      <c r="AD582" s="275">
        <v>0.96000000000000008</v>
      </c>
      <c r="AE582" s="275">
        <v>4.0000000000000008E-2</v>
      </c>
      <c r="AF582" s="275">
        <v>0</v>
      </c>
      <c r="AG582" s="199">
        <v>0.97</v>
      </c>
      <c r="AH582" s="199">
        <v>1</v>
      </c>
      <c r="AI582" s="377">
        <f t="shared" si="345"/>
        <v>0.98499999999999999</v>
      </c>
      <c r="AJ582" s="203">
        <v>0.5</v>
      </c>
      <c r="AK582" s="203">
        <f t="shared" si="346"/>
        <v>0.5</v>
      </c>
      <c r="AL582" s="376">
        <f t="shared" si="347"/>
        <v>753837.97204166534</v>
      </c>
      <c r="AM582" s="376">
        <f t="shared" si="348"/>
        <v>24751013.415367991</v>
      </c>
      <c r="AN582" s="376">
        <f t="shared" si="349"/>
        <v>24751013.415367991</v>
      </c>
      <c r="AO582" s="378" t="s">
        <v>3607</v>
      </c>
      <c r="AP582" s="379" t="s">
        <v>2640</v>
      </c>
      <c r="AQ582" s="279"/>
      <c r="AR582" s="287">
        <f t="shared" si="305"/>
        <v>0</v>
      </c>
      <c r="AS582" s="287">
        <f t="shared" si="306"/>
        <v>2881122.1188749997</v>
      </c>
      <c r="AT582" s="287">
        <f t="shared" si="307"/>
        <v>2881122.1188749997</v>
      </c>
      <c r="AU582" s="287">
        <f t="shared" si="308"/>
        <v>2881122.1188749997</v>
      </c>
      <c r="AV582" s="287">
        <f t="shared" si="309"/>
        <v>2684607.8431104091</v>
      </c>
      <c r="AW582" s="287">
        <f t="shared" si="310"/>
        <v>6711519.607816291</v>
      </c>
      <c r="AX582" s="287">
        <f t="shared" si="311"/>
        <v>6711519.607816291</v>
      </c>
      <c r="AY582" s="287">
        <f t="shared" si="312"/>
        <v>0</v>
      </c>
      <c r="AZ582" s="287">
        <f t="shared" si="313"/>
        <v>0</v>
      </c>
      <c r="BA582" s="287">
        <f t="shared" si="314"/>
        <v>0</v>
      </c>
      <c r="BB582" s="16"/>
      <c r="BC582" s="287">
        <f t="shared" si="315"/>
        <v>0</v>
      </c>
      <c r="BD582" s="287">
        <f t="shared" si="316"/>
        <v>2881122.1188749997</v>
      </c>
      <c r="BE582" s="287">
        <f t="shared" si="317"/>
        <v>2881122.1188749997</v>
      </c>
      <c r="BF582" s="287">
        <f t="shared" si="318"/>
        <v>2881122.1188749997</v>
      </c>
      <c r="BG582" s="287">
        <f t="shared" si="319"/>
        <v>2684607.8431104091</v>
      </c>
      <c r="BH582" s="287">
        <f t="shared" si="320"/>
        <v>6711519.607816291</v>
      </c>
      <c r="BI582" s="287">
        <f t="shared" si="321"/>
        <v>6711519.607816291</v>
      </c>
      <c r="BJ582" s="287">
        <f t="shared" si="322"/>
        <v>0</v>
      </c>
      <c r="BK582" s="287">
        <f t="shared" si="323"/>
        <v>0</v>
      </c>
      <c r="BL582" s="287">
        <f t="shared" si="324"/>
        <v>0</v>
      </c>
      <c r="BM582" s="16"/>
      <c r="BN582" s="287">
        <f t="shared" si="325"/>
        <v>24751013.415367987</v>
      </c>
      <c r="BO582" s="287">
        <f t="shared" si="326"/>
        <v>24751013.415367987</v>
      </c>
      <c r="BP582" s="432"/>
      <c r="BQ582" s="21"/>
      <c r="BR582" s="21"/>
      <c r="BS582" s="6"/>
      <c r="BT582" s="194">
        <f t="shared" si="350"/>
        <v>49502026.830735974</v>
      </c>
      <c r="BU582" s="194">
        <f t="shared" si="351"/>
        <v>24751013.415367991</v>
      </c>
      <c r="BV582" s="194">
        <f t="shared" si="352"/>
        <v>24751013.415367991</v>
      </c>
      <c r="BW582" s="194">
        <f t="shared" si="353"/>
        <v>0</v>
      </c>
      <c r="BX582" s="6"/>
      <c r="BY582" s="6"/>
      <c r="BZ582" s="39">
        <v>569</v>
      </c>
      <c r="CA582" s="39">
        <f t="shared" si="327"/>
        <v>2041</v>
      </c>
      <c r="CB582" s="6"/>
      <c r="CC582" s="39"/>
      <c r="CD582" s="39"/>
      <c r="CE582" s="39"/>
      <c r="CF582" s="39"/>
      <c r="CG582" s="39"/>
      <c r="CH582" s="39"/>
      <c r="CI582" s="39"/>
      <c r="CJ582" s="39"/>
      <c r="CK582" s="39"/>
    </row>
    <row r="583" spans="1:89" s="193" customFormat="1" ht="24">
      <c r="A583" s="375" t="s">
        <v>2507</v>
      </c>
      <c r="B583" s="21" t="str">
        <f t="shared" si="302"/>
        <v>OSL</v>
      </c>
      <c r="C583" s="21"/>
      <c r="D583" s="432" t="s">
        <v>3166</v>
      </c>
      <c r="E583" s="439" t="s">
        <v>3626</v>
      </c>
      <c r="F583" s="439" t="s">
        <v>3449</v>
      </c>
      <c r="G583" s="520" t="s">
        <v>3606</v>
      </c>
      <c r="H583" s="358" t="s">
        <v>4661</v>
      </c>
      <c r="I583" s="262" t="s">
        <v>3492</v>
      </c>
      <c r="J583" s="262" t="s">
        <v>3504</v>
      </c>
      <c r="K583" s="263">
        <v>0</v>
      </c>
      <c r="L583" s="263">
        <v>3500000</v>
      </c>
      <c r="M583" s="263">
        <v>0</v>
      </c>
      <c r="N583" s="263">
        <v>0</v>
      </c>
      <c r="O583" s="263">
        <v>0</v>
      </c>
      <c r="P583" s="263">
        <v>0</v>
      </c>
      <c r="Q583" s="263">
        <v>0</v>
      </c>
      <c r="R583" s="263">
        <v>10780000</v>
      </c>
      <c r="S583" s="263">
        <v>10780000</v>
      </c>
      <c r="T583" s="263">
        <v>10780000</v>
      </c>
      <c r="U583" s="263">
        <f t="shared" si="341"/>
        <v>35840000</v>
      </c>
      <c r="V583" s="196" t="str">
        <f t="shared" si="342"/>
        <v>G/LOS</v>
      </c>
      <c r="W583" s="196" t="s">
        <v>1168</v>
      </c>
      <c r="X583" s="196" t="s">
        <v>1166</v>
      </c>
      <c r="Y583" s="376">
        <f t="shared" si="343"/>
        <v>35840000</v>
      </c>
      <c r="Z583" s="198"/>
      <c r="AA583" s="376">
        <f t="shared" si="344"/>
        <v>35840000</v>
      </c>
      <c r="AB583" s="196" t="s">
        <v>1166</v>
      </c>
      <c r="AC583" s="196" t="s">
        <v>1168</v>
      </c>
      <c r="AD583" s="275">
        <v>0.96000000000000008</v>
      </c>
      <c r="AE583" s="275">
        <v>4.0000000000000008E-2</v>
      </c>
      <c r="AF583" s="275">
        <v>0</v>
      </c>
      <c r="AG583" s="199">
        <v>0.9</v>
      </c>
      <c r="AH583" s="199">
        <v>1</v>
      </c>
      <c r="AI583" s="377">
        <f t="shared" si="345"/>
        <v>0.95</v>
      </c>
      <c r="AJ583" s="203">
        <v>0.5</v>
      </c>
      <c r="AK583" s="203">
        <f t="shared" si="346"/>
        <v>0.5</v>
      </c>
      <c r="AL583" s="376">
        <f t="shared" si="347"/>
        <v>1792000.0000000016</v>
      </c>
      <c r="AM583" s="376">
        <f t="shared" si="348"/>
        <v>17024000</v>
      </c>
      <c r="AN583" s="376">
        <f t="shared" si="349"/>
        <v>17024000</v>
      </c>
      <c r="AO583" s="378" t="s">
        <v>3607</v>
      </c>
      <c r="AP583" s="379" t="s">
        <v>2644</v>
      </c>
      <c r="AQ583" s="279"/>
      <c r="AR583" s="287">
        <f t="shared" si="305"/>
        <v>0</v>
      </c>
      <c r="AS583" s="287">
        <f t="shared" si="306"/>
        <v>1662500</v>
      </c>
      <c r="AT583" s="287">
        <f t="shared" si="307"/>
        <v>0</v>
      </c>
      <c r="AU583" s="287">
        <f t="shared" si="308"/>
        <v>0</v>
      </c>
      <c r="AV583" s="287">
        <f t="shared" si="309"/>
        <v>0</v>
      </c>
      <c r="AW583" s="287">
        <f t="shared" si="310"/>
        <v>0</v>
      </c>
      <c r="AX583" s="287">
        <f t="shared" si="311"/>
        <v>0</v>
      </c>
      <c r="AY583" s="287">
        <f t="shared" si="312"/>
        <v>5120500</v>
      </c>
      <c r="AZ583" s="287">
        <f t="shared" si="313"/>
        <v>5120500</v>
      </c>
      <c r="BA583" s="287">
        <f t="shared" si="314"/>
        <v>5120500</v>
      </c>
      <c r="BB583" s="16"/>
      <c r="BC583" s="287">
        <f t="shared" si="315"/>
        <v>0</v>
      </c>
      <c r="BD583" s="287">
        <f t="shared" si="316"/>
        <v>1662500</v>
      </c>
      <c r="BE583" s="287">
        <f t="shared" si="317"/>
        <v>0</v>
      </c>
      <c r="BF583" s="287">
        <f t="shared" si="318"/>
        <v>0</v>
      </c>
      <c r="BG583" s="287">
        <f t="shared" si="319"/>
        <v>0</v>
      </c>
      <c r="BH583" s="287">
        <f t="shared" si="320"/>
        <v>0</v>
      </c>
      <c r="BI583" s="287">
        <f t="shared" si="321"/>
        <v>0</v>
      </c>
      <c r="BJ583" s="287">
        <f t="shared" si="322"/>
        <v>5120500</v>
      </c>
      <c r="BK583" s="287">
        <f t="shared" si="323"/>
        <v>5120500</v>
      </c>
      <c r="BL583" s="287">
        <f t="shared" si="324"/>
        <v>5120500</v>
      </c>
      <c r="BM583" s="16"/>
      <c r="BN583" s="287">
        <f t="shared" si="325"/>
        <v>17024000</v>
      </c>
      <c r="BO583" s="287">
        <f t="shared" si="326"/>
        <v>17024000</v>
      </c>
      <c r="BP583" s="432"/>
      <c r="BQ583" s="21"/>
      <c r="BR583" s="21"/>
      <c r="BS583" s="6"/>
      <c r="BT583" s="194">
        <f t="shared" si="350"/>
        <v>34048000</v>
      </c>
      <c r="BU583" s="194">
        <f t="shared" si="351"/>
        <v>17024000</v>
      </c>
      <c r="BV583" s="194">
        <f t="shared" si="352"/>
        <v>17024000</v>
      </c>
      <c r="BW583" s="194">
        <f t="shared" si="353"/>
        <v>0</v>
      </c>
      <c r="BX583" s="6"/>
      <c r="BY583" s="6"/>
      <c r="BZ583" s="39">
        <v>570</v>
      </c>
      <c r="CA583" s="39">
        <f t="shared" si="327"/>
        <v>2041</v>
      </c>
      <c r="CB583" s="6"/>
      <c r="CC583" s="39"/>
      <c r="CD583" s="39"/>
      <c r="CE583" s="39"/>
      <c r="CF583" s="39"/>
      <c r="CG583" s="39"/>
      <c r="CH583" s="39"/>
      <c r="CI583" s="39"/>
      <c r="CJ583" s="39"/>
      <c r="CK583" s="39"/>
    </row>
    <row r="584" spans="1:89" s="193" customFormat="1" ht="24">
      <c r="A584" s="357"/>
      <c r="B584" s="21" t="str">
        <f t="shared" si="302"/>
        <v>PTR</v>
      </c>
      <c r="C584" s="21"/>
      <c r="D584" s="432" t="s">
        <v>3528</v>
      </c>
      <c r="E584" s="439" t="s">
        <v>3626</v>
      </c>
      <c r="F584" s="439"/>
      <c r="G584" s="273" t="s">
        <v>4497</v>
      </c>
      <c r="H584" s="358" t="s">
        <v>4638</v>
      </c>
      <c r="I584" s="262" t="s">
        <v>3157</v>
      </c>
      <c r="J584" s="262" t="s">
        <v>3504</v>
      </c>
      <c r="K584" s="263">
        <v>234677085</v>
      </c>
      <c r="L584" s="263">
        <v>254149451</v>
      </c>
      <c r="M584" s="263">
        <v>359138372</v>
      </c>
      <c r="N584" s="263">
        <v>333891946</v>
      </c>
      <c r="O584" s="263">
        <v>303520274</v>
      </c>
      <c r="P584" s="263">
        <v>74329626</v>
      </c>
      <c r="Q584" s="263">
        <v>3613125</v>
      </c>
      <c r="R584" s="263">
        <v>0</v>
      </c>
      <c r="S584" s="263">
        <v>0</v>
      </c>
      <c r="T584" s="263">
        <v>0</v>
      </c>
      <c r="U584" s="263">
        <f t="shared" si="329"/>
        <v>1563319879</v>
      </c>
      <c r="V584" s="196" t="str">
        <f t="shared" si="303"/>
        <v>G/LOS</v>
      </c>
      <c r="W584" s="196" t="s">
        <v>1168</v>
      </c>
      <c r="X584" s="196" t="str">
        <f t="shared" ref="X584:X615" si="354">IF(LEFT(V584,1)="G","Y","N")</f>
        <v>Y</v>
      </c>
      <c r="Y584" s="376">
        <f t="shared" ref="Y584:Y600" si="355">IF(X584="N",0,SUM(K584:T584))</f>
        <v>1563319879</v>
      </c>
      <c r="Z584" s="198"/>
      <c r="AA584" s="376">
        <f t="shared" si="304"/>
        <v>1563319879</v>
      </c>
      <c r="AB584" s="196" t="s">
        <v>1166</v>
      </c>
      <c r="AC584" s="196" t="s">
        <v>1168</v>
      </c>
      <c r="AD584" s="275">
        <v>0.15</v>
      </c>
      <c r="AE584" s="275">
        <v>0.85</v>
      </c>
      <c r="AF584" s="275">
        <v>0</v>
      </c>
      <c r="AG584" s="199">
        <v>0.37</v>
      </c>
      <c r="AH584" s="199">
        <v>0.37</v>
      </c>
      <c r="AI584" s="377">
        <f t="shared" si="330"/>
        <v>0.37</v>
      </c>
      <c r="AJ584" s="203">
        <v>0.41670000000000001</v>
      </c>
      <c r="AK584" s="203">
        <f t="shared" ref="AK584:AK624" si="356">100%-AJ584</f>
        <v>0.58329999999999993</v>
      </c>
      <c r="AL584" s="376">
        <f t="shared" si="331"/>
        <v>984891523.76999998</v>
      </c>
      <c r="AM584" s="376">
        <f t="shared" si="332"/>
        <v>241031095.62434101</v>
      </c>
      <c r="AN584" s="376">
        <f t="shared" si="333"/>
        <v>337397259.60565895</v>
      </c>
      <c r="AO584" s="378" t="s">
        <v>3608</v>
      </c>
      <c r="AP584" s="379" t="s">
        <v>2810</v>
      </c>
      <c r="AQ584" s="279"/>
      <c r="AR584" s="287">
        <f t="shared" si="305"/>
        <v>36182278.288215004</v>
      </c>
      <c r="AS584" s="287">
        <f t="shared" si="306"/>
        <v>39184508.205729</v>
      </c>
      <c r="AT584" s="287">
        <f t="shared" si="307"/>
        <v>55371595.056588002</v>
      </c>
      <c r="AU584" s="287">
        <f t="shared" si="308"/>
        <v>51479126.342334002</v>
      </c>
      <c r="AV584" s="287">
        <f t="shared" si="309"/>
        <v>46796452.325046003</v>
      </c>
      <c r="AW584" s="287">
        <f t="shared" si="310"/>
        <v>11460067.407054001</v>
      </c>
      <c r="AX584" s="287">
        <f t="shared" si="311"/>
        <v>557067.99937500001</v>
      </c>
      <c r="AY584" s="287">
        <f t="shared" si="312"/>
        <v>0</v>
      </c>
      <c r="AZ584" s="287">
        <f t="shared" si="313"/>
        <v>0</v>
      </c>
      <c r="BA584" s="287">
        <f t="shared" si="314"/>
        <v>0</v>
      </c>
      <c r="BB584" s="16"/>
      <c r="BC584" s="287">
        <f t="shared" si="315"/>
        <v>50648243.161784999</v>
      </c>
      <c r="BD584" s="287">
        <f t="shared" si="316"/>
        <v>54850788.664270997</v>
      </c>
      <c r="BE584" s="287">
        <f t="shared" si="317"/>
        <v>77509602.583411992</v>
      </c>
      <c r="BF584" s="287">
        <f t="shared" si="318"/>
        <v>72060893.677665994</v>
      </c>
      <c r="BG584" s="287">
        <f t="shared" si="319"/>
        <v>65506049.054953992</v>
      </c>
      <c r="BH584" s="287">
        <f t="shared" si="320"/>
        <v>16041894.212946</v>
      </c>
      <c r="BI584" s="287">
        <f t="shared" si="321"/>
        <v>779788.25062499987</v>
      </c>
      <c r="BJ584" s="287">
        <f t="shared" si="322"/>
        <v>0</v>
      </c>
      <c r="BK584" s="287">
        <f t="shared" si="323"/>
        <v>0</v>
      </c>
      <c r="BL584" s="287">
        <f t="shared" si="324"/>
        <v>0</v>
      </c>
      <c r="BM584" s="16"/>
      <c r="BN584" s="287">
        <f t="shared" si="325"/>
        <v>241031095.62434101</v>
      </c>
      <c r="BO584" s="287">
        <f t="shared" si="326"/>
        <v>337397259.60565901</v>
      </c>
      <c r="BP584" s="431">
        <f>BN584-AM584</f>
        <v>0</v>
      </c>
      <c r="BQ584" s="21"/>
      <c r="BR584" s="21"/>
      <c r="BS584" s="380" t="e">
        <v>#VALUE!</v>
      </c>
      <c r="BT584" s="194">
        <f t="shared" ref="BT584:BT601" si="357">+BN584+BO584</f>
        <v>578428355.23000002</v>
      </c>
      <c r="BU584" s="194">
        <f t="shared" ref="BU584:BU601" si="358">+AM584</f>
        <v>241031095.62434101</v>
      </c>
      <c r="BV584" s="194">
        <f t="shared" ref="BV584:BV601" si="359">+AN584</f>
        <v>337397259.60565895</v>
      </c>
      <c r="BW584" s="194">
        <f t="shared" ref="BW584:BW601" si="360">+BT584-BU584-BV584</f>
        <v>0</v>
      </c>
      <c r="BX584" s="6"/>
      <c r="BY584" s="6"/>
      <c r="BZ584" s="39">
        <v>571</v>
      </c>
      <c r="CA584" s="39">
        <f t="shared" si="327"/>
        <v>2045</v>
      </c>
      <c r="CB584" s="6"/>
      <c r="CC584" s="39"/>
      <c r="CD584" s="39"/>
      <c r="CE584" s="39"/>
      <c r="CF584" s="39"/>
      <c r="CG584" s="39"/>
      <c r="CH584" s="39"/>
      <c r="CI584" s="39"/>
      <c r="CJ584" s="39"/>
      <c r="CK584" s="39"/>
    </row>
    <row r="585" spans="1:89" s="193" customFormat="1" ht="24">
      <c r="A585" s="357"/>
      <c r="B585" s="21" t="str">
        <f t="shared" si="302"/>
        <v>PTR</v>
      </c>
      <c r="C585" s="21"/>
      <c r="D585" s="432"/>
      <c r="E585" s="439" t="s">
        <v>3626</v>
      </c>
      <c r="F585" s="439"/>
      <c r="G585" s="273" t="s">
        <v>4640</v>
      </c>
      <c r="H585" s="358" t="s">
        <v>4444</v>
      </c>
      <c r="I585" s="262" t="s">
        <v>3157</v>
      </c>
      <c r="J585" s="262" t="s">
        <v>3504</v>
      </c>
      <c r="K585" s="263">
        <v>0</v>
      </c>
      <c r="L585" s="263">
        <v>0</v>
      </c>
      <c r="M585" s="263">
        <v>0</v>
      </c>
      <c r="N585" s="263">
        <v>0</v>
      </c>
      <c r="O585" s="263">
        <v>7688535.2964000003</v>
      </c>
      <c r="P585" s="263">
        <v>48224589.015694998</v>
      </c>
      <c r="Q585" s="263">
        <v>105738872.1797526</v>
      </c>
      <c r="R585" s="263">
        <v>96011562.405702502</v>
      </c>
      <c r="S585" s="263">
        <v>0</v>
      </c>
      <c r="T585" s="263">
        <v>0</v>
      </c>
      <c r="U585" s="263">
        <f t="shared" si="329"/>
        <v>257663558.89755011</v>
      </c>
      <c r="V585" s="196" t="str">
        <f t="shared" si="303"/>
        <v>G/LOS</v>
      </c>
      <c r="W585" s="196" t="s">
        <v>1168</v>
      </c>
      <c r="X585" s="196" t="str">
        <f t="shared" si="354"/>
        <v>Y</v>
      </c>
      <c r="Y585" s="376">
        <f t="shared" si="355"/>
        <v>257663558.89755011</v>
      </c>
      <c r="Z585" s="198"/>
      <c r="AA585" s="376">
        <f t="shared" si="304"/>
        <v>257663558.89755011</v>
      </c>
      <c r="AB585" s="196" t="s">
        <v>1166</v>
      </c>
      <c r="AC585" s="196" t="s">
        <v>1168</v>
      </c>
      <c r="AD585" s="275">
        <v>0.215</v>
      </c>
      <c r="AE585" s="275">
        <f>1-AD585</f>
        <v>0.78500000000000003</v>
      </c>
      <c r="AF585" s="275">
        <v>0</v>
      </c>
      <c r="AG585" s="199">
        <v>0.1598</v>
      </c>
      <c r="AH585" s="199">
        <v>0.1598</v>
      </c>
      <c r="AI585" s="377">
        <f t="shared" si="330"/>
        <v>0.1598</v>
      </c>
      <c r="AJ585" s="203">
        <v>0.5</v>
      </c>
      <c r="AK585" s="203">
        <f t="shared" si="356"/>
        <v>0.5</v>
      </c>
      <c r="AL585" s="376">
        <f t="shared" si="331"/>
        <v>216488922.18572161</v>
      </c>
      <c r="AM585" s="376">
        <f t="shared" si="332"/>
        <v>20587318.355914254</v>
      </c>
      <c r="AN585" s="376">
        <f t="shared" si="333"/>
        <v>20587318.355914254</v>
      </c>
      <c r="AO585" s="378" t="s">
        <v>3608</v>
      </c>
      <c r="AP585" s="379" t="s">
        <v>2810</v>
      </c>
      <c r="AQ585" s="279"/>
      <c r="AR585" s="287">
        <f t="shared" si="305"/>
        <v>0</v>
      </c>
      <c r="AS585" s="287">
        <f t="shared" si="306"/>
        <v>0</v>
      </c>
      <c r="AT585" s="287">
        <f t="shared" si="307"/>
        <v>0</v>
      </c>
      <c r="AU585" s="287">
        <f t="shared" si="308"/>
        <v>0</v>
      </c>
      <c r="AV585" s="287">
        <f t="shared" si="309"/>
        <v>614313.97018236003</v>
      </c>
      <c r="AW585" s="287">
        <f t="shared" si="310"/>
        <v>3853144.6623540302</v>
      </c>
      <c r="AX585" s="287">
        <f t="shared" si="311"/>
        <v>8448535.8871622328</v>
      </c>
      <c r="AY585" s="287">
        <f t="shared" si="312"/>
        <v>7671323.8362156302</v>
      </c>
      <c r="AZ585" s="287">
        <f t="shared" si="313"/>
        <v>0</v>
      </c>
      <c r="BA585" s="287">
        <f t="shared" si="314"/>
        <v>0</v>
      </c>
      <c r="BB585" s="16"/>
      <c r="BC585" s="287">
        <f t="shared" si="315"/>
        <v>0</v>
      </c>
      <c r="BD585" s="287">
        <f t="shared" si="316"/>
        <v>0</v>
      </c>
      <c r="BE585" s="287">
        <f t="shared" si="317"/>
        <v>0</v>
      </c>
      <c r="BF585" s="287">
        <f t="shared" si="318"/>
        <v>0</v>
      </c>
      <c r="BG585" s="287">
        <f t="shared" si="319"/>
        <v>614313.97018236003</v>
      </c>
      <c r="BH585" s="287">
        <f t="shared" si="320"/>
        <v>3853144.6623540302</v>
      </c>
      <c r="BI585" s="287">
        <f t="shared" si="321"/>
        <v>8448535.8871622328</v>
      </c>
      <c r="BJ585" s="287">
        <f t="shared" si="322"/>
        <v>7671323.8362156302</v>
      </c>
      <c r="BK585" s="287">
        <f t="shared" si="323"/>
        <v>0</v>
      </c>
      <c r="BL585" s="287">
        <f t="shared" si="324"/>
        <v>0</v>
      </c>
      <c r="BM585" s="16"/>
      <c r="BN585" s="287">
        <f t="shared" si="325"/>
        <v>20587318.355914254</v>
      </c>
      <c r="BO585" s="287">
        <f t="shared" si="326"/>
        <v>20587318.355914254</v>
      </c>
      <c r="BP585" s="432"/>
      <c r="BQ585" s="21"/>
      <c r="BR585" s="21"/>
      <c r="BS585" s="6" t="e">
        <v>#VALUE!</v>
      </c>
      <c r="BT585" s="194">
        <f t="shared" si="357"/>
        <v>41174636.711828507</v>
      </c>
      <c r="BU585" s="194">
        <f t="shared" si="358"/>
        <v>20587318.355914254</v>
      </c>
      <c r="BV585" s="194">
        <f t="shared" si="359"/>
        <v>20587318.355914254</v>
      </c>
      <c r="BW585" s="194">
        <f t="shared" si="360"/>
        <v>0</v>
      </c>
      <c r="BX585" s="6"/>
      <c r="BY585" s="6"/>
      <c r="BZ585" s="39">
        <v>572</v>
      </c>
      <c r="CA585" s="39">
        <f t="shared" si="327"/>
        <v>2041</v>
      </c>
      <c r="CB585" s="6"/>
      <c r="CC585" s="39"/>
      <c r="CD585" s="39"/>
      <c r="CE585" s="39"/>
      <c r="CF585" s="39"/>
      <c r="CG585" s="39"/>
      <c r="CH585" s="39"/>
      <c r="CI585" s="39"/>
      <c r="CJ585" s="39"/>
      <c r="CK585" s="39"/>
    </row>
    <row r="586" spans="1:89" s="193" customFormat="1" ht="48">
      <c r="A586" s="357"/>
      <c r="B586" s="21" t="str">
        <f t="shared" si="302"/>
        <v>PTR</v>
      </c>
      <c r="C586" s="21"/>
      <c r="D586" s="432"/>
      <c r="E586" s="439" t="s">
        <v>3626</v>
      </c>
      <c r="F586" s="439"/>
      <c r="G586" s="273" t="s">
        <v>4651</v>
      </c>
      <c r="H586" s="358" t="s">
        <v>4438</v>
      </c>
      <c r="I586" s="262" t="s">
        <v>3159</v>
      </c>
      <c r="J586" s="262" t="s">
        <v>3504</v>
      </c>
      <c r="K586" s="263">
        <v>1040000</v>
      </c>
      <c r="L586" s="263">
        <v>7381920</v>
      </c>
      <c r="M586" s="263">
        <v>7479264</v>
      </c>
      <c r="N586" s="263">
        <v>0</v>
      </c>
      <c r="O586" s="263">
        <v>0</v>
      </c>
      <c r="P586" s="263">
        <v>0</v>
      </c>
      <c r="Q586" s="263">
        <v>0</v>
      </c>
      <c r="R586" s="263">
        <v>0</v>
      </c>
      <c r="S586" s="263">
        <v>0</v>
      </c>
      <c r="T586" s="263">
        <v>0.17048337546239997</v>
      </c>
      <c r="U586" s="263">
        <f t="shared" si="329"/>
        <v>15901184.170483375</v>
      </c>
      <c r="V586" s="196" t="str">
        <f t="shared" si="303"/>
        <v>G/LOS</v>
      </c>
      <c r="W586" s="196" t="s">
        <v>1168</v>
      </c>
      <c r="X586" s="196" t="str">
        <f t="shared" si="354"/>
        <v>Y</v>
      </c>
      <c r="Y586" s="376">
        <f t="shared" si="355"/>
        <v>15901184.170483375</v>
      </c>
      <c r="Z586" s="198"/>
      <c r="AA586" s="376">
        <f t="shared" si="304"/>
        <v>15901184.170483375</v>
      </c>
      <c r="AB586" s="196" t="s">
        <v>1166</v>
      </c>
      <c r="AC586" s="196" t="s">
        <v>1168</v>
      </c>
      <c r="AD586" s="275">
        <v>0.215</v>
      </c>
      <c r="AE586" s="275">
        <f>1-AD586</f>
        <v>0.78500000000000003</v>
      </c>
      <c r="AF586" s="275">
        <v>0</v>
      </c>
      <c r="AG586" s="199">
        <v>0.1598</v>
      </c>
      <c r="AH586" s="199">
        <v>0.1598</v>
      </c>
      <c r="AI586" s="377">
        <f t="shared" si="330"/>
        <v>0.1598</v>
      </c>
      <c r="AJ586" s="203">
        <v>1</v>
      </c>
      <c r="AK586" s="203">
        <f t="shared" si="356"/>
        <v>0</v>
      </c>
      <c r="AL586" s="376">
        <f t="shared" si="331"/>
        <v>13360174.940040132</v>
      </c>
      <c r="AM586" s="376">
        <f t="shared" si="332"/>
        <v>2541009.2304432434</v>
      </c>
      <c r="AN586" s="376">
        <f t="shared" si="333"/>
        <v>0</v>
      </c>
      <c r="AO586" s="378" t="s">
        <v>3608</v>
      </c>
      <c r="AP586" s="379" t="s">
        <v>2810</v>
      </c>
      <c r="AQ586" s="279"/>
      <c r="AR586" s="287">
        <f t="shared" si="305"/>
        <v>166192</v>
      </c>
      <c r="AS586" s="287">
        <f t="shared" si="306"/>
        <v>1179630.8159999999</v>
      </c>
      <c r="AT586" s="287">
        <f t="shared" si="307"/>
        <v>1195186.3872</v>
      </c>
      <c r="AU586" s="287">
        <f t="shared" si="308"/>
        <v>0</v>
      </c>
      <c r="AV586" s="287">
        <f t="shared" si="309"/>
        <v>0</v>
      </c>
      <c r="AW586" s="287">
        <f t="shared" si="310"/>
        <v>0</v>
      </c>
      <c r="AX586" s="287">
        <f t="shared" si="311"/>
        <v>0</v>
      </c>
      <c r="AY586" s="287">
        <f t="shared" si="312"/>
        <v>0</v>
      </c>
      <c r="AZ586" s="287">
        <f t="shared" si="313"/>
        <v>0</v>
      </c>
      <c r="BA586" s="287">
        <f t="shared" si="314"/>
        <v>2.7243243398891514E-2</v>
      </c>
      <c r="BB586" s="16"/>
      <c r="BC586" s="287">
        <f t="shared" si="315"/>
        <v>0</v>
      </c>
      <c r="BD586" s="287">
        <f t="shared" si="316"/>
        <v>0</v>
      </c>
      <c r="BE586" s="287">
        <f t="shared" si="317"/>
        <v>0</v>
      </c>
      <c r="BF586" s="287">
        <f t="shared" si="318"/>
        <v>0</v>
      </c>
      <c r="BG586" s="287">
        <f t="shared" si="319"/>
        <v>0</v>
      </c>
      <c r="BH586" s="287">
        <f t="shared" si="320"/>
        <v>0</v>
      </c>
      <c r="BI586" s="287">
        <f t="shared" si="321"/>
        <v>0</v>
      </c>
      <c r="BJ586" s="287">
        <f t="shared" si="322"/>
        <v>0</v>
      </c>
      <c r="BK586" s="287">
        <f t="shared" si="323"/>
        <v>0</v>
      </c>
      <c r="BL586" s="287">
        <f t="shared" si="324"/>
        <v>0</v>
      </c>
      <c r="BM586" s="16"/>
      <c r="BN586" s="287">
        <f t="shared" si="325"/>
        <v>2541009.2304432434</v>
      </c>
      <c r="BO586" s="287">
        <f t="shared" si="326"/>
        <v>0</v>
      </c>
      <c r="BP586" s="432"/>
      <c r="BQ586" s="21"/>
      <c r="BR586" s="21"/>
      <c r="BS586" s="6"/>
      <c r="BT586" s="194">
        <f t="shared" si="357"/>
        <v>2541009.2304432434</v>
      </c>
      <c r="BU586" s="194">
        <f t="shared" si="358"/>
        <v>2541009.2304432434</v>
      </c>
      <c r="BV586" s="194">
        <f t="shared" si="359"/>
        <v>0</v>
      </c>
      <c r="BW586" s="194">
        <f t="shared" si="360"/>
        <v>0</v>
      </c>
      <c r="BX586" s="6"/>
      <c r="BY586" s="6"/>
      <c r="BZ586" s="39">
        <v>573</v>
      </c>
      <c r="CA586" s="39">
        <f t="shared" si="327"/>
        <v>2031</v>
      </c>
      <c r="CB586" s="6"/>
      <c r="CC586" s="39"/>
      <c r="CD586" s="39"/>
      <c r="CE586" s="39"/>
      <c r="CF586" s="39"/>
      <c r="CG586" s="39"/>
      <c r="CH586" s="39"/>
      <c r="CI586" s="39"/>
      <c r="CJ586" s="39"/>
      <c r="CK586" s="39"/>
    </row>
    <row r="587" spans="1:89" s="193" customFormat="1" ht="48">
      <c r="A587" s="357"/>
      <c r="B587" s="21" t="str">
        <f t="shared" si="302"/>
        <v>PTR</v>
      </c>
      <c r="C587" s="21"/>
      <c r="D587" s="432"/>
      <c r="E587" s="439" t="s">
        <v>3626</v>
      </c>
      <c r="F587" s="439"/>
      <c r="G587" s="520" t="s">
        <v>5274</v>
      </c>
      <c r="H587" s="358" t="s">
        <v>4437</v>
      </c>
      <c r="I587" s="262" t="s">
        <v>3157</v>
      </c>
      <c r="J587" s="262" t="s">
        <v>3504</v>
      </c>
      <c r="K587" s="263">
        <v>5270200</v>
      </c>
      <c r="L587" s="263">
        <v>4987717.28</v>
      </c>
      <c r="M587" s="263">
        <v>493291</v>
      </c>
      <c r="N587" s="263">
        <v>0</v>
      </c>
      <c r="O587" s="263">
        <v>0</v>
      </c>
      <c r="P587" s="263">
        <v>0</v>
      </c>
      <c r="Q587" s="263">
        <v>0</v>
      </c>
      <c r="R587" s="263">
        <v>0</v>
      </c>
      <c r="S587" s="263">
        <v>0</v>
      </c>
      <c r="T587" s="263">
        <v>0</v>
      </c>
      <c r="U587" s="263">
        <f t="shared" si="329"/>
        <v>10751208.280000001</v>
      </c>
      <c r="V587" s="196" t="str">
        <f t="shared" ref="V587:V651" si="361">IF(AND(AD587&gt;0,AE587&gt;0,AF587&gt;0),"G/LOS/R",IF(AND(AD587&gt;0,AE587&gt;0),"G/LOS",IF(AND(AD587&gt;0,AF587&gt;0),"G/R",IF(AND(AE587&gt;0,AF587&gt;0),"LOS/R",IF(AD587&gt;0,"G",IF(AE587&gt;0,"LOS",IF(AF587&gt;0,"R","CHECK")))))))</f>
        <v>G/LOS</v>
      </c>
      <c r="W587" s="196" t="s">
        <v>1168</v>
      </c>
      <c r="X587" s="196" t="str">
        <f t="shared" si="354"/>
        <v>Y</v>
      </c>
      <c r="Y587" s="376">
        <f t="shared" si="355"/>
        <v>10751208.280000001</v>
      </c>
      <c r="Z587" s="198"/>
      <c r="AA587" s="376">
        <f t="shared" ref="AA587:AA651" si="362">Y587-Z587</f>
        <v>10751208.280000001</v>
      </c>
      <c r="AB587" s="196" t="s">
        <v>1166</v>
      </c>
      <c r="AC587" s="196" t="s">
        <v>1168</v>
      </c>
      <c r="AD587" s="275">
        <v>0.215</v>
      </c>
      <c r="AE587" s="275">
        <f>1-AD587</f>
        <v>0.78500000000000003</v>
      </c>
      <c r="AF587" s="275">
        <v>0</v>
      </c>
      <c r="AG587" s="199">
        <v>0.1598</v>
      </c>
      <c r="AH587" s="199">
        <v>0.1598</v>
      </c>
      <c r="AI587" s="377">
        <f t="shared" si="330"/>
        <v>0.1598</v>
      </c>
      <c r="AJ587" s="203">
        <v>0.33</v>
      </c>
      <c r="AK587" s="203">
        <f t="shared" si="356"/>
        <v>0.66999999999999993</v>
      </c>
      <c r="AL587" s="376">
        <f t="shared" si="331"/>
        <v>9033165.1968560014</v>
      </c>
      <c r="AM587" s="376">
        <f t="shared" si="332"/>
        <v>566954.21743752016</v>
      </c>
      <c r="AN587" s="376">
        <f t="shared" si="333"/>
        <v>1151088.8657064801</v>
      </c>
      <c r="AO587" s="378" t="s">
        <v>3608</v>
      </c>
      <c r="AP587" s="379" t="s">
        <v>2810</v>
      </c>
      <c r="AQ587" s="279"/>
      <c r="AR587" s="287">
        <f t="shared" si="305"/>
        <v>277918.7268</v>
      </c>
      <c r="AS587" s="287">
        <f t="shared" si="306"/>
        <v>263022.28304352006</v>
      </c>
      <c r="AT587" s="287">
        <f t="shared" si="307"/>
        <v>26013.207594</v>
      </c>
      <c r="AU587" s="287">
        <f t="shared" si="308"/>
        <v>0</v>
      </c>
      <c r="AV587" s="287">
        <f t="shared" si="309"/>
        <v>0</v>
      </c>
      <c r="AW587" s="287">
        <f t="shared" si="310"/>
        <v>0</v>
      </c>
      <c r="AX587" s="287">
        <f t="shared" si="311"/>
        <v>0</v>
      </c>
      <c r="AY587" s="287">
        <f t="shared" si="312"/>
        <v>0</v>
      </c>
      <c r="AZ587" s="287">
        <f t="shared" si="313"/>
        <v>0</v>
      </c>
      <c r="BA587" s="287">
        <f t="shared" si="314"/>
        <v>0</v>
      </c>
      <c r="BB587" s="16"/>
      <c r="BC587" s="287">
        <f t="shared" si="315"/>
        <v>564259.2331999999</v>
      </c>
      <c r="BD587" s="287">
        <f t="shared" si="316"/>
        <v>534014.93830048002</v>
      </c>
      <c r="BE587" s="287">
        <f t="shared" si="317"/>
        <v>52814.694205999993</v>
      </c>
      <c r="BF587" s="287">
        <f t="shared" si="318"/>
        <v>0</v>
      </c>
      <c r="BG587" s="287">
        <f t="shared" si="319"/>
        <v>0</v>
      </c>
      <c r="BH587" s="287">
        <f t="shared" si="320"/>
        <v>0</v>
      </c>
      <c r="BI587" s="287">
        <f t="shared" si="321"/>
        <v>0</v>
      </c>
      <c r="BJ587" s="287">
        <f t="shared" si="322"/>
        <v>0</v>
      </c>
      <c r="BK587" s="287">
        <f t="shared" si="323"/>
        <v>0</v>
      </c>
      <c r="BL587" s="287">
        <f t="shared" si="324"/>
        <v>0</v>
      </c>
      <c r="BM587" s="16"/>
      <c r="BN587" s="287">
        <f t="shared" si="325"/>
        <v>566954.21743752016</v>
      </c>
      <c r="BO587" s="287">
        <f t="shared" si="326"/>
        <v>1151088.8657064799</v>
      </c>
      <c r="BP587" s="431"/>
      <c r="BQ587" s="21"/>
      <c r="BR587" s="21"/>
      <c r="BS587" s="6" t="e">
        <v>#VALUE!</v>
      </c>
      <c r="BT587" s="194">
        <f t="shared" si="357"/>
        <v>1718043.083144</v>
      </c>
      <c r="BU587" s="194">
        <f t="shared" si="358"/>
        <v>566954.21743752016</v>
      </c>
      <c r="BV587" s="194">
        <f t="shared" si="359"/>
        <v>1151088.8657064801</v>
      </c>
      <c r="BW587" s="194">
        <f t="shared" si="360"/>
        <v>0</v>
      </c>
      <c r="BX587" s="6"/>
      <c r="BY587" s="6"/>
      <c r="BZ587" s="39">
        <v>574</v>
      </c>
      <c r="CA587" s="39">
        <f t="shared" si="327"/>
        <v>2051</v>
      </c>
      <c r="CB587" s="6"/>
      <c r="CC587" s="39"/>
      <c r="CD587" s="39"/>
      <c r="CE587" s="39"/>
      <c r="CF587" s="39"/>
      <c r="CG587" s="39"/>
      <c r="CH587" s="39"/>
      <c r="CI587" s="39"/>
      <c r="CJ587" s="39"/>
      <c r="CK587" s="39"/>
    </row>
    <row r="588" spans="1:89" s="193" customFormat="1" ht="24">
      <c r="A588" s="357"/>
      <c r="B588" s="21" t="str">
        <f t="shared" si="302"/>
        <v>PTR</v>
      </c>
      <c r="C588" s="21"/>
      <c r="D588" s="432"/>
      <c r="E588" s="439" t="s">
        <v>3626</v>
      </c>
      <c r="F588" s="439"/>
      <c r="G588" s="273" t="s">
        <v>3610</v>
      </c>
      <c r="H588" s="358" t="s">
        <v>4418</v>
      </c>
      <c r="I588" s="262" t="s">
        <v>3159</v>
      </c>
      <c r="J588" s="262" t="s">
        <v>3504</v>
      </c>
      <c r="K588" s="263">
        <v>0</v>
      </c>
      <c r="L588" s="263">
        <v>0</v>
      </c>
      <c r="M588" s="263">
        <v>0</v>
      </c>
      <c r="N588" s="263">
        <v>0</v>
      </c>
      <c r="O588" s="263">
        <v>0</v>
      </c>
      <c r="P588" s="263">
        <v>0</v>
      </c>
      <c r="Q588" s="263">
        <v>451597.89480000001</v>
      </c>
      <c r="R588" s="263">
        <v>513389.90575800004</v>
      </c>
      <c r="S588" s="263">
        <v>1513505.81149222</v>
      </c>
      <c r="T588" s="263">
        <v>4300010.3879497796</v>
      </c>
      <c r="U588" s="263">
        <f t="shared" si="329"/>
        <v>6778504</v>
      </c>
      <c r="V588" s="196" t="str">
        <f t="shared" si="361"/>
        <v>G/LOS</v>
      </c>
      <c r="W588" s="196" t="s">
        <v>1168</v>
      </c>
      <c r="X588" s="196" t="str">
        <f t="shared" si="354"/>
        <v>Y</v>
      </c>
      <c r="Y588" s="376">
        <f t="shared" si="355"/>
        <v>6778504</v>
      </c>
      <c r="Z588" s="198"/>
      <c r="AA588" s="376">
        <f t="shared" si="362"/>
        <v>6778504</v>
      </c>
      <c r="AB588" s="196" t="s">
        <v>1166</v>
      </c>
      <c r="AC588" s="196" t="s">
        <v>1168</v>
      </c>
      <c r="AD588" s="518">
        <v>0.215</v>
      </c>
      <c r="AE588" s="275">
        <f>1-AD588</f>
        <v>0.78500000000000003</v>
      </c>
      <c r="AF588" s="275">
        <v>0</v>
      </c>
      <c r="AG588" s="199">
        <v>0.1598</v>
      </c>
      <c r="AH588" s="199">
        <v>0.1598</v>
      </c>
      <c r="AI588" s="377">
        <f t="shared" si="330"/>
        <v>0.1598</v>
      </c>
      <c r="AJ588" s="203">
        <v>0.5</v>
      </c>
      <c r="AK588" s="203">
        <f t="shared" si="356"/>
        <v>0.5</v>
      </c>
      <c r="AL588" s="376">
        <f t="shared" si="331"/>
        <v>5695299.0608000001</v>
      </c>
      <c r="AM588" s="376">
        <f t="shared" si="332"/>
        <v>541602.46959999995</v>
      </c>
      <c r="AN588" s="376">
        <f t="shared" si="333"/>
        <v>541602.46959999995</v>
      </c>
      <c r="AO588" s="378" t="s">
        <v>3608</v>
      </c>
      <c r="AP588" s="379" t="s">
        <v>2810</v>
      </c>
      <c r="AQ588" s="279"/>
      <c r="AR588" s="287">
        <f t="shared" si="305"/>
        <v>0</v>
      </c>
      <c r="AS588" s="287">
        <f t="shared" si="306"/>
        <v>0</v>
      </c>
      <c r="AT588" s="287">
        <f t="shared" si="307"/>
        <v>0</v>
      </c>
      <c r="AU588" s="287">
        <f t="shared" si="308"/>
        <v>0</v>
      </c>
      <c r="AV588" s="287">
        <f t="shared" si="309"/>
        <v>0</v>
      </c>
      <c r="AW588" s="287">
        <f t="shared" si="310"/>
        <v>0</v>
      </c>
      <c r="AX588" s="287">
        <f t="shared" si="311"/>
        <v>36082.67179452</v>
      </c>
      <c r="AY588" s="287">
        <f t="shared" si="312"/>
        <v>41019.853470064205</v>
      </c>
      <c r="AZ588" s="287">
        <f t="shared" si="313"/>
        <v>120929.11433822838</v>
      </c>
      <c r="BA588" s="287">
        <f t="shared" si="314"/>
        <v>343570.82999718736</v>
      </c>
      <c r="BB588" s="16"/>
      <c r="BC588" s="287">
        <f t="shared" si="315"/>
        <v>0</v>
      </c>
      <c r="BD588" s="287">
        <f t="shared" si="316"/>
        <v>0</v>
      </c>
      <c r="BE588" s="287">
        <f t="shared" si="317"/>
        <v>0</v>
      </c>
      <c r="BF588" s="287">
        <f t="shared" si="318"/>
        <v>0</v>
      </c>
      <c r="BG588" s="287">
        <f t="shared" si="319"/>
        <v>0</v>
      </c>
      <c r="BH588" s="287">
        <f t="shared" si="320"/>
        <v>0</v>
      </c>
      <c r="BI588" s="287">
        <f t="shared" si="321"/>
        <v>36082.67179452</v>
      </c>
      <c r="BJ588" s="287">
        <f t="shared" si="322"/>
        <v>41019.853470064205</v>
      </c>
      <c r="BK588" s="287">
        <f t="shared" si="323"/>
        <v>120929.11433822838</v>
      </c>
      <c r="BL588" s="287">
        <f t="shared" si="324"/>
        <v>343570.82999718736</v>
      </c>
      <c r="BM588" s="16"/>
      <c r="BN588" s="287">
        <f t="shared" si="325"/>
        <v>541602.46959999995</v>
      </c>
      <c r="BO588" s="287">
        <f t="shared" si="326"/>
        <v>541602.46959999995</v>
      </c>
      <c r="BP588" s="431"/>
      <c r="BQ588" s="21"/>
      <c r="BR588" s="21"/>
      <c r="BS588" s="6" t="e">
        <v>#VALUE!</v>
      </c>
      <c r="BT588" s="194">
        <f t="shared" si="357"/>
        <v>1083204.9391999999</v>
      </c>
      <c r="BU588" s="194">
        <f t="shared" si="358"/>
        <v>541602.46959999995</v>
      </c>
      <c r="BV588" s="194">
        <f t="shared" si="359"/>
        <v>541602.46959999995</v>
      </c>
      <c r="BW588" s="194">
        <f t="shared" si="360"/>
        <v>0</v>
      </c>
      <c r="BX588" s="6"/>
      <c r="BY588" s="6"/>
      <c r="BZ588" s="39">
        <v>575</v>
      </c>
      <c r="CA588" s="39">
        <f t="shared" si="327"/>
        <v>2041</v>
      </c>
      <c r="CB588" s="6"/>
      <c r="CC588" s="39"/>
      <c r="CD588" s="39"/>
      <c r="CE588" s="39"/>
      <c r="CF588" s="39"/>
      <c r="CG588" s="39"/>
      <c r="CH588" s="39"/>
      <c r="CI588" s="39"/>
      <c r="CJ588" s="39"/>
      <c r="CK588" s="39"/>
    </row>
    <row r="589" spans="1:89" s="193" customFormat="1" ht="24">
      <c r="A589" s="357"/>
      <c r="B589" s="21" t="str">
        <f t="shared" si="302"/>
        <v>PTR</v>
      </c>
      <c r="C589" s="21"/>
      <c r="D589" s="432"/>
      <c r="E589" s="439" t="s">
        <v>3626</v>
      </c>
      <c r="F589" s="439"/>
      <c r="G589" s="273" t="s">
        <v>3639</v>
      </c>
      <c r="H589" s="358" t="s">
        <v>4442</v>
      </c>
      <c r="I589" s="262" t="s">
        <v>3158</v>
      </c>
      <c r="J589" s="262" t="s">
        <v>3504</v>
      </c>
      <c r="K589" s="263">
        <v>728000</v>
      </c>
      <c r="L589" s="263">
        <v>295276.79999999999</v>
      </c>
      <c r="M589" s="263">
        <v>484063.97</v>
      </c>
      <c r="N589" s="263">
        <v>2204358.5460999999</v>
      </c>
      <c r="O589" s="263">
        <v>7874553.6163999997</v>
      </c>
      <c r="P589" s="263">
        <v>20936089.737695001</v>
      </c>
      <c r="Q589" s="263">
        <v>38830734</v>
      </c>
      <c r="R589" s="263">
        <v>0</v>
      </c>
      <c r="S589" s="263">
        <v>0</v>
      </c>
      <c r="T589" s="263">
        <v>3.4096675092479996E-2</v>
      </c>
      <c r="U589" s="263">
        <f t="shared" si="329"/>
        <v>71353076.704291672</v>
      </c>
      <c r="V589" s="196" t="str">
        <f t="shared" si="361"/>
        <v>G/LOS</v>
      </c>
      <c r="W589" s="196" t="s">
        <v>1168</v>
      </c>
      <c r="X589" s="196" t="str">
        <f t="shared" si="354"/>
        <v>Y</v>
      </c>
      <c r="Y589" s="376">
        <f t="shared" si="355"/>
        <v>71353076.704291672</v>
      </c>
      <c r="Z589" s="198"/>
      <c r="AA589" s="376">
        <f t="shared" si="362"/>
        <v>71353076.704291672</v>
      </c>
      <c r="AB589" s="196" t="s">
        <v>1166</v>
      </c>
      <c r="AC589" s="196" t="s">
        <v>3624</v>
      </c>
      <c r="AD589" s="275">
        <v>0.23</v>
      </c>
      <c r="AE589" s="275">
        <v>0.77</v>
      </c>
      <c r="AF589" s="275">
        <v>0</v>
      </c>
      <c r="AG589" s="199">
        <v>0.23</v>
      </c>
      <c r="AH589" s="199">
        <v>0.23</v>
      </c>
      <c r="AI589" s="377">
        <f t="shared" si="330"/>
        <v>0.23</v>
      </c>
      <c r="AJ589" s="203">
        <v>0.5</v>
      </c>
      <c r="AK589" s="203">
        <f t="shared" si="356"/>
        <v>0.5</v>
      </c>
      <c r="AL589" s="376">
        <f t="shared" si="331"/>
        <v>54941869.062304586</v>
      </c>
      <c r="AM589" s="376">
        <f t="shared" si="332"/>
        <v>8205603.8209935427</v>
      </c>
      <c r="AN589" s="376">
        <f t="shared" si="333"/>
        <v>8205603.8209935427</v>
      </c>
      <c r="AO589" s="378" t="s">
        <v>3608</v>
      </c>
      <c r="AP589" s="379" t="s">
        <v>2810</v>
      </c>
      <c r="AQ589" s="279"/>
      <c r="AR589" s="287">
        <f t="shared" si="305"/>
        <v>83720</v>
      </c>
      <c r="AS589" s="287">
        <f t="shared" si="306"/>
        <v>33956.832000000002</v>
      </c>
      <c r="AT589" s="287">
        <f t="shared" si="307"/>
        <v>55667.356549999997</v>
      </c>
      <c r="AU589" s="287">
        <f t="shared" si="308"/>
        <v>253501.23280150001</v>
      </c>
      <c r="AV589" s="287">
        <f t="shared" si="309"/>
        <v>905573.66588600003</v>
      </c>
      <c r="AW589" s="287">
        <f t="shared" si="310"/>
        <v>2407650.3198349252</v>
      </c>
      <c r="AX589" s="287">
        <f t="shared" si="311"/>
        <v>4465534.41</v>
      </c>
      <c r="AY589" s="287">
        <f t="shared" si="312"/>
        <v>0</v>
      </c>
      <c r="AZ589" s="287">
        <f t="shared" si="313"/>
        <v>0</v>
      </c>
      <c r="BA589" s="287">
        <f t="shared" si="314"/>
        <v>3.9211176356351999E-3</v>
      </c>
      <c r="BB589" s="16"/>
      <c r="BC589" s="287">
        <f t="shared" si="315"/>
        <v>83720</v>
      </c>
      <c r="BD589" s="287">
        <f t="shared" si="316"/>
        <v>33956.832000000002</v>
      </c>
      <c r="BE589" s="287">
        <f t="shared" si="317"/>
        <v>55667.356549999997</v>
      </c>
      <c r="BF589" s="287">
        <f t="shared" si="318"/>
        <v>253501.23280150001</v>
      </c>
      <c r="BG589" s="287">
        <f t="shared" si="319"/>
        <v>905573.66588600003</v>
      </c>
      <c r="BH589" s="287">
        <f t="shared" si="320"/>
        <v>2407650.3198349252</v>
      </c>
      <c r="BI589" s="287">
        <f t="shared" si="321"/>
        <v>4465534.41</v>
      </c>
      <c r="BJ589" s="287">
        <f t="shared" si="322"/>
        <v>0</v>
      </c>
      <c r="BK589" s="287">
        <f t="shared" si="323"/>
        <v>0</v>
      </c>
      <c r="BL589" s="287">
        <f t="shared" si="324"/>
        <v>3.9211176356351999E-3</v>
      </c>
      <c r="BM589" s="16"/>
      <c r="BN589" s="287">
        <f t="shared" si="325"/>
        <v>8205603.8209935427</v>
      </c>
      <c r="BO589" s="287">
        <f t="shared" si="326"/>
        <v>8205603.8209935427</v>
      </c>
      <c r="BP589" s="431">
        <f>BN589-AM589</f>
        <v>0</v>
      </c>
      <c r="BQ589" s="21"/>
      <c r="BR589" s="21"/>
      <c r="BS589" s="6" t="e">
        <v>#VALUE!</v>
      </c>
      <c r="BT589" s="194">
        <f t="shared" si="357"/>
        <v>16411207.641987085</v>
      </c>
      <c r="BU589" s="194">
        <f t="shared" si="358"/>
        <v>8205603.8209935427</v>
      </c>
      <c r="BV589" s="194">
        <f t="shared" si="359"/>
        <v>8205603.8209935427</v>
      </c>
      <c r="BW589" s="194">
        <f t="shared" si="360"/>
        <v>0</v>
      </c>
      <c r="BX589" s="6"/>
      <c r="BY589" s="6"/>
      <c r="BZ589" s="39">
        <v>576</v>
      </c>
      <c r="CA589" s="39">
        <f t="shared" si="327"/>
        <v>2041</v>
      </c>
      <c r="CB589" s="6"/>
      <c r="CC589" s="39"/>
      <c r="CD589" s="39"/>
      <c r="CE589" s="39"/>
      <c r="CF589" s="39"/>
      <c r="CG589" s="39"/>
      <c r="CH589" s="39"/>
      <c r="CI589" s="39"/>
      <c r="CJ589" s="39"/>
      <c r="CK589" s="39"/>
    </row>
    <row r="590" spans="1:89" s="193" customFormat="1" ht="24">
      <c r="A590" s="357"/>
      <c r="B590" s="21" t="str">
        <f t="shared" ref="B590:B653" si="363">LEFT(AP590,3)</f>
        <v>PTR</v>
      </c>
      <c r="C590" s="21"/>
      <c r="D590" s="432"/>
      <c r="E590" s="439" t="s">
        <v>3626</v>
      </c>
      <c r="F590" s="439"/>
      <c r="G590" s="273" t="s">
        <v>3639</v>
      </c>
      <c r="H590" s="358" t="s">
        <v>4442</v>
      </c>
      <c r="I590" s="262" t="s">
        <v>3904</v>
      </c>
      <c r="J590" s="262" t="s">
        <v>3504</v>
      </c>
      <c r="K590" s="263">
        <v>-760000</v>
      </c>
      <c r="L590" s="263">
        <v>0</v>
      </c>
      <c r="M590" s="263">
        <v>0</v>
      </c>
      <c r="N590" s="263">
        <v>0</v>
      </c>
      <c r="O590" s="263">
        <v>0</v>
      </c>
      <c r="P590" s="263">
        <v>0</v>
      </c>
      <c r="Q590" s="263">
        <v>0</v>
      </c>
      <c r="R590" s="263">
        <v>0</v>
      </c>
      <c r="S590" s="263">
        <v>0</v>
      </c>
      <c r="T590" s="263">
        <v>0</v>
      </c>
      <c r="U590" s="263">
        <f t="shared" si="329"/>
        <v>-760000</v>
      </c>
      <c r="V590" s="196" t="str">
        <f t="shared" si="361"/>
        <v>G/LOS</v>
      </c>
      <c r="W590" s="196" t="s">
        <v>1168</v>
      </c>
      <c r="X590" s="196" t="str">
        <f t="shared" si="354"/>
        <v>Y</v>
      </c>
      <c r="Y590" s="376">
        <f t="shared" si="355"/>
        <v>-760000</v>
      </c>
      <c r="Z590" s="198"/>
      <c r="AA590" s="376">
        <f t="shared" si="362"/>
        <v>-760000</v>
      </c>
      <c r="AB590" s="196" t="s">
        <v>1166</v>
      </c>
      <c r="AC590" s="196" t="s">
        <v>3624</v>
      </c>
      <c r="AD590" s="275">
        <v>0.23</v>
      </c>
      <c r="AE590" s="275">
        <v>0.77</v>
      </c>
      <c r="AF590" s="275">
        <v>0</v>
      </c>
      <c r="AG590" s="199">
        <v>0.23</v>
      </c>
      <c r="AH590" s="199">
        <v>0.23</v>
      </c>
      <c r="AI590" s="377">
        <f t="shared" si="330"/>
        <v>0.23</v>
      </c>
      <c r="AJ590" s="203">
        <v>0.5</v>
      </c>
      <c r="AK590" s="203">
        <f t="shared" si="356"/>
        <v>0.5</v>
      </c>
      <c r="AL590" s="376">
        <f t="shared" si="331"/>
        <v>-585200</v>
      </c>
      <c r="AM590" s="376">
        <f t="shared" si="332"/>
        <v>-87400</v>
      </c>
      <c r="AN590" s="376">
        <f t="shared" si="333"/>
        <v>-87400</v>
      </c>
      <c r="AO590" s="378" t="s">
        <v>3608</v>
      </c>
      <c r="AP590" s="379" t="s">
        <v>2810</v>
      </c>
      <c r="AQ590" s="279"/>
      <c r="AR590" s="287">
        <f t="shared" si="305"/>
        <v>-87400</v>
      </c>
      <c r="AS590" s="287">
        <f t="shared" si="306"/>
        <v>0</v>
      </c>
      <c r="AT590" s="287">
        <f t="shared" si="307"/>
        <v>0</v>
      </c>
      <c r="AU590" s="287">
        <f t="shared" si="308"/>
        <v>0</v>
      </c>
      <c r="AV590" s="287">
        <f t="shared" si="309"/>
        <v>0</v>
      </c>
      <c r="AW590" s="287">
        <f t="shared" si="310"/>
        <v>0</v>
      </c>
      <c r="AX590" s="287">
        <f t="shared" si="311"/>
        <v>0</v>
      </c>
      <c r="AY590" s="287">
        <f t="shared" si="312"/>
        <v>0</v>
      </c>
      <c r="AZ590" s="287">
        <f t="shared" si="313"/>
        <v>0</v>
      </c>
      <c r="BA590" s="287">
        <f t="shared" si="314"/>
        <v>0</v>
      </c>
      <c r="BB590" s="16"/>
      <c r="BC590" s="287">
        <f t="shared" si="315"/>
        <v>-87400</v>
      </c>
      <c r="BD590" s="287">
        <f t="shared" si="316"/>
        <v>0</v>
      </c>
      <c r="BE590" s="287">
        <f t="shared" si="317"/>
        <v>0</v>
      </c>
      <c r="BF590" s="287">
        <f t="shared" si="318"/>
        <v>0</v>
      </c>
      <c r="BG590" s="287">
        <f t="shared" si="319"/>
        <v>0</v>
      </c>
      <c r="BH590" s="287">
        <f t="shared" si="320"/>
        <v>0</v>
      </c>
      <c r="BI590" s="287">
        <f t="shared" si="321"/>
        <v>0</v>
      </c>
      <c r="BJ590" s="287">
        <f t="shared" si="322"/>
        <v>0</v>
      </c>
      <c r="BK590" s="287">
        <f t="shared" si="323"/>
        <v>0</v>
      </c>
      <c r="BL590" s="287">
        <f t="shared" si="324"/>
        <v>0</v>
      </c>
      <c r="BM590" s="16"/>
      <c r="BN590" s="287">
        <f t="shared" si="325"/>
        <v>-87400</v>
      </c>
      <c r="BO590" s="287">
        <f t="shared" si="326"/>
        <v>-87400</v>
      </c>
      <c r="BP590" s="431"/>
      <c r="BQ590" s="21"/>
      <c r="BR590" s="21"/>
      <c r="BS590" s="6"/>
      <c r="BT590" s="194">
        <f t="shared" si="357"/>
        <v>-174800</v>
      </c>
      <c r="BU590" s="194">
        <f t="shared" si="358"/>
        <v>-87400</v>
      </c>
      <c r="BV590" s="194">
        <f t="shared" si="359"/>
        <v>-87400</v>
      </c>
      <c r="BW590" s="194">
        <f t="shared" si="360"/>
        <v>0</v>
      </c>
      <c r="BX590" s="6"/>
      <c r="BY590" s="6"/>
      <c r="BZ590" s="39">
        <v>577</v>
      </c>
      <c r="CA590" s="39">
        <f t="shared" si="327"/>
        <v>2041</v>
      </c>
      <c r="CB590" s="6"/>
      <c r="CC590" s="39"/>
      <c r="CD590" s="39"/>
      <c r="CE590" s="39"/>
      <c r="CF590" s="39"/>
      <c r="CG590" s="39"/>
      <c r="CH590" s="39"/>
      <c r="CI590" s="39"/>
      <c r="CJ590" s="39"/>
      <c r="CK590" s="39"/>
    </row>
    <row r="591" spans="1:89" s="193" customFormat="1" ht="24">
      <c r="A591" s="357"/>
      <c r="B591" s="21" t="str">
        <f t="shared" si="363"/>
        <v>PTR</v>
      </c>
      <c r="C591" s="21"/>
      <c r="D591" s="440"/>
      <c r="E591" s="441" t="s">
        <v>3626</v>
      </c>
      <c r="F591" s="441"/>
      <c r="G591" s="273" t="s">
        <v>3639</v>
      </c>
      <c r="H591" s="358" t="s">
        <v>4442</v>
      </c>
      <c r="I591" s="262" t="s">
        <v>3158</v>
      </c>
      <c r="J591" s="262" t="s">
        <v>3504</v>
      </c>
      <c r="K591" s="263">
        <v>0</v>
      </c>
      <c r="L591" s="263">
        <v>0</v>
      </c>
      <c r="M591" s="263">
        <v>0</v>
      </c>
      <c r="N591" s="263">
        <v>0</v>
      </c>
      <c r="O591" s="263">
        <v>0</v>
      </c>
      <c r="P591" s="263">
        <v>0</v>
      </c>
      <c r="Q591" s="263">
        <v>126547</v>
      </c>
      <c r="R591" s="263">
        <v>1920396</v>
      </c>
      <c r="S591" s="263">
        <v>1843754</v>
      </c>
      <c r="T591" s="263">
        <v>0.29993730006239999</v>
      </c>
      <c r="U591" s="263">
        <f>SUM(K591:T591)</f>
        <v>3890697.2999372999</v>
      </c>
      <c r="V591" s="196" t="str">
        <f>IF(AND(AD591&gt;0,AE591&gt;0,AF591&gt;0),"G/LOS/R",IF(AND(AD591&gt;0,AE591&gt;0),"G/LOS",IF(AND(AD591&gt;0,AF591&gt;0),"G/R",IF(AND(AE591&gt;0,AF591&gt;0),"LOS/R",IF(AD591&gt;0,"G",IF(AE591&gt;0,"LOS",IF(AF591&gt;0,"R","CHECK")))))))</f>
        <v>G/LOS</v>
      </c>
      <c r="W591" s="196" t="s">
        <v>1168</v>
      </c>
      <c r="X591" s="196" t="str">
        <f>IF(LEFT(V591,1)="G","Y","N")</f>
        <v>Y</v>
      </c>
      <c r="Y591" s="376">
        <f>IF(X591="N",0,SUM(K591:T591))</f>
        <v>3890697.2999372999</v>
      </c>
      <c r="Z591" s="198"/>
      <c r="AA591" s="376">
        <f>Y591-Z591</f>
        <v>3890697.2999372999</v>
      </c>
      <c r="AB591" s="196" t="s">
        <v>1166</v>
      </c>
      <c r="AC591" s="196" t="s">
        <v>3624</v>
      </c>
      <c r="AD591" s="275">
        <v>0.23000000000000004</v>
      </c>
      <c r="AE591" s="275">
        <v>0.77</v>
      </c>
      <c r="AF591" s="275">
        <v>0</v>
      </c>
      <c r="AG591" s="199">
        <v>0.23</v>
      </c>
      <c r="AH591" s="199">
        <v>0.23</v>
      </c>
      <c r="AI591" s="377">
        <f>(AG591+AH591)/2</f>
        <v>0.23</v>
      </c>
      <c r="AJ591" s="203">
        <v>0.5</v>
      </c>
      <c r="AK591" s="203">
        <f>100%-AJ591</f>
        <v>0.5</v>
      </c>
      <c r="AL591" s="376">
        <f>(100%-AI591)*AA591</f>
        <v>2995836.9209517208</v>
      </c>
      <c r="AM591" s="376">
        <f>AA591*AI591*AJ591</f>
        <v>447430.1894927895</v>
      </c>
      <c r="AN591" s="376">
        <f>AA591*AI591*AK591</f>
        <v>447430.1894927895</v>
      </c>
      <c r="AO591" s="378" t="s">
        <v>3608</v>
      </c>
      <c r="AP591" s="379" t="s">
        <v>2810</v>
      </c>
      <c r="AQ591" s="279"/>
      <c r="AR591" s="287">
        <f t="shared" ref="AR591:AR654" si="364">K591*$AI591*$AJ591</f>
        <v>0</v>
      </c>
      <c r="AS591" s="287">
        <f t="shared" ref="AS591:AS654" si="365">L591*$AI591*$AJ591</f>
        <v>0</v>
      </c>
      <c r="AT591" s="287">
        <f t="shared" ref="AT591:AT654" si="366">M591*$AI591*$AJ591</f>
        <v>0</v>
      </c>
      <c r="AU591" s="287">
        <f t="shared" ref="AU591:AU654" si="367">N591*$AI591*$AJ591</f>
        <v>0</v>
      </c>
      <c r="AV591" s="287">
        <f t="shared" ref="AV591:AV654" si="368">O591*$AI591*$AJ591</f>
        <v>0</v>
      </c>
      <c r="AW591" s="287">
        <f t="shared" ref="AW591:AW654" si="369">P591*$AI591*$AJ591</f>
        <v>0</v>
      </c>
      <c r="AX591" s="287">
        <f t="shared" ref="AX591:AX654" si="370">Q591*$AI591*$AJ591</f>
        <v>14552.905000000001</v>
      </c>
      <c r="AY591" s="287">
        <f t="shared" ref="AY591:AY654" si="371">R591*$AI591*$AJ591</f>
        <v>220845.54</v>
      </c>
      <c r="AZ591" s="287">
        <f t="shared" ref="AZ591:AZ654" si="372">S591*$AI591*$AJ591</f>
        <v>212031.71000000002</v>
      </c>
      <c r="BA591" s="287">
        <f t="shared" ref="BA591:BA654" si="373">T591*$AI591*$AJ591</f>
        <v>3.4492789507175999E-2</v>
      </c>
      <c r="BB591" s="16"/>
      <c r="BC591" s="287">
        <f t="shared" ref="BC591:BC654" si="374">K591*$AI591*$AK591</f>
        <v>0</v>
      </c>
      <c r="BD591" s="287">
        <f t="shared" ref="BD591:BD654" si="375">L591*$AI591*$AK591</f>
        <v>0</v>
      </c>
      <c r="BE591" s="287">
        <f t="shared" ref="BE591:BE654" si="376">M591*$AI591*$AK591</f>
        <v>0</v>
      </c>
      <c r="BF591" s="287">
        <f t="shared" ref="BF591:BF654" si="377">N591*$AI591*$AK591</f>
        <v>0</v>
      </c>
      <c r="BG591" s="287">
        <f t="shared" ref="BG591:BG654" si="378">O591*$AI591*$AK591</f>
        <v>0</v>
      </c>
      <c r="BH591" s="287">
        <f t="shared" ref="BH591:BH654" si="379">P591*$AI591*$AK591</f>
        <v>0</v>
      </c>
      <c r="BI591" s="287">
        <f t="shared" ref="BI591:BI654" si="380">Q591*$AI591*$AK591</f>
        <v>14552.905000000001</v>
      </c>
      <c r="BJ591" s="287">
        <f t="shared" ref="BJ591:BJ654" si="381">R591*$AI591*$AK591</f>
        <v>220845.54</v>
      </c>
      <c r="BK591" s="287">
        <f t="shared" ref="BK591:BK654" si="382">S591*$AI591*$AK591</f>
        <v>212031.71000000002</v>
      </c>
      <c r="BL591" s="287">
        <f t="shared" ref="BL591:BL654" si="383">T591*$AI591*$AK591</f>
        <v>3.4492789507175999E-2</v>
      </c>
      <c r="BM591" s="16"/>
      <c r="BN591" s="287">
        <f t="shared" ref="BN591:BN654" si="384">SUM(AR591:BA591)</f>
        <v>447430.18949278956</v>
      </c>
      <c r="BO591" s="287">
        <f t="shared" ref="BO591:BO654" si="385">SUM(BC591:BL591)</f>
        <v>447430.18949278956</v>
      </c>
      <c r="BP591" s="431"/>
      <c r="BQ591" s="21"/>
      <c r="BR591" s="21"/>
      <c r="BS591" s="6" t="e">
        <v>#VALUE!</v>
      </c>
      <c r="BT591" s="194">
        <f>+BN591+BO591</f>
        <v>894860.37898557913</v>
      </c>
      <c r="BU591" s="194">
        <f>+AM591</f>
        <v>447430.1894927895</v>
      </c>
      <c r="BV591" s="194">
        <f>+AN591</f>
        <v>447430.1894927895</v>
      </c>
      <c r="BW591" s="194">
        <f>+BT591-BU591-BV591</f>
        <v>0</v>
      </c>
      <c r="BX591" s="6"/>
      <c r="BY591" s="6"/>
      <c r="BZ591" s="39">
        <v>578</v>
      </c>
      <c r="CA591" s="39">
        <f t="shared" ref="CA591:CA654" si="386">IFERROR(ROUND(IF(AJ591=100%,2031,1/AJ591*10+2021),0),"")</f>
        <v>2041</v>
      </c>
      <c r="CB591" s="6"/>
      <c r="CC591" s="39"/>
      <c r="CD591" s="39"/>
      <c r="CE591" s="39"/>
      <c r="CF591" s="39"/>
      <c r="CG591" s="39"/>
      <c r="CH591" s="39"/>
      <c r="CI591" s="39"/>
      <c r="CJ591" s="39"/>
      <c r="CK591" s="39"/>
    </row>
    <row r="592" spans="1:89" s="193" customFormat="1" ht="24">
      <c r="A592" s="357"/>
      <c r="B592" s="21" t="str">
        <f t="shared" si="363"/>
        <v>PTR</v>
      </c>
      <c r="C592" s="21"/>
      <c r="D592" s="432"/>
      <c r="E592" s="439" t="s">
        <v>3626</v>
      </c>
      <c r="F592" s="439"/>
      <c r="G592" s="273" t="s">
        <v>4322</v>
      </c>
      <c r="H592" s="358" t="s">
        <v>4439</v>
      </c>
      <c r="I592" s="262" t="s">
        <v>3158</v>
      </c>
      <c r="J592" s="262" t="s">
        <v>3504</v>
      </c>
      <c r="K592" s="263">
        <v>14917369</v>
      </c>
      <c r="L592" s="263">
        <v>19449618.059999999</v>
      </c>
      <c r="M592" s="263">
        <v>1017042.4646000001</v>
      </c>
      <c r="N592" s="263">
        <v>76702959.172312006</v>
      </c>
      <c r="O592" s="263">
        <v>126185122.87104192</v>
      </c>
      <c r="P592" s="263">
        <v>78203411.771976709</v>
      </c>
      <c r="Q592" s="263">
        <v>0</v>
      </c>
      <c r="R592" s="263">
        <v>0</v>
      </c>
      <c r="S592" s="263">
        <v>0</v>
      </c>
      <c r="T592" s="263">
        <v>0</v>
      </c>
      <c r="U592" s="263">
        <f t="shared" si="329"/>
        <v>316475523.33993065</v>
      </c>
      <c r="V592" s="196" t="str">
        <f t="shared" si="361"/>
        <v>G/LOS</v>
      </c>
      <c r="W592" s="196" t="s">
        <v>1168</v>
      </c>
      <c r="X592" s="196" t="str">
        <f t="shared" si="354"/>
        <v>Y</v>
      </c>
      <c r="Y592" s="376">
        <f t="shared" si="355"/>
        <v>316475523.33993065</v>
      </c>
      <c r="Z592" s="198"/>
      <c r="AA592" s="376">
        <f t="shared" si="362"/>
        <v>316475523.33993065</v>
      </c>
      <c r="AB592" s="196" t="s">
        <v>1166</v>
      </c>
      <c r="AC592" s="196" t="s">
        <v>3624</v>
      </c>
      <c r="AD592" s="275">
        <v>0.22999999999999998</v>
      </c>
      <c r="AE592" s="275">
        <v>0.77</v>
      </c>
      <c r="AF592" s="275">
        <v>0</v>
      </c>
      <c r="AG592" s="199">
        <v>0.23</v>
      </c>
      <c r="AH592" s="199">
        <v>0.23</v>
      </c>
      <c r="AI592" s="377">
        <f t="shared" si="330"/>
        <v>0.23</v>
      </c>
      <c r="AJ592" s="203">
        <v>0.5</v>
      </c>
      <c r="AK592" s="203">
        <f t="shared" si="356"/>
        <v>0.5</v>
      </c>
      <c r="AL592" s="376">
        <f t="shared" si="331"/>
        <v>243686152.97174662</v>
      </c>
      <c r="AM592" s="376">
        <f t="shared" si="332"/>
        <v>36394685.18409203</v>
      </c>
      <c r="AN592" s="376">
        <f t="shared" si="333"/>
        <v>36394685.18409203</v>
      </c>
      <c r="AO592" s="378" t="s">
        <v>3608</v>
      </c>
      <c r="AP592" s="379" t="s">
        <v>2810</v>
      </c>
      <c r="AQ592" s="279"/>
      <c r="AR592" s="287">
        <f t="shared" si="364"/>
        <v>1715497.4350000001</v>
      </c>
      <c r="AS592" s="287">
        <f t="shared" si="365"/>
        <v>2236706.0768999998</v>
      </c>
      <c r="AT592" s="287">
        <f t="shared" si="366"/>
        <v>116959.88342900001</v>
      </c>
      <c r="AU592" s="287">
        <f t="shared" si="367"/>
        <v>8820840.304815881</v>
      </c>
      <c r="AV592" s="287">
        <f t="shared" si="368"/>
        <v>14511289.130169822</v>
      </c>
      <c r="AW592" s="287">
        <f t="shared" si="369"/>
        <v>8993392.3537773211</v>
      </c>
      <c r="AX592" s="287">
        <f t="shared" si="370"/>
        <v>0</v>
      </c>
      <c r="AY592" s="287">
        <f t="shared" si="371"/>
        <v>0</v>
      </c>
      <c r="AZ592" s="287">
        <f t="shared" si="372"/>
        <v>0</v>
      </c>
      <c r="BA592" s="287">
        <f t="shared" si="373"/>
        <v>0</v>
      </c>
      <c r="BB592" s="16"/>
      <c r="BC592" s="287">
        <f t="shared" si="374"/>
        <v>1715497.4350000001</v>
      </c>
      <c r="BD592" s="287">
        <f t="shared" si="375"/>
        <v>2236706.0768999998</v>
      </c>
      <c r="BE592" s="287">
        <f t="shared" si="376"/>
        <v>116959.88342900001</v>
      </c>
      <c r="BF592" s="287">
        <f t="shared" si="377"/>
        <v>8820840.304815881</v>
      </c>
      <c r="BG592" s="287">
        <f t="shared" si="378"/>
        <v>14511289.130169822</v>
      </c>
      <c r="BH592" s="287">
        <f t="shared" si="379"/>
        <v>8993392.3537773211</v>
      </c>
      <c r="BI592" s="287">
        <f t="shared" si="380"/>
        <v>0</v>
      </c>
      <c r="BJ592" s="287">
        <f t="shared" si="381"/>
        <v>0</v>
      </c>
      <c r="BK592" s="287">
        <f t="shared" si="382"/>
        <v>0</v>
      </c>
      <c r="BL592" s="287">
        <f t="shared" si="383"/>
        <v>0</v>
      </c>
      <c r="BM592" s="16"/>
      <c r="BN592" s="287">
        <f t="shared" si="384"/>
        <v>36394685.184092022</v>
      </c>
      <c r="BO592" s="287">
        <f t="shared" si="385"/>
        <v>36394685.184092022</v>
      </c>
      <c r="BP592" s="431"/>
      <c r="BQ592" s="21"/>
      <c r="BR592" s="21"/>
      <c r="BS592" s="6" t="e">
        <v>#VALUE!</v>
      </c>
      <c r="BT592" s="194">
        <f t="shared" si="357"/>
        <v>72789370.368184045</v>
      </c>
      <c r="BU592" s="194">
        <f t="shared" si="358"/>
        <v>36394685.18409203</v>
      </c>
      <c r="BV592" s="194">
        <f t="shared" si="359"/>
        <v>36394685.18409203</v>
      </c>
      <c r="BW592" s="194">
        <f t="shared" si="360"/>
        <v>0</v>
      </c>
      <c r="BX592" s="6"/>
      <c r="BY592" s="6"/>
      <c r="BZ592" s="39">
        <v>579</v>
      </c>
      <c r="CA592" s="39">
        <f t="shared" si="386"/>
        <v>2041</v>
      </c>
      <c r="CB592" s="6"/>
      <c r="CC592" s="39"/>
      <c r="CD592" s="39"/>
      <c r="CE592" s="39"/>
      <c r="CF592" s="39"/>
      <c r="CG592" s="39"/>
      <c r="CH592" s="39"/>
      <c r="CI592" s="39"/>
      <c r="CJ592" s="39"/>
      <c r="CK592" s="39"/>
    </row>
    <row r="593" spans="1:89" s="193" customFormat="1" ht="24">
      <c r="A593" s="357"/>
      <c r="B593" s="21" t="str">
        <f t="shared" si="363"/>
        <v>PTR</v>
      </c>
      <c r="C593" s="21" t="s">
        <v>2259</v>
      </c>
      <c r="D593" s="432"/>
      <c r="E593" s="439" t="s">
        <v>3626</v>
      </c>
      <c r="F593" s="439"/>
      <c r="G593" s="273" t="s">
        <v>4322</v>
      </c>
      <c r="H593" s="358" t="s">
        <v>4439</v>
      </c>
      <c r="I593" s="262" t="s">
        <v>3904</v>
      </c>
      <c r="J593" s="262" t="s">
        <v>3504</v>
      </c>
      <c r="K593" s="263">
        <v>-3527833.3333333302</v>
      </c>
      <c r="L593" s="263">
        <v>-3527833.3333333302</v>
      </c>
      <c r="M593" s="263">
        <v>-3527833.3333333302</v>
      </c>
      <c r="N593" s="263">
        <v>-3527833.3333333302</v>
      </c>
      <c r="O593" s="263">
        <v>-3527833.3333333302</v>
      </c>
      <c r="P593" s="263">
        <v>-3527833.3333333302</v>
      </c>
      <c r="Q593" s="263">
        <v>0</v>
      </c>
      <c r="R593" s="263">
        <v>0</v>
      </c>
      <c r="S593" s="263">
        <v>0</v>
      </c>
      <c r="T593" s="263">
        <v>0</v>
      </c>
      <c r="U593" s="263">
        <f t="shared" si="329"/>
        <v>-21166999.999999978</v>
      </c>
      <c r="V593" s="196" t="str">
        <f t="shared" si="361"/>
        <v>G/LOS</v>
      </c>
      <c r="W593" s="196" t="s">
        <v>1168</v>
      </c>
      <c r="X593" s="196" t="str">
        <f t="shared" si="354"/>
        <v>Y</v>
      </c>
      <c r="Y593" s="376">
        <f t="shared" si="355"/>
        <v>-21166999.999999978</v>
      </c>
      <c r="Z593" s="198"/>
      <c r="AA593" s="376">
        <f t="shared" si="362"/>
        <v>-21166999.999999978</v>
      </c>
      <c r="AB593" s="196" t="s">
        <v>1166</v>
      </c>
      <c r="AC593" s="196" t="s">
        <v>3624</v>
      </c>
      <c r="AD593" s="275">
        <v>0.23</v>
      </c>
      <c r="AE593" s="275">
        <v>0.77</v>
      </c>
      <c r="AF593" s="275">
        <v>0</v>
      </c>
      <c r="AG593" s="199">
        <v>0.23</v>
      </c>
      <c r="AH593" s="199">
        <v>0.23</v>
      </c>
      <c r="AI593" s="377">
        <f t="shared" si="330"/>
        <v>0.23</v>
      </c>
      <c r="AJ593" s="203">
        <v>0.5</v>
      </c>
      <c r="AK593" s="203">
        <f t="shared" si="356"/>
        <v>0.5</v>
      </c>
      <c r="AL593" s="376">
        <f t="shared" si="331"/>
        <v>-16298589.999999983</v>
      </c>
      <c r="AM593" s="376">
        <f t="shared" si="332"/>
        <v>-2434204.9999999977</v>
      </c>
      <c r="AN593" s="376">
        <f t="shared" si="333"/>
        <v>-2434204.9999999977</v>
      </c>
      <c r="AO593" s="378" t="s">
        <v>3608</v>
      </c>
      <c r="AP593" s="379" t="s">
        <v>2810</v>
      </c>
      <c r="AQ593" s="279"/>
      <c r="AR593" s="287">
        <f t="shared" si="364"/>
        <v>-405700.83333333302</v>
      </c>
      <c r="AS593" s="287">
        <f t="shared" si="365"/>
        <v>-405700.83333333302</v>
      </c>
      <c r="AT593" s="287">
        <f t="shared" si="366"/>
        <v>-405700.83333333302</v>
      </c>
      <c r="AU593" s="287">
        <f t="shared" si="367"/>
        <v>-405700.83333333302</v>
      </c>
      <c r="AV593" s="287">
        <f t="shared" si="368"/>
        <v>-405700.83333333302</v>
      </c>
      <c r="AW593" s="287">
        <f t="shared" si="369"/>
        <v>-405700.83333333302</v>
      </c>
      <c r="AX593" s="287">
        <f t="shared" si="370"/>
        <v>0</v>
      </c>
      <c r="AY593" s="287">
        <f t="shared" si="371"/>
        <v>0</v>
      </c>
      <c r="AZ593" s="287">
        <f t="shared" si="372"/>
        <v>0</v>
      </c>
      <c r="BA593" s="287">
        <f t="shared" si="373"/>
        <v>0</v>
      </c>
      <c r="BB593" s="16"/>
      <c r="BC593" s="287">
        <f t="shared" si="374"/>
        <v>-405700.83333333302</v>
      </c>
      <c r="BD593" s="287">
        <f t="shared" si="375"/>
        <v>-405700.83333333302</v>
      </c>
      <c r="BE593" s="287">
        <f t="shared" si="376"/>
        <v>-405700.83333333302</v>
      </c>
      <c r="BF593" s="287">
        <f t="shared" si="377"/>
        <v>-405700.83333333302</v>
      </c>
      <c r="BG593" s="287">
        <f t="shared" si="378"/>
        <v>-405700.83333333302</v>
      </c>
      <c r="BH593" s="287">
        <f t="shared" si="379"/>
        <v>-405700.83333333302</v>
      </c>
      <c r="BI593" s="287">
        <f t="shared" si="380"/>
        <v>0</v>
      </c>
      <c r="BJ593" s="287">
        <f t="shared" si="381"/>
        <v>0</v>
      </c>
      <c r="BK593" s="287">
        <f t="shared" si="382"/>
        <v>0</v>
      </c>
      <c r="BL593" s="287">
        <f t="shared" si="383"/>
        <v>0</v>
      </c>
      <c r="BM593" s="16"/>
      <c r="BN593" s="287">
        <f t="shared" si="384"/>
        <v>-2434204.9999999981</v>
      </c>
      <c r="BO593" s="287">
        <f t="shared" si="385"/>
        <v>-2434204.9999999981</v>
      </c>
      <c r="BP593" s="431"/>
      <c r="BQ593" s="21"/>
      <c r="BR593" s="21"/>
      <c r="BS593" s="6"/>
      <c r="BT593" s="194">
        <f t="shared" si="357"/>
        <v>-4868409.9999999963</v>
      </c>
      <c r="BU593" s="194">
        <f t="shared" si="358"/>
        <v>-2434204.9999999977</v>
      </c>
      <c r="BV593" s="194">
        <f t="shared" si="359"/>
        <v>-2434204.9999999977</v>
      </c>
      <c r="BW593" s="194">
        <f t="shared" si="360"/>
        <v>0</v>
      </c>
      <c r="BX593" s="6"/>
      <c r="BY593" s="6"/>
      <c r="BZ593" s="39">
        <v>580</v>
      </c>
      <c r="CA593" s="39">
        <f t="shared" si="386"/>
        <v>2041</v>
      </c>
      <c r="CB593" s="6"/>
      <c r="CC593" s="39"/>
      <c r="CD593" s="39"/>
      <c r="CE593" s="39"/>
      <c r="CF593" s="39"/>
      <c r="CG593" s="39"/>
      <c r="CH593" s="39"/>
      <c r="CI593" s="39"/>
      <c r="CJ593" s="39"/>
      <c r="CK593" s="39"/>
    </row>
    <row r="594" spans="1:89" s="193" customFormat="1" ht="48">
      <c r="A594" s="357"/>
      <c r="B594" s="21" t="str">
        <f t="shared" si="363"/>
        <v>PTR</v>
      </c>
      <c r="C594" s="21"/>
      <c r="D594" s="440"/>
      <c r="E594" s="441" t="s">
        <v>3626</v>
      </c>
      <c r="F594" s="441"/>
      <c r="G594" s="273" t="s">
        <v>3637</v>
      </c>
      <c r="H594" s="358" t="s">
        <v>4440</v>
      </c>
      <c r="I594" s="262" t="s">
        <v>3158</v>
      </c>
      <c r="J594" s="262" t="s">
        <v>3504</v>
      </c>
      <c r="K594" s="263">
        <v>20965984</v>
      </c>
      <c r="L594" s="263">
        <v>64384146.560000002</v>
      </c>
      <c r="M594" s="263">
        <v>75737006.821600005</v>
      </c>
      <c r="N594" s="263">
        <v>8619181.1380080003</v>
      </c>
      <c r="O594" s="263">
        <v>0</v>
      </c>
      <c r="P594" s="263">
        <v>0</v>
      </c>
      <c r="Q594" s="263">
        <v>0</v>
      </c>
      <c r="R594" s="263">
        <v>0</v>
      </c>
      <c r="S594" s="263">
        <v>0</v>
      </c>
      <c r="T594" s="263">
        <v>0</v>
      </c>
      <c r="U594" s="263">
        <f t="shared" si="329"/>
        <v>169706318.51960802</v>
      </c>
      <c r="V594" s="196" t="str">
        <f t="shared" si="361"/>
        <v>G/LOS</v>
      </c>
      <c r="W594" s="196" t="s">
        <v>1168</v>
      </c>
      <c r="X594" s="196" t="str">
        <f t="shared" si="354"/>
        <v>Y</v>
      </c>
      <c r="Y594" s="376">
        <f t="shared" si="355"/>
        <v>169706318.51960802</v>
      </c>
      <c r="Z594" s="198"/>
      <c r="AA594" s="376">
        <f t="shared" si="362"/>
        <v>169706318.51960802</v>
      </c>
      <c r="AB594" s="196" t="s">
        <v>1166</v>
      </c>
      <c r="AC594" s="196" t="s">
        <v>3624</v>
      </c>
      <c r="AD594" s="275">
        <v>0.23</v>
      </c>
      <c r="AE594" s="275">
        <v>0.77</v>
      </c>
      <c r="AF594" s="275">
        <v>0</v>
      </c>
      <c r="AG594" s="199">
        <v>0.23</v>
      </c>
      <c r="AH594" s="199">
        <v>0.23</v>
      </c>
      <c r="AI594" s="377">
        <f t="shared" si="330"/>
        <v>0.23</v>
      </c>
      <c r="AJ594" s="203">
        <v>0.5</v>
      </c>
      <c r="AK594" s="203">
        <f t="shared" si="356"/>
        <v>0.5</v>
      </c>
      <c r="AL594" s="376">
        <f t="shared" si="331"/>
        <v>130673865.26009817</v>
      </c>
      <c r="AM594" s="376">
        <f t="shared" si="332"/>
        <v>19516226.629754923</v>
      </c>
      <c r="AN594" s="376">
        <f t="shared" si="333"/>
        <v>19516226.629754923</v>
      </c>
      <c r="AO594" s="378" t="s">
        <v>3608</v>
      </c>
      <c r="AP594" s="379" t="s">
        <v>2810</v>
      </c>
      <c r="AQ594" s="279"/>
      <c r="AR594" s="287">
        <f t="shared" si="364"/>
        <v>2411088.16</v>
      </c>
      <c r="AS594" s="287">
        <f t="shared" si="365"/>
        <v>7404176.8544000005</v>
      </c>
      <c r="AT594" s="287">
        <f t="shared" si="366"/>
        <v>8709755.7844840009</v>
      </c>
      <c r="AU594" s="287">
        <f t="shared" si="367"/>
        <v>991205.83087092009</v>
      </c>
      <c r="AV594" s="287">
        <f t="shared" si="368"/>
        <v>0</v>
      </c>
      <c r="AW594" s="287">
        <f t="shared" si="369"/>
        <v>0</v>
      </c>
      <c r="AX594" s="287">
        <f t="shared" si="370"/>
        <v>0</v>
      </c>
      <c r="AY594" s="287">
        <f t="shared" si="371"/>
        <v>0</v>
      </c>
      <c r="AZ594" s="287">
        <f t="shared" si="372"/>
        <v>0</v>
      </c>
      <c r="BA594" s="287">
        <f t="shared" si="373"/>
        <v>0</v>
      </c>
      <c r="BB594" s="16"/>
      <c r="BC594" s="287">
        <f t="shared" si="374"/>
        <v>2411088.16</v>
      </c>
      <c r="BD594" s="287">
        <f t="shared" si="375"/>
        <v>7404176.8544000005</v>
      </c>
      <c r="BE594" s="287">
        <f t="shared" si="376"/>
        <v>8709755.7844840009</v>
      </c>
      <c r="BF594" s="287">
        <f t="shared" si="377"/>
        <v>991205.83087092009</v>
      </c>
      <c r="BG594" s="287">
        <f t="shared" si="378"/>
        <v>0</v>
      </c>
      <c r="BH594" s="287">
        <f t="shared" si="379"/>
        <v>0</v>
      </c>
      <c r="BI594" s="287">
        <f t="shared" si="380"/>
        <v>0</v>
      </c>
      <c r="BJ594" s="287">
        <f t="shared" si="381"/>
        <v>0</v>
      </c>
      <c r="BK594" s="287">
        <f t="shared" si="382"/>
        <v>0</v>
      </c>
      <c r="BL594" s="287">
        <f t="shared" si="383"/>
        <v>0</v>
      </c>
      <c r="BM594" s="16"/>
      <c r="BN594" s="287">
        <f t="shared" si="384"/>
        <v>19516226.629754923</v>
      </c>
      <c r="BO594" s="287">
        <f t="shared" si="385"/>
        <v>19516226.629754923</v>
      </c>
      <c r="BP594" s="431"/>
      <c r="BQ594" s="21"/>
      <c r="BR594" s="21"/>
      <c r="BS594" s="6" t="e">
        <v>#VALUE!</v>
      </c>
      <c r="BT594" s="194">
        <f t="shared" si="357"/>
        <v>39032453.259509847</v>
      </c>
      <c r="BU594" s="194">
        <f t="shared" si="358"/>
        <v>19516226.629754923</v>
      </c>
      <c r="BV594" s="194">
        <f t="shared" si="359"/>
        <v>19516226.629754923</v>
      </c>
      <c r="BW594" s="194">
        <f t="shared" si="360"/>
        <v>0</v>
      </c>
      <c r="BX594" s="6"/>
      <c r="BY594" s="6"/>
      <c r="BZ594" s="39">
        <v>581</v>
      </c>
      <c r="CA594" s="39">
        <f t="shared" si="386"/>
        <v>2041</v>
      </c>
      <c r="CB594" s="6"/>
      <c r="CC594" s="39"/>
      <c r="CD594" s="39"/>
      <c r="CE594" s="39"/>
      <c r="CF594" s="39"/>
      <c r="CG594" s="39"/>
      <c r="CH594" s="39"/>
      <c r="CI594" s="39"/>
      <c r="CJ594" s="39"/>
      <c r="CK594" s="39"/>
    </row>
    <row r="595" spans="1:89" s="193" customFormat="1" ht="48">
      <c r="A595" s="357"/>
      <c r="B595" s="21" t="str">
        <f t="shared" si="363"/>
        <v>PTR</v>
      </c>
      <c r="C595" s="21"/>
      <c r="D595" s="432"/>
      <c r="E595" s="439" t="s">
        <v>3626</v>
      </c>
      <c r="F595" s="439"/>
      <c r="G595" s="273" t="s">
        <v>3637</v>
      </c>
      <c r="H595" s="358" t="s">
        <v>4440</v>
      </c>
      <c r="I595" s="262" t="s">
        <v>3904</v>
      </c>
      <c r="J595" s="262" t="s">
        <v>3504</v>
      </c>
      <c r="K595" s="263">
        <v>0</v>
      </c>
      <c r="L595" s="263">
        <v>-30582000</v>
      </c>
      <c r="M595" s="263">
        <v>-30582000</v>
      </c>
      <c r="N595" s="263">
        <v>-30582000</v>
      </c>
      <c r="O595" s="263">
        <v>-30582000</v>
      </c>
      <c r="P595" s="263">
        <v>0</v>
      </c>
      <c r="Q595" s="263">
        <v>0</v>
      </c>
      <c r="R595" s="263">
        <v>0</v>
      </c>
      <c r="S595" s="263">
        <v>0</v>
      </c>
      <c r="T595" s="263">
        <v>0</v>
      </c>
      <c r="U595" s="263">
        <f t="shared" si="329"/>
        <v>-122328000</v>
      </c>
      <c r="V595" s="196" t="str">
        <f t="shared" si="361"/>
        <v>G/LOS</v>
      </c>
      <c r="W595" s="196" t="s">
        <v>1168</v>
      </c>
      <c r="X595" s="196" t="str">
        <f t="shared" si="354"/>
        <v>Y</v>
      </c>
      <c r="Y595" s="376">
        <f t="shared" si="355"/>
        <v>-122328000</v>
      </c>
      <c r="Z595" s="198"/>
      <c r="AA595" s="376">
        <f t="shared" si="362"/>
        <v>-122328000</v>
      </c>
      <c r="AB595" s="196" t="s">
        <v>1166</v>
      </c>
      <c r="AC595" s="196" t="s">
        <v>3624</v>
      </c>
      <c r="AD595" s="518">
        <v>0.23</v>
      </c>
      <c r="AE595" s="275">
        <v>0.77</v>
      </c>
      <c r="AF595" s="275">
        <v>0</v>
      </c>
      <c r="AG595" s="199">
        <v>0.23</v>
      </c>
      <c r="AH595" s="199">
        <v>0.23</v>
      </c>
      <c r="AI595" s="377">
        <f t="shared" si="330"/>
        <v>0.23</v>
      </c>
      <c r="AJ595" s="203">
        <v>0.5</v>
      </c>
      <c r="AK595" s="203">
        <f t="shared" si="356"/>
        <v>0.5</v>
      </c>
      <c r="AL595" s="376">
        <f t="shared" si="331"/>
        <v>-94192560</v>
      </c>
      <c r="AM595" s="376">
        <f t="shared" si="332"/>
        <v>-14067720</v>
      </c>
      <c r="AN595" s="376">
        <f t="shared" si="333"/>
        <v>-14067720</v>
      </c>
      <c r="AO595" s="378" t="s">
        <v>3608</v>
      </c>
      <c r="AP595" s="379" t="s">
        <v>2810</v>
      </c>
      <c r="AQ595" s="279"/>
      <c r="AR595" s="287">
        <f t="shared" si="364"/>
        <v>0</v>
      </c>
      <c r="AS595" s="287">
        <f t="shared" si="365"/>
        <v>-3516930</v>
      </c>
      <c r="AT595" s="287">
        <f t="shared" si="366"/>
        <v>-3516930</v>
      </c>
      <c r="AU595" s="287">
        <f t="shared" si="367"/>
        <v>-3516930</v>
      </c>
      <c r="AV595" s="287">
        <f t="shared" si="368"/>
        <v>-3516930</v>
      </c>
      <c r="AW595" s="287">
        <f t="shared" si="369"/>
        <v>0</v>
      </c>
      <c r="AX595" s="287">
        <f t="shared" si="370"/>
        <v>0</v>
      </c>
      <c r="AY595" s="287">
        <f t="shared" si="371"/>
        <v>0</v>
      </c>
      <c r="AZ595" s="287">
        <f t="shared" si="372"/>
        <v>0</v>
      </c>
      <c r="BA595" s="287">
        <f t="shared" si="373"/>
        <v>0</v>
      </c>
      <c r="BB595" s="16"/>
      <c r="BC595" s="287">
        <f t="shared" si="374"/>
        <v>0</v>
      </c>
      <c r="BD595" s="287">
        <f t="shared" si="375"/>
        <v>-3516930</v>
      </c>
      <c r="BE595" s="287">
        <f t="shared" si="376"/>
        <v>-3516930</v>
      </c>
      <c r="BF595" s="287">
        <f t="shared" si="377"/>
        <v>-3516930</v>
      </c>
      <c r="BG595" s="287">
        <f t="shared" si="378"/>
        <v>-3516930</v>
      </c>
      <c r="BH595" s="287">
        <f t="shared" si="379"/>
        <v>0</v>
      </c>
      <c r="BI595" s="287">
        <f t="shared" si="380"/>
        <v>0</v>
      </c>
      <c r="BJ595" s="287">
        <f t="shared" si="381"/>
        <v>0</v>
      </c>
      <c r="BK595" s="287">
        <f t="shared" si="382"/>
        <v>0</v>
      </c>
      <c r="BL595" s="287">
        <f t="shared" si="383"/>
        <v>0</v>
      </c>
      <c r="BM595" s="16"/>
      <c r="BN595" s="287">
        <f t="shared" si="384"/>
        <v>-14067720</v>
      </c>
      <c r="BO595" s="287">
        <f t="shared" si="385"/>
        <v>-14067720</v>
      </c>
      <c r="BP595" s="431"/>
      <c r="BQ595" s="21"/>
      <c r="BR595" s="21"/>
      <c r="BS595" s="6"/>
      <c r="BT595" s="194">
        <f t="shared" si="357"/>
        <v>-28135440</v>
      </c>
      <c r="BU595" s="194">
        <f t="shared" si="358"/>
        <v>-14067720</v>
      </c>
      <c r="BV595" s="194">
        <f t="shared" si="359"/>
        <v>-14067720</v>
      </c>
      <c r="BW595" s="194">
        <f t="shared" si="360"/>
        <v>0</v>
      </c>
      <c r="BX595" s="6"/>
      <c r="BY595" s="6"/>
      <c r="BZ595" s="39">
        <v>582</v>
      </c>
      <c r="CA595" s="39">
        <f t="shared" si="386"/>
        <v>2041</v>
      </c>
      <c r="CB595" s="6"/>
      <c r="CC595" s="39"/>
      <c r="CD595" s="39"/>
      <c r="CE595" s="39"/>
      <c r="CF595" s="39"/>
      <c r="CG595" s="39"/>
      <c r="CH595" s="39"/>
      <c r="CI595" s="39"/>
      <c r="CJ595" s="39"/>
      <c r="CK595" s="39"/>
    </row>
    <row r="596" spans="1:89" s="193" customFormat="1" ht="48">
      <c r="A596" s="357"/>
      <c r="B596" s="21" t="str">
        <f t="shared" si="363"/>
        <v>PTR</v>
      </c>
      <c r="C596" s="21"/>
      <c r="D596" s="440"/>
      <c r="E596" s="441" t="s">
        <v>3626</v>
      </c>
      <c r="F596" s="441"/>
      <c r="G596" s="520" t="s">
        <v>5275</v>
      </c>
      <c r="H596" s="358" t="s">
        <v>4441</v>
      </c>
      <c r="I596" s="262" t="s">
        <v>3158</v>
      </c>
      <c r="J596" s="262" t="s">
        <v>3504</v>
      </c>
      <c r="K596" s="263">
        <v>63446914</v>
      </c>
      <c r="L596" s="263">
        <v>12633528.139999997</v>
      </c>
      <c r="M596" s="263">
        <v>7542783.7711999994</v>
      </c>
      <c r="N596" s="263">
        <v>57842852.708346002</v>
      </c>
      <c r="O596" s="263">
        <v>30597405.869741358</v>
      </c>
      <c r="P596" s="263">
        <v>91534786.327179998</v>
      </c>
      <c r="Q596" s="263">
        <v>87236814</v>
      </c>
      <c r="R596" s="263">
        <v>0</v>
      </c>
      <c r="S596" s="263">
        <v>0</v>
      </c>
      <c r="T596" s="263">
        <v>0</v>
      </c>
      <c r="U596" s="263">
        <f t="shared" si="329"/>
        <v>350835084.81646734</v>
      </c>
      <c r="V596" s="196" t="str">
        <f t="shared" si="361"/>
        <v>G/LOS</v>
      </c>
      <c r="W596" s="196" t="s">
        <v>1168</v>
      </c>
      <c r="X596" s="196" t="str">
        <f t="shared" si="354"/>
        <v>Y</v>
      </c>
      <c r="Y596" s="376">
        <f t="shared" si="355"/>
        <v>350835084.81646734</v>
      </c>
      <c r="Z596" s="198"/>
      <c r="AA596" s="376">
        <f t="shared" si="362"/>
        <v>350835084.81646734</v>
      </c>
      <c r="AB596" s="196" t="s">
        <v>1166</v>
      </c>
      <c r="AC596" s="196" t="s">
        <v>3624</v>
      </c>
      <c r="AD596" s="275">
        <v>0.23000000000000007</v>
      </c>
      <c r="AE596" s="275">
        <v>0.77</v>
      </c>
      <c r="AF596" s="275">
        <v>0</v>
      </c>
      <c r="AG596" s="199">
        <v>0.23</v>
      </c>
      <c r="AH596" s="199">
        <v>0.23</v>
      </c>
      <c r="AI596" s="377">
        <f t="shared" si="330"/>
        <v>0.23</v>
      </c>
      <c r="AJ596" s="203">
        <v>0.5</v>
      </c>
      <c r="AK596" s="203">
        <f t="shared" si="356"/>
        <v>0.5</v>
      </c>
      <c r="AL596" s="376">
        <f t="shared" si="331"/>
        <v>270143015.30867988</v>
      </c>
      <c r="AM596" s="376">
        <f t="shared" si="332"/>
        <v>40346034.753893748</v>
      </c>
      <c r="AN596" s="376">
        <f t="shared" si="333"/>
        <v>40346034.753893748</v>
      </c>
      <c r="AO596" s="378" t="s">
        <v>3608</v>
      </c>
      <c r="AP596" s="379" t="s">
        <v>2810</v>
      </c>
      <c r="AQ596" s="279"/>
      <c r="AR596" s="287">
        <f t="shared" si="364"/>
        <v>7296395.1100000003</v>
      </c>
      <c r="AS596" s="287">
        <f t="shared" si="365"/>
        <v>1452855.7360999996</v>
      </c>
      <c r="AT596" s="287">
        <f t="shared" si="366"/>
        <v>867420.13368799991</v>
      </c>
      <c r="AU596" s="287">
        <f t="shared" si="367"/>
        <v>6651928.0614597909</v>
      </c>
      <c r="AV596" s="287">
        <f t="shared" si="368"/>
        <v>3518701.6750202561</v>
      </c>
      <c r="AW596" s="287">
        <f t="shared" si="369"/>
        <v>10526500.427625701</v>
      </c>
      <c r="AX596" s="287">
        <f t="shared" si="370"/>
        <v>10032233.610000001</v>
      </c>
      <c r="AY596" s="287">
        <f t="shared" si="371"/>
        <v>0</v>
      </c>
      <c r="AZ596" s="287">
        <f t="shared" si="372"/>
        <v>0</v>
      </c>
      <c r="BA596" s="287">
        <f t="shared" si="373"/>
        <v>0</v>
      </c>
      <c r="BB596" s="16"/>
      <c r="BC596" s="287">
        <f t="shared" si="374"/>
        <v>7296395.1100000003</v>
      </c>
      <c r="BD596" s="287">
        <f t="shared" si="375"/>
        <v>1452855.7360999996</v>
      </c>
      <c r="BE596" s="287">
        <f t="shared" si="376"/>
        <v>867420.13368799991</v>
      </c>
      <c r="BF596" s="287">
        <f t="shared" si="377"/>
        <v>6651928.0614597909</v>
      </c>
      <c r="BG596" s="287">
        <f t="shared" si="378"/>
        <v>3518701.6750202561</v>
      </c>
      <c r="BH596" s="287">
        <f t="shared" si="379"/>
        <v>10526500.427625701</v>
      </c>
      <c r="BI596" s="287">
        <f t="shared" si="380"/>
        <v>10032233.610000001</v>
      </c>
      <c r="BJ596" s="287">
        <f t="shared" si="381"/>
        <v>0</v>
      </c>
      <c r="BK596" s="287">
        <f t="shared" si="382"/>
        <v>0</v>
      </c>
      <c r="BL596" s="287">
        <f t="shared" si="383"/>
        <v>0</v>
      </c>
      <c r="BM596" s="16"/>
      <c r="BN596" s="287">
        <f t="shared" si="384"/>
        <v>40346034.753893748</v>
      </c>
      <c r="BO596" s="287">
        <f t="shared" si="385"/>
        <v>40346034.753893748</v>
      </c>
      <c r="BP596" s="431"/>
      <c r="BQ596" s="21"/>
      <c r="BR596" s="21"/>
      <c r="BS596" s="6" t="e">
        <v>#VALUE!</v>
      </c>
      <c r="BT596" s="194">
        <f t="shared" si="357"/>
        <v>80692069.507787496</v>
      </c>
      <c r="BU596" s="194">
        <f t="shared" si="358"/>
        <v>40346034.753893748</v>
      </c>
      <c r="BV596" s="194">
        <f t="shared" si="359"/>
        <v>40346034.753893748</v>
      </c>
      <c r="BW596" s="194">
        <f t="shared" si="360"/>
        <v>0</v>
      </c>
      <c r="BX596" s="6"/>
      <c r="BY596" s="6"/>
      <c r="BZ596" s="39">
        <v>583</v>
      </c>
      <c r="CA596" s="39">
        <f t="shared" si="386"/>
        <v>2041</v>
      </c>
      <c r="CB596" s="6"/>
      <c r="CC596" s="39"/>
      <c r="CD596" s="39"/>
      <c r="CE596" s="39"/>
      <c r="CF596" s="39"/>
      <c r="CG596" s="39"/>
      <c r="CH596" s="39"/>
      <c r="CI596" s="39"/>
      <c r="CJ596" s="39"/>
      <c r="CK596" s="39"/>
    </row>
    <row r="597" spans="1:89" s="193" customFormat="1" ht="48">
      <c r="A597" s="357"/>
      <c r="B597" s="21" t="str">
        <f t="shared" si="363"/>
        <v>PTR</v>
      </c>
      <c r="C597" s="21"/>
      <c r="D597" s="432"/>
      <c r="E597" s="439" t="s">
        <v>3626</v>
      </c>
      <c r="F597" s="439"/>
      <c r="G597" s="273" t="s">
        <v>3638</v>
      </c>
      <c r="H597" s="358" t="s">
        <v>4441</v>
      </c>
      <c r="I597" s="262" t="s">
        <v>3904</v>
      </c>
      <c r="J597" s="262" t="s">
        <v>3504</v>
      </c>
      <c r="K597" s="263">
        <v>-5191000</v>
      </c>
      <c r="L597" s="263">
        <v>0</v>
      </c>
      <c r="M597" s="263">
        <v>0</v>
      </c>
      <c r="N597" s="263">
        <v>0</v>
      </c>
      <c r="O597" s="263">
        <v>0</v>
      </c>
      <c r="P597" s="263">
        <v>0</v>
      </c>
      <c r="Q597" s="263">
        <v>0</v>
      </c>
      <c r="R597" s="263">
        <v>0</v>
      </c>
      <c r="S597" s="263">
        <v>0</v>
      </c>
      <c r="T597" s="263">
        <v>0</v>
      </c>
      <c r="U597" s="263">
        <f t="shared" si="329"/>
        <v>-5191000</v>
      </c>
      <c r="V597" s="196" t="str">
        <f t="shared" si="361"/>
        <v>G/LOS</v>
      </c>
      <c r="W597" s="196" t="s">
        <v>1168</v>
      </c>
      <c r="X597" s="196" t="str">
        <f t="shared" si="354"/>
        <v>Y</v>
      </c>
      <c r="Y597" s="376">
        <f t="shared" si="355"/>
        <v>-5191000</v>
      </c>
      <c r="Z597" s="198"/>
      <c r="AA597" s="376">
        <f t="shared" si="362"/>
        <v>-5191000</v>
      </c>
      <c r="AB597" s="196" t="s">
        <v>1166</v>
      </c>
      <c r="AC597" s="196" t="s">
        <v>3624</v>
      </c>
      <c r="AD597" s="275">
        <v>0.23</v>
      </c>
      <c r="AE597" s="275">
        <v>0.77</v>
      </c>
      <c r="AF597" s="275">
        <v>0</v>
      </c>
      <c r="AG597" s="199">
        <v>0.23</v>
      </c>
      <c r="AH597" s="199">
        <v>0.23</v>
      </c>
      <c r="AI597" s="377">
        <f t="shared" si="330"/>
        <v>0.23</v>
      </c>
      <c r="AJ597" s="203">
        <v>0.5</v>
      </c>
      <c r="AK597" s="203">
        <f t="shared" si="356"/>
        <v>0.5</v>
      </c>
      <c r="AL597" s="376">
        <f t="shared" si="331"/>
        <v>-3997070</v>
      </c>
      <c r="AM597" s="376">
        <f t="shared" si="332"/>
        <v>-596965</v>
      </c>
      <c r="AN597" s="376">
        <f t="shared" si="333"/>
        <v>-596965</v>
      </c>
      <c r="AO597" s="378" t="s">
        <v>3608</v>
      </c>
      <c r="AP597" s="379" t="s">
        <v>2810</v>
      </c>
      <c r="AQ597" s="279"/>
      <c r="AR597" s="287">
        <f t="shared" si="364"/>
        <v>-596965</v>
      </c>
      <c r="AS597" s="287">
        <f t="shared" si="365"/>
        <v>0</v>
      </c>
      <c r="AT597" s="287">
        <f t="shared" si="366"/>
        <v>0</v>
      </c>
      <c r="AU597" s="287">
        <f t="shared" si="367"/>
        <v>0</v>
      </c>
      <c r="AV597" s="287">
        <f t="shared" si="368"/>
        <v>0</v>
      </c>
      <c r="AW597" s="287">
        <f t="shared" si="369"/>
        <v>0</v>
      </c>
      <c r="AX597" s="287">
        <f t="shared" si="370"/>
        <v>0</v>
      </c>
      <c r="AY597" s="287">
        <f t="shared" si="371"/>
        <v>0</v>
      </c>
      <c r="AZ597" s="287">
        <f t="shared" si="372"/>
        <v>0</v>
      </c>
      <c r="BA597" s="287">
        <f t="shared" si="373"/>
        <v>0</v>
      </c>
      <c r="BB597" s="16"/>
      <c r="BC597" s="287">
        <f t="shared" si="374"/>
        <v>-596965</v>
      </c>
      <c r="BD597" s="287">
        <f t="shared" si="375"/>
        <v>0</v>
      </c>
      <c r="BE597" s="287">
        <f t="shared" si="376"/>
        <v>0</v>
      </c>
      <c r="BF597" s="287">
        <f t="shared" si="377"/>
        <v>0</v>
      </c>
      <c r="BG597" s="287">
        <f t="shared" si="378"/>
        <v>0</v>
      </c>
      <c r="BH597" s="287">
        <f t="shared" si="379"/>
        <v>0</v>
      </c>
      <c r="BI597" s="287">
        <f t="shared" si="380"/>
        <v>0</v>
      </c>
      <c r="BJ597" s="287">
        <f t="shared" si="381"/>
        <v>0</v>
      </c>
      <c r="BK597" s="287">
        <f t="shared" si="382"/>
        <v>0</v>
      </c>
      <c r="BL597" s="287">
        <f t="shared" si="383"/>
        <v>0</v>
      </c>
      <c r="BM597" s="16"/>
      <c r="BN597" s="287">
        <f t="shared" si="384"/>
        <v>-596965</v>
      </c>
      <c r="BO597" s="287">
        <f t="shared" si="385"/>
        <v>-596965</v>
      </c>
      <c r="BP597" s="431"/>
      <c r="BQ597" s="21"/>
      <c r="BR597" s="21"/>
      <c r="BS597" s="6"/>
      <c r="BT597" s="194">
        <f t="shared" si="357"/>
        <v>-1193930</v>
      </c>
      <c r="BU597" s="194">
        <f t="shared" si="358"/>
        <v>-596965</v>
      </c>
      <c r="BV597" s="194">
        <f t="shared" si="359"/>
        <v>-596965</v>
      </c>
      <c r="BW597" s="194">
        <f t="shared" si="360"/>
        <v>0</v>
      </c>
      <c r="BX597" s="6"/>
      <c r="BY597" s="6"/>
      <c r="BZ597" s="39">
        <v>584</v>
      </c>
      <c r="CA597" s="39">
        <f t="shared" si="386"/>
        <v>2041</v>
      </c>
      <c r="CB597" s="6"/>
      <c r="CC597" s="39"/>
      <c r="CD597" s="39"/>
      <c r="CE597" s="39"/>
      <c r="CF597" s="39"/>
      <c r="CG597" s="39"/>
      <c r="CH597" s="39"/>
      <c r="CI597" s="39"/>
      <c r="CJ597" s="39"/>
      <c r="CK597" s="39"/>
    </row>
    <row r="598" spans="1:89" s="193" customFormat="1" ht="24">
      <c r="A598" s="357"/>
      <c r="B598" s="21" t="str">
        <f t="shared" si="363"/>
        <v>PTR</v>
      </c>
      <c r="C598" s="21"/>
      <c r="D598" s="440"/>
      <c r="E598" s="441" t="s">
        <v>3626</v>
      </c>
      <c r="F598" s="441"/>
      <c r="G598" s="273" t="s">
        <v>4641</v>
      </c>
      <c r="H598" s="358" t="s">
        <v>4416</v>
      </c>
      <c r="I598" s="262" t="s">
        <v>3158</v>
      </c>
      <c r="J598" s="262" t="s">
        <v>3504</v>
      </c>
      <c r="K598" s="263">
        <v>4521832</v>
      </c>
      <c r="L598" s="263">
        <v>4279461.5500000007</v>
      </c>
      <c r="M598" s="263">
        <v>4729510.2405000003</v>
      </c>
      <c r="N598" s="263">
        <v>4452946.6732649999</v>
      </c>
      <c r="O598" s="263">
        <v>4336409.9681574004</v>
      </c>
      <c r="P598" s="263">
        <v>5649391.7108264593</v>
      </c>
      <c r="Q598" s="263">
        <v>5257718.490758392</v>
      </c>
      <c r="R598" s="263">
        <v>4750523.0817767829</v>
      </c>
      <c r="S598" s="263">
        <v>7937396.0890915282</v>
      </c>
      <c r="T598" s="263">
        <v>6800100.1956244372</v>
      </c>
      <c r="U598" s="263">
        <f t="shared" si="329"/>
        <v>52715290</v>
      </c>
      <c r="V598" s="196" t="str">
        <f t="shared" si="361"/>
        <v>G/LOS</v>
      </c>
      <c r="W598" s="196" t="s">
        <v>1168</v>
      </c>
      <c r="X598" s="196" t="str">
        <f t="shared" si="354"/>
        <v>Y</v>
      </c>
      <c r="Y598" s="376">
        <f t="shared" si="355"/>
        <v>52715290</v>
      </c>
      <c r="Z598" s="198"/>
      <c r="AA598" s="376">
        <f t="shared" si="362"/>
        <v>52715290</v>
      </c>
      <c r="AB598" s="196" t="s">
        <v>1166</v>
      </c>
      <c r="AC598" s="196" t="s">
        <v>1168</v>
      </c>
      <c r="AD598" s="275">
        <v>0.215</v>
      </c>
      <c r="AE598" s="275">
        <f>1-AD598</f>
        <v>0.78500000000000003</v>
      </c>
      <c r="AF598" s="275">
        <v>0</v>
      </c>
      <c r="AG598" s="199">
        <v>0.1598</v>
      </c>
      <c r="AH598" s="199">
        <v>0.1598</v>
      </c>
      <c r="AI598" s="377">
        <f t="shared" si="330"/>
        <v>0.1598</v>
      </c>
      <c r="AJ598" s="203">
        <v>1</v>
      </c>
      <c r="AK598" s="203">
        <f t="shared" si="356"/>
        <v>0</v>
      </c>
      <c r="AL598" s="376">
        <f t="shared" si="331"/>
        <v>44291386.658</v>
      </c>
      <c r="AM598" s="376">
        <f t="shared" si="332"/>
        <v>8423903.3420000002</v>
      </c>
      <c r="AN598" s="376">
        <f t="shared" si="333"/>
        <v>0</v>
      </c>
      <c r="AO598" s="378" t="s">
        <v>3608</v>
      </c>
      <c r="AP598" s="379" t="s">
        <v>2810</v>
      </c>
      <c r="AQ598" s="279"/>
      <c r="AR598" s="287">
        <f t="shared" si="364"/>
        <v>722588.75359999994</v>
      </c>
      <c r="AS598" s="287">
        <f t="shared" si="365"/>
        <v>683857.95569000009</v>
      </c>
      <c r="AT598" s="287">
        <f t="shared" si="366"/>
        <v>755775.73643190006</v>
      </c>
      <c r="AU598" s="287">
        <f t="shared" si="367"/>
        <v>711580.87838774698</v>
      </c>
      <c r="AV598" s="287">
        <f t="shared" si="368"/>
        <v>692958.31291155261</v>
      </c>
      <c r="AW598" s="287">
        <f t="shared" si="369"/>
        <v>902772.7953900682</v>
      </c>
      <c r="AX598" s="287">
        <f t="shared" si="370"/>
        <v>840183.41482319101</v>
      </c>
      <c r="AY598" s="287">
        <f t="shared" si="371"/>
        <v>759133.58846792986</v>
      </c>
      <c r="AZ598" s="287">
        <f t="shared" si="372"/>
        <v>1268395.8950368261</v>
      </c>
      <c r="BA598" s="287">
        <f t="shared" si="373"/>
        <v>1086656.0112607849</v>
      </c>
      <c r="BB598" s="16"/>
      <c r="BC598" s="287">
        <f t="shared" si="374"/>
        <v>0</v>
      </c>
      <c r="BD598" s="287">
        <f t="shared" si="375"/>
        <v>0</v>
      </c>
      <c r="BE598" s="287">
        <f t="shared" si="376"/>
        <v>0</v>
      </c>
      <c r="BF598" s="287">
        <f t="shared" si="377"/>
        <v>0</v>
      </c>
      <c r="BG598" s="287">
        <f t="shared" si="378"/>
        <v>0</v>
      </c>
      <c r="BH598" s="287">
        <f t="shared" si="379"/>
        <v>0</v>
      </c>
      <c r="BI598" s="287">
        <f t="shared" si="380"/>
        <v>0</v>
      </c>
      <c r="BJ598" s="287">
        <f t="shared" si="381"/>
        <v>0</v>
      </c>
      <c r="BK598" s="287">
        <f t="shared" si="382"/>
        <v>0</v>
      </c>
      <c r="BL598" s="287">
        <f t="shared" si="383"/>
        <v>0</v>
      </c>
      <c r="BM598" s="16"/>
      <c r="BN598" s="287">
        <f t="shared" si="384"/>
        <v>8423903.3420000002</v>
      </c>
      <c r="BO598" s="287">
        <f t="shared" si="385"/>
        <v>0</v>
      </c>
      <c r="BP598" s="431"/>
      <c r="BQ598" s="21"/>
      <c r="BR598" s="21"/>
      <c r="BS598" s="6" t="e">
        <v>#VALUE!</v>
      </c>
      <c r="BT598" s="194">
        <f t="shared" si="357"/>
        <v>8423903.3420000002</v>
      </c>
      <c r="BU598" s="194">
        <f t="shared" si="358"/>
        <v>8423903.3420000002</v>
      </c>
      <c r="BV598" s="194">
        <f t="shared" si="359"/>
        <v>0</v>
      </c>
      <c r="BW598" s="194">
        <f t="shared" si="360"/>
        <v>0</v>
      </c>
      <c r="BX598" s="6"/>
      <c r="BY598" s="6"/>
      <c r="BZ598" s="39">
        <v>585</v>
      </c>
      <c r="CA598" s="39">
        <f t="shared" si="386"/>
        <v>2031</v>
      </c>
      <c r="CB598" s="6"/>
      <c r="CC598" s="39"/>
      <c r="CD598" s="39"/>
      <c r="CE598" s="39"/>
      <c r="CF598" s="39"/>
      <c r="CG598" s="39"/>
      <c r="CH598" s="39"/>
      <c r="CI598" s="39"/>
      <c r="CJ598" s="39"/>
      <c r="CK598" s="39"/>
    </row>
    <row r="599" spans="1:89" s="193" customFormat="1" ht="24">
      <c r="A599" s="357"/>
      <c r="B599" s="21" t="str">
        <f t="shared" si="363"/>
        <v>PTR</v>
      </c>
      <c r="C599" s="21"/>
      <c r="D599" s="440"/>
      <c r="E599" s="441" t="s">
        <v>3626</v>
      </c>
      <c r="F599" s="441"/>
      <c r="G599" s="273" t="s">
        <v>2476</v>
      </c>
      <c r="H599" s="358" t="s">
        <v>4419</v>
      </c>
      <c r="I599" s="262" t="s">
        <v>3158</v>
      </c>
      <c r="J599" s="262" t="s">
        <v>3504</v>
      </c>
      <c r="K599" s="263">
        <v>1755294.4426000002</v>
      </c>
      <c r="L599" s="263">
        <v>7511342.4582000002</v>
      </c>
      <c r="M599" s="263">
        <v>9981331.7555299997</v>
      </c>
      <c r="N599" s="263">
        <v>11864898.93082224</v>
      </c>
      <c r="O599" s="263">
        <v>18293553.223977722</v>
      </c>
      <c r="P599" s="263">
        <v>28524410.67977</v>
      </c>
      <c r="Q599" s="263">
        <v>10114817.455153439</v>
      </c>
      <c r="R599" s="263">
        <v>10795924.623182476</v>
      </c>
      <c r="S599" s="263">
        <v>18101681.610694081</v>
      </c>
      <c r="T599" s="263">
        <v>0</v>
      </c>
      <c r="U599" s="263">
        <f t="shared" si="329"/>
        <v>116943255.17992996</v>
      </c>
      <c r="V599" s="196" t="str">
        <f t="shared" si="361"/>
        <v>G/LOS</v>
      </c>
      <c r="W599" s="196" t="s">
        <v>1168</v>
      </c>
      <c r="X599" s="196" t="str">
        <f t="shared" si="354"/>
        <v>Y</v>
      </c>
      <c r="Y599" s="376">
        <f t="shared" si="355"/>
        <v>116943255.17992996</v>
      </c>
      <c r="Z599" s="198"/>
      <c r="AA599" s="376">
        <f t="shared" si="362"/>
        <v>116943255.17992996</v>
      </c>
      <c r="AB599" s="196" t="s">
        <v>1166</v>
      </c>
      <c r="AC599" s="196" t="s">
        <v>1168</v>
      </c>
      <c r="AD599" s="275">
        <v>0.215</v>
      </c>
      <c r="AE599" s="275">
        <f>1-AD599</f>
        <v>0.78500000000000003</v>
      </c>
      <c r="AF599" s="275">
        <v>0</v>
      </c>
      <c r="AG599" s="199">
        <v>0.1598</v>
      </c>
      <c r="AH599" s="199">
        <v>0.1598</v>
      </c>
      <c r="AI599" s="377">
        <f t="shared" si="330"/>
        <v>0.1598</v>
      </c>
      <c r="AJ599" s="203">
        <v>0.5</v>
      </c>
      <c r="AK599" s="203">
        <f t="shared" si="356"/>
        <v>0.5</v>
      </c>
      <c r="AL599" s="376">
        <f t="shared" si="331"/>
        <v>98255723.002177149</v>
      </c>
      <c r="AM599" s="376">
        <f t="shared" si="332"/>
        <v>9343766.0888764039</v>
      </c>
      <c r="AN599" s="376">
        <f t="shared" si="333"/>
        <v>9343766.0888764039</v>
      </c>
      <c r="AO599" s="378" t="s">
        <v>3608</v>
      </c>
      <c r="AP599" s="379" t="s">
        <v>2810</v>
      </c>
      <c r="AQ599" s="279"/>
      <c r="AR599" s="287">
        <f t="shared" si="364"/>
        <v>140248.02596374002</v>
      </c>
      <c r="AS599" s="287">
        <f t="shared" si="365"/>
        <v>600156.26241018006</v>
      </c>
      <c r="AT599" s="287">
        <f t="shared" si="366"/>
        <v>797508.40726684697</v>
      </c>
      <c r="AU599" s="287">
        <f t="shared" si="367"/>
        <v>948005.42457269703</v>
      </c>
      <c r="AV599" s="287">
        <f t="shared" si="368"/>
        <v>1461654.9025958199</v>
      </c>
      <c r="AW599" s="287">
        <f t="shared" si="369"/>
        <v>2279100.4133136231</v>
      </c>
      <c r="AX599" s="287">
        <f t="shared" si="370"/>
        <v>808173.91466675978</v>
      </c>
      <c r="AY599" s="287">
        <f t="shared" si="371"/>
        <v>862594.3773922798</v>
      </c>
      <c r="AZ599" s="287">
        <f t="shared" si="372"/>
        <v>1446324.3606944571</v>
      </c>
      <c r="BA599" s="287">
        <f t="shared" si="373"/>
        <v>0</v>
      </c>
      <c r="BB599" s="16"/>
      <c r="BC599" s="287">
        <f t="shared" si="374"/>
        <v>140248.02596374002</v>
      </c>
      <c r="BD599" s="287">
        <f t="shared" si="375"/>
        <v>600156.26241018006</v>
      </c>
      <c r="BE599" s="287">
        <f t="shared" si="376"/>
        <v>797508.40726684697</v>
      </c>
      <c r="BF599" s="287">
        <f t="shared" si="377"/>
        <v>948005.42457269703</v>
      </c>
      <c r="BG599" s="287">
        <f t="shared" si="378"/>
        <v>1461654.9025958199</v>
      </c>
      <c r="BH599" s="287">
        <f t="shared" si="379"/>
        <v>2279100.4133136231</v>
      </c>
      <c r="BI599" s="287">
        <f t="shared" si="380"/>
        <v>808173.91466675978</v>
      </c>
      <c r="BJ599" s="287">
        <f t="shared" si="381"/>
        <v>862594.3773922798</v>
      </c>
      <c r="BK599" s="287">
        <f t="shared" si="382"/>
        <v>1446324.3606944571</v>
      </c>
      <c r="BL599" s="287">
        <f t="shared" si="383"/>
        <v>0</v>
      </c>
      <c r="BM599" s="16"/>
      <c r="BN599" s="287">
        <f t="shared" si="384"/>
        <v>9343766.0888764039</v>
      </c>
      <c r="BO599" s="287">
        <f t="shared" si="385"/>
        <v>9343766.0888764039</v>
      </c>
      <c r="BP599" s="431"/>
      <c r="BQ599" s="21"/>
      <c r="BR599" s="21"/>
      <c r="BS599" s="6" t="e">
        <v>#VALUE!</v>
      </c>
      <c r="BT599" s="194">
        <f t="shared" si="357"/>
        <v>18687532.177752808</v>
      </c>
      <c r="BU599" s="194">
        <f t="shared" si="358"/>
        <v>9343766.0888764039</v>
      </c>
      <c r="BV599" s="194">
        <f t="shared" si="359"/>
        <v>9343766.0888764039</v>
      </c>
      <c r="BW599" s="194">
        <f t="shared" si="360"/>
        <v>0</v>
      </c>
      <c r="BX599" s="6"/>
      <c r="BY599" s="6"/>
      <c r="BZ599" s="39">
        <v>586</v>
      </c>
      <c r="CA599" s="39">
        <f t="shared" si="386"/>
        <v>2041</v>
      </c>
      <c r="CB599" s="6"/>
      <c r="CC599" s="39"/>
      <c r="CD599" s="39"/>
      <c r="CE599" s="39"/>
      <c r="CF599" s="39"/>
      <c r="CG599" s="39"/>
      <c r="CH599" s="39"/>
      <c r="CI599" s="39"/>
      <c r="CJ599" s="39"/>
      <c r="CK599" s="39"/>
    </row>
    <row r="600" spans="1:89" s="193" customFormat="1" ht="24">
      <c r="A600" s="357"/>
      <c r="B600" s="21" t="str">
        <f t="shared" si="363"/>
        <v>PTR</v>
      </c>
      <c r="C600" s="21"/>
      <c r="D600" s="440"/>
      <c r="E600" s="441" t="s">
        <v>3626</v>
      </c>
      <c r="F600" s="441"/>
      <c r="G600" s="273" t="s">
        <v>4642</v>
      </c>
      <c r="H600" s="358" t="s">
        <v>4420</v>
      </c>
      <c r="I600" s="262" t="s">
        <v>3158</v>
      </c>
      <c r="J600" s="262" t="s">
        <v>3504</v>
      </c>
      <c r="K600" s="263">
        <v>3293254</v>
      </c>
      <c r="L600" s="263">
        <v>25411718</v>
      </c>
      <c r="M600" s="263">
        <v>10753460</v>
      </c>
      <c r="N600" s="263">
        <v>0</v>
      </c>
      <c r="O600" s="263">
        <v>0</v>
      </c>
      <c r="P600" s="263">
        <v>0</v>
      </c>
      <c r="Q600" s="263">
        <v>0</v>
      </c>
      <c r="R600" s="263">
        <v>0</v>
      </c>
      <c r="S600" s="263">
        <v>0</v>
      </c>
      <c r="T600" s="263">
        <v>0</v>
      </c>
      <c r="U600" s="263">
        <f t="shared" si="329"/>
        <v>39458432</v>
      </c>
      <c r="V600" s="196" t="str">
        <f t="shared" si="361"/>
        <v>G/LOS</v>
      </c>
      <c r="W600" s="196" t="s">
        <v>1168</v>
      </c>
      <c r="X600" s="196" t="str">
        <f t="shared" si="354"/>
        <v>Y</v>
      </c>
      <c r="Y600" s="376">
        <f t="shared" si="355"/>
        <v>39458432</v>
      </c>
      <c r="Z600" s="198"/>
      <c r="AA600" s="376">
        <f t="shared" si="362"/>
        <v>39458432</v>
      </c>
      <c r="AB600" s="196" t="s">
        <v>1166</v>
      </c>
      <c r="AC600" s="196" t="s">
        <v>1168</v>
      </c>
      <c r="AD600" s="275">
        <v>0.215</v>
      </c>
      <c r="AE600" s="275">
        <f>1-AD600</f>
        <v>0.78500000000000003</v>
      </c>
      <c r="AF600" s="275">
        <v>0</v>
      </c>
      <c r="AG600" s="199">
        <v>0.1598</v>
      </c>
      <c r="AH600" s="199">
        <v>0.1598</v>
      </c>
      <c r="AI600" s="377">
        <f t="shared" si="330"/>
        <v>0.1598</v>
      </c>
      <c r="AJ600" s="203">
        <v>0.5</v>
      </c>
      <c r="AK600" s="203">
        <f t="shared" si="356"/>
        <v>0.5</v>
      </c>
      <c r="AL600" s="376">
        <f t="shared" si="331"/>
        <v>33152974.566400003</v>
      </c>
      <c r="AM600" s="376">
        <f t="shared" si="332"/>
        <v>3152728.7168000001</v>
      </c>
      <c r="AN600" s="376">
        <f t="shared" si="333"/>
        <v>3152728.7168000001</v>
      </c>
      <c r="AO600" s="378" t="s">
        <v>3608</v>
      </c>
      <c r="AP600" s="379" t="s">
        <v>2810</v>
      </c>
      <c r="AQ600" s="279"/>
      <c r="AR600" s="287">
        <f t="shared" si="364"/>
        <v>263130.99459999998</v>
      </c>
      <c r="AS600" s="287">
        <f t="shared" si="365"/>
        <v>2030396.2682</v>
      </c>
      <c r="AT600" s="287">
        <f t="shared" si="366"/>
        <v>859201.45400000003</v>
      </c>
      <c r="AU600" s="287">
        <f t="shared" si="367"/>
        <v>0</v>
      </c>
      <c r="AV600" s="287">
        <f t="shared" si="368"/>
        <v>0</v>
      </c>
      <c r="AW600" s="287">
        <f t="shared" si="369"/>
        <v>0</v>
      </c>
      <c r="AX600" s="287">
        <f t="shared" si="370"/>
        <v>0</v>
      </c>
      <c r="AY600" s="287">
        <f t="shared" si="371"/>
        <v>0</v>
      </c>
      <c r="AZ600" s="287">
        <f t="shared" si="372"/>
        <v>0</v>
      </c>
      <c r="BA600" s="287">
        <f t="shared" si="373"/>
        <v>0</v>
      </c>
      <c r="BB600" s="16"/>
      <c r="BC600" s="287">
        <f t="shared" si="374"/>
        <v>263130.99459999998</v>
      </c>
      <c r="BD600" s="287">
        <f t="shared" si="375"/>
        <v>2030396.2682</v>
      </c>
      <c r="BE600" s="287">
        <f t="shared" si="376"/>
        <v>859201.45400000003</v>
      </c>
      <c r="BF600" s="287">
        <f t="shared" si="377"/>
        <v>0</v>
      </c>
      <c r="BG600" s="287">
        <f t="shared" si="378"/>
        <v>0</v>
      </c>
      <c r="BH600" s="287">
        <f t="shared" si="379"/>
        <v>0</v>
      </c>
      <c r="BI600" s="287">
        <f t="shared" si="380"/>
        <v>0</v>
      </c>
      <c r="BJ600" s="287">
        <f t="shared" si="381"/>
        <v>0</v>
      </c>
      <c r="BK600" s="287">
        <f t="shared" si="382"/>
        <v>0</v>
      </c>
      <c r="BL600" s="287">
        <f t="shared" si="383"/>
        <v>0</v>
      </c>
      <c r="BM600" s="16"/>
      <c r="BN600" s="287">
        <f t="shared" si="384"/>
        <v>3152728.7168000001</v>
      </c>
      <c r="BO600" s="287">
        <f t="shared" si="385"/>
        <v>3152728.7168000001</v>
      </c>
      <c r="BP600" s="431"/>
      <c r="BQ600" s="21"/>
      <c r="BR600" s="21"/>
      <c r="BS600" s="6" t="e">
        <v>#VALUE!</v>
      </c>
      <c r="BT600" s="194">
        <f t="shared" si="357"/>
        <v>6305457.4336000001</v>
      </c>
      <c r="BU600" s="194">
        <f t="shared" si="358"/>
        <v>3152728.7168000001</v>
      </c>
      <c r="BV600" s="194">
        <f t="shared" si="359"/>
        <v>3152728.7168000001</v>
      </c>
      <c r="BW600" s="194">
        <f t="shared" si="360"/>
        <v>0</v>
      </c>
      <c r="BX600" s="6"/>
      <c r="BY600" s="6"/>
      <c r="BZ600" s="39">
        <v>587</v>
      </c>
      <c r="CA600" s="39">
        <f t="shared" si="386"/>
        <v>2041</v>
      </c>
      <c r="CB600" s="6"/>
      <c r="CC600" s="39"/>
      <c r="CD600" s="39"/>
      <c r="CE600" s="39"/>
      <c r="CF600" s="39"/>
      <c r="CG600" s="39"/>
      <c r="CH600" s="39"/>
      <c r="CI600" s="39"/>
      <c r="CJ600" s="39"/>
      <c r="CK600" s="39"/>
    </row>
    <row r="601" spans="1:89" s="193" customFormat="1" ht="24">
      <c r="A601" s="357"/>
      <c r="B601" s="21" t="str">
        <f t="shared" si="363"/>
        <v>PTR</v>
      </c>
      <c r="C601" s="21"/>
      <c r="D601" s="432"/>
      <c r="E601" s="439" t="s">
        <v>3626</v>
      </c>
      <c r="F601" s="439"/>
      <c r="G601" s="273" t="s">
        <v>4644</v>
      </c>
      <c r="H601" s="358" t="s">
        <v>4422</v>
      </c>
      <c r="I601" s="262" t="s">
        <v>3163</v>
      </c>
      <c r="J601" s="262" t="s">
        <v>3504</v>
      </c>
      <c r="K601" s="263">
        <v>11453923</v>
      </c>
      <c r="L601" s="263">
        <v>5435677</v>
      </c>
      <c r="M601" s="263">
        <v>0</v>
      </c>
      <c r="N601" s="263">
        <v>0</v>
      </c>
      <c r="O601" s="263">
        <v>0</v>
      </c>
      <c r="P601" s="263">
        <v>0</v>
      </c>
      <c r="Q601" s="263">
        <v>0</v>
      </c>
      <c r="R601" s="263">
        <v>0</v>
      </c>
      <c r="S601" s="263">
        <v>0</v>
      </c>
      <c r="T601" s="263">
        <v>0</v>
      </c>
      <c r="U601" s="263">
        <f t="shared" si="329"/>
        <v>16889600</v>
      </c>
      <c r="V601" s="196" t="str">
        <f t="shared" si="361"/>
        <v>G/LOS/R</v>
      </c>
      <c r="W601" s="196" t="s">
        <v>1168</v>
      </c>
      <c r="X601" s="196" t="str">
        <f t="shared" si="354"/>
        <v>Y</v>
      </c>
      <c r="Y601" s="376">
        <f t="shared" ref="Y601:Y630" si="387">IF(X601="N",0,SUM(K601:T601))</f>
        <v>16889600</v>
      </c>
      <c r="Z601" s="198"/>
      <c r="AA601" s="376">
        <f t="shared" si="362"/>
        <v>16889600</v>
      </c>
      <c r="AB601" s="196" t="s">
        <v>1166</v>
      </c>
      <c r="AC601" s="196" t="s">
        <v>1168</v>
      </c>
      <c r="AD601" s="518">
        <v>0.17</v>
      </c>
      <c r="AE601" s="275">
        <v>0.2</v>
      </c>
      <c r="AF601" s="275">
        <f>1-AE601-AD601</f>
        <v>0.63</v>
      </c>
      <c r="AG601" s="199">
        <v>6.8000000000000005E-2</v>
      </c>
      <c r="AH601" s="199">
        <v>6.8000000000000005E-2</v>
      </c>
      <c r="AI601" s="377">
        <f t="shared" si="330"/>
        <v>6.8000000000000005E-2</v>
      </c>
      <c r="AJ601" s="591">
        <v>0.58823529411764708</v>
      </c>
      <c r="AK601" s="203">
        <f t="shared" si="356"/>
        <v>0.41176470588235292</v>
      </c>
      <c r="AL601" s="376">
        <f t="shared" si="331"/>
        <v>15741107.199999999</v>
      </c>
      <c r="AM601" s="376">
        <f t="shared" si="332"/>
        <v>675584</v>
      </c>
      <c r="AN601" s="376">
        <f t="shared" si="333"/>
        <v>472908.79999999999</v>
      </c>
      <c r="AO601" s="378" t="s">
        <v>3608</v>
      </c>
      <c r="AP601" s="379" t="s">
        <v>2810</v>
      </c>
      <c r="AQ601" s="279"/>
      <c r="AR601" s="287">
        <f t="shared" si="364"/>
        <v>458156.92000000004</v>
      </c>
      <c r="AS601" s="287">
        <f t="shared" si="365"/>
        <v>217427.08000000002</v>
      </c>
      <c r="AT601" s="287">
        <f t="shared" si="366"/>
        <v>0</v>
      </c>
      <c r="AU601" s="287">
        <f t="shared" si="367"/>
        <v>0</v>
      </c>
      <c r="AV601" s="287">
        <f t="shared" si="368"/>
        <v>0</v>
      </c>
      <c r="AW601" s="287">
        <f t="shared" si="369"/>
        <v>0</v>
      </c>
      <c r="AX601" s="287">
        <f t="shared" si="370"/>
        <v>0</v>
      </c>
      <c r="AY601" s="287">
        <f t="shared" si="371"/>
        <v>0</v>
      </c>
      <c r="AZ601" s="287">
        <f t="shared" si="372"/>
        <v>0</v>
      </c>
      <c r="BA601" s="287">
        <f t="shared" si="373"/>
        <v>0</v>
      </c>
      <c r="BB601" s="16"/>
      <c r="BC601" s="287">
        <f t="shared" si="374"/>
        <v>320709.84400000004</v>
      </c>
      <c r="BD601" s="287">
        <f t="shared" si="375"/>
        <v>152198.95600000001</v>
      </c>
      <c r="BE601" s="287">
        <f t="shared" si="376"/>
        <v>0</v>
      </c>
      <c r="BF601" s="287">
        <f t="shared" si="377"/>
        <v>0</v>
      </c>
      <c r="BG601" s="287">
        <f t="shared" si="378"/>
        <v>0</v>
      </c>
      <c r="BH601" s="287">
        <f t="shared" si="379"/>
        <v>0</v>
      </c>
      <c r="BI601" s="287">
        <f t="shared" si="380"/>
        <v>0</v>
      </c>
      <c r="BJ601" s="287">
        <f t="shared" si="381"/>
        <v>0</v>
      </c>
      <c r="BK601" s="287">
        <f t="shared" si="382"/>
        <v>0</v>
      </c>
      <c r="BL601" s="287">
        <f t="shared" si="383"/>
        <v>0</v>
      </c>
      <c r="BM601" s="16"/>
      <c r="BN601" s="287">
        <f t="shared" si="384"/>
        <v>675584</v>
      </c>
      <c r="BO601" s="287">
        <f t="shared" si="385"/>
        <v>472908.80000000005</v>
      </c>
      <c r="BP601" s="432"/>
      <c r="BQ601" s="21"/>
      <c r="BR601" s="21"/>
      <c r="BS601" s="6" t="e">
        <v>#VALUE!</v>
      </c>
      <c r="BT601" s="194">
        <f t="shared" si="357"/>
        <v>1148492.8</v>
      </c>
      <c r="BU601" s="194">
        <f t="shared" si="358"/>
        <v>675584</v>
      </c>
      <c r="BV601" s="194">
        <f t="shared" si="359"/>
        <v>472908.79999999999</v>
      </c>
      <c r="BW601" s="194">
        <f t="shared" si="360"/>
        <v>0</v>
      </c>
      <c r="BX601" s="6"/>
      <c r="BY601" s="6"/>
      <c r="BZ601" s="39">
        <v>588</v>
      </c>
      <c r="CA601" s="39">
        <f t="shared" si="386"/>
        <v>2038</v>
      </c>
      <c r="CB601" s="6"/>
      <c r="CC601" s="39"/>
      <c r="CD601" s="39"/>
      <c r="CE601" s="39"/>
      <c r="CF601" s="39"/>
      <c r="CG601" s="39"/>
      <c r="CH601" s="39"/>
      <c r="CI601" s="39"/>
      <c r="CJ601" s="39"/>
      <c r="CK601" s="39"/>
    </row>
    <row r="602" spans="1:89" s="193" customFormat="1" ht="24">
      <c r="A602" s="357"/>
      <c r="B602" s="21" t="str">
        <f t="shared" si="363"/>
        <v>PTR</v>
      </c>
      <c r="C602" s="21"/>
      <c r="D602" s="432"/>
      <c r="E602" s="439" t="s">
        <v>3626</v>
      </c>
      <c r="F602" s="439"/>
      <c r="G602" s="273" t="s">
        <v>4643</v>
      </c>
      <c r="H602" s="358" t="s">
        <v>4421</v>
      </c>
      <c r="I602" s="262" t="s">
        <v>3163</v>
      </c>
      <c r="J602" s="262" t="s">
        <v>3504</v>
      </c>
      <c r="K602" s="263">
        <v>0</v>
      </c>
      <c r="L602" s="263">
        <v>851657.35199999996</v>
      </c>
      <c r="M602" s="263">
        <v>975871.69272000017</v>
      </c>
      <c r="N602" s="263">
        <v>9590897.7428670004</v>
      </c>
      <c r="O602" s="263">
        <v>20906567.100915719</v>
      </c>
      <c r="P602" s="263">
        <v>18388355.400824193</v>
      </c>
      <c r="Q602" s="263">
        <v>5883489.7106730938</v>
      </c>
      <c r="R602" s="263">
        <v>0</v>
      </c>
      <c r="S602" s="263">
        <v>0</v>
      </c>
      <c r="T602" s="263">
        <v>0</v>
      </c>
      <c r="U602" s="263">
        <f t="shared" si="329"/>
        <v>56596839</v>
      </c>
      <c r="V602" s="196" t="str">
        <f t="shared" si="361"/>
        <v>G/LOS/R</v>
      </c>
      <c r="W602" s="196" t="s">
        <v>1168</v>
      </c>
      <c r="X602" s="196" t="str">
        <f t="shared" si="354"/>
        <v>Y</v>
      </c>
      <c r="Y602" s="376">
        <f t="shared" si="387"/>
        <v>56596839</v>
      </c>
      <c r="Z602" s="198"/>
      <c r="AA602" s="376">
        <f t="shared" si="362"/>
        <v>56596839</v>
      </c>
      <c r="AB602" s="196" t="s">
        <v>1166</v>
      </c>
      <c r="AC602" s="196" t="s">
        <v>1168</v>
      </c>
      <c r="AD602" s="275">
        <v>0.17</v>
      </c>
      <c r="AE602" s="275">
        <v>0.2</v>
      </c>
      <c r="AF602" s="275">
        <v>0.63</v>
      </c>
      <c r="AG602" s="199">
        <v>6.8000000000000005E-2</v>
      </c>
      <c r="AH602" s="199">
        <v>6.8000000000000005E-2</v>
      </c>
      <c r="AI602" s="377">
        <f t="shared" si="330"/>
        <v>6.8000000000000005E-2</v>
      </c>
      <c r="AJ602" s="591">
        <v>0.58823529411764708</v>
      </c>
      <c r="AK602" s="203">
        <f t="shared" si="356"/>
        <v>0.41176470588235292</v>
      </c>
      <c r="AL602" s="376">
        <f t="shared" si="331"/>
        <v>52748253.947999999</v>
      </c>
      <c r="AM602" s="376">
        <f t="shared" si="332"/>
        <v>2263873.56</v>
      </c>
      <c r="AN602" s="376">
        <f t="shared" si="333"/>
        <v>1584711.4920000001</v>
      </c>
      <c r="AO602" s="378" t="s">
        <v>3608</v>
      </c>
      <c r="AP602" s="379" t="s">
        <v>2810</v>
      </c>
      <c r="AQ602" s="279"/>
      <c r="AR602" s="287">
        <f t="shared" si="364"/>
        <v>0</v>
      </c>
      <c r="AS602" s="287">
        <f t="shared" si="365"/>
        <v>34066.294080000007</v>
      </c>
      <c r="AT602" s="287">
        <f t="shared" si="366"/>
        <v>39034.867708800011</v>
      </c>
      <c r="AU602" s="287">
        <f t="shared" si="367"/>
        <v>383635.90971468005</v>
      </c>
      <c r="AV602" s="287">
        <f t="shared" si="368"/>
        <v>836262.68403662881</v>
      </c>
      <c r="AW602" s="287">
        <f t="shared" si="369"/>
        <v>735534.21603296779</v>
      </c>
      <c r="AX602" s="287">
        <f t="shared" si="370"/>
        <v>235339.58842692376</v>
      </c>
      <c r="AY602" s="287">
        <f t="shared" si="371"/>
        <v>0</v>
      </c>
      <c r="AZ602" s="287">
        <f t="shared" si="372"/>
        <v>0</v>
      </c>
      <c r="BA602" s="287">
        <f t="shared" si="373"/>
        <v>0</v>
      </c>
      <c r="BB602" s="16"/>
      <c r="BC602" s="287">
        <f t="shared" si="374"/>
        <v>0</v>
      </c>
      <c r="BD602" s="287">
        <f t="shared" si="375"/>
        <v>23846.405856000001</v>
      </c>
      <c r="BE602" s="287">
        <f t="shared" si="376"/>
        <v>27324.407396160008</v>
      </c>
      <c r="BF602" s="287">
        <f t="shared" si="377"/>
        <v>268545.136800276</v>
      </c>
      <c r="BG602" s="287">
        <f t="shared" si="378"/>
        <v>585383.87882564007</v>
      </c>
      <c r="BH602" s="287">
        <f t="shared" si="379"/>
        <v>514873.95122307737</v>
      </c>
      <c r="BI602" s="287">
        <f t="shared" si="380"/>
        <v>164737.71189884664</v>
      </c>
      <c r="BJ602" s="287">
        <f t="shared" si="381"/>
        <v>0</v>
      </c>
      <c r="BK602" s="287">
        <f t="shared" si="382"/>
        <v>0</v>
      </c>
      <c r="BL602" s="287">
        <f t="shared" si="383"/>
        <v>0</v>
      </c>
      <c r="BM602" s="16"/>
      <c r="BN602" s="287">
        <f t="shared" si="384"/>
        <v>2263873.5600000005</v>
      </c>
      <c r="BO602" s="287">
        <f t="shared" si="385"/>
        <v>1584711.4920000001</v>
      </c>
      <c r="BP602" s="432"/>
      <c r="BQ602" s="21"/>
      <c r="BR602" s="21"/>
      <c r="BS602" s="6" t="e">
        <v>#VALUE!</v>
      </c>
      <c r="BT602" s="194">
        <f t="shared" ref="BT602:BT631" si="388">+BN602+BO602</f>
        <v>3848585.0520000006</v>
      </c>
      <c r="BU602" s="194">
        <f t="shared" ref="BU602:BU631" si="389">+AM602</f>
        <v>2263873.56</v>
      </c>
      <c r="BV602" s="194">
        <f t="shared" ref="BV602:BV631" si="390">+AN602</f>
        <v>1584711.4920000001</v>
      </c>
      <c r="BW602" s="194">
        <f t="shared" ref="BW602:BW631" si="391">+BT602-BU602-BV602</f>
        <v>0</v>
      </c>
      <c r="BX602" s="6"/>
      <c r="BY602" s="6"/>
      <c r="BZ602" s="39">
        <v>589</v>
      </c>
      <c r="CA602" s="39">
        <f t="shared" si="386"/>
        <v>2038</v>
      </c>
      <c r="CB602" s="6"/>
      <c r="CC602" s="39"/>
      <c r="CD602" s="39"/>
      <c r="CE602" s="39"/>
      <c r="CF602" s="39"/>
      <c r="CG602" s="39"/>
      <c r="CH602" s="39"/>
      <c r="CI602" s="39"/>
      <c r="CJ602" s="39"/>
      <c r="CK602" s="39"/>
    </row>
    <row r="603" spans="1:89" s="193" customFormat="1" ht="24">
      <c r="A603" s="357"/>
      <c r="B603" s="21" t="str">
        <f t="shared" si="363"/>
        <v>PTR</v>
      </c>
      <c r="C603" s="21"/>
      <c r="D603" s="432"/>
      <c r="E603" s="439" t="s">
        <v>3626</v>
      </c>
      <c r="F603" s="439"/>
      <c r="G603" s="273" t="s">
        <v>4645</v>
      </c>
      <c r="H603" s="358" t="s">
        <v>4445</v>
      </c>
      <c r="I603" s="262" t="s">
        <v>3157</v>
      </c>
      <c r="J603" s="262" t="s">
        <v>3504</v>
      </c>
      <c r="K603" s="263">
        <v>6383000</v>
      </c>
      <c r="L603" s="263">
        <v>117029000</v>
      </c>
      <c r="M603" s="263">
        <v>8955000</v>
      </c>
      <c r="N603" s="263">
        <v>0</v>
      </c>
      <c r="O603" s="263">
        <v>0</v>
      </c>
      <c r="P603" s="263">
        <v>0</v>
      </c>
      <c r="Q603" s="263">
        <v>0</v>
      </c>
      <c r="R603" s="263">
        <v>0</v>
      </c>
      <c r="S603" s="263">
        <v>0</v>
      </c>
      <c r="T603" s="263">
        <v>0</v>
      </c>
      <c r="U603" s="263">
        <f t="shared" ref="U603:U666" si="392">SUM(K603:T603)</f>
        <v>132367000</v>
      </c>
      <c r="V603" s="196" t="str">
        <f t="shared" si="361"/>
        <v>G/LOS</v>
      </c>
      <c r="W603" s="196" t="s">
        <v>1168</v>
      </c>
      <c r="X603" s="196" t="str">
        <f t="shared" si="354"/>
        <v>Y</v>
      </c>
      <c r="Y603" s="376">
        <f t="shared" si="387"/>
        <v>132367000</v>
      </c>
      <c r="Z603" s="198"/>
      <c r="AA603" s="376">
        <f t="shared" si="362"/>
        <v>132367000</v>
      </c>
      <c r="AB603" s="196" t="s">
        <v>1166</v>
      </c>
      <c r="AC603" s="196" t="s">
        <v>1168</v>
      </c>
      <c r="AD603" s="275">
        <v>0.215</v>
      </c>
      <c r="AE603" s="275">
        <f t="shared" ref="AE603:AE609" si="393">1-AD603</f>
        <v>0.78500000000000003</v>
      </c>
      <c r="AF603" s="275">
        <v>0</v>
      </c>
      <c r="AG603" s="199">
        <v>0.1598</v>
      </c>
      <c r="AH603" s="199">
        <v>0.1598</v>
      </c>
      <c r="AI603" s="377">
        <f t="shared" si="330"/>
        <v>0.1598</v>
      </c>
      <c r="AJ603" s="203">
        <v>1</v>
      </c>
      <c r="AK603" s="203">
        <f t="shared" si="356"/>
        <v>0</v>
      </c>
      <c r="AL603" s="376">
        <f t="shared" si="331"/>
        <v>111214753.40000001</v>
      </c>
      <c r="AM603" s="376">
        <f t="shared" si="332"/>
        <v>21152246.600000001</v>
      </c>
      <c r="AN603" s="376">
        <f t="shared" si="333"/>
        <v>0</v>
      </c>
      <c r="AO603" s="378" t="s">
        <v>3608</v>
      </c>
      <c r="AP603" s="379" t="s">
        <v>2810</v>
      </c>
      <c r="AQ603" s="279"/>
      <c r="AR603" s="287">
        <f t="shared" si="364"/>
        <v>1020003.4</v>
      </c>
      <c r="AS603" s="287">
        <f t="shared" si="365"/>
        <v>18701234.199999999</v>
      </c>
      <c r="AT603" s="287">
        <f t="shared" si="366"/>
        <v>1431009</v>
      </c>
      <c r="AU603" s="287">
        <f t="shared" si="367"/>
        <v>0</v>
      </c>
      <c r="AV603" s="287">
        <f t="shared" si="368"/>
        <v>0</v>
      </c>
      <c r="AW603" s="287">
        <f t="shared" si="369"/>
        <v>0</v>
      </c>
      <c r="AX603" s="287">
        <f t="shared" si="370"/>
        <v>0</v>
      </c>
      <c r="AY603" s="287">
        <f t="shared" si="371"/>
        <v>0</v>
      </c>
      <c r="AZ603" s="287">
        <f t="shared" si="372"/>
        <v>0</v>
      </c>
      <c r="BA603" s="287">
        <f t="shared" si="373"/>
        <v>0</v>
      </c>
      <c r="BB603" s="16"/>
      <c r="BC603" s="287">
        <f t="shared" si="374"/>
        <v>0</v>
      </c>
      <c r="BD603" s="287">
        <f t="shared" si="375"/>
        <v>0</v>
      </c>
      <c r="BE603" s="287">
        <f t="shared" si="376"/>
        <v>0</v>
      </c>
      <c r="BF603" s="287">
        <f t="shared" si="377"/>
        <v>0</v>
      </c>
      <c r="BG603" s="287">
        <f t="shared" si="378"/>
        <v>0</v>
      </c>
      <c r="BH603" s="287">
        <f t="shared" si="379"/>
        <v>0</v>
      </c>
      <c r="BI603" s="287">
        <f t="shared" si="380"/>
        <v>0</v>
      </c>
      <c r="BJ603" s="287">
        <f t="shared" si="381"/>
        <v>0</v>
      </c>
      <c r="BK603" s="287">
        <f t="shared" si="382"/>
        <v>0</v>
      </c>
      <c r="BL603" s="287">
        <f t="shared" si="383"/>
        <v>0</v>
      </c>
      <c r="BM603" s="16"/>
      <c r="BN603" s="287">
        <f t="shared" si="384"/>
        <v>21152246.599999998</v>
      </c>
      <c r="BO603" s="287">
        <f t="shared" si="385"/>
        <v>0</v>
      </c>
      <c r="BP603" s="432"/>
      <c r="BQ603" s="21"/>
      <c r="BR603" s="21"/>
      <c r="BS603" s="6"/>
      <c r="BT603" s="194">
        <f t="shared" si="388"/>
        <v>21152246.599999998</v>
      </c>
      <c r="BU603" s="194">
        <f t="shared" si="389"/>
        <v>21152246.600000001</v>
      </c>
      <c r="BV603" s="194">
        <f t="shared" si="390"/>
        <v>0</v>
      </c>
      <c r="BW603" s="194">
        <f t="shared" si="391"/>
        <v>-3.7252902984619141E-9</v>
      </c>
      <c r="BX603" s="6"/>
      <c r="BY603" s="6"/>
      <c r="BZ603" s="39">
        <v>590</v>
      </c>
      <c r="CA603" s="39">
        <f t="shared" si="386"/>
        <v>2031</v>
      </c>
      <c r="CB603" s="6"/>
      <c r="CC603" s="39"/>
      <c r="CD603" s="39"/>
      <c r="CE603" s="39"/>
      <c r="CF603" s="39"/>
      <c r="CG603" s="39"/>
      <c r="CH603" s="39"/>
      <c r="CI603" s="39"/>
      <c r="CJ603" s="39"/>
      <c r="CK603" s="39"/>
    </row>
    <row r="604" spans="1:89" s="193" customFormat="1" ht="24">
      <c r="A604" s="357"/>
      <c r="B604" s="21" t="str">
        <f t="shared" si="363"/>
        <v>PTR</v>
      </c>
      <c r="C604" s="21"/>
      <c r="D604" s="432"/>
      <c r="E604" s="439" t="s">
        <v>3626</v>
      </c>
      <c r="F604" s="439"/>
      <c r="G604" s="273" t="s">
        <v>4645</v>
      </c>
      <c r="H604" s="358" t="s">
        <v>4445</v>
      </c>
      <c r="I604" s="262" t="s">
        <v>3904</v>
      </c>
      <c r="J604" s="262" t="s">
        <v>3504</v>
      </c>
      <c r="K604" s="263">
        <v>-3255330</v>
      </c>
      <c r="L604" s="263">
        <v>-59684790</v>
      </c>
      <c r="M604" s="263">
        <v>-4567050</v>
      </c>
      <c r="N604" s="263">
        <v>0</v>
      </c>
      <c r="O604" s="263">
        <v>0</v>
      </c>
      <c r="P604" s="263">
        <v>0</v>
      </c>
      <c r="Q604" s="263">
        <v>0</v>
      </c>
      <c r="R604" s="263">
        <v>0</v>
      </c>
      <c r="S604" s="263">
        <v>0</v>
      </c>
      <c r="T604" s="263">
        <v>0</v>
      </c>
      <c r="U604" s="263">
        <f t="shared" si="392"/>
        <v>-67507170</v>
      </c>
      <c r="V604" s="196" t="str">
        <f t="shared" si="361"/>
        <v>G/LOS</v>
      </c>
      <c r="W604" s="196" t="s">
        <v>1168</v>
      </c>
      <c r="X604" s="196" t="str">
        <f t="shared" si="354"/>
        <v>Y</v>
      </c>
      <c r="Y604" s="376">
        <f t="shared" si="387"/>
        <v>-67507170</v>
      </c>
      <c r="Z604" s="198"/>
      <c r="AA604" s="376">
        <f t="shared" si="362"/>
        <v>-67507170</v>
      </c>
      <c r="AB604" s="196" t="s">
        <v>1166</v>
      </c>
      <c r="AC604" s="196" t="s">
        <v>1168</v>
      </c>
      <c r="AD604" s="518">
        <v>0.215</v>
      </c>
      <c r="AE604" s="275">
        <f t="shared" si="393"/>
        <v>0.78500000000000003</v>
      </c>
      <c r="AF604" s="275">
        <v>0</v>
      </c>
      <c r="AG604" s="199">
        <v>0.1598</v>
      </c>
      <c r="AH604" s="199">
        <v>0.1598</v>
      </c>
      <c r="AI604" s="377">
        <f t="shared" si="330"/>
        <v>0.1598</v>
      </c>
      <c r="AJ604" s="203">
        <v>1</v>
      </c>
      <c r="AK604" s="203">
        <f t="shared" si="356"/>
        <v>0</v>
      </c>
      <c r="AL604" s="376">
        <f t="shared" si="331"/>
        <v>-56719524.234000005</v>
      </c>
      <c r="AM604" s="376">
        <f t="shared" si="332"/>
        <v>-10787645.766000001</v>
      </c>
      <c r="AN604" s="376">
        <f t="shared" si="333"/>
        <v>0</v>
      </c>
      <c r="AO604" s="378" t="s">
        <v>3608</v>
      </c>
      <c r="AP604" s="379" t="s">
        <v>2810</v>
      </c>
      <c r="AQ604" s="279"/>
      <c r="AR604" s="287">
        <f t="shared" si="364"/>
        <v>-520201.734</v>
      </c>
      <c r="AS604" s="287">
        <f t="shared" si="365"/>
        <v>-9537629.4419999998</v>
      </c>
      <c r="AT604" s="287">
        <f t="shared" si="366"/>
        <v>-729814.59</v>
      </c>
      <c r="AU604" s="287">
        <f t="shared" si="367"/>
        <v>0</v>
      </c>
      <c r="AV604" s="287">
        <f t="shared" si="368"/>
        <v>0</v>
      </c>
      <c r="AW604" s="287">
        <f t="shared" si="369"/>
        <v>0</v>
      </c>
      <c r="AX604" s="287">
        <f t="shared" si="370"/>
        <v>0</v>
      </c>
      <c r="AY604" s="287">
        <f t="shared" si="371"/>
        <v>0</v>
      </c>
      <c r="AZ604" s="287">
        <f t="shared" si="372"/>
        <v>0</v>
      </c>
      <c r="BA604" s="287">
        <f t="shared" si="373"/>
        <v>0</v>
      </c>
      <c r="BB604" s="16"/>
      <c r="BC604" s="287">
        <f t="shared" si="374"/>
        <v>0</v>
      </c>
      <c r="BD604" s="287">
        <f t="shared" si="375"/>
        <v>0</v>
      </c>
      <c r="BE604" s="287">
        <f t="shared" si="376"/>
        <v>0</v>
      </c>
      <c r="BF604" s="287">
        <f t="shared" si="377"/>
        <v>0</v>
      </c>
      <c r="BG604" s="287">
        <f t="shared" si="378"/>
        <v>0</v>
      </c>
      <c r="BH604" s="287">
        <f t="shared" si="379"/>
        <v>0</v>
      </c>
      <c r="BI604" s="287">
        <f t="shared" si="380"/>
        <v>0</v>
      </c>
      <c r="BJ604" s="287">
        <f t="shared" si="381"/>
        <v>0</v>
      </c>
      <c r="BK604" s="287">
        <f t="shared" si="382"/>
        <v>0</v>
      </c>
      <c r="BL604" s="287">
        <f t="shared" si="383"/>
        <v>0</v>
      </c>
      <c r="BM604" s="16"/>
      <c r="BN604" s="287">
        <f t="shared" si="384"/>
        <v>-10787645.765999999</v>
      </c>
      <c r="BO604" s="287">
        <f t="shared" si="385"/>
        <v>0</v>
      </c>
      <c r="BP604" s="432"/>
      <c r="BQ604" s="21"/>
      <c r="BR604" s="21"/>
      <c r="BS604" s="6"/>
      <c r="BT604" s="194">
        <f t="shared" si="388"/>
        <v>-10787645.765999999</v>
      </c>
      <c r="BU604" s="194">
        <f t="shared" si="389"/>
        <v>-10787645.766000001</v>
      </c>
      <c r="BV604" s="194">
        <f t="shared" si="390"/>
        <v>0</v>
      </c>
      <c r="BW604" s="194">
        <f t="shared" si="391"/>
        <v>1.862645149230957E-9</v>
      </c>
      <c r="BX604" s="6"/>
      <c r="BY604" s="6"/>
      <c r="BZ604" s="39">
        <v>591</v>
      </c>
      <c r="CA604" s="39">
        <f t="shared" si="386"/>
        <v>2031</v>
      </c>
      <c r="CB604" s="6"/>
      <c r="CC604" s="39"/>
      <c r="CD604" s="39"/>
      <c r="CE604" s="39"/>
      <c r="CF604" s="39"/>
      <c r="CG604" s="39"/>
      <c r="CH604" s="39"/>
      <c r="CI604" s="39"/>
      <c r="CJ604" s="39"/>
      <c r="CK604" s="39"/>
    </row>
    <row r="605" spans="1:89" s="193" customFormat="1" ht="24">
      <c r="A605" s="357"/>
      <c r="B605" s="21" t="str">
        <f t="shared" si="363"/>
        <v>PTR</v>
      </c>
      <c r="C605" s="21"/>
      <c r="D605" s="432"/>
      <c r="E605" s="439" t="s">
        <v>3626</v>
      </c>
      <c r="F605" s="439"/>
      <c r="G605" s="273" t="s">
        <v>4652</v>
      </c>
      <c r="H605" s="358" t="s">
        <v>4446</v>
      </c>
      <c r="I605" s="262" t="s">
        <v>3157</v>
      </c>
      <c r="J605" s="262" t="s">
        <v>3504</v>
      </c>
      <c r="K605" s="263">
        <v>0</v>
      </c>
      <c r="L605" s="263">
        <v>0</v>
      </c>
      <c r="M605" s="263">
        <v>0</v>
      </c>
      <c r="N605" s="263">
        <v>0</v>
      </c>
      <c r="O605" s="263">
        <v>24678874.746800002</v>
      </c>
      <c r="P605" s="263">
        <v>39713031.966464996</v>
      </c>
      <c r="Q605" s="263">
        <v>58890217.968207739</v>
      </c>
      <c r="R605" s="263">
        <v>14923070.31852727</v>
      </c>
      <c r="S605" s="263">
        <v>0</v>
      </c>
      <c r="T605" s="263">
        <v>0</v>
      </c>
      <c r="U605" s="263">
        <f t="shared" si="392"/>
        <v>138205195.00000003</v>
      </c>
      <c r="V605" s="196" t="str">
        <f t="shared" si="361"/>
        <v>G/LOS</v>
      </c>
      <c r="W605" s="196" t="s">
        <v>1168</v>
      </c>
      <c r="X605" s="196" t="str">
        <f t="shared" si="354"/>
        <v>Y</v>
      </c>
      <c r="Y605" s="376">
        <f t="shared" si="387"/>
        <v>138205195.00000003</v>
      </c>
      <c r="Z605" s="198"/>
      <c r="AA605" s="376">
        <f t="shared" si="362"/>
        <v>138205195.00000003</v>
      </c>
      <c r="AB605" s="196" t="s">
        <v>1166</v>
      </c>
      <c r="AC605" s="196" t="s">
        <v>1168</v>
      </c>
      <c r="AD605" s="275">
        <v>0.215</v>
      </c>
      <c r="AE605" s="275">
        <f t="shared" si="393"/>
        <v>0.78500000000000003</v>
      </c>
      <c r="AF605" s="275">
        <v>0</v>
      </c>
      <c r="AG605" s="199">
        <v>0.1598</v>
      </c>
      <c r="AH605" s="199">
        <v>0.1598</v>
      </c>
      <c r="AI605" s="377">
        <f t="shared" ref="AI605:AI668" si="394">(AG605+AH605)/2</f>
        <v>0.1598</v>
      </c>
      <c r="AJ605" s="203">
        <v>0.5</v>
      </c>
      <c r="AK605" s="203">
        <f t="shared" si="356"/>
        <v>0.5</v>
      </c>
      <c r="AL605" s="376">
        <f t="shared" ref="AL605:AL668" si="395">(100%-AI605)*AA605</f>
        <v>116120004.83900003</v>
      </c>
      <c r="AM605" s="376">
        <f t="shared" ref="AM605:AM668" si="396">AA605*AI605*AJ605</f>
        <v>11042595.080500003</v>
      </c>
      <c r="AN605" s="376">
        <f t="shared" ref="AN605:AN668" si="397">AA605*AI605*AK605</f>
        <v>11042595.080500003</v>
      </c>
      <c r="AO605" s="378" t="s">
        <v>3608</v>
      </c>
      <c r="AP605" s="379" t="s">
        <v>2810</v>
      </c>
      <c r="AQ605" s="279"/>
      <c r="AR605" s="287">
        <f t="shared" si="364"/>
        <v>0</v>
      </c>
      <c r="AS605" s="287">
        <f t="shared" si="365"/>
        <v>0</v>
      </c>
      <c r="AT605" s="287">
        <f t="shared" si="366"/>
        <v>0</v>
      </c>
      <c r="AU605" s="287">
        <f t="shared" si="367"/>
        <v>0</v>
      </c>
      <c r="AV605" s="287">
        <f t="shared" si="368"/>
        <v>1971842.09226932</v>
      </c>
      <c r="AW605" s="287">
        <f t="shared" si="369"/>
        <v>3173071.2541205534</v>
      </c>
      <c r="AX605" s="287">
        <f t="shared" si="370"/>
        <v>4705328.4156597983</v>
      </c>
      <c r="AY605" s="287">
        <f t="shared" si="371"/>
        <v>1192353.3184503289</v>
      </c>
      <c r="AZ605" s="287">
        <f t="shared" si="372"/>
        <v>0</v>
      </c>
      <c r="BA605" s="287">
        <f t="shared" si="373"/>
        <v>0</v>
      </c>
      <c r="BB605" s="16"/>
      <c r="BC605" s="287">
        <f t="shared" si="374"/>
        <v>0</v>
      </c>
      <c r="BD605" s="287">
        <f t="shared" si="375"/>
        <v>0</v>
      </c>
      <c r="BE605" s="287">
        <f t="shared" si="376"/>
        <v>0</v>
      </c>
      <c r="BF605" s="287">
        <f t="shared" si="377"/>
        <v>0</v>
      </c>
      <c r="BG605" s="287">
        <f t="shared" si="378"/>
        <v>1971842.09226932</v>
      </c>
      <c r="BH605" s="287">
        <f t="shared" si="379"/>
        <v>3173071.2541205534</v>
      </c>
      <c r="BI605" s="287">
        <f t="shared" si="380"/>
        <v>4705328.4156597983</v>
      </c>
      <c r="BJ605" s="287">
        <f t="shared" si="381"/>
        <v>1192353.3184503289</v>
      </c>
      <c r="BK605" s="287">
        <f t="shared" si="382"/>
        <v>0</v>
      </c>
      <c r="BL605" s="287">
        <f t="shared" si="383"/>
        <v>0</v>
      </c>
      <c r="BM605" s="16"/>
      <c r="BN605" s="287">
        <f t="shared" si="384"/>
        <v>11042595.080499999</v>
      </c>
      <c r="BO605" s="287">
        <f t="shared" si="385"/>
        <v>11042595.080499999</v>
      </c>
      <c r="BP605" s="432"/>
      <c r="BQ605" s="21"/>
      <c r="BR605" s="21"/>
      <c r="BS605" s="6"/>
      <c r="BT605" s="194">
        <f t="shared" si="388"/>
        <v>22085190.160999998</v>
      </c>
      <c r="BU605" s="194">
        <f t="shared" si="389"/>
        <v>11042595.080500003</v>
      </c>
      <c r="BV605" s="194">
        <f t="shared" si="390"/>
        <v>11042595.080500003</v>
      </c>
      <c r="BW605" s="194">
        <f t="shared" si="391"/>
        <v>0</v>
      </c>
      <c r="BX605" s="6"/>
      <c r="BY605" s="6"/>
      <c r="BZ605" s="39">
        <v>592</v>
      </c>
      <c r="CA605" s="39">
        <f t="shared" si="386"/>
        <v>2041</v>
      </c>
      <c r="CB605" s="6"/>
      <c r="CC605" s="39"/>
      <c r="CD605" s="39"/>
      <c r="CE605" s="39"/>
      <c r="CF605" s="39"/>
      <c r="CG605" s="39"/>
      <c r="CH605" s="39"/>
      <c r="CI605" s="39"/>
      <c r="CJ605" s="39"/>
      <c r="CK605" s="39"/>
    </row>
    <row r="606" spans="1:89" s="193" customFormat="1" ht="24">
      <c r="A606" s="357"/>
      <c r="B606" s="21" t="str">
        <f t="shared" si="363"/>
        <v>PTR</v>
      </c>
      <c r="C606" s="21"/>
      <c r="D606" s="432"/>
      <c r="E606" s="439" t="s">
        <v>3626</v>
      </c>
      <c r="F606" s="439"/>
      <c r="G606" s="273" t="s">
        <v>3105</v>
      </c>
      <c r="H606" s="358" t="s">
        <v>4429</v>
      </c>
      <c r="I606" s="262" t="s">
        <v>3159</v>
      </c>
      <c r="J606" s="262" t="s">
        <v>3504</v>
      </c>
      <c r="K606" s="263">
        <v>100000</v>
      </c>
      <c r="L606" s="263">
        <v>700000</v>
      </c>
      <c r="M606" s="263">
        <v>7100000</v>
      </c>
      <c r="N606" s="263">
        <v>7367396</v>
      </c>
      <c r="O606" s="263">
        <v>0</v>
      </c>
      <c r="P606" s="263">
        <v>0</v>
      </c>
      <c r="Q606" s="263">
        <v>0</v>
      </c>
      <c r="R606" s="263">
        <v>0</v>
      </c>
      <c r="S606" s="263">
        <v>0</v>
      </c>
      <c r="T606" s="263">
        <v>0</v>
      </c>
      <c r="U606" s="263">
        <f t="shared" si="392"/>
        <v>15267396</v>
      </c>
      <c r="V606" s="196" t="str">
        <f t="shared" si="361"/>
        <v>G/LOS</v>
      </c>
      <c r="W606" s="196" t="s">
        <v>1168</v>
      </c>
      <c r="X606" s="196" t="str">
        <f t="shared" si="354"/>
        <v>Y</v>
      </c>
      <c r="Y606" s="376">
        <f t="shared" si="387"/>
        <v>15267396</v>
      </c>
      <c r="Z606" s="198"/>
      <c r="AA606" s="376">
        <f t="shared" si="362"/>
        <v>15267396</v>
      </c>
      <c r="AB606" s="196" t="s">
        <v>1166</v>
      </c>
      <c r="AC606" s="196" t="s">
        <v>1168</v>
      </c>
      <c r="AD606" s="275">
        <v>0.215</v>
      </c>
      <c r="AE606" s="275">
        <f t="shared" si="393"/>
        <v>0.78500000000000003</v>
      </c>
      <c r="AF606" s="275">
        <v>0</v>
      </c>
      <c r="AG606" s="199">
        <v>0.1598</v>
      </c>
      <c r="AH606" s="199">
        <v>0.1598</v>
      </c>
      <c r="AI606" s="377">
        <f t="shared" si="394"/>
        <v>0.1598</v>
      </c>
      <c r="AJ606" s="203">
        <v>0.5</v>
      </c>
      <c r="AK606" s="203">
        <f t="shared" si="356"/>
        <v>0.5</v>
      </c>
      <c r="AL606" s="376">
        <f t="shared" si="395"/>
        <v>12827666.119200001</v>
      </c>
      <c r="AM606" s="376">
        <f t="shared" si="396"/>
        <v>1219864.9404</v>
      </c>
      <c r="AN606" s="376">
        <f t="shared" si="397"/>
        <v>1219864.9404</v>
      </c>
      <c r="AO606" s="378" t="s">
        <v>3608</v>
      </c>
      <c r="AP606" s="379" t="s">
        <v>2810</v>
      </c>
      <c r="AQ606" s="279"/>
      <c r="AR606" s="287">
        <f t="shared" si="364"/>
        <v>7990</v>
      </c>
      <c r="AS606" s="287">
        <f t="shared" si="365"/>
        <v>55930</v>
      </c>
      <c r="AT606" s="287">
        <f t="shared" si="366"/>
        <v>567290</v>
      </c>
      <c r="AU606" s="287">
        <f t="shared" si="367"/>
        <v>588654.94039999996</v>
      </c>
      <c r="AV606" s="287">
        <f t="shared" si="368"/>
        <v>0</v>
      </c>
      <c r="AW606" s="287">
        <f t="shared" si="369"/>
        <v>0</v>
      </c>
      <c r="AX606" s="287">
        <f t="shared" si="370"/>
        <v>0</v>
      </c>
      <c r="AY606" s="287">
        <f t="shared" si="371"/>
        <v>0</v>
      </c>
      <c r="AZ606" s="287">
        <f t="shared" si="372"/>
        <v>0</v>
      </c>
      <c r="BA606" s="287">
        <f t="shared" si="373"/>
        <v>0</v>
      </c>
      <c r="BB606" s="16"/>
      <c r="BC606" s="287">
        <f t="shared" si="374"/>
        <v>7990</v>
      </c>
      <c r="BD606" s="287">
        <f t="shared" si="375"/>
        <v>55930</v>
      </c>
      <c r="BE606" s="287">
        <f t="shared" si="376"/>
        <v>567290</v>
      </c>
      <c r="BF606" s="287">
        <f t="shared" si="377"/>
        <v>588654.94039999996</v>
      </c>
      <c r="BG606" s="287">
        <f t="shared" si="378"/>
        <v>0</v>
      </c>
      <c r="BH606" s="287">
        <f t="shared" si="379"/>
        <v>0</v>
      </c>
      <c r="BI606" s="287">
        <f t="shared" si="380"/>
        <v>0</v>
      </c>
      <c r="BJ606" s="287">
        <f t="shared" si="381"/>
        <v>0</v>
      </c>
      <c r="BK606" s="287">
        <f t="shared" si="382"/>
        <v>0</v>
      </c>
      <c r="BL606" s="287">
        <f t="shared" si="383"/>
        <v>0</v>
      </c>
      <c r="BM606" s="16"/>
      <c r="BN606" s="287">
        <f t="shared" si="384"/>
        <v>1219864.9404</v>
      </c>
      <c r="BO606" s="287">
        <f t="shared" si="385"/>
        <v>1219864.9404</v>
      </c>
      <c r="BP606" s="432">
        <f>BN606-AM606</f>
        <v>0</v>
      </c>
      <c r="BQ606" s="21"/>
      <c r="BR606" s="21"/>
      <c r="BS606" s="6" t="e">
        <v>#VALUE!</v>
      </c>
      <c r="BT606" s="194">
        <f t="shared" si="388"/>
        <v>2439729.8807999999</v>
      </c>
      <c r="BU606" s="194">
        <f t="shared" si="389"/>
        <v>1219864.9404</v>
      </c>
      <c r="BV606" s="194">
        <f t="shared" si="390"/>
        <v>1219864.9404</v>
      </c>
      <c r="BW606" s="194">
        <f t="shared" si="391"/>
        <v>0</v>
      </c>
      <c r="BX606" s="6"/>
      <c r="BY606" s="6"/>
      <c r="BZ606" s="39">
        <v>593</v>
      </c>
      <c r="CA606" s="39">
        <f t="shared" si="386"/>
        <v>2041</v>
      </c>
      <c r="CB606" s="6"/>
      <c r="CC606" s="39"/>
      <c r="CD606" s="39"/>
      <c r="CE606" s="39"/>
      <c r="CF606" s="39"/>
      <c r="CG606" s="39"/>
      <c r="CH606" s="39"/>
      <c r="CI606" s="39"/>
      <c r="CJ606" s="39"/>
      <c r="CK606" s="39"/>
    </row>
    <row r="607" spans="1:89" s="193" customFormat="1" ht="96">
      <c r="A607" s="357"/>
      <c r="B607" s="21" t="str">
        <f t="shared" si="363"/>
        <v>PTR</v>
      </c>
      <c r="C607" s="21"/>
      <c r="D607" s="432"/>
      <c r="E607" s="439" t="s">
        <v>3626</v>
      </c>
      <c r="F607" s="439"/>
      <c r="G607" s="273" t="s">
        <v>4648</v>
      </c>
      <c r="H607" s="358" t="s">
        <v>4426</v>
      </c>
      <c r="I607" s="262" t="s">
        <v>3159</v>
      </c>
      <c r="J607" s="262" t="s">
        <v>3504</v>
      </c>
      <c r="K607" s="263">
        <v>7200000</v>
      </c>
      <c r="L607" s="263">
        <v>8190000</v>
      </c>
      <c r="M607" s="263">
        <v>10332900</v>
      </c>
      <c r="N607" s="263">
        <v>15482846.25</v>
      </c>
      <c r="O607" s="263">
        <v>15082644.149999999</v>
      </c>
      <c r="P607" s="263">
        <v>22706603.91</v>
      </c>
      <c r="Q607" s="263">
        <v>23039701.957800001</v>
      </c>
      <c r="R607" s="263">
        <v>21494695.404437996</v>
      </c>
      <c r="S607" s="263">
        <v>30913253.578263421</v>
      </c>
      <c r="T607" s="263">
        <v>25557354.74949858</v>
      </c>
      <c r="U607" s="263">
        <f t="shared" si="392"/>
        <v>180000000</v>
      </c>
      <c r="V607" s="196" t="str">
        <f t="shared" si="361"/>
        <v>G/LOS</v>
      </c>
      <c r="W607" s="196" t="s">
        <v>1168</v>
      </c>
      <c r="X607" s="196" t="str">
        <f t="shared" si="354"/>
        <v>Y</v>
      </c>
      <c r="Y607" s="376">
        <f t="shared" si="387"/>
        <v>180000000</v>
      </c>
      <c r="Z607" s="198"/>
      <c r="AA607" s="376">
        <f t="shared" si="362"/>
        <v>180000000</v>
      </c>
      <c r="AB607" s="196" t="s">
        <v>1166</v>
      </c>
      <c r="AC607" s="196" t="s">
        <v>1168</v>
      </c>
      <c r="AD607" s="518">
        <v>0.215</v>
      </c>
      <c r="AE607" s="275">
        <f t="shared" si="393"/>
        <v>0.78500000000000003</v>
      </c>
      <c r="AF607" s="275">
        <v>0</v>
      </c>
      <c r="AG607" s="199">
        <v>0.1598</v>
      </c>
      <c r="AH607" s="199">
        <v>0.1598</v>
      </c>
      <c r="AI607" s="377">
        <f t="shared" si="394"/>
        <v>0.1598</v>
      </c>
      <c r="AJ607" s="203">
        <v>1</v>
      </c>
      <c r="AK607" s="203">
        <f t="shared" si="356"/>
        <v>0</v>
      </c>
      <c r="AL607" s="376">
        <f t="shared" si="395"/>
        <v>151236000</v>
      </c>
      <c r="AM607" s="376">
        <f t="shared" si="396"/>
        <v>28764000</v>
      </c>
      <c r="AN607" s="376">
        <f t="shared" si="397"/>
        <v>0</v>
      </c>
      <c r="AO607" s="378" t="s">
        <v>3608</v>
      </c>
      <c r="AP607" s="379" t="s">
        <v>2810</v>
      </c>
      <c r="AQ607" s="279"/>
      <c r="AR607" s="287">
        <f t="shared" si="364"/>
        <v>1150560</v>
      </c>
      <c r="AS607" s="287">
        <f t="shared" si="365"/>
        <v>1308762</v>
      </c>
      <c r="AT607" s="287">
        <f t="shared" si="366"/>
        <v>1651197.42</v>
      </c>
      <c r="AU607" s="287">
        <f t="shared" si="367"/>
        <v>2474158.8307499997</v>
      </c>
      <c r="AV607" s="287">
        <f t="shared" si="368"/>
        <v>2410206.5351699996</v>
      </c>
      <c r="AW607" s="287">
        <f t="shared" si="369"/>
        <v>3628515.3048180002</v>
      </c>
      <c r="AX607" s="287">
        <f t="shared" si="370"/>
        <v>3681744.37285644</v>
      </c>
      <c r="AY607" s="287">
        <f t="shared" si="371"/>
        <v>3434852.3256291919</v>
      </c>
      <c r="AZ607" s="287">
        <f t="shared" si="372"/>
        <v>4939937.9218064947</v>
      </c>
      <c r="BA607" s="287">
        <f t="shared" si="373"/>
        <v>4084065.288969873</v>
      </c>
      <c r="BB607" s="16"/>
      <c r="BC607" s="287">
        <f t="shared" si="374"/>
        <v>0</v>
      </c>
      <c r="BD607" s="287">
        <f t="shared" si="375"/>
        <v>0</v>
      </c>
      <c r="BE607" s="287">
        <f t="shared" si="376"/>
        <v>0</v>
      </c>
      <c r="BF607" s="287">
        <f t="shared" si="377"/>
        <v>0</v>
      </c>
      <c r="BG607" s="287">
        <f t="shared" si="378"/>
        <v>0</v>
      </c>
      <c r="BH607" s="287">
        <f t="shared" si="379"/>
        <v>0</v>
      </c>
      <c r="BI607" s="287">
        <f t="shared" si="380"/>
        <v>0</v>
      </c>
      <c r="BJ607" s="287">
        <f t="shared" si="381"/>
        <v>0</v>
      </c>
      <c r="BK607" s="287">
        <f t="shared" si="382"/>
        <v>0</v>
      </c>
      <c r="BL607" s="287">
        <f t="shared" si="383"/>
        <v>0</v>
      </c>
      <c r="BM607" s="16"/>
      <c r="BN607" s="287">
        <f t="shared" si="384"/>
        <v>28764000.000000004</v>
      </c>
      <c r="BO607" s="287">
        <f t="shared" si="385"/>
        <v>0</v>
      </c>
      <c r="BP607" s="432"/>
      <c r="BQ607" s="21"/>
      <c r="BR607" s="21"/>
      <c r="BS607" s="6" t="e">
        <v>#VALUE!</v>
      </c>
      <c r="BT607" s="194">
        <f t="shared" si="388"/>
        <v>28764000.000000004</v>
      </c>
      <c r="BU607" s="194">
        <f t="shared" si="389"/>
        <v>28764000</v>
      </c>
      <c r="BV607" s="194">
        <f t="shared" si="390"/>
        <v>0</v>
      </c>
      <c r="BW607" s="194">
        <f t="shared" si="391"/>
        <v>3.7252902984619141E-9</v>
      </c>
      <c r="BX607" s="6"/>
      <c r="BY607" s="6"/>
      <c r="BZ607" s="39">
        <v>594</v>
      </c>
      <c r="CA607" s="39">
        <f t="shared" si="386"/>
        <v>2031</v>
      </c>
      <c r="CB607" s="6"/>
      <c r="CC607" s="39"/>
      <c r="CD607" s="39"/>
      <c r="CE607" s="39"/>
      <c r="CF607" s="39"/>
      <c r="CG607" s="39"/>
      <c r="CH607" s="39"/>
      <c r="CI607" s="39"/>
      <c r="CJ607" s="39"/>
      <c r="CK607" s="39"/>
    </row>
    <row r="608" spans="1:89" s="193" customFormat="1">
      <c r="A608" s="357"/>
      <c r="B608" s="21" t="str">
        <f t="shared" si="363"/>
        <v>PTR</v>
      </c>
      <c r="C608" s="21"/>
      <c r="D608" s="432"/>
      <c r="E608" s="439" t="s">
        <v>3626</v>
      </c>
      <c r="F608" s="439"/>
      <c r="G608" s="273" t="s">
        <v>5276</v>
      </c>
      <c r="H608" s="358" t="s">
        <v>5277</v>
      </c>
      <c r="I608" s="262" t="s">
        <v>3161</v>
      </c>
      <c r="J608" s="262" t="s">
        <v>3504</v>
      </c>
      <c r="K608" s="263">
        <v>3848000</v>
      </c>
      <c r="L608" s="263">
        <v>3641747.2</v>
      </c>
      <c r="M608" s="263">
        <v>4024731.122</v>
      </c>
      <c r="N608" s="263">
        <v>3789380.6808600002</v>
      </c>
      <c r="O608" s="263">
        <v>3690209.0233176001</v>
      </c>
      <c r="P608" s="263">
        <v>4807533.9566595405</v>
      </c>
      <c r="Q608" s="263">
        <v>4474226.9914522022</v>
      </c>
      <c r="R608" s="263">
        <v>4042612.3844361571</v>
      </c>
      <c r="S608" s="263">
        <v>6754585.6935597956</v>
      </c>
      <c r="T608" s="263">
        <v>5786766.947714705</v>
      </c>
      <c r="U608" s="263">
        <f t="shared" si="392"/>
        <v>44859794</v>
      </c>
      <c r="V608" s="196" t="str">
        <f t="shared" si="361"/>
        <v>G/LOS</v>
      </c>
      <c r="W608" s="196" t="s">
        <v>1168</v>
      </c>
      <c r="X608" s="196" t="str">
        <f t="shared" si="354"/>
        <v>Y</v>
      </c>
      <c r="Y608" s="376">
        <f t="shared" si="387"/>
        <v>44859794</v>
      </c>
      <c r="Z608" s="198"/>
      <c r="AA608" s="376">
        <f t="shared" si="362"/>
        <v>44859794</v>
      </c>
      <c r="AB608" s="196" t="s">
        <v>1166</v>
      </c>
      <c r="AC608" s="196" t="s">
        <v>1168</v>
      </c>
      <c r="AD608" s="275">
        <v>0.215</v>
      </c>
      <c r="AE608" s="275">
        <f t="shared" si="393"/>
        <v>0.78500000000000003</v>
      </c>
      <c r="AF608" s="275">
        <v>0</v>
      </c>
      <c r="AG608" s="199">
        <v>0.1598</v>
      </c>
      <c r="AH608" s="199">
        <v>0.1598</v>
      </c>
      <c r="AI608" s="377">
        <f t="shared" si="394"/>
        <v>0.1598</v>
      </c>
      <c r="AJ608" s="203">
        <v>0.5</v>
      </c>
      <c r="AK608" s="203">
        <f t="shared" si="356"/>
        <v>0.5</v>
      </c>
      <c r="AL608" s="376">
        <f t="shared" si="395"/>
        <v>37691198.918800004</v>
      </c>
      <c r="AM608" s="376">
        <f t="shared" si="396"/>
        <v>3584297.5405999999</v>
      </c>
      <c r="AN608" s="376">
        <f t="shared" si="397"/>
        <v>3584297.5405999999</v>
      </c>
      <c r="AO608" s="378" t="s">
        <v>3608</v>
      </c>
      <c r="AP608" s="379" t="s">
        <v>2810</v>
      </c>
      <c r="AQ608" s="279"/>
      <c r="AR608" s="287">
        <f t="shared" si="364"/>
        <v>307455.2</v>
      </c>
      <c r="AS608" s="287">
        <f t="shared" si="365"/>
        <v>290975.60128</v>
      </c>
      <c r="AT608" s="287">
        <f t="shared" si="366"/>
        <v>321576.01664779999</v>
      </c>
      <c r="AU608" s="287">
        <f t="shared" si="367"/>
        <v>302771.516400714</v>
      </c>
      <c r="AV608" s="287">
        <f t="shared" si="368"/>
        <v>294847.70096307626</v>
      </c>
      <c r="AW608" s="287">
        <f t="shared" si="369"/>
        <v>384121.96313709731</v>
      </c>
      <c r="AX608" s="287">
        <f t="shared" si="370"/>
        <v>357490.73661703093</v>
      </c>
      <c r="AY608" s="287">
        <f t="shared" si="371"/>
        <v>323004.72951644892</v>
      </c>
      <c r="AZ608" s="287">
        <f t="shared" si="372"/>
        <v>539691.39691542764</v>
      </c>
      <c r="BA608" s="287">
        <f t="shared" si="373"/>
        <v>462362.67912240495</v>
      </c>
      <c r="BB608" s="16"/>
      <c r="BC608" s="287">
        <f t="shared" si="374"/>
        <v>307455.2</v>
      </c>
      <c r="BD608" s="287">
        <f t="shared" si="375"/>
        <v>290975.60128</v>
      </c>
      <c r="BE608" s="287">
        <f t="shared" si="376"/>
        <v>321576.01664779999</v>
      </c>
      <c r="BF608" s="287">
        <f t="shared" si="377"/>
        <v>302771.516400714</v>
      </c>
      <c r="BG608" s="287">
        <f t="shared" si="378"/>
        <v>294847.70096307626</v>
      </c>
      <c r="BH608" s="287">
        <f t="shared" si="379"/>
        <v>384121.96313709731</v>
      </c>
      <c r="BI608" s="287">
        <f t="shared" si="380"/>
        <v>357490.73661703093</v>
      </c>
      <c r="BJ608" s="287">
        <f t="shared" si="381"/>
        <v>323004.72951644892</v>
      </c>
      <c r="BK608" s="287">
        <f t="shared" si="382"/>
        <v>539691.39691542764</v>
      </c>
      <c r="BL608" s="287">
        <f t="shared" si="383"/>
        <v>462362.67912240495</v>
      </c>
      <c r="BM608" s="16"/>
      <c r="BN608" s="287">
        <f t="shared" si="384"/>
        <v>3584297.5405999999</v>
      </c>
      <c r="BO608" s="287">
        <f t="shared" si="385"/>
        <v>3584297.5405999999</v>
      </c>
      <c r="BP608" s="432"/>
      <c r="BQ608" s="21"/>
      <c r="BR608" s="21"/>
      <c r="BS608" s="6" t="e">
        <v>#VALUE!</v>
      </c>
      <c r="BT608" s="194">
        <f t="shared" si="388"/>
        <v>7168595.0811999999</v>
      </c>
      <c r="BU608" s="194">
        <f t="shared" si="389"/>
        <v>3584297.5405999999</v>
      </c>
      <c r="BV608" s="194">
        <f t="shared" si="390"/>
        <v>3584297.5405999999</v>
      </c>
      <c r="BW608" s="194">
        <f t="shared" si="391"/>
        <v>0</v>
      </c>
      <c r="BX608" s="6"/>
      <c r="BY608" s="6"/>
      <c r="BZ608" s="39">
        <v>595</v>
      </c>
      <c r="CA608" s="39">
        <f t="shared" si="386"/>
        <v>2041</v>
      </c>
      <c r="CB608" s="6"/>
      <c r="CC608" s="39"/>
      <c r="CD608" s="39"/>
      <c r="CE608" s="39"/>
      <c r="CF608" s="39"/>
      <c r="CG608" s="39"/>
      <c r="CH608" s="39"/>
      <c r="CI608" s="39"/>
      <c r="CJ608" s="39"/>
      <c r="CK608" s="39"/>
    </row>
    <row r="609" spans="1:89" s="193" customFormat="1" ht="24">
      <c r="A609" s="357"/>
      <c r="B609" s="21" t="str">
        <f t="shared" si="363"/>
        <v>PTR</v>
      </c>
      <c r="C609" s="21"/>
      <c r="D609" s="432"/>
      <c r="E609" s="439" t="s">
        <v>3626</v>
      </c>
      <c r="F609" s="439"/>
      <c r="G609" s="273" t="s">
        <v>4432</v>
      </c>
      <c r="H609" s="358" t="s">
        <v>4428</v>
      </c>
      <c r="I609" s="262" t="s">
        <v>3158</v>
      </c>
      <c r="J609" s="262" t="s">
        <v>3504</v>
      </c>
      <c r="K609" s="263">
        <v>832000</v>
      </c>
      <c r="L609" s="263">
        <v>0</v>
      </c>
      <c r="M609" s="263">
        <v>0</v>
      </c>
      <c r="N609" s="263">
        <v>0</v>
      </c>
      <c r="O609" s="263">
        <v>0</v>
      </c>
      <c r="P609" s="263">
        <v>0</v>
      </c>
      <c r="Q609" s="263">
        <v>0</v>
      </c>
      <c r="R609" s="263">
        <v>0</v>
      </c>
      <c r="S609" s="263">
        <v>0</v>
      </c>
      <c r="T609" s="263">
        <v>0</v>
      </c>
      <c r="U609" s="263">
        <f t="shared" si="392"/>
        <v>832000</v>
      </c>
      <c r="V609" s="196" t="str">
        <f t="shared" si="361"/>
        <v>G/LOS</v>
      </c>
      <c r="W609" s="196" t="s">
        <v>1168</v>
      </c>
      <c r="X609" s="196" t="str">
        <f t="shared" si="354"/>
        <v>Y</v>
      </c>
      <c r="Y609" s="376">
        <f t="shared" si="387"/>
        <v>832000</v>
      </c>
      <c r="Z609" s="198"/>
      <c r="AA609" s="376">
        <f t="shared" si="362"/>
        <v>832000</v>
      </c>
      <c r="AB609" s="196" t="s">
        <v>1166</v>
      </c>
      <c r="AC609" s="196" t="s">
        <v>1168</v>
      </c>
      <c r="AD609" s="275">
        <v>0.215</v>
      </c>
      <c r="AE609" s="275">
        <f t="shared" si="393"/>
        <v>0.78500000000000003</v>
      </c>
      <c r="AF609" s="275">
        <v>0</v>
      </c>
      <c r="AG609" s="199">
        <v>0.1598</v>
      </c>
      <c r="AH609" s="199">
        <v>0.1598</v>
      </c>
      <c r="AI609" s="377">
        <f t="shared" si="394"/>
        <v>0.1598</v>
      </c>
      <c r="AJ609" s="548">
        <v>1</v>
      </c>
      <c r="AK609" s="203">
        <f t="shared" si="356"/>
        <v>0</v>
      </c>
      <c r="AL609" s="376">
        <f t="shared" si="395"/>
        <v>699046.40000000002</v>
      </c>
      <c r="AM609" s="376">
        <f t="shared" si="396"/>
        <v>132953.60000000001</v>
      </c>
      <c r="AN609" s="376">
        <f t="shared" si="397"/>
        <v>0</v>
      </c>
      <c r="AO609" s="378" t="s">
        <v>3608</v>
      </c>
      <c r="AP609" s="379" t="s">
        <v>2810</v>
      </c>
      <c r="AQ609" s="279"/>
      <c r="AR609" s="287">
        <f t="shared" si="364"/>
        <v>132953.60000000001</v>
      </c>
      <c r="AS609" s="287">
        <f t="shared" si="365"/>
        <v>0</v>
      </c>
      <c r="AT609" s="287">
        <f t="shared" si="366"/>
        <v>0</v>
      </c>
      <c r="AU609" s="287">
        <f t="shared" si="367"/>
        <v>0</v>
      </c>
      <c r="AV609" s="287">
        <f t="shared" si="368"/>
        <v>0</v>
      </c>
      <c r="AW609" s="287">
        <f t="shared" si="369"/>
        <v>0</v>
      </c>
      <c r="AX609" s="287">
        <f t="shared" si="370"/>
        <v>0</v>
      </c>
      <c r="AY609" s="287">
        <f t="shared" si="371"/>
        <v>0</v>
      </c>
      <c r="AZ609" s="287">
        <f t="shared" si="372"/>
        <v>0</v>
      </c>
      <c r="BA609" s="287">
        <f t="shared" si="373"/>
        <v>0</v>
      </c>
      <c r="BB609" s="16"/>
      <c r="BC609" s="287">
        <f t="shared" si="374"/>
        <v>0</v>
      </c>
      <c r="BD609" s="287">
        <f t="shared" si="375"/>
        <v>0</v>
      </c>
      <c r="BE609" s="287">
        <f t="shared" si="376"/>
        <v>0</v>
      </c>
      <c r="BF609" s="287">
        <f t="shared" si="377"/>
        <v>0</v>
      </c>
      <c r="BG609" s="287">
        <f t="shared" si="378"/>
        <v>0</v>
      </c>
      <c r="BH609" s="287">
        <f t="shared" si="379"/>
        <v>0</v>
      </c>
      <c r="BI609" s="287">
        <f t="shared" si="380"/>
        <v>0</v>
      </c>
      <c r="BJ609" s="287">
        <f t="shared" si="381"/>
        <v>0</v>
      </c>
      <c r="BK609" s="287">
        <f t="shared" si="382"/>
        <v>0</v>
      </c>
      <c r="BL609" s="287">
        <f t="shared" si="383"/>
        <v>0</v>
      </c>
      <c r="BM609" s="16"/>
      <c r="BN609" s="287">
        <f t="shared" si="384"/>
        <v>132953.60000000001</v>
      </c>
      <c r="BO609" s="287">
        <f t="shared" si="385"/>
        <v>0</v>
      </c>
      <c r="BP609" s="431"/>
      <c r="BQ609" s="21"/>
      <c r="BR609" s="21"/>
      <c r="BS609" s="6" t="e">
        <v>#VALUE!</v>
      </c>
      <c r="BT609" s="194">
        <f t="shared" si="388"/>
        <v>132953.60000000001</v>
      </c>
      <c r="BU609" s="194">
        <f t="shared" si="389"/>
        <v>132953.60000000001</v>
      </c>
      <c r="BV609" s="194">
        <f t="shared" si="390"/>
        <v>0</v>
      </c>
      <c r="BW609" s="194">
        <f t="shared" si="391"/>
        <v>0</v>
      </c>
      <c r="BX609" s="6"/>
      <c r="BY609" s="6"/>
      <c r="BZ609" s="39">
        <v>596</v>
      </c>
      <c r="CA609" s="39">
        <f t="shared" si="386"/>
        <v>2031</v>
      </c>
      <c r="CB609" s="6"/>
      <c r="CC609" s="39"/>
      <c r="CD609" s="39"/>
      <c r="CE609" s="39"/>
      <c r="CF609" s="39"/>
      <c r="CG609" s="39"/>
      <c r="CH609" s="39"/>
      <c r="CI609" s="39"/>
      <c r="CJ609" s="39"/>
      <c r="CK609" s="39"/>
    </row>
    <row r="610" spans="1:89" s="193" customFormat="1" ht="24">
      <c r="A610" s="357"/>
      <c r="B610" s="21" t="str">
        <f t="shared" si="363"/>
        <v>PTR</v>
      </c>
      <c r="C610" s="21"/>
      <c r="D610" s="432"/>
      <c r="E610" s="439" t="s">
        <v>3626</v>
      </c>
      <c r="F610" s="439"/>
      <c r="G610" s="273" t="s">
        <v>4431</v>
      </c>
      <c r="H610" s="358" t="s">
        <v>4430</v>
      </c>
      <c r="I610" s="262" t="s">
        <v>3159</v>
      </c>
      <c r="J610" s="262" t="s">
        <v>3504</v>
      </c>
      <c r="K610" s="263">
        <v>5200000</v>
      </c>
      <c r="L610" s="263">
        <v>5905536</v>
      </c>
      <c r="M610" s="263">
        <v>584064</v>
      </c>
      <c r="N610" s="263">
        <v>0</v>
      </c>
      <c r="O610" s="263">
        <v>0</v>
      </c>
      <c r="P610" s="263">
        <v>0</v>
      </c>
      <c r="Q610" s="263">
        <v>0</v>
      </c>
      <c r="R610" s="263">
        <v>0</v>
      </c>
      <c r="S610" s="263">
        <v>0</v>
      </c>
      <c r="T610" s="263">
        <v>0</v>
      </c>
      <c r="U610" s="263">
        <f t="shared" si="392"/>
        <v>11689600</v>
      </c>
      <c r="V610" s="196" t="str">
        <f t="shared" si="361"/>
        <v>G/LOS</v>
      </c>
      <c r="W610" s="196" t="s">
        <v>1168</v>
      </c>
      <c r="X610" s="196" t="str">
        <f t="shared" si="354"/>
        <v>Y</v>
      </c>
      <c r="Y610" s="376">
        <f t="shared" si="387"/>
        <v>11689600</v>
      </c>
      <c r="Z610" s="198"/>
      <c r="AA610" s="376">
        <f t="shared" si="362"/>
        <v>11689600</v>
      </c>
      <c r="AB610" s="196" t="s">
        <v>1166</v>
      </c>
      <c r="AC610" s="196" t="s">
        <v>1168</v>
      </c>
      <c r="AD610" s="275">
        <v>0.215</v>
      </c>
      <c r="AE610" s="275">
        <f t="shared" ref="AE610:AE616" si="398">1-AD610</f>
        <v>0.78500000000000003</v>
      </c>
      <c r="AF610" s="275">
        <v>0</v>
      </c>
      <c r="AG610" s="199">
        <v>0.1598</v>
      </c>
      <c r="AH610" s="199">
        <v>0.1598</v>
      </c>
      <c r="AI610" s="377">
        <f t="shared" si="394"/>
        <v>0.1598</v>
      </c>
      <c r="AJ610" s="548">
        <v>1</v>
      </c>
      <c r="AK610" s="203">
        <f t="shared" si="356"/>
        <v>0</v>
      </c>
      <c r="AL610" s="376">
        <f t="shared" si="395"/>
        <v>9821601.9199999999</v>
      </c>
      <c r="AM610" s="376">
        <f t="shared" si="396"/>
        <v>1867998.08</v>
      </c>
      <c r="AN610" s="376">
        <f t="shared" si="397"/>
        <v>0</v>
      </c>
      <c r="AO610" s="378" t="s">
        <v>3608</v>
      </c>
      <c r="AP610" s="379" t="s">
        <v>2810</v>
      </c>
      <c r="AQ610" s="279"/>
      <c r="AR610" s="287">
        <f t="shared" si="364"/>
        <v>830960</v>
      </c>
      <c r="AS610" s="287">
        <f t="shared" si="365"/>
        <v>943704.65280000004</v>
      </c>
      <c r="AT610" s="287">
        <f t="shared" si="366"/>
        <v>93333.427200000006</v>
      </c>
      <c r="AU610" s="287">
        <f t="shared" si="367"/>
        <v>0</v>
      </c>
      <c r="AV610" s="287">
        <f t="shared" si="368"/>
        <v>0</v>
      </c>
      <c r="AW610" s="287">
        <f t="shared" si="369"/>
        <v>0</v>
      </c>
      <c r="AX610" s="287">
        <f t="shared" si="370"/>
        <v>0</v>
      </c>
      <c r="AY610" s="287">
        <f t="shared" si="371"/>
        <v>0</v>
      </c>
      <c r="AZ610" s="287">
        <f t="shared" si="372"/>
        <v>0</v>
      </c>
      <c r="BA610" s="287">
        <f t="shared" si="373"/>
        <v>0</v>
      </c>
      <c r="BB610" s="16"/>
      <c r="BC610" s="287">
        <f t="shared" si="374"/>
        <v>0</v>
      </c>
      <c r="BD610" s="287">
        <f t="shared" si="375"/>
        <v>0</v>
      </c>
      <c r="BE610" s="287">
        <f t="shared" si="376"/>
        <v>0</v>
      </c>
      <c r="BF610" s="287">
        <f t="shared" si="377"/>
        <v>0</v>
      </c>
      <c r="BG610" s="287">
        <f t="shared" si="378"/>
        <v>0</v>
      </c>
      <c r="BH610" s="287">
        <f t="shared" si="379"/>
        <v>0</v>
      </c>
      <c r="BI610" s="287">
        <f t="shared" si="380"/>
        <v>0</v>
      </c>
      <c r="BJ610" s="287">
        <f t="shared" si="381"/>
        <v>0</v>
      </c>
      <c r="BK610" s="287">
        <f t="shared" si="382"/>
        <v>0</v>
      </c>
      <c r="BL610" s="287">
        <f t="shared" si="383"/>
        <v>0</v>
      </c>
      <c r="BM610" s="16"/>
      <c r="BN610" s="287">
        <f t="shared" si="384"/>
        <v>1867998.08</v>
      </c>
      <c r="BO610" s="287">
        <f t="shared" si="385"/>
        <v>0</v>
      </c>
      <c r="BP610" s="432"/>
      <c r="BQ610" s="21"/>
      <c r="BR610" s="21"/>
      <c r="BS610" s="6"/>
      <c r="BT610" s="194">
        <f t="shared" si="388"/>
        <v>1867998.08</v>
      </c>
      <c r="BU610" s="194">
        <f t="shared" si="389"/>
        <v>1867998.08</v>
      </c>
      <c r="BV610" s="194">
        <f t="shared" si="390"/>
        <v>0</v>
      </c>
      <c r="BW610" s="194">
        <f t="shared" si="391"/>
        <v>0</v>
      </c>
      <c r="BX610" s="6"/>
      <c r="BY610" s="6"/>
      <c r="BZ610" s="39">
        <v>597</v>
      </c>
      <c r="CA610" s="39">
        <f t="shared" si="386"/>
        <v>2031</v>
      </c>
      <c r="CB610" s="6"/>
      <c r="CC610" s="39"/>
      <c r="CD610" s="39"/>
      <c r="CE610" s="39"/>
      <c r="CF610" s="39"/>
      <c r="CG610" s="39"/>
      <c r="CH610" s="39"/>
      <c r="CI610" s="39"/>
      <c r="CJ610" s="39"/>
      <c r="CK610" s="39"/>
    </row>
    <row r="611" spans="1:89" s="193" customFormat="1">
      <c r="A611" s="357"/>
      <c r="B611" s="21" t="str">
        <f t="shared" si="363"/>
        <v>PTR</v>
      </c>
      <c r="C611" s="21"/>
      <c r="D611" s="432"/>
      <c r="E611" s="439" t="s">
        <v>3626</v>
      </c>
      <c r="F611" s="439"/>
      <c r="G611" s="273" t="s">
        <v>4649</v>
      </c>
      <c r="H611" s="358" t="s">
        <v>4433</v>
      </c>
      <c r="I611" s="262" t="s">
        <v>3159</v>
      </c>
      <c r="J611" s="262" t="s">
        <v>3504</v>
      </c>
      <c r="K611" s="263">
        <v>0</v>
      </c>
      <c r="L611" s="263">
        <v>0</v>
      </c>
      <c r="M611" s="263">
        <v>0</v>
      </c>
      <c r="N611" s="263">
        <v>0</v>
      </c>
      <c r="O611" s="263">
        <v>0</v>
      </c>
      <c r="P611" s="263">
        <v>0</v>
      </c>
      <c r="Q611" s="263">
        <v>1421340.78311536</v>
      </c>
      <c r="R611" s="263">
        <v>7342544.44683237</v>
      </c>
      <c r="S611" s="263">
        <v>26007091.438390002</v>
      </c>
      <c r="T611" s="263">
        <v>0</v>
      </c>
      <c r="U611" s="263">
        <f t="shared" si="392"/>
        <v>34770976.668337733</v>
      </c>
      <c r="V611" s="196" t="str">
        <f t="shared" si="361"/>
        <v>G/LOS</v>
      </c>
      <c r="W611" s="196" t="s">
        <v>1168</v>
      </c>
      <c r="X611" s="196" t="str">
        <f t="shared" si="354"/>
        <v>Y</v>
      </c>
      <c r="Y611" s="376">
        <f t="shared" si="387"/>
        <v>34770976.668337733</v>
      </c>
      <c r="Z611" s="198"/>
      <c r="AA611" s="376">
        <f t="shared" si="362"/>
        <v>34770976.668337733</v>
      </c>
      <c r="AB611" s="196" t="s">
        <v>1166</v>
      </c>
      <c r="AC611" s="196" t="s">
        <v>1168</v>
      </c>
      <c r="AD611" s="275">
        <v>0.215</v>
      </c>
      <c r="AE611" s="275">
        <f t="shared" si="398"/>
        <v>0.78500000000000003</v>
      </c>
      <c r="AF611" s="275">
        <v>0</v>
      </c>
      <c r="AG611" s="199">
        <v>0.1598</v>
      </c>
      <c r="AH611" s="199">
        <v>0.1598</v>
      </c>
      <c r="AI611" s="377">
        <f t="shared" si="394"/>
        <v>0.1598</v>
      </c>
      <c r="AJ611" s="548">
        <v>1</v>
      </c>
      <c r="AK611" s="203">
        <f t="shared" si="356"/>
        <v>0</v>
      </c>
      <c r="AL611" s="376">
        <f t="shared" si="395"/>
        <v>29214574.596737366</v>
      </c>
      <c r="AM611" s="376">
        <f t="shared" si="396"/>
        <v>5556402.0716003692</v>
      </c>
      <c r="AN611" s="376">
        <f t="shared" si="397"/>
        <v>0</v>
      </c>
      <c r="AO611" s="378" t="s">
        <v>3608</v>
      </c>
      <c r="AP611" s="379" t="s">
        <v>2810</v>
      </c>
      <c r="AQ611" s="279"/>
      <c r="AR611" s="287">
        <f t="shared" si="364"/>
        <v>0</v>
      </c>
      <c r="AS611" s="287">
        <f t="shared" si="365"/>
        <v>0</v>
      </c>
      <c r="AT611" s="287">
        <f t="shared" si="366"/>
        <v>0</v>
      </c>
      <c r="AU611" s="287">
        <f t="shared" si="367"/>
        <v>0</v>
      </c>
      <c r="AV611" s="287">
        <f t="shared" si="368"/>
        <v>0</v>
      </c>
      <c r="AW611" s="287">
        <f t="shared" si="369"/>
        <v>0</v>
      </c>
      <c r="AX611" s="287">
        <f t="shared" si="370"/>
        <v>227130.2571418345</v>
      </c>
      <c r="AY611" s="287">
        <f t="shared" si="371"/>
        <v>1173338.6026038127</v>
      </c>
      <c r="AZ611" s="287">
        <f t="shared" si="372"/>
        <v>4155933.2118547224</v>
      </c>
      <c r="BA611" s="287">
        <f t="shared" si="373"/>
        <v>0</v>
      </c>
      <c r="BB611" s="16"/>
      <c r="BC611" s="287">
        <f t="shared" si="374"/>
        <v>0</v>
      </c>
      <c r="BD611" s="287">
        <f t="shared" si="375"/>
        <v>0</v>
      </c>
      <c r="BE611" s="287">
        <f t="shared" si="376"/>
        <v>0</v>
      </c>
      <c r="BF611" s="287">
        <f t="shared" si="377"/>
        <v>0</v>
      </c>
      <c r="BG611" s="287">
        <f t="shared" si="378"/>
        <v>0</v>
      </c>
      <c r="BH611" s="287">
        <f t="shared" si="379"/>
        <v>0</v>
      </c>
      <c r="BI611" s="287">
        <f t="shared" si="380"/>
        <v>0</v>
      </c>
      <c r="BJ611" s="287">
        <f t="shared" si="381"/>
        <v>0</v>
      </c>
      <c r="BK611" s="287">
        <f t="shared" si="382"/>
        <v>0</v>
      </c>
      <c r="BL611" s="287">
        <f t="shared" si="383"/>
        <v>0</v>
      </c>
      <c r="BM611" s="16"/>
      <c r="BN611" s="287">
        <f t="shared" si="384"/>
        <v>5556402.0716003701</v>
      </c>
      <c r="BO611" s="287">
        <f t="shared" si="385"/>
        <v>0</v>
      </c>
      <c r="BP611" s="432"/>
      <c r="BQ611" s="21"/>
      <c r="BR611" s="21"/>
      <c r="BS611" s="6"/>
      <c r="BT611" s="194">
        <f t="shared" si="388"/>
        <v>5556402.0716003701</v>
      </c>
      <c r="BU611" s="194">
        <f t="shared" si="389"/>
        <v>5556402.0716003692</v>
      </c>
      <c r="BV611" s="194">
        <f t="shared" si="390"/>
        <v>0</v>
      </c>
      <c r="BW611" s="194">
        <f t="shared" si="391"/>
        <v>9.3132257461547852E-10</v>
      </c>
      <c r="BX611" s="6"/>
      <c r="BY611" s="6"/>
      <c r="BZ611" s="39">
        <v>598</v>
      </c>
      <c r="CA611" s="39">
        <f t="shared" si="386"/>
        <v>2031</v>
      </c>
      <c r="CB611" s="6"/>
      <c r="CC611" s="39"/>
      <c r="CD611" s="39"/>
      <c r="CE611" s="39"/>
      <c r="CF611" s="39"/>
      <c r="CG611" s="39"/>
      <c r="CH611" s="39"/>
      <c r="CI611" s="39"/>
      <c r="CJ611" s="39"/>
      <c r="CK611" s="39"/>
    </row>
    <row r="612" spans="1:89" s="193" customFormat="1">
      <c r="A612" s="357"/>
      <c r="B612" s="21" t="str">
        <f t="shared" si="363"/>
        <v>PTR</v>
      </c>
      <c r="C612" s="21"/>
      <c r="D612" s="432"/>
      <c r="E612" s="439" t="s">
        <v>3626</v>
      </c>
      <c r="F612" s="439"/>
      <c r="G612" s="273" t="s">
        <v>4649</v>
      </c>
      <c r="H612" s="358" t="s">
        <v>4433</v>
      </c>
      <c r="I612" s="262" t="s">
        <v>3159</v>
      </c>
      <c r="J612" s="262" t="s">
        <v>3504</v>
      </c>
      <c r="K612" s="263">
        <v>0</v>
      </c>
      <c r="L612" s="263">
        <v>0</v>
      </c>
      <c r="M612" s="263">
        <v>0</v>
      </c>
      <c r="N612" s="263">
        <v>0</v>
      </c>
      <c r="O612" s="263">
        <v>0</v>
      </c>
      <c r="P612" s="263">
        <v>0</v>
      </c>
      <c r="Q612" s="263">
        <v>119882</v>
      </c>
      <c r="R612" s="263">
        <v>1088629.956</v>
      </c>
      <c r="S612" s="263">
        <v>15033831.57408</v>
      </c>
      <c r="T612" s="263">
        <v>0</v>
      </c>
      <c r="U612" s="263">
        <f t="shared" si="392"/>
        <v>16242343.53008</v>
      </c>
      <c r="V612" s="196" t="str">
        <f t="shared" si="361"/>
        <v>G/LOS</v>
      </c>
      <c r="W612" s="196" t="s">
        <v>1168</v>
      </c>
      <c r="X612" s="196" t="str">
        <f t="shared" si="354"/>
        <v>Y</v>
      </c>
      <c r="Y612" s="376">
        <f t="shared" si="387"/>
        <v>16242343.53008</v>
      </c>
      <c r="Z612" s="198"/>
      <c r="AA612" s="376">
        <f t="shared" si="362"/>
        <v>16242343.53008</v>
      </c>
      <c r="AB612" s="196" t="s">
        <v>1166</v>
      </c>
      <c r="AC612" s="196" t="s">
        <v>1168</v>
      </c>
      <c r="AD612" s="275">
        <v>0.215</v>
      </c>
      <c r="AE612" s="275">
        <f t="shared" si="398"/>
        <v>0.78500000000000003</v>
      </c>
      <c r="AF612" s="275">
        <v>0</v>
      </c>
      <c r="AG612" s="199">
        <v>0.1598</v>
      </c>
      <c r="AH612" s="199">
        <v>0.1598</v>
      </c>
      <c r="AI612" s="377">
        <f t="shared" si="394"/>
        <v>0.1598</v>
      </c>
      <c r="AJ612" s="548">
        <v>1</v>
      </c>
      <c r="AK612" s="203">
        <f t="shared" si="356"/>
        <v>0</v>
      </c>
      <c r="AL612" s="376">
        <f t="shared" si="395"/>
        <v>13646817.033973217</v>
      </c>
      <c r="AM612" s="376">
        <f t="shared" si="396"/>
        <v>2595526.4961067839</v>
      </c>
      <c r="AN612" s="376">
        <f t="shared" si="397"/>
        <v>0</v>
      </c>
      <c r="AO612" s="378" t="s">
        <v>3608</v>
      </c>
      <c r="AP612" s="379" t="s">
        <v>2810</v>
      </c>
      <c r="AQ612" s="279"/>
      <c r="AR612" s="287">
        <f t="shared" si="364"/>
        <v>0</v>
      </c>
      <c r="AS612" s="287">
        <f t="shared" si="365"/>
        <v>0</v>
      </c>
      <c r="AT612" s="287">
        <f t="shared" si="366"/>
        <v>0</v>
      </c>
      <c r="AU612" s="287">
        <f t="shared" si="367"/>
        <v>0</v>
      </c>
      <c r="AV612" s="287">
        <f t="shared" si="368"/>
        <v>0</v>
      </c>
      <c r="AW612" s="287">
        <f t="shared" si="369"/>
        <v>0</v>
      </c>
      <c r="AX612" s="287">
        <f t="shared" si="370"/>
        <v>19157.143599999999</v>
      </c>
      <c r="AY612" s="287">
        <f t="shared" si="371"/>
        <v>173963.06696880001</v>
      </c>
      <c r="AZ612" s="287">
        <f t="shared" si="372"/>
        <v>2402406.2855379838</v>
      </c>
      <c r="BA612" s="287">
        <f t="shared" si="373"/>
        <v>0</v>
      </c>
      <c r="BB612" s="16"/>
      <c r="BC612" s="287">
        <f t="shared" si="374"/>
        <v>0</v>
      </c>
      <c r="BD612" s="287">
        <f t="shared" si="375"/>
        <v>0</v>
      </c>
      <c r="BE612" s="287">
        <f t="shared" si="376"/>
        <v>0</v>
      </c>
      <c r="BF612" s="287">
        <f t="shared" si="377"/>
        <v>0</v>
      </c>
      <c r="BG612" s="287">
        <f t="shared" si="378"/>
        <v>0</v>
      </c>
      <c r="BH612" s="287">
        <f t="shared" si="379"/>
        <v>0</v>
      </c>
      <c r="BI612" s="287">
        <f t="shared" si="380"/>
        <v>0</v>
      </c>
      <c r="BJ612" s="287">
        <f t="shared" si="381"/>
        <v>0</v>
      </c>
      <c r="BK612" s="287">
        <f t="shared" si="382"/>
        <v>0</v>
      </c>
      <c r="BL612" s="287">
        <f t="shared" si="383"/>
        <v>0</v>
      </c>
      <c r="BM612" s="16"/>
      <c r="BN612" s="287">
        <f t="shared" si="384"/>
        <v>2595526.4961067839</v>
      </c>
      <c r="BO612" s="287">
        <f t="shared" si="385"/>
        <v>0</v>
      </c>
      <c r="BP612" s="432"/>
      <c r="BQ612" s="21"/>
      <c r="BR612" s="21"/>
      <c r="BS612" s="6"/>
      <c r="BT612" s="194">
        <f t="shared" si="388"/>
        <v>2595526.4961067839</v>
      </c>
      <c r="BU612" s="194">
        <f t="shared" si="389"/>
        <v>2595526.4961067839</v>
      </c>
      <c r="BV612" s="194">
        <f t="shared" si="390"/>
        <v>0</v>
      </c>
      <c r="BW612" s="194">
        <f t="shared" si="391"/>
        <v>0</v>
      </c>
      <c r="BX612" s="6"/>
      <c r="BY612" s="6"/>
      <c r="BZ612" s="39">
        <v>599</v>
      </c>
      <c r="CA612" s="39">
        <f t="shared" si="386"/>
        <v>2031</v>
      </c>
      <c r="CB612" s="6"/>
      <c r="CC612" s="39"/>
      <c r="CD612" s="39"/>
      <c r="CE612" s="39"/>
      <c r="CF612" s="39"/>
      <c r="CG612" s="39"/>
      <c r="CH612" s="39"/>
      <c r="CI612" s="39"/>
      <c r="CJ612" s="39"/>
      <c r="CK612" s="39"/>
    </row>
    <row r="613" spans="1:89" s="193" customFormat="1" ht="36">
      <c r="A613" s="357"/>
      <c r="B613" s="21" t="str">
        <f t="shared" si="363"/>
        <v>PTR</v>
      </c>
      <c r="C613" s="21"/>
      <c r="D613" s="432"/>
      <c r="E613" s="439" t="s">
        <v>3626</v>
      </c>
      <c r="F613" s="439"/>
      <c r="G613" s="273" t="s">
        <v>3620</v>
      </c>
      <c r="H613" s="358" t="s">
        <v>4417</v>
      </c>
      <c r="I613" s="262" t="s">
        <v>3157</v>
      </c>
      <c r="J613" s="262" t="s">
        <v>3504</v>
      </c>
      <c r="K613" s="263">
        <v>12448615.520000001</v>
      </c>
      <c r="L613" s="263">
        <v>7286678.9632000001</v>
      </c>
      <c r="M613" s="263">
        <v>6358262.5963519998</v>
      </c>
      <c r="N613" s="263">
        <v>11570441.4691872</v>
      </c>
      <c r="O613" s="263">
        <v>10151054.819617152</v>
      </c>
      <c r="P613" s="263">
        <v>15868314.4535699</v>
      </c>
      <c r="Q613" s="263">
        <v>13480704.398592163</v>
      </c>
      <c r="R613" s="263">
        <v>11987414.406766336</v>
      </c>
      <c r="S613" s="263">
        <v>17164264.365170877</v>
      </c>
      <c r="T613" s="263">
        <v>14482850.607544372</v>
      </c>
      <c r="U613" s="263">
        <f t="shared" si="392"/>
        <v>120798601.60000001</v>
      </c>
      <c r="V613" s="196" t="str">
        <f t="shared" si="361"/>
        <v>G/LOS/R</v>
      </c>
      <c r="W613" s="196" t="s">
        <v>1168</v>
      </c>
      <c r="X613" s="196" t="str">
        <f t="shared" si="354"/>
        <v>Y</v>
      </c>
      <c r="Y613" s="376">
        <f t="shared" si="387"/>
        <v>120798601.60000001</v>
      </c>
      <c r="Z613" s="198"/>
      <c r="AA613" s="376">
        <f t="shared" si="362"/>
        <v>120798601.60000001</v>
      </c>
      <c r="AB613" s="196" t="s">
        <v>1166</v>
      </c>
      <c r="AC613" s="196" t="s">
        <v>1168</v>
      </c>
      <c r="AD613" s="275">
        <v>0.215</v>
      </c>
      <c r="AE613" s="275">
        <f t="shared" si="398"/>
        <v>0.78500000000000003</v>
      </c>
      <c r="AF613" s="275">
        <v>1</v>
      </c>
      <c r="AG613" s="199">
        <v>0.1598</v>
      </c>
      <c r="AH613" s="199">
        <v>0.1598</v>
      </c>
      <c r="AI613" s="377">
        <f t="shared" si="394"/>
        <v>0.1598</v>
      </c>
      <c r="AJ613" s="203">
        <v>1</v>
      </c>
      <c r="AK613" s="203">
        <f t="shared" si="356"/>
        <v>0</v>
      </c>
      <c r="AL613" s="376">
        <f t="shared" si="395"/>
        <v>101494985.06432001</v>
      </c>
      <c r="AM613" s="376">
        <f t="shared" si="396"/>
        <v>19303616.53568</v>
      </c>
      <c r="AN613" s="376">
        <f t="shared" si="397"/>
        <v>0</v>
      </c>
      <c r="AO613" s="378" t="s">
        <v>3608</v>
      </c>
      <c r="AP613" s="379" t="s">
        <v>2810</v>
      </c>
      <c r="AQ613" s="279"/>
      <c r="AR613" s="287">
        <f t="shared" si="364"/>
        <v>1989288.7600960003</v>
      </c>
      <c r="AS613" s="287">
        <f t="shared" si="365"/>
        <v>1164411.29831936</v>
      </c>
      <c r="AT613" s="287">
        <f t="shared" si="366"/>
        <v>1016050.3628970495</v>
      </c>
      <c r="AU613" s="287">
        <f t="shared" si="367"/>
        <v>1848956.5467761145</v>
      </c>
      <c r="AV613" s="287">
        <f t="shared" si="368"/>
        <v>1622138.5601748209</v>
      </c>
      <c r="AW613" s="287">
        <f t="shared" si="369"/>
        <v>2535756.6496804701</v>
      </c>
      <c r="AX613" s="287">
        <f t="shared" si="370"/>
        <v>2154216.5628950275</v>
      </c>
      <c r="AY613" s="287">
        <f t="shared" si="371"/>
        <v>1915588.8222012606</v>
      </c>
      <c r="AZ613" s="287">
        <f t="shared" si="372"/>
        <v>2742849.4455543063</v>
      </c>
      <c r="BA613" s="287">
        <f t="shared" si="373"/>
        <v>2314359.5270855906</v>
      </c>
      <c r="BB613" s="16"/>
      <c r="BC613" s="287">
        <f t="shared" si="374"/>
        <v>0</v>
      </c>
      <c r="BD613" s="287">
        <f t="shared" si="375"/>
        <v>0</v>
      </c>
      <c r="BE613" s="287">
        <f t="shared" si="376"/>
        <v>0</v>
      </c>
      <c r="BF613" s="287">
        <f t="shared" si="377"/>
        <v>0</v>
      </c>
      <c r="BG613" s="287">
        <f t="shared" si="378"/>
        <v>0</v>
      </c>
      <c r="BH613" s="287">
        <f t="shared" si="379"/>
        <v>0</v>
      </c>
      <c r="BI613" s="287">
        <f t="shared" si="380"/>
        <v>0</v>
      </c>
      <c r="BJ613" s="287">
        <f t="shared" si="381"/>
        <v>0</v>
      </c>
      <c r="BK613" s="287">
        <f t="shared" si="382"/>
        <v>0</v>
      </c>
      <c r="BL613" s="287">
        <f t="shared" si="383"/>
        <v>0</v>
      </c>
      <c r="BM613" s="16"/>
      <c r="BN613" s="287">
        <f t="shared" si="384"/>
        <v>19303616.53568</v>
      </c>
      <c r="BO613" s="287">
        <f t="shared" si="385"/>
        <v>0</v>
      </c>
      <c r="BP613" s="432"/>
      <c r="BQ613" s="21"/>
      <c r="BR613" s="21"/>
      <c r="BS613" s="6"/>
      <c r="BT613" s="194">
        <f t="shared" si="388"/>
        <v>19303616.53568</v>
      </c>
      <c r="BU613" s="194">
        <f t="shared" si="389"/>
        <v>19303616.53568</v>
      </c>
      <c r="BV613" s="194">
        <f t="shared" si="390"/>
        <v>0</v>
      </c>
      <c r="BW613" s="194">
        <f t="shared" si="391"/>
        <v>0</v>
      </c>
      <c r="BX613" s="6"/>
      <c r="BY613" s="6"/>
      <c r="BZ613" s="39">
        <v>600</v>
      </c>
      <c r="CA613" s="39">
        <f t="shared" si="386"/>
        <v>2031</v>
      </c>
      <c r="CB613" s="6"/>
      <c r="CC613" s="39"/>
      <c r="CD613" s="39"/>
      <c r="CE613" s="39"/>
      <c r="CF613" s="39"/>
      <c r="CG613" s="39"/>
      <c r="CH613" s="39"/>
      <c r="CI613" s="39"/>
      <c r="CJ613" s="39"/>
      <c r="CK613" s="39"/>
    </row>
    <row r="614" spans="1:89" s="515" customFormat="1">
      <c r="A614" s="357"/>
      <c r="B614" s="21" t="str">
        <f t="shared" si="363"/>
        <v>PTR</v>
      </c>
      <c r="C614" s="21"/>
      <c r="D614" s="432"/>
      <c r="E614" s="439" t="s">
        <v>3626</v>
      </c>
      <c r="F614" s="439"/>
      <c r="G614" s="273" t="s">
        <v>3123</v>
      </c>
      <c r="H614" s="358" t="s">
        <v>4639</v>
      </c>
      <c r="I614" s="262" t="s">
        <v>3158</v>
      </c>
      <c r="J614" s="262" t="s">
        <v>3504</v>
      </c>
      <c r="K614" s="263">
        <v>5304000</v>
      </c>
      <c r="L614" s="263">
        <v>17967040</v>
      </c>
      <c r="M614" s="263">
        <v>28649920</v>
      </c>
      <c r="N614" s="263">
        <v>0</v>
      </c>
      <c r="O614" s="263">
        <v>0</v>
      </c>
      <c r="P614" s="263">
        <v>0</v>
      </c>
      <c r="Q614" s="263">
        <v>0</v>
      </c>
      <c r="R614" s="263">
        <v>0</v>
      </c>
      <c r="S614" s="263">
        <v>0</v>
      </c>
      <c r="T614" s="263">
        <v>0.2273111672832</v>
      </c>
      <c r="U614" s="263">
        <f t="shared" si="392"/>
        <v>51920960.227311164</v>
      </c>
      <c r="V614" s="196" t="str">
        <f t="shared" si="361"/>
        <v>G/LOS</v>
      </c>
      <c r="W614" s="196" t="s">
        <v>1168</v>
      </c>
      <c r="X614" s="196" t="str">
        <f t="shared" si="354"/>
        <v>Y</v>
      </c>
      <c r="Y614" s="376">
        <f t="shared" si="387"/>
        <v>51920960.227311164</v>
      </c>
      <c r="Z614" s="198"/>
      <c r="AA614" s="376">
        <f t="shared" si="362"/>
        <v>51920960.227311164</v>
      </c>
      <c r="AB614" s="196" t="s">
        <v>1166</v>
      </c>
      <c r="AC614" s="196" t="s">
        <v>1168</v>
      </c>
      <c r="AD614" s="275">
        <v>0.215</v>
      </c>
      <c r="AE614" s="275">
        <f t="shared" si="398"/>
        <v>0.78500000000000003</v>
      </c>
      <c r="AF614" s="275">
        <v>0</v>
      </c>
      <c r="AG614" s="199">
        <v>0.1598</v>
      </c>
      <c r="AH614" s="199">
        <v>0.1598</v>
      </c>
      <c r="AI614" s="377">
        <f t="shared" si="394"/>
        <v>0.1598</v>
      </c>
      <c r="AJ614" s="203">
        <v>0.5</v>
      </c>
      <c r="AK614" s="203">
        <f t="shared" si="356"/>
        <v>0.5</v>
      </c>
      <c r="AL614" s="376">
        <f t="shared" si="395"/>
        <v>43623990.782986842</v>
      </c>
      <c r="AM614" s="376">
        <f t="shared" si="396"/>
        <v>4148484.722162162</v>
      </c>
      <c r="AN614" s="376">
        <f t="shared" si="397"/>
        <v>4148484.722162162</v>
      </c>
      <c r="AO614" s="378" t="s">
        <v>3608</v>
      </c>
      <c r="AP614" s="379" t="s">
        <v>2810</v>
      </c>
      <c r="AQ614" s="279"/>
      <c r="AR614" s="287">
        <f t="shared" si="364"/>
        <v>423789.6</v>
      </c>
      <c r="AS614" s="287">
        <f t="shared" si="365"/>
        <v>1435566.496</v>
      </c>
      <c r="AT614" s="287">
        <f t="shared" si="366"/>
        <v>2289128.608</v>
      </c>
      <c r="AU614" s="287">
        <f t="shared" si="367"/>
        <v>0</v>
      </c>
      <c r="AV614" s="287">
        <f t="shared" si="368"/>
        <v>0</v>
      </c>
      <c r="AW614" s="287">
        <f t="shared" si="369"/>
        <v>0</v>
      </c>
      <c r="AX614" s="287">
        <f t="shared" si="370"/>
        <v>0</v>
      </c>
      <c r="AY614" s="287">
        <f t="shared" si="371"/>
        <v>0</v>
      </c>
      <c r="AZ614" s="287">
        <f t="shared" si="372"/>
        <v>0</v>
      </c>
      <c r="BA614" s="287">
        <f t="shared" si="373"/>
        <v>1.8162162265927678E-2</v>
      </c>
      <c r="BB614" s="16"/>
      <c r="BC614" s="287">
        <f t="shared" si="374"/>
        <v>423789.6</v>
      </c>
      <c r="BD614" s="287">
        <f t="shared" si="375"/>
        <v>1435566.496</v>
      </c>
      <c r="BE614" s="287">
        <f t="shared" si="376"/>
        <v>2289128.608</v>
      </c>
      <c r="BF614" s="287">
        <f t="shared" si="377"/>
        <v>0</v>
      </c>
      <c r="BG614" s="287">
        <f t="shared" si="378"/>
        <v>0</v>
      </c>
      <c r="BH614" s="287">
        <f t="shared" si="379"/>
        <v>0</v>
      </c>
      <c r="BI614" s="287">
        <f t="shared" si="380"/>
        <v>0</v>
      </c>
      <c r="BJ614" s="287">
        <f t="shared" si="381"/>
        <v>0</v>
      </c>
      <c r="BK614" s="287">
        <f t="shared" si="382"/>
        <v>0</v>
      </c>
      <c r="BL614" s="287">
        <f t="shared" si="383"/>
        <v>1.8162162265927678E-2</v>
      </c>
      <c r="BM614" s="16"/>
      <c r="BN614" s="287">
        <f t="shared" si="384"/>
        <v>4148484.722162162</v>
      </c>
      <c r="BO614" s="287">
        <f t="shared" si="385"/>
        <v>4148484.722162162</v>
      </c>
      <c r="BP614" s="432"/>
      <c r="BQ614" s="21"/>
      <c r="BR614" s="21"/>
      <c r="BS614" s="6"/>
      <c r="BT614" s="194">
        <f t="shared" si="388"/>
        <v>8296969.4443243239</v>
      </c>
      <c r="BU614" s="194">
        <f t="shared" si="389"/>
        <v>4148484.722162162</v>
      </c>
      <c r="BV614" s="194">
        <f t="shared" si="390"/>
        <v>4148484.722162162</v>
      </c>
      <c r="BW614" s="194">
        <f t="shared" si="391"/>
        <v>0</v>
      </c>
      <c r="BX614" s="6"/>
      <c r="BY614" s="6"/>
      <c r="BZ614" s="39">
        <v>601</v>
      </c>
      <c r="CA614" s="39">
        <f t="shared" si="386"/>
        <v>2041</v>
      </c>
      <c r="CB614" s="6"/>
      <c r="CC614" s="39"/>
      <c r="CD614" s="39"/>
      <c r="CE614" s="39"/>
      <c r="CF614" s="39"/>
      <c r="CG614" s="39"/>
      <c r="CH614" s="39"/>
      <c r="CI614" s="39"/>
      <c r="CJ614" s="39"/>
      <c r="CK614" s="39"/>
    </row>
    <row r="615" spans="1:89" s="193" customFormat="1" ht="36">
      <c r="A615" s="357"/>
      <c r="B615" s="21" t="str">
        <f t="shared" si="363"/>
        <v>PTR</v>
      </c>
      <c r="C615" s="21"/>
      <c r="D615" s="432"/>
      <c r="E615" s="439" t="s">
        <v>3626</v>
      </c>
      <c r="F615" s="439"/>
      <c r="G615" s="273" t="s">
        <v>3627</v>
      </c>
      <c r="H615" s="358" t="s">
        <v>4443</v>
      </c>
      <c r="I615" s="262" t="s">
        <v>3159</v>
      </c>
      <c r="J615" s="262" t="s">
        <v>3504</v>
      </c>
      <c r="K615" s="263">
        <v>4056000</v>
      </c>
      <c r="L615" s="263">
        <v>12253987.199999999</v>
      </c>
      <c r="M615" s="263">
        <v>31062432.722000003</v>
      </c>
      <c r="N615" s="263">
        <v>66922376.516999997</v>
      </c>
      <c r="O615" s="263">
        <v>1907535.3393600001</v>
      </c>
      <c r="P615" s="263">
        <v>515650.85494399996</v>
      </c>
      <c r="Q615" s="263">
        <v>90997</v>
      </c>
      <c r="R615" s="263">
        <v>0</v>
      </c>
      <c r="S615" s="263">
        <v>0</v>
      </c>
      <c r="T615" s="263">
        <v>0</v>
      </c>
      <c r="U615" s="263">
        <f t="shared" si="392"/>
        <v>116808979.63330401</v>
      </c>
      <c r="V615" s="196" t="str">
        <f t="shared" si="361"/>
        <v>G/LOS</v>
      </c>
      <c r="W615" s="196" t="s">
        <v>1168</v>
      </c>
      <c r="X615" s="196" t="str">
        <f t="shared" si="354"/>
        <v>Y</v>
      </c>
      <c r="Y615" s="376">
        <f t="shared" si="387"/>
        <v>116808979.63330401</v>
      </c>
      <c r="Z615" s="198"/>
      <c r="AA615" s="376">
        <f t="shared" si="362"/>
        <v>116808979.63330401</v>
      </c>
      <c r="AB615" s="196" t="s">
        <v>1166</v>
      </c>
      <c r="AC615" s="196" t="s">
        <v>1168</v>
      </c>
      <c r="AD615" s="275">
        <v>0.215</v>
      </c>
      <c r="AE615" s="275">
        <f t="shared" si="398"/>
        <v>0.78500000000000003</v>
      </c>
      <c r="AF615" s="275">
        <v>0</v>
      </c>
      <c r="AG615" s="199">
        <v>0.1598</v>
      </c>
      <c r="AH615" s="199">
        <v>0.1598</v>
      </c>
      <c r="AI615" s="377">
        <f t="shared" si="394"/>
        <v>0.1598</v>
      </c>
      <c r="AJ615" s="203">
        <v>0.5</v>
      </c>
      <c r="AK615" s="203">
        <f t="shared" si="356"/>
        <v>0.5</v>
      </c>
      <c r="AL615" s="376">
        <f t="shared" si="395"/>
        <v>98142904.687902033</v>
      </c>
      <c r="AM615" s="376">
        <f t="shared" si="396"/>
        <v>9333037.4727009907</v>
      </c>
      <c r="AN615" s="376">
        <f t="shared" si="397"/>
        <v>9333037.4727009907</v>
      </c>
      <c r="AO615" s="378" t="s">
        <v>3608</v>
      </c>
      <c r="AP615" s="379" t="s">
        <v>2810</v>
      </c>
      <c r="AQ615" s="279"/>
      <c r="AR615" s="287">
        <f t="shared" si="364"/>
        <v>324074.40000000002</v>
      </c>
      <c r="AS615" s="287">
        <f t="shared" si="365"/>
        <v>979093.57727999997</v>
      </c>
      <c r="AT615" s="287">
        <f t="shared" si="366"/>
        <v>2481888.3744878001</v>
      </c>
      <c r="AU615" s="287">
        <f t="shared" si="367"/>
        <v>5347097.8837083001</v>
      </c>
      <c r="AV615" s="287">
        <f t="shared" si="368"/>
        <v>152412.073614864</v>
      </c>
      <c r="AW615" s="287">
        <f t="shared" si="369"/>
        <v>41200.503310025597</v>
      </c>
      <c r="AX615" s="287">
        <f t="shared" si="370"/>
        <v>7270.6602999999996</v>
      </c>
      <c r="AY615" s="287">
        <f t="shared" si="371"/>
        <v>0</v>
      </c>
      <c r="AZ615" s="287">
        <f t="shared" si="372"/>
        <v>0</v>
      </c>
      <c r="BA615" s="287">
        <f t="shared" si="373"/>
        <v>0</v>
      </c>
      <c r="BB615" s="16"/>
      <c r="BC615" s="287">
        <f t="shared" si="374"/>
        <v>324074.40000000002</v>
      </c>
      <c r="BD615" s="287">
        <f t="shared" si="375"/>
        <v>979093.57727999997</v>
      </c>
      <c r="BE615" s="287">
        <f t="shared" si="376"/>
        <v>2481888.3744878001</v>
      </c>
      <c r="BF615" s="287">
        <f t="shared" si="377"/>
        <v>5347097.8837083001</v>
      </c>
      <c r="BG615" s="287">
        <f t="shared" si="378"/>
        <v>152412.073614864</v>
      </c>
      <c r="BH615" s="287">
        <f t="shared" si="379"/>
        <v>41200.503310025597</v>
      </c>
      <c r="BI615" s="287">
        <f t="shared" si="380"/>
        <v>7270.6602999999996</v>
      </c>
      <c r="BJ615" s="287">
        <f t="shared" si="381"/>
        <v>0</v>
      </c>
      <c r="BK615" s="287">
        <f t="shared" si="382"/>
        <v>0</v>
      </c>
      <c r="BL615" s="287">
        <f t="shared" si="383"/>
        <v>0</v>
      </c>
      <c r="BM615" s="16"/>
      <c r="BN615" s="287">
        <f t="shared" si="384"/>
        <v>9333037.472700987</v>
      </c>
      <c r="BO615" s="287">
        <f t="shared" si="385"/>
        <v>9333037.472700987</v>
      </c>
      <c r="BP615" s="432"/>
      <c r="BQ615" s="21"/>
      <c r="BR615" s="21"/>
      <c r="BS615" s="6"/>
      <c r="BT615" s="194">
        <f t="shared" si="388"/>
        <v>18666074.945401974</v>
      </c>
      <c r="BU615" s="194">
        <f t="shared" si="389"/>
        <v>9333037.4727009907</v>
      </c>
      <c r="BV615" s="194">
        <f t="shared" si="390"/>
        <v>9333037.4727009907</v>
      </c>
      <c r="BW615" s="194">
        <f t="shared" si="391"/>
        <v>0</v>
      </c>
      <c r="BX615" s="6"/>
      <c r="BY615" s="6"/>
      <c r="BZ615" s="39">
        <v>602</v>
      </c>
      <c r="CA615" s="39">
        <f t="shared" si="386"/>
        <v>2041</v>
      </c>
      <c r="CB615" s="6"/>
      <c r="CC615" s="39"/>
      <c r="CD615" s="39"/>
      <c r="CE615" s="39"/>
      <c r="CF615" s="39"/>
      <c r="CG615" s="39"/>
      <c r="CH615" s="39"/>
      <c r="CI615" s="39"/>
      <c r="CJ615" s="39"/>
      <c r="CK615" s="39"/>
    </row>
    <row r="616" spans="1:89" s="193" customFormat="1" ht="36">
      <c r="A616" s="357"/>
      <c r="B616" s="21" t="str">
        <f t="shared" si="363"/>
        <v>PTR</v>
      </c>
      <c r="C616" s="21"/>
      <c r="D616" s="432"/>
      <c r="E616" s="439" t="s">
        <v>3626</v>
      </c>
      <c r="F616" s="439"/>
      <c r="G616" s="273" t="s">
        <v>3627</v>
      </c>
      <c r="H616" s="358" t="s">
        <v>4443</v>
      </c>
      <c r="I616" s="262" t="s">
        <v>4320</v>
      </c>
      <c r="J616" s="262" t="s">
        <v>3504</v>
      </c>
      <c r="K616" s="263">
        <v>-2068560</v>
      </c>
      <c r="L616" s="263">
        <v>-6249533.4720000001</v>
      </c>
      <c r="M616" s="263">
        <v>-15841840.688220002</v>
      </c>
      <c r="N616" s="263">
        <v>-34130412.023670003</v>
      </c>
      <c r="O616" s="263">
        <v>-972843.02307360002</v>
      </c>
      <c r="P616" s="263">
        <v>-262981.93602143996</v>
      </c>
      <c r="Q616" s="263">
        <v>-46408.47</v>
      </c>
      <c r="R616" s="263">
        <v>0</v>
      </c>
      <c r="S616" s="263">
        <v>0</v>
      </c>
      <c r="T616" s="263">
        <v>0</v>
      </c>
      <c r="U616" s="263">
        <f t="shared" si="392"/>
        <v>-59572579.612985037</v>
      </c>
      <c r="V616" s="196" t="str">
        <f t="shared" si="361"/>
        <v>G/LOS</v>
      </c>
      <c r="W616" s="196" t="s">
        <v>1168</v>
      </c>
      <c r="X616" s="196" t="str">
        <f t="shared" ref="X616:X631" si="399">IF(LEFT(V616,1)="G","Y","N")</f>
        <v>Y</v>
      </c>
      <c r="Y616" s="376">
        <f t="shared" si="387"/>
        <v>-59572579.612985037</v>
      </c>
      <c r="Z616" s="198"/>
      <c r="AA616" s="376">
        <f t="shared" si="362"/>
        <v>-59572579.612985037</v>
      </c>
      <c r="AB616" s="196" t="s">
        <v>1166</v>
      </c>
      <c r="AC616" s="196" t="s">
        <v>1168</v>
      </c>
      <c r="AD616" s="275">
        <v>0.215</v>
      </c>
      <c r="AE616" s="275">
        <f t="shared" si="398"/>
        <v>0.78500000000000003</v>
      </c>
      <c r="AF616" s="275">
        <v>0</v>
      </c>
      <c r="AG616" s="199">
        <v>0.1598</v>
      </c>
      <c r="AH616" s="199">
        <v>0.1598</v>
      </c>
      <c r="AI616" s="377">
        <f t="shared" si="394"/>
        <v>0.1598</v>
      </c>
      <c r="AJ616" s="203">
        <v>0.5</v>
      </c>
      <c r="AK616" s="203">
        <f t="shared" si="356"/>
        <v>0.5</v>
      </c>
      <c r="AL616" s="376">
        <f t="shared" si="395"/>
        <v>-50052881.390830033</v>
      </c>
      <c r="AM616" s="376">
        <f t="shared" si="396"/>
        <v>-4759849.1110775042</v>
      </c>
      <c r="AN616" s="376">
        <f t="shared" si="397"/>
        <v>-4759849.1110775042</v>
      </c>
      <c r="AO616" s="378" t="s">
        <v>3608</v>
      </c>
      <c r="AP616" s="379" t="s">
        <v>2810</v>
      </c>
      <c r="AQ616" s="279"/>
      <c r="AR616" s="287">
        <f t="shared" si="364"/>
        <v>-165277.94399999999</v>
      </c>
      <c r="AS616" s="287">
        <f t="shared" si="365"/>
        <v>-499337.72441279999</v>
      </c>
      <c r="AT616" s="287">
        <f t="shared" si="366"/>
        <v>-1265763.070988778</v>
      </c>
      <c r="AU616" s="287">
        <f t="shared" si="367"/>
        <v>-2727019.9206912331</v>
      </c>
      <c r="AV616" s="287">
        <f t="shared" si="368"/>
        <v>-77730.157543580644</v>
      </c>
      <c r="AW616" s="287">
        <f t="shared" si="369"/>
        <v>-21012.256688113051</v>
      </c>
      <c r="AX616" s="287">
        <f t="shared" si="370"/>
        <v>-3708.0367529999999</v>
      </c>
      <c r="AY616" s="287">
        <f t="shared" si="371"/>
        <v>0</v>
      </c>
      <c r="AZ616" s="287">
        <f t="shared" si="372"/>
        <v>0</v>
      </c>
      <c r="BA616" s="287">
        <f t="shared" si="373"/>
        <v>0</v>
      </c>
      <c r="BB616" s="16"/>
      <c r="BC616" s="287">
        <f t="shared" si="374"/>
        <v>-165277.94399999999</v>
      </c>
      <c r="BD616" s="287">
        <f t="shared" si="375"/>
        <v>-499337.72441279999</v>
      </c>
      <c r="BE616" s="287">
        <f t="shared" si="376"/>
        <v>-1265763.070988778</v>
      </c>
      <c r="BF616" s="287">
        <f t="shared" si="377"/>
        <v>-2727019.9206912331</v>
      </c>
      <c r="BG616" s="287">
        <f t="shared" si="378"/>
        <v>-77730.157543580644</v>
      </c>
      <c r="BH616" s="287">
        <f t="shared" si="379"/>
        <v>-21012.256688113051</v>
      </c>
      <c r="BI616" s="287">
        <f t="shared" si="380"/>
        <v>-3708.0367529999999</v>
      </c>
      <c r="BJ616" s="287">
        <f t="shared" si="381"/>
        <v>0</v>
      </c>
      <c r="BK616" s="287">
        <f t="shared" si="382"/>
        <v>0</v>
      </c>
      <c r="BL616" s="287">
        <f t="shared" si="383"/>
        <v>0</v>
      </c>
      <c r="BM616" s="16"/>
      <c r="BN616" s="287">
        <f t="shared" si="384"/>
        <v>-4759849.1110775052</v>
      </c>
      <c r="BO616" s="287">
        <f t="shared" si="385"/>
        <v>-4759849.1110775052</v>
      </c>
      <c r="BP616" s="432"/>
      <c r="BQ616" s="21"/>
      <c r="BR616" s="21"/>
      <c r="BS616" s="6"/>
      <c r="BT616" s="194">
        <f t="shared" si="388"/>
        <v>-9519698.2221550103</v>
      </c>
      <c r="BU616" s="194">
        <f t="shared" si="389"/>
        <v>-4759849.1110775042</v>
      </c>
      <c r="BV616" s="194">
        <f t="shared" si="390"/>
        <v>-4759849.1110775042</v>
      </c>
      <c r="BW616" s="194">
        <f t="shared" si="391"/>
        <v>0</v>
      </c>
      <c r="BX616" s="6"/>
      <c r="BY616" s="6"/>
      <c r="BZ616" s="39">
        <v>603</v>
      </c>
      <c r="CA616" s="39">
        <f t="shared" si="386"/>
        <v>2041</v>
      </c>
      <c r="CB616" s="6"/>
      <c r="CC616" s="39"/>
      <c r="CD616" s="39"/>
      <c r="CE616" s="39"/>
      <c r="CF616" s="39"/>
      <c r="CG616" s="39"/>
      <c r="CH616" s="39"/>
      <c r="CI616" s="39"/>
      <c r="CJ616" s="39"/>
      <c r="CK616" s="39"/>
    </row>
    <row r="617" spans="1:89" s="193" customFormat="1" ht="24">
      <c r="A617" s="357"/>
      <c r="B617" s="21" t="str">
        <f t="shared" si="363"/>
        <v>PTR</v>
      </c>
      <c r="C617" s="21"/>
      <c r="D617" s="432"/>
      <c r="E617" s="439" t="s">
        <v>3626</v>
      </c>
      <c r="F617" s="439"/>
      <c r="G617" s="273" t="s">
        <v>4653</v>
      </c>
      <c r="H617" s="358" t="s">
        <v>4454</v>
      </c>
      <c r="I617" s="262" t="s">
        <v>3904</v>
      </c>
      <c r="J617" s="262" t="s">
        <v>3504</v>
      </c>
      <c r="K617" s="263">
        <v>-3479666.6666666698</v>
      </c>
      <c r="L617" s="263">
        <v>-3479666.6666666698</v>
      </c>
      <c r="M617" s="263">
        <v>-3479666.6666666698</v>
      </c>
      <c r="N617" s="263">
        <v>0</v>
      </c>
      <c r="O617" s="263">
        <v>0</v>
      </c>
      <c r="P617" s="263">
        <v>0</v>
      </c>
      <c r="Q617" s="263">
        <v>0</v>
      </c>
      <c r="R617" s="263">
        <v>0</v>
      </c>
      <c r="S617" s="263">
        <v>0</v>
      </c>
      <c r="T617" s="263">
        <v>0</v>
      </c>
      <c r="U617" s="263">
        <f t="shared" si="392"/>
        <v>-10439000.000000009</v>
      </c>
      <c r="V617" s="196" t="str">
        <f t="shared" si="361"/>
        <v>G/LOS</v>
      </c>
      <c r="W617" s="196" t="s">
        <v>1168</v>
      </c>
      <c r="X617" s="196" t="str">
        <f t="shared" si="399"/>
        <v>Y</v>
      </c>
      <c r="Y617" s="376">
        <f t="shared" si="387"/>
        <v>-10439000.000000009</v>
      </c>
      <c r="Z617" s="198"/>
      <c r="AA617" s="376">
        <f t="shared" si="362"/>
        <v>-10439000.000000009</v>
      </c>
      <c r="AB617" s="196" t="s">
        <v>1166</v>
      </c>
      <c r="AC617" s="196" t="s">
        <v>3624</v>
      </c>
      <c r="AD617" s="518">
        <v>0.23</v>
      </c>
      <c r="AE617" s="275">
        <v>0.77</v>
      </c>
      <c r="AF617" s="275">
        <v>0</v>
      </c>
      <c r="AG617" s="199">
        <v>0.23</v>
      </c>
      <c r="AH617" s="199">
        <v>0.23</v>
      </c>
      <c r="AI617" s="377">
        <f t="shared" si="394"/>
        <v>0.23</v>
      </c>
      <c r="AJ617" s="203">
        <v>0.5</v>
      </c>
      <c r="AK617" s="203">
        <f t="shared" si="356"/>
        <v>0.5</v>
      </c>
      <c r="AL617" s="376">
        <f t="shared" si="395"/>
        <v>-8038030.0000000075</v>
      </c>
      <c r="AM617" s="376">
        <f t="shared" si="396"/>
        <v>-1200485.0000000012</v>
      </c>
      <c r="AN617" s="376">
        <f t="shared" si="397"/>
        <v>-1200485.0000000012</v>
      </c>
      <c r="AO617" s="378" t="s">
        <v>3608</v>
      </c>
      <c r="AP617" s="690" t="s">
        <v>2812</v>
      </c>
      <c r="AQ617" s="279"/>
      <c r="AR617" s="287">
        <f t="shared" si="364"/>
        <v>-400161.66666666704</v>
      </c>
      <c r="AS617" s="287">
        <f t="shared" si="365"/>
        <v>-400161.66666666704</v>
      </c>
      <c r="AT617" s="287">
        <f t="shared" si="366"/>
        <v>-400161.66666666704</v>
      </c>
      <c r="AU617" s="287">
        <f t="shared" si="367"/>
        <v>0</v>
      </c>
      <c r="AV617" s="287">
        <f t="shared" si="368"/>
        <v>0</v>
      </c>
      <c r="AW617" s="287">
        <f t="shared" si="369"/>
        <v>0</v>
      </c>
      <c r="AX617" s="287">
        <f t="shared" si="370"/>
        <v>0</v>
      </c>
      <c r="AY617" s="287">
        <f t="shared" si="371"/>
        <v>0</v>
      </c>
      <c r="AZ617" s="287">
        <f t="shared" si="372"/>
        <v>0</v>
      </c>
      <c r="BA617" s="287">
        <f t="shared" si="373"/>
        <v>0</v>
      </c>
      <c r="BB617" s="16"/>
      <c r="BC617" s="287">
        <f t="shared" si="374"/>
        <v>-400161.66666666704</v>
      </c>
      <c r="BD617" s="287">
        <f t="shared" si="375"/>
        <v>-400161.66666666704</v>
      </c>
      <c r="BE617" s="287">
        <f t="shared" si="376"/>
        <v>-400161.66666666704</v>
      </c>
      <c r="BF617" s="287">
        <f t="shared" si="377"/>
        <v>0</v>
      </c>
      <c r="BG617" s="287">
        <f t="shared" si="378"/>
        <v>0</v>
      </c>
      <c r="BH617" s="287">
        <f t="shared" si="379"/>
        <v>0</v>
      </c>
      <c r="BI617" s="287">
        <f t="shared" si="380"/>
        <v>0</v>
      </c>
      <c r="BJ617" s="287">
        <f t="shared" si="381"/>
        <v>0</v>
      </c>
      <c r="BK617" s="287">
        <f t="shared" si="382"/>
        <v>0</v>
      </c>
      <c r="BL617" s="287">
        <f t="shared" si="383"/>
        <v>0</v>
      </c>
      <c r="BM617" s="16"/>
      <c r="BN617" s="287">
        <f t="shared" si="384"/>
        <v>-1200485.0000000012</v>
      </c>
      <c r="BO617" s="287">
        <f t="shared" si="385"/>
        <v>-1200485.0000000012</v>
      </c>
      <c r="BP617" s="431"/>
      <c r="BQ617" s="21"/>
      <c r="BR617" s="21"/>
      <c r="BS617" s="6"/>
      <c r="BT617" s="194">
        <f t="shared" si="388"/>
        <v>-2400970.0000000023</v>
      </c>
      <c r="BU617" s="194">
        <f t="shared" si="389"/>
        <v>-1200485.0000000012</v>
      </c>
      <c r="BV617" s="194">
        <f t="shared" si="390"/>
        <v>-1200485.0000000012</v>
      </c>
      <c r="BW617" s="194">
        <f t="shared" si="391"/>
        <v>0</v>
      </c>
      <c r="BX617" s="6"/>
      <c r="BY617" s="6"/>
      <c r="BZ617" s="39">
        <v>604</v>
      </c>
      <c r="CA617" s="39">
        <f t="shared" si="386"/>
        <v>2041</v>
      </c>
      <c r="CB617" s="6"/>
      <c r="CC617" s="39"/>
      <c r="CD617" s="39"/>
      <c r="CE617" s="39"/>
      <c r="CF617" s="39"/>
      <c r="CG617" s="39"/>
      <c r="CH617" s="39"/>
      <c r="CI617" s="39"/>
      <c r="CJ617" s="39"/>
      <c r="CK617" s="39"/>
    </row>
    <row r="618" spans="1:89" s="193" customFormat="1" ht="36">
      <c r="A618" s="357"/>
      <c r="B618" s="21" t="str">
        <f t="shared" si="363"/>
        <v>PTR</v>
      </c>
      <c r="C618" s="21"/>
      <c r="D618" s="432"/>
      <c r="E618" s="439" t="s">
        <v>3626</v>
      </c>
      <c r="F618" s="439"/>
      <c r="G618" s="273" t="s">
        <v>3621</v>
      </c>
      <c r="H618" s="358" t="s">
        <v>4436</v>
      </c>
      <c r="I618" s="262" t="s">
        <v>3161</v>
      </c>
      <c r="J618" s="262" t="s">
        <v>3504</v>
      </c>
      <c r="K618" s="263">
        <v>0</v>
      </c>
      <c r="L618" s="263">
        <v>7098000</v>
      </c>
      <c r="M618" s="263">
        <v>11634080</v>
      </c>
      <c r="N618" s="263">
        <v>28444580.399999999</v>
      </c>
      <c r="O618" s="263">
        <v>35484800.064000003</v>
      </c>
      <c r="P618" s="263">
        <v>56589167.5506</v>
      </c>
      <c r="Q618" s="263">
        <v>52749924.079247996</v>
      </c>
      <c r="R618" s="263">
        <v>38583125.080757581</v>
      </c>
      <c r="S618" s="263">
        <v>52985953.771108925</v>
      </c>
      <c r="T618" s="263">
        <v>54430369.054285496</v>
      </c>
      <c r="U618" s="263">
        <f t="shared" si="392"/>
        <v>338000000</v>
      </c>
      <c r="V618" s="196" t="str">
        <f t="shared" si="361"/>
        <v>G/LOS</v>
      </c>
      <c r="W618" s="196" t="s">
        <v>1168</v>
      </c>
      <c r="X618" s="196" t="str">
        <f t="shared" si="399"/>
        <v>Y</v>
      </c>
      <c r="Y618" s="376">
        <f t="shared" si="387"/>
        <v>338000000</v>
      </c>
      <c r="Z618" s="198"/>
      <c r="AA618" s="376">
        <f t="shared" si="362"/>
        <v>338000000</v>
      </c>
      <c r="AB618" s="196" t="s">
        <v>1166</v>
      </c>
      <c r="AC618" s="196" t="s">
        <v>1168</v>
      </c>
      <c r="AD618" s="275">
        <v>0.215</v>
      </c>
      <c r="AE618" s="275">
        <f>1-AD618</f>
        <v>0.78500000000000003</v>
      </c>
      <c r="AF618" s="275">
        <v>0</v>
      </c>
      <c r="AG618" s="199">
        <v>0.1598</v>
      </c>
      <c r="AH618" s="199">
        <v>0.1598</v>
      </c>
      <c r="AI618" s="377">
        <f t="shared" si="394"/>
        <v>0.1598</v>
      </c>
      <c r="AJ618" s="203">
        <v>0.5</v>
      </c>
      <c r="AK618" s="203">
        <f t="shared" si="356"/>
        <v>0.5</v>
      </c>
      <c r="AL618" s="376">
        <f t="shared" si="395"/>
        <v>283987600</v>
      </c>
      <c r="AM618" s="376">
        <f t="shared" si="396"/>
        <v>27006200</v>
      </c>
      <c r="AN618" s="376">
        <f t="shared" si="397"/>
        <v>27006200</v>
      </c>
      <c r="AO618" s="378" t="s">
        <v>3608</v>
      </c>
      <c r="AP618" s="379" t="s">
        <v>2810</v>
      </c>
      <c r="AQ618" s="279"/>
      <c r="AR618" s="287">
        <f t="shared" si="364"/>
        <v>0</v>
      </c>
      <c r="AS618" s="287">
        <f t="shared" si="365"/>
        <v>567130.19999999995</v>
      </c>
      <c r="AT618" s="287">
        <f t="shared" si="366"/>
        <v>929562.99199999997</v>
      </c>
      <c r="AU618" s="287">
        <f t="shared" si="367"/>
        <v>2272721.9739599996</v>
      </c>
      <c r="AV618" s="287">
        <f t="shared" si="368"/>
        <v>2835235.5251136003</v>
      </c>
      <c r="AW618" s="287">
        <f t="shared" si="369"/>
        <v>4521474.4872929398</v>
      </c>
      <c r="AX618" s="287">
        <f t="shared" si="370"/>
        <v>4214718.9339319151</v>
      </c>
      <c r="AY618" s="287">
        <f t="shared" si="371"/>
        <v>3082791.6939525306</v>
      </c>
      <c r="AZ618" s="287">
        <f t="shared" si="372"/>
        <v>4233577.7063116031</v>
      </c>
      <c r="BA618" s="287">
        <f t="shared" si="373"/>
        <v>4348986.4874374112</v>
      </c>
      <c r="BB618" s="16"/>
      <c r="BC618" s="287">
        <f t="shared" si="374"/>
        <v>0</v>
      </c>
      <c r="BD618" s="287">
        <f t="shared" si="375"/>
        <v>567130.19999999995</v>
      </c>
      <c r="BE618" s="287">
        <f t="shared" si="376"/>
        <v>929562.99199999997</v>
      </c>
      <c r="BF618" s="287">
        <f t="shared" si="377"/>
        <v>2272721.9739599996</v>
      </c>
      <c r="BG618" s="287">
        <f t="shared" si="378"/>
        <v>2835235.5251136003</v>
      </c>
      <c r="BH618" s="287">
        <f t="shared" si="379"/>
        <v>4521474.4872929398</v>
      </c>
      <c r="BI618" s="287">
        <f t="shared" si="380"/>
        <v>4214718.9339319151</v>
      </c>
      <c r="BJ618" s="287">
        <f t="shared" si="381"/>
        <v>3082791.6939525306</v>
      </c>
      <c r="BK618" s="287">
        <f t="shared" si="382"/>
        <v>4233577.7063116031</v>
      </c>
      <c r="BL618" s="287">
        <f t="shared" si="383"/>
        <v>4348986.4874374112</v>
      </c>
      <c r="BM618" s="16"/>
      <c r="BN618" s="287">
        <f t="shared" si="384"/>
        <v>27006200</v>
      </c>
      <c r="BO618" s="287">
        <f t="shared" si="385"/>
        <v>27006200</v>
      </c>
      <c r="BP618" s="432">
        <f>BN618-AM618</f>
        <v>0</v>
      </c>
      <c r="BQ618" s="21"/>
      <c r="BR618" s="21"/>
      <c r="BS618" s="6" t="e">
        <v>#VALUE!</v>
      </c>
      <c r="BT618" s="194">
        <f t="shared" si="388"/>
        <v>54012400</v>
      </c>
      <c r="BU618" s="194">
        <f t="shared" si="389"/>
        <v>27006200</v>
      </c>
      <c r="BV618" s="194">
        <f t="shared" si="390"/>
        <v>27006200</v>
      </c>
      <c r="BW618" s="194">
        <f t="shared" si="391"/>
        <v>0</v>
      </c>
      <c r="BX618" s="6"/>
      <c r="BY618" s="6"/>
      <c r="BZ618" s="39">
        <v>605</v>
      </c>
      <c r="CA618" s="39">
        <f t="shared" si="386"/>
        <v>2041</v>
      </c>
      <c r="CB618" s="6"/>
      <c r="CC618" s="39"/>
      <c r="CD618" s="39"/>
      <c r="CE618" s="39"/>
      <c r="CF618" s="39"/>
      <c r="CG618" s="39"/>
      <c r="CH618" s="39"/>
      <c r="CI618" s="39"/>
      <c r="CJ618" s="39"/>
      <c r="CK618" s="39"/>
    </row>
    <row r="619" spans="1:89" s="193" customFormat="1" ht="48">
      <c r="A619" s="357"/>
      <c r="B619" s="21" t="str">
        <f t="shared" si="363"/>
        <v>PTR</v>
      </c>
      <c r="C619" s="21"/>
      <c r="D619" s="440"/>
      <c r="E619" s="441" t="s">
        <v>3626</v>
      </c>
      <c r="F619" s="441"/>
      <c r="G619" s="273" t="s">
        <v>4654</v>
      </c>
      <c r="H619" s="358" t="s">
        <v>4452</v>
      </c>
      <c r="I619" s="262" t="s">
        <v>3158</v>
      </c>
      <c r="J619" s="262"/>
      <c r="K619" s="263">
        <v>0</v>
      </c>
      <c r="L619" s="263">
        <v>0</v>
      </c>
      <c r="M619" s="263">
        <v>0</v>
      </c>
      <c r="N619" s="263">
        <v>1814383.26</v>
      </c>
      <c r="O619" s="263">
        <v>2757264.7788</v>
      </c>
      <c r="P619" s="263">
        <v>1051980.1938750001</v>
      </c>
      <c r="Q619" s="263">
        <v>11825059.871092079</v>
      </c>
      <c r="R619" s="263">
        <v>3310941.0613440094</v>
      </c>
      <c r="S619" s="263">
        <v>1284826.1197489086</v>
      </c>
      <c r="T619" s="263">
        <v>127070.71514000195</v>
      </c>
      <c r="U619" s="263">
        <f t="shared" si="392"/>
        <v>22171526</v>
      </c>
      <c r="V619" s="196" t="str">
        <f t="shared" si="361"/>
        <v>G/LOS</v>
      </c>
      <c r="W619" s="196" t="s">
        <v>1168</v>
      </c>
      <c r="X619" s="196" t="str">
        <f t="shared" si="399"/>
        <v>Y</v>
      </c>
      <c r="Y619" s="376">
        <f t="shared" si="387"/>
        <v>22171526</v>
      </c>
      <c r="Z619" s="198"/>
      <c r="AA619" s="376">
        <f t="shared" si="362"/>
        <v>22171526</v>
      </c>
      <c r="AB619" s="196" t="s">
        <v>1166</v>
      </c>
      <c r="AC619" s="196" t="s">
        <v>1168</v>
      </c>
      <c r="AD619" s="275">
        <v>0.215</v>
      </c>
      <c r="AE619" s="275">
        <f>1-AD619</f>
        <v>0.78500000000000003</v>
      </c>
      <c r="AF619" s="275">
        <v>0</v>
      </c>
      <c r="AG619" s="199">
        <v>0.1598</v>
      </c>
      <c r="AH619" s="199">
        <v>0.1598</v>
      </c>
      <c r="AI619" s="377">
        <f t="shared" si="394"/>
        <v>0.1598</v>
      </c>
      <c r="AJ619" s="203">
        <v>0.5</v>
      </c>
      <c r="AK619" s="203">
        <f t="shared" si="356"/>
        <v>0.5</v>
      </c>
      <c r="AL619" s="376">
        <f t="shared" si="395"/>
        <v>18628516.145200003</v>
      </c>
      <c r="AM619" s="376">
        <f t="shared" si="396"/>
        <v>1771504.9273999999</v>
      </c>
      <c r="AN619" s="376">
        <f t="shared" si="397"/>
        <v>1771504.9273999999</v>
      </c>
      <c r="AO619" s="378" t="s">
        <v>3607</v>
      </c>
      <c r="AP619" s="379" t="s">
        <v>2812</v>
      </c>
      <c r="AQ619" s="279"/>
      <c r="AR619" s="287">
        <f t="shared" si="364"/>
        <v>0</v>
      </c>
      <c r="AS619" s="287">
        <f t="shared" si="365"/>
        <v>0</v>
      </c>
      <c r="AT619" s="287">
        <f t="shared" si="366"/>
        <v>0</v>
      </c>
      <c r="AU619" s="287">
        <f t="shared" si="367"/>
        <v>144969.22247400001</v>
      </c>
      <c r="AV619" s="287">
        <f t="shared" si="368"/>
        <v>220305.45582611999</v>
      </c>
      <c r="AW619" s="287">
        <f t="shared" si="369"/>
        <v>84053.217490612515</v>
      </c>
      <c r="AX619" s="287">
        <f t="shared" si="370"/>
        <v>944822.28370025707</v>
      </c>
      <c r="AY619" s="287">
        <f t="shared" si="371"/>
        <v>264544.19080138637</v>
      </c>
      <c r="AZ619" s="287">
        <f t="shared" si="372"/>
        <v>102657.6069679378</v>
      </c>
      <c r="BA619" s="287">
        <f t="shared" si="373"/>
        <v>10152.950139686156</v>
      </c>
      <c r="BB619" s="16"/>
      <c r="BC619" s="287">
        <f t="shared" si="374"/>
        <v>0</v>
      </c>
      <c r="BD619" s="287">
        <f t="shared" si="375"/>
        <v>0</v>
      </c>
      <c r="BE619" s="287">
        <f t="shared" si="376"/>
        <v>0</v>
      </c>
      <c r="BF619" s="287">
        <f t="shared" si="377"/>
        <v>144969.22247400001</v>
      </c>
      <c r="BG619" s="287">
        <f t="shared" si="378"/>
        <v>220305.45582611999</v>
      </c>
      <c r="BH619" s="287">
        <f t="shared" si="379"/>
        <v>84053.217490612515</v>
      </c>
      <c r="BI619" s="287">
        <f t="shared" si="380"/>
        <v>944822.28370025707</v>
      </c>
      <c r="BJ619" s="287">
        <f t="shared" si="381"/>
        <v>264544.19080138637</v>
      </c>
      <c r="BK619" s="287">
        <f t="shared" si="382"/>
        <v>102657.6069679378</v>
      </c>
      <c r="BL619" s="287">
        <f t="shared" si="383"/>
        <v>10152.950139686156</v>
      </c>
      <c r="BM619" s="16"/>
      <c r="BN619" s="287">
        <f t="shared" si="384"/>
        <v>1771504.9273999999</v>
      </c>
      <c r="BO619" s="287">
        <f t="shared" si="385"/>
        <v>1771504.9273999999</v>
      </c>
      <c r="BP619" s="431"/>
      <c r="BQ619" s="21"/>
      <c r="BR619" s="21"/>
      <c r="BS619" s="6" t="e">
        <v>#VALUE!</v>
      </c>
      <c r="BT619" s="194">
        <f t="shared" si="388"/>
        <v>3543009.8547999999</v>
      </c>
      <c r="BU619" s="194">
        <f t="shared" si="389"/>
        <v>1771504.9273999999</v>
      </c>
      <c r="BV619" s="194">
        <f t="shared" si="390"/>
        <v>1771504.9273999999</v>
      </c>
      <c r="BW619" s="194">
        <f t="shared" si="391"/>
        <v>0</v>
      </c>
      <c r="BX619" s="6"/>
      <c r="BY619" s="6"/>
      <c r="BZ619" s="39">
        <v>606</v>
      </c>
      <c r="CA619" s="39">
        <f t="shared" si="386"/>
        <v>2041</v>
      </c>
      <c r="CB619" s="6"/>
      <c r="CC619" s="39"/>
      <c r="CD619" s="39"/>
      <c r="CE619" s="39"/>
      <c r="CF619" s="39"/>
      <c r="CG619" s="39"/>
      <c r="CH619" s="39"/>
      <c r="CI619" s="39"/>
      <c r="CJ619" s="39"/>
      <c r="CK619" s="39"/>
    </row>
    <row r="620" spans="1:89" s="193" customFormat="1" ht="36">
      <c r="A620" s="357"/>
      <c r="B620" s="21" t="str">
        <f t="shared" si="363"/>
        <v>PTR</v>
      </c>
      <c r="C620" s="21"/>
      <c r="D620" s="432"/>
      <c r="E620" s="439" t="s">
        <v>3626</v>
      </c>
      <c r="F620" s="439"/>
      <c r="G620" s="273" t="s">
        <v>2477</v>
      </c>
      <c r="H620" s="358" t="s">
        <v>4453</v>
      </c>
      <c r="I620" s="262" t="s">
        <v>3161</v>
      </c>
      <c r="J620" s="262"/>
      <c r="K620" s="263">
        <v>7280000</v>
      </c>
      <c r="L620" s="263">
        <v>2952768</v>
      </c>
      <c r="M620" s="263">
        <v>3700370.4</v>
      </c>
      <c r="N620" s="263">
        <v>0</v>
      </c>
      <c r="O620" s="263">
        <v>0</v>
      </c>
      <c r="P620" s="263">
        <v>0</v>
      </c>
      <c r="Q620" s="263">
        <v>0</v>
      </c>
      <c r="R620" s="263">
        <v>0</v>
      </c>
      <c r="S620" s="263">
        <v>0</v>
      </c>
      <c r="T620" s="263">
        <v>0</v>
      </c>
      <c r="U620" s="263">
        <f t="shared" si="392"/>
        <v>13933138.4</v>
      </c>
      <c r="V620" s="196" t="str">
        <f t="shared" si="361"/>
        <v>G/LOS</v>
      </c>
      <c r="W620" s="196" t="s">
        <v>1168</v>
      </c>
      <c r="X620" s="196" t="str">
        <f t="shared" si="399"/>
        <v>Y</v>
      </c>
      <c r="Y620" s="376">
        <f t="shared" si="387"/>
        <v>13933138.4</v>
      </c>
      <c r="Z620" s="198"/>
      <c r="AA620" s="376">
        <f t="shared" si="362"/>
        <v>13933138.4</v>
      </c>
      <c r="AB620" s="196" t="s">
        <v>1166</v>
      </c>
      <c r="AC620" s="196" t="s">
        <v>1168</v>
      </c>
      <c r="AD620" s="275">
        <v>0.215</v>
      </c>
      <c r="AE620" s="275">
        <f>1-AD620</f>
        <v>0.78500000000000003</v>
      </c>
      <c r="AF620" s="275">
        <v>0</v>
      </c>
      <c r="AG620" s="199">
        <v>0.1598</v>
      </c>
      <c r="AH620" s="199">
        <v>0.1598</v>
      </c>
      <c r="AI620" s="377">
        <f t="shared" si="394"/>
        <v>0.1598</v>
      </c>
      <c r="AJ620" s="203">
        <v>1</v>
      </c>
      <c r="AK620" s="203">
        <f t="shared" si="356"/>
        <v>0</v>
      </c>
      <c r="AL620" s="376">
        <f t="shared" si="395"/>
        <v>11706622.883680001</v>
      </c>
      <c r="AM620" s="376">
        <f t="shared" si="396"/>
        <v>2226515.5163199999</v>
      </c>
      <c r="AN620" s="376">
        <f t="shared" si="397"/>
        <v>0</v>
      </c>
      <c r="AO620" s="378" t="s">
        <v>3607</v>
      </c>
      <c r="AP620" s="379" t="s">
        <v>2812</v>
      </c>
      <c r="AQ620" s="279"/>
      <c r="AR620" s="287">
        <f t="shared" si="364"/>
        <v>1163344</v>
      </c>
      <c r="AS620" s="287">
        <f t="shared" si="365"/>
        <v>471852.32640000002</v>
      </c>
      <c r="AT620" s="287">
        <f t="shared" si="366"/>
        <v>591319.18992000003</v>
      </c>
      <c r="AU620" s="287">
        <f t="shared" si="367"/>
        <v>0</v>
      </c>
      <c r="AV620" s="287">
        <f t="shared" si="368"/>
        <v>0</v>
      </c>
      <c r="AW620" s="287">
        <f t="shared" si="369"/>
        <v>0</v>
      </c>
      <c r="AX620" s="287">
        <f t="shared" si="370"/>
        <v>0</v>
      </c>
      <c r="AY620" s="287">
        <f t="shared" si="371"/>
        <v>0</v>
      </c>
      <c r="AZ620" s="287">
        <f t="shared" si="372"/>
        <v>0</v>
      </c>
      <c r="BA620" s="287">
        <f t="shared" si="373"/>
        <v>0</v>
      </c>
      <c r="BB620" s="16"/>
      <c r="BC620" s="287">
        <f t="shared" si="374"/>
        <v>0</v>
      </c>
      <c r="BD620" s="287">
        <f t="shared" si="375"/>
        <v>0</v>
      </c>
      <c r="BE620" s="287">
        <f t="shared" si="376"/>
        <v>0</v>
      </c>
      <c r="BF620" s="287">
        <f t="shared" si="377"/>
        <v>0</v>
      </c>
      <c r="BG620" s="287">
        <f t="shared" si="378"/>
        <v>0</v>
      </c>
      <c r="BH620" s="287">
        <f t="shared" si="379"/>
        <v>0</v>
      </c>
      <c r="BI620" s="287">
        <f t="shared" si="380"/>
        <v>0</v>
      </c>
      <c r="BJ620" s="287">
        <f t="shared" si="381"/>
        <v>0</v>
      </c>
      <c r="BK620" s="287">
        <f t="shared" si="382"/>
        <v>0</v>
      </c>
      <c r="BL620" s="287">
        <f t="shared" si="383"/>
        <v>0</v>
      </c>
      <c r="BM620" s="16"/>
      <c r="BN620" s="287">
        <f t="shared" si="384"/>
        <v>2226515.5163200004</v>
      </c>
      <c r="BO620" s="287">
        <f t="shared" si="385"/>
        <v>0</v>
      </c>
      <c r="BP620" s="432">
        <f>BN620-AM620</f>
        <v>0</v>
      </c>
      <c r="BQ620" s="21"/>
      <c r="BR620" s="21"/>
      <c r="BS620" s="6" t="e">
        <v>#VALUE!</v>
      </c>
      <c r="BT620" s="194">
        <f t="shared" si="388"/>
        <v>2226515.5163200004</v>
      </c>
      <c r="BU620" s="194">
        <f t="shared" si="389"/>
        <v>2226515.5163199999</v>
      </c>
      <c r="BV620" s="194">
        <f t="shared" si="390"/>
        <v>0</v>
      </c>
      <c r="BW620" s="194">
        <f t="shared" si="391"/>
        <v>4.6566128730773926E-10</v>
      </c>
      <c r="BX620" s="6"/>
      <c r="BY620" s="6"/>
      <c r="BZ620" s="39">
        <v>607</v>
      </c>
      <c r="CA620" s="39">
        <f t="shared" si="386"/>
        <v>2031</v>
      </c>
      <c r="CB620" s="6"/>
      <c r="CC620" s="39"/>
      <c r="CD620" s="39"/>
      <c r="CE620" s="39"/>
      <c r="CF620" s="39"/>
      <c r="CG620" s="39"/>
      <c r="CH620" s="39"/>
      <c r="CI620" s="39"/>
      <c r="CJ620" s="39"/>
      <c r="CK620" s="39"/>
    </row>
    <row r="621" spans="1:89" s="193" customFormat="1" ht="24">
      <c r="A621" s="357"/>
      <c r="B621" s="21" t="str">
        <f t="shared" si="363"/>
        <v>PTR</v>
      </c>
      <c r="C621" s="21"/>
      <c r="D621" s="432"/>
      <c r="E621" s="439" t="s">
        <v>3626</v>
      </c>
      <c r="F621" s="439"/>
      <c r="G621" s="273" t="s">
        <v>4653</v>
      </c>
      <c r="H621" s="358" t="s">
        <v>4454</v>
      </c>
      <c r="I621" s="262" t="s">
        <v>3158</v>
      </c>
      <c r="J621" s="262" t="s">
        <v>3504</v>
      </c>
      <c r="K621" s="263">
        <v>6139390</v>
      </c>
      <c r="L621" s="263">
        <v>8349699.54</v>
      </c>
      <c r="M621" s="263">
        <v>825794</v>
      </c>
      <c r="N621" s="263">
        <v>0</v>
      </c>
      <c r="O621" s="263">
        <v>0</v>
      </c>
      <c r="P621" s="263">
        <v>0</v>
      </c>
      <c r="Q621" s="263">
        <v>0</v>
      </c>
      <c r="R621" s="263">
        <v>0</v>
      </c>
      <c r="S621" s="263">
        <v>0</v>
      </c>
      <c r="T621" s="263">
        <v>0</v>
      </c>
      <c r="U621" s="263">
        <f t="shared" si="392"/>
        <v>15314883.539999999</v>
      </c>
      <c r="V621" s="196" t="str">
        <f t="shared" si="361"/>
        <v>G/LOS</v>
      </c>
      <c r="W621" s="196" t="s">
        <v>1168</v>
      </c>
      <c r="X621" s="196" t="str">
        <f t="shared" si="399"/>
        <v>Y</v>
      </c>
      <c r="Y621" s="376">
        <f t="shared" si="387"/>
        <v>15314883.539999999</v>
      </c>
      <c r="Z621" s="198"/>
      <c r="AA621" s="376">
        <f t="shared" si="362"/>
        <v>15314883.539999999</v>
      </c>
      <c r="AB621" s="196" t="s">
        <v>1166</v>
      </c>
      <c r="AC621" s="196" t="s">
        <v>3624</v>
      </c>
      <c r="AD621" s="275">
        <v>0.22999999999999998</v>
      </c>
      <c r="AE621" s="275">
        <v>0.77</v>
      </c>
      <c r="AF621" s="275">
        <v>0</v>
      </c>
      <c r="AG621" s="199">
        <v>0.23</v>
      </c>
      <c r="AH621" s="199">
        <v>0.23</v>
      </c>
      <c r="AI621" s="377">
        <f t="shared" si="394"/>
        <v>0.23</v>
      </c>
      <c r="AJ621" s="203">
        <v>0.5</v>
      </c>
      <c r="AK621" s="203">
        <f t="shared" si="356"/>
        <v>0.5</v>
      </c>
      <c r="AL621" s="376">
        <f t="shared" si="395"/>
        <v>11792460.3258</v>
      </c>
      <c r="AM621" s="376">
        <f t="shared" si="396"/>
        <v>1761211.6070999999</v>
      </c>
      <c r="AN621" s="376">
        <f t="shared" si="397"/>
        <v>1761211.6070999999</v>
      </c>
      <c r="AO621" s="378" t="s">
        <v>3607</v>
      </c>
      <c r="AP621" s="379" t="s">
        <v>2812</v>
      </c>
      <c r="AQ621" s="279"/>
      <c r="AR621" s="287">
        <f t="shared" si="364"/>
        <v>706029.85</v>
      </c>
      <c r="AS621" s="287">
        <f t="shared" si="365"/>
        <v>960215.44709999999</v>
      </c>
      <c r="AT621" s="287">
        <f t="shared" si="366"/>
        <v>94966.31</v>
      </c>
      <c r="AU621" s="287">
        <f t="shared" si="367"/>
        <v>0</v>
      </c>
      <c r="AV621" s="287">
        <f t="shared" si="368"/>
        <v>0</v>
      </c>
      <c r="AW621" s="287">
        <f t="shared" si="369"/>
        <v>0</v>
      </c>
      <c r="AX621" s="287">
        <f t="shared" si="370"/>
        <v>0</v>
      </c>
      <c r="AY621" s="287">
        <f t="shared" si="371"/>
        <v>0</v>
      </c>
      <c r="AZ621" s="287">
        <f t="shared" si="372"/>
        <v>0</v>
      </c>
      <c r="BA621" s="287">
        <f t="shared" si="373"/>
        <v>0</v>
      </c>
      <c r="BB621" s="16"/>
      <c r="BC621" s="287">
        <f t="shared" si="374"/>
        <v>706029.85</v>
      </c>
      <c r="BD621" s="287">
        <f t="shared" si="375"/>
        <v>960215.44709999999</v>
      </c>
      <c r="BE621" s="287">
        <f t="shared" si="376"/>
        <v>94966.31</v>
      </c>
      <c r="BF621" s="287">
        <f t="shared" si="377"/>
        <v>0</v>
      </c>
      <c r="BG621" s="287">
        <f t="shared" si="378"/>
        <v>0</v>
      </c>
      <c r="BH621" s="287">
        <f t="shared" si="379"/>
        <v>0</v>
      </c>
      <c r="BI621" s="287">
        <f t="shared" si="380"/>
        <v>0</v>
      </c>
      <c r="BJ621" s="287">
        <f t="shared" si="381"/>
        <v>0</v>
      </c>
      <c r="BK621" s="287">
        <f t="shared" si="382"/>
        <v>0</v>
      </c>
      <c r="BL621" s="287">
        <f t="shared" si="383"/>
        <v>0</v>
      </c>
      <c r="BM621" s="16"/>
      <c r="BN621" s="287">
        <f t="shared" si="384"/>
        <v>1761211.6071000001</v>
      </c>
      <c r="BO621" s="287">
        <f t="shared" si="385"/>
        <v>1761211.6071000001</v>
      </c>
      <c r="BP621" s="431"/>
      <c r="BQ621" s="21"/>
      <c r="BR621" s="21"/>
      <c r="BS621" s="6" t="e">
        <v>#VALUE!</v>
      </c>
      <c r="BT621" s="194">
        <f t="shared" si="388"/>
        <v>3522423.2142000003</v>
      </c>
      <c r="BU621" s="194">
        <f t="shared" si="389"/>
        <v>1761211.6070999999</v>
      </c>
      <c r="BV621" s="194">
        <f t="shared" si="390"/>
        <v>1761211.6070999999</v>
      </c>
      <c r="BW621" s="194">
        <f t="shared" si="391"/>
        <v>0</v>
      </c>
      <c r="BX621" s="6"/>
      <c r="BY621" s="6"/>
      <c r="BZ621" s="39">
        <v>608</v>
      </c>
      <c r="CA621" s="39">
        <f t="shared" si="386"/>
        <v>2041</v>
      </c>
      <c r="CB621" s="6"/>
      <c r="CC621" s="39"/>
      <c r="CD621" s="39"/>
      <c r="CE621" s="39"/>
      <c r="CF621" s="39"/>
      <c r="CG621" s="39"/>
      <c r="CH621" s="39"/>
      <c r="CI621" s="39"/>
      <c r="CJ621" s="39"/>
      <c r="CK621" s="39"/>
    </row>
    <row r="622" spans="1:89" s="193" customFormat="1" ht="24">
      <c r="A622" s="357"/>
      <c r="B622" s="21" t="str">
        <f t="shared" si="363"/>
        <v>PTR</v>
      </c>
      <c r="C622" s="21"/>
      <c r="D622" s="440"/>
      <c r="E622" s="441" t="s">
        <v>3626</v>
      </c>
      <c r="F622" s="441"/>
      <c r="G622" s="273" t="s">
        <v>3612</v>
      </c>
      <c r="H622" s="358" t="s">
        <v>4465</v>
      </c>
      <c r="I622" s="262" t="s">
        <v>3158</v>
      </c>
      <c r="J622" s="262"/>
      <c r="K622" s="263">
        <v>7336000</v>
      </c>
      <c r="L622" s="263">
        <v>11547334.399999999</v>
      </c>
      <c r="M622" s="263">
        <v>16667519.231999997</v>
      </c>
      <c r="N622" s="263">
        <v>14086047.785879999</v>
      </c>
      <c r="O622" s="263">
        <v>15009445.094436798</v>
      </c>
      <c r="P622" s="263">
        <v>24766625.729980115</v>
      </c>
      <c r="Q622" s="263">
        <v>26368441.360233165</v>
      </c>
      <c r="R622" s="263">
        <v>34459331.597469941</v>
      </c>
      <c r="S622" s="263">
        <v>0</v>
      </c>
      <c r="T622" s="263">
        <v>0</v>
      </c>
      <c r="U622" s="263">
        <f t="shared" si="392"/>
        <v>150240745.19999999</v>
      </c>
      <c r="V622" s="196" t="str">
        <f t="shared" si="361"/>
        <v>G/LOS</v>
      </c>
      <c r="W622" s="196" t="s">
        <v>1168</v>
      </c>
      <c r="X622" s="196" t="str">
        <f t="shared" si="399"/>
        <v>Y</v>
      </c>
      <c r="Y622" s="376">
        <f t="shared" si="387"/>
        <v>150240745.19999999</v>
      </c>
      <c r="Z622" s="198"/>
      <c r="AA622" s="376">
        <f t="shared" si="362"/>
        <v>150240745.19999999</v>
      </c>
      <c r="AB622" s="196" t="s">
        <v>1166</v>
      </c>
      <c r="AC622" s="196" t="s">
        <v>1168</v>
      </c>
      <c r="AD622" s="275">
        <v>0.215</v>
      </c>
      <c r="AE622" s="275">
        <f t="shared" ref="AE622:AE627" si="400">1-AD622</f>
        <v>0.78500000000000003</v>
      </c>
      <c r="AF622" s="275">
        <v>0</v>
      </c>
      <c r="AG622" s="199">
        <v>0.1598</v>
      </c>
      <c r="AH622" s="199">
        <v>0.1598</v>
      </c>
      <c r="AI622" s="377">
        <f t="shared" si="394"/>
        <v>0.1598</v>
      </c>
      <c r="AJ622" s="203">
        <v>0.5</v>
      </c>
      <c r="AK622" s="203">
        <f t="shared" si="356"/>
        <v>0.5</v>
      </c>
      <c r="AL622" s="376">
        <f t="shared" si="395"/>
        <v>126232274.11703999</v>
      </c>
      <c r="AM622" s="376">
        <f t="shared" si="396"/>
        <v>12004235.541479999</v>
      </c>
      <c r="AN622" s="376">
        <f t="shared" si="397"/>
        <v>12004235.541479999</v>
      </c>
      <c r="AO622" s="378" t="s">
        <v>3608</v>
      </c>
      <c r="AP622" s="379" t="s">
        <v>2812</v>
      </c>
      <c r="AQ622" s="279"/>
      <c r="AR622" s="287">
        <f t="shared" si="364"/>
        <v>586146.4</v>
      </c>
      <c r="AS622" s="287">
        <f t="shared" si="365"/>
        <v>922632.01855999988</v>
      </c>
      <c r="AT622" s="287">
        <f t="shared" si="366"/>
        <v>1331734.7866367998</v>
      </c>
      <c r="AU622" s="287">
        <f t="shared" si="367"/>
        <v>1125475.218091812</v>
      </c>
      <c r="AV622" s="287">
        <f t="shared" si="368"/>
        <v>1199254.6630455002</v>
      </c>
      <c r="AW622" s="287">
        <f t="shared" si="369"/>
        <v>1978853.3958254112</v>
      </c>
      <c r="AX622" s="287">
        <f t="shared" si="370"/>
        <v>2106838.4646826298</v>
      </c>
      <c r="AY622" s="287">
        <f t="shared" si="371"/>
        <v>2753300.5946378484</v>
      </c>
      <c r="AZ622" s="287">
        <f t="shared" si="372"/>
        <v>0</v>
      </c>
      <c r="BA622" s="287">
        <f t="shared" si="373"/>
        <v>0</v>
      </c>
      <c r="BB622" s="16"/>
      <c r="BC622" s="287">
        <f t="shared" si="374"/>
        <v>586146.4</v>
      </c>
      <c r="BD622" s="287">
        <f t="shared" si="375"/>
        <v>922632.01855999988</v>
      </c>
      <c r="BE622" s="287">
        <f t="shared" si="376"/>
        <v>1331734.7866367998</v>
      </c>
      <c r="BF622" s="287">
        <f t="shared" si="377"/>
        <v>1125475.218091812</v>
      </c>
      <c r="BG622" s="287">
        <f t="shared" si="378"/>
        <v>1199254.6630455002</v>
      </c>
      <c r="BH622" s="287">
        <f t="shared" si="379"/>
        <v>1978853.3958254112</v>
      </c>
      <c r="BI622" s="287">
        <f t="shared" si="380"/>
        <v>2106838.4646826298</v>
      </c>
      <c r="BJ622" s="287">
        <f t="shared" si="381"/>
        <v>2753300.5946378484</v>
      </c>
      <c r="BK622" s="287">
        <f t="shared" si="382"/>
        <v>0</v>
      </c>
      <c r="BL622" s="287">
        <f t="shared" si="383"/>
        <v>0</v>
      </c>
      <c r="BM622" s="16"/>
      <c r="BN622" s="287">
        <f t="shared" si="384"/>
        <v>12004235.541480001</v>
      </c>
      <c r="BO622" s="287">
        <f t="shared" si="385"/>
        <v>12004235.541480001</v>
      </c>
      <c r="BP622" s="431"/>
      <c r="BQ622" s="21"/>
      <c r="BR622" s="21"/>
      <c r="BS622" s="6"/>
      <c r="BT622" s="194">
        <f t="shared" si="388"/>
        <v>24008471.082960002</v>
      </c>
      <c r="BU622" s="194">
        <f t="shared" si="389"/>
        <v>12004235.541479999</v>
      </c>
      <c r="BV622" s="194">
        <f t="shared" si="390"/>
        <v>12004235.541479999</v>
      </c>
      <c r="BW622" s="194">
        <f t="shared" si="391"/>
        <v>0</v>
      </c>
      <c r="BX622" s="6"/>
      <c r="BY622" s="6"/>
      <c r="BZ622" s="39">
        <v>609</v>
      </c>
      <c r="CA622" s="39">
        <f t="shared" si="386"/>
        <v>2041</v>
      </c>
      <c r="CB622" s="6"/>
      <c r="CC622" s="39"/>
      <c r="CD622" s="39"/>
      <c r="CE622" s="39"/>
      <c r="CF622" s="39"/>
      <c r="CG622" s="39"/>
      <c r="CH622" s="39"/>
      <c r="CI622" s="39"/>
      <c r="CJ622" s="39"/>
      <c r="CK622" s="39"/>
    </row>
    <row r="623" spans="1:89" s="193" customFormat="1" ht="24">
      <c r="A623" s="357"/>
      <c r="B623" s="21" t="str">
        <f t="shared" si="363"/>
        <v>PTR</v>
      </c>
      <c r="C623" s="21"/>
      <c r="D623" s="440"/>
      <c r="E623" s="441" t="s">
        <v>3626</v>
      </c>
      <c r="F623" s="441"/>
      <c r="G623" s="273" t="s">
        <v>3614</v>
      </c>
      <c r="H623" s="358" t="s">
        <v>4465</v>
      </c>
      <c r="I623" s="262" t="s">
        <v>3158</v>
      </c>
      <c r="J623" s="262"/>
      <c r="K623" s="263">
        <v>1048000</v>
      </c>
      <c r="L623" s="263">
        <v>1649619.2000000002</v>
      </c>
      <c r="M623" s="263">
        <v>2381074.176</v>
      </c>
      <c r="N623" s="263">
        <v>2012292.5408399999</v>
      </c>
      <c r="O623" s="263">
        <v>2144206.4420623998</v>
      </c>
      <c r="P623" s="263">
        <v>3538089.3899971601</v>
      </c>
      <c r="Q623" s="263">
        <v>3766920.1943190242</v>
      </c>
      <c r="R623" s="263">
        <v>4922761.6567814201</v>
      </c>
      <c r="S623" s="263">
        <v>0</v>
      </c>
      <c r="T623" s="263">
        <v>0</v>
      </c>
      <c r="U623" s="263">
        <f t="shared" si="392"/>
        <v>21462963.600000005</v>
      </c>
      <c r="V623" s="196" t="str">
        <f t="shared" si="361"/>
        <v>G/LOS</v>
      </c>
      <c r="W623" s="196" t="s">
        <v>1168</v>
      </c>
      <c r="X623" s="196" t="str">
        <f t="shared" si="399"/>
        <v>Y</v>
      </c>
      <c r="Y623" s="376">
        <f t="shared" si="387"/>
        <v>21462963.600000005</v>
      </c>
      <c r="Z623" s="198"/>
      <c r="AA623" s="376">
        <f t="shared" si="362"/>
        <v>21462963.600000005</v>
      </c>
      <c r="AB623" s="196" t="s">
        <v>1166</v>
      </c>
      <c r="AC623" s="196" t="s">
        <v>1168</v>
      </c>
      <c r="AD623" s="275">
        <v>0.215</v>
      </c>
      <c r="AE623" s="275">
        <f t="shared" si="400"/>
        <v>0.78500000000000003</v>
      </c>
      <c r="AF623" s="275">
        <v>0</v>
      </c>
      <c r="AG623" s="199">
        <v>0.1598</v>
      </c>
      <c r="AH623" s="199">
        <v>0.1598</v>
      </c>
      <c r="AI623" s="377">
        <f t="shared" si="394"/>
        <v>0.1598</v>
      </c>
      <c r="AJ623" s="203">
        <v>0.5</v>
      </c>
      <c r="AK623" s="203">
        <f t="shared" si="356"/>
        <v>0.5</v>
      </c>
      <c r="AL623" s="376">
        <f t="shared" si="395"/>
        <v>18033182.016720004</v>
      </c>
      <c r="AM623" s="376">
        <f t="shared" si="396"/>
        <v>1714890.7916400004</v>
      </c>
      <c r="AN623" s="376">
        <f t="shared" si="397"/>
        <v>1714890.7916400004</v>
      </c>
      <c r="AO623" s="378" t="s">
        <v>3608</v>
      </c>
      <c r="AP623" s="379" t="s">
        <v>2813</v>
      </c>
      <c r="AQ623" s="279"/>
      <c r="AR623" s="287">
        <f t="shared" si="364"/>
        <v>83735.199999999997</v>
      </c>
      <c r="AS623" s="287">
        <f t="shared" si="365"/>
        <v>131804.57408000002</v>
      </c>
      <c r="AT623" s="287">
        <f t="shared" si="366"/>
        <v>190247.82666240001</v>
      </c>
      <c r="AU623" s="287">
        <f t="shared" si="367"/>
        <v>160782.17401311599</v>
      </c>
      <c r="AV623" s="287">
        <f t="shared" si="368"/>
        <v>171322.09472078574</v>
      </c>
      <c r="AW623" s="287">
        <f t="shared" si="369"/>
        <v>282693.34226077306</v>
      </c>
      <c r="AX623" s="287">
        <f t="shared" si="370"/>
        <v>300976.92352609005</v>
      </c>
      <c r="AY623" s="287">
        <f t="shared" si="371"/>
        <v>393328.65637683548</v>
      </c>
      <c r="AZ623" s="287">
        <f t="shared" si="372"/>
        <v>0</v>
      </c>
      <c r="BA623" s="287">
        <f t="shared" si="373"/>
        <v>0</v>
      </c>
      <c r="BB623" s="16"/>
      <c r="BC623" s="287">
        <f t="shared" si="374"/>
        <v>83735.199999999997</v>
      </c>
      <c r="BD623" s="287">
        <f t="shared" si="375"/>
        <v>131804.57408000002</v>
      </c>
      <c r="BE623" s="287">
        <f t="shared" si="376"/>
        <v>190247.82666240001</v>
      </c>
      <c r="BF623" s="287">
        <f t="shared" si="377"/>
        <v>160782.17401311599</v>
      </c>
      <c r="BG623" s="287">
        <f t="shared" si="378"/>
        <v>171322.09472078574</v>
      </c>
      <c r="BH623" s="287">
        <f t="shared" si="379"/>
        <v>282693.34226077306</v>
      </c>
      <c r="BI623" s="287">
        <f t="shared" si="380"/>
        <v>300976.92352609005</v>
      </c>
      <c r="BJ623" s="287">
        <f t="shared" si="381"/>
        <v>393328.65637683548</v>
      </c>
      <c r="BK623" s="287">
        <f t="shared" si="382"/>
        <v>0</v>
      </c>
      <c r="BL623" s="287">
        <f t="shared" si="383"/>
        <v>0</v>
      </c>
      <c r="BM623" s="16"/>
      <c r="BN623" s="287">
        <f t="shared" si="384"/>
        <v>1714890.7916400004</v>
      </c>
      <c r="BO623" s="287">
        <f t="shared" si="385"/>
        <v>1714890.7916400004</v>
      </c>
      <c r="BP623" s="431"/>
      <c r="BQ623" s="21"/>
      <c r="BR623" s="21"/>
      <c r="BS623" s="6"/>
      <c r="BT623" s="194">
        <f t="shared" si="388"/>
        <v>3429781.5832800008</v>
      </c>
      <c r="BU623" s="194">
        <f t="shared" si="389"/>
        <v>1714890.7916400004</v>
      </c>
      <c r="BV623" s="194">
        <f t="shared" si="390"/>
        <v>1714890.7916400004</v>
      </c>
      <c r="BW623" s="194">
        <f t="shared" si="391"/>
        <v>0</v>
      </c>
      <c r="BX623" s="6"/>
      <c r="BY623" s="6"/>
      <c r="BZ623" s="39">
        <v>610</v>
      </c>
      <c r="CA623" s="39">
        <f t="shared" si="386"/>
        <v>2041</v>
      </c>
      <c r="CB623" s="6"/>
      <c r="CC623" s="39"/>
      <c r="CD623" s="39"/>
      <c r="CE623" s="39"/>
      <c r="CF623" s="39"/>
      <c r="CG623" s="39"/>
      <c r="CH623" s="39"/>
      <c r="CI623" s="39"/>
      <c r="CJ623" s="39"/>
      <c r="CK623" s="39"/>
    </row>
    <row r="624" spans="1:89" s="193" customFormat="1" ht="24">
      <c r="A624" s="357"/>
      <c r="B624" s="21" t="str">
        <f t="shared" si="363"/>
        <v>PTR</v>
      </c>
      <c r="C624" s="21"/>
      <c r="D624" s="440"/>
      <c r="E624" s="441" t="s">
        <v>3626</v>
      </c>
      <c r="F624" s="441"/>
      <c r="G624" s="273" t="s">
        <v>3613</v>
      </c>
      <c r="H624" s="358" t="s">
        <v>4465</v>
      </c>
      <c r="I624" s="262" t="s">
        <v>3158</v>
      </c>
      <c r="J624" s="262"/>
      <c r="K624" s="263">
        <v>2096000</v>
      </c>
      <c r="L624" s="263">
        <v>3299238.4000000004</v>
      </c>
      <c r="M624" s="263">
        <v>4762148.352</v>
      </c>
      <c r="N624" s="263">
        <v>4024585.0816799998</v>
      </c>
      <c r="O624" s="263">
        <v>4288412.8841247996</v>
      </c>
      <c r="P624" s="263">
        <v>7076178.7799943201</v>
      </c>
      <c r="Q624" s="263">
        <v>7533840.3886380484</v>
      </c>
      <c r="R624" s="263">
        <v>9845523.3135628402</v>
      </c>
      <c r="S624" s="263">
        <v>0</v>
      </c>
      <c r="T624" s="263">
        <v>0</v>
      </c>
      <c r="U624" s="263">
        <f t="shared" si="392"/>
        <v>42925927.20000001</v>
      </c>
      <c r="V624" s="196" t="str">
        <f t="shared" si="361"/>
        <v>G/LOS</v>
      </c>
      <c r="W624" s="196" t="s">
        <v>1168</v>
      </c>
      <c r="X624" s="196" t="str">
        <f t="shared" si="399"/>
        <v>Y</v>
      </c>
      <c r="Y624" s="376">
        <f t="shared" si="387"/>
        <v>42925927.20000001</v>
      </c>
      <c r="Z624" s="198"/>
      <c r="AA624" s="376">
        <f t="shared" si="362"/>
        <v>42925927.20000001</v>
      </c>
      <c r="AB624" s="196" t="s">
        <v>1166</v>
      </c>
      <c r="AC624" s="196" t="s">
        <v>1168</v>
      </c>
      <c r="AD624" s="518">
        <v>0.215</v>
      </c>
      <c r="AE624" s="275">
        <f t="shared" si="400"/>
        <v>0.78500000000000003</v>
      </c>
      <c r="AF624" s="275">
        <v>0</v>
      </c>
      <c r="AG624" s="199">
        <v>0.1598</v>
      </c>
      <c r="AH624" s="199">
        <v>0.1598</v>
      </c>
      <c r="AI624" s="377">
        <f t="shared" si="394"/>
        <v>0.1598</v>
      </c>
      <c r="AJ624" s="203">
        <v>0.5</v>
      </c>
      <c r="AK624" s="203">
        <f t="shared" si="356"/>
        <v>0.5</v>
      </c>
      <c r="AL624" s="376">
        <f t="shared" si="395"/>
        <v>36066364.033440009</v>
      </c>
      <c r="AM624" s="376">
        <f t="shared" si="396"/>
        <v>3429781.5832800008</v>
      </c>
      <c r="AN624" s="376">
        <f t="shared" si="397"/>
        <v>3429781.5832800008</v>
      </c>
      <c r="AO624" s="378" t="s">
        <v>3608</v>
      </c>
      <c r="AP624" s="379" t="s">
        <v>2814</v>
      </c>
      <c r="AQ624" s="279"/>
      <c r="AR624" s="287">
        <f t="shared" si="364"/>
        <v>167470.39999999999</v>
      </c>
      <c r="AS624" s="287">
        <f t="shared" si="365"/>
        <v>263609.14816000004</v>
      </c>
      <c r="AT624" s="287">
        <f t="shared" si="366"/>
        <v>380495.65332480002</v>
      </c>
      <c r="AU624" s="287">
        <f t="shared" si="367"/>
        <v>321564.34802623198</v>
      </c>
      <c r="AV624" s="287">
        <f t="shared" si="368"/>
        <v>342644.18944157148</v>
      </c>
      <c r="AW624" s="287">
        <f t="shared" si="369"/>
        <v>565386.68452154612</v>
      </c>
      <c r="AX624" s="287">
        <f t="shared" si="370"/>
        <v>601953.84705218009</v>
      </c>
      <c r="AY624" s="287">
        <f t="shared" si="371"/>
        <v>786657.31275367097</v>
      </c>
      <c r="AZ624" s="287">
        <f t="shared" si="372"/>
        <v>0</v>
      </c>
      <c r="BA624" s="287">
        <f t="shared" si="373"/>
        <v>0</v>
      </c>
      <c r="BB624" s="16"/>
      <c r="BC624" s="287">
        <f t="shared" si="374"/>
        <v>167470.39999999999</v>
      </c>
      <c r="BD624" s="287">
        <f t="shared" si="375"/>
        <v>263609.14816000004</v>
      </c>
      <c r="BE624" s="287">
        <f t="shared" si="376"/>
        <v>380495.65332480002</v>
      </c>
      <c r="BF624" s="287">
        <f t="shared" si="377"/>
        <v>321564.34802623198</v>
      </c>
      <c r="BG624" s="287">
        <f t="shared" si="378"/>
        <v>342644.18944157148</v>
      </c>
      <c r="BH624" s="287">
        <f t="shared" si="379"/>
        <v>565386.68452154612</v>
      </c>
      <c r="BI624" s="287">
        <f t="shared" si="380"/>
        <v>601953.84705218009</v>
      </c>
      <c r="BJ624" s="287">
        <f t="shared" si="381"/>
        <v>786657.31275367097</v>
      </c>
      <c r="BK624" s="287">
        <f t="shared" si="382"/>
        <v>0</v>
      </c>
      <c r="BL624" s="287">
        <f t="shared" si="383"/>
        <v>0</v>
      </c>
      <c r="BM624" s="16"/>
      <c r="BN624" s="287">
        <f t="shared" si="384"/>
        <v>3429781.5832800008</v>
      </c>
      <c r="BO624" s="287">
        <f t="shared" si="385"/>
        <v>3429781.5832800008</v>
      </c>
      <c r="BP624" s="431"/>
      <c r="BQ624" s="21"/>
      <c r="BR624" s="21"/>
      <c r="BS624" s="6"/>
      <c r="BT624" s="194">
        <f t="shared" si="388"/>
        <v>6859563.1665600017</v>
      </c>
      <c r="BU624" s="194">
        <f t="shared" si="389"/>
        <v>3429781.5832800008</v>
      </c>
      <c r="BV624" s="194">
        <f t="shared" si="390"/>
        <v>3429781.5832800008</v>
      </c>
      <c r="BW624" s="194">
        <f t="shared" si="391"/>
        <v>0</v>
      </c>
      <c r="BX624" s="6"/>
      <c r="BY624" s="6"/>
      <c r="BZ624" s="39">
        <v>611</v>
      </c>
      <c r="CA624" s="39">
        <f t="shared" si="386"/>
        <v>2041</v>
      </c>
      <c r="CB624" s="6"/>
      <c r="CC624" s="39"/>
      <c r="CD624" s="39"/>
      <c r="CE624" s="39"/>
      <c r="CF624" s="39"/>
      <c r="CG624" s="39"/>
      <c r="CH624" s="39"/>
      <c r="CI624" s="39"/>
      <c r="CJ624" s="39"/>
      <c r="CK624" s="39"/>
    </row>
    <row r="625" spans="1:89" s="193" customFormat="1" ht="24">
      <c r="A625" s="357"/>
      <c r="B625" s="21" t="str">
        <f t="shared" si="363"/>
        <v>TRA</v>
      </c>
      <c r="C625" s="21"/>
      <c r="D625" s="432"/>
      <c r="E625" s="439" t="s">
        <v>3626</v>
      </c>
      <c r="F625" s="439"/>
      <c r="G625" s="273" t="s">
        <v>4827</v>
      </c>
      <c r="H625" s="358" t="s">
        <v>4423</v>
      </c>
      <c r="I625" s="262" t="s">
        <v>3161</v>
      </c>
      <c r="J625" s="262" t="s">
        <v>3504</v>
      </c>
      <c r="K625" s="263">
        <v>0</v>
      </c>
      <c r="L625" s="263">
        <v>0</v>
      </c>
      <c r="M625" s="263">
        <v>0</v>
      </c>
      <c r="N625" s="263">
        <v>921741.28032000002</v>
      </c>
      <c r="O625" s="263">
        <v>897618.21801119996</v>
      </c>
      <c r="P625" s="263">
        <v>1169399.86867198</v>
      </c>
      <c r="Q625" s="263">
        <v>1088325.4944788783</v>
      </c>
      <c r="R625" s="263">
        <v>1916944.5454329513</v>
      </c>
      <c r="S625" s="263">
        <v>2576613.8968808781</v>
      </c>
      <c r="T625" s="263">
        <v>2341198.6962044323</v>
      </c>
      <c r="U625" s="263">
        <f t="shared" si="392"/>
        <v>10911842.00000032</v>
      </c>
      <c r="V625" s="196" t="str">
        <f t="shared" si="361"/>
        <v>G/LOS</v>
      </c>
      <c r="W625" s="196" t="s">
        <v>1168</v>
      </c>
      <c r="X625" s="196" t="str">
        <f t="shared" si="399"/>
        <v>Y</v>
      </c>
      <c r="Y625" s="376">
        <f t="shared" si="387"/>
        <v>10911842.00000032</v>
      </c>
      <c r="Z625" s="198"/>
      <c r="AA625" s="376">
        <f t="shared" si="362"/>
        <v>10911842.00000032</v>
      </c>
      <c r="AB625" s="196" t="s">
        <v>1166</v>
      </c>
      <c r="AC625" s="196" t="s">
        <v>1168</v>
      </c>
      <c r="AD625" s="275">
        <v>0.215</v>
      </c>
      <c r="AE625" s="275">
        <f t="shared" si="400"/>
        <v>0.78500000000000003</v>
      </c>
      <c r="AF625" s="275">
        <v>0</v>
      </c>
      <c r="AG625" s="199">
        <v>0.1598</v>
      </c>
      <c r="AH625" s="199">
        <v>0.1598</v>
      </c>
      <c r="AI625" s="377">
        <f t="shared" si="394"/>
        <v>0.1598</v>
      </c>
      <c r="AJ625" s="203">
        <v>0.5</v>
      </c>
      <c r="AK625" s="203">
        <f t="shared" ref="AK625:AK647" si="401">100%-AJ625</f>
        <v>0.5</v>
      </c>
      <c r="AL625" s="376">
        <f t="shared" si="395"/>
        <v>9168129.6484002694</v>
      </c>
      <c r="AM625" s="376">
        <f t="shared" si="396"/>
        <v>871856.17580002558</v>
      </c>
      <c r="AN625" s="376">
        <f t="shared" si="397"/>
        <v>871856.17580002558</v>
      </c>
      <c r="AO625" s="378" t="s">
        <v>3608</v>
      </c>
      <c r="AP625" s="379" t="s">
        <v>2778</v>
      </c>
      <c r="AQ625" s="279"/>
      <c r="AR625" s="287">
        <f t="shared" si="364"/>
        <v>0</v>
      </c>
      <c r="AS625" s="287">
        <f t="shared" si="365"/>
        <v>0</v>
      </c>
      <c r="AT625" s="287">
        <f t="shared" si="366"/>
        <v>0</v>
      </c>
      <c r="AU625" s="287">
        <f t="shared" si="367"/>
        <v>73647.128297567993</v>
      </c>
      <c r="AV625" s="287">
        <f t="shared" si="368"/>
        <v>71719.695619094869</v>
      </c>
      <c r="AW625" s="287">
        <f t="shared" si="369"/>
        <v>93435.049506891199</v>
      </c>
      <c r="AX625" s="287">
        <f t="shared" si="370"/>
        <v>86957.207008862373</v>
      </c>
      <c r="AY625" s="287">
        <f t="shared" si="371"/>
        <v>153163.86918009282</v>
      </c>
      <c r="AZ625" s="287">
        <f t="shared" si="372"/>
        <v>205871.45036078215</v>
      </c>
      <c r="BA625" s="287">
        <f t="shared" si="373"/>
        <v>187061.77582673414</v>
      </c>
      <c r="BB625" s="16"/>
      <c r="BC625" s="287">
        <f t="shared" si="374"/>
        <v>0</v>
      </c>
      <c r="BD625" s="287">
        <f t="shared" si="375"/>
        <v>0</v>
      </c>
      <c r="BE625" s="287">
        <f t="shared" si="376"/>
        <v>0</v>
      </c>
      <c r="BF625" s="287">
        <f t="shared" si="377"/>
        <v>73647.128297567993</v>
      </c>
      <c r="BG625" s="287">
        <f t="shared" si="378"/>
        <v>71719.695619094869</v>
      </c>
      <c r="BH625" s="287">
        <f t="shared" si="379"/>
        <v>93435.049506891199</v>
      </c>
      <c r="BI625" s="287">
        <f t="shared" si="380"/>
        <v>86957.207008862373</v>
      </c>
      <c r="BJ625" s="287">
        <f t="shared" si="381"/>
        <v>153163.86918009282</v>
      </c>
      <c r="BK625" s="287">
        <f t="shared" si="382"/>
        <v>205871.45036078215</v>
      </c>
      <c r="BL625" s="287">
        <f t="shared" si="383"/>
        <v>187061.77582673414</v>
      </c>
      <c r="BM625" s="16"/>
      <c r="BN625" s="287">
        <f t="shared" si="384"/>
        <v>871856.17580002558</v>
      </c>
      <c r="BO625" s="287">
        <f t="shared" si="385"/>
        <v>871856.17580002558</v>
      </c>
      <c r="BP625" s="432"/>
      <c r="BQ625" s="21"/>
      <c r="BR625" s="21"/>
      <c r="BS625" s="6" t="e">
        <v>#VALUE!</v>
      </c>
      <c r="BT625" s="194">
        <f t="shared" si="388"/>
        <v>1743712.3516000512</v>
      </c>
      <c r="BU625" s="194">
        <f t="shared" si="389"/>
        <v>871856.17580002558</v>
      </c>
      <c r="BV625" s="194">
        <f t="shared" si="390"/>
        <v>871856.17580002558</v>
      </c>
      <c r="BW625" s="194">
        <f t="shared" si="391"/>
        <v>0</v>
      </c>
      <c r="BX625" s="6"/>
      <c r="BY625" s="6"/>
      <c r="BZ625" s="39">
        <v>612</v>
      </c>
      <c r="CA625" s="39">
        <f t="shared" si="386"/>
        <v>2041</v>
      </c>
      <c r="CB625" s="6"/>
      <c r="CC625" s="39"/>
      <c r="CD625" s="39"/>
      <c r="CE625" s="39"/>
      <c r="CF625" s="39"/>
      <c r="CG625" s="39"/>
      <c r="CH625" s="39"/>
      <c r="CI625" s="39"/>
      <c r="CJ625" s="39"/>
      <c r="CK625" s="39"/>
    </row>
    <row r="626" spans="1:89" s="193" customFormat="1" ht="24">
      <c r="A626" s="357"/>
      <c r="B626" s="21" t="str">
        <f t="shared" si="363"/>
        <v>TRA</v>
      </c>
      <c r="C626" s="21"/>
      <c r="D626" s="432"/>
      <c r="E626" s="439" t="s">
        <v>3626</v>
      </c>
      <c r="F626" s="439"/>
      <c r="G626" s="273" t="s">
        <v>4496</v>
      </c>
      <c r="H626" s="358" t="s">
        <v>4427</v>
      </c>
      <c r="I626" s="262" t="s">
        <v>3161</v>
      </c>
      <c r="J626" s="262" t="s">
        <v>3504</v>
      </c>
      <c r="K626" s="263">
        <v>2000000</v>
      </c>
      <c r="L626" s="263">
        <v>3640000</v>
      </c>
      <c r="M626" s="263">
        <v>5660400</v>
      </c>
      <c r="N626" s="263">
        <v>8590815</v>
      </c>
      <c r="O626" s="263">
        <v>10036895.4</v>
      </c>
      <c r="P626" s="263">
        <v>13725948.66</v>
      </c>
      <c r="Q626" s="263">
        <v>14728271.3608</v>
      </c>
      <c r="R626" s="263">
        <v>13984195.093818</v>
      </c>
      <c r="S626" s="263">
        <v>20596461.78169762</v>
      </c>
      <c r="T626" s="263">
        <v>17037012.703684378</v>
      </c>
      <c r="U626" s="263">
        <f t="shared" si="392"/>
        <v>109999999.99999999</v>
      </c>
      <c r="V626" s="196" t="str">
        <f t="shared" si="361"/>
        <v>G/LOS</v>
      </c>
      <c r="W626" s="196" t="s">
        <v>1168</v>
      </c>
      <c r="X626" s="196" t="str">
        <f t="shared" si="399"/>
        <v>Y</v>
      </c>
      <c r="Y626" s="376">
        <f t="shared" si="387"/>
        <v>109999999.99999999</v>
      </c>
      <c r="Z626" s="198"/>
      <c r="AA626" s="376">
        <f t="shared" si="362"/>
        <v>109999999.99999999</v>
      </c>
      <c r="AB626" s="196" t="s">
        <v>1166</v>
      </c>
      <c r="AC626" s="196" t="s">
        <v>1168</v>
      </c>
      <c r="AD626" s="275">
        <v>0.215</v>
      </c>
      <c r="AE626" s="275">
        <f t="shared" si="400"/>
        <v>0.78500000000000003</v>
      </c>
      <c r="AF626" s="275">
        <v>0</v>
      </c>
      <c r="AG626" s="199">
        <v>0.1598</v>
      </c>
      <c r="AH626" s="199">
        <v>0.1598</v>
      </c>
      <c r="AI626" s="377">
        <f t="shared" si="394"/>
        <v>0.1598</v>
      </c>
      <c r="AJ626" s="203">
        <v>1</v>
      </c>
      <c r="AK626" s="203">
        <f t="shared" si="401"/>
        <v>0</v>
      </c>
      <c r="AL626" s="376">
        <f t="shared" si="395"/>
        <v>92422000</v>
      </c>
      <c r="AM626" s="376">
        <f t="shared" si="396"/>
        <v>17577999.999999996</v>
      </c>
      <c r="AN626" s="376">
        <f t="shared" si="397"/>
        <v>0</v>
      </c>
      <c r="AO626" s="378" t="s">
        <v>3608</v>
      </c>
      <c r="AP626" s="379" t="s">
        <v>2778</v>
      </c>
      <c r="AQ626" s="279"/>
      <c r="AR626" s="287">
        <f t="shared" si="364"/>
        <v>319600</v>
      </c>
      <c r="AS626" s="287">
        <f t="shared" si="365"/>
        <v>581672</v>
      </c>
      <c r="AT626" s="287">
        <f t="shared" si="366"/>
        <v>904531.92</v>
      </c>
      <c r="AU626" s="287">
        <f t="shared" si="367"/>
        <v>1372812.237</v>
      </c>
      <c r="AV626" s="287">
        <f t="shared" si="368"/>
        <v>1603895.8849200001</v>
      </c>
      <c r="AW626" s="287">
        <f t="shared" si="369"/>
        <v>2193406.5958679998</v>
      </c>
      <c r="AX626" s="287">
        <f t="shared" si="370"/>
        <v>2353577.7634558398</v>
      </c>
      <c r="AY626" s="287">
        <f t="shared" si="371"/>
        <v>2234674.3759921165</v>
      </c>
      <c r="AZ626" s="287">
        <f t="shared" si="372"/>
        <v>3291314.5927152797</v>
      </c>
      <c r="BA626" s="287">
        <f t="shared" si="373"/>
        <v>2722514.6300487635</v>
      </c>
      <c r="BB626" s="16"/>
      <c r="BC626" s="287">
        <f t="shared" si="374"/>
        <v>0</v>
      </c>
      <c r="BD626" s="287">
        <f t="shared" si="375"/>
        <v>0</v>
      </c>
      <c r="BE626" s="287">
        <f t="shared" si="376"/>
        <v>0</v>
      </c>
      <c r="BF626" s="287">
        <f t="shared" si="377"/>
        <v>0</v>
      </c>
      <c r="BG626" s="287">
        <f t="shared" si="378"/>
        <v>0</v>
      </c>
      <c r="BH626" s="287">
        <f t="shared" si="379"/>
        <v>0</v>
      </c>
      <c r="BI626" s="287">
        <f t="shared" si="380"/>
        <v>0</v>
      </c>
      <c r="BJ626" s="287">
        <f t="shared" si="381"/>
        <v>0</v>
      </c>
      <c r="BK626" s="287">
        <f t="shared" si="382"/>
        <v>0</v>
      </c>
      <c r="BL626" s="287">
        <f t="shared" si="383"/>
        <v>0</v>
      </c>
      <c r="BM626" s="16"/>
      <c r="BN626" s="287">
        <f t="shared" si="384"/>
        <v>17578000</v>
      </c>
      <c r="BO626" s="287">
        <f t="shared" si="385"/>
        <v>0</v>
      </c>
      <c r="BP626" s="432"/>
      <c r="BQ626" s="21"/>
      <c r="BR626" s="21"/>
      <c r="BS626" s="6" t="e">
        <v>#VALUE!</v>
      </c>
      <c r="BT626" s="194">
        <f t="shared" si="388"/>
        <v>17578000</v>
      </c>
      <c r="BU626" s="194">
        <f t="shared" si="389"/>
        <v>17577999.999999996</v>
      </c>
      <c r="BV626" s="194">
        <f t="shared" si="390"/>
        <v>0</v>
      </c>
      <c r="BW626" s="194">
        <f t="shared" si="391"/>
        <v>3.7252902984619141E-9</v>
      </c>
      <c r="BX626" s="6"/>
      <c r="BY626" s="6"/>
      <c r="BZ626" s="39">
        <v>613</v>
      </c>
      <c r="CA626" s="39">
        <f t="shared" si="386"/>
        <v>2031</v>
      </c>
      <c r="CB626" s="6"/>
      <c r="CC626" s="39"/>
      <c r="CD626" s="39"/>
      <c r="CE626" s="39"/>
      <c r="CF626" s="39"/>
      <c r="CG626" s="39"/>
      <c r="CH626" s="39"/>
      <c r="CI626" s="39"/>
      <c r="CJ626" s="39"/>
      <c r="CK626" s="39"/>
    </row>
    <row r="627" spans="1:89" s="193" customFormat="1" ht="96">
      <c r="A627" s="357"/>
      <c r="B627" s="21" t="str">
        <f t="shared" si="363"/>
        <v>TRA</v>
      </c>
      <c r="C627" s="21"/>
      <c r="D627" s="432"/>
      <c r="E627" s="439" t="s">
        <v>3626</v>
      </c>
      <c r="F627" s="439"/>
      <c r="G627" s="273" t="s">
        <v>3636</v>
      </c>
      <c r="H627" s="500" t="s">
        <v>5300</v>
      </c>
      <c r="I627" s="262" t="s">
        <v>3161</v>
      </c>
      <c r="J627" s="262" t="s">
        <v>3504</v>
      </c>
      <c r="K627" s="263">
        <v>5295655.4851353578</v>
      </c>
      <c r="L627" s="263">
        <v>10574805.979856815</v>
      </c>
      <c r="M627" s="263">
        <v>20624145.440424506</v>
      </c>
      <c r="N627" s="263">
        <v>7242241.8337945761</v>
      </c>
      <c r="O627" s="263">
        <v>8578365.5744975954</v>
      </c>
      <c r="P627" s="263">
        <v>13215157.777016349</v>
      </c>
      <c r="Q627" s="263">
        <v>17890987.662251942</v>
      </c>
      <c r="R627" s="263">
        <v>16861537.519948725</v>
      </c>
      <c r="S627" s="263">
        <v>40247718.672198668</v>
      </c>
      <c r="T627" s="263">
        <v>39710182.469875246</v>
      </c>
      <c r="U627" s="263">
        <f t="shared" si="392"/>
        <v>180240798.41499978</v>
      </c>
      <c r="V627" s="196" t="str">
        <f t="shared" si="361"/>
        <v>G/LOS</v>
      </c>
      <c r="W627" s="196" t="s">
        <v>1168</v>
      </c>
      <c r="X627" s="196" t="str">
        <f t="shared" si="399"/>
        <v>Y</v>
      </c>
      <c r="Y627" s="376">
        <f t="shared" si="387"/>
        <v>180240798.41499978</v>
      </c>
      <c r="Z627" s="198"/>
      <c r="AA627" s="376">
        <f t="shared" si="362"/>
        <v>180240798.41499978</v>
      </c>
      <c r="AB627" s="196" t="s">
        <v>1166</v>
      </c>
      <c r="AC627" s="196" t="s">
        <v>1168</v>
      </c>
      <c r="AD627" s="275">
        <v>0.215</v>
      </c>
      <c r="AE627" s="275">
        <f t="shared" si="400"/>
        <v>0.78500000000000003</v>
      </c>
      <c r="AF627" s="275">
        <v>0</v>
      </c>
      <c r="AG627" s="199">
        <v>0.1598</v>
      </c>
      <c r="AH627" s="199">
        <v>0.1598</v>
      </c>
      <c r="AI627" s="377">
        <f t="shared" si="394"/>
        <v>0.1598</v>
      </c>
      <c r="AJ627" s="203">
        <v>0.67</v>
      </c>
      <c r="AK627" s="203">
        <f t="shared" si="401"/>
        <v>0.32999999999999996</v>
      </c>
      <c r="AL627" s="376">
        <f t="shared" si="395"/>
        <v>151438318.82828283</v>
      </c>
      <c r="AM627" s="376">
        <f t="shared" si="396"/>
        <v>19297661.323100369</v>
      </c>
      <c r="AN627" s="376">
        <f t="shared" si="397"/>
        <v>9504818.2636165973</v>
      </c>
      <c r="AO627" s="378" t="s">
        <v>3608</v>
      </c>
      <c r="AP627" s="379" t="s">
        <v>2778</v>
      </c>
      <c r="AQ627" s="279"/>
      <c r="AR627" s="287">
        <f t="shared" si="364"/>
        <v>566984.65017150226</v>
      </c>
      <c r="AS627" s="287">
        <f t="shared" si="365"/>
        <v>1132202.1770393499</v>
      </c>
      <c r="AT627" s="287">
        <f t="shared" si="366"/>
        <v>2208144.7557244902</v>
      </c>
      <c r="AU627" s="287">
        <f t="shared" si="367"/>
        <v>775397.86417705007</v>
      </c>
      <c r="AV627" s="287">
        <f t="shared" si="368"/>
        <v>918451.28859915957</v>
      </c>
      <c r="AW627" s="287">
        <f t="shared" si="369"/>
        <v>1414894.0825540326</v>
      </c>
      <c r="AX627" s="287">
        <f t="shared" si="370"/>
        <v>1915516.4850466663</v>
      </c>
      <c r="AY627" s="287">
        <f t="shared" si="371"/>
        <v>1805297.3761108303</v>
      </c>
      <c r="AZ627" s="287">
        <f t="shared" si="372"/>
        <v>4309162.2473576227</v>
      </c>
      <c r="BA627" s="287">
        <f t="shared" si="373"/>
        <v>4251610.3963196632</v>
      </c>
      <c r="BB627" s="16"/>
      <c r="BC627" s="287">
        <f t="shared" si="374"/>
        <v>279261.09635312791</v>
      </c>
      <c r="BD627" s="287">
        <f t="shared" si="375"/>
        <v>557651.81854176929</v>
      </c>
      <c r="BE627" s="287">
        <f t="shared" si="376"/>
        <v>1087593.6856553457</v>
      </c>
      <c r="BF627" s="287">
        <f t="shared" si="377"/>
        <v>381912.38086332311</v>
      </c>
      <c r="BG627" s="287">
        <f t="shared" si="378"/>
        <v>452371.53020555613</v>
      </c>
      <c r="BH627" s="287">
        <f t="shared" si="379"/>
        <v>696888.13021318009</v>
      </c>
      <c r="BI627" s="287">
        <f t="shared" si="380"/>
        <v>943463.3433811937</v>
      </c>
      <c r="BJ627" s="287">
        <f t="shared" si="381"/>
        <v>889176.31957697601</v>
      </c>
      <c r="BK627" s="287">
        <f t="shared" si="382"/>
        <v>2122423.1964597246</v>
      </c>
      <c r="BL627" s="287">
        <f t="shared" si="383"/>
        <v>2094076.762366401</v>
      </c>
      <c r="BM627" s="16"/>
      <c r="BN627" s="287">
        <f t="shared" si="384"/>
        <v>19297661.323100366</v>
      </c>
      <c r="BO627" s="287">
        <f t="shared" si="385"/>
        <v>9504818.2636165973</v>
      </c>
      <c r="BP627" s="432">
        <f>BN627-AM627</f>
        <v>0</v>
      </c>
      <c r="BQ627" s="21"/>
      <c r="BR627" s="21"/>
      <c r="BS627" s="6" t="e">
        <v>#VALUE!</v>
      </c>
      <c r="BT627" s="194">
        <f t="shared" si="388"/>
        <v>28802479.586716965</v>
      </c>
      <c r="BU627" s="194">
        <f t="shared" si="389"/>
        <v>19297661.323100369</v>
      </c>
      <c r="BV627" s="194">
        <f t="shared" si="390"/>
        <v>9504818.2636165973</v>
      </c>
      <c r="BW627" s="194">
        <f t="shared" si="391"/>
        <v>0</v>
      </c>
      <c r="BX627" s="6"/>
      <c r="BY627" s="6"/>
      <c r="BZ627" s="39">
        <v>614</v>
      </c>
      <c r="CA627" s="39">
        <f t="shared" si="386"/>
        <v>2036</v>
      </c>
      <c r="CB627" s="6"/>
      <c r="CC627" s="39"/>
      <c r="CD627" s="39"/>
      <c r="CE627" s="39"/>
      <c r="CF627" s="39"/>
      <c r="CG627" s="39"/>
      <c r="CH627" s="39"/>
      <c r="CI627" s="39"/>
      <c r="CJ627" s="39"/>
      <c r="CK627" s="39"/>
    </row>
    <row r="628" spans="1:89" s="193" customFormat="1" ht="24">
      <c r="A628" s="357"/>
      <c r="B628" s="21" t="str">
        <f t="shared" si="363"/>
        <v>TRA</v>
      </c>
      <c r="C628" s="21"/>
      <c r="D628" s="432"/>
      <c r="E628" s="439" t="s">
        <v>3626</v>
      </c>
      <c r="F628" s="439"/>
      <c r="G628" s="273" t="s">
        <v>3124</v>
      </c>
      <c r="H628" s="358" t="s">
        <v>4424</v>
      </c>
      <c r="I628" s="262" t="s">
        <v>3161</v>
      </c>
      <c r="J628" s="262" t="s">
        <v>3504</v>
      </c>
      <c r="K628" s="263">
        <v>728000</v>
      </c>
      <c r="L628" s="263">
        <v>757120.00000000012</v>
      </c>
      <c r="M628" s="263">
        <v>787404.80000000005</v>
      </c>
      <c r="N628" s="263">
        <v>811026.94400000013</v>
      </c>
      <c r="O628" s="263">
        <v>835357.7523200002</v>
      </c>
      <c r="P628" s="263">
        <v>860418.48488960019</v>
      </c>
      <c r="Q628" s="263">
        <v>886231.03943628829</v>
      </c>
      <c r="R628" s="263">
        <v>912817.97061937698</v>
      </c>
      <c r="S628" s="263">
        <v>940202.5097379582</v>
      </c>
      <c r="T628" s="263">
        <v>968408.58503009693</v>
      </c>
      <c r="U628" s="263">
        <f t="shared" si="392"/>
        <v>8486988.0860333201</v>
      </c>
      <c r="V628" s="196" t="str">
        <f t="shared" si="361"/>
        <v>G/LOS/R</v>
      </c>
      <c r="W628" s="196" t="s">
        <v>1168</v>
      </c>
      <c r="X628" s="196" t="str">
        <f t="shared" si="399"/>
        <v>Y</v>
      </c>
      <c r="Y628" s="376">
        <f t="shared" si="387"/>
        <v>8486988.0860333201</v>
      </c>
      <c r="Z628" s="198"/>
      <c r="AA628" s="376">
        <f t="shared" si="362"/>
        <v>8486988.0860333201</v>
      </c>
      <c r="AB628" s="196" t="s">
        <v>1166</v>
      </c>
      <c r="AC628" s="196" t="s">
        <v>3624</v>
      </c>
      <c r="AD628" s="275">
        <v>0.14115165696695334</v>
      </c>
      <c r="AE628" s="275">
        <v>0.74104619907650504</v>
      </c>
      <c r="AF628" s="275">
        <v>0.11780214395654161</v>
      </c>
      <c r="AG628" s="199">
        <v>0.14000000000000001</v>
      </c>
      <c r="AH628" s="199">
        <v>0.14000000000000001</v>
      </c>
      <c r="AI628" s="377">
        <f t="shared" si="394"/>
        <v>0.14000000000000001</v>
      </c>
      <c r="AJ628" s="203">
        <v>1</v>
      </c>
      <c r="AK628" s="203">
        <f t="shared" si="401"/>
        <v>0</v>
      </c>
      <c r="AL628" s="376">
        <f t="shared" si="395"/>
        <v>7298809.7539886553</v>
      </c>
      <c r="AM628" s="376">
        <f t="shared" si="396"/>
        <v>1188178.332044665</v>
      </c>
      <c r="AN628" s="376">
        <f t="shared" si="397"/>
        <v>0</v>
      </c>
      <c r="AO628" s="378" t="s">
        <v>3608</v>
      </c>
      <c r="AP628" s="379" t="s">
        <v>2778</v>
      </c>
      <c r="AQ628" s="279"/>
      <c r="AR628" s="287">
        <f t="shared" si="364"/>
        <v>101920.00000000001</v>
      </c>
      <c r="AS628" s="287">
        <f t="shared" si="365"/>
        <v>105996.80000000003</v>
      </c>
      <c r="AT628" s="287">
        <f t="shared" si="366"/>
        <v>110236.67200000002</v>
      </c>
      <c r="AU628" s="287">
        <f t="shared" si="367"/>
        <v>113543.77216000004</v>
      </c>
      <c r="AV628" s="287">
        <f t="shared" si="368"/>
        <v>116950.08532480003</v>
      </c>
      <c r="AW628" s="287">
        <f t="shared" si="369"/>
        <v>120458.58788454405</v>
      </c>
      <c r="AX628" s="287">
        <f t="shared" si="370"/>
        <v>124072.34552108037</v>
      </c>
      <c r="AY628" s="287">
        <f t="shared" si="371"/>
        <v>127794.51588671279</v>
      </c>
      <c r="AZ628" s="287">
        <f t="shared" si="372"/>
        <v>131628.35136331417</v>
      </c>
      <c r="BA628" s="287">
        <f t="shared" si="373"/>
        <v>135577.20190421358</v>
      </c>
      <c r="BB628" s="16"/>
      <c r="BC628" s="287">
        <f t="shared" si="374"/>
        <v>0</v>
      </c>
      <c r="BD628" s="287">
        <f t="shared" si="375"/>
        <v>0</v>
      </c>
      <c r="BE628" s="287">
        <f t="shared" si="376"/>
        <v>0</v>
      </c>
      <c r="BF628" s="287">
        <f t="shared" si="377"/>
        <v>0</v>
      </c>
      <c r="BG628" s="287">
        <f t="shared" si="378"/>
        <v>0</v>
      </c>
      <c r="BH628" s="287">
        <f t="shared" si="379"/>
        <v>0</v>
      </c>
      <c r="BI628" s="287">
        <f t="shared" si="380"/>
        <v>0</v>
      </c>
      <c r="BJ628" s="287">
        <f t="shared" si="381"/>
        <v>0</v>
      </c>
      <c r="BK628" s="287">
        <f t="shared" si="382"/>
        <v>0</v>
      </c>
      <c r="BL628" s="287">
        <f t="shared" si="383"/>
        <v>0</v>
      </c>
      <c r="BM628" s="16"/>
      <c r="BN628" s="287">
        <f t="shared" si="384"/>
        <v>1188178.332044665</v>
      </c>
      <c r="BO628" s="287">
        <f t="shared" si="385"/>
        <v>0</v>
      </c>
      <c r="BP628" s="432"/>
      <c r="BQ628" s="21"/>
      <c r="BR628" s="21"/>
      <c r="BS628" s="6"/>
      <c r="BT628" s="194">
        <f t="shared" si="388"/>
        <v>1188178.332044665</v>
      </c>
      <c r="BU628" s="194">
        <f t="shared" si="389"/>
        <v>1188178.332044665</v>
      </c>
      <c r="BV628" s="194">
        <f t="shared" si="390"/>
        <v>0</v>
      </c>
      <c r="BW628" s="194">
        <f t="shared" si="391"/>
        <v>0</v>
      </c>
      <c r="BX628" s="6"/>
      <c r="BY628" s="6"/>
      <c r="BZ628" s="39">
        <v>615</v>
      </c>
      <c r="CA628" s="39">
        <f t="shared" si="386"/>
        <v>2031</v>
      </c>
      <c r="CB628" s="6"/>
      <c r="CC628" s="39"/>
      <c r="CD628" s="39"/>
      <c r="CE628" s="39"/>
      <c r="CF628" s="39"/>
      <c r="CG628" s="39"/>
      <c r="CH628" s="39"/>
      <c r="CI628" s="39"/>
      <c r="CJ628" s="39"/>
      <c r="CK628" s="39"/>
    </row>
    <row r="629" spans="1:89" s="193" customFormat="1" ht="96">
      <c r="A629" s="357"/>
      <c r="B629" s="21" t="str">
        <f t="shared" si="363"/>
        <v>TRA</v>
      </c>
      <c r="C629" s="21"/>
      <c r="D629" s="432"/>
      <c r="E629" s="439" t="s">
        <v>3626</v>
      </c>
      <c r="F629" s="439"/>
      <c r="G629" s="273" t="s">
        <v>4425</v>
      </c>
      <c r="H629" s="500" t="s">
        <v>5299</v>
      </c>
      <c r="I629" s="262" t="s">
        <v>3161</v>
      </c>
      <c r="J629" s="262" t="s">
        <v>3504</v>
      </c>
      <c r="K629" s="263">
        <v>35409860.882290944</v>
      </c>
      <c r="L629" s="263">
        <v>38875290.550242677</v>
      </c>
      <c r="M629" s="263">
        <v>69271754.788627148</v>
      </c>
      <c r="N629" s="263">
        <v>40892908.300736733</v>
      </c>
      <c r="O629" s="263">
        <v>34652932.111235246</v>
      </c>
      <c r="P629" s="263">
        <v>41951802.882478915</v>
      </c>
      <c r="Q629" s="263">
        <v>20365410.40377032</v>
      </c>
      <c r="R629" s="263">
        <v>15947762.02905947</v>
      </c>
      <c r="S629" s="263">
        <v>20590614.091552574</v>
      </c>
      <c r="T629" s="263">
        <v>1186464.6768389167</v>
      </c>
      <c r="U629" s="263">
        <f t="shared" si="392"/>
        <v>319144800.71683294</v>
      </c>
      <c r="V629" s="196" t="str">
        <f t="shared" si="361"/>
        <v>G/LOS</v>
      </c>
      <c r="W629" s="196" t="s">
        <v>1168</v>
      </c>
      <c r="X629" s="196" t="str">
        <f t="shared" si="399"/>
        <v>Y</v>
      </c>
      <c r="Y629" s="376">
        <f t="shared" si="387"/>
        <v>319144800.71683294</v>
      </c>
      <c r="Z629" s="198"/>
      <c r="AA629" s="376">
        <f t="shared" si="362"/>
        <v>319144800.71683294</v>
      </c>
      <c r="AB629" s="196" t="s">
        <v>1166</v>
      </c>
      <c r="AC629" s="196" t="s">
        <v>1168</v>
      </c>
      <c r="AD629" s="275">
        <v>0.215</v>
      </c>
      <c r="AE629" s="275">
        <f t="shared" ref="AE629:AE634" si="402">1-AD629</f>
        <v>0.78500000000000003</v>
      </c>
      <c r="AF629" s="275">
        <v>0</v>
      </c>
      <c r="AG629" s="199">
        <v>0.1598</v>
      </c>
      <c r="AH629" s="199">
        <v>0.1598</v>
      </c>
      <c r="AI629" s="377">
        <f t="shared" si="394"/>
        <v>0.1598</v>
      </c>
      <c r="AJ629" s="203">
        <v>0.67</v>
      </c>
      <c r="AK629" s="203">
        <f t="shared" si="401"/>
        <v>0.32999999999999996</v>
      </c>
      <c r="AL629" s="376">
        <f t="shared" si="395"/>
        <v>268145461.56228304</v>
      </c>
      <c r="AM629" s="376">
        <f t="shared" si="396"/>
        <v>34169557.23354844</v>
      </c>
      <c r="AN629" s="376">
        <f t="shared" si="397"/>
        <v>16829781.921001468</v>
      </c>
      <c r="AO629" s="378" t="s">
        <v>3608</v>
      </c>
      <c r="AP629" s="379" t="s">
        <v>2778</v>
      </c>
      <c r="AQ629" s="279"/>
      <c r="AR629" s="287">
        <f t="shared" si="364"/>
        <v>3791192.1652233624</v>
      </c>
      <c r="AS629" s="287">
        <f t="shared" si="365"/>
        <v>4162221.8580522826</v>
      </c>
      <c r="AT629" s="287">
        <f t="shared" si="366"/>
        <v>7416649.6981991548</v>
      </c>
      <c r="AU629" s="287">
        <f t="shared" si="367"/>
        <v>4378240.1201266786</v>
      </c>
      <c r="AV629" s="287">
        <f t="shared" si="368"/>
        <v>3710150.8294215128</v>
      </c>
      <c r="AW629" s="287">
        <f t="shared" si="369"/>
        <v>4491611.7274154872</v>
      </c>
      <c r="AX629" s="287">
        <f t="shared" si="370"/>
        <v>2180443.0302900732</v>
      </c>
      <c r="AY629" s="287">
        <f t="shared" si="371"/>
        <v>1707463.0894032815</v>
      </c>
      <c r="AZ629" s="287">
        <f t="shared" si="372"/>
        <v>2204554.6883261679</v>
      </c>
      <c r="BA629" s="287">
        <f t="shared" si="373"/>
        <v>127030.02709043547</v>
      </c>
      <c r="BB629" s="16"/>
      <c r="BC629" s="287">
        <f t="shared" si="374"/>
        <v>1867303.6037667305</v>
      </c>
      <c r="BD629" s="287">
        <f t="shared" si="375"/>
        <v>2050049.571876497</v>
      </c>
      <c r="BE629" s="287">
        <f t="shared" si="376"/>
        <v>3652976.7170234639</v>
      </c>
      <c r="BF629" s="287">
        <f t="shared" si="377"/>
        <v>2156446.6263310504</v>
      </c>
      <c r="BG629" s="287">
        <f t="shared" si="378"/>
        <v>1827387.7219538791</v>
      </c>
      <c r="BH629" s="287">
        <f t="shared" si="379"/>
        <v>2212286.3732046424</v>
      </c>
      <c r="BI629" s="287">
        <f t="shared" si="380"/>
        <v>1073949.5522324238</v>
      </c>
      <c r="BJ629" s="287">
        <f t="shared" si="381"/>
        <v>840989.28284042201</v>
      </c>
      <c r="BK629" s="287">
        <f t="shared" si="382"/>
        <v>1085825.4435039333</v>
      </c>
      <c r="BL629" s="287">
        <f t="shared" si="383"/>
        <v>62567.028268423426</v>
      </c>
      <c r="BM629" s="16"/>
      <c r="BN629" s="287">
        <f t="shared" si="384"/>
        <v>34169557.23354844</v>
      </c>
      <c r="BO629" s="287">
        <f t="shared" si="385"/>
        <v>16829781.921001464</v>
      </c>
      <c r="BP629" s="432"/>
      <c r="BQ629" s="21"/>
      <c r="BR629" s="21"/>
      <c r="BS629" s="6"/>
      <c r="BT629" s="6">
        <f t="shared" si="388"/>
        <v>50999339.154549904</v>
      </c>
      <c r="BU629" s="194">
        <f t="shared" si="389"/>
        <v>34169557.23354844</v>
      </c>
      <c r="BV629" s="194">
        <f t="shared" si="390"/>
        <v>16829781.921001468</v>
      </c>
      <c r="BW629" s="6">
        <f t="shared" si="391"/>
        <v>0</v>
      </c>
      <c r="BX629" s="6"/>
      <c r="BY629" s="6"/>
      <c r="BZ629" s="39">
        <v>616</v>
      </c>
      <c r="CA629" s="39">
        <f t="shared" si="386"/>
        <v>2036</v>
      </c>
      <c r="CB629" s="6"/>
      <c r="CC629" s="39"/>
      <c r="CD629" s="39"/>
      <c r="CE629" s="39"/>
      <c r="CF629" s="39"/>
      <c r="CG629" s="39"/>
      <c r="CH629" s="39"/>
      <c r="CI629" s="39"/>
      <c r="CJ629" s="39"/>
      <c r="CK629" s="39"/>
    </row>
    <row r="630" spans="1:89" s="193" customFormat="1" ht="84">
      <c r="A630" s="357"/>
      <c r="B630" s="21" t="str">
        <f t="shared" si="363"/>
        <v>TRA</v>
      </c>
      <c r="C630" s="21"/>
      <c r="D630" s="432"/>
      <c r="E630" s="439" t="s">
        <v>3626</v>
      </c>
      <c r="F630" s="439"/>
      <c r="G630" s="273" t="s">
        <v>4650</v>
      </c>
      <c r="H630" s="500" t="s">
        <v>5301</v>
      </c>
      <c r="I630" s="262" t="s">
        <v>3161</v>
      </c>
      <c r="J630" s="262" t="s">
        <v>3504</v>
      </c>
      <c r="K630" s="263">
        <v>6887420.116182005</v>
      </c>
      <c r="L630" s="263">
        <v>12440349.68448795</v>
      </c>
      <c r="M630" s="263">
        <v>7801028.301892193</v>
      </c>
      <c r="N630" s="263">
        <v>9056692.537678564</v>
      </c>
      <c r="O630" s="263">
        <v>9227203.1261806209</v>
      </c>
      <c r="P630" s="263">
        <v>12379756.953275301</v>
      </c>
      <c r="Q630" s="263">
        <v>12260149.45330246</v>
      </c>
      <c r="R630" s="263">
        <v>11004211.003775286</v>
      </c>
      <c r="S630" s="263">
        <v>12247588.214939013</v>
      </c>
      <c r="T630" s="263">
        <v>347524.19577396271</v>
      </c>
      <c r="U630" s="263">
        <f t="shared" si="392"/>
        <v>93651923.58748734</v>
      </c>
      <c r="V630" s="196" t="str">
        <f t="shared" si="361"/>
        <v>G/LOS</v>
      </c>
      <c r="W630" s="196" t="s">
        <v>1168</v>
      </c>
      <c r="X630" s="196" t="str">
        <f t="shared" si="399"/>
        <v>Y</v>
      </c>
      <c r="Y630" s="376">
        <f t="shared" si="387"/>
        <v>93651923.58748734</v>
      </c>
      <c r="Z630" s="198"/>
      <c r="AA630" s="376">
        <f t="shared" si="362"/>
        <v>93651923.58748734</v>
      </c>
      <c r="AB630" s="196" t="s">
        <v>1166</v>
      </c>
      <c r="AC630" s="196" t="s">
        <v>1168</v>
      </c>
      <c r="AD630" s="275">
        <v>0.215</v>
      </c>
      <c r="AE630" s="275">
        <f t="shared" si="402"/>
        <v>0.78500000000000003</v>
      </c>
      <c r="AF630" s="275">
        <v>0</v>
      </c>
      <c r="AG630" s="199">
        <v>0.1598</v>
      </c>
      <c r="AH630" s="199">
        <v>0.1598</v>
      </c>
      <c r="AI630" s="377">
        <f t="shared" si="394"/>
        <v>0.1598</v>
      </c>
      <c r="AJ630" s="203">
        <v>0.67</v>
      </c>
      <c r="AK630" s="203">
        <f t="shared" si="401"/>
        <v>0.32999999999999996</v>
      </c>
      <c r="AL630" s="376">
        <f t="shared" si="395"/>
        <v>78686346.198206872</v>
      </c>
      <c r="AM630" s="376">
        <f t="shared" si="396"/>
        <v>10026936.850817921</v>
      </c>
      <c r="AN630" s="376">
        <f t="shared" si="397"/>
        <v>4938640.5384625569</v>
      </c>
      <c r="AO630" s="378" t="s">
        <v>3608</v>
      </c>
      <c r="AP630" s="379" t="s">
        <v>2778</v>
      </c>
      <c r="AQ630" s="279"/>
      <c r="AR630" s="287">
        <f t="shared" si="364"/>
        <v>737408.52215914254</v>
      </c>
      <c r="AS630" s="287">
        <f t="shared" si="365"/>
        <v>1331938.4793193869</v>
      </c>
      <c r="AT630" s="287">
        <f t="shared" si="366"/>
        <v>835224.89617038961</v>
      </c>
      <c r="AU630" s="287">
        <f t="shared" si="367"/>
        <v>969663.84323909308</v>
      </c>
      <c r="AV630" s="287">
        <f t="shared" si="368"/>
        <v>987919.72990765434</v>
      </c>
      <c r="AW630" s="287">
        <f t="shared" si="369"/>
        <v>1325451.0579593733</v>
      </c>
      <c r="AX630" s="287">
        <f t="shared" si="370"/>
        <v>1312645.1613672813</v>
      </c>
      <c r="AY630" s="287">
        <f t="shared" si="371"/>
        <v>1178176.8553302048</v>
      </c>
      <c r="AZ630" s="287">
        <f t="shared" si="372"/>
        <v>1311300.2798206604</v>
      </c>
      <c r="BA630" s="287">
        <f t="shared" si="373"/>
        <v>37208.025544735094</v>
      </c>
      <c r="BB630" s="16"/>
      <c r="BC630" s="287">
        <f t="shared" si="374"/>
        <v>363201.2124067418</v>
      </c>
      <c r="BD630" s="287">
        <f t="shared" si="375"/>
        <v>656029.40026178746</v>
      </c>
      <c r="BE630" s="287">
        <f t="shared" si="376"/>
        <v>411379.42647198285</v>
      </c>
      <c r="BF630" s="287">
        <f t="shared" si="377"/>
        <v>477595.62428194127</v>
      </c>
      <c r="BG630" s="287">
        <f t="shared" si="378"/>
        <v>486587.32965600875</v>
      </c>
      <c r="BH630" s="287">
        <f t="shared" si="379"/>
        <v>652834.1031740196</v>
      </c>
      <c r="BI630" s="287">
        <f t="shared" si="380"/>
        <v>646526.7212704519</v>
      </c>
      <c r="BJ630" s="287">
        <f t="shared" si="381"/>
        <v>580296.06307308585</v>
      </c>
      <c r="BK630" s="287">
        <f t="shared" si="382"/>
        <v>645864.31692659378</v>
      </c>
      <c r="BL630" s="287">
        <f t="shared" si="383"/>
        <v>18326.340939944148</v>
      </c>
      <c r="BM630" s="16"/>
      <c r="BN630" s="287">
        <f t="shared" si="384"/>
        <v>10026936.850817921</v>
      </c>
      <c r="BO630" s="287">
        <f t="shared" si="385"/>
        <v>4938640.5384625578</v>
      </c>
      <c r="BP630" s="432"/>
      <c r="BQ630" s="21"/>
      <c r="BR630" s="21"/>
      <c r="BS630" s="6"/>
      <c r="BT630" s="194">
        <f t="shared" si="388"/>
        <v>14965577.389280479</v>
      </c>
      <c r="BU630" s="194">
        <f t="shared" si="389"/>
        <v>10026936.850817921</v>
      </c>
      <c r="BV630" s="194">
        <f t="shared" si="390"/>
        <v>4938640.5384625569</v>
      </c>
      <c r="BW630" s="194">
        <f t="shared" si="391"/>
        <v>0</v>
      </c>
      <c r="BX630" s="6"/>
      <c r="BY630" s="627"/>
      <c r="BZ630" s="39">
        <v>617</v>
      </c>
      <c r="CA630" s="39">
        <f t="shared" si="386"/>
        <v>2036</v>
      </c>
      <c r="CB630" s="6"/>
      <c r="CC630" s="39"/>
      <c r="CD630" s="39"/>
      <c r="CE630" s="39"/>
      <c r="CF630" s="39"/>
      <c r="CG630" s="39"/>
      <c r="CH630" s="39"/>
      <c r="CI630" s="39"/>
      <c r="CJ630" s="39"/>
      <c r="CK630" s="39"/>
    </row>
    <row r="631" spans="1:89" s="193" customFormat="1" ht="84">
      <c r="A631" s="357"/>
      <c r="B631" s="21" t="str">
        <f t="shared" si="363"/>
        <v>TRA</v>
      </c>
      <c r="C631" s="21"/>
      <c r="D631" s="432"/>
      <c r="E631" s="439" t="s">
        <v>3626</v>
      </c>
      <c r="F631" s="439"/>
      <c r="G631" s="273" t="s">
        <v>4650</v>
      </c>
      <c r="H631" s="500" t="s">
        <v>5301</v>
      </c>
      <c r="I631" s="262" t="s">
        <v>3161</v>
      </c>
      <c r="J631" s="262" t="s">
        <v>3504</v>
      </c>
      <c r="K631" s="263">
        <v>4401687.5833417727</v>
      </c>
      <c r="L631" s="263">
        <v>10888795.456198635</v>
      </c>
      <c r="M631" s="263">
        <v>8791750.3086586222</v>
      </c>
      <c r="N631" s="263">
        <v>7419328.6643712847</v>
      </c>
      <c r="O631" s="263">
        <v>14873741.278988183</v>
      </c>
      <c r="P631" s="263">
        <v>9298059.9810093343</v>
      </c>
      <c r="Q631" s="263">
        <v>9197150.0107141547</v>
      </c>
      <c r="R631" s="263">
        <v>8253509.4629412731</v>
      </c>
      <c r="S631" s="263">
        <v>14227198.125329912</v>
      </c>
      <c r="T631" s="263">
        <v>13852946.597459158</v>
      </c>
      <c r="U631" s="263">
        <f t="shared" si="392"/>
        <v>101204167.46901232</v>
      </c>
      <c r="V631" s="196" t="str">
        <f t="shared" si="361"/>
        <v>G/LOS</v>
      </c>
      <c r="W631" s="196" t="s">
        <v>1168</v>
      </c>
      <c r="X631" s="196" t="str">
        <f t="shared" si="399"/>
        <v>Y</v>
      </c>
      <c r="Y631" s="376">
        <f t="shared" ref="Y631:Y647" si="403">IF(X631="N",0,SUM(K631:T631))</f>
        <v>101204167.46901232</v>
      </c>
      <c r="Z631" s="198"/>
      <c r="AA631" s="376">
        <f t="shared" si="362"/>
        <v>101204167.46901232</v>
      </c>
      <c r="AB631" s="196" t="s">
        <v>1166</v>
      </c>
      <c r="AC631" s="196" t="s">
        <v>1168</v>
      </c>
      <c r="AD631" s="275">
        <v>0.215</v>
      </c>
      <c r="AE631" s="275">
        <f t="shared" si="402"/>
        <v>0.78500000000000003</v>
      </c>
      <c r="AF631" s="275">
        <v>0</v>
      </c>
      <c r="AG631" s="199">
        <v>0.1598</v>
      </c>
      <c r="AH631" s="199">
        <v>0.1598</v>
      </c>
      <c r="AI631" s="377">
        <f t="shared" si="394"/>
        <v>0.1598</v>
      </c>
      <c r="AJ631" s="203">
        <v>0.67</v>
      </c>
      <c r="AK631" s="203">
        <f t="shared" si="401"/>
        <v>0.32999999999999996</v>
      </c>
      <c r="AL631" s="376">
        <f t="shared" si="395"/>
        <v>85031741.507464156</v>
      </c>
      <c r="AM631" s="376">
        <f t="shared" si="396"/>
        <v>10835525.394237272</v>
      </c>
      <c r="AN631" s="376">
        <f t="shared" si="397"/>
        <v>5336900.5673108948</v>
      </c>
      <c r="AO631" s="378" t="s">
        <v>3608</v>
      </c>
      <c r="AP631" s="379" t="s">
        <v>2778</v>
      </c>
      <c r="AQ631" s="279"/>
      <c r="AR631" s="287">
        <f t="shared" si="364"/>
        <v>471271.08279807022</v>
      </c>
      <c r="AS631" s="287">
        <f t="shared" si="365"/>
        <v>1165819.774313363</v>
      </c>
      <c r="AT631" s="287">
        <f t="shared" si="366"/>
        <v>941297.53854684415</v>
      </c>
      <c r="AU631" s="287">
        <f t="shared" si="367"/>
        <v>794357.84277957596</v>
      </c>
      <c r="AV631" s="287">
        <f t="shared" si="368"/>
        <v>1592471.9837761486</v>
      </c>
      <c r="AW631" s="287">
        <f t="shared" si="369"/>
        <v>995506.08992674539</v>
      </c>
      <c r="AX631" s="287">
        <f t="shared" si="370"/>
        <v>984702.06304712174</v>
      </c>
      <c r="AY631" s="287">
        <f t="shared" si="371"/>
        <v>883670.24415927043</v>
      </c>
      <c r="AZ631" s="287">
        <f t="shared" si="372"/>
        <v>1523249.1944865724</v>
      </c>
      <c r="BA631" s="287">
        <f t="shared" si="373"/>
        <v>1483179.5804035624</v>
      </c>
      <c r="BB631" s="16"/>
      <c r="BC631" s="287">
        <f t="shared" si="374"/>
        <v>232118.59301994499</v>
      </c>
      <c r="BD631" s="287">
        <f t="shared" si="375"/>
        <v>574209.73958717869</v>
      </c>
      <c r="BE631" s="287">
        <f t="shared" si="376"/>
        <v>463624.16077680374</v>
      </c>
      <c r="BF631" s="287">
        <f t="shared" si="377"/>
        <v>391250.87778695521</v>
      </c>
      <c r="BG631" s="287">
        <f t="shared" si="378"/>
        <v>784351.87260616268</v>
      </c>
      <c r="BH631" s="287">
        <f t="shared" si="379"/>
        <v>490323.89503854618</v>
      </c>
      <c r="BI631" s="287">
        <f t="shared" si="380"/>
        <v>485002.50866500015</v>
      </c>
      <c r="BJ631" s="287">
        <f t="shared" si="381"/>
        <v>435240.56801874505</v>
      </c>
      <c r="BK631" s="287">
        <f t="shared" si="382"/>
        <v>750257.06594114751</v>
      </c>
      <c r="BL631" s="287">
        <f t="shared" si="383"/>
        <v>730521.2858704112</v>
      </c>
      <c r="BM631" s="16"/>
      <c r="BN631" s="287">
        <f t="shared" si="384"/>
        <v>10835525.394237276</v>
      </c>
      <c r="BO631" s="287">
        <f t="shared" si="385"/>
        <v>5336900.5673108948</v>
      </c>
      <c r="BP631" s="432"/>
      <c r="BQ631" s="21"/>
      <c r="BR631" s="21"/>
      <c r="BS631" s="6"/>
      <c r="BT631" s="6">
        <f t="shared" si="388"/>
        <v>16172425.961548172</v>
      </c>
      <c r="BU631" s="194">
        <f t="shared" si="389"/>
        <v>10835525.394237272</v>
      </c>
      <c r="BV631" s="194">
        <f t="shared" si="390"/>
        <v>5336900.5673108948</v>
      </c>
      <c r="BW631" s="6">
        <f t="shared" si="391"/>
        <v>0</v>
      </c>
      <c r="BX631" s="6"/>
      <c r="BY631" s="627"/>
      <c r="BZ631" s="39">
        <v>618</v>
      </c>
      <c r="CA631" s="39">
        <f t="shared" si="386"/>
        <v>2036</v>
      </c>
      <c r="CB631" s="6"/>
      <c r="CC631" s="39"/>
      <c r="CD631" s="39"/>
      <c r="CE631" s="39"/>
      <c r="CF631" s="39"/>
      <c r="CG631" s="39"/>
      <c r="CH631" s="39"/>
      <c r="CI631" s="39"/>
      <c r="CJ631" s="39"/>
      <c r="CK631" s="39"/>
    </row>
    <row r="632" spans="1:89" s="193" customFormat="1" ht="24">
      <c r="A632" s="357"/>
      <c r="B632" s="21" t="str">
        <f t="shared" si="363"/>
        <v>TRA</v>
      </c>
      <c r="C632" s="21"/>
      <c r="D632" s="432"/>
      <c r="E632" s="439" t="s">
        <v>3626</v>
      </c>
      <c r="F632" s="439"/>
      <c r="G632" s="273" t="s">
        <v>3628</v>
      </c>
      <c r="H632" s="358" t="s">
        <v>4466</v>
      </c>
      <c r="I632" s="262" t="s">
        <v>3161</v>
      </c>
      <c r="J632" s="262" t="s">
        <v>3504</v>
      </c>
      <c r="K632" s="263">
        <v>10540400</v>
      </c>
      <c r="L632" s="263">
        <v>9975433.6500000004</v>
      </c>
      <c r="M632" s="263">
        <v>10557763.261499999</v>
      </c>
      <c r="N632" s="263">
        <v>19064309.467994999</v>
      </c>
      <c r="O632" s="263">
        <v>11320494.614944199</v>
      </c>
      <c r="P632" s="263">
        <v>6797356.8320871806</v>
      </c>
      <c r="Q632" s="263">
        <v>9534935.5738528837</v>
      </c>
      <c r="R632" s="263">
        <v>2505256.0363501217</v>
      </c>
      <c r="S632" s="263">
        <v>1044496</v>
      </c>
      <c r="T632" s="263">
        <v>0</v>
      </c>
      <c r="U632" s="263">
        <f t="shared" si="392"/>
        <v>81340445.436729372</v>
      </c>
      <c r="V632" s="196" t="str">
        <f t="shared" si="361"/>
        <v>G/LOS</v>
      </c>
      <c r="W632" s="196" t="s">
        <v>1168</v>
      </c>
      <c r="X632" s="196" t="s">
        <v>1166</v>
      </c>
      <c r="Y632" s="376">
        <f t="shared" si="403"/>
        <v>81340445.436729372</v>
      </c>
      <c r="Z632" s="198"/>
      <c r="AA632" s="376">
        <f t="shared" si="362"/>
        <v>81340445.436729372</v>
      </c>
      <c r="AB632" s="196" t="s">
        <v>1166</v>
      </c>
      <c r="AC632" s="196" t="s">
        <v>1168</v>
      </c>
      <c r="AD632" s="275">
        <v>0.215</v>
      </c>
      <c r="AE632" s="275">
        <f t="shared" si="402"/>
        <v>0.78500000000000003</v>
      </c>
      <c r="AF632" s="275">
        <v>0</v>
      </c>
      <c r="AG632" s="199">
        <v>0.1598</v>
      </c>
      <c r="AH632" s="199">
        <v>0.1598</v>
      </c>
      <c r="AI632" s="377">
        <f t="shared" si="394"/>
        <v>0.1598</v>
      </c>
      <c r="AJ632" s="203">
        <v>0.33</v>
      </c>
      <c r="AK632" s="203">
        <f t="shared" si="401"/>
        <v>0.66999999999999993</v>
      </c>
      <c r="AL632" s="376">
        <f t="shared" si="395"/>
        <v>68342242.25594002</v>
      </c>
      <c r="AM632" s="376">
        <f t="shared" si="396"/>
        <v>4289407.0496604871</v>
      </c>
      <c r="AN632" s="376">
        <f t="shared" si="397"/>
        <v>8708796.1311288662</v>
      </c>
      <c r="AO632" s="378" t="s">
        <v>3608</v>
      </c>
      <c r="AP632" s="379" t="s">
        <v>2778</v>
      </c>
      <c r="AQ632" s="279"/>
      <c r="AR632" s="287">
        <f t="shared" si="364"/>
        <v>555837.45360000001</v>
      </c>
      <c r="AS632" s="287">
        <f t="shared" si="365"/>
        <v>526044.51809909998</v>
      </c>
      <c r="AT632" s="287">
        <f t="shared" si="366"/>
        <v>556753.08783194097</v>
      </c>
      <c r="AU632" s="287">
        <f t="shared" si="367"/>
        <v>1005337.2954852483</v>
      </c>
      <c r="AV632" s="287">
        <f t="shared" si="368"/>
        <v>596974.96302446746</v>
      </c>
      <c r="AW632" s="287">
        <f t="shared" si="369"/>
        <v>358451.81518328539</v>
      </c>
      <c r="AX632" s="287">
        <f t="shared" si="370"/>
        <v>502815.29255155794</v>
      </c>
      <c r="AY632" s="287">
        <f t="shared" si="371"/>
        <v>132112.17182088734</v>
      </c>
      <c r="AZ632" s="287">
        <f t="shared" si="372"/>
        <v>55080.452064000005</v>
      </c>
      <c r="BA632" s="287">
        <f t="shared" si="373"/>
        <v>0</v>
      </c>
      <c r="BB632" s="16"/>
      <c r="BC632" s="287">
        <f t="shared" si="374"/>
        <v>1128518.4663999998</v>
      </c>
      <c r="BD632" s="287">
        <f t="shared" si="375"/>
        <v>1068029.7791708999</v>
      </c>
      <c r="BE632" s="287">
        <f t="shared" si="376"/>
        <v>1130377.4813557588</v>
      </c>
      <c r="BF632" s="287">
        <f t="shared" si="377"/>
        <v>2041139.3575003522</v>
      </c>
      <c r="BG632" s="287">
        <f t="shared" si="378"/>
        <v>1212040.0764436156</v>
      </c>
      <c r="BH632" s="287">
        <f t="shared" si="379"/>
        <v>727765.80658424599</v>
      </c>
      <c r="BI632" s="287">
        <f t="shared" si="380"/>
        <v>1020867.4121501327</v>
      </c>
      <c r="BJ632" s="287">
        <f t="shared" si="381"/>
        <v>268227.74278786208</v>
      </c>
      <c r="BK632" s="287">
        <f t="shared" si="382"/>
        <v>111830.00873599999</v>
      </c>
      <c r="BL632" s="287">
        <f t="shared" si="383"/>
        <v>0</v>
      </c>
      <c r="BM632" s="16"/>
      <c r="BN632" s="287">
        <f t="shared" si="384"/>
        <v>4289407.0496604871</v>
      </c>
      <c r="BO632" s="287">
        <f t="shared" si="385"/>
        <v>8708796.1311288662</v>
      </c>
      <c r="BP632" s="432"/>
      <c r="BQ632" s="21"/>
      <c r="BR632" s="21"/>
      <c r="BS632" s="6"/>
      <c r="BT632" s="194">
        <f t="shared" ref="BT632:BT665" si="404">+BN632+BO632</f>
        <v>12998203.180789353</v>
      </c>
      <c r="BU632" s="194">
        <f t="shared" ref="BU632:BU665" si="405">+AM632</f>
        <v>4289407.0496604871</v>
      </c>
      <c r="BV632" s="194">
        <f t="shared" ref="BV632:BV665" si="406">+AN632</f>
        <v>8708796.1311288662</v>
      </c>
      <c r="BW632" s="194">
        <f t="shared" ref="BW632:BW665" si="407">+BT632-BU632-BV632</f>
        <v>0</v>
      </c>
      <c r="BX632" s="6"/>
      <c r="BY632" s="6"/>
      <c r="BZ632" s="39">
        <v>619</v>
      </c>
      <c r="CA632" s="39">
        <f t="shared" si="386"/>
        <v>2051</v>
      </c>
      <c r="CB632" s="6"/>
      <c r="CC632" s="39"/>
      <c r="CD632" s="39"/>
      <c r="CE632" s="39"/>
      <c r="CF632" s="39"/>
      <c r="CG632" s="39"/>
      <c r="CH632" s="39"/>
      <c r="CI632" s="39"/>
      <c r="CJ632" s="39"/>
      <c r="CK632" s="39"/>
    </row>
    <row r="633" spans="1:89" s="193" customFormat="1" ht="24">
      <c r="A633" s="357"/>
      <c r="B633" s="21" t="str">
        <f t="shared" si="363"/>
        <v>TRA</v>
      </c>
      <c r="C633" s="21"/>
      <c r="D633" s="432"/>
      <c r="E633" s="439" t="s">
        <v>3626</v>
      </c>
      <c r="F633" s="439"/>
      <c r="G633" s="273" t="s">
        <v>3628</v>
      </c>
      <c r="H633" s="358" t="s">
        <v>4466</v>
      </c>
      <c r="I633" s="262" t="s">
        <v>3904</v>
      </c>
      <c r="J633" s="262" t="s">
        <v>3504</v>
      </c>
      <c r="K633" s="263">
        <v>-5375604</v>
      </c>
      <c r="L633" s="263">
        <v>-5087471.1615000004</v>
      </c>
      <c r="M633" s="263">
        <v>-5384459.2633649996</v>
      </c>
      <c r="N633" s="263">
        <v>-9722797.8286774494</v>
      </c>
      <c r="O633" s="263">
        <v>-5773452.2536215419</v>
      </c>
      <c r="P633" s="263">
        <v>-3466651.9843644621</v>
      </c>
      <c r="Q633" s="263">
        <v>-4862817.1426649708</v>
      </c>
      <c r="R633" s="263">
        <v>-1277680.5785385622</v>
      </c>
      <c r="S633" s="263">
        <v>-532692.96</v>
      </c>
      <c r="T633" s="263">
        <v>0</v>
      </c>
      <c r="U633" s="263">
        <f t="shared" si="392"/>
        <v>-41483627.172731981</v>
      </c>
      <c r="V633" s="196" t="str">
        <f t="shared" si="361"/>
        <v>G/LOS</v>
      </c>
      <c r="W633" s="196" t="s">
        <v>1168</v>
      </c>
      <c r="X633" s="196" t="s">
        <v>1166</v>
      </c>
      <c r="Y633" s="376">
        <f t="shared" si="403"/>
        <v>-41483627.172731981</v>
      </c>
      <c r="Z633" s="198"/>
      <c r="AA633" s="376">
        <f t="shared" si="362"/>
        <v>-41483627.172731981</v>
      </c>
      <c r="AB633" s="196" t="s">
        <v>1166</v>
      </c>
      <c r="AC633" s="196" t="s">
        <v>1168</v>
      </c>
      <c r="AD633" s="275">
        <v>0.215</v>
      </c>
      <c r="AE633" s="275">
        <f t="shared" si="402"/>
        <v>0.78500000000000003</v>
      </c>
      <c r="AF633" s="275">
        <v>0</v>
      </c>
      <c r="AG633" s="199">
        <v>0.1598</v>
      </c>
      <c r="AH633" s="199">
        <v>0.1598</v>
      </c>
      <c r="AI633" s="377">
        <f t="shared" si="394"/>
        <v>0.1598</v>
      </c>
      <c r="AJ633" s="203">
        <v>0.33</v>
      </c>
      <c r="AK633" s="203">
        <f t="shared" si="401"/>
        <v>0.66999999999999993</v>
      </c>
      <c r="AL633" s="376">
        <f t="shared" si="395"/>
        <v>-34854543.550529413</v>
      </c>
      <c r="AM633" s="376">
        <f t="shared" si="396"/>
        <v>-2187597.5953268483</v>
      </c>
      <c r="AN633" s="376">
        <f t="shared" si="397"/>
        <v>-4441486.0268757222</v>
      </c>
      <c r="AO633" s="378" t="s">
        <v>3608</v>
      </c>
      <c r="AP633" s="379" t="s">
        <v>2778</v>
      </c>
      <c r="AQ633" s="279"/>
      <c r="AR633" s="287">
        <f t="shared" si="364"/>
        <v>-283477.10133600002</v>
      </c>
      <c r="AS633" s="287">
        <f t="shared" si="365"/>
        <v>-268282.70423054101</v>
      </c>
      <c r="AT633" s="287">
        <f t="shared" si="366"/>
        <v>-283944.07479428989</v>
      </c>
      <c r="AU633" s="287">
        <f t="shared" si="367"/>
        <v>-512722.02069747663</v>
      </c>
      <c r="AV633" s="287">
        <f t="shared" si="368"/>
        <v>-304457.23114247835</v>
      </c>
      <c r="AW633" s="287">
        <f t="shared" si="369"/>
        <v>-182810.42574347556</v>
      </c>
      <c r="AX633" s="287">
        <f t="shared" si="370"/>
        <v>-256435.79920129458</v>
      </c>
      <c r="AY633" s="287">
        <f t="shared" si="371"/>
        <v>-67377.207628652541</v>
      </c>
      <c r="AZ633" s="287">
        <f t="shared" si="372"/>
        <v>-28091.030552640001</v>
      </c>
      <c r="BA633" s="287">
        <f t="shared" si="373"/>
        <v>0</v>
      </c>
      <c r="BB633" s="16"/>
      <c r="BC633" s="287">
        <f t="shared" si="374"/>
        <v>-575544.41786399996</v>
      </c>
      <c r="BD633" s="287">
        <f t="shared" si="375"/>
        <v>-544695.18737715902</v>
      </c>
      <c r="BE633" s="287">
        <f t="shared" si="376"/>
        <v>-576492.51549143693</v>
      </c>
      <c r="BF633" s="287">
        <f t="shared" si="377"/>
        <v>-1040981.0723251797</v>
      </c>
      <c r="BG633" s="287">
        <f t="shared" si="378"/>
        <v>-618140.43898624391</v>
      </c>
      <c r="BH633" s="287">
        <f t="shared" si="379"/>
        <v>-371160.56135796546</v>
      </c>
      <c r="BI633" s="287">
        <f t="shared" si="380"/>
        <v>-520642.38019656768</v>
      </c>
      <c r="BJ633" s="287">
        <f t="shared" si="381"/>
        <v>-136796.14882180968</v>
      </c>
      <c r="BK633" s="287">
        <f t="shared" si="382"/>
        <v>-57033.30445535999</v>
      </c>
      <c r="BL633" s="287">
        <f t="shared" si="383"/>
        <v>0</v>
      </c>
      <c r="BM633" s="16"/>
      <c r="BN633" s="287">
        <f t="shared" si="384"/>
        <v>-2187597.5953268488</v>
      </c>
      <c r="BO633" s="287">
        <f t="shared" si="385"/>
        <v>-4441486.0268757222</v>
      </c>
      <c r="BP633" s="432"/>
      <c r="BQ633" s="21"/>
      <c r="BR633" s="21"/>
      <c r="BS633" s="6"/>
      <c r="BT633" s="194">
        <f t="shared" si="404"/>
        <v>-6629083.6222025715</v>
      </c>
      <c r="BU633" s="194">
        <f t="shared" si="405"/>
        <v>-2187597.5953268483</v>
      </c>
      <c r="BV633" s="194">
        <f t="shared" si="406"/>
        <v>-4441486.0268757222</v>
      </c>
      <c r="BW633" s="194">
        <f t="shared" si="407"/>
        <v>0</v>
      </c>
      <c r="BX633" s="6"/>
      <c r="BY633" s="6"/>
      <c r="BZ633" s="39">
        <v>620</v>
      </c>
      <c r="CA633" s="39">
        <f t="shared" si="386"/>
        <v>2051</v>
      </c>
      <c r="CB633" s="6"/>
      <c r="CC633" s="39"/>
      <c r="CD633" s="39"/>
      <c r="CE633" s="39"/>
      <c r="CF633" s="39"/>
      <c r="CG633" s="39"/>
      <c r="CH633" s="39"/>
      <c r="CI633" s="39"/>
      <c r="CJ633" s="39"/>
      <c r="CK633" s="39"/>
    </row>
    <row r="634" spans="1:89" s="193" customFormat="1">
      <c r="A634" s="357"/>
      <c r="B634" s="21" t="str">
        <f t="shared" si="363"/>
        <v>TRA</v>
      </c>
      <c r="C634" s="21"/>
      <c r="D634" s="432"/>
      <c r="E634" s="439" t="s">
        <v>3626</v>
      </c>
      <c r="F634" s="439"/>
      <c r="G634" s="273" t="s">
        <v>3622</v>
      </c>
      <c r="H634" s="358" t="s">
        <v>4435</v>
      </c>
      <c r="I634" s="262" t="s">
        <v>3161</v>
      </c>
      <c r="J634" s="262" t="s">
        <v>3504</v>
      </c>
      <c r="K634" s="263">
        <v>52000000</v>
      </c>
      <c r="L634" s="263">
        <v>49212800</v>
      </c>
      <c r="M634" s="263">
        <v>52111488</v>
      </c>
      <c r="N634" s="263">
        <v>0</v>
      </c>
      <c r="O634" s="263">
        <v>0</v>
      </c>
      <c r="P634" s="263">
        <v>0</v>
      </c>
      <c r="Q634" s="263">
        <v>0</v>
      </c>
      <c r="R634" s="263">
        <v>0</v>
      </c>
      <c r="S634" s="263">
        <v>0</v>
      </c>
      <c r="T634" s="263">
        <v>0</v>
      </c>
      <c r="U634" s="263">
        <f t="shared" si="392"/>
        <v>153324288</v>
      </c>
      <c r="V634" s="196" t="str">
        <f t="shared" si="361"/>
        <v>G/LOS</v>
      </c>
      <c r="W634" s="196" t="s">
        <v>1168</v>
      </c>
      <c r="X634" s="196" t="str">
        <f t="shared" ref="X634:X668" si="408">IF(LEFT(V634,1)="G","Y","N")</f>
        <v>Y</v>
      </c>
      <c r="Y634" s="376">
        <f t="shared" si="403"/>
        <v>153324288</v>
      </c>
      <c r="Z634" s="198"/>
      <c r="AA634" s="376">
        <f t="shared" si="362"/>
        <v>153324288</v>
      </c>
      <c r="AB634" s="196" t="s">
        <v>1166</v>
      </c>
      <c r="AC634" s="196" t="s">
        <v>1168</v>
      </c>
      <c r="AD634" s="275">
        <v>0.215</v>
      </c>
      <c r="AE634" s="275">
        <f t="shared" si="402"/>
        <v>0.78500000000000003</v>
      </c>
      <c r="AF634" s="275">
        <v>0</v>
      </c>
      <c r="AG634" s="199">
        <v>0.1598</v>
      </c>
      <c r="AH634" s="199">
        <v>0.1598</v>
      </c>
      <c r="AI634" s="377">
        <f t="shared" si="394"/>
        <v>0.1598</v>
      </c>
      <c r="AJ634" s="203">
        <v>0.5</v>
      </c>
      <c r="AK634" s="203">
        <f t="shared" si="401"/>
        <v>0.5</v>
      </c>
      <c r="AL634" s="376">
        <f t="shared" si="395"/>
        <v>128823066.77760001</v>
      </c>
      <c r="AM634" s="376">
        <f t="shared" si="396"/>
        <v>12250610.611199999</v>
      </c>
      <c r="AN634" s="376">
        <f t="shared" si="397"/>
        <v>12250610.611199999</v>
      </c>
      <c r="AO634" s="378" t="s">
        <v>3608</v>
      </c>
      <c r="AP634" s="379" t="s">
        <v>2778</v>
      </c>
      <c r="AQ634" s="279"/>
      <c r="AR634" s="287">
        <f t="shared" si="364"/>
        <v>4154800</v>
      </c>
      <c r="AS634" s="287">
        <f t="shared" si="365"/>
        <v>3932102.7199999997</v>
      </c>
      <c r="AT634" s="287">
        <f t="shared" si="366"/>
        <v>4163707.8912</v>
      </c>
      <c r="AU634" s="287">
        <f t="shared" si="367"/>
        <v>0</v>
      </c>
      <c r="AV634" s="287">
        <f t="shared" si="368"/>
        <v>0</v>
      </c>
      <c r="AW634" s="287">
        <f t="shared" si="369"/>
        <v>0</v>
      </c>
      <c r="AX634" s="287">
        <f t="shared" si="370"/>
        <v>0</v>
      </c>
      <c r="AY634" s="287">
        <f t="shared" si="371"/>
        <v>0</v>
      </c>
      <c r="AZ634" s="287">
        <f t="shared" si="372"/>
        <v>0</v>
      </c>
      <c r="BA634" s="287">
        <f t="shared" si="373"/>
        <v>0</v>
      </c>
      <c r="BB634" s="16"/>
      <c r="BC634" s="287">
        <f t="shared" si="374"/>
        <v>4154800</v>
      </c>
      <c r="BD634" s="287">
        <f t="shared" si="375"/>
        <v>3932102.7199999997</v>
      </c>
      <c r="BE634" s="287">
        <f t="shared" si="376"/>
        <v>4163707.8912</v>
      </c>
      <c r="BF634" s="287">
        <f t="shared" si="377"/>
        <v>0</v>
      </c>
      <c r="BG634" s="287">
        <f t="shared" si="378"/>
        <v>0</v>
      </c>
      <c r="BH634" s="287">
        <f t="shared" si="379"/>
        <v>0</v>
      </c>
      <c r="BI634" s="287">
        <f t="shared" si="380"/>
        <v>0</v>
      </c>
      <c r="BJ634" s="287">
        <f t="shared" si="381"/>
        <v>0</v>
      </c>
      <c r="BK634" s="287">
        <f t="shared" si="382"/>
        <v>0</v>
      </c>
      <c r="BL634" s="287">
        <f t="shared" si="383"/>
        <v>0</v>
      </c>
      <c r="BM634" s="16"/>
      <c r="BN634" s="287">
        <f t="shared" si="384"/>
        <v>12250610.611199999</v>
      </c>
      <c r="BO634" s="287">
        <f t="shared" si="385"/>
        <v>12250610.611199999</v>
      </c>
      <c r="BP634" s="432"/>
      <c r="BQ634" s="21"/>
      <c r="BR634" s="21"/>
      <c r="BS634" s="6"/>
      <c r="BT634" s="194">
        <f t="shared" si="404"/>
        <v>24501221.222399998</v>
      </c>
      <c r="BU634" s="194">
        <f t="shared" si="405"/>
        <v>12250610.611199999</v>
      </c>
      <c r="BV634" s="194">
        <f t="shared" si="406"/>
        <v>12250610.611199999</v>
      </c>
      <c r="BW634" s="194">
        <f t="shared" si="407"/>
        <v>0</v>
      </c>
      <c r="BX634" s="6"/>
      <c r="BY634" s="6"/>
      <c r="BZ634" s="39">
        <v>621</v>
      </c>
      <c r="CA634" s="39">
        <f t="shared" si="386"/>
        <v>2041</v>
      </c>
      <c r="CB634" s="6"/>
      <c r="CC634" s="39"/>
      <c r="CD634" s="39"/>
      <c r="CE634" s="39"/>
      <c r="CF634" s="39"/>
      <c r="CG634" s="39"/>
      <c r="CH634" s="39"/>
      <c r="CI634" s="39"/>
      <c r="CJ634" s="39"/>
      <c r="CK634" s="39"/>
    </row>
    <row r="635" spans="1:89" s="193" customFormat="1">
      <c r="A635" s="357"/>
      <c r="B635" s="21" t="str">
        <f t="shared" si="363"/>
        <v>TRA</v>
      </c>
      <c r="C635" s="21"/>
      <c r="D635" s="432"/>
      <c r="E635" s="439" t="s">
        <v>3626</v>
      </c>
      <c r="F635" s="439"/>
      <c r="G635" s="273" t="s">
        <v>3144</v>
      </c>
      <c r="H635" s="358" t="s">
        <v>4474</v>
      </c>
      <c r="I635" s="262" t="s">
        <v>3161</v>
      </c>
      <c r="J635" s="262"/>
      <c r="K635" s="263">
        <v>0</v>
      </c>
      <c r="L635" s="263">
        <v>0</v>
      </c>
      <c r="M635" s="263">
        <v>2000000</v>
      </c>
      <c r="N635" s="263">
        <v>11500000</v>
      </c>
      <c r="O635" s="263">
        <v>11500000</v>
      </c>
      <c r="P635" s="263">
        <v>0</v>
      </c>
      <c r="Q635" s="263">
        <v>0</v>
      </c>
      <c r="R635" s="263">
        <v>0</v>
      </c>
      <c r="S635" s="263">
        <v>0</v>
      </c>
      <c r="T635" s="263">
        <v>0</v>
      </c>
      <c r="U635" s="263">
        <f t="shared" si="392"/>
        <v>25000000</v>
      </c>
      <c r="V635" s="196" t="str">
        <f t="shared" si="361"/>
        <v>G/LOS</v>
      </c>
      <c r="W635" s="196" t="s">
        <v>1168</v>
      </c>
      <c r="X635" s="196" t="str">
        <f t="shared" si="408"/>
        <v>Y</v>
      </c>
      <c r="Y635" s="376">
        <f t="shared" si="403"/>
        <v>25000000</v>
      </c>
      <c r="Z635" s="198"/>
      <c r="AA635" s="376">
        <f t="shared" si="362"/>
        <v>25000000</v>
      </c>
      <c r="AB635" s="196" t="s">
        <v>1166</v>
      </c>
      <c r="AC635" s="196" t="s">
        <v>1168</v>
      </c>
      <c r="AD635" s="275">
        <v>0.92</v>
      </c>
      <c r="AE635" s="275">
        <v>0.08</v>
      </c>
      <c r="AF635" s="275">
        <v>0</v>
      </c>
      <c r="AG635" s="199">
        <v>0.83</v>
      </c>
      <c r="AH635" s="199">
        <v>1</v>
      </c>
      <c r="AI635" s="377">
        <f t="shared" si="394"/>
        <v>0.91500000000000004</v>
      </c>
      <c r="AJ635" s="203">
        <v>0.5</v>
      </c>
      <c r="AK635" s="203">
        <f t="shared" si="401"/>
        <v>0.5</v>
      </c>
      <c r="AL635" s="376">
        <f t="shared" si="395"/>
        <v>2124999.9999999991</v>
      </c>
      <c r="AM635" s="376">
        <f t="shared" si="396"/>
        <v>11437500</v>
      </c>
      <c r="AN635" s="376">
        <f t="shared" si="397"/>
        <v>11437500</v>
      </c>
      <c r="AO635" s="378" t="s">
        <v>3607</v>
      </c>
      <c r="AP635" s="379" t="s">
        <v>2787</v>
      </c>
      <c r="AQ635" s="279"/>
      <c r="AR635" s="287">
        <f t="shared" si="364"/>
        <v>0</v>
      </c>
      <c r="AS635" s="287">
        <f t="shared" si="365"/>
        <v>0</v>
      </c>
      <c r="AT635" s="287">
        <f t="shared" si="366"/>
        <v>915000</v>
      </c>
      <c r="AU635" s="287">
        <f t="shared" si="367"/>
        <v>5261250</v>
      </c>
      <c r="AV635" s="287">
        <f t="shared" si="368"/>
        <v>5261250</v>
      </c>
      <c r="AW635" s="287">
        <f t="shared" si="369"/>
        <v>0</v>
      </c>
      <c r="AX635" s="287">
        <f t="shared" si="370"/>
        <v>0</v>
      </c>
      <c r="AY635" s="287">
        <f t="shared" si="371"/>
        <v>0</v>
      </c>
      <c r="AZ635" s="287">
        <f t="shared" si="372"/>
        <v>0</v>
      </c>
      <c r="BA635" s="287">
        <f t="shared" si="373"/>
        <v>0</v>
      </c>
      <c r="BB635" s="16"/>
      <c r="BC635" s="287">
        <f t="shared" si="374"/>
        <v>0</v>
      </c>
      <c r="BD635" s="287">
        <f t="shared" si="375"/>
        <v>0</v>
      </c>
      <c r="BE635" s="287">
        <f t="shared" si="376"/>
        <v>915000</v>
      </c>
      <c r="BF635" s="287">
        <f t="shared" si="377"/>
        <v>5261250</v>
      </c>
      <c r="BG635" s="287">
        <f t="shared" si="378"/>
        <v>5261250</v>
      </c>
      <c r="BH635" s="287">
        <f t="shared" si="379"/>
        <v>0</v>
      </c>
      <c r="BI635" s="287">
        <f t="shared" si="380"/>
        <v>0</v>
      </c>
      <c r="BJ635" s="287">
        <f t="shared" si="381"/>
        <v>0</v>
      </c>
      <c r="BK635" s="287">
        <f t="shared" si="382"/>
        <v>0</v>
      </c>
      <c r="BL635" s="287">
        <f t="shared" si="383"/>
        <v>0</v>
      </c>
      <c r="BM635" s="16"/>
      <c r="BN635" s="287">
        <f t="shared" si="384"/>
        <v>11437500</v>
      </c>
      <c r="BO635" s="287">
        <f t="shared" si="385"/>
        <v>11437500</v>
      </c>
      <c r="BP635" s="432"/>
      <c r="BQ635" s="21"/>
      <c r="BR635" s="21"/>
      <c r="BS635" s="6"/>
      <c r="BT635" s="194">
        <f t="shared" si="404"/>
        <v>22875000</v>
      </c>
      <c r="BU635" s="194">
        <f t="shared" si="405"/>
        <v>11437500</v>
      </c>
      <c r="BV635" s="194">
        <f t="shared" si="406"/>
        <v>11437500</v>
      </c>
      <c r="BW635" s="194">
        <f t="shared" si="407"/>
        <v>0</v>
      </c>
      <c r="BX635" s="6"/>
      <c r="BY635" s="6"/>
      <c r="BZ635" s="39">
        <v>622</v>
      </c>
      <c r="CA635" s="39">
        <f t="shared" si="386"/>
        <v>2041</v>
      </c>
      <c r="CB635" s="6"/>
      <c r="CC635" s="39"/>
      <c r="CD635" s="39"/>
      <c r="CE635" s="39"/>
      <c r="CF635" s="39"/>
      <c r="CG635" s="39"/>
      <c r="CH635" s="39"/>
      <c r="CI635" s="39"/>
      <c r="CJ635" s="39"/>
      <c r="CK635" s="39"/>
    </row>
    <row r="636" spans="1:89" s="193" customFormat="1" ht="36">
      <c r="A636" s="357"/>
      <c r="B636" s="21" t="str">
        <f t="shared" si="363"/>
        <v>TRA</v>
      </c>
      <c r="C636" s="21"/>
      <c r="D636" s="432"/>
      <c r="E636" s="439" t="s">
        <v>3626</v>
      </c>
      <c r="F636" s="439"/>
      <c r="G636" s="273" t="s">
        <v>5278</v>
      </c>
      <c r="H636" s="358" t="s">
        <v>4473</v>
      </c>
      <c r="I636" s="262" t="s">
        <v>3161</v>
      </c>
      <c r="J636" s="262"/>
      <c r="K636" s="263">
        <v>2700000</v>
      </c>
      <c r="L636" s="263">
        <v>0</v>
      </c>
      <c r="M636" s="263">
        <v>2150000</v>
      </c>
      <c r="N636" s="263">
        <v>2150000</v>
      </c>
      <c r="O636" s="263">
        <v>0</v>
      </c>
      <c r="P636" s="263">
        <v>0</v>
      </c>
      <c r="Q636" s="263">
        <v>0</v>
      </c>
      <c r="R636" s="263">
        <v>0</v>
      </c>
      <c r="S636" s="263">
        <v>0</v>
      </c>
      <c r="T636" s="263">
        <v>0</v>
      </c>
      <c r="U636" s="263">
        <f t="shared" si="392"/>
        <v>7000000</v>
      </c>
      <c r="V636" s="196" t="str">
        <f t="shared" si="361"/>
        <v>G/LOS</v>
      </c>
      <c r="W636" s="196" t="s">
        <v>1168</v>
      </c>
      <c r="X636" s="196" t="str">
        <f t="shared" si="408"/>
        <v>Y</v>
      </c>
      <c r="Y636" s="376">
        <f t="shared" si="403"/>
        <v>7000000</v>
      </c>
      <c r="Z636" s="198"/>
      <c r="AA636" s="376">
        <f t="shared" si="362"/>
        <v>7000000</v>
      </c>
      <c r="AB636" s="196" t="s">
        <v>1166</v>
      </c>
      <c r="AC636" s="196" t="s">
        <v>1168</v>
      </c>
      <c r="AD636" s="275">
        <v>0.56999999999999995</v>
      </c>
      <c r="AE636" s="275">
        <v>0.43</v>
      </c>
      <c r="AF636" s="275">
        <v>0</v>
      </c>
      <c r="AG636" s="199">
        <v>0.56999999999999995</v>
      </c>
      <c r="AH636" s="199">
        <v>0.56999999999999995</v>
      </c>
      <c r="AI636" s="377">
        <f t="shared" si="394"/>
        <v>0.56999999999999995</v>
      </c>
      <c r="AJ636" s="203">
        <v>0.67</v>
      </c>
      <c r="AK636" s="203">
        <f t="shared" si="401"/>
        <v>0.32999999999999996</v>
      </c>
      <c r="AL636" s="376">
        <f t="shared" si="395"/>
        <v>3010000.0000000005</v>
      </c>
      <c r="AM636" s="376">
        <f t="shared" si="396"/>
        <v>2673300</v>
      </c>
      <c r="AN636" s="376">
        <f t="shared" si="397"/>
        <v>1316699.9999999998</v>
      </c>
      <c r="AO636" s="378" t="s">
        <v>3615</v>
      </c>
      <c r="AP636" s="379" t="s">
        <v>2788</v>
      </c>
      <c r="AQ636" s="279"/>
      <c r="AR636" s="287">
        <f t="shared" si="364"/>
        <v>1031129.9999999999</v>
      </c>
      <c r="AS636" s="287">
        <f t="shared" si="365"/>
        <v>0</v>
      </c>
      <c r="AT636" s="287">
        <f t="shared" si="366"/>
        <v>821085</v>
      </c>
      <c r="AU636" s="287">
        <f t="shared" si="367"/>
        <v>821085</v>
      </c>
      <c r="AV636" s="287">
        <f t="shared" si="368"/>
        <v>0</v>
      </c>
      <c r="AW636" s="287">
        <f t="shared" si="369"/>
        <v>0</v>
      </c>
      <c r="AX636" s="287">
        <f t="shared" si="370"/>
        <v>0</v>
      </c>
      <c r="AY636" s="287">
        <f t="shared" si="371"/>
        <v>0</v>
      </c>
      <c r="AZ636" s="287">
        <f t="shared" si="372"/>
        <v>0</v>
      </c>
      <c r="BA636" s="287">
        <f t="shared" si="373"/>
        <v>0</v>
      </c>
      <c r="BB636" s="16"/>
      <c r="BC636" s="287">
        <f t="shared" si="374"/>
        <v>507869.99999999988</v>
      </c>
      <c r="BD636" s="287">
        <f t="shared" si="375"/>
        <v>0</v>
      </c>
      <c r="BE636" s="287">
        <f t="shared" si="376"/>
        <v>404414.99999999994</v>
      </c>
      <c r="BF636" s="287">
        <f t="shared" si="377"/>
        <v>404414.99999999994</v>
      </c>
      <c r="BG636" s="287">
        <f t="shared" si="378"/>
        <v>0</v>
      </c>
      <c r="BH636" s="287">
        <f t="shared" si="379"/>
        <v>0</v>
      </c>
      <c r="BI636" s="287">
        <f t="shared" si="380"/>
        <v>0</v>
      </c>
      <c r="BJ636" s="287">
        <f t="shared" si="381"/>
        <v>0</v>
      </c>
      <c r="BK636" s="287">
        <f t="shared" si="382"/>
        <v>0</v>
      </c>
      <c r="BL636" s="287">
        <f t="shared" si="383"/>
        <v>0</v>
      </c>
      <c r="BM636" s="16"/>
      <c r="BN636" s="287">
        <f t="shared" si="384"/>
        <v>2673300</v>
      </c>
      <c r="BO636" s="287">
        <f t="shared" si="385"/>
        <v>1316699.9999999998</v>
      </c>
      <c r="BP636" s="432"/>
      <c r="BQ636" s="21"/>
      <c r="BR636" s="21"/>
      <c r="BS636" s="6"/>
      <c r="BT636" s="194">
        <f t="shared" si="404"/>
        <v>3990000</v>
      </c>
      <c r="BU636" s="194">
        <f t="shared" si="405"/>
        <v>2673300</v>
      </c>
      <c r="BV636" s="194">
        <f t="shared" si="406"/>
        <v>1316699.9999999998</v>
      </c>
      <c r="BW636" s="194">
        <f t="shared" si="407"/>
        <v>0</v>
      </c>
      <c r="BX636" s="6"/>
      <c r="BY636" s="6"/>
      <c r="BZ636" s="39">
        <v>623</v>
      </c>
      <c r="CA636" s="39">
        <f t="shared" si="386"/>
        <v>2036</v>
      </c>
      <c r="CB636" s="6"/>
      <c r="CC636" s="39"/>
      <c r="CD636" s="39"/>
      <c r="CE636" s="39"/>
      <c r="CF636" s="39"/>
      <c r="CG636" s="39"/>
      <c r="CH636" s="39"/>
      <c r="CI636" s="39"/>
      <c r="CJ636" s="39"/>
      <c r="CK636" s="39"/>
    </row>
    <row r="637" spans="1:89" s="193" customFormat="1" ht="36">
      <c r="A637" s="357"/>
      <c r="B637" s="21" t="str">
        <f t="shared" si="363"/>
        <v>TRA</v>
      </c>
      <c r="C637" s="21"/>
      <c r="D637" s="432"/>
      <c r="E637" s="439" t="s">
        <v>3626</v>
      </c>
      <c r="F637" s="439"/>
      <c r="G637" s="273" t="s">
        <v>5278</v>
      </c>
      <c r="H637" s="358" t="s">
        <v>4473</v>
      </c>
      <c r="I637" s="262" t="s">
        <v>3161</v>
      </c>
      <c r="J637" s="262"/>
      <c r="K637" s="263">
        <v>1500000</v>
      </c>
      <c r="L637" s="263">
        <v>1500000</v>
      </c>
      <c r="M637" s="263">
        <v>1500000</v>
      </c>
      <c r="N637" s="263">
        <v>1500000</v>
      </c>
      <c r="O637" s="263">
        <v>1500000</v>
      </c>
      <c r="P637" s="263">
        <v>750000</v>
      </c>
      <c r="Q637" s="263">
        <v>750000</v>
      </c>
      <c r="R637" s="263">
        <v>750000</v>
      </c>
      <c r="S637" s="263">
        <v>3138303.6693711281</v>
      </c>
      <c r="T637" s="263">
        <v>2111696.3306288719</v>
      </c>
      <c r="U637" s="263">
        <f t="shared" si="392"/>
        <v>15000000</v>
      </c>
      <c r="V637" s="196" t="str">
        <f t="shared" si="361"/>
        <v>G/LOS</v>
      </c>
      <c r="W637" s="196" t="s">
        <v>1168</v>
      </c>
      <c r="X637" s="196" t="str">
        <f t="shared" si="408"/>
        <v>Y</v>
      </c>
      <c r="Y637" s="376">
        <f t="shared" si="403"/>
        <v>15000000</v>
      </c>
      <c r="Z637" s="198"/>
      <c r="AA637" s="376">
        <f t="shared" si="362"/>
        <v>15000000</v>
      </c>
      <c r="AB637" s="196" t="s">
        <v>1166</v>
      </c>
      <c r="AC637" s="196" t="s">
        <v>1168</v>
      </c>
      <c r="AD637" s="275">
        <v>0.56999999999999995</v>
      </c>
      <c r="AE637" s="275">
        <v>0.43000000000000005</v>
      </c>
      <c r="AF637" s="275">
        <v>0</v>
      </c>
      <c r="AG637" s="199">
        <v>0.56999999999999995</v>
      </c>
      <c r="AH637" s="199">
        <v>0.56999999999999995</v>
      </c>
      <c r="AI637" s="377">
        <f t="shared" si="394"/>
        <v>0.56999999999999995</v>
      </c>
      <c r="AJ637" s="203">
        <v>0.67</v>
      </c>
      <c r="AK637" s="203">
        <f t="shared" si="401"/>
        <v>0.32999999999999996</v>
      </c>
      <c r="AL637" s="376">
        <f t="shared" si="395"/>
        <v>6450000.0000000009</v>
      </c>
      <c r="AM637" s="376">
        <f t="shared" si="396"/>
        <v>5728500</v>
      </c>
      <c r="AN637" s="376">
        <f t="shared" si="397"/>
        <v>2821499.9999999995</v>
      </c>
      <c r="AO637" s="378" t="s">
        <v>3615</v>
      </c>
      <c r="AP637" s="379" t="s">
        <v>2788</v>
      </c>
      <c r="AQ637" s="279"/>
      <c r="AR637" s="287">
        <f t="shared" si="364"/>
        <v>572850</v>
      </c>
      <c r="AS637" s="287">
        <f t="shared" si="365"/>
        <v>572850</v>
      </c>
      <c r="AT637" s="287">
        <f t="shared" si="366"/>
        <v>572850</v>
      </c>
      <c r="AU637" s="287">
        <f t="shared" si="367"/>
        <v>572850</v>
      </c>
      <c r="AV637" s="287">
        <f t="shared" si="368"/>
        <v>572850</v>
      </c>
      <c r="AW637" s="287">
        <f t="shared" si="369"/>
        <v>286425</v>
      </c>
      <c r="AX637" s="287">
        <f t="shared" si="370"/>
        <v>286425</v>
      </c>
      <c r="AY637" s="287">
        <f t="shared" si="371"/>
        <v>286425</v>
      </c>
      <c r="AZ637" s="287">
        <f t="shared" si="372"/>
        <v>1198518.1713328338</v>
      </c>
      <c r="BA637" s="287">
        <f t="shared" si="373"/>
        <v>806456.82866716618</v>
      </c>
      <c r="BB637" s="16"/>
      <c r="BC637" s="287">
        <f t="shared" si="374"/>
        <v>282149.99999999994</v>
      </c>
      <c r="BD637" s="287">
        <f t="shared" si="375"/>
        <v>282149.99999999994</v>
      </c>
      <c r="BE637" s="287">
        <f t="shared" si="376"/>
        <v>282149.99999999994</v>
      </c>
      <c r="BF637" s="287">
        <f t="shared" si="377"/>
        <v>282149.99999999994</v>
      </c>
      <c r="BG637" s="287">
        <f t="shared" si="378"/>
        <v>282149.99999999994</v>
      </c>
      <c r="BH637" s="287">
        <f t="shared" si="379"/>
        <v>141074.99999999997</v>
      </c>
      <c r="BI637" s="287">
        <f t="shared" si="380"/>
        <v>141074.99999999997</v>
      </c>
      <c r="BJ637" s="287">
        <f t="shared" si="381"/>
        <v>141074.99999999997</v>
      </c>
      <c r="BK637" s="287">
        <f t="shared" si="382"/>
        <v>590314.92020870908</v>
      </c>
      <c r="BL637" s="287">
        <f t="shared" si="383"/>
        <v>397210.07979129074</v>
      </c>
      <c r="BM637" s="16"/>
      <c r="BN637" s="287">
        <f t="shared" si="384"/>
        <v>5728500</v>
      </c>
      <c r="BO637" s="287">
        <f t="shared" si="385"/>
        <v>2821499.9999999995</v>
      </c>
      <c r="BP637" s="432"/>
      <c r="BQ637" s="21"/>
      <c r="BR637" s="21"/>
      <c r="BS637" s="6"/>
      <c r="BT637" s="194">
        <f t="shared" si="404"/>
        <v>8550000</v>
      </c>
      <c r="BU637" s="194">
        <f t="shared" si="405"/>
        <v>5728500</v>
      </c>
      <c r="BV637" s="194">
        <f t="shared" si="406"/>
        <v>2821499.9999999995</v>
      </c>
      <c r="BW637" s="194">
        <f t="shared" si="407"/>
        <v>0</v>
      </c>
      <c r="BX637" s="6"/>
      <c r="BY637" s="6"/>
      <c r="BZ637" s="39">
        <v>624</v>
      </c>
      <c r="CA637" s="39">
        <f t="shared" si="386"/>
        <v>2036</v>
      </c>
      <c r="CB637" s="6"/>
      <c r="CC637" s="39"/>
      <c r="CD637" s="39"/>
      <c r="CE637" s="39"/>
      <c r="CF637" s="39"/>
      <c r="CG637" s="39"/>
      <c r="CH637" s="39"/>
      <c r="CI637" s="39"/>
      <c r="CJ637" s="39"/>
      <c r="CK637" s="39"/>
    </row>
    <row r="638" spans="1:89" s="193" customFormat="1" ht="36">
      <c r="A638" s="357"/>
      <c r="B638" s="21" t="str">
        <f t="shared" si="363"/>
        <v>TRA</v>
      </c>
      <c r="C638" s="21"/>
      <c r="D638" s="432"/>
      <c r="E638" s="439" t="s">
        <v>3626</v>
      </c>
      <c r="F638" s="439"/>
      <c r="G638" s="273" t="s">
        <v>5278</v>
      </c>
      <c r="H638" s="358" t="s">
        <v>4473</v>
      </c>
      <c r="I638" s="262" t="s">
        <v>3161</v>
      </c>
      <c r="J638" s="262"/>
      <c r="K638" s="263">
        <v>1400000</v>
      </c>
      <c r="L638" s="263">
        <v>1400000</v>
      </c>
      <c r="M638" s="263">
        <v>1400000</v>
      </c>
      <c r="N638" s="263">
        <v>1400000</v>
      </c>
      <c r="O638" s="263">
        <v>1400000</v>
      </c>
      <c r="P638" s="263">
        <v>700000</v>
      </c>
      <c r="Q638" s="263">
        <v>700000</v>
      </c>
      <c r="R638" s="263">
        <v>700000</v>
      </c>
      <c r="S638" s="263">
        <v>9380946.6693711299</v>
      </c>
      <c r="T638" s="263">
        <v>467110.29062887095</v>
      </c>
      <c r="U638" s="263">
        <f t="shared" si="392"/>
        <v>18948056.960000001</v>
      </c>
      <c r="V638" s="196" t="str">
        <f t="shared" si="361"/>
        <v>G/LOS</v>
      </c>
      <c r="W638" s="196" t="s">
        <v>1168</v>
      </c>
      <c r="X638" s="196" t="str">
        <f t="shared" si="408"/>
        <v>Y</v>
      </c>
      <c r="Y638" s="376">
        <f t="shared" si="403"/>
        <v>18948056.960000001</v>
      </c>
      <c r="Z638" s="198"/>
      <c r="AA638" s="376">
        <f t="shared" si="362"/>
        <v>18948056.960000001</v>
      </c>
      <c r="AB638" s="196" t="s">
        <v>1166</v>
      </c>
      <c r="AC638" s="196" t="s">
        <v>1168</v>
      </c>
      <c r="AD638" s="275">
        <v>0.56999999999999984</v>
      </c>
      <c r="AE638" s="275">
        <v>0.43000000000000005</v>
      </c>
      <c r="AF638" s="275">
        <v>0</v>
      </c>
      <c r="AG638" s="199">
        <v>0.56999999999999995</v>
      </c>
      <c r="AH638" s="199">
        <v>0.56999999999999995</v>
      </c>
      <c r="AI638" s="377">
        <f t="shared" si="394"/>
        <v>0.56999999999999995</v>
      </c>
      <c r="AJ638" s="203">
        <v>0.67</v>
      </c>
      <c r="AK638" s="203">
        <f t="shared" si="401"/>
        <v>0.32999999999999996</v>
      </c>
      <c r="AL638" s="376">
        <f t="shared" si="395"/>
        <v>8147664.4928000011</v>
      </c>
      <c r="AM638" s="376">
        <f t="shared" si="396"/>
        <v>7236262.9530239999</v>
      </c>
      <c r="AN638" s="376">
        <f t="shared" si="397"/>
        <v>3564129.5141759994</v>
      </c>
      <c r="AO638" s="378" t="s">
        <v>3615</v>
      </c>
      <c r="AP638" s="379" t="s">
        <v>2788</v>
      </c>
      <c r="AQ638" s="279"/>
      <c r="AR638" s="287">
        <f t="shared" si="364"/>
        <v>534660</v>
      </c>
      <c r="AS638" s="287">
        <f t="shared" si="365"/>
        <v>534660</v>
      </c>
      <c r="AT638" s="287">
        <f t="shared" si="366"/>
        <v>534660</v>
      </c>
      <c r="AU638" s="287">
        <f t="shared" si="367"/>
        <v>534660</v>
      </c>
      <c r="AV638" s="287">
        <f t="shared" si="368"/>
        <v>534660</v>
      </c>
      <c r="AW638" s="287">
        <f t="shared" si="369"/>
        <v>267330</v>
      </c>
      <c r="AX638" s="287">
        <f t="shared" si="370"/>
        <v>267330</v>
      </c>
      <c r="AY638" s="287">
        <f t="shared" si="371"/>
        <v>267330</v>
      </c>
      <c r="AZ638" s="287">
        <f t="shared" si="372"/>
        <v>3582583.5330328341</v>
      </c>
      <c r="BA638" s="287">
        <f t="shared" si="373"/>
        <v>178389.41999116581</v>
      </c>
      <c r="BB638" s="16"/>
      <c r="BC638" s="287">
        <f t="shared" si="374"/>
        <v>263339.99999999994</v>
      </c>
      <c r="BD638" s="287">
        <f t="shared" si="375"/>
        <v>263339.99999999994</v>
      </c>
      <c r="BE638" s="287">
        <f t="shared" si="376"/>
        <v>263339.99999999994</v>
      </c>
      <c r="BF638" s="287">
        <f t="shared" si="377"/>
        <v>263339.99999999994</v>
      </c>
      <c r="BG638" s="287">
        <f t="shared" si="378"/>
        <v>263339.99999999994</v>
      </c>
      <c r="BH638" s="287">
        <f t="shared" si="379"/>
        <v>131669.99999999997</v>
      </c>
      <c r="BI638" s="287">
        <f t="shared" si="380"/>
        <v>131669.99999999997</v>
      </c>
      <c r="BJ638" s="287">
        <f t="shared" si="381"/>
        <v>131669.99999999997</v>
      </c>
      <c r="BK638" s="287">
        <f t="shared" si="382"/>
        <v>1764556.0685087091</v>
      </c>
      <c r="BL638" s="287">
        <f t="shared" si="383"/>
        <v>87863.445667290609</v>
      </c>
      <c r="BM638" s="16"/>
      <c r="BN638" s="287">
        <f t="shared" si="384"/>
        <v>7236262.9530239999</v>
      </c>
      <c r="BO638" s="287">
        <f t="shared" si="385"/>
        <v>3564129.5141759994</v>
      </c>
      <c r="BP638" s="432"/>
      <c r="BQ638" s="21"/>
      <c r="BR638" s="21"/>
      <c r="BS638" s="6"/>
      <c r="BT638" s="194">
        <f t="shared" si="404"/>
        <v>10800392.4672</v>
      </c>
      <c r="BU638" s="194">
        <f t="shared" si="405"/>
        <v>7236262.9530239999</v>
      </c>
      <c r="BV638" s="194">
        <f t="shared" si="406"/>
        <v>3564129.5141759994</v>
      </c>
      <c r="BW638" s="194">
        <f t="shared" si="407"/>
        <v>0</v>
      </c>
      <c r="BX638" s="6"/>
      <c r="BY638" s="6"/>
      <c r="BZ638" s="39">
        <v>625</v>
      </c>
      <c r="CA638" s="39">
        <f t="shared" si="386"/>
        <v>2036</v>
      </c>
      <c r="CB638" s="6"/>
      <c r="CC638" s="39"/>
      <c r="CD638" s="39"/>
      <c r="CE638" s="39"/>
      <c r="CF638" s="39"/>
      <c r="CG638" s="39"/>
      <c r="CH638" s="39"/>
      <c r="CI638" s="39"/>
      <c r="CJ638" s="39"/>
      <c r="CK638" s="39"/>
    </row>
    <row r="639" spans="1:89" s="193" customFormat="1" ht="24">
      <c r="A639" s="357"/>
      <c r="B639" s="21" t="str">
        <f t="shared" si="363"/>
        <v>TRA</v>
      </c>
      <c r="C639" s="21"/>
      <c r="D639" s="432"/>
      <c r="E639" s="439" t="s">
        <v>3626</v>
      </c>
      <c r="F639" s="439"/>
      <c r="G639" s="273" t="s">
        <v>2945</v>
      </c>
      <c r="H639" s="358" t="s">
        <v>4470</v>
      </c>
      <c r="I639" s="262" t="s">
        <v>3161</v>
      </c>
      <c r="J639" s="262"/>
      <c r="K639" s="263">
        <v>700000</v>
      </c>
      <c r="L639" s="263">
        <v>9100000</v>
      </c>
      <c r="M639" s="263">
        <v>13900000</v>
      </c>
      <c r="N639" s="263">
        <v>0</v>
      </c>
      <c r="O639" s="263">
        <v>0</v>
      </c>
      <c r="P639" s="263">
        <v>0</v>
      </c>
      <c r="Q639" s="263">
        <v>0</v>
      </c>
      <c r="R639" s="263">
        <v>0</v>
      </c>
      <c r="S639" s="263">
        <v>0</v>
      </c>
      <c r="T639" s="263">
        <v>0</v>
      </c>
      <c r="U639" s="263">
        <f t="shared" si="392"/>
        <v>23700000</v>
      </c>
      <c r="V639" s="196" t="str">
        <f t="shared" si="361"/>
        <v>G/LOS</v>
      </c>
      <c r="W639" s="196" t="s">
        <v>1168</v>
      </c>
      <c r="X639" s="196" t="str">
        <f t="shared" si="408"/>
        <v>Y</v>
      </c>
      <c r="Y639" s="376">
        <f t="shared" si="403"/>
        <v>23700000</v>
      </c>
      <c r="Z639" s="198"/>
      <c r="AA639" s="376">
        <f t="shared" si="362"/>
        <v>23700000</v>
      </c>
      <c r="AB639" s="196" t="s">
        <v>1166</v>
      </c>
      <c r="AC639" s="196" t="s">
        <v>1168</v>
      </c>
      <c r="AD639" s="275">
        <v>0.75</v>
      </c>
      <c r="AE639" s="275">
        <v>0.25</v>
      </c>
      <c r="AF639" s="275">
        <v>0</v>
      </c>
      <c r="AG639" s="199">
        <v>0.65900000000000003</v>
      </c>
      <c r="AH639" s="199">
        <v>0.85</v>
      </c>
      <c r="AI639" s="377">
        <f t="shared" si="394"/>
        <v>0.75449999999999995</v>
      </c>
      <c r="AJ639" s="203">
        <v>0.5</v>
      </c>
      <c r="AK639" s="203">
        <f t="shared" si="401"/>
        <v>0.5</v>
      </c>
      <c r="AL639" s="376">
        <f t="shared" si="395"/>
        <v>5818350.0000000009</v>
      </c>
      <c r="AM639" s="376">
        <f t="shared" si="396"/>
        <v>8940825</v>
      </c>
      <c r="AN639" s="376">
        <f t="shared" si="397"/>
        <v>8940825</v>
      </c>
      <c r="AO639" s="378" t="s">
        <v>3607</v>
      </c>
      <c r="AP639" s="379" t="s">
        <v>2789</v>
      </c>
      <c r="AQ639" s="279"/>
      <c r="AR639" s="287">
        <f t="shared" si="364"/>
        <v>264075</v>
      </c>
      <c r="AS639" s="287">
        <f t="shared" si="365"/>
        <v>3432974.9999999995</v>
      </c>
      <c r="AT639" s="287">
        <f t="shared" si="366"/>
        <v>5243775</v>
      </c>
      <c r="AU639" s="287">
        <f t="shared" si="367"/>
        <v>0</v>
      </c>
      <c r="AV639" s="287">
        <f t="shared" si="368"/>
        <v>0</v>
      </c>
      <c r="AW639" s="287">
        <f t="shared" si="369"/>
        <v>0</v>
      </c>
      <c r="AX639" s="287">
        <f t="shared" si="370"/>
        <v>0</v>
      </c>
      <c r="AY639" s="287">
        <f t="shared" si="371"/>
        <v>0</v>
      </c>
      <c r="AZ639" s="287">
        <f t="shared" si="372"/>
        <v>0</v>
      </c>
      <c r="BA639" s="287">
        <f t="shared" si="373"/>
        <v>0</v>
      </c>
      <c r="BB639" s="16"/>
      <c r="BC639" s="287">
        <f t="shared" si="374"/>
        <v>264075</v>
      </c>
      <c r="BD639" s="287">
        <f t="shared" si="375"/>
        <v>3432974.9999999995</v>
      </c>
      <c r="BE639" s="287">
        <f t="shared" si="376"/>
        <v>5243775</v>
      </c>
      <c r="BF639" s="287">
        <f t="shared" si="377"/>
        <v>0</v>
      </c>
      <c r="BG639" s="287">
        <f t="shared" si="378"/>
        <v>0</v>
      </c>
      <c r="BH639" s="287">
        <f t="shared" si="379"/>
        <v>0</v>
      </c>
      <c r="BI639" s="287">
        <f t="shared" si="380"/>
        <v>0</v>
      </c>
      <c r="BJ639" s="287">
        <f t="shared" si="381"/>
        <v>0</v>
      </c>
      <c r="BK639" s="287">
        <f t="shared" si="382"/>
        <v>0</v>
      </c>
      <c r="BL639" s="287">
        <f t="shared" si="383"/>
        <v>0</v>
      </c>
      <c r="BM639" s="16"/>
      <c r="BN639" s="287">
        <f t="shared" si="384"/>
        <v>8940825</v>
      </c>
      <c r="BO639" s="287">
        <f t="shared" si="385"/>
        <v>8940825</v>
      </c>
      <c r="BP639" s="432"/>
      <c r="BQ639" s="21"/>
      <c r="BR639" s="21"/>
      <c r="BS639" s="6" t="e">
        <v>#VALUE!</v>
      </c>
      <c r="BT639" s="194">
        <f t="shared" si="404"/>
        <v>17881650</v>
      </c>
      <c r="BU639" s="194">
        <f t="shared" si="405"/>
        <v>8940825</v>
      </c>
      <c r="BV639" s="194">
        <f t="shared" si="406"/>
        <v>8940825</v>
      </c>
      <c r="BW639" s="194">
        <f t="shared" si="407"/>
        <v>0</v>
      </c>
      <c r="BX639" s="6"/>
      <c r="BY639" s="6"/>
      <c r="BZ639" s="39">
        <v>626</v>
      </c>
      <c r="CA639" s="39">
        <f t="shared" si="386"/>
        <v>2041</v>
      </c>
      <c r="CB639" s="6"/>
      <c r="CC639" s="39"/>
      <c r="CD639" s="39"/>
      <c r="CE639" s="39"/>
      <c r="CF639" s="39"/>
      <c r="CG639" s="39"/>
      <c r="CH639" s="39"/>
      <c r="CI639" s="39"/>
      <c r="CJ639" s="39"/>
      <c r="CK639" s="39"/>
    </row>
    <row r="640" spans="1:89" s="650" customFormat="1" ht="24">
      <c r="A640" s="630"/>
      <c r="B640" s="631" t="str">
        <f t="shared" si="363"/>
        <v>TRA</v>
      </c>
      <c r="C640" s="631"/>
      <c r="D640" s="632"/>
      <c r="E640" s="633" t="s">
        <v>3626</v>
      </c>
      <c r="F640" s="633"/>
      <c r="G640" s="634" t="s">
        <v>2945</v>
      </c>
      <c r="H640" s="635" t="s">
        <v>4470</v>
      </c>
      <c r="I640" s="636" t="s">
        <v>3161</v>
      </c>
      <c r="J640" s="636"/>
      <c r="K640" s="637"/>
      <c r="L640" s="637"/>
      <c r="M640" s="637"/>
      <c r="N640" s="637">
        <v>10706085</v>
      </c>
      <c r="O640" s="637">
        <v>0</v>
      </c>
      <c r="P640" s="637">
        <v>0</v>
      </c>
      <c r="Q640" s="637">
        <v>0</v>
      </c>
      <c r="R640" s="637">
        <v>0</v>
      </c>
      <c r="S640" s="637">
        <v>0</v>
      </c>
      <c r="T640" s="637">
        <v>0</v>
      </c>
      <c r="U640" s="637">
        <v>9879724</v>
      </c>
      <c r="V640" s="638" t="str">
        <f>IF(AND(AD640&gt;0,AE640&gt;0,AF640&gt;0),"G/LOS/R",IF(AND(AD640&gt;0,AE640&gt;0),"G/LOS",IF(AND(AD640&gt;0,AF640&gt;0),"G/R",IF(AND(AE640&gt;0,AF640&gt;0),"LOS/R",IF(AD640&gt;0,"G",IF(AE640&gt;0,"LOS",IF(AF640&gt;0,"R","CHECK")))))))</f>
        <v>G/LOS</v>
      </c>
      <c r="W640" s="638" t="s">
        <v>1168</v>
      </c>
      <c r="X640" s="638" t="str">
        <f>IF(LEFT(V640,1)="G","Y","N")</f>
        <v>Y</v>
      </c>
      <c r="Y640" s="639">
        <f>IF(X640="N",0,SUM(K640:T640))</f>
        <v>10706085</v>
      </c>
      <c r="Z640" s="640"/>
      <c r="AA640" s="639">
        <f>Y640-Z640</f>
        <v>10706085</v>
      </c>
      <c r="AB640" s="638" t="s">
        <v>1166</v>
      </c>
      <c r="AC640" s="638" t="s">
        <v>1168</v>
      </c>
      <c r="AD640" s="641">
        <v>0.75</v>
      </c>
      <c r="AE640" s="641">
        <v>0.25</v>
      </c>
      <c r="AF640" s="641">
        <v>0</v>
      </c>
      <c r="AG640" s="642">
        <v>0.65900000000000003</v>
      </c>
      <c r="AH640" s="642">
        <v>0.85</v>
      </c>
      <c r="AI640" s="643">
        <f>(AG640+AH640)/2</f>
        <v>0.75449999999999995</v>
      </c>
      <c r="AJ640" s="276">
        <v>0.5</v>
      </c>
      <c r="AK640" s="276">
        <f>100%-AJ640</f>
        <v>0.5</v>
      </c>
      <c r="AL640" s="639">
        <f>(100%-AI640)*AA640</f>
        <v>2628343.8675000006</v>
      </c>
      <c r="AM640" s="639">
        <f>AA640*AI640*AJ640</f>
        <v>4038870.5662499997</v>
      </c>
      <c r="AN640" s="639">
        <f>AA640*AI640*AK640</f>
        <v>4038870.5662499997</v>
      </c>
      <c r="AO640" s="644" t="s">
        <v>3607</v>
      </c>
      <c r="AP640" s="645" t="s">
        <v>2789</v>
      </c>
      <c r="AQ640" s="646"/>
      <c r="AR640" s="287">
        <f t="shared" si="364"/>
        <v>0</v>
      </c>
      <c r="AS640" s="287">
        <f t="shared" si="365"/>
        <v>0</v>
      </c>
      <c r="AT640" s="287">
        <f t="shared" si="366"/>
        <v>0</v>
      </c>
      <c r="AU640" s="287">
        <f t="shared" si="367"/>
        <v>4038870.5662499997</v>
      </c>
      <c r="AV640" s="287">
        <f t="shared" si="368"/>
        <v>0</v>
      </c>
      <c r="AW640" s="287">
        <f t="shared" si="369"/>
        <v>0</v>
      </c>
      <c r="AX640" s="287">
        <f t="shared" si="370"/>
        <v>0</v>
      </c>
      <c r="AY640" s="287">
        <f t="shared" si="371"/>
        <v>0</v>
      </c>
      <c r="AZ640" s="287">
        <f t="shared" si="372"/>
        <v>0</v>
      </c>
      <c r="BA640" s="287">
        <f t="shared" si="373"/>
        <v>0</v>
      </c>
      <c r="BB640" s="16"/>
      <c r="BC640" s="287">
        <f t="shared" si="374"/>
        <v>0</v>
      </c>
      <c r="BD640" s="287">
        <f t="shared" si="375"/>
        <v>0</v>
      </c>
      <c r="BE640" s="287">
        <f t="shared" si="376"/>
        <v>0</v>
      </c>
      <c r="BF640" s="287">
        <f t="shared" si="377"/>
        <v>4038870.5662499997</v>
      </c>
      <c r="BG640" s="287">
        <f t="shared" si="378"/>
        <v>0</v>
      </c>
      <c r="BH640" s="287">
        <f t="shared" si="379"/>
        <v>0</v>
      </c>
      <c r="BI640" s="287">
        <f t="shared" si="380"/>
        <v>0</v>
      </c>
      <c r="BJ640" s="287">
        <f t="shared" si="381"/>
        <v>0</v>
      </c>
      <c r="BK640" s="287">
        <f t="shared" si="382"/>
        <v>0</v>
      </c>
      <c r="BL640" s="287">
        <f t="shared" si="383"/>
        <v>0</v>
      </c>
      <c r="BM640" s="16"/>
      <c r="BN640" s="287">
        <f t="shared" si="384"/>
        <v>4038870.5662499997</v>
      </c>
      <c r="BO640" s="287">
        <f t="shared" si="385"/>
        <v>4038870.5662499997</v>
      </c>
      <c r="BP640" s="632"/>
      <c r="BQ640" s="631"/>
      <c r="BR640" s="631"/>
      <c r="BS640" s="647" t="e">
        <v>#VALUE!</v>
      </c>
      <c r="BT640" s="648">
        <f>+BN640+BO640</f>
        <v>8077741.1324999994</v>
      </c>
      <c r="BU640" s="648">
        <f>+AM640</f>
        <v>4038870.5662499997</v>
      </c>
      <c r="BV640" s="648">
        <f>+AN640</f>
        <v>4038870.5662499997</v>
      </c>
      <c r="BW640" s="648">
        <f>+BT640-BU640-BV640</f>
        <v>0</v>
      </c>
      <c r="BX640" s="647"/>
      <c r="BY640" s="647"/>
      <c r="BZ640" s="39">
        <v>627</v>
      </c>
      <c r="CA640" s="39">
        <f t="shared" si="386"/>
        <v>2041</v>
      </c>
      <c r="CB640" s="647"/>
      <c r="CC640" s="649"/>
      <c r="CD640" s="649"/>
      <c r="CE640" s="649"/>
      <c r="CF640" s="649"/>
      <c r="CG640" s="649"/>
      <c r="CH640" s="649"/>
      <c r="CI640" s="649"/>
      <c r="CJ640" s="649"/>
      <c r="CK640" s="649"/>
    </row>
    <row r="641" spans="1:89" s="650" customFormat="1" ht="24">
      <c r="A641" s="630"/>
      <c r="B641" s="631" t="str">
        <f t="shared" si="363"/>
        <v>TRA</v>
      </c>
      <c r="C641" s="631"/>
      <c r="D641" s="632"/>
      <c r="E641" s="633" t="s">
        <v>3626</v>
      </c>
      <c r="F641" s="633"/>
      <c r="G641" s="634" t="s">
        <v>2945</v>
      </c>
      <c r="H641" s="635" t="s">
        <v>4470</v>
      </c>
      <c r="I641" s="636" t="s">
        <v>3904</v>
      </c>
      <c r="J641" s="636"/>
      <c r="K641" s="637"/>
      <c r="L641" s="637"/>
      <c r="M641" s="637"/>
      <c r="N641" s="637">
        <f>N640*-0.51</f>
        <v>-5460103.3500000006</v>
      </c>
      <c r="O641" s="637">
        <v>0</v>
      </c>
      <c r="P641" s="637">
        <v>0</v>
      </c>
      <c r="Q641" s="637">
        <v>0</v>
      </c>
      <c r="R641" s="637">
        <v>0</v>
      </c>
      <c r="S641" s="637">
        <v>0</v>
      </c>
      <c r="T641" s="637">
        <v>0</v>
      </c>
      <c r="U641" s="637">
        <v>-5038659</v>
      </c>
      <c r="V641" s="638" t="str">
        <f>IF(AND(AD641&gt;0,AE641&gt;0,AF641&gt;0),"G/LOS/R",IF(AND(AD641&gt;0,AE641&gt;0),"G/LOS",IF(AND(AD641&gt;0,AF641&gt;0),"G/R",IF(AND(AE641&gt;0,AF641&gt;0),"LOS/R",IF(AD641&gt;0,"G",IF(AE641&gt;0,"LOS",IF(AF641&gt;0,"R","CHECK")))))))</f>
        <v>G/LOS</v>
      </c>
      <c r="W641" s="638" t="s">
        <v>1168</v>
      </c>
      <c r="X641" s="638" t="str">
        <f>IF(LEFT(V641,1)="G","Y","N")</f>
        <v>Y</v>
      </c>
      <c r="Y641" s="639">
        <f>IF(X641="N",0,SUM(K641:T641))</f>
        <v>-5460103.3500000006</v>
      </c>
      <c r="Z641" s="640"/>
      <c r="AA641" s="639">
        <f>Y641-Z641</f>
        <v>-5460103.3500000006</v>
      </c>
      <c r="AB641" s="638" t="s">
        <v>1166</v>
      </c>
      <c r="AC641" s="638" t="s">
        <v>1168</v>
      </c>
      <c r="AD641" s="641">
        <v>0.75</v>
      </c>
      <c r="AE641" s="641">
        <v>0.25</v>
      </c>
      <c r="AF641" s="641">
        <v>0</v>
      </c>
      <c r="AG641" s="642">
        <v>0.65900000000000003</v>
      </c>
      <c r="AH641" s="642">
        <v>0.85</v>
      </c>
      <c r="AI641" s="643">
        <f>(AG641+AH641)/2</f>
        <v>0.75449999999999995</v>
      </c>
      <c r="AJ641" s="276">
        <v>0.5</v>
      </c>
      <c r="AK641" s="276">
        <f>100%-AJ641</f>
        <v>0.5</v>
      </c>
      <c r="AL641" s="639">
        <f>(100%-AI641)*AA641</f>
        <v>-1340455.3724250004</v>
      </c>
      <c r="AM641" s="639">
        <f>AA641*AI641*AJ641</f>
        <v>-2059823.9887875</v>
      </c>
      <c r="AN641" s="639">
        <f>AA641*AI641*AK641</f>
        <v>-2059823.9887875</v>
      </c>
      <c r="AO641" s="644" t="s">
        <v>3607</v>
      </c>
      <c r="AP641" s="645" t="s">
        <v>2789</v>
      </c>
      <c r="AQ641" s="646"/>
      <c r="AR641" s="287">
        <f t="shared" si="364"/>
        <v>0</v>
      </c>
      <c r="AS641" s="287">
        <f t="shared" si="365"/>
        <v>0</v>
      </c>
      <c r="AT641" s="287">
        <f t="shared" si="366"/>
        <v>0</v>
      </c>
      <c r="AU641" s="287">
        <f t="shared" si="367"/>
        <v>-2059823.9887875</v>
      </c>
      <c r="AV641" s="287">
        <f t="shared" si="368"/>
        <v>0</v>
      </c>
      <c r="AW641" s="287">
        <f t="shared" si="369"/>
        <v>0</v>
      </c>
      <c r="AX641" s="287">
        <f t="shared" si="370"/>
        <v>0</v>
      </c>
      <c r="AY641" s="287">
        <f t="shared" si="371"/>
        <v>0</v>
      </c>
      <c r="AZ641" s="287">
        <f t="shared" si="372"/>
        <v>0</v>
      </c>
      <c r="BA641" s="287">
        <f t="shared" si="373"/>
        <v>0</v>
      </c>
      <c r="BB641" s="16"/>
      <c r="BC641" s="287">
        <f t="shared" si="374"/>
        <v>0</v>
      </c>
      <c r="BD641" s="287">
        <f t="shared" si="375"/>
        <v>0</v>
      </c>
      <c r="BE641" s="287">
        <f t="shared" si="376"/>
        <v>0</v>
      </c>
      <c r="BF641" s="287">
        <f t="shared" si="377"/>
        <v>-2059823.9887875</v>
      </c>
      <c r="BG641" s="287">
        <f t="shared" si="378"/>
        <v>0</v>
      </c>
      <c r="BH641" s="287">
        <f t="shared" si="379"/>
        <v>0</v>
      </c>
      <c r="BI641" s="287">
        <f t="shared" si="380"/>
        <v>0</v>
      </c>
      <c r="BJ641" s="287">
        <f t="shared" si="381"/>
        <v>0</v>
      </c>
      <c r="BK641" s="287">
        <f t="shared" si="382"/>
        <v>0</v>
      </c>
      <c r="BL641" s="287">
        <f t="shared" si="383"/>
        <v>0</v>
      </c>
      <c r="BM641" s="16"/>
      <c r="BN641" s="287">
        <f t="shared" si="384"/>
        <v>-2059823.9887875</v>
      </c>
      <c r="BO641" s="287">
        <f t="shared" si="385"/>
        <v>-2059823.9887875</v>
      </c>
      <c r="BP641" s="632"/>
      <c r="BQ641" s="631"/>
      <c r="BR641" s="631"/>
      <c r="BS641" s="647" t="e">
        <v>#VALUE!</v>
      </c>
      <c r="BT641" s="648">
        <f>+BN641+BO641</f>
        <v>-4119647.9775749999</v>
      </c>
      <c r="BU641" s="648">
        <f>+AM641</f>
        <v>-2059823.9887875</v>
      </c>
      <c r="BV641" s="648">
        <f>+AN641</f>
        <v>-2059823.9887875</v>
      </c>
      <c r="BW641" s="648">
        <f>+BT641-BU641-BV641</f>
        <v>0</v>
      </c>
      <c r="BX641" s="647"/>
      <c r="BY641" s="647"/>
      <c r="BZ641" s="39">
        <v>628</v>
      </c>
      <c r="CA641" s="39">
        <f t="shared" si="386"/>
        <v>2041</v>
      </c>
      <c r="CB641" s="647"/>
      <c r="CC641" s="649"/>
      <c r="CD641" s="649"/>
      <c r="CE641" s="649"/>
      <c r="CF641" s="649"/>
      <c r="CG641" s="649"/>
      <c r="CH641" s="649"/>
      <c r="CI641" s="649"/>
      <c r="CJ641" s="649"/>
      <c r="CK641" s="649"/>
    </row>
    <row r="642" spans="1:89" s="193" customFormat="1" ht="24">
      <c r="A642" s="357"/>
      <c r="B642" s="21" t="str">
        <f t="shared" si="363"/>
        <v>TRA</v>
      </c>
      <c r="C642" s="21"/>
      <c r="D642" s="432"/>
      <c r="E642" s="439" t="s">
        <v>3626</v>
      </c>
      <c r="F642" s="439"/>
      <c r="G642" s="273" t="s">
        <v>2945</v>
      </c>
      <c r="H642" s="358" t="s">
        <v>4470</v>
      </c>
      <c r="I642" s="262" t="s">
        <v>3904</v>
      </c>
      <c r="J642" s="262"/>
      <c r="K642" s="263">
        <v>-357000</v>
      </c>
      <c r="L642" s="263">
        <v>-4641000</v>
      </c>
      <c r="M642" s="263">
        <v>-7089000</v>
      </c>
      <c r="N642" s="263">
        <v>0</v>
      </c>
      <c r="O642" s="263">
        <v>0</v>
      </c>
      <c r="P642" s="263">
        <v>0</v>
      </c>
      <c r="Q642" s="263">
        <v>0</v>
      </c>
      <c r="R642" s="263">
        <v>0</v>
      </c>
      <c r="S642" s="263">
        <v>0</v>
      </c>
      <c r="T642" s="263">
        <v>0</v>
      </c>
      <c r="U642" s="263">
        <f t="shared" si="392"/>
        <v>-12087000</v>
      </c>
      <c r="V642" s="196" t="str">
        <f t="shared" si="361"/>
        <v>G/LOS</v>
      </c>
      <c r="W642" s="196" t="s">
        <v>1168</v>
      </c>
      <c r="X642" s="196" t="str">
        <f t="shared" si="408"/>
        <v>Y</v>
      </c>
      <c r="Y642" s="376">
        <f t="shared" si="403"/>
        <v>-12087000</v>
      </c>
      <c r="Z642" s="198"/>
      <c r="AA642" s="376">
        <f t="shared" si="362"/>
        <v>-12087000</v>
      </c>
      <c r="AB642" s="196" t="s">
        <v>1166</v>
      </c>
      <c r="AC642" s="196" t="s">
        <v>1168</v>
      </c>
      <c r="AD642" s="275">
        <v>0.75</v>
      </c>
      <c r="AE642" s="275">
        <v>0.25</v>
      </c>
      <c r="AF642" s="275">
        <v>0</v>
      </c>
      <c r="AG642" s="199">
        <v>0.65900000000000003</v>
      </c>
      <c r="AH642" s="199">
        <v>0.85</v>
      </c>
      <c r="AI642" s="377">
        <f t="shared" si="394"/>
        <v>0.75449999999999995</v>
      </c>
      <c r="AJ642" s="203">
        <v>0.5</v>
      </c>
      <c r="AK642" s="203">
        <f t="shared" si="401"/>
        <v>0.5</v>
      </c>
      <c r="AL642" s="376">
        <f t="shared" si="395"/>
        <v>-2967358.5000000005</v>
      </c>
      <c r="AM642" s="376">
        <f t="shared" si="396"/>
        <v>-4559820.75</v>
      </c>
      <c r="AN642" s="376">
        <f t="shared" si="397"/>
        <v>-4559820.75</v>
      </c>
      <c r="AO642" s="378" t="s">
        <v>3607</v>
      </c>
      <c r="AP642" s="379" t="s">
        <v>2789</v>
      </c>
      <c r="AQ642" s="279"/>
      <c r="AR642" s="287">
        <f t="shared" si="364"/>
        <v>-134678.25</v>
      </c>
      <c r="AS642" s="287">
        <f t="shared" si="365"/>
        <v>-1750817.2499999998</v>
      </c>
      <c r="AT642" s="287">
        <f t="shared" si="366"/>
        <v>-2674325.25</v>
      </c>
      <c r="AU642" s="287">
        <f t="shared" si="367"/>
        <v>0</v>
      </c>
      <c r="AV642" s="287">
        <f t="shared" si="368"/>
        <v>0</v>
      </c>
      <c r="AW642" s="287">
        <f t="shared" si="369"/>
        <v>0</v>
      </c>
      <c r="AX642" s="287">
        <f t="shared" si="370"/>
        <v>0</v>
      </c>
      <c r="AY642" s="287">
        <f t="shared" si="371"/>
        <v>0</v>
      </c>
      <c r="AZ642" s="287">
        <f t="shared" si="372"/>
        <v>0</v>
      </c>
      <c r="BA642" s="287">
        <f t="shared" si="373"/>
        <v>0</v>
      </c>
      <c r="BB642" s="16"/>
      <c r="BC642" s="287">
        <f t="shared" si="374"/>
        <v>-134678.25</v>
      </c>
      <c r="BD642" s="287">
        <f t="shared" si="375"/>
        <v>-1750817.2499999998</v>
      </c>
      <c r="BE642" s="287">
        <f t="shared" si="376"/>
        <v>-2674325.25</v>
      </c>
      <c r="BF642" s="287">
        <f t="shared" si="377"/>
        <v>0</v>
      </c>
      <c r="BG642" s="287">
        <f t="shared" si="378"/>
        <v>0</v>
      </c>
      <c r="BH642" s="287">
        <f t="shared" si="379"/>
        <v>0</v>
      </c>
      <c r="BI642" s="287">
        <f t="shared" si="380"/>
        <v>0</v>
      </c>
      <c r="BJ642" s="287">
        <f t="shared" si="381"/>
        <v>0</v>
      </c>
      <c r="BK642" s="287">
        <f t="shared" si="382"/>
        <v>0</v>
      </c>
      <c r="BL642" s="287">
        <f t="shared" si="383"/>
        <v>0</v>
      </c>
      <c r="BM642" s="16"/>
      <c r="BN642" s="287">
        <f t="shared" si="384"/>
        <v>-4559820.75</v>
      </c>
      <c r="BO642" s="287">
        <f t="shared" si="385"/>
        <v>-4559820.75</v>
      </c>
      <c r="BP642" s="432"/>
      <c r="BQ642" s="21"/>
      <c r="BR642" s="21"/>
      <c r="BS642" s="6" t="e">
        <v>#VALUE!</v>
      </c>
      <c r="BT642" s="194">
        <f t="shared" si="404"/>
        <v>-9119641.5</v>
      </c>
      <c r="BU642" s="194">
        <f t="shared" si="405"/>
        <v>-4559820.75</v>
      </c>
      <c r="BV642" s="194">
        <f t="shared" si="406"/>
        <v>-4559820.75</v>
      </c>
      <c r="BW642" s="194">
        <f t="shared" si="407"/>
        <v>0</v>
      </c>
      <c r="BX642" s="6"/>
      <c r="BY642" s="6"/>
      <c r="BZ642" s="39">
        <v>629</v>
      </c>
      <c r="CA642" s="39">
        <f t="shared" si="386"/>
        <v>2041</v>
      </c>
      <c r="CB642" s="6"/>
      <c r="CC642" s="39"/>
      <c r="CD642" s="39"/>
      <c r="CE642" s="39"/>
      <c r="CF642" s="39"/>
      <c r="CG642" s="39"/>
      <c r="CH642" s="39"/>
      <c r="CI642" s="39"/>
      <c r="CJ642" s="39"/>
      <c r="CK642" s="39"/>
    </row>
    <row r="643" spans="1:89" s="193" customFormat="1" ht="24">
      <c r="A643" s="357"/>
      <c r="B643" s="21" t="str">
        <f t="shared" si="363"/>
        <v>TRA</v>
      </c>
      <c r="C643" s="21"/>
      <c r="D643" s="432"/>
      <c r="E643" s="439" t="s">
        <v>3626</v>
      </c>
      <c r="F643" s="439"/>
      <c r="G643" s="273" t="s">
        <v>2950</v>
      </c>
      <c r="H643" s="358" t="s">
        <v>4471</v>
      </c>
      <c r="I643" s="262" t="s">
        <v>3161</v>
      </c>
      <c r="J643" s="262"/>
      <c r="K643" s="263">
        <v>8000000</v>
      </c>
      <c r="L643" s="263">
        <v>4550000</v>
      </c>
      <c r="M643" s="263">
        <v>450000</v>
      </c>
      <c r="N643" s="263">
        <v>0</v>
      </c>
      <c r="O643" s="263">
        <v>0</v>
      </c>
      <c r="P643" s="263">
        <v>0</v>
      </c>
      <c r="Q643" s="263">
        <v>0</v>
      </c>
      <c r="R643" s="263">
        <v>0</v>
      </c>
      <c r="S643" s="263">
        <v>0</v>
      </c>
      <c r="T643" s="263">
        <v>0</v>
      </c>
      <c r="U643" s="263">
        <f t="shared" si="392"/>
        <v>13000000</v>
      </c>
      <c r="V643" s="196" t="str">
        <f t="shared" si="361"/>
        <v>G/LOS</v>
      </c>
      <c r="W643" s="196" t="s">
        <v>1168</v>
      </c>
      <c r="X643" s="196" t="str">
        <f t="shared" si="408"/>
        <v>Y</v>
      </c>
      <c r="Y643" s="376">
        <f t="shared" si="403"/>
        <v>13000000</v>
      </c>
      <c r="Z643" s="198"/>
      <c r="AA643" s="376">
        <f t="shared" si="362"/>
        <v>13000000</v>
      </c>
      <c r="AB643" s="196" t="s">
        <v>1166</v>
      </c>
      <c r="AC643" s="196" t="s">
        <v>1168</v>
      </c>
      <c r="AD643" s="275">
        <v>0.78</v>
      </c>
      <c r="AE643" s="275">
        <v>0.22</v>
      </c>
      <c r="AF643" s="275">
        <v>0</v>
      </c>
      <c r="AG643" s="199">
        <v>0.70399999999999996</v>
      </c>
      <c r="AH643" s="199">
        <v>0.85</v>
      </c>
      <c r="AI643" s="377">
        <f t="shared" si="394"/>
        <v>0.77699999999999991</v>
      </c>
      <c r="AJ643" s="203">
        <v>0.5</v>
      </c>
      <c r="AK643" s="203">
        <f t="shared" si="401"/>
        <v>0.5</v>
      </c>
      <c r="AL643" s="376">
        <f t="shared" si="395"/>
        <v>2899000.0000000009</v>
      </c>
      <c r="AM643" s="376">
        <f t="shared" si="396"/>
        <v>5050499.9999999991</v>
      </c>
      <c r="AN643" s="376">
        <f t="shared" si="397"/>
        <v>5050499.9999999991</v>
      </c>
      <c r="AO643" s="378" t="s">
        <v>3607</v>
      </c>
      <c r="AP643" s="379" t="s">
        <v>2789</v>
      </c>
      <c r="AQ643" s="279"/>
      <c r="AR643" s="287">
        <f t="shared" si="364"/>
        <v>3107999.9999999995</v>
      </c>
      <c r="AS643" s="287">
        <f t="shared" si="365"/>
        <v>1767674.9999999998</v>
      </c>
      <c r="AT643" s="287">
        <f t="shared" si="366"/>
        <v>174824.99999999997</v>
      </c>
      <c r="AU643" s="287">
        <f t="shared" si="367"/>
        <v>0</v>
      </c>
      <c r="AV643" s="287">
        <f t="shared" si="368"/>
        <v>0</v>
      </c>
      <c r="AW643" s="287">
        <f t="shared" si="369"/>
        <v>0</v>
      </c>
      <c r="AX643" s="287">
        <f t="shared" si="370"/>
        <v>0</v>
      </c>
      <c r="AY643" s="287">
        <f t="shared" si="371"/>
        <v>0</v>
      </c>
      <c r="AZ643" s="287">
        <f t="shared" si="372"/>
        <v>0</v>
      </c>
      <c r="BA643" s="287">
        <f t="shared" si="373"/>
        <v>0</v>
      </c>
      <c r="BB643" s="16"/>
      <c r="BC643" s="287">
        <f t="shared" si="374"/>
        <v>3107999.9999999995</v>
      </c>
      <c r="BD643" s="287">
        <f t="shared" si="375"/>
        <v>1767674.9999999998</v>
      </c>
      <c r="BE643" s="287">
        <f t="shared" si="376"/>
        <v>174824.99999999997</v>
      </c>
      <c r="BF643" s="287">
        <f t="shared" si="377"/>
        <v>0</v>
      </c>
      <c r="BG643" s="287">
        <f t="shared" si="378"/>
        <v>0</v>
      </c>
      <c r="BH643" s="287">
        <f t="shared" si="379"/>
        <v>0</v>
      </c>
      <c r="BI643" s="287">
        <f t="shared" si="380"/>
        <v>0</v>
      </c>
      <c r="BJ643" s="287">
        <f t="shared" si="381"/>
        <v>0</v>
      </c>
      <c r="BK643" s="287">
        <f t="shared" si="382"/>
        <v>0</v>
      </c>
      <c r="BL643" s="287">
        <f t="shared" si="383"/>
        <v>0</v>
      </c>
      <c r="BM643" s="16"/>
      <c r="BN643" s="287">
        <f t="shared" si="384"/>
        <v>5050499.9999999991</v>
      </c>
      <c r="BO643" s="287">
        <f t="shared" si="385"/>
        <v>5050499.9999999991</v>
      </c>
      <c r="BP643" s="432">
        <f>BN643-AM643</f>
        <v>0</v>
      </c>
      <c r="BQ643" s="21"/>
      <c r="BR643" s="21"/>
      <c r="BS643" s="6" t="e">
        <v>#VALUE!</v>
      </c>
      <c r="BT643" s="194">
        <f t="shared" si="404"/>
        <v>10100999.999999998</v>
      </c>
      <c r="BU643" s="194">
        <f t="shared" si="405"/>
        <v>5050499.9999999991</v>
      </c>
      <c r="BV643" s="194">
        <f t="shared" si="406"/>
        <v>5050499.9999999991</v>
      </c>
      <c r="BW643" s="194">
        <f t="shared" si="407"/>
        <v>0</v>
      </c>
      <c r="BX643" s="6"/>
      <c r="BY643" s="6"/>
      <c r="BZ643" s="39">
        <v>630</v>
      </c>
      <c r="CA643" s="39">
        <f t="shared" si="386"/>
        <v>2041</v>
      </c>
      <c r="CB643" s="6"/>
      <c r="CC643" s="39"/>
      <c r="CD643" s="39"/>
      <c r="CE643" s="39"/>
      <c r="CF643" s="39"/>
      <c r="CG643" s="39"/>
      <c r="CH643" s="39"/>
      <c r="CI643" s="39"/>
      <c r="CJ643" s="39"/>
      <c r="CK643" s="39"/>
    </row>
    <row r="644" spans="1:89" s="193" customFormat="1" ht="24">
      <c r="A644" s="357"/>
      <c r="B644" s="21" t="str">
        <f t="shared" si="363"/>
        <v>TRA</v>
      </c>
      <c r="C644" s="21"/>
      <c r="D644" s="432"/>
      <c r="E644" s="439" t="s">
        <v>3626</v>
      </c>
      <c r="F644" s="439"/>
      <c r="G644" s="273" t="s">
        <v>2950</v>
      </c>
      <c r="H644" s="358" t="s">
        <v>4471</v>
      </c>
      <c r="I644" s="262" t="s">
        <v>3904</v>
      </c>
      <c r="J644" s="262"/>
      <c r="K644" s="263">
        <v>-4080000</v>
      </c>
      <c r="L644" s="263">
        <v>-2320500</v>
      </c>
      <c r="M644" s="263">
        <v>-229500</v>
      </c>
      <c r="N644" s="263">
        <v>0</v>
      </c>
      <c r="O644" s="263">
        <v>0</v>
      </c>
      <c r="P644" s="263">
        <v>0</v>
      </c>
      <c r="Q644" s="263">
        <v>0</v>
      </c>
      <c r="R644" s="263">
        <v>0</v>
      </c>
      <c r="S644" s="263">
        <v>0</v>
      </c>
      <c r="T644" s="263">
        <v>0</v>
      </c>
      <c r="U644" s="263">
        <f t="shared" si="392"/>
        <v>-6630000</v>
      </c>
      <c r="V644" s="196" t="str">
        <f t="shared" si="361"/>
        <v>G/LOS</v>
      </c>
      <c r="W644" s="196" t="s">
        <v>1168</v>
      </c>
      <c r="X644" s="196" t="str">
        <f t="shared" si="408"/>
        <v>Y</v>
      </c>
      <c r="Y644" s="376">
        <f t="shared" si="403"/>
        <v>-6630000</v>
      </c>
      <c r="Z644" s="198"/>
      <c r="AA644" s="376">
        <f t="shared" si="362"/>
        <v>-6630000</v>
      </c>
      <c r="AB644" s="196" t="s">
        <v>1166</v>
      </c>
      <c r="AC644" s="196" t="s">
        <v>1168</v>
      </c>
      <c r="AD644" s="275">
        <v>0.78</v>
      </c>
      <c r="AE644" s="275">
        <v>0.22</v>
      </c>
      <c r="AF644" s="275">
        <v>0</v>
      </c>
      <c r="AG644" s="199">
        <v>0.70399999999999996</v>
      </c>
      <c r="AH644" s="199">
        <v>0.85</v>
      </c>
      <c r="AI644" s="377">
        <f t="shared" si="394"/>
        <v>0.77699999999999991</v>
      </c>
      <c r="AJ644" s="203">
        <v>0.5</v>
      </c>
      <c r="AK644" s="203">
        <f t="shared" si="401"/>
        <v>0.5</v>
      </c>
      <c r="AL644" s="376">
        <f t="shared" si="395"/>
        <v>-1478490.0000000005</v>
      </c>
      <c r="AM644" s="376">
        <f t="shared" si="396"/>
        <v>-2575754.9999999995</v>
      </c>
      <c r="AN644" s="376">
        <f t="shared" si="397"/>
        <v>-2575754.9999999995</v>
      </c>
      <c r="AO644" s="378" t="s">
        <v>3607</v>
      </c>
      <c r="AP644" s="379" t="s">
        <v>2789</v>
      </c>
      <c r="AQ644" s="279"/>
      <c r="AR644" s="287">
        <f t="shared" si="364"/>
        <v>-1585079.9999999998</v>
      </c>
      <c r="AS644" s="287">
        <f t="shared" si="365"/>
        <v>-901514.24999999988</v>
      </c>
      <c r="AT644" s="287">
        <f t="shared" si="366"/>
        <v>-89160.749999999985</v>
      </c>
      <c r="AU644" s="287">
        <f t="shared" si="367"/>
        <v>0</v>
      </c>
      <c r="AV644" s="287">
        <f t="shared" si="368"/>
        <v>0</v>
      </c>
      <c r="AW644" s="287">
        <f t="shared" si="369"/>
        <v>0</v>
      </c>
      <c r="AX644" s="287">
        <f t="shared" si="370"/>
        <v>0</v>
      </c>
      <c r="AY644" s="287">
        <f t="shared" si="371"/>
        <v>0</v>
      </c>
      <c r="AZ644" s="287">
        <f t="shared" si="372"/>
        <v>0</v>
      </c>
      <c r="BA644" s="287">
        <f t="shared" si="373"/>
        <v>0</v>
      </c>
      <c r="BB644" s="16"/>
      <c r="BC644" s="287">
        <f t="shared" si="374"/>
        <v>-1585079.9999999998</v>
      </c>
      <c r="BD644" s="287">
        <f t="shared" si="375"/>
        <v>-901514.24999999988</v>
      </c>
      <c r="BE644" s="287">
        <f t="shared" si="376"/>
        <v>-89160.749999999985</v>
      </c>
      <c r="BF644" s="287">
        <f t="shared" si="377"/>
        <v>0</v>
      </c>
      <c r="BG644" s="287">
        <f t="shared" si="378"/>
        <v>0</v>
      </c>
      <c r="BH644" s="287">
        <f t="shared" si="379"/>
        <v>0</v>
      </c>
      <c r="BI644" s="287">
        <f t="shared" si="380"/>
        <v>0</v>
      </c>
      <c r="BJ644" s="287">
        <f t="shared" si="381"/>
        <v>0</v>
      </c>
      <c r="BK644" s="287">
        <f t="shared" si="382"/>
        <v>0</v>
      </c>
      <c r="BL644" s="287">
        <f t="shared" si="383"/>
        <v>0</v>
      </c>
      <c r="BM644" s="16"/>
      <c r="BN644" s="287">
        <f t="shared" si="384"/>
        <v>-2575754.9999999995</v>
      </c>
      <c r="BO644" s="287">
        <f t="shared" si="385"/>
        <v>-2575754.9999999995</v>
      </c>
      <c r="BP644" s="432">
        <f>BN644-AM644</f>
        <v>0</v>
      </c>
      <c r="BQ644" s="21"/>
      <c r="BR644" s="21"/>
      <c r="BS644" s="6" t="e">
        <v>#VALUE!</v>
      </c>
      <c r="BT644" s="194">
        <f t="shared" si="404"/>
        <v>-5151509.9999999991</v>
      </c>
      <c r="BU644" s="194">
        <f t="shared" si="405"/>
        <v>-2575754.9999999995</v>
      </c>
      <c r="BV644" s="194">
        <f t="shared" si="406"/>
        <v>-2575754.9999999995</v>
      </c>
      <c r="BW644" s="194">
        <f t="shared" si="407"/>
        <v>0</v>
      </c>
      <c r="BX644" s="6"/>
      <c r="BY644" s="6"/>
      <c r="BZ644" s="39">
        <v>631</v>
      </c>
      <c r="CA644" s="39">
        <f t="shared" si="386"/>
        <v>2041</v>
      </c>
      <c r="CB644" s="6"/>
      <c r="CC644" s="39"/>
      <c r="CD644" s="39"/>
      <c r="CE644" s="39"/>
      <c r="CF644" s="39"/>
      <c r="CG644" s="39"/>
      <c r="CH644" s="39"/>
      <c r="CI644" s="39"/>
      <c r="CJ644" s="39"/>
      <c r="CK644" s="39"/>
    </row>
    <row r="645" spans="1:89" s="193" customFormat="1" ht="24">
      <c r="A645" s="357"/>
      <c r="B645" s="21" t="str">
        <f t="shared" si="363"/>
        <v>TRA</v>
      </c>
      <c r="C645" s="21"/>
      <c r="D645" s="432"/>
      <c r="E645" s="439" t="s">
        <v>3626</v>
      </c>
      <c r="F645" s="439"/>
      <c r="G645" s="273" t="s">
        <v>4398</v>
      </c>
      <c r="H645" s="358" t="s">
        <v>4434</v>
      </c>
      <c r="I645" s="262" t="s">
        <v>3161</v>
      </c>
      <c r="J645" s="262"/>
      <c r="K645" s="263">
        <v>3528659.4</v>
      </c>
      <c r="L645" s="263">
        <v>3652939.3771199998</v>
      </c>
      <c r="M645" s="263">
        <v>4654120.9863503994</v>
      </c>
      <c r="N645" s="263">
        <v>6328399.2323371014</v>
      </c>
      <c r="O645" s="263">
        <v>6749011.522920155</v>
      </c>
      <c r="P645" s="263">
        <v>11018084.347035779</v>
      </c>
      <c r="Q645" s="263">
        <v>10615798.268309096</v>
      </c>
      <c r="R645" s="263">
        <v>12549660.325235894</v>
      </c>
      <c r="S645" s="263">
        <v>15936440.384106578</v>
      </c>
      <c r="T645" s="263">
        <v>14845909.411305023</v>
      </c>
      <c r="U645" s="263">
        <f t="shared" si="392"/>
        <v>89879023.254720032</v>
      </c>
      <c r="V645" s="196" t="str">
        <f t="shared" si="361"/>
        <v>G/LOS</v>
      </c>
      <c r="W645" s="196" t="s">
        <v>1168</v>
      </c>
      <c r="X645" s="196" t="str">
        <f t="shared" si="408"/>
        <v>Y</v>
      </c>
      <c r="Y645" s="376">
        <f t="shared" si="403"/>
        <v>89879023.254720032</v>
      </c>
      <c r="Z645" s="198"/>
      <c r="AA645" s="376">
        <f t="shared" si="362"/>
        <v>89879023.254720032</v>
      </c>
      <c r="AB645" s="196" t="s">
        <v>1166</v>
      </c>
      <c r="AC645" s="196" t="s">
        <v>1168</v>
      </c>
      <c r="AD645" s="275">
        <v>7.0000000000000007E-2</v>
      </c>
      <c r="AE645" s="275">
        <f>1-AD645</f>
        <v>0.92999999999999994</v>
      </c>
      <c r="AF645" s="275">
        <v>0</v>
      </c>
      <c r="AG645" s="199">
        <v>7.0000000000000007E-2</v>
      </c>
      <c r="AH645" s="199">
        <v>7.0000000000000007E-2</v>
      </c>
      <c r="AI645" s="377">
        <f t="shared" si="394"/>
        <v>7.0000000000000007E-2</v>
      </c>
      <c r="AJ645" s="203">
        <v>0.67</v>
      </c>
      <c r="AK645" s="203">
        <f t="shared" si="401"/>
        <v>0.32999999999999996</v>
      </c>
      <c r="AL645" s="376">
        <f t="shared" si="395"/>
        <v>83587491.626889631</v>
      </c>
      <c r="AM645" s="376">
        <f t="shared" si="396"/>
        <v>4215326.1906463699</v>
      </c>
      <c r="AN645" s="376">
        <f t="shared" si="397"/>
        <v>2076205.4371840328</v>
      </c>
      <c r="AO645" s="378" t="s">
        <v>3608</v>
      </c>
      <c r="AP645" s="379" t="s">
        <v>2790</v>
      </c>
      <c r="AQ645" s="279"/>
      <c r="AR645" s="287">
        <f t="shared" si="364"/>
        <v>165494.12586000003</v>
      </c>
      <c r="AS645" s="287">
        <f t="shared" si="365"/>
        <v>171322.85678692802</v>
      </c>
      <c r="AT645" s="287">
        <f t="shared" si="366"/>
        <v>218278.27425983376</v>
      </c>
      <c r="AU645" s="287">
        <f t="shared" si="367"/>
        <v>296801.9239966101</v>
      </c>
      <c r="AV645" s="287">
        <f t="shared" si="368"/>
        <v>316528.64042495529</v>
      </c>
      <c r="AW645" s="287">
        <f t="shared" si="369"/>
        <v>516748.15587597806</v>
      </c>
      <c r="AX645" s="287">
        <f t="shared" si="370"/>
        <v>497880.93878369668</v>
      </c>
      <c r="AY645" s="287">
        <f t="shared" si="371"/>
        <v>588579.06925356353</v>
      </c>
      <c r="AZ645" s="287">
        <f t="shared" si="372"/>
        <v>747419.05401459872</v>
      </c>
      <c r="BA645" s="287">
        <f t="shared" si="373"/>
        <v>696273.15139020572</v>
      </c>
      <c r="BB645" s="16"/>
      <c r="BC645" s="287">
        <f t="shared" si="374"/>
        <v>81512.032139999996</v>
      </c>
      <c r="BD645" s="287">
        <f t="shared" si="375"/>
        <v>84382.899611471992</v>
      </c>
      <c r="BE645" s="287">
        <f t="shared" si="376"/>
        <v>107510.19478469422</v>
      </c>
      <c r="BF645" s="287">
        <f t="shared" si="377"/>
        <v>146186.02226698704</v>
      </c>
      <c r="BG645" s="287">
        <f t="shared" si="378"/>
        <v>155902.16617945555</v>
      </c>
      <c r="BH645" s="287">
        <f t="shared" si="379"/>
        <v>254517.74841652648</v>
      </c>
      <c r="BI645" s="287">
        <f t="shared" si="380"/>
        <v>245224.93999794012</v>
      </c>
      <c r="BJ645" s="287">
        <f t="shared" si="381"/>
        <v>289897.15351294912</v>
      </c>
      <c r="BK645" s="287">
        <f t="shared" si="382"/>
        <v>368131.772872862</v>
      </c>
      <c r="BL645" s="287">
        <f t="shared" si="383"/>
        <v>342940.50740114605</v>
      </c>
      <c r="BM645" s="16"/>
      <c r="BN645" s="287">
        <f t="shared" si="384"/>
        <v>4215326.1906463699</v>
      </c>
      <c r="BO645" s="287">
        <f t="shared" si="385"/>
        <v>2076205.4371840325</v>
      </c>
      <c r="BP645" s="432"/>
      <c r="BQ645" s="21"/>
      <c r="BR645" s="21"/>
      <c r="BS645" s="6"/>
      <c r="BT645" s="194">
        <f t="shared" si="404"/>
        <v>6291531.6278304029</v>
      </c>
      <c r="BU645" s="194">
        <f t="shared" si="405"/>
        <v>4215326.1906463699</v>
      </c>
      <c r="BV645" s="194">
        <f t="shared" si="406"/>
        <v>2076205.4371840328</v>
      </c>
      <c r="BW645" s="194">
        <f t="shared" si="407"/>
        <v>0</v>
      </c>
      <c r="BX645" s="6"/>
      <c r="BY645" s="6"/>
      <c r="BZ645" s="39">
        <v>632</v>
      </c>
      <c r="CA645" s="39">
        <f t="shared" si="386"/>
        <v>2036</v>
      </c>
      <c r="CB645" s="6"/>
      <c r="CC645" s="39"/>
      <c r="CD645" s="39"/>
      <c r="CE645" s="39"/>
      <c r="CF645" s="39"/>
      <c r="CG645" s="39"/>
      <c r="CH645" s="39"/>
      <c r="CI645" s="39"/>
      <c r="CJ645" s="39"/>
      <c r="CK645" s="39"/>
    </row>
    <row r="646" spans="1:89" s="193" customFormat="1" ht="24">
      <c r="A646" s="357"/>
      <c r="B646" s="21" t="str">
        <f t="shared" si="363"/>
        <v>TRA</v>
      </c>
      <c r="C646" s="21"/>
      <c r="D646" s="432"/>
      <c r="E646" s="439" t="s">
        <v>3626</v>
      </c>
      <c r="F646" s="439"/>
      <c r="G646" s="273" t="s">
        <v>4399</v>
      </c>
      <c r="H646" s="358" t="s">
        <v>4434</v>
      </c>
      <c r="I646" s="262" t="s">
        <v>3161</v>
      </c>
      <c r="J646" s="262"/>
      <c r="K646" s="263">
        <v>765027.2</v>
      </c>
      <c r="L646" s="263">
        <v>791971.58655999997</v>
      </c>
      <c r="M646" s="263">
        <v>1009031.6868352001</v>
      </c>
      <c r="N646" s="263">
        <v>1372021.7783549759</v>
      </c>
      <c r="O646" s="263">
        <v>1463212.1729139804</v>
      </c>
      <c r="P646" s="263">
        <v>2388763.9077255828</v>
      </c>
      <c r="Q646" s="263">
        <v>2301546.70778635</v>
      </c>
      <c r="R646" s="263">
        <v>2720815.5878026388</v>
      </c>
      <c r="S646" s="263">
        <v>3455082.7900873576</v>
      </c>
      <c r="T646" s="263">
        <v>3218651.397293922</v>
      </c>
      <c r="U646" s="263">
        <f t="shared" si="392"/>
        <v>19486124.81536001</v>
      </c>
      <c r="V646" s="196" t="str">
        <f t="shared" si="361"/>
        <v>G/LOS</v>
      </c>
      <c r="W646" s="196" t="s">
        <v>1168</v>
      </c>
      <c r="X646" s="196" t="str">
        <f t="shared" si="408"/>
        <v>Y</v>
      </c>
      <c r="Y646" s="376">
        <f t="shared" si="403"/>
        <v>19486124.81536001</v>
      </c>
      <c r="Z646" s="198"/>
      <c r="AA646" s="376">
        <f t="shared" si="362"/>
        <v>19486124.81536001</v>
      </c>
      <c r="AB646" s="196" t="s">
        <v>1166</v>
      </c>
      <c r="AC646" s="196" t="s">
        <v>1168</v>
      </c>
      <c r="AD646" s="275">
        <v>0.04</v>
      </c>
      <c r="AE646" s="275">
        <f>1-AD646</f>
        <v>0.96</v>
      </c>
      <c r="AF646" s="275">
        <v>0</v>
      </c>
      <c r="AG646" s="199">
        <v>0.04</v>
      </c>
      <c r="AH646" s="199">
        <v>0.04</v>
      </c>
      <c r="AI646" s="377">
        <f t="shared" si="394"/>
        <v>0.04</v>
      </c>
      <c r="AJ646" s="203">
        <v>0.67</v>
      </c>
      <c r="AK646" s="203">
        <f t="shared" si="401"/>
        <v>0.32999999999999996</v>
      </c>
      <c r="AL646" s="376">
        <f t="shared" si="395"/>
        <v>18706679.82274561</v>
      </c>
      <c r="AM646" s="376">
        <f t="shared" si="396"/>
        <v>522228.14505164832</v>
      </c>
      <c r="AN646" s="376">
        <f t="shared" si="397"/>
        <v>257216.84756275211</v>
      </c>
      <c r="AO646" s="378" t="s">
        <v>3608</v>
      </c>
      <c r="AP646" s="379" t="s">
        <v>2791</v>
      </c>
      <c r="AQ646" s="279"/>
      <c r="AR646" s="287">
        <f t="shared" si="364"/>
        <v>20502.72896</v>
      </c>
      <c r="AS646" s="287">
        <f t="shared" si="365"/>
        <v>21224.838519808003</v>
      </c>
      <c r="AT646" s="287">
        <f t="shared" si="366"/>
        <v>27042.049207183365</v>
      </c>
      <c r="AU646" s="287">
        <f t="shared" si="367"/>
        <v>36770.183659913353</v>
      </c>
      <c r="AV646" s="287">
        <f t="shared" si="368"/>
        <v>39214.086234094677</v>
      </c>
      <c r="AW646" s="287">
        <f t="shared" si="369"/>
        <v>64018.872727045629</v>
      </c>
      <c r="AX646" s="287">
        <f t="shared" si="370"/>
        <v>61681.451768674189</v>
      </c>
      <c r="AY646" s="287">
        <f t="shared" si="371"/>
        <v>72917.857753110729</v>
      </c>
      <c r="AZ646" s="287">
        <f t="shared" si="372"/>
        <v>92596.218774341192</v>
      </c>
      <c r="BA646" s="287">
        <f t="shared" si="373"/>
        <v>86259.857447477116</v>
      </c>
      <c r="BB646" s="16"/>
      <c r="BC646" s="287">
        <f t="shared" si="374"/>
        <v>10098.359039999999</v>
      </c>
      <c r="BD646" s="287">
        <f t="shared" si="375"/>
        <v>10454.024942591999</v>
      </c>
      <c r="BE646" s="287">
        <f t="shared" si="376"/>
        <v>13319.218266224641</v>
      </c>
      <c r="BF646" s="287">
        <f t="shared" si="377"/>
        <v>18110.687474285678</v>
      </c>
      <c r="BG646" s="287">
        <f t="shared" si="378"/>
        <v>19314.40068246454</v>
      </c>
      <c r="BH646" s="287">
        <f t="shared" si="379"/>
        <v>31531.68358197769</v>
      </c>
      <c r="BI646" s="287">
        <f t="shared" si="380"/>
        <v>30380.416542779818</v>
      </c>
      <c r="BJ646" s="287">
        <f t="shared" si="381"/>
        <v>35914.765758994829</v>
      </c>
      <c r="BK646" s="287">
        <f t="shared" si="382"/>
        <v>45607.092829153116</v>
      </c>
      <c r="BL646" s="287">
        <f t="shared" si="383"/>
        <v>42486.198444279769</v>
      </c>
      <c r="BM646" s="16"/>
      <c r="BN646" s="287">
        <f t="shared" si="384"/>
        <v>522228.1450516482</v>
      </c>
      <c r="BO646" s="287">
        <f t="shared" si="385"/>
        <v>257216.84756275208</v>
      </c>
      <c r="BP646" s="432"/>
      <c r="BQ646" s="21"/>
      <c r="BR646" s="21"/>
      <c r="BS646" s="6"/>
      <c r="BT646" s="194">
        <f t="shared" si="404"/>
        <v>779444.99261440034</v>
      </c>
      <c r="BU646" s="194">
        <f t="shared" si="405"/>
        <v>522228.14505164832</v>
      </c>
      <c r="BV646" s="194">
        <f t="shared" si="406"/>
        <v>257216.84756275211</v>
      </c>
      <c r="BW646" s="194">
        <f t="shared" si="407"/>
        <v>0</v>
      </c>
      <c r="BX646" s="6"/>
      <c r="BY646" s="6"/>
      <c r="BZ646" s="39">
        <v>633</v>
      </c>
      <c r="CA646" s="39">
        <f t="shared" si="386"/>
        <v>2036</v>
      </c>
      <c r="CB646" s="6"/>
      <c r="CC646" s="39"/>
      <c r="CD646" s="39"/>
      <c r="CE646" s="39"/>
      <c r="CF646" s="39"/>
      <c r="CG646" s="39"/>
      <c r="CH646" s="39"/>
      <c r="CI646" s="39"/>
      <c r="CJ646" s="39"/>
      <c r="CK646" s="39"/>
    </row>
    <row r="647" spans="1:89" s="193" customFormat="1" ht="24">
      <c r="A647" s="357"/>
      <c r="B647" s="21" t="str">
        <f t="shared" si="363"/>
        <v>TRA</v>
      </c>
      <c r="C647" s="21"/>
      <c r="D647" s="432"/>
      <c r="E647" s="439" t="s">
        <v>3626</v>
      </c>
      <c r="F647" s="439"/>
      <c r="G647" s="273" t="s">
        <v>4400</v>
      </c>
      <c r="H647" s="358" t="s">
        <v>4434</v>
      </c>
      <c r="I647" s="262" t="s">
        <v>3161</v>
      </c>
      <c r="J647" s="262"/>
      <c r="K647" s="263">
        <v>325679.19999999995</v>
      </c>
      <c r="L647" s="263">
        <v>337149.67615999997</v>
      </c>
      <c r="M647" s="263">
        <v>429554.18126719998</v>
      </c>
      <c r="N647" s="263">
        <v>584082.44198013598</v>
      </c>
      <c r="O647" s="263">
        <v>622903.04175444576</v>
      </c>
      <c r="P647" s="263">
        <v>1016919.0304043328</v>
      </c>
      <c r="Q647" s="263">
        <v>979789.85656260606</v>
      </c>
      <c r="R647" s="263">
        <v>1158276.5213878579</v>
      </c>
      <c r="S647" s="263">
        <v>1470860.9040429131</v>
      </c>
      <c r="T647" s="263">
        <v>1370209.859400511</v>
      </c>
      <c r="U647" s="263">
        <f t="shared" si="392"/>
        <v>8295424.7129600029</v>
      </c>
      <c r="V647" s="196" t="str">
        <f t="shared" si="361"/>
        <v>G/LOS</v>
      </c>
      <c r="W647" s="196" t="s">
        <v>1168</v>
      </c>
      <c r="X647" s="196" t="str">
        <f t="shared" si="408"/>
        <v>Y</v>
      </c>
      <c r="Y647" s="376">
        <f t="shared" si="403"/>
        <v>8295424.7129600029</v>
      </c>
      <c r="Z647" s="198"/>
      <c r="AA647" s="376">
        <f t="shared" si="362"/>
        <v>8295424.7129600029</v>
      </c>
      <c r="AB647" s="196" t="s">
        <v>1166</v>
      </c>
      <c r="AC647" s="196" t="s">
        <v>1168</v>
      </c>
      <c r="AD647" s="275">
        <v>0.11</v>
      </c>
      <c r="AE647" s="275">
        <f>1-AD647</f>
        <v>0.89</v>
      </c>
      <c r="AF647" s="275">
        <v>0</v>
      </c>
      <c r="AG647" s="199">
        <v>0.11</v>
      </c>
      <c r="AH647" s="199">
        <v>0.11</v>
      </c>
      <c r="AI647" s="377">
        <f t="shared" si="394"/>
        <v>0.11</v>
      </c>
      <c r="AJ647" s="203">
        <v>0.67</v>
      </c>
      <c r="AK647" s="203">
        <f t="shared" si="401"/>
        <v>0.32999999999999996</v>
      </c>
      <c r="AL647" s="376">
        <f t="shared" si="395"/>
        <v>7382927.9945344031</v>
      </c>
      <c r="AM647" s="376">
        <f t="shared" si="396"/>
        <v>611372.8013451522</v>
      </c>
      <c r="AN647" s="376">
        <f t="shared" si="397"/>
        <v>301123.91708044807</v>
      </c>
      <c r="AO647" s="378" t="s">
        <v>3608</v>
      </c>
      <c r="AP647" s="379" t="s">
        <v>2792</v>
      </c>
      <c r="AQ647" s="279"/>
      <c r="AR647" s="287">
        <f t="shared" si="364"/>
        <v>24002.557039999996</v>
      </c>
      <c r="AS647" s="287">
        <f t="shared" si="365"/>
        <v>24847.931132991998</v>
      </c>
      <c r="AT647" s="287">
        <f t="shared" si="366"/>
        <v>31658.143159392643</v>
      </c>
      <c r="AU647" s="287">
        <f t="shared" si="367"/>
        <v>43046.875973936025</v>
      </c>
      <c r="AV647" s="287">
        <f t="shared" si="368"/>
        <v>45907.954177302658</v>
      </c>
      <c r="AW647" s="287">
        <f t="shared" si="369"/>
        <v>74946.932540799331</v>
      </c>
      <c r="AX647" s="287">
        <f t="shared" si="370"/>
        <v>72210.512428664064</v>
      </c>
      <c r="AY647" s="287">
        <f t="shared" si="371"/>
        <v>85364.979626285131</v>
      </c>
      <c r="AZ647" s="287">
        <f t="shared" si="372"/>
        <v>108402.4486279627</v>
      </c>
      <c r="BA647" s="287">
        <f t="shared" si="373"/>
        <v>100984.46663781768</v>
      </c>
      <c r="BB647" s="16"/>
      <c r="BC647" s="287">
        <f t="shared" si="374"/>
        <v>11822.154959999996</v>
      </c>
      <c r="BD647" s="287">
        <f t="shared" si="375"/>
        <v>12238.533244607997</v>
      </c>
      <c r="BE647" s="287">
        <f t="shared" si="376"/>
        <v>15592.816779999359</v>
      </c>
      <c r="BF647" s="287">
        <f t="shared" si="377"/>
        <v>21202.192643878934</v>
      </c>
      <c r="BG647" s="287">
        <f t="shared" si="378"/>
        <v>22611.380415686377</v>
      </c>
      <c r="BH647" s="287">
        <f t="shared" si="379"/>
        <v>36914.160803677274</v>
      </c>
      <c r="BI647" s="287">
        <f t="shared" si="380"/>
        <v>35566.371793222592</v>
      </c>
      <c r="BJ647" s="287">
        <f t="shared" si="381"/>
        <v>42045.437726379234</v>
      </c>
      <c r="BK647" s="287">
        <f t="shared" si="382"/>
        <v>53392.25081675774</v>
      </c>
      <c r="BL647" s="287">
        <f t="shared" si="383"/>
        <v>49738.617896238546</v>
      </c>
      <c r="BM647" s="16"/>
      <c r="BN647" s="287">
        <f t="shared" si="384"/>
        <v>611372.8013451522</v>
      </c>
      <c r="BO647" s="287">
        <f t="shared" si="385"/>
        <v>301123.91708044801</v>
      </c>
      <c r="BP647" s="432"/>
      <c r="BQ647" s="21"/>
      <c r="BR647" s="21"/>
      <c r="BS647" s="6"/>
      <c r="BT647" s="194">
        <f t="shared" si="404"/>
        <v>912496.71842560021</v>
      </c>
      <c r="BU647" s="194">
        <f t="shared" si="405"/>
        <v>611372.8013451522</v>
      </c>
      <c r="BV647" s="194">
        <f t="shared" si="406"/>
        <v>301123.91708044807</v>
      </c>
      <c r="BW647" s="194">
        <f t="shared" si="407"/>
        <v>0</v>
      </c>
      <c r="BX647" s="6"/>
      <c r="BY647" s="6"/>
      <c r="BZ647" s="39">
        <v>634</v>
      </c>
      <c r="CA647" s="39">
        <f t="shared" si="386"/>
        <v>2036</v>
      </c>
      <c r="CB647" s="6"/>
      <c r="CC647" s="39"/>
      <c r="CD647" s="39"/>
      <c r="CE647" s="39"/>
      <c r="CF647" s="39"/>
      <c r="CG647" s="39"/>
      <c r="CH647" s="39"/>
      <c r="CI647" s="39"/>
      <c r="CJ647" s="39"/>
      <c r="CK647" s="39"/>
    </row>
    <row r="648" spans="1:89" s="193" customFormat="1" ht="24">
      <c r="A648" s="357"/>
      <c r="B648" s="21" t="str">
        <f t="shared" si="363"/>
        <v>TRA</v>
      </c>
      <c r="C648" s="21"/>
      <c r="D648" s="432">
        <v>3200658</v>
      </c>
      <c r="E648" s="439" t="s">
        <v>3626</v>
      </c>
      <c r="F648" s="439" t="s">
        <v>3452</v>
      </c>
      <c r="G648" s="273" t="s">
        <v>4316</v>
      </c>
      <c r="H648" s="358" t="s">
        <v>4487</v>
      </c>
      <c r="I648" s="262" t="s">
        <v>3493</v>
      </c>
      <c r="J648" s="262" t="s">
        <v>3504</v>
      </c>
      <c r="K648" s="263">
        <v>4400000</v>
      </c>
      <c r="L648" s="263">
        <v>7600000</v>
      </c>
      <c r="M648" s="263">
        <v>0</v>
      </c>
      <c r="N648" s="263">
        <v>0</v>
      </c>
      <c r="O648" s="263">
        <v>0</v>
      </c>
      <c r="P648" s="263">
        <v>0</v>
      </c>
      <c r="Q648" s="263">
        <v>0</v>
      </c>
      <c r="R648" s="263">
        <v>0</v>
      </c>
      <c r="S648" s="263">
        <v>0</v>
      </c>
      <c r="T648" s="263">
        <v>0</v>
      </c>
      <c r="U648" s="263">
        <f t="shared" si="392"/>
        <v>12000000</v>
      </c>
      <c r="V648" s="196" t="str">
        <f t="shared" si="361"/>
        <v>G/LOS/R</v>
      </c>
      <c r="W648" s="196" t="s">
        <v>1168</v>
      </c>
      <c r="X648" s="196" t="str">
        <f t="shared" si="408"/>
        <v>Y</v>
      </c>
      <c r="Y648" s="376">
        <f>SUM(K648:T648)</f>
        <v>12000000</v>
      </c>
      <c r="Z648" s="198"/>
      <c r="AA648" s="376">
        <f t="shared" si="362"/>
        <v>12000000</v>
      </c>
      <c r="AB648" s="196" t="s">
        <v>1166</v>
      </c>
      <c r="AC648" s="196" t="s">
        <v>1168</v>
      </c>
      <c r="AD648" s="275">
        <v>0.8</v>
      </c>
      <c r="AE648" s="275">
        <v>0.1</v>
      </c>
      <c r="AF648" s="275">
        <v>0.1</v>
      </c>
      <c r="AG648" s="199">
        <v>0.72499999999999998</v>
      </c>
      <c r="AH648" s="199">
        <v>0.88</v>
      </c>
      <c r="AI648" s="377">
        <f t="shared" si="394"/>
        <v>0.80249999999999999</v>
      </c>
      <c r="AJ648" s="203">
        <v>1</v>
      </c>
      <c r="AK648" s="203">
        <f>1-AJ648</f>
        <v>0</v>
      </c>
      <c r="AL648" s="376">
        <f t="shared" si="395"/>
        <v>2370000</v>
      </c>
      <c r="AM648" s="376">
        <f t="shared" si="396"/>
        <v>9630000</v>
      </c>
      <c r="AN648" s="376">
        <f t="shared" si="397"/>
        <v>0</v>
      </c>
      <c r="AO648" s="378" t="s">
        <v>3607</v>
      </c>
      <c r="AP648" s="379" t="s">
        <v>2779</v>
      </c>
      <c r="AQ648" s="279"/>
      <c r="AR648" s="287">
        <f t="shared" si="364"/>
        <v>3531000</v>
      </c>
      <c r="AS648" s="287">
        <f t="shared" si="365"/>
        <v>6099000</v>
      </c>
      <c r="AT648" s="287">
        <f t="shared" si="366"/>
        <v>0</v>
      </c>
      <c r="AU648" s="287">
        <f t="shared" si="367"/>
        <v>0</v>
      </c>
      <c r="AV648" s="287">
        <f t="shared" si="368"/>
        <v>0</v>
      </c>
      <c r="AW648" s="287">
        <f t="shared" si="369"/>
        <v>0</v>
      </c>
      <c r="AX648" s="287">
        <f t="shared" si="370"/>
        <v>0</v>
      </c>
      <c r="AY648" s="287">
        <f t="shared" si="371"/>
        <v>0</v>
      </c>
      <c r="AZ648" s="287">
        <f t="shared" si="372"/>
        <v>0</v>
      </c>
      <c r="BA648" s="287">
        <f t="shared" si="373"/>
        <v>0</v>
      </c>
      <c r="BB648" s="16"/>
      <c r="BC648" s="287">
        <f t="shared" si="374"/>
        <v>0</v>
      </c>
      <c r="BD648" s="287">
        <f t="shared" si="375"/>
        <v>0</v>
      </c>
      <c r="BE648" s="287">
        <f t="shared" si="376"/>
        <v>0</v>
      </c>
      <c r="BF648" s="287">
        <f t="shared" si="377"/>
        <v>0</v>
      </c>
      <c r="BG648" s="287">
        <f t="shared" si="378"/>
        <v>0</v>
      </c>
      <c r="BH648" s="287">
        <f t="shared" si="379"/>
        <v>0</v>
      </c>
      <c r="BI648" s="287">
        <f t="shared" si="380"/>
        <v>0</v>
      </c>
      <c r="BJ648" s="287">
        <f t="shared" si="381"/>
        <v>0</v>
      </c>
      <c r="BK648" s="287">
        <f t="shared" si="382"/>
        <v>0</v>
      </c>
      <c r="BL648" s="287">
        <f t="shared" si="383"/>
        <v>0</v>
      </c>
      <c r="BM648" s="16"/>
      <c r="BN648" s="287">
        <f t="shared" si="384"/>
        <v>9630000</v>
      </c>
      <c r="BO648" s="287">
        <f t="shared" si="385"/>
        <v>0</v>
      </c>
      <c r="BP648" s="432"/>
      <c r="BQ648" s="21"/>
      <c r="BR648" s="21"/>
      <c r="BS648" s="6"/>
      <c r="BT648" s="194">
        <f t="shared" si="404"/>
        <v>9630000</v>
      </c>
      <c r="BU648" s="194">
        <f t="shared" si="405"/>
        <v>9630000</v>
      </c>
      <c r="BV648" s="194">
        <f t="shared" si="406"/>
        <v>0</v>
      </c>
      <c r="BW648" s="194">
        <f t="shared" si="407"/>
        <v>0</v>
      </c>
      <c r="BX648" s="6"/>
      <c r="BY648" s="6"/>
      <c r="BZ648" s="39">
        <v>635</v>
      </c>
      <c r="CA648" s="39">
        <f t="shared" si="386"/>
        <v>2031</v>
      </c>
      <c r="CB648" s="6"/>
      <c r="CC648" s="39"/>
      <c r="CD648" s="39"/>
      <c r="CE648" s="39"/>
      <c r="CF648" s="39"/>
      <c r="CG648" s="39"/>
      <c r="CH648" s="39"/>
      <c r="CI648" s="39"/>
      <c r="CJ648" s="39"/>
      <c r="CK648" s="39"/>
    </row>
    <row r="649" spans="1:89" s="193" customFormat="1" ht="24">
      <c r="A649" s="357"/>
      <c r="B649" s="21" t="str">
        <f t="shared" si="363"/>
        <v>TRA</v>
      </c>
      <c r="C649" s="21"/>
      <c r="D649" s="432"/>
      <c r="E649" s="439" t="s">
        <v>3626</v>
      </c>
      <c r="F649" s="439"/>
      <c r="G649" s="273" t="s">
        <v>2944</v>
      </c>
      <c r="H649" s="358" t="s">
        <v>4447</v>
      </c>
      <c r="I649" s="262" t="s">
        <v>3161</v>
      </c>
      <c r="J649" s="262"/>
      <c r="K649" s="263">
        <v>2000000</v>
      </c>
      <c r="L649" s="263">
        <v>6825000</v>
      </c>
      <c r="M649" s="263">
        <v>8025000</v>
      </c>
      <c r="N649" s="263">
        <v>0</v>
      </c>
      <c r="O649" s="263">
        <v>0</v>
      </c>
      <c r="P649" s="263">
        <v>0</v>
      </c>
      <c r="Q649" s="263">
        <v>0</v>
      </c>
      <c r="R649" s="263">
        <v>0</v>
      </c>
      <c r="S649" s="263">
        <v>0</v>
      </c>
      <c r="T649" s="263">
        <v>0</v>
      </c>
      <c r="U649" s="263">
        <f t="shared" si="392"/>
        <v>16850000</v>
      </c>
      <c r="V649" s="196" t="str">
        <f t="shared" si="361"/>
        <v>G/LOS</v>
      </c>
      <c r="W649" s="196" t="s">
        <v>1168</v>
      </c>
      <c r="X649" s="196" t="str">
        <f t="shared" si="408"/>
        <v>Y</v>
      </c>
      <c r="Y649" s="376">
        <f t="shared" ref="Y649:Y671" si="409">IF(X649="N",0,SUM(K649:T649))</f>
        <v>16850000</v>
      </c>
      <c r="Z649" s="198"/>
      <c r="AA649" s="376">
        <f t="shared" si="362"/>
        <v>16850000</v>
      </c>
      <c r="AB649" s="196" t="s">
        <v>1166</v>
      </c>
      <c r="AC649" s="196" t="s">
        <v>1168</v>
      </c>
      <c r="AD649" s="275">
        <v>0.66</v>
      </c>
      <c r="AE649" s="275">
        <v>0.34</v>
      </c>
      <c r="AF649" s="275">
        <v>0</v>
      </c>
      <c r="AG649" s="199">
        <v>0.34</v>
      </c>
      <c r="AH649" s="199">
        <v>0.98499999999999999</v>
      </c>
      <c r="AI649" s="377">
        <f t="shared" si="394"/>
        <v>0.66249999999999998</v>
      </c>
      <c r="AJ649" s="591">
        <v>0.58823529411764708</v>
      </c>
      <c r="AK649" s="203">
        <f t="shared" ref="AK649:AK668" si="410">100%-AJ649</f>
        <v>0.41176470588235292</v>
      </c>
      <c r="AL649" s="376">
        <f t="shared" si="395"/>
        <v>5686875</v>
      </c>
      <c r="AM649" s="376">
        <f t="shared" si="396"/>
        <v>6566544.1176470593</v>
      </c>
      <c r="AN649" s="376">
        <f t="shared" si="397"/>
        <v>4596580.8823529407</v>
      </c>
      <c r="AO649" s="378" t="s">
        <v>3608</v>
      </c>
      <c r="AP649" s="379" t="s">
        <v>2779</v>
      </c>
      <c r="AQ649" s="279"/>
      <c r="AR649" s="287">
        <f t="shared" si="364"/>
        <v>779411.76470588241</v>
      </c>
      <c r="AS649" s="287">
        <f t="shared" si="365"/>
        <v>2659742.6470588236</v>
      </c>
      <c r="AT649" s="287">
        <f t="shared" si="366"/>
        <v>3127389.7058823532</v>
      </c>
      <c r="AU649" s="287">
        <f t="shared" si="367"/>
        <v>0</v>
      </c>
      <c r="AV649" s="287">
        <f t="shared" si="368"/>
        <v>0</v>
      </c>
      <c r="AW649" s="287">
        <f t="shared" si="369"/>
        <v>0</v>
      </c>
      <c r="AX649" s="287">
        <f t="shared" si="370"/>
        <v>0</v>
      </c>
      <c r="AY649" s="287">
        <f t="shared" si="371"/>
        <v>0</v>
      </c>
      <c r="AZ649" s="287">
        <f t="shared" si="372"/>
        <v>0</v>
      </c>
      <c r="BA649" s="287">
        <f t="shared" si="373"/>
        <v>0</v>
      </c>
      <c r="BB649" s="16"/>
      <c r="BC649" s="287">
        <f t="shared" si="374"/>
        <v>545588.23529411759</v>
      </c>
      <c r="BD649" s="287">
        <f t="shared" si="375"/>
        <v>1861819.8529411764</v>
      </c>
      <c r="BE649" s="287">
        <f t="shared" si="376"/>
        <v>2189172.7941176468</v>
      </c>
      <c r="BF649" s="287">
        <f t="shared" si="377"/>
        <v>0</v>
      </c>
      <c r="BG649" s="287">
        <f t="shared" si="378"/>
        <v>0</v>
      </c>
      <c r="BH649" s="287">
        <f t="shared" si="379"/>
        <v>0</v>
      </c>
      <c r="BI649" s="287">
        <f t="shared" si="380"/>
        <v>0</v>
      </c>
      <c r="BJ649" s="287">
        <f t="shared" si="381"/>
        <v>0</v>
      </c>
      <c r="BK649" s="287">
        <f t="shared" si="382"/>
        <v>0</v>
      </c>
      <c r="BL649" s="287">
        <f t="shared" si="383"/>
        <v>0</v>
      </c>
      <c r="BM649" s="16"/>
      <c r="BN649" s="287">
        <f t="shared" si="384"/>
        <v>6566544.1176470593</v>
      </c>
      <c r="BO649" s="287">
        <f t="shared" si="385"/>
        <v>4596580.8823529407</v>
      </c>
      <c r="BP649" s="432"/>
      <c r="BQ649" s="21"/>
      <c r="BR649" s="21"/>
      <c r="BS649" s="6" t="e">
        <v>#VALUE!</v>
      </c>
      <c r="BT649" s="194">
        <f t="shared" si="404"/>
        <v>11163125</v>
      </c>
      <c r="BU649" s="194">
        <f t="shared" si="405"/>
        <v>6566544.1176470593</v>
      </c>
      <c r="BV649" s="194">
        <f t="shared" si="406"/>
        <v>4596580.8823529407</v>
      </c>
      <c r="BW649" s="194">
        <f t="shared" si="407"/>
        <v>0</v>
      </c>
      <c r="BX649" s="6"/>
      <c r="BY649" s="6"/>
      <c r="BZ649" s="39">
        <v>636</v>
      </c>
      <c r="CA649" s="39">
        <f t="shared" si="386"/>
        <v>2038</v>
      </c>
      <c r="CB649" s="6"/>
      <c r="CC649" s="39"/>
      <c r="CD649" s="39"/>
      <c r="CE649" s="39"/>
      <c r="CF649" s="39"/>
      <c r="CG649" s="39"/>
      <c r="CH649" s="39"/>
      <c r="CI649" s="39"/>
      <c r="CJ649" s="39"/>
      <c r="CK649" s="39"/>
    </row>
    <row r="650" spans="1:89" s="193" customFormat="1" ht="24">
      <c r="A650" s="357"/>
      <c r="B650" s="21" t="str">
        <f t="shared" si="363"/>
        <v>TRA</v>
      </c>
      <c r="C650" s="21"/>
      <c r="D650" s="432"/>
      <c r="E650" s="439" t="s">
        <v>3626</v>
      </c>
      <c r="F650" s="439"/>
      <c r="G650" s="273" t="s">
        <v>3616</v>
      </c>
      <c r="H650" s="358" t="s">
        <v>4448</v>
      </c>
      <c r="I650" s="262" t="s">
        <v>3161</v>
      </c>
      <c r="J650" s="262"/>
      <c r="K650" s="263">
        <v>2850939</v>
      </c>
      <c r="L650" s="263">
        <v>14923771.33333333</v>
      </c>
      <c r="M650" s="263">
        <v>24923771.333333299</v>
      </c>
      <c r="N650" s="263">
        <v>2923771.3333333004</v>
      </c>
      <c r="O650" s="263">
        <v>0</v>
      </c>
      <c r="P650" s="263">
        <v>0</v>
      </c>
      <c r="Q650" s="263">
        <v>0</v>
      </c>
      <c r="R650" s="263">
        <v>0</v>
      </c>
      <c r="S650" s="263">
        <v>0</v>
      </c>
      <c r="T650" s="263">
        <v>0</v>
      </c>
      <c r="U650" s="263">
        <f t="shared" si="392"/>
        <v>45622252.999999925</v>
      </c>
      <c r="V650" s="196" t="str">
        <f t="shared" si="361"/>
        <v>G/LOS/R</v>
      </c>
      <c r="W650" s="196" t="s">
        <v>1168</v>
      </c>
      <c r="X650" s="196" t="str">
        <f t="shared" si="408"/>
        <v>Y</v>
      </c>
      <c r="Y650" s="376">
        <f t="shared" si="409"/>
        <v>45622252.999999925</v>
      </c>
      <c r="Z650" s="198"/>
      <c r="AA650" s="376">
        <f t="shared" si="362"/>
        <v>45622252.999999925</v>
      </c>
      <c r="AB650" s="196" t="s">
        <v>1166</v>
      </c>
      <c r="AC650" s="196" t="s">
        <v>1168</v>
      </c>
      <c r="AD650" s="275">
        <v>0.55000000000000004</v>
      </c>
      <c r="AE650" s="275">
        <v>0.36</v>
      </c>
      <c r="AF650" s="275">
        <v>0.09</v>
      </c>
      <c r="AG650" s="199">
        <v>0.54669999999999996</v>
      </c>
      <c r="AH650" s="199">
        <v>0.54669999999999996</v>
      </c>
      <c r="AI650" s="377">
        <f t="shared" si="394"/>
        <v>0.54669999999999996</v>
      </c>
      <c r="AJ650" s="203">
        <v>0.5</v>
      </c>
      <c r="AK650" s="203">
        <f t="shared" si="410"/>
        <v>0.5</v>
      </c>
      <c r="AL650" s="376">
        <f t="shared" si="395"/>
        <v>20680567.284899969</v>
      </c>
      <c r="AM650" s="376">
        <f t="shared" si="396"/>
        <v>12470842.857549978</v>
      </c>
      <c r="AN650" s="376">
        <f t="shared" si="397"/>
        <v>12470842.857549978</v>
      </c>
      <c r="AO650" s="378" t="s">
        <v>3607</v>
      </c>
      <c r="AP650" s="379" t="s">
        <v>2779</v>
      </c>
      <c r="AQ650" s="279"/>
      <c r="AR650" s="287">
        <f t="shared" si="364"/>
        <v>779304.17564999999</v>
      </c>
      <c r="AS650" s="287">
        <f t="shared" si="365"/>
        <v>4079412.8939666655</v>
      </c>
      <c r="AT650" s="287">
        <f t="shared" si="366"/>
        <v>6812912.8939666571</v>
      </c>
      <c r="AU650" s="287">
        <f t="shared" si="367"/>
        <v>799212.89396665758</v>
      </c>
      <c r="AV650" s="287">
        <f t="shared" si="368"/>
        <v>0</v>
      </c>
      <c r="AW650" s="287">
        <f t="shared" si="369"/>
        <v>0</v>
      </c>
      <c r="AX650" s="287">
        <f t="shared" si="370"/>
        <v>0</v>
      </c>
      <c r="AY650" s="287">
        <f t="shared" si="371"/>
        <v>0</v>
      </c>
      <c r="AZ650" s="287">
        <f t="shared" si="372"/>
        <v>0</v>
      </c>
      <c r="BA650" s="287">
        <f t="shared" si="373"/>
        <v>0</v>
      </c>
      <c r="BB650" s="16"/>
      <c r="BC650" s="287">
        <f t="shared" si="374"/>
        <v>779304.17564999999</v>
      </c>
      <c r="BD650" s="287">
        <f t="shared" si="375"/>
        <v>4079412.8939666655</v>
      </c>
      <c r="BE650" s="287">
        <f t="shared" si="376"/>
        <v>6812912.8939666571</v>
      </c>
      <c r="BF650" s="287">
        <f t="shared" si="377"/>
        <v>799212.89396665758</v>
      </c>
      <c r="BG650" s="287">
        <f t="shared" si="378"/>
        <v>0</v>
      </c>
      <c r="BH650" s="287">
        <f t="shared" si="379"/>
        <v>0</v>
      </c>
      <c r="BI650" s="287">
        <f t="shared" si="380"/>
        <v>0</v>
      </c>
      <c r="BJ650" s="287">
        <f t="shared" si="381"/>
        <v>0</v>
      </c>
      <c r="BK650" s="287">
        <f t="shared" si="382"/>
        <v>0</v>
      </c>
      <c r="BL650" s="287">
        <f t="shared" si="383"/>
        <v>0</v>
      </c>
      <c r="BM650" s="16"/>
      <c r="BN650" s="287">
        <f t="shared" si="384"/>
        <v>12470842.85754998</v>
      </c>
      <c r="BO650" s="287">
        <f t="shared" si="385"/>
        <v>12470842.85754998</v>
      </c>
      <c r="BP650" s="432"/>
      <c r="BQ650" s="21"/>
      <c r="BR650" s="21"/>
      <c r="BS650" s="6" t="e">
        <v>#VALUE!</v>
      </c>
      <c r="BT650" s="194">
        <f t="shared" si="404"/>
        <v>24941685.715099961</v>
      </c>
      <c r="BU650" s="194">
        <f t="shared" si="405"/>
        <v>12470842.857549978</v>
      </c>
      <c r="BV650" s="194">
        <f t="shared" si="406"/>
        <v>12470842.857549978</v>
      </c>
      <c r="BW650" s="194">
        <f t="shared" si="407"/>
        <v>0</v>
      </c>
      <c r="BX650" s="6"/>
      <c r="BY650" s="6"/>
      <c r="BZ650" s="39">
        <v>637</v>
      </c>
      <c r="CA650" s="39">
        <f t="shared" si="386"/>
        <v>2041</v>
      </c>
      <c r="CB650" s="6"/>
      <c r="CC650" s="39"/>
      <c r="CD650" s="39"/>
      <c r="CE650" s="39"/>
      <c r="CF650" s="39"/>
      <c r="CG650" s="39"/>
      <c r="CH650" s="39"/>
      <c r="CI650" s="39"/>
      <c r="CJ650" s="39"/>
      <c r="CK650" s="39"/>
    </row>
    <row r="651" spans="1:89" s="193" customFormat="1" ht="24">
      <c r="A651" s="357"/>
      <c r="B651" s="21" t="str">
        <f t="shared" si="363"/>
        <v>TRA</v>
      </c>
      <c r="C651" s="21"/>
      <c r="D651" s="432"/>
      <c r="E651" s="439" t="s">
        <v>3626</v>
      </c>
      <c r="F651" s="439"/>
      <c r="G651" s="273" t="s">
        <v>4646</v>
      </c>
      <c r="H651" s="358" t="s">
        <v>4450</v>
      </c>
      <c r="I651" s="262" t="s">
        <v>3161</v>
      </c>
      <c r="J651" s="262"/>
      <c r="K651" s="263">
        <v>2158699</v>
      </c>
      <c r="L651" s="263">
        <v>3093409.92</v>
      </c>
      <c r="M651" s="263">
        <v>33537609.250199996</v>
      </c>
      <c r="N651" s="263">
        <v>7747475.3981684996</v>
      </c>
      <c r="O651" s="263">
        <v>0</v>
      </c>
      <c r="P651" s="263">
        <v>0</v>
      </c>
      <c r="Q651" s="263">
        <v>0</v>
      </c>
      <c r="R651" s="263">
        <v>0</v>
      </c>
      <c r="S651" s="263">
        <v>0</v>
      </c>
      <c r="T651" s="263">
        <v>0</v>
      </c>
      <c r="U651" s="263">
        <f t="shared" si="392"/>
        <v>46537193.568368495</v>
      </c>
      <c r="V651" s="196" t="str">
        <f t="shared" si="361"/>
        <v>G/LOS</v>
      </c>
      <c r="W651" s="196" t="s">
        <v>1168</v>
      </c>
      <c r="X651" s="196" t="str">
        <f t="shared" si="408"/>
        <v>Y</v>
      </c>
      <c r="Y651" s="376">
        <f t="shared" si="409"/>
        <v>46537193.568368495</v>
      </c>
      <c r="Z651" s="198"/>
      <c r="AA651" s="376">
        <f t="shared" si="362"/>
        <v>46537193.568368495</v>
      </c>
      <c r="AB651" s="196" t="s">
        <v>1166</v>
      </c>
      <c r="AC651" s="196" t="s">
        <v>1168</v>
      </c>
      <c r="AD651" s="275">
        <v>0.215</v>
      </c>
      <c r="AE651" s="275">
        <f>1-AD651</f>
        <v>0.78500000000000003</v>
      </c>
      <c r="AF651" s="275">
        <v>0</v>
      </c>
      <c r="AG651" s="199">
        <v>0.1598</v>
      </c>
      <c r="AH651" s="199">
        <v>0.1598</v>
      </c>
      <c r="AI651" s="377">
        <f t="shared" si="394"/>
        <v>0.1598</v>
      </c>
      <c r="AJ651" s="203">
        <v>0.5</v>
      </c>
      <c r="AK651" s="203">
        <f t="shared" si="410"/>
        <v>0.5</v>
      </c>
      <c r="AL651" s="376">
        <f t="shared" si="395"/>
        <v>39100550.036143214</v>
      </c>
      <c r="AM651" s="376">
        <f t="shared" si="396"/>
        <v>3718321.7661126428</v>
      </c>
      <c r="AN651" s="376">
        <f t="shared" si="397"/>
        <v>3718321.7661126428</v>
      </c>
      <c r="AO651" s="378" t="s">
        <v>3607</v>
      </c>
      <c r="AP651" s="379" t="s">
        <v>2779</v>
      </c>
      <c r="AQ651" s="279"/>
      <c r="AR651" s="287">
        <f t="shared" si="364"/>
        <v>172480.05009999999</v>
      </c>
      <c r="AS651" s="287">
        <f t="shared" si="365"/>
        <v>247163.45260799999</v>
      </c>
      <c r="AT651" s="287">
        <f t="shared" si="366"/>
        <v>2679654.9790909798</v>
      </c>
      <c r="AU651" s="287">
        <f t="shared" si="367"/>
        <v>619023.28431366314</v>
      </c>
      <c r="AV651" s="287">
        <f t="shared" si="368"/>
        <v>0</v>
      </c>
      <c r="AW651" s="287">
        <f t="shared" si="369"/>
        <v>0</v>
      </c>
      <c r="AX651" s="287">
        <f t="shared" si="370"/>
        <v>0</v>
      </c>
      <c r="AY651" s="287">
        <f t="shared" si="371"/>
        <v>0</v>
      </c>
      <c r="AZ651" s="287">
        <f t="shared" si="372"/>
        <v>0</v>
      </c>
      <c r="BA651" s="287">
        <f t="shared" si="373"/>
        <v>0</v>
      </c>
      <c r="BB651" s="16"/>
      <c r="BC651" s="287">
        <f t="shared" si="374"/>
        <v>172480.05009999999</v>
      </c>
      <c r="BD651" s="287">
        <f t="shared" si="375"/>
        <v>247163.45260799999</v>
      </c>
      <c r="BE651" s="287">
        <f t="shared" si="376"/>
        <v>2679654.9790909798</v>
      </c>
      <c r="BF651" s="287">
        <f t="shared" si="377"/>
        <v>619023.28431366314</v>
      </c>
      <c r="BG651" s="287">
        <f t="shared" si="378"/>
        <v>0</v>
      </c>
      <c r="BH651" s="287">
        <f t="shared" si="379"/>
        <v>0</v>
      </c>
      <c r="BI651" s="287">
        <f t="shared" si="380"/>
        <v>0</v>
      </c>
      <c r="BJ651" s="287">
        <f t="shared" si="381"/>
        <v>0</v>
      </c>
      <c r="BK651" s="287">
        <f t="shared" si="382"/>
        <v>0</v>
      </c>
      <c r="BL651" s="287">
        <f t="shared" si="383"/>
        <v>0</v>
      </c>
      <c r="BM651" s="16"/>
      <c r="BN651" s="287">
        <f t="shared" si="384"/>
        <v>3718321.7661126433</v>
      </c>
      <c r="BO651" s="287">
        <f t="shared" si="385"/>
        <v>3718321.7661126433</v>
      </c>
      <c r="BP651" s="432"/>
      <c r="BQ651" s="21"/>
      <c r="BR651" s="21"/>
      <c r="BS651" s="6" t="e">
        <v>#VALUE!</v>
      </c>
      <c r="BT651" s="194">
        <f t="shared" si="404"/>
        <v>7436643.5322252866</v>
      </c>
      <c r="BU651" s="194">
        <f t="shared" si="405"/>
        <v>3718321.7661126428</v>
      </c>
      <c r="BV651" s="194">
        <f t="shared" si="406"/>
        <v>3718321.7661126428</v>
      </c>
      <c r="BW651" s="194">
        <f t="shared" si="407"/>
        <v>0</v>
      </c>
      <c r="BX651" s="6"/>
      <c r="BY651" s="6"/>
      <c r="BZ651" s="39">
        <v>638</v>
      </c>
      <c r="CA651" s="39">
        <f t="shared" si="386"/>
        <v>2041</v>
      </c>
      <c r="CB651" s="6"/>
      <c r="CC651" s="39"/>
      <c r="CD651" s="39"/>
      <c r="CE651" s="39"/>
      <c r="CF651" s="39"/>
      <c r="CG651" s="39"/>
      <c r="CH651" s="39"/>
      <c r="CI651" s="39"/>
      <c r="CJ651" s="39"/>
      <c r="CK651" s="39"/>
    </row>
    <row r="652" spans="1:89" s="193" customFormat="1" ht="36">
      <c r="A652" s="357"/>
      <c r="B652" s="21" t="str">
        <f t="shared" si="363"/>
        <v>TRA</v>
      </c>
      <c r="C652" s="21"/>
      <c r="D652" s="432"/>
      <c r="E652" s="439" t="s">
        <v>3626</v>
      </c>
      <c r="F652" s="439"/>
      <c r="G652" s="273" t="s">
        <v>3619</v>
      </c>
      <c r="H652" s="358" t="s">
        <v>4451</v>
      </c>
      <c r="I652" s="262" t="s">
        <v>3161</v>
      </c>
      <c r="J652" s="262"/>
      <c r="K652" s="263">
        <v>2000000</v>
      </c>
      <c r="L652" s="263">
        <v>4500000</v>
      </c>
      <c r="M652" s="263">
        <v>7500000</v>
      </c>
      <c r="N652" s="263">
        <v>0</v>
      </c>
      <c r="O652" s="263">
        <v>0</v>
      </c>
      <c r="P652" s="263">
        <v>0</v>
      </c>
      <c r="Q652" s="263">
        <v>0</v>
      </c>
      <c r="R652" s="263">
        <v>20000000</v>
      </c>
      <c r="S652" s="263">
        <v>80000000</v>
      </c>
      <c r="T652" s="263">
        <v>86000000</v>
      </c>
      <c r="U652" s="263">
        <f t="shared" si="392"/>
        <v>200000000</v>
      </c>
      <c r="V652" s="196" t="str">
        <f t="shared" ref="V652:V714" si="411">IF(AND(AD652&gt;0,AE652&gt;0,AF652&gt;0),"G/LOS/R",IF(AND(AD652&gt;0,AE652&gt;0),"G/LOS",IF(AND(AD652&gt;0,AF652&gt;0),"G/R",IF(AND(AE652&gt;0,AF652&gt;0),"LOS/R",IF(AD652&gt;0,"G",IF(AE652&gt;0,"LOS",IF(AF652&gt;0,"R","CHECK")))))))</f>
        <v>G/LOS</v>
      </c>
      <c r="W652" s="196" t="s">
        <v>1168</v>
      </c>
      <c r="X652" s="196" t="str">
        <f t="shared" si="408"/>
        <v>Y</v>
      </c>
      <c r="Y652" s="376">
        <f t="shared" si="409"/>
        <v>200000000</v>
      </c>
      <c r="Z652" s="198"/>
      <c r="AA652" s="376">
        <f t="shared" ref="AA652:AA714" si="412">Y652-Z652</f>
        <v>200000000</v>
      </c>
      <c r="AB652" s="196" t="s">
        <v>1166</v>
      </c>
      <c r="AC652" s="196" t="s">
        <v>1168</v>
      </c>
      <c r="AD652" s="275">
        <v>0.215</v>
      </c>
      <c r="AE652" s="275">
        <f>1-AD652</f>
        <v>0.78500000000000003</v>
      </c>
      <c r="AF652" s="275">
        <v>0</v>
      </c>
      <c r="AG652" s="199">
        <v>0.1598</v>
      </c>
      <c r="AH652" s="199">
        <v>0.1598</v>
      </c>
      <c r="AI652" s="377">
        <f t="shared" si="394"/>
        <v>0.1598</v>
      </c>
      <c r="AJ652" s="203">
        <v>0.5</v>
      </c>
      <c r="AK652" s="203">
        <f t="shared" si="410"/>
        <v>0.5</v>
      </c>
      <c r="AL652" s="376">
        <f t="shared" si="395"/>
        <v>168040000</v>
      </c>
      <c r="AM652" s="376">
        <f t="shared" si="396"/>
        <v>15980000</v>
      </c>
      <c r="AN652" s="376">
        <f t="shared" si="397"/>
        <v>15980000</v>
      </c>
      <c r="AO652" s="378" t="s">
        <v>3608</v>
      </c>
      <c r="AP652" s="379" t="s">
        <v>2779</v>
      </c>
      <c r="AQ652" s="279"/>
      <c r="AR652" s="287">
        <f t="shared" si="364"/>
        <v>159800</v>
      </c>
      <c r="AS652" s="287">
        <f t="shared" si="365"/>
        <v>359550</v>
      </c>
      <c r="AT652" s="287">
        <f t="shared" si="366"/>
        <v>599250</v>
      </c>
      <c r="AU652" s="287">
        <f t="shared" si="367"/>
        <v>0</v>
      </c>
      <c r="AV652" s="287">
        <f t="shared" si="368"/>
        <v>0</v>
      </c>
      <c r="AW652" s="287">
        <f t="shared" si="369"/>
        <v>0</v>
      </c>
      <c r="AX652" s="287">
        <f t="shared" si="370"/>
        <v>0</v>
      </c>
      <c r="AY652" s="287">
        <f t="shared" si="371"/>
        <v>1598000</v>
      </c>
      <c r="AZ652" s="287">
        <f t="shared" si="372"/>
        <v>6392000</v>
      </c>
      <c r="BA652" s="287">
        <f t="shared" si="373"/>
        <v>6871400</v>
      </c>
      <c r="BB652" s="16"/>
      <c r="BC652" s="287">
        <f t="shared" si="374"/>
        <v>159800</v>
      </c>
      <c r="BD652" s="287">
        <f t="shared" si="375"/>
        <v>359550</v>
      </c>
      <c r="BE652" s="287">
        <f t="shared" si="376"/>
        <v>599250</v>
      </c>
      <c r="BF652" s="287">
        <f t="shared" si="377"/>
        <v>0</v>
      </c>
      <c r="BG652" s="287">
        <f t="shared" si="378"/>
        <v>0</v>
      </c>
      <c r="BH652" s="287">
        <f t="shared" si="379"/>
        <v>0</v>
      </c>
      <c r="BI652" s="287">
        <f t="shared" si="380"/>
        <v>0</v>
      </c>
      <c r="BJ652" s="287">
        <f t="shared" si="381"/>
        <v>1598000</v>
      </c>
      <c r="BK652" s="287">
        <f t="shared" si="382"/>
        <v>6392000</v>
      </c>
      <c r="BL652" s="287">
        <f t="shared" si="383"/>
        <v>6871400</v>
      </c>
      <c r="BM652" s="16"/>
      <c r="BN652" s="287">
        <f t="shared" si="384"/>
        <v>15980000</v>
      </c>
      <c r="BO652" s="287">
        <f t="shared" si="385"/>
        <v>15980000</v>
      </c>
      <c r="BP652" s="432"/>
      <c r="BQ652" s="21"/>
      <c r="BR652" s="21"/>
      <c r="BS652" s="6"/>
      <c r="BT652" s="194">
        <f t="shared" si="404"/>
        <v>31960000</v>
      </c>
      <c r="BU652" s="194">
        <f t="shared" si="405"/>
        <v>15980000</v>
      </c>
      <c r="BV652" s="194">
        <f t="shared" si="406"/>
        <v>15980000</v>
      </c>
      <c r="BW652" s="194">
        <f t="shared" si="407"/>
        <v>0</v>
      </c>
      <c r="BX652" s="6"/>
      <c r="BY652" s="6"/>
      <c r="BZ652" s="39">
        <v>639</v>
      </c>
      <c r="CA652" s="39">
        <f t="shared" si="386"/>
        <v>2041</v>
      </c>
      <c r="CB652" s="6"/>
      <c r="CC652" s="39"/>
      <c r="CD652" s="39"/>
      <c r="CE652" s="39"/>
      <c r="CF652" s="39"/>
      <c r="CG652" s="39"/>
      <c r="CH652" s="39"/>
      <c r="CI652" s="39"/>
      <c r="CJ652" s="39"/>
      <c r="CK652" s="39"/>
    </row>
    <row r="653" spans="1:89" s="193" customFormat="1">
      <c r="A653" s="357"/>
      <c r="B653" s="21" t="str">
        <f t="shared" si="363"/>
        <v>TRA</v>
      </c>
      <c r="C653" s="21"/>
      <c r="D653" s="432"/>
      <c r="E653" s="439" t="s">
        <v>3626</v>
      </c>
      <c r="F653" s="439"/>
      <c r="G653" s="273" t="s">
        <v>5279</v>
      </c>
      <c r="H653" s="358" t="s">
        <v>4449</v>
      </c>
      <c r="I653" s="262" t="s">
        <v>3161</v>
      </c>
      <c r="J653" s="262"/>
      <c r="K653" s="263">
        <v>18475073.390000001</v>
      </c>
      <c r="L653" s="263">
        <v>11578378</v>
      </c>
      <c r="M653" s="263">
        <v>16478630</v>
      </c>
      <c r="N653" s="263">
        <v>16176328</v>
      </c>
      <c r="O653" s="263">
        <v>0</v>
      </c>
      <c r="P653" s="263">
        <v>0</v>
      </c>
      <c r="Q653" s="263">
        <v>0</v>
      </c>
      <c r="R653" s="263">
        <v>0</v>
      </c>
      <c r="S653" s="263">
        <v>0</v>
      </c>
      <c r="T653" s="263">
        <v>5.68277918208E-2</v>
      </c>
      <c r="U653" s="263">
        <f t="shared" si="392"/>
        <v>62708409.446827792</v>
      </c>
      <c r="V653" s="196" t="str">
        <f t="shared" si="411"/>
        <v>G/LOS</v>
      </c>
      <c r="W653" s="196" t="s">
        <v>1168</v>
      </c>
      <c r="X653" s="196" t="str">
        <f t="shared" si="408"/>
        <v>Y</v>
      </c>
      <c r="Y653" s="376">
        <f t="shared" si="409"/>
        <v>62708409.446827792</v>
      </c>
      <c r="Z653" s="198"/>
      <c r="AA653" s="376">
        <f t="shared" si="412"/>
        <v>62708409.446827792</v>
      </c>
      <c r="AB653" s="196" t="s">
        <v>1166</v>
      </c>
      <c r="AC653" s="196" t="s">
        <v>1168</v>
      </c>
      <c r="AD653" s="275">
        <v>0.215</v>
      </c>
      <c r="AE653" s="275">
        <f>1-AD653</f>
        <v>0.78500000000000003</v>
      </c>
      <c r="AF653" s="275">
        <v>0</v>
      </c>
      <c r="AG653" s="199">
        <v>0.1598</v>
      </c>
      <c r="AH653" s="199">
        <v>0.1598</v>
      </c>
      <c r="AI653" s="377">
        <f t="shared" si="394"/>
        <v>0.1598</v>
      </c>
      <c r="AJ653" s="203">
        <v>0.5</v>
      </c>
      <c r="AK653" s="203">
        <f t="shared" si="410"/>
        <v>0.5</v>
      </c>
      <c r="AL653" s="376">
        <f t="shared" si="395"/>
        <v>52687605.617224716</v>
      </c>
      <c r="AM653" s="376">
        <f t="shared" si="396"/>
        <v>5010401.9148015408</v>
      </c>
      <c r="AN653" s="376">
        <f t="shared" si="397"/>
        <v>5010401.9148015408</v>
      </c>
      <c r="AO653" s="378" t="s">
        <v>3607</v>
      </c>
      <c r="AP653" s="379" t="s">
        <v>2779</v>
      </c>
      <c r="AQ653" s="279"/>
      <c r="AR653" s="287">
        <f t="shared" si="364"/>
        <v>1476158.3638609999</v>
      </c>
      <c r="AS653" s="287">
        <f t="shared" si="365"/>
        <v>925112.40220000001</v>
      </c>
      <c r="AT653" s="287">
        <f t="shared" si="366"/>
        <v>1316642.537</v>
      </c>
      <c r="AU653" s="287">
        <f t="shared" si="367"/>
        <v>1292488.6072</v>
      </c>
      <c r="AV653" s="287">
        <f t="shared" si="368"/>
        <v>0</v>
      </c>
      <c r="AW653" s="287">
        <f t="shared" si="369"/>
        <v>0</v>
      </c>
      <c r="AX653" s="287">
        <f t="shared" si="370"/>
        <v>0</v>
      </c>
      <c r="AY653" s="287">
        <f t="shared" si="371"/>
        <v>0</v>
      </c>
      <c r="AZ653" s="287">
        <f t="shared" si="372"/>
        <v>0</v>
      </c>
      <c r="BA653" s="287">
        <f t="shared" si="373"/>
        <v>4.5405405664819196E-3</v>
      </c>
      <c r="BB653" s="16"/>
      <c r="BC653" s="287">
        <f t="shared" si="374"/>
        <v>1476158.3638609999</v>
      </c>
      <c r="BD653" s="287">
        <f t="shared" si="375"/>
        <v>925112.40220000001</v>
      </c>
      <c r="BE653" s="287">
        <f t="shared" si="376"/>
        <v>1316642.537</v>
      </c>
      <c r="BF653" s="287">
        <f t="shared" si="377"/>
        <v>1292488.6072</v>
      </c>
      <c r="BG653" s="287">
        <f t="shared" si="378"/>
        <v>0</v>
      </c>
      <c r="BH653" s="287">
        <f t="shared" si="379"/>
        <v>0</v>
      </c>
      <c r="BI653" s="287">
        <f t="shared" si="380"/>
        <v>0</v>
      </c>
      <c r="BJ653" s="287">
        <f t="shared" si="381"/>
        <v>0</v>
      </c>
      <c r="BK653" s="287">
        <f t="shared" si="382"/>
        <v>0</v>
      </c>
      <c r="BL653" s="287">
        <f t="shared" si="383"/>
        <v>4.5405405664819196E-3</v>
      </c>
      <c r="BM653" s="16"/>
      <c r="BN653" s="287">
        <f t="shared" si="384"/>
        <v>5010401.9148015399</v>
      </c>
      <c r="BO653" s="287">
        <f t="shared" si="385"/>
        <v>5010401.9148015399</v>
      </c>
      <c r="BP653" s="432"/>
      <c r="BQ653" s="21"/>
      <c r="BR653" s="21"/>
      <c r="BS653" s="145"/>
      <c r="BT653" s="428">
        <f t="shared" si="404"/>
        <v>10020803.82960308</v>
      </c>
      <c r="BU653" s="428">
        <f t="shared" si="405"/>
        <v>5010401.9148015408</v>
      </c>
      <c r="BV653" s="428">
        <f t="shared" si="406"/>
        <v>5010401.9148015408</v>
      </c>
      <c r="BW653" s="428">
        <f t="shared" si="407"/>
        <v>0</v>
      </c>
      <c r="BX653" s="145"/>
      <c r="BY653" s="145" t="s">
        <v>4719</v>
      </c>
      <c r="BZ653" s="39">
        <v>640</v>
      </c>
      <c r="CA653" s="39">
        <f t="shared" si="386"/>
        <v>2041</v>
      </c>
      <c r="CB653" s="6"/>
      <c r="CC653" s="39"/>
      <c r="CD653" s="39"/>
      <c r="CE653" s="39"/>
      <c r="CF653" s="39"/>
      <c r="CG653" s="39"/>
      <c r="CH653" s="39"/>
      <c r="CI653" s="39"/>
      <c r="CJ653" s="39"/>
      <c r="CK653" s="39"/>
    </row>
    <row r="654" spans="1:89" s="193" customFormat="1" ht="24">
      <c r="A654" s="357"/>
      <c r="B654" s="21" t="str">
        <f t="shared" ref="B654:B717" si="413">LEFT(AP654,3)</f>
        <v>TRA</v>
      </c>
      <c r="C654" s="21"/>
      <c r="D654" s="432"/>
      <c r="E654" s="439" t="s">
        <v>3626</v>
      </c>
      <c r="F654" s="439"/>
      <c r="G654" s="273" t="s">
        <v>5280</v>
      </c>
      <c r="H654" s="358" t="s">
        <v>4455</v>
      </c>
      <c r="I654" s="262" t="s">
        <v>3161</v>
      </c>
      <c r="J654" s="262"/>
      <c r="K654" s="263">
        <v>3120000</v>
      </c>
      <c r="L654" s="263">
        <v>0</v>
      </c>
      <c r="M654" s="263">
        <v>0</v>
      </c>
      <c r="N654" s="263">
        <v>0</v>
      </c>
      <c r="O654" s="263">
        <v>0</v>
      </c>
      <c r="P654" s="263">
        <v>0</v>
      </c>
      <c r="Q654" s="263">
        <v>0</v>
      </c>
      <c r="R654" s="263">
        <v>0</v>
      </c>
      <c r="S654" s="263">
        <v>0</v>
      </c>
      <c r="T654" s="263">
        <v>0</v>
      </c>
      <c r="U654" s="263">
        <f t="shared" si="392"/>
        <v>3120000</v>
      </c>
      <c r="V654" s="196" t="str">
        <f t="shared" si="411"/>
        <v>G/LOS</v>
      </c>
      <c r="W654" s="196" t="s">
        <v>1168</v>
      </c>
      <c r="X654" s="196" t="str">
        <f t="shared" si="408"/>
        <v>Y</v>
      </c>
      <c r="Y654" s="376">
        <f t="shared" si="409"/>
        <v>3120000</v>
      </c>
      <c r="Z654" s="198"/>
      <c r="AA654" s="376">
        <f t="shared" si="412"/>
        <v>3120000</v>
      </c>
      <c r="AB654" s="196" t="s">
        <v>1166</v>
      </c>
      <c r="AC654" s="196" t="s">
        <v>1168</v>
      </c>
      <c r="AD654" s="275">
        <v>0.215</v>
      </c>
      <c r="AE654" s="275">
        <f>1-AD654</f>
        <v>0.78500000000000003</v>
      </c>
      <c r="AF654" s="275">
        <v>0</v>
      </c>
      <c r="AG654" s="199">
        <v>0.1598</v>
      </c>
      <c r="AH654" s="199">
        <v>0.1598</v>
      </c>
      <c r="AI654" s="377">
        <f t="shared" si="394"/>
        <v>0.1598</v>
      </c>
      <c r="AJ654" s="203">
        <v>0.5</v>
      </c>
      <c r="AK654" s="203">
        <f t="shared" si="410"/>
        <v>0.5</v>
      </c>
      <c r="AL654" s="376">
        <f t="shared" si="395"/>
        <v>2621424</v>
      </c>
      <c r="AM654" s="376">
        <f t="shared" si="396"/>
        <v>249288</v>
      </c>
      <c r="AN654" s="376">
        <f t="shared" si="397"/>
        <v>249288</v>
      </c>
      <c r="AO654" s="378" t="s">
        <v>3608</v>
      </c>
      <c r="AP654" s="379" t="s">
        <v>2780</v>
      </c>
      <c r="AQ654" s="279"/>
      <c r="AR654" s="287">
        <f t="shared" si="364"/>
        <v>249288</v>
      </c>
      <c r="AS654" s="287">
        <f t="shared" si="365"/>
        <v>0</v>
      </c>
      <c r="AT654" s="287">
        <f t="shared" si="366"/>
        <v>0</v>
      </c>
      <c r="AU654" s="287">
        <f t="shared" si="367"/>
        <v>0</v>
      </c>
      <c r="AV654" s="287">
        <f t="shared" si="368"/>
        <v>0</v>
      </c>
      <c r="AW654" s="287">
        <f t="shared" si="369"/>
        <v>0</v>
      </c>
      <c r="AX654" s="287">
        <f t="shared" si="370"/>
        <v>0</v>
      </c>
      <c r="AY654" s="287">
        <f t="shared" si="371"/>
        <v>0</v>
      </c>
      <c r="AZ654" s="287">
        <f t="shared" si="372"/>
        <v>0</v>
      </c>
      <c r="BA654" s="287">
        <f t="shared" si="373"/>
        <v>0</v>
      </c>
      <c r="BB654" s="16"/>
      <c r="BC654" s="287">
        <f t="shared" si="374"/>
        <v>249288</v>
      </c>
      <c r="BD654" s="287">
        <f t="shared" si="375"/>
        <v>0</v>
      </c>
      <c r="BE654" s="287">
        <f t="shared" si="376"/>
        <v>0</v>
      </c>
      <c r="BF654" s="287">
        <f t="shared" si="377"/>
        <v>0</v>
      </c>
      <c r="BG654" s="287">
        <f t="shared" si="378"/>
        <v>0</v>
      </c>
      <c r="BH654" s="287">
        <f t="shared" si="379"/>
        <v>0</v>
      </c>
      <c r="BI654" s="287">
        <f t="shared" si="380"/>
        <v>0</v>
      </c>
      <c r="BJ654" s="287">
        <f t="shared" si="381"/>
        <v>0</v>
      </c>
      <c r="BK654" s="287">
        <f t="shared" si="382"/>
        <v>0</v>
      </c>
      <c r="BL654" s="287">
        <f t="shared" si="383"/>
        <v>0</v>
      </c>
      <c r="BM654" s="16"/>
      <c r="BN654" s="287">
        <f t="shared" si="384"/>
        <v>249288</v>
      </c>
      <c r="BO654" s="287">
        <f t="shared" si="385"/>
        <v>249288</v>
      </c>
      <c r="BP654" s="432"/>
      <c r="BQ654" s="21"/>
      <c r="BR654" s="21"/>
      <c r="BS654" s="6"/>
      <c r="BT654" s="194">
        <f t="shared" si="404"/>
        <v>498576</v>
      </c>
      <c r="BU654" s="194">
        <f t="shared" si="405"/>
        <v>249288</v>
      </c>
      <c r="BV654" s="194">
        <f t="shared" si="406"/>
        <v>249288</v>
      </c>
      <c r="BW654" s="194">
        <f t="shared" si="407"/>
        <v>0</v>
      </c>
      <c r="BX654" s="6"/>
      <c r="BY654" s="6"/>
      <c r="BZ654" s="39">
        <v>641</v>
      </c>
      <c r="CA654" s="39">
        <f t="shared" si="386"/>
        <v>2041</v>
      </c>
      <c r="CB654" s="6"/>
      <c r="CC654" s="39"/>
      <c r="CD654" s="39"/>
      <c r="CE654" s="39"/>
      <c r="CF654" s="39"/>
      <c r="CG654" s="39"/>
      <c r="CH654" s="39"/>
      <c r="CI654" s="39"/>
      <c r="CJ654" s="39"/>
      <c r="CK654" s="39"/>
    </row>
    <row r="655" spans="1:89" s="193" customFormat="1" ht="24">
      <c r="A655" s="357"/>
      <c r="B655" s="21" t="str">
        <f t="shared" si="413"/>
        <v>TRA</v>
      </c>
      <c r="C655" s="21"/>
      <c r="D655" s="432"/>
      <c r="E655" s="439" t="s">
        <v>3626</v>
      </c>
      <c r="F655" s="439"/>
      <c r="G655" s="273" t="s">
        <v>3629</v>
      </c>
      <c r="H655" s="358" t="s">
        <v>4456</v>
      </c>
      <c r="I655" s="262" t="s">
        <v>3161</v>
      </c>
      <c r="J655" s="262"/>
      <c r="K655" s="263">
        <v>15860000</v>
      </c>
      <c r="L655" s="263">
        <v>13041392</v>
      </c>
      <c r="M655" s="263">
        <v>1153283.04</v>
      </c>
      <c r="N655" s="263">
        <v>18262608.532200001</v>
      </c>
      <c r="O655" s="263">
        <v>15708766.431791998</v>
      </c>
      <c r="P655" s="263">
        <v>10575167.867432799</v>
      </c>
      <c r="Q655" s="263">
        <v>2808550</v>
      </c>
      <c r="R655" s="263">
        <v>0</v>
      </c>
      <c r="S655" s="263">
        <v>0</v>
      </c>
      <c r="T655" s="263">
        <v>5.68277918208E-2</v>
      </c>
      <c r="U655" s="263">
        <f t="shared" si="392"/>
        <v>77409767.928252593</v>
      </c>
      <c r="V655" s="196" t="str">
        <f t="shared" si="411"/>
        <v>G/LOS</v>
      </c>
      <c r="W655" s="196" t="s">
        <v>1168</v>
      </c>
      <c r="X655" s="196" t="str">
        <f t="shared" si="408"/>
        <v>Y</v>
      </c>
      <c r="Y655" s="376">
        <f t="shared" si="409"/>
        <v>77409767.928252593</v>
      </c>
      <c r="Z655" s="198"/>
      <c r="AA655" s="376">
        <f t="shared" si="412"/>
        <v>77409767.928252593</v>
      </c>
      <c r="AB655" s="196" t="s">
        <v>1166</v>
      </c>
      <c r="AC655" s="196" t="s">
        <v>1168</v>
      </c>
      <c r="AD655" s="275">
        <v>0.215</v>
      </c>
      <c r="AE655" s="275">
        <f>1-AD655</f>
        <v>0.78500000000000003</v>
      </c>
      <c r="AF655" s="275">
        <v>0</v>
      </c>
      <c r="AG655" s="199">
        <v>0.1598</v>
      </c>
      <c r="AH655" s="199">
        <v>0.1598</v>
      </c>
      <c r="AI655" s="377">
        <f t="shared" si="394"/>
        <v>0.1598</v>
      </c>
      <c r="AJ655" s="203">
        <v>0.67</v>
      </c>
      <c r="AK655" s="203">
        <f t="shared" si="410"/>
        <v>0.32999999999999996</v>
      </c>
      <c r="AL655" s="376">
        <f t="shared" si="395"/>
        <v>65039687.013317831</v>
      </c>
      <c r="AM655" s="376">
        <f t="shared" si="396"/>
        <v>8287954.2130062925</v>
      </c>
      <c r="AN655" s="376">
        <f t="shared" si="397"/>
        <v>4082126.7019284717</v>
      </c>
      <c r="AO655" s="378" t="s">
        <v>3608</v>
      </c>
      <c r="AP655" s="379" t="s">
        <v>2780</v>
      </c>
      <c r="AQ655" s="279"/>
      <c r="AR655" s="287">
        <f t="shared" ref="AR655:AR718" si="414">K655*$AI655*$AJ655</f>
        <v>1698066.76</v>
      </c>
      <c r="AS655" s="287">
        <f t="shared" ref="AS655:AS718" si="415">L655*$AI655*$AJ655</f>
        <v>1396289.6758720002</v>
      </c>
      <c r="AT655" s="287">
        <f t="shared" ref="AT655:AT718" si="416">M655*$AI655*$AJ655</f>
        <v>123477.40196064</v>
      </c>
      <c r="AU655" s="287">
        <f t="shared" ref="AU655:AU718" si="417">N655*$AI655*$AJ655</f>
        <v>1955304.4451085252</v>
      </c>
      <c r="AV655" s="287">
        <f t="shared" ref="AV655:AV718" si="418">O655*$AI655*$AJ655</f>
        <v>1681874.7867862422</v>
      </c>
      <c r="AW655" s="287">
        <f t="shared" ref="AW655:AW718" si="419">P655*$AI655*$AJ655</f>
        <v>1132240.9228945603</v>
      </c>
      <c r="AX655" s="287">
        <f t="shared" ref="AX655:AX718" si="420">Q655*$AI655*$AJ655</f>
        <v>300700.21429999999</v>
      </c>
      <c r="AY655" s="287">
        <f t="shared" ref="AY655:AY718" si="421">R655*$AI655*$AJ655</f>
        <v>0</v>
      </c>
      <c r="AZ655" s="287">
        <f t="shared" ref="AZ655:AZ718" si="422">S655*$AI655*$AJ655</f>
        <v>0</v>
      </c>
      <c r="BA655" s="287">
        <f t="shared" ref="BA655:BA718" si="423">T655*$AI655*$AJ655</f>
        <v>6.0843243590857727E-3</v>
      </c>
      <c r="BB655" s="16"/>
      <c r="BC655" s="287">
        <f t="shared" ref="BC655:BC718" si="424">K655*$AI655*$AK655</f>
        <v>836361.23999999987</v>
      </c>
      <c r="BD655" s="287">
        <f t="shared" ref="BD655:BD718" si="425">L655*$AI655*$AK655</f>
        <v>687724.76572799997</v>
      </c>
      <c r="BE655" s="287">
        <f t="shared" ref="BE655:BE718" si="426">M655*$AI655*$AK655</f>
        <v>60817.227831359989</v>
      </c>
      <c r="BF655" s="287">
        <f t="shared" ref="BF655:BF718" si="427">N655*$AI655*$AK655</f>
        <v>963060.39833703463</v>
      </c>
      <c r="BG655" s="287">
        <f t="shared" ref="BG655:BG718" si="428">O655*$AI655*$AK655</f>
        <v>828386.08901411912</v>
      </c>
      <c r="BH655" s="287">
        <f t="shared" ref="BH655:BH718" si="429">P655*$AI655*$AK655</f>
        <v>557670.90232120117</v>
      </c>
      <c r="BI655" s="287">
        <f t="shared" ref="BI655:BI718" si="430">Q655*$AI655*$AK655</f>
        <v>148106.07569999999</v>
      </c>
      <c r="BJ655" s="287">
        <f t="shared" ref="BJ655:BJ718" si="431">R655*$AI655*$AK655</f>
        <v>0</v>
      </c>
      <c r="BK655" s="287">
        <f t="shared" ref="BK655:BK718" si="432">S655*$AI655*$AK655</f>
        <v>0</v>
      </c>
      <c r="BL655" s="287">
        <f t="shared" ref="BL655:BL718" si="433">T655*$AI655*$AK655</f>
        <v>2.9967567738780664E-3</v>
      </c>
      <c r="BM655" s="16"/>
      <c r="BN655" s="287">
        <f t="shared" ref="BN655:BN718" si="434">SUM(AR655:BA655)</f>
        <v>8287954.2130062925</v>
      </c>
      <c r="BO655" s="287">
        <f t="shared" ref="BO655:BO718" si="435">SUM(BC655:BL655)</f>
        <v>4082126.7019284712</v>
      </c>
      <c r="BP655" s="432"/>
      <c r="BQ655" s="21"/>
      <c r="BR655" s="21"/>
      <c r="BS655" s="6" t="e">
        <v>#VALUE!</v>
      </c>
      <c r="BT655" s="194">
        <f t="shared" si="404"/>
        <v>12370080.914934764</v>
      </c>
      <c r="BU655" s="194">
        <f t="shared" si="405"/>
        <v>8287954.2130062925</v>
      </c>
      <c r="BV655" s="194">
        <f t="shared" si="406"/>
        <v>4082126.7019284717</v>
      </c>
      <c r="BW655" s="194">
        <f t="shared" si="407"/>
        <v>0</v>
      </c>
      <c r="BX655" s="6"/>
      <c r="BY655" s="6"/>
      <c r="BZ655" s="39">
        <v>642</v>
      </c>
      <c r="CA655" s="39">
        <f t="shared" ref="CA655:CA718" si="436">IFERROR(ROUND(IF(AJ655=100%,2031,1/AJ655*10+2021),0),"")</f>
        <v>2036</v>
      </c>
      <c r="CB655" s="6"/>
      <c r="CC655" s="39"/>
      <c r="CD655" s="39"/>
      <c r="CE655" s="39"/>
      <c r="CF655" s="39"/>
      <c r="CG655" s="39"/>
      <c r="CH655" s="39"/>
      <c r="CI655" s="39"/>
      <c r="CJ655" s="39"/>
      <c r="CK655" s="39"/>
    </row>
    <row r="656" spans="1:89" s="193" customFormat="1">
      <c r="A656" s="357"/>
      <c r="B656" s="21" t="str">
        <f t="shared" si="413"/>
        <v>TRA</v>
      </c>
      <c r="C656" s="21"/>
      <c r="D656" s="432"/>
      <c r="E656" s="439" t="s">
        <v>3626</v>
      </c>
      <c r="F656" s="439"/>
      <c r="G656" s="273" t="s">
        <v>3611</v>
      </c>
      <c r="H656" s="358" t="s">
        <v>4469</v>
      </c>
      <c r="I656" s="262" t="s">
        <v>3161</v>
      </c>
      <c r="J656" s="262"/>
      <c r="K656" s="263">
        <v>7300000</v>
      </c>
      <c r="L656" s="263">
        <v>14560000</v>
      </c>
      <c r="M656" s="263">
        <v>15539999.68</v>
      </c>
      <c r="N656" s="263">
        <v>0</v>
      </c>
      <c r="O656" s="263">
        <v>0</v>
      </c>
      <c r="P656" s="263">
        <v>0</v>
      </c>
      <c r="Q656" s="263">
        <v>0</v>
      </c>
      <c r="R656" s="263">
        <v>0</v>
      </c>
      <c r="S656" s="263">
        <v>0</v>
      </c>
      <c r="T656" s="263">
        <v>0</v>
      </c>
      <c r="U656" s="263">
        <f t="shared" si="392"/>
        <v>37399999.68</v>
      </c>
      <c r="V656" s="196" t="str">
        <f t="shared" si="411"/>
        <v>G/LOS</v>
      </c>
      <c r="W656" s="196" t="s">
        <v>1168</v>
      </c>
      <c r="X656" s="196" t="str">
        <f t="shared" si="408"/>
        <v>Y</v>
      </c>
      <c r="Y656" s="376">
        <f t="shared" si="409"/>
        <v>37399999.68</v>
      </c>
      <c r="Z656" s="198"/>
      <c r="AA656" s="376">
        <f t="shared" si="412"/>
        <v>37399999.68</v>
      </c>
      <c r="AB656" s="196" t="s">
        <v>1166</v>
      </c>
      <c r="AC656" s="196" t="s">
        <v>1168</v>
      </c>
      <c r="AD656" s="275">
        <v>0.95</v>
      </c>
      <c r="AE656" s="275">
        <v>0.05</v>
      </c>
      <c r="AF656" s="275">
        <v>0</v>
      </c>
      <c r="AG656" s="199">
        <v>0.82669999999999999</v>
      </c>
      <c r="AH656" s="199">
        <v>1</v>
      </c>
      <c r="AI656" s="377">
        <f t="shared" si="394"/>
        <v>0.91335</v>
      </c>
      <c r="AJ656" s="203">
        <v>0.5</v>
      </c>
      <c r="AK656" s="203">
        <f t="shared" si="410"/>
        <v>0.5</v>
      </c>
      <c r="AL656" s="376">
        <f t="shared" si="395"/>
        <v>3240709.9722720003</v>
      </c>
      <c r="AM656" s="376">
        <f t="shared" si="396"/>
        <v>17079644.853863999</v>
      </c>
      <c r="AN656" s="376">
        <f t="shared" si="397"/>
        <v>17079644.853863999</v>
      </c>
      <c r="AO656" s="378" t="s">
        <v>3607</v>
      </c>
      <c r="AP656" s="379" t="s">
        <v>2781</v>
      </c>
      <c r="AQ656" s="279"/>
      <c r="AR656" s="287">
        <f t="shared" si="414"/>
        <v>3333727.5</v>
      </c>
      <c r="AS656" s="287">
        <f t="shared" si="415"/>
        <v>6649188</v>
      </c>
      <c r="AT656" s="287">
        <f t="shared" si="416"/>
        <v>7096729.3538640002</v>
      </c>
      <c r="AU656" s="287">
        <f t="shared" si="417"/>
        <v>0</v>
      </c>
      <c r="AV656" s="287">
        <f t="shared" si="418"/>
        <v>0</v>
      </c>
      <c r="AW656" s="287">
        <f t="shared" si="419"/>
        <v>0</v>
      </c>
      <c r="AX656" s="287">
        <f t="shared" si="420"/>
        <v>0</v>
      </c>
      <c r="AY656" s="287">
        <f t="shared" si="421"/>
        <v>0</v>
      </c>
      <c r="AZ656" s="287">
        <f t="shared" si="422"/>
        <v>0</v>
      </c>
      <c r="BA656" s="287">
        <f t="shared" si="423"/>
        <v>0</v>
      </c>
      <c r="BB656" s="16"/>
      <c r="BC656" s="287">
        <f t="shared" si="424"/>
        <v>3333727.5</v>
      </c>
      <c r="BD656" s="287">
        <f t="shared" si="425"/>
        <v>6649188</v>
      </c>
      <c r="BE656" s="287">
        <f t="shared" si="426"/>
        <v>7096729.3538640002</v>
      </c>
      <c r="BF656" s="287">
        <f t="shared" si="427"/>
        <v>0</v>
      </c>
      <c r="BG656" s="287">
        <f t="shared" si="428"/>
        <v>0</v>
      </c>
      <c r="BH656" s="287">
        <f t="shared" si="429"/>
        <v>0</v>
      </c>
      <c r="BI656" s="287">
        <f t="shared" si="430"/>
        <v>0</v>
      </c>
      <c r="BJ656" s="287">
        <f t="shared" si="431"/>
        <v>0</v>
      </c>
      <c r="BK656" s="287">
        <f t="shared" si="432"/>
        <v>0</v>
      </c>
      <c r="BL656" s="287">
        <f t="shared" si="433"/>
        <v>0</v>
      </c>
      <c r="BM656" s="16"/>
      <c r="BN656" s="287">
        <f t="shared" si="434"/>
        <v>17079644.853863999</v>
      </c>
      <c r="BO656" s="287">
        <f t="shared" si="435"/>
        <v>17079644.853863999</v>
      </c>
      <c r="BP656" s="432"/>
      <c r="BQ656" s="21"/>
      <c r="BR656" s="21"/>
      <c r="BS656" s="6" t="e">
        <v>#VALUE!</v>
      </c>
      <c r="BT656" s="194">
        <f t="shared" si="404"/>
        <v>34159289.707727998</v>
      </c>
      <c r="BU656" s="194">
        <f t="shared" si="405"/>
        <v>17079644.853863999</v>
      </c>
      <c r="BV656" s="194">
        <f t="shared" si="406"/>
        <v>17079644.853863999</v>
      </c>
      <c r="BW656" s="194">
        <f t="shared" si="407"/>
        <v>0</v>
      </c>
      <c r="BX656" s="6"/>
      <c r="BY656" s="6"/>
      <c r="BZ656" s="39">
        <v>643</v>
      </c>
      <c r="CA656" s="39">
        <f t="shared" si="436"/>
        <v>2041</v>
      </c>
      <c r="CB656" s="6"/>
      <c r="CC656" s="39"/>
      <c r="CD656" s="39"/>
      <c r="CE656" s="39"/>
      <c r="CF656" s="39"/>
      <c r="CG656" s="39"/>
      <c r="CH656" s="39"/>
      <c r="CI656" s="39"/>
      <c r="CJ656" s="39"/>
      <c r="CK656" s="39"/>
    </row>
    <row r="657" spans="1:89" s="193" customFormat="1" ht="48">
      <c r="A657" s="357"/>
      <c r="B657" s="21" t="str">
        <f t="shared" si="413"/>
        <v>TRA</v>
      </c>
      <c r="C657" s="21"/>
      <c r="D657" s="432"/>
      <c r="E657" s="439" t="s">
        <v>3626</v>
      </c>
      <c r="F657" s="439"/>
      <c r="G657" s="273" t="s">
        <v>3099</v>
      </c>
      <c r="H657" s="358" t="s">
        <v>4457</v>
      </c>
      <c r="I657" s="262" t="s">
        <v>3161</v>
      </c>
      <c r="J657" s="262"/>
      <c r="K657" s="263">
        <v>24155020</v>
      </c>
      <c r="L657" s="263">
        <v>6871456</v>
      </c>
      <c r="M657" s="263">
        <v>27127825.920000002</v>
      </c>
      <c r="N657" s="263">
        <v>26513044</v>
      </c>
      <c r="O657" s="263">
        <v>0</v>
      </c>
      <c r="P657" s="263">
        <v>0</v>
      </c>
      <c r="Q657" s="263">
        <v>0</v>
      </c>
      <c r="R657" s="263">
        <v>0</v>
      </c>
      <c r="S657" s="263">
        <v>0</v>
      </c>
      <c r="T657" s="263">
        <v>0</v>
      </c>
      <c r="U657" s="263">
        <f t="shared" si="392"/>
        <v>84667345.920000002</v>
      </c>
      <c r="V657" s="196" t="str">
        <f t="shared" si="411"/>
        <v>G/LOS</v>
      </c>
      <c r="W657" s="196" t="s">
        <v>1168</v>
      </c>
      <c r="X657" s="196" t="str">
        <f t="shared" si="408"/>
        <v>Y</v>
      </c>
      <c r="Y657" s="376">
        <f t="shared" si="409"/>
        <v>84667345.920000002</v>
      </c>
      <c r="Z657" s="198"/>
      <c r="AA657" s="376">
        <f t="shared" si="412"/>
        <v>84667345.920000002</v>
      </c>
      <c r="AB657" s="196" t="s">
        <v>1166</v>
      </c>
      <c r="AC657" s="196" t="s">
        <v>3624</v>
      </c>
      <c r="AD657" s="275">
        <v>0.45000000000000007</v>
      </c>
      <c r="AE657" s="275">
        <v>0.54999999999999993</v>
      </c>
      <c r="AF657" s="275">
        <v>0</v>
      </c>
      <c r="AG657" s="199">
        <v>0.18</v>
      </c>
      <c r="AH657" s="199">
        <v>0.18</v>
      </c>
      <c r="AI657" s="377">
        <f t="shared" si="394"/>
        <v>0.18</v>
      </c>
      <c r="AJ657" s="548">
        <v>0.5</v>
      </c>
      <c r="AK657" s="203">
        <f t="shared" si="410"/>
        <v>0.5</v>
      </c>
      <c r="AL657" s="376">
        <f t="shared" si="395"/>
        <v>69427223.654400006</v>
      </c>
      <c r="AM657" s="376">
        <f t="shared" si="396"/>
        <v>7620061.1327999998</v>
      </c>
      <c r="AN657" s="376">
        <f t="shared" si="397"/>
        <v>7620061.1327999998</v>
      </c>
      <c r="AO657" s="378" t="s">
        <v>3608</v>
      </c>
      <c r="AP657" s="379" t="s">
        <v>2781</v>
      </c>
      <c r="AQ657" s="279"/>
      <c r="AR657" s="287">
        <f t="shared" si="414"/>
        <v>2173951.7999999998</v>
      </c>
      <c r="AS657" s="287">
        <f t="shared" si="415"/>
        <v>618431.03999999992</v>
      </c>
      <c r="AT657" s="287">
        <f t="shared" si="416"/>
        <v>2441504.3328</v>
      </c>
      <c r="AU657" s="287">
        <f t="shared" si="417"/>
        <v>2386173.96</v>
      </c>
      <c r="AV657" s="287">
        <f t="shared" si="418"/>
        <v>0</v>
      </c>
      <c r="AW657" s="287">
        <f t="shared" si="419"/>
        <v>0</v>
      </c>
      <c r="AX657" s="287">
        <f t="shared" si="420"/>
        <v>0</v>
      </c>
      <c r="AY657" s="287">
        <f t="shared" si="421"/>
        <v>0</v>
      </c>
      <c r="AZ657" s="287">
        <f t="shared" si="422"/>
        <v>0</v>
      </c>
      <c r="BA657" s="287">
        <f t="shared" si="423"/>
        <v>0</v>
      </c>
      <c r="BB657" s="16"/>
      <c r="BC657" s="287">
        <f t="shared" si="424"/>
        <v>2173951.7999999998</v>
      </c>
      <c r="BD657" s="287">
        <f t="shared" si="425"/>
        <v>618431.03999999992</v>
      </c>
      <c r="BE657" s="287">
        <f t="shared" si="426"/>
        <v>2441504.3328</v>
      </c>
      <c r="BF657" s="287">
        <f t="shared" si="427"/>
        <v>2386173.96</v>
      </c>
      <c r="BG657" s="287">
        <f t="shared" si="428"/>
        <v>0</v>
      </c>
      <c r="BH657" s="287">
        <f t="shared" si="429"/>
        <v>0</v>
      </c>
      <c r="BI657" s="287">
        <f t="shared" si="430"/>
        <v>0</v>
      </c>
      <c r="BJ657" s="287">
        <f t="shared" si="431"/>
        <v>0</v>
      </c>
      <c r="BK657" s="287">
        <f t="shared" si="432"/>
        <v>0</v>
      </c>
      <c r="BL657" s="287">
        <f t="shared" si="433"/>
        <v>0</v>
      </c>
      <c r="BM657" s="16"/>
      <c r="BN657" s="287">
        <f t="shared" si="434"/>
        <v>7620061.1327999998</v>
      </c>
      <c r="BO657" s="287">
        <f t="shared" si="435"/>
        <v>7620061.1327999998</v>
      </c>
      <c r="BP657" s="432">
        <f>BN657-AM657</f>
        <v>0</v>
      </c>
      <c r="BQ657" s="21"/>
      <c r="BR657" s="21"/>
      <c r="BS657" s="6" t="e">
        <v>#VALUE!</v>
      </c>
      <c r="BT657" s="194">
        <f t="shared" si="404"/>
        <v>15240122.2656</v>
      </c>
      <c r="BU657" s="194">
        <f t="shared" si="405"/>
        <v>7620061.1327999998</v>
      </c>
      <c r="BV657" s="194">
        <f t="shared" si="406"/>
        <v>7620061.1327999998</v>
      </c>
      <c r="BW657" s="194">
        <f t="shared" si="407"/>
        <v>0</v>
      </c>
      <c r="BX657" s="6"/>
      <c r="BY657" s="6"/>
      <c r="BZ657" s="39">
        <v>644</v>
      </c>
      <c r="CA657" s="39">
        <f t="shared" si="436"/>
        <v>2041</v>
      </c>
      <c r="CB657" s="6"/>
      <c r="CC657" s="39"/>
      <c r="CD657" s="39"/>
      <c r="CE657" s="39"/>
      <c r="CF657" s="39"/>
      <c r="CG657" s="39"/>
      <c r="CH657" s="39"/>
      <c r="CI657" s="39"/>
      <c r="CJ657" s="39"/>
      <c r="CK657" s="39"/>
    </row>
    <row r="658" spans="1:89" s="193" customFormat="1" ht="48">
      <c r="A658" s="357"/>
      <c r="B658" s="21" t="str">
        <f t="shared" si="413"/>
        <v>TRA</v>
      </c>
      <c r="C658" s="21"/>
      <c r="D658" s="432"/>
      <c r="E658" s="439" t="s">
        <v>3626</v>
      </c>
      <c r="F658" s="439"/>
      <c r="G658" s="273" t="s">
        <v>3099</v>
      </c>
      <c r="H658" s="358" t="s">
        <v>4457</v>
      </c>
      <c r="I658" s="262" t="s">
        <v>3904</v>
      </c>
      <c r="J658" s="262"/>
      <c r="K658" s="263">
        <v>-12319060.199999999</v>
      </c>
      <c r="L658" s="263">
        <v>-3504442.56</v>
      </c>
      <c r="M658" s="263">
        <v>-13835191.2192</v>
      </c>
      <c r="N658" s="263">
        <v>-13521652.439999999</v>
      </c>
      <c r="O658" s="263">
        <v>0</v>
      </c>
      <c r="P658" s="263">
        <v>0</v>
      </c>
      <c r="Q658" s="263">
        <v>0</v>
      </c>
      <c r="R658" s="263">
        <v>0</v>
      </c>
      <c r="S658" s="263">
        <v>0</v>
      </c>
      <c r="T658" s="263">
        <v>0</v>
      </c>
      <c r="U658" s="263">
        <f t="shared" si="392"/>
        <v>-43180346.419199996</v>
      </c>
      <c r="V658" s="196" t="str">
        <f t="shared" si="411"/>
        <v>G/LOS</v>
      </c>
      <c r="W658" s="196" t="s">
        <v>1168</v>
      </c>
      <c r="X658" s="196" t="str">
        <f t="shared" si="408"/>
        <v>Y</v>
      </c>
      <c r="Y658" s="376">
        <f t="shared" si="409"/>
        <v>-43180346.419199996</v>
      </c>
      <c r="Z658" s="198"/>
      <c r="AA658" s="376">
        <f t="shared" si="412"/>
        <v>-43180346.419199996</v>
      </c>
      <c r="AB658" s="196" t="s">
        <v>1166</v>
      </c>
      <c r="AC658" s="196" t="s">
        <v>3624</v>
      </c>
      <c r="AD658" s="275">
        <v>0.45000000000000007</v>
      </c>
      <c r="AE658" s="275">
        <v>0.54999999999999993</v>
      </c>
      <c r="AF658" s="275">
        <v>0</v>
      </c>
      <c r="AG658" s="199">
        <v>0.18</v>
      </c>
      <c r="AH658" s="199">
        <v>0.18</v>
      </c>
      <c r="AI658" s="377">
        <f t="shared" si="394"/>
        <v>0.18</v>
      </c>
      <c r="AJ658" s="548">
        <v>0.5</v>
      </c>
      <c r="AK658" s="203">
        <f t="shared" si="410"/>
        <v>0.5</v>
      </c>
      <c r="AL658" s="376">
        <f t="shared" si="395"/>
        <v>-35407884.063744001</v>
      </c>
      <c r="AM658" s="376">
        <f t="shared" si="396"/>
        <v>-3886231.1777279996</v>
      </c>
      <c r="AN658" s="376">
        <f t="shared" si="397"/>
        <v>-3886231.1777279996</v>
      </c>
      <c r="AO658" s="378" t="s">
        <v>3608</v>
      </c>
      <c r="AP658" s="379" t="s">
        <v>2781</v>
      </c>
      <c r="AQ658" s="279"/>
      <c r="AR658" s="287">
        <f t="shared" si="414"/>
        <v>-1108715.4179999998</v>
      </c>
      <c r="AS658" s="287">
        <f t="shared" si="415"/>
        <v>-315399.83039999998</v>
      </c>
      <c r="AT658" s="287">
        <f t="shared" si="416"/>
        <v>-1245167.209728</v>
      </c>
      <c r="AU658" s="287">
        <f t="shared" si="417"/>
        <v>-1216948.7196</v>
      </c>
      <c r="AV658" s="287">
        <f t="shared" si="418"/>
        <v>0</v>
      </c>
      <c r="AW658" s="287">
        <f t="shared" si="419"/>
        <v>0</v>
      </c>
      <c r="AX658" s="287">
        <f t="shared" si="420"/>
        <v>0</v>
      </c>
      <c r="AY658" s="287">
        <f t="shared" si="421"/>
        <v>0</v>
      </c>
      <c r="AZ658" s="287">
        <f t="shared" si="422"/>
        <v>0</v>
      </c>
      <c r="BA658" s="287">
        <f t="shared" si="423"/>
        <v>0</v>
      </c>
      <c r="BB658" s="16"/>
      <c r="BC658" s="287">
        <f t="shared" si="424"/>
        <v>-1108715.4179999998</v>
      </c>
      <c r="BD658" s="287">
        <f t="shared" si="425"/>
        <v>-315399.83039999998</v>
      </c>
      <c r="BE658" s="287">
        <f t="shared" si="426"/>
        <v>-1245167.209728</v>
      </c>
      <c r="BF658" s="287">
        <f t="shared" si="427"/>
        <v>-1216948.7196</v>
      </c>
      <c r="BG658" s="287">
        <f t="shared" si="428"/>
        <v>0</v>
      </c>
      <c r="BH658" s="287">
        <f t="shared" si="429"/>
        <v>0</v>
      </c>
      <c r="BI658" s="287">
        <f t="shared" si="430"/>
        <v>0</v>
      </c>
      <c r="BJ658" s="287">
        <f t="shared" si="431"/>
        <v>0</v>
      </c>
      <c r="BK658" s="287">
        <f t="shared" si="432"/>
        <v>0</v>
      </c>
      <c r="BL658" s="287">
        <f t="shared" si="433"/>
        <v>0</v>
      </c>
      <c r="BM658" s="16"/>
      <c r="BN658" s="287">
        <f t="shared" si="434"/>
        <v>-3886231.1777279996</v>
      </c>
      <c r="BO658" s="287">
        <f t="shared" si="435"/>
        <v>-3886231.1777279996</v>
      </c>
      <c r="BP658" s="432">
        <f>BN658-AM658</f>
        <v>0</v>
      </c>
      <c r="BQ658" s="21"/>
      <c r="BR658" s="21"/>
      <c r="BS658" s="6" t="e">
        <v>#VALUE!</v>
      </c>
      <c r="BT658" s="194">
        <f t="shared" si="404"/>
        <v>-7772462.3554559993</v>
      </c>
      <c r="BU658" s="194">
        <f t="shared" si="405"/>
        <v>-3886231.1777279996</v>
      </c>
      <c r="BV658" s="194">
        <f t="shared" si="406"/>
        <v>-3886231.1777279996</v>
      </c>
      <c r="BW658" s="194">
        <f t="shared" si="407"/>
        <v>0</v>
      </c>
      <c r="BX658" s="6"/>
      <c r="BY658" s="6"/>
      <c r="BZ658" s="39">
        <v>645</v>
      </c>
      <c r="CA658" s="39">
        <f t="shared" si="436"/>
        <v>2041</v>
      </c>
      <c r="CB658" s="6"/>
      <c r="CC658" s="39"/>
      <c r="CD658" s="39"/>
      <c r="CE658" s="39"/>
      <c r="CF658" s="39"/>
      <c r="CG658" s="39"/>
      <c r="CH658" s="39"/>
      <c r="CI658" s="39"/>
      <c r="CJ658" s="39"/>
      <c r="CK658" s="39"/>
    </row>
    <row r="659" spans="1:89" s="193" customFormat="1">
      <c r="A659" s="357"/>
      <c r="B659" s="21" t="str">
        <f t="shared" si="413"/>
        <v>TRA</v>
      </c>
      <c r="C659" s="21"/>
      <c r="D659" s="432"/>
      <c r="E659" s="439" t="s">
        <v>3626</v>
      </c>
      <c r="F659" s="439"/>
      <c r="G659" s="273" t="s">
        <v>4458</v>
      </c>
      <c r="H659" s="358" t="s">
        <v>4461</v>
      </c>
      <c r="I659" s="262" t="s">
        <v>3161</v>
      </c>
      <c r="J659" s="262"/>
      <c r="K659" s="263">
        <v>0</v>
      </c>
      <c r="L659" s="263">
        <v>900000</v>
      </c>
      <c r="M659" s="263">
        <v>0</v>
      </c>
      <c r="N659" s="263">
        <v>0</v>
      </c>
      <c r="O659" s="263">
        <v>0</v>
      </c>
      <c r="P659" s="263">
        <v>0</v>
      </c>
      <c r="Q659" s="263">
        <v>0</v>
      </c>
      <c r="R659" s="263">
        <v>0</v>
      </c>
      <c r="S659" s="263">
        <v>0</v>
      </c>
      <c r="T659" s="263">
        <v>9.4572878399999991E-2</v>
      </c>
      <c r="U659" s="263">
        <f t="shared" si="392"/>
        <v>900000.09457287844</v>
      </c>
      <c r="V659" s="196" t="str">
        <f t="shared" si="411"/>
        <v>G/LOS</v>
      </c>
      <c r="W659" s="196" t="s">
        <v>1168</v>
      </c>
      <c r="X659" s="196" t="str">
        <f t="shared" si="408"/>
        <v>Y</v>
      </c>
      <c r="Y659" s="376">
        <f t="shared" si="409"/>
        <v>900000.09457287844</v>
      </c>
      <c r="Z659" s="198"/>
      <c r="AA659" s="376">
        <f t="shared" si="412"/>
        <v>900000.09457287844</v>
      </c>
      <c r="AB659" s="196" t="s">
        <v>1166</v>
      </c>
      <c r="AC659" s="196" t="s">
        <v>1168</v>
      </c>
      <c r="AD659" s="275">
        <v>0.8</v>
      </c>
      <c r="AE659" s="275">
        <v>0.2</v>
      </c>
      <c r="AF659" s="275">
        <v>0</v>
      </c>
      <c r="AG659" s="199">
        <v>0.6</v>
      </c>
      <c r="AH659" s="199">
        <v>1</v>
      </c>
      <c r="AI659" s="377">
        <f t="shared" si="394"/>
        <v>0.8</v>
      </c>
      <c r="AJ659" s="548">
        <v>1</v>
      </c>
      <c r="AK659" s="203">
        <f t="shared" si="410"/>
        <v>0</v>
      </c>
      <c r="AL659" s="376">
        <f t="shared" si="395"/>
        <v>180000.01891457566</v>
      </c>
      <c r="AM659" s="376">
        <f t="shared" si="396"/>
        <v>720000.07565830275</v>
      </c>
      <c r="AN659" s="376">
        <f t="shared" si="397"/>
        <v>0</v>
      </c>
      <c r="AO659" s="378" t="s">
        <v>3607</v>
      </c>
      <c r="AP659" s="379" t="s">
        <v>2782</v>
      </c>
      <c r="AQ659" s="279"/>
      <c r="AR659" s="287">
        <f t="shared" si="414"/>
        <v>0</v>
      </c>
      <c r="AS659" s="287">
        <f t="shared" si="415"/>
        <v>720000</v>
      </c>
      <c r="AT659" s="287">
        <f t="shared" si="416"/>
        <v>0</v>
      </c>
      <c r="AU659" s="287">
        <f t="shared" si="417"/>
        <v>0</v>
      </c>
      <c r="AV659" s="287">
        <f t="shared" si="418"/>
        <v>0</v>
      </c>
      <c r="AW659" s="287">
        <f t="shared" si="419"/>
        <v>0</v>
      </c>
      <c r="AX659" s="287">
        <f t="shared" si="420"/>
        <v>0</v>
      </c>
      <c r="AY659" s="287">
        <f t="shared" si="421"/>
        <v>0</v>
      </c>
      <c r="AZ659" s="287">
        <f t="shared" si="422"/>
        <v>0</v>
      </c>
      <c r="BA659" s="287">
        <f t="shared" si="423"/>
        <v>7.5658302720000001E-2</v>
      </c>
      <c r="BB659" s="16"/>
      <c r="BC659" s="287">
        <f t="shared" si="424"/>
        <v>0</v>
      </c>
      <c r="BD659" s="287">
        <f t="shared" si="425"/>
        <v>0</v>
      </c>
      <c r="BE659" s="287">
        <f t="shared" si="426"/>
        <v>0</v>
      </c>
      <c r="BF659" s="287">
        <f t="shared" si="427"/>
        <v>0</v>
      </c>
      <c r="BG659" s="287">
        <f t="shared" si="428"/>
        <v>0</v>
      </c>
      <c r="BH659" s="287">
        <f t="shared" si="429"/>
        <v>0</v>
      </c>
      <c r="BI659" s="287">
        <f t="shared" si="430"/>
        <v>0</v>
      </c>
      <c r="BJ659" s="287">
        <f t="shared" si="431"/>
        <v>0</v>
      </c>
      <c r="BK659" s="287">
        <f t="shared" si="432"/>
        <v>0</v>
      </c>
      <c r="BL659" s="287">
        <f t="shared" si="433"/>
        <v>0</v>
      </c>
      <c r="BM659" s="16"/>
      <c r="BN659" s="287">
        <f t="shared" si="434"/>
        <v>720000.07565830275</v>
      </c>
      <c r="BO659" s="287">
        <f t="shared" si="435"/>
        <v>0</v>
      </c>
      <c r="BP659" s="432"/>
      <c r="BQ659" s="21"/>
      <c r="BR659" s="21"/>
      <c r="BS659" s="6" t="e">
        <v>#VALUE!</v>
      </c>
      <c r="BT659" s="194">
        <f t="shared" si="404"/>
        <v>720000.07565830275</v>
      </c>
      <c r="BU659" s="194">
        <f t="shared" si="405"/>
        <v>720000.07565830275</v>
      </c>
      <c r="BV659" s="194">
        <f t="shared" si="406"/>
        <v>0</v>
      </c>
      <c r="BW659" s="194">
        <f t="shared" si="407"/>
        <v>0</v>
      </c>
      <c r="BX659" s="6"/>
      <c r="BY659" s="6"/>
      <c r="BZ659" s="39">
        <v>646</v>
      </c>
      <c r="CA659" s="39">
        <f t="shared" si="436"/>
        <v>2031</v>
      </c>
      <c r="CB659" s="6"/>
      <c r="CC659" s="39"/>
      <c r="CD659" s="39"/>
      <c r="CE659" s="39"/>
      <c r="CF659" s="39"/>
      <c r="CG659" s="39"/>
      <c r="CH659" s="39"/>
      <c r="CI659" s="39"/>
      <c r="CJ659" s="39"/>
      <c r="CK659" s="39"/>
    </row>
    <row r="660" spans="1:89" s="193" customFormat="1">
      <c r="A660" s="357"/>
      <c r="B660" s="21" t="str">
        <f t="shared" si="413"/>
        <v>TRA</v>
      </c>
      <c r="C660" s="21"/>
      <c r="D660" s="432"/>
      <c r="E660" s="439" t="s">
        <v>3626</v>
      </c>
      <c r="F660" s="439"/>
      <c r="G660" s="273" t="s">
        <v>4459</v>
      </c>
      <c r="H660" s="358" t="s">
        <v>4461</v>
      </c>
      <c r="I660" s="262" t="s">
        <v>3161</v>
      </c>
      <c r="J660" s="262"/>
      <c r="K660" s="263">
        <v>40000</v>
      </c>
      <c r="L660" s="263">
        <v>439000</v>
      </c>
      <c r="M660" s="263">
        <v>0</v>
      </c>
      <c r="N660" s="263">
        <v>0</v>
      </c>
      <c r="O660" s="263">
        <v>0</v>
      </c>
      <c r="P660" s="263">
        <v>0</v>
      </c>
      <c r="Q660" s="263">
        <v>0</v>
      </c>
      <c r="R660" s="263">
        <v>0</v>
      </c>
      <c r="S660" s="263">
        <v>0</v>
      </c>
      <c r="T660" s="263">
        <v>4.6130548463999992E-2</v>
      </c>
      <c r="U660" s="263">
        <f t="shared" si="392"/>
        <v>479000.04613054846</v>
      </c>
      <c r="V660" s="196" t="str">
        <f t="shared" si="411"/>
        <v>G/LOS</v>
      </c>
      <c r="W660" s="196" t="s">
        <v>1168</v>
      </c>
      <c r="X660" s="196" t="str">
        <f t="shared" si="408"/>
        <v>Y</v>
      </c>
      <c r="Y660" s="376">
        <f t="shared" si="409"/>
        <v>479000.04613054846</v>
      </c>
      <c r="Z660" s="198"/>
      <c r="AA660" s="376">
        <f t="shared" si="412"/>
        <v>479000.04613054846</v>
      </c>
      <c r="AB660" s="196" t="s">
        <v>1166</v>
      </c>
      <c r="AC660" s="196" t="s">
        <v>1168</v>
      </c>
      <c r="AD660" s="275">
        <v>0.79999999999999993</v>
      </c>
      <c r="AE660" s="275">
        <v>0.19999999999999998</v>
      </c>
      <c r="AF660" s="275">
        <v>0</v>
      </c>
      <c r="AG660" s="199">
        <v>0.6</v>
      </c>
      <c r="AH660" s="199">
        <v>1</v>
      </c>
      <c r="AI660" s="377">
        <f t="shared" si="394"/>
        <v>0.8</v>
      </c>
      <c r="AJ660" s="548">
        <v>1</v>
      </c>
      <c r="AK660" s="203">
        <f t="shared" si="410"/>
        <v>0</v>
      </c>
      <c r="AL660" s="376">
        <f t="shared" si="395"/>
        <v>95800.009226109672</v>
      </c>
      <c r="AM660" s="376">
        <f t="shared" si="396"/>
        <v>383200.03690443881</v>
      </c>
      <c r="AN660" s="376">
        <f t="shared" si="397"/>
        <v>0</v>
      </c>
      <c r="AO660" s="378" t="s">
        <v>3607</v>
      </c>
      <c r="AP660" s="379" t="s">
        <v>2782</v>
      </c>
      <c r="AQ660" s="279"/>
      <c r="AR660" s="287">
        <f t="shared" si="414"/>
        <v>32000</v>
      </c>
      <c r="AS660" s="287">
        <f t="shared" si="415"/>
        <v>351200</v>
      </c>
      <c r="AT660" s="287">
        <f t="shared" si="416"/>
        <v>0</v>
      </c>
      <c r="AU660" s="287">
        <f t="shared" si="417"/>
        <v>0</v>
      </c>
      <c r="AV660" s="287">
        <f t="shared" si="418"/>
        <v>0</v>
      </c>
      <c r="AW660" s="287">
        <f t="shared" si="419"/>
        <v>0</v>
      </c>
      <c r="AX660" s="287">
        <f t="shared" si="420"/>
        <v>0</v>
      </c>
      <c r="AY660" s="287">
        <f t="shared" si="421"/>
        <v>0</v>
      </c>
      <c r="AZ660" s="287">
        <f t="shared" si="422"/>
        <v>0</v>
      </c>
      <c r="BA660" s="287">
        <f t="shared" si="423"/>
        <v>3.6904438771199997E-2</v>
      </c>
      <c r="BB660" s="16"/>
      <c r="BC660" s="287">
        <f t="shared" si="424"/>
        <v>0</v>
      </c>
      <c r="BD660" s="287">
        <f t="shared" si="425"/>
        <v>0</v>
      </c>
      <c r="BE660" s="287">
        <f t="shared" si="426"/>
        <v>0</v>
      </c>
      <c r="BF660" s="287">
        <f t="shared" si="427"/>
        <v>0</v>
      </c>
      <c r="BG660" s="287">
        <f t="shared" si="428"/>
        <v>0</v>
      </c>
      <c r="BH660" s="287">
        <f t="shared" si="429"/>
        <v>0</v>
      </c>
      <c r="BI660" s="287">
        <f t="shared" si="430"/>
        <v>0</v>
      </c>
      <c r="BJ660" s="287">
        <f t="shared" si="431"/>
        <v>0</v>
      </c>
      <c r="BK660" s="287">
        <f t="shared" si="432"/>
        <v>0</v>
      </c>
      <c r="BL660" s="287">
        <f t="shared" si="433"/>
        <v>0</v>
      </c>
      <c r="BM660" s="16"/>
      <c r="BN660" s="287">
        <f t="shared" si="434"/>
        <v>383200.03690443875</v>
      </c>
      <c r="BO660" s="287">
        <f t="shared" si="435"/>
        <v>0</v>
      </c>
      <c r="BP660" s="432">
        <f>BN660-AM660</f>
        <v>0</v>
      </c>
      <c r="BQ660" s="21"/>
      <c r="BR660" s="21"/>
      <c r="BS660" s="6" t="e">
        <v>#VALUE!</v>
      </c>
      <c r="BT660" s="194">
        <f t="shared" si="404"/>
        <v>383200.03690443875</v>
      </c>
      <c r="BU660" s="194">
        <f t="shared" si="405"/>
        <v>383200.03690443881</v>
      </c>
      <c r="BV660" s="194">
        <f t="shared" si="406"/>
        <v>0</v>
      </c>
      <c r="BW660" s="194">
        <f t="shared" si="407"/>
        <v>-5.8207660913467407E-11</v>
      </c>
      <c r="BX660" s="6"/>
      <c r="BY660" s="6"/>
      <c r="BZ660" s="39">
        <v>647</v>
      </c>
      <c r="CA660" s="39">
        <f t="shared" si="436"/>
        <v>2031</v>
      </c>
      <c r="CB660" s="6"/>
      <c r="CC660" s="39"/>
      <c r="CD660" s="39"/>
      <c r="CE660" s="39"/>
      <c r="CF660" s="39"/>
      <c r="CG660" s="39"/>
      <c r="CH660" s="39"/>
      <c r="CI660" s="39"/>
      <c r="CJ660" s="39"/>
      <c r="CK660" s="39"/>
    </row>
    <row r="661" spans="1:89" s="193" customFormat="1">
      <c r="A661" s="357"/>
      <c r="B661" s="21" t="str">
        <f t="shared" si="413"/>
        <v>TRA</v>
      </c>
      <c r="C661" s="21"/>
      <c r="D661" s="432"/>
      <c r="E661" s="439" t="s">
        <v>3626</v>
      </c>
      <c r="F661" s="439"/>
      <c r="G661" s="273" t="s">
        <v>4460</v>
      </c>
      <c r="H661" s="358" t="s">
        <v>4461</v>
      </c>
      <c r="I661" s="262" t="s">
        <v>3161</v>
      </c>
      <c r="J661" s="262"/>
      <c r="K661" s="263">
        <v>40000</v>
      </c>
      <c r="L661" s="263">
        <v>434000</v>
      </c>
      <c r="M661" s="263">
        <v>0</v>
      </c>
      <c r="N661" s="263">
        <v>0</v>
      </c>
      <c r="O661" s="263">
        <v>0</v>
      </c>
      <c r="P661" s="263">
        <v>0</v>
      </c>
      <c r="Q661" s="263">
        <v>0</v>
      </c>
      <c r="R661" s="263">
        <v>0</v>
      </c>
      <c r="S661" s="263">
        <v>0</v>
      </c>
      <c r="T661" s="263">
        <v>4.5605143584000002E-2</v>
      </c>
      <c r="U661" s="263">
        <f t="shared" si="392"/>
        <v>474000.04560514359</v>
      </c>
      <c r="V661" s="196" t="str">
        <f t="shared" si="411"/>
        <v>G/LOS</v>
      </c>
      <c r="W661" s="196" t="s">
        <v>1168</v>
      </c>
      <c r="X661" s="196" t="str">
        <f t="shared" si="408"/>
        <v>Y</v>
      </c>
      <c r="Y661" s="376">
        <f t="shared" si="409"/>
        <v>474000.04560514359</v>
      </c>
      <c r="Z661" s="198"/>
      <c r="AA661" s="376">
        <f t="shared" si="412"/>
        <v>474000.04560514359</v>
      </c>
      <c r="AB661" s="196" t="s">
        <v>1166</v>
      </c>
      <c r="AC661" s="196" t="s">
        <v>1168</v>
      </c>
      <c r="AD661" s="275">
        <v>0.8</v>
      </c>
      <c r="AE661" s="275">
        <v>0.2</v>
      </c>
      <c r="AF661" s="275">
        <v>0</v>
      </c>
      <c r="AG661" s="199">
        <v>0.6</v>
      </c>
      <c r="AH661" s="199">
        <v>1</v>
      </c>
      <c r="AI661" s="377">
        <f t="shared" si="394"/>
        <v>0.8</v>
      </c>
      <c r="AJ661" s="548">
        <v>1</v>
      </c>
      <c r="AK661" s="203">
        <f t="shared" si="410"/>
        <v>0</v>
      </c>
      <c r="AL661" s="376">
        <f t="shared" si="395"/>
        <v>94800.009121028692</v>
      </c>
      <c r="AM661" s="376">
        <f t="shared" si="396"/>
        <v>379200.03648411488</v>
      </c>
      <c r="AN661" s="376">
        <f t="shared" si="397"/>
        <v>0</v>
      </c>
      <c r="AO661" s="378" t="s">
        <v>3607</v>
      </c>
      <c r="AP661" s="379" t="s">
        <v>2782</v>
      </c>
      <c r="AQ661" s="279"/>
      <c r="AR661" s="287">
        <f t="shared" si="414"/>
        <v>32000</v>
      </c>
      <c r="AS661" s="287">
        <f t="shared" si="415"/>
        <v>347200</v>
      </c>
      <c r="AT661" s="287">
        <f t="shared" si="416"/>
        <v>0</v>
      </c>
      <c r="AU661" s="287">
        <f t="shared" si="417"/>
        <v>0</v>
      </c>
      <c r="AV661" s="287">
        <f t="shared" si="418"/>
        <v>0</v>
      </c>
      <c r="AW661" s="287">
        <f t="shared" si="419"/>
        <v>0</v>
      </c>
      <c r="AX661" s="287">
        <f t="shared" si="420"/>
        <v>0</v>
      </c>
      <c r="AY661" s="287">
        <f t="shared" si="421"/>
        <v>0</v>
      </c>
      <c r="AZ661" s="287">
        <f t="shared" si="422"/>
        <v>0</v>
      </c>
      <c r="BA661" s="287">
        <f t="shared" si="423"/>
        <v>3.6484114867200004E-2</v>
      </c>
      <c r="BB661" s="16"/>
      <c r="BC661" s="287">
        <f t="shared" si="424"/>
        <v>0</v>
      </c>
      <c r="BD661" s="287">
        <f t="shared" si="425"/>
        <v>0</v>
      </c>
      <c r="BE661" s="287">
        <f t="shared" si="426"/>
        <v>0</v>
      </c>
      <c r="BF661" s="287">
        <f t="shared" si="427"/>
        <v>0</v>
      </c>
      <c r="BG661" s="287">
        <f t="shared" si="428"/>
        <v>0</v>
      </c>
      <c r="BH661" s="287">
        <f t="shared" si="429"/>
        <v>0</v>
      </c>
      <c r="BI661" s="287">
        <f t="shared" si="430"/>
        <v>0</v>
      </c>
      <c r="BJ661" s="287">
        <f t="shared" si="431"/>
        <v>0</v>
      </c>
      <c r="BK661" s="287">
        <f t="shared" si="432"/>
        <v>0</v>
      </c>
      <c r="BL661" s="287">
        <f t="shared" si="433"/>
        <v>0</v>
      </c>
      <c r="BM661" s="16"/>
      <c r="BN661" s="287">
        <f t="shared" si="434"/>
        <v>379200.03648411488</v>
      </c>
      <c r="BO661" s="287">
        <f t="shared" si="435"/>
        <v>0</v>
      </c>
      <c r="BP661" s="432"/>
      <c r="BQ661" s="21"/>
      <c r="BR661" s="21"/>
      <c r="BS661" s="6" t="e">
        <v>#VALUE!</v>
      </c>
      <c r="BT661" s="194">
        <f t="shared" si="404"/>
        <v>379200.03648411488</v>
      </c>
      <c r="BU661" s="194">
        <f t="shared" si="405"/>
        <v>379200.03648411488</v>
      </c>
      <c r="BV661" s="194">
        <f t="shared" si="406"/>
        <v>0</v>
      </c>
      <c r="BW661" s="194">
        <f t="shared" si="407"/>
        <v>0</v>
      </c>
      <c r="BX661" s="6"/>
      <c r="BY661" s="6"/>
      <c r="BZ661" s="39">
        <v>648</v>
      </c>
      <c r="CA661" s="39">
        <f t="shared" si="436"/>
        <v>2031</v>
      </c>
      <c r="CB661" s="6"/>
      <c r="CC661" s="39"/>
      <c r="CD661" s="39"/>
      <c r="CE661" s="39"/>
      <c r="CF661" s="39"/>
      <c r="CG661" s="39"/>
      <c r="CH661" s="39"/>
      <c r="CI661" s="39"/>
      <c r="CJ661" s="39"/>
      <c r="CK661" s="39"/>
    </row>
    <row r="662" spans="1:89" s="193" customFormat="1">
      <c r="A662" s="357"/>
      <c r="B662" s="21" t="str">
        <f t="shared" si="413"/>
        <v>TRA</v>
      </c>
      <c r="C662" s="21"/>
      <c r="D662" s="432"/>
      <c r="E662" s="439" t="s">
        <v>3626</v>
      </c>
      <c r="F662" s="439"/>
      <c r="G662" s="273" t="s">
        <v>2949</v>
      </c>
      <c r="H662" s="358" t="s">
        <v>4461</v>
      </c>
      <c r="I662" s="262" t="s">
        <v>3161</v>
      </c>
      <c r="J662" s="262"/>
      <c r="K662" s="263">
        <v>0</v>
      </c>
      <c r="L662" s="263">
        <v>3700000</v>
      </c>
      <c r="M662" s="263">
        <v>0</v>
      </c>
      <c r="N662" s="263">
        <v>0</v>
      </c>
      <c r="O662" s="263">
        <v>0</v>
      </c>
      <c r="P662" s="263">
        <v>0</v>
      </c>
      <c r="Q662" s="263">
        <v>0</v>
      </c>
      <c r="R662" s="263">
        <v>0</v>
      </c>
      <c r="S662" s="263">
        <v>0</v>
      </c>
      <c r="T662" s="263">
        <v>0.38879961119999995</v>
      </c>
      <c r="U662" s="263">
        <f t="shared" si="392"/>
        <v>3700000.388799611</v>
      </c>
      <c r="V662" s="196" t="str">
        <f t="shared" si="411"/>
        <v>G/LOS</v>
      </c>
      <c r="W662" s="196" t="s">
        <v>1168</v>
      </c>
      <c r="X662" s="196" t="str">
        <f t="shared" si="408"/>
        <v>Y</v>
      </c>
      <c r="Y662" s="376">
        <f t="shared" si="409"/>
        <v>3700000.388799611</v>
      </c>
      <c r="Z662" s="198"/>
      <c r="AA662" s="376">
        <f t="shared" si="412"/>
        <v>3700000.388799611</v>
      </c>
      <c r="AB662" s="196" t="s">
        <v>1166</v>
      </c>
      <c r="AC662" s="196" t="s">
        <v>1168</v>
      </c>
      <c r="AD662" s="275">
        <v>0.79999999999999993</v>
      </c>
      <c r="AE662" s="275">
        <v>0.19999999999999998</v>
      </c>
      <c r="AF662" s="275">
        <v>0</v>
      </c>
      <c r="AG662" s="199">
        <v>0.6</v>
      </c>
      <c r="AH662" s="199">
        <v>1</v>
      </c>
      <c r="AI662" s="377">
        <f t="shared" si="394"/>
        <v>0.8</v>
      </c>
      <c r="AJ662" s="548">
        <v>1</v>
      </c>
      <c r="AK662" s="203">
        <f t="shared" si="410"/>
        <v>0</v>
      </c>
      <c r="AL662" s="376">
        <f t="shared" si="395"/>
        <v>740000.07775992202</v>
      </c>
      <c r="AM662" s="376">
        <f t="shared" si="396"/>
        <v>2960000.311039689</v>
      </c>
      <c r="AN662" s="376">
        <f t="shared" si="397"/>
        <v>0</v>
      </c>
      <c r="AO662" s="378" t="s">
        <v>3607</v>
      </c>
      <c r="AP662" s="379" t="s">
        <v>2782</v>
      </c>
      <c r="AQ662" s="279"/>
      <c r="AR662" s="287">
        <f t="shared" si="414"/>
        <v>0</v>
      </c>
      <c r="AS662" s="287">
        <f t="shared" si="415"/>
        <v>2960000</v>
      </c>
      <c r="AT662" s="287">
        <f t="shared" si="416"/>
        <v>0</v>
      </c>
      <c r="AU662" s="287">
        <f t="shared" si="417"/>
        <v>0</v>
      </c>
      <c r="AV662" s="287">
        <f t="shared" si="418"/>
        <v>0</v>
      </c>
      <c r="AW662" s="287">
        <f t="shared" si="419"/>
        <v>0</v>
      </c>
      <c r="AX662" s="287">
        <f t="shared" si="420"/>
        <v>0</v>
      </c>
      <c r="AY662" s="287">
        <f t="shared" si="421"/>
        <v>0</v>
      </c>
      <c r="AZ662" s="287">
        <f t="shared" si="422"/>
        <v>0</v>
      </c>
      <c r="BA662" s="287">
        <f t="shared" si="423"/>
        <v>0.31103968896</v>
      </c>
      <c r="BB662" s="16"/>
      <c r="BC662" s="287">
        <f t="shared" si="424"/>
        <v>0</v>
      </c>
      <c r="BD662" s="287">
        <f t="shared" si="425"/>
        <v>0</v>
      </c>
      <c r="BE662" s="287">
        <f t="shared" si="426"/>
        <v>0</v>
      </c>
      <c r="BF662" s="287">
        <f t="shared" si="427"/>
        <v>0</v>
      </c>
      <c r="BG662" s="287">
        <f t="shared" si="428"/>
        <v>0</v>
      </c>
      <c r="BH662" s="287">
        <f t="shared" si="429"/>
        <v>0</v>
      </c>
      <c r="BI662" s="287">
        <f t="shared" si="430"/>
        <v>0</v>
      </c>
      <c r="BJ662" s="287">
        <f t="shared" si="431"/>
        <v>0</v>
      </c>
      <c r="BK662" s="287">
        <f t="shared" si="432"/>
        <v>0</v>
      </c>
      <c r="BL662" s="287">
        <f t="shared" si="433"/>
        <v>0</v>
      </c>
      <c r="BM662" s="16"/>
      <c r="BN662" s="287">
        <f t="shared" si="434"/>
        <v>2960000.311039689</v>
      </c>
      <c r="BO662" s="287">
        <f t="shared" si="435"/>
        <v>0</v>
      </c>
      <c r="BP662" s="432">
        <f>BN662-AM662</f>
        <v>0</v>
      </c>
      <c r="BQ662" s="21"/>
      <c r="BR662" s="21"/>
      <c r="BS662" s="6" t="e">
        <v>#VALUE!</v>
      </c>
      <c r="BT662" s="194">
        <f t="shared" si="404"/>
        <v>2960000.311039689</v>
      </c>
      <c r="BU662" s="194">
        <f t="shared" si="405"/>
        <v>2960000.311039689</v>
      </c>
      <c r="BV662" s="194">
        <f t="shared" si="406"/>
        <v>0</v>
      </c>
      <c r="BW662" s="194">
        <f t="shared" si="407"/>
        <v>0</v>
      </c>
      <c r="BX662" s="6"/>
      <c r="BY662" s="6"/>
      <c r="BZ662" s="39">
        <v>649</v>
      </c>
      <c r="CA662" s="39">
        <f t="shared" si="436"/>
        <v>2031</v>
      </c>
      <c r="CB662" s="6"/>
      <c r="CC662" s="39"/>
      <c r="CD662" s="39"/>
      <c r="CE662" s="39"/>
      <c r="CF662" s="39"/>
      <c r="CG662" s="39"/>
      <c r="CH662" s="39"/>
      <c r="CI662" s="39"/>
      <c r="CJ662" s="39"/>
      <c r="CK662" s="39"/>
    </row>
    <row r="663" spans="1:89" s="193" customFormat="1" ht="36">
      <c r="A663" s="357"/>
      <c r="B663" s="21" t="str">
        <f t="shared" si="413"/>
        <v>TRA</v>
      </c>
      <c r="C663" s="21"/>
      <c r="D663" s="432"/>
      <c r="E663" s="439" t="s">
        <v>3626</v>
      </c>
      <c r="F663" s="439"/>
      <c r="G663" s="273" t="s">
        <v>3618</v>
      </c>
      <c r="H663" s="358" t="s">
        <v>4464</v>
      </c>
      <c r="I663" s="262" t="s">
        <v>3161</v>
      </c>
      <c r="J663" s="262"/>
      <c r="K663" s="263">
        <v>5800000</v>
      </c>
      <c r="L663" s="263">
        <v>5000000</v>
      </c>
      <c r="M663" s="263">
        <v>0</v>
      </c>
      <c r="N663" s="263">
        <v>0</v>
      </c>
      <c r="O663" s="263">
        <v>0</v>
      </c>
      <c r="P663" s="263">
        <v>13845113.32</v>
      </c>
      <c r="Q663" s="263">
        <v>0</v>
      </c>
      <c r="R663" s="263">
        <v>42040059.928335994</v>
      </c>
      <c r="S663" s="263">
        <v>151490425.57215801</v>
      </c>
      <c r="T663" s="263">
        <v>288824400.75694799</v>
      </c>
      <c r="U663" s="263">
        <f t="shared" si="392"/>
        <v>506999999.57744199</v>
      </c>
      <c r="V663" s="196" t="str">
        <f t="shared" si="411"/>
        <v>G/LOS</v>
      </c>
      <c r="W663" s="196" t="s">
        <v>1168</v>
      </c>
      <c r="X663" s="196" t="str">
        <f t="shared" si="408"/>
        <v>Y</v>
      </c>
      <c r="Y663" s="376">
        <f t="shared" si="409"/>
        <v>506999999.57744199</v>
      </c>
      <c r="Z663" s="198"/>
      <c r="AA663" s="376">
        <f t="shared" si="412"/>
        <v>506999999.57744199</v>
      </c>
      <c r="AB663" s="196" t="s">
        <v>1166</v>
      </c>
      <c r="AC663" s="196" t="s">
        <v>3624</v>
      </c>
      <c r="AD663" s="275">
        <v>0.31000000000000005</v>
      </c>
      <c r="AE663" s="275">
        <v>0.69000000000000006</v>
      </c>
      <c r="AF663" s="275">
        <v>0</v>
      </c>
      <c r="AG663" s="199">
        <v>0.31</v>
      </c>
      <c r="AH663" s="199">
        <v>0.31</v>
      </c>
      <c r="AI663" s="377">
        <f t="shared" si="394"/>
        <v>0.31</v>
      </c>
      <c r="AJ663" s="203">
        <v>0.5</v>
      </c>
      <c r="AK663" s="203">
        <f t="shared" si="410"/>
        <v>0.5</v>
      </c>
      <c r="AL663" s="376">
        <f t="shared" si="395"/>
        <v>349829999.70843494</v>
      </c>
      <c r="AM663" s="376">
        <f t="shared" si="396"/>
        <v>78584999.934503511</v>
      </c>
      <c r="AN663" s="376">
        <f t="shared" si="397"/>
        <v>78584999.934503511</v>
      </c>
      <c r="AO663" s="378" t="s">
        <v>3608</v>
      </c>
      <c r="AP663" s="379" t="s">
        <v>2782</v>
      </c>
      <c r="AQ663" s="279"/>
      <c r="AR663" s="287">
        <f t="shared" si="414"/>
        <v>899000</v>
      </c>
      <c r="AS663" s="287">
        <f t="shared" si="415"/>
        <v>775000</v>
      </c>
      <c r="AT663" s="287">
        <f t="shared" si="416"/>
        <v>0</v>
      </c>
      <c r="AU663" s="287">
        <f t="shared" si="417"/>
        <v>0</v>
      </c>
      <c r="AV663" s="287">
        <f t="shared" si="418"/>
        <v>0</v>
      </c>
      <c r="AW663" s="287">
        <f t="shared" si="419"/>
        <v>2145992.5646000002</v>
      </c>
      <c r="AX663" s="287">
        <f t="shared" si="420"/>
        <v>0</v>
      </c>
      <c r="AY663" s="287">
        <f t="shared" si="421"/>
        <v>6516209.2888920791</v>
      </c>
      <c r="AZ663" s="287">
        <f t="shared" si="422"/>
        <v>23481015.963684492</v>
      </c>
      <c r="BA663" s="287">
        <f t="shared" si="423"/>
        <v>44767782.117326938</v>
      </c>
      <c r="BB663" s="16"/>
      <c r="BC663" s="287">
        <f t="shared" si="424"/>
        <v>899000</v>
      </c>
      <c r="BD663" s="287">
        <f t="shared" si="425"/>
        <v>775000</v>
      </c>
      <c r="BE663" s="287">
        <f t="shared" si="426"/>
        <v>0</v>
      </c>
      <c r="BF663" s="287">
        <f t="shared" si="427"/>
        <v>0</v>
      </c>
      <c r="BG663" s="287">
        <f t="shared" si="428"/>
        <v>0</v>
      </c>
      <c r="BH663" s="287">
        <f t="shared" si="429"/>
        <v>2145992.5646000002</v>
      </c>
      <c r="BI663" s="287">
        <f t="shared" si="430"/>
        <v>0</v>
      </c>
      <c r="BJ663" s="287">
        <f t="shared" si="431"/>
        <v>6516209.2888920791</v>
      </c>
      <c r="BK663" s="287">
        <f t="shared" si="432"/>
        <v>23481015.963684492</v>
      </c>
      <c r="BL663" s="287">
        <f t="shared" si="433"/>
        <v>44767782.117326938</v>
      </c>
      <c r="BM663" s="16"/>
      <c r="BN663" s="287">
        <f t="shared" si="434"/>
        <v>78584999.934503511</v>
      </c>
      <c r="BO663" s="287">
        <f t="shared" si="435"/>
        <v>78584999.934503511</v>
      </c>
      <c r="BP663" s="432">
        <f>BN663-AM663</f>
        <v>0</v>
      </c>
      <c r="BQ663" s="21"/>
      <c r="BR663" s="21"/>
      <c r="BS663" s="6" t="e">
        <v>#VALUE!</v>
      </c>
      <c r="BT663" s="194">
        <f t="shared" si="404"/>
        <v>157169999.86900702</v>
      </c>
      <c r="BU663" s="194">
        <f t="shared" si="405"/>
        <v>78584999.934503511</v>
      </c>
      <c r="BV663" s="194">
        <f t="shared" si="406"/>
        <v>78584999.934503511</v>
      </c>
      <c r="BW663" s="194">
        <f t="shared" si="407"/>
        <v>0</v>
      </c>
      <c r="BX663" s="6"/>
      <c r="BY663" s="6"/>
      <c r="BZ663" s="39">
        <v>650</v>
      </c>
      <c r="CA663" s="39">
        <f t="shared" si="436"/>
        <v>2041</v>
      </c>
      <c r="CB663" s="6"/>
      <c r="CC663" s="39"/>
      <c r="CD663" s="39"/>
      <c r="CE663" s="39"/>
      <c r="CF663" s="39"/>
      <c r="CG663" s="39"/>
      <c r="CH663" s="39"/>
      <c r="CI663" s="39"/>
      <c r="CJ663" s="39"/>
      <c r="CK663" s="39"/>
    </row>
    <row r="664" spans="1:89" s="193" customFormat="1" ht="36">
      <c r="A664" s="357"/>
      <c r="B664" s="21" t="str">
        <f t="shared" si="413"/>
        <v>TRA</v>
      </c>
      <c r="C664" s="21"/>
      <c r="D664" s="432"/>
      <c r="E664" s="439" t="s">
        <v>3626</v>
      </c>
      <c r="F664" s="439"/>
      <c r="G664" s="273" t="s">
        <v>4647</v>
      </c>
      <c r="H664" s="358" t="s">
        <v>4462</v>
      </c>
      <c r="I664" s="262" t="s">
        <v>3161</v>
      </c>
      <c r="J664" s="262"/>
      <c r="K664" s="263">
        <v>6240000</v>
      </c>
      <c r="L664" s="263">
        <v>4953697</v>
      </c>
      <c r="M664" s="263">
        <v>0</v>
      </c>
      <c r="N664" s="263">
        <v>0</v>
      </c>
      <c r="O664" s="263">
        <v>0</v>
      </c>
      <c r="P664" s="263">
        <v>0</v>
      </c>
      <c r="Q664" s="263">
        <v>0</v>
      </c>
      <c r="R664" s="263">
        <v>0</v>
      </c>
      <c r="S664" s="263">
        <v>0</v>
      </c>
      <c r="T664" s="263">
        <v>0</v>
      </c>
      <c r="U664" s="263">
        <f t="shared" si="392"/>
        <v>11193697</v>
      </c>
      <c r="V664" s="196" t="str">
        <f t="shared" si="411"/>
        <v>G/LOS</v>
      </c>
      <c r="W664" s="196" t="s">
        <v>1168</v>
      </c>
      <c r="X664" s="196" t="str">
        <f t="shared" si="408"/>
        <v>Y</v>
      </c>
      <c r="Y664" s="376">
        <f t="shared" si="409"/>
        <v>11193697</v>
      </c>
      <c r="Z664" s="198"/>
      <c r="AA664" s="376">
        <f t="shared" si="412"/>
        <v>11193697</v>
      </c>
      <c r="AB664" s="196" t="s">
        <v>1166</v>
      </c>
      <c r="AC664" s="196" t="s">
        <v>3624</v>
      </c>
      <c r="AD664" s="275">
        <v>0.31000000000000005</v>
      </c>
      <c r="AE664" s="275">
        <v>0.69</v>
      </c>
      <c r="AF664" s="275">
        <v>0</v>
      </c>
      <c r="AG664" s="199">
        <v>0.31</v>
      </c>
      <c r="AH664" s="199">
        <v>0.31</v>
      </c>
      <c r="AI664" s="377">
        <f t="shared" si="394"/>
        <v>0.31</v>
      </c>
      <c r="AJ664" s="548">
        <v>1</v>
      </c>
      <c r="AK664" s="203">
        <f t="shared" si="410"/>
        <v>0</v>
      </c>
      <c r="AL664" s="376">
        <f t="shared" si="395"/>
        <v>7723650.9299999997</v>
      </c>
      <c r="AM664" s="376">
        <f t="shared" si="396"/>
        <v>3470046.07</v>
      </c>
      <c r="AN664" s="376">
        <f t="shared" si="397"/>
        <v>0</v>
      </c>
      <c r="AO664" s="378" t="s">
        <v>3607</v>
      </c>
      <c r="AP664" s="379" t="s">
        <v>2782</v>
      </c>
      <c r="AQ664" s="279"/>
      <c r="AR664" s="287">
        <f t="shared" si="414"/>
        <v>1934400</v>
      </c>
      <c r="AS664" s="287">
        <f t="shared" si="415"/>
        <v>1535646.07</v>
      </c>
      <c r="AT664" s="287">
        <f t="shared" si="416"/>
        <v>0</v>
      </c>
      <c r="AU664" s="287">
        <f t="shared" si="417"/>
        <v>0</v>
      </c>
      <c r="AV664" s="287">
        <f t="shared" si="418"/>
        <v>0</v>
      </c>
      <c r="AW664" s="287">
        <f t="shared" si="419"/>
        <v>0</v>
      </c>
      <c r="AX664" s="287">
        <f t="shared" si="420"/>
        <v>0</v>
      </c>
      <c r="AY664" s="287">
        <f t="shared" si="421"/>
        <v>0</v>
      </c>
      <c r="AZ664" s="287">
        <f t="shared" si="422"/>
        <v>0</v>
      </c>
      <c r="BA664" s="287">
        <f t="shared" si="423"/>
        <v>0</v>
      </c>
      <c r="BB664" s="16"/>
      <c r="BC664" s="287">
        <f t="shared" si="424"/>
        <v>0</v>
      </c>
      <c r="BD664" s="287">
        <f t="shared" si="425"/>
        <v>0</v>
      </c>
      <c r="BE664" s="287">
        <f t="shared" si="426"/>
        <v>0</v>
      </c>
      <c r="BF664" s="287">
        <f t="shared" si="427"/>
        <v>0</v>
      </c>
      <c r="BG664" s="287">
        <f t="shared" si="428"/>
        <v>0</v>
      </c>
      <c r="BH664" s="287">
        <f t="shared" si="429"/>
        <v>0</v>
      </c>
      <c r="BI664" s="287">
        <f t="shared" si="430"/>
        <v>0</v>
      </c>
      <c r="BJ664" s="287">
        <f t="shared" si="431"/>
        <v>0</v>
      </c>
      <c r="BK664" s="287">
        <f t="shared" si="432"/>
        <v>0</v>
      </c>
      <c r="BL664" s="287">
        <f t="shared" si="433"/>
        <v>0</v>
      </c>
      <c r="BM664" s="16"/>
      <c r="BN664" s="287">
        <f t="shared" si="434"/>
        <v>3470046.0700000003</v>
      </c>
      <c r="BO664" s="287">
        <f t="shared" si="435"/>
        <v>0</v>
      </c>
      <c r="BP664" s="432">
        <f>BN664-AM664</f>
        <v>0</v>
      </c>
      <c r="BQ664" s="21"/>
      <c r="BR664" s="21"/>
      <c r="BS664" s="6" t="e">
        <v>#VALUE!</v>
      </c>
      <c r="BT664" s="194">
        <f t="shared" si="404"/>
        <v>3470046.0700000003</v>
      </c>
      <c r="BU664" s="194">
        <f t="shared" si="405"/>
        <v>3470046.07</v>
      </c>
      <c r="BV664" s="194">
        <f t="shared" si="406"/>
        <v>0</v>
      </c>
      <c r="BW664" s="194">
        <f t="shared" si="407"/>
        <v>4.6566128730773926E-10</v>
      </c>
      <c r="BX664" s="6"/>
      <c r="BY664" s="6"/>
      <c r="BZ664" s="39">
        <v>651</v>
      </c>
      <c r="CA664" s="39">
        <f t="shared" si="436"/>
        <v>2031</v>
      </c>
      <c r="CB664" s="6"/>
      <c r="CC664" s="39"/>
      <c r="CD664" s="39"/>
      <c r="CE664" s="39"/>
      <c r="CF664" s="39"/>
      <c r="CG664" s="39"/>
      <c r="CH664" s="39"/>
      <c r="CI664" s="39"/>
      <c r="CJ664" s="39"/>
      <c r="CK664" s="39"/>
    </row>
    <row r="665" spans="1:89" s="193" customFormat="1" ht="36">
      <c r="A665" s="357"/>
      <c r="B665" s="21" t="str">
        <f t="shared" si="413"/>
        <v>TRA</v>
      </c>
      <c r="C665" s="21"/>
      <c r="D665" s="432"/>
      <c r="E665" s="439" t="s">
        <v>3626</v>
      </c>
      <c r="F665" s="439"/>
      <c r="G665" s="273" t="s">
        <v>4647</v>
      </c>
      <c r="H665" s="358" t="s">
        <v>4462</v>
      </c>
      <c r="I665" s="262" t="s">
        <v>3904</v>
      </c>
      <c r="J665" s="262"/>
      <c r="K665" s="263">
        <v>-3182400</v>
      </c>
      <c r="L665" s="263">
        <v>-2526385.4700000002</v>
      </c>
      <c r="M665" s="263">
        <v>0</v>
      </c>
      <c r="N665" s="263">
        <v>0</v>
      </c>
      <c r="O665" s="263">
        <v>0</v>
      </c>
      <c r="P665" s="263">
        <v>0</v>
      </c>
      <c r="Q665" s="263">
        <v>0</v>
      </c>
      <c r="R665" s="263">
        <v>0</v>
      </c>
      <c r="S665" s="263">
        <v>0</v>
      </c>
      <c r="T665" s="263">
        <v>0</v>
      </c>
      <c r="U665" s="263">
        <f t="shared" si="392"/>
        <v>-5708785.4700000007</v>
      </c>
      <c r="V665" s="196" t="str">
        <f t="shared" si="411"/>
        <v>G/LOS</v>
      </c>
      <c r="W665" s="196" t="s">
        <v>1168</v>
      </c>
      <c r="X665" s="196" t="str">
        <f t="shared" si="408"/>
        <v>Y</v>
      </c>
      <c r="Y665" s="376">
        <f t="shared" si="409"/>
        <v>-5708785.4700000007</v>
      </c>
      <c r="Z665" s="198"/>
      <c r="AA665" s="376">
        <f t="shared" si="412"/>
        <v>-5708785.4700000007</v>
      </c>
      <c r="AB665" s="196" t="s">
        <v>1166</v>
      </c>
      <c r="AC665" s="196" t="s">
        <v>3624</v>
      </c>
      <c r="AD665" s="275">
        <v>0.31000000000000005</v>
      </c>
      <c r="AE665" s="275">
        <v>0.69</v>
      </c>
      <c r="AF665" s="275">
        <v>0</v>
      </c>
      <c r="AG665" s="199">
        <v>0.31</v>
      </c>
      <c r="AH665" s="199">
        <v>0.31</v>
      </c>
      <c r="AI665" s="377">
        <f t="shared" si="394"/>
        <v>0.31</v>
      </c>
      <c r="AJ665" s="548">
        <v>1</v>
      </c>
      <c r="AK665" s="203">
        <f t="shared" si="410"/>
        <v>0</v>
      </c>
      <c r="AL665" s="376">
        <f t="shared" si="395"/>
        <v>-3939061.9743000004</v>
      </c>
      <c r="AM665" s="376">
        <f t="shared" si="396"/>
        <v>-1769723.4957000001</v>
      </c>
      <c r="AN665" s="376">
        <f t="shared" si="397"/>
        <v>0</v>
      </c>
      <c r="AO665" s="378" t="s">
        <v>3607</v>
      </c>
      <c r="AP665" s="379" t="s">
        <v>2782</v>
      </c>
      <c r="AQ665" s="279"/>
      <c r="AR665" s="287">
        <f t="shared" si="414"/>
        <v>-986544</v>
      </c>
      <c r="AS665" s="287">
        <f t="shared" si="415"/>
        <v>-783179.49570000009</v>
      </c>
      <c r="AT665" s="287">
        <f t="shared" si="416"/>
        <v>0</v>
      </c>
      <c r="AU665" s="287">
        <f t="shared" si="417"/>
        <v>0</v>
      </c>
      <c r="AV665" s="287">
        <f t="shared" si="418"/>
        <v>0</v>
      </c>
      <c r="AW665" s="287">
        <f t="shared" si="419"/>
        <v>0</v>
      </c>
      <c r="AX665" s="287">
        <f t="shared" si="420"/>
        <v>0</v>
      </c>
      <c r="AY665" s="287">
        <f t="shared" si="421"/>
        <v>0</v>
      </c>
      <c r="AZ665" s="287">
        <f t="shared" si="422"/>
        <v>0</v>
      </c>
      <c r="BA665" s="287">
        <f t="shared" si="423"/>
        <v>0</v>
      </c>
      <c r="BB665" s="16"/>
      <c r="BC665" s="287">
        <f t="shared" si="424"/>
        <v>0</v>
      </c>
      <c r="BD665" s="287">
        <f t="shared" si="425"/>
        <v>0</v>
      </c>
      <c r="BE665" s="287">
        <f t="shared" si="426"/>
        <v>0</v>
      </c>
      <c r="BF665" s="287">
        <f t="shared" si="427"/>
        <v>0</v>
      </c>
      <c r="BG665" s="287">
        <f t="shared" si="428"/>
        <v>0</v>
      </c>
      <c r="BH665" s="287">
        <f t="shared" si="429"/>
        <v>0</v>
      </c>
      <c r="BI665" s="287">
        <f t="shared" si="430"/>
        <v>0</v>
      </c>
      <c r="BJ665" s="287">
        <f t="shared" si="431"/>
        <v>0</v>
      </c>
      <c r="BK665" s="287">
        <f t="shared" si="432"/>
        <v>0</v>
      </c>
      <c r="BL665" s="287">
        <f t="shared" si="433"/>
        <v>0</v>
      </c>
      <c r="BM665" s="16"/>
      <c r="BN665" s="287">
        <f t="shared" si="434"/>
        <v>-1769723.4957000001</v>
      </c>
      <c r="BO665" s="287">
        <f t="shared" si="435"/>
        <v>0</v>
      </c>
      <c r="BP665" s="432">
        <f>BN665-AM665</f>
        <v>0</v>
      </c>
      <c r="BQ665" s="21"/>
      <c r="BR665" s="21"/>
      <c r="BS665" s="6" t="e">
        <v>#VALUE!</v>
      </c>
      <c r="BT665" s="194">
        <f t="shared" si="404"/>
        <v>-1769723.4957000001</v>
      </c>
      <c r="BU665" s="194">
        <f t="shared" si="405"/>
        <v>-1769723.4957000001</v>
      </c>
      <c r="BV665" s="194">
        <f t="shared" si="406"/>
        <v>0</v>
      </c>
      <c r="BW665" s="194">
        <f t="shared" si="407"/>
        <v>0</v>
      </c>
      <c r="BX665" s="6"/>
      <c r="BY665" s="6"/>
      <c r="BZ665" s="39">
        <v>652</v>
      </c>
      <c r="CA665" s="39">
        <f t="shared" si="436"/>
        <v>2031</v>
      </c>
      <c r="CB665" s="6"/>
      <c r="CC665" s="39"/>
      <c r="CD665" s="39"/>
      <c r="CE665" s="39"/>
      <c r="CF665" s="39"/>
      <c r="CG665" s="39"/>
      <c r="CH665" s="39"/>
      <c r="CI665" s="39"/>
      <c r="CJ665" s="39"/>
      <c r="CK665" s="39"/>
    </row>
    <row r="666" spans="1:89" s="193" customFormat="1" ht="36">
      <c r="A666" s="357"/>
      <c r="B666" s="21" t="str">
        <f t="shared" si="413"/>
        <v>TRA</v>
      </c>
      <c r="C666" s="21"/>
      <c r="D666" s="432"/>
      <c r="E666" s="439" t="s">
        <v>3626</v>
      </c>
      <c r="F666" s="439"/>
      <c r="G666" s="273" t="s">
        <v>5281</v>
      </c>
      <c r="H666" s="358" t="s">
        <v>4463</v>
      </c>
      <c r="I666" s="262" t="s">
        <v>3161</v>
      </c>
      <c r="J666" s="262"/>
      <c r="K666" s="263">
        <v>0</v>
      </c>
      <c r="L666" s="263">
        <v>0</v>
      </c>
      <c r="M666" s="263">
        <v>0</v>
      </c>
      <c r="N666" s="263">
        <v>0</v>
      </c>
      <c r="O666" s="263">
        <v>0</v>
      </c>
      <c r="P666" s="263">
        <v>2896525</v>
      </c>
      <c r="Q666" s="263">
        <v>7127272.3704000004</v>
      </c>
      <c r="R666" s="263">
        <v>3613041</v>
      </c>
      <c r="S666" s="263">
        <v>0</v>
      </c>
      <c r="T666" s="263">
        <v>0</v>
      </c>
      <c r="U666" s="263">
        <f t="shared" si="392"/>
        <v>13636838.3704</v>
      </c>
      <c r="V666" s="196" t="str">
        <f t="shared" si="411"/>
        <v>G/LOS</v>
      </c>
      <c r="W666" s="196" t="s">
        <v>1168</v>
      </c>
      <c r="X666" s="196" t="str">
        <f t="shared" si="408"/>
        <v>Y</v>
      </c>
      <c r="Y666" s="376">
        <f t="shared" si="409"/>
        <v>13636838.3704</v>
      </c>
      <c r="Z666" s="198"/>
      <c r="AA666" s="376">
        <f t="shared" si="412"/>
        <v>13636838.3704</v>
      </c>
      <c r="AB666" s="196" t="s">
        <v>1166</v>
      </c>
      <c r="AC666" s="196" t="s">
        <v>1168</v>
      </c>
      <c r="AD666" s="275">
        <v>0.215</v>
      </c>
      <c r="AE666" s="275">
        <f>1-AD666</f>
        <v>0.78500000000000003</v>
      </c>
      <c r="AF666" s="275">
        <v>0</v>
      </c>
      <c r="AG666" s="199">
        <v>0.1598</v>
      </c>
      <c r="AH666" s="199">
        <v>0.1598</v>
      </c>
      <c r="AI666" s="377">
        <f t="shared" si="394"/>
        <v>0.1598</v>
      </c>
      <c r="AJ666" s="203">
        <v>0.5</v>
      </c>
      <c r="AK666" s="203">
        <f t="shared" si="410"/>
        <v>0.5</v>
      </c>
      <c r="AL666" s="376">
        <f t="shared" si="395"/>
        <v>11457671.59881008</v>
      </c>
      <c r="AM666" s="376">
        <f t="shared" si="396"/>
        <v>1089583.38579496</v>
      </c>
      <c r="AN666" s="376">
        <f t="shared" si="397"/>
        <v>1089583.38579496</v>
      </c>
      <c r="AO666" s="378" t="s">
        <v>3607</v>
      </c>
      <c r="AP666" s="379" t="s">
        <v>2782</v>
      </c>
      <c r="AQ666" s="279"/>
      <c r="AR666" s="287">
        <f t="shared" si="414"/>
        <v>0</v>
      </c>
      <c r="AS666" s="287">
        <f t="shared" si="415"/>
        <v>0</v>
      </c>
      <c r="AT666" s="287">
        <f t="shared" si="416"/>
        <v>0</v>
      </c>
      <c r="AU666" s="287">
        <f t="shared" si="417"/>
        <v>0</v>
      </c>
      <c r="AV666" s="287">
        <f t="shared" si="418"/>
        <v>0</v>
      </c>
      <c r="AW666" s="287">
        <f t="shared" si="419"/>
        <v>231432.3475</v>
      </c>
      <c r="AX666" s="287">
        <f t="shared" si="420"/>
        <v>569469.06239495997</v>
      </c>
      <c r="AY666" s="287">
        <f t="shared" si="421"/>
        <v>288681.97590000002</v>
      </c>
      <c r="AZ666" s="287">
        <f t="shared" si="422"/>
        <v>0</v>
      </c>
      <c r="BA666" s="287">
        <f t="shared" si="423"/>
        <v>0</v>
      </c>
      <c r="BB666" s="16"/>
      <c r="BC666" s="287">
        <f t="shared" si="424"/>
        <v>0</v>
      </c>
      <c r="BD666" s="287">
        <f t="shared" si="425"/>
        <v>0</v>
      </c>
      <c r="BE666" s="287">
        <f t="shared" si="426"/>
        <v>0</v>
      </c>
      <c r="BF666" s="287">
        <f t="shared" si="427"/>
        <v>0</v>
      </c>
      <c r="BG666" s="287">
        <f t="shared" si="428"/>
        <v>0</v>
      </c>
      <c r="BH666" s="287">
        <f t="shared" si="429"/>
        <v>231432.3475</v>
      </c>
      <c r="BI666" s="287">
        <f t="shared" si="430"/>
        <v>569469.06239495997</v>
      </c>
      <c r="BJ666" s="287">
        <f t="shared" si="431"/>
        <v>288681.97590000002</v>
      </c>
      <c r="BK666" s="287">
        <f t="shared" si="432"/>
        <v>0</v>
      </c>
      <c r="BL666" s="287">
        <f t="shared" si="433"/>
        <v>0</v>
      </c>
      <c r="BM666" s="16"/>
      <c r="BN666" s="287">
        <f t="shared" si="434"/>
        <v>1089583.38579496</v>
      </c>
      <c r="BO666" s="287">
        <f t="shared" si="435"/>
        <v>1089583.38579496</v>
      </c>
      <c r="BP666" s="432"/>
      <c r="BQ666" s="21"/>
      <c r="BR666" s="21"/>
      <c r="BS666" s="6"/>
      <c r="BT666" s="194">
        <f t="shared" ref="BT666:BT696" si="437">+BN666+BO666</f>
        <v>2179166.7715899199</v>
      </c>
      <c r="BU666" s="194">
        <f t="shared" ref="BU666:BU696" si="438">+AM666</f>
        <v>1089583.38579496</v>
      </c>
      <c r="BV666" s="194">
        <f t="shared" ref="BV666:BV696" si="439">+AN666</f>
        <v>1089583.38579496</v>
      </c>
      <c r="BW666" s="194">
        <f t="shared" ref="BW666:BW696" si="440">+BT666-BU666-BV666</f>
        <v>0</v>
      </c>
      <c r="BX666" s="6"/>
      <c r="BY666" s="6"/>
      <c r="BZ666" s="39">
        <v>653</v>
      </c>
      <c r="CA666" s="39">
        <f t="shared" si="436"/>
        <v>2041</v>
      </c>
      <c r="CB666" s="6"/>
      <c r="CC666" s="39"/>
      <c r="CD666" s="39"/>
      <c r="CE666" s="39"/>
      <c r="CF666" s="39"/>
      <c r="CG666" s="39"/>
      <c r="CH666" s="39"/>
      <c r="CI666" s="39"/>
      <c r="CJ666" s="39"/>
      <c r="CK666" s="39"/>
    </row>
    <row r="667" spans="1:89" s="193" customFormat="1" ht="24">
      <c r="A667" s="357"/>
      <c r="B667" s="21" t="str">
        <f t="shared" si="413"/>
        <v>TRA</v>
      </c>
      <c r="C667" s="21"/>
      <c r="D667" s="432"/>
      <c r="E667" s="439" t="s">
        <v>3626</v>
      </c>
      <c r="F667" s="439"/>
      <c r="G667" s="273" t="s">
        <v>3623</v>
      </c>
      <c r="H667" s="358" t="s">
        <v>4472</v>
      </c>
      <c r="I667" s="262" t="s">
        <v>3161</v>
      </c>
      <c r="J667" s="262"/>
      <c r="K667" s="263">
        <v>9479600</v>
      </c>
      <c r="L667" s="263">
        <v>540800</v>
      </c>
      <c r="M667" s="263">
        <v>0</v>
      </c>
      <c r="N667" s="263">
        <v>0</v>
      </c>
      <c r="O667" s="263">
        <v>0</v>
      </c>
      <c r="P667" s="263">
        <v>0</v>
      </c>
      <c r="Q667" s="263">
        <v>0</v>
      </c>
      <c r="R667" s="263">
        <v>0</v>
      </c>
      <c r="S667" s="263">
        <v>0</v>
      </c>
      <c r="T667" s="263">
        <v>0</v>
      </c>
      <c r="U667" s="263">
        <f t="shared" ref="U667:U729" si="441">SUM(K667:T667)</f>
        <v>10020400</v>
      </c>
      <c r="V667" s="196" t="str">
        <f t="shared" si="411"/>
        <v>G</v>
      </c>
      <c r="W667" s="196" t="s">
        <v>1168</v>
      </c>
      <c r="X667" s="196" t="str">
        <f t="shared" si="408"/>
        <v>Y</v>
      </c>
      <c r="Y667" s="376">
        <f t="shared" si="409"/>
        <v>10020400</v>
      </c>
      <c r="Z667" s="198"/>
      <c r="AA667" s="376">
        <f t="shared" si="412"/>
        <v>10020400</v>
      </c>
      <c r="AB667" s="196" t="s">
        <v>1166</v>
      </c>
      <c r="AC667" s="196" t="s">
        <v>1168</v>
      </c>
      <c r="AD667" s="275">
        <v>1</v>
      </c>
      <c r="AE667" s="275">
        <v>0</v>
      </c>
      <c r="AF667" s="275">
        <v>0</v>
      </c>
      <c r="AG667" s="199">
        <v>1</v>
      </c>
      <c r="AH667" s="199">
        <v>1</v>
      </c>
      <c r="AI667" s="377">
        <f t="shared" si="394"/>
        <v>1</v>
      </c>
      <c r="AJ667" s="203">
        <v>1</v>
      </c>
      <c r="AK667" s="203">
        <f t="shared" si="410"/>
        <v>0</v>
      </c>
      <c r="AL667" s="376">
        <f t="shared" si="395"/>
        <v>0</v>
      </c>
      <c r="AM667" s="376">
        <f t="shared" si="396"/>
        <v>10020400</v>
      </c>
      <c r="AN667" s="376">
        <f t="shared" si="397"/>
        <v>0</v>
      </c>
      <c r="AO667" s="378" t="s">
        <v>3607</v>
      </c>
      <c r="AP667" s="379" t="s">
        <v>2783</v>
      </c>
      <c r="AQ667" s="279"/>
      <c r="AR667" s="287">
        <f t="shared" si="414"/>
        <v>9479600</v>
      </c>
      <c r="AS667" s="287">
        <f t="shared" si="415"/>
        <v>540800</v>
      </c>
      <c r="AT667" s="287">
        <f t="shared" si="416"/>
        <v>0</v>
      </c>
      <c r="AU667" s="287">
        <f t="shared" si="417"/>
        <v>0</v>
      </c>
      <c r="AV667" s="287">
        <f t="shared" si="418"/>
        <v>0</v>
      </c>
      <c r="AW667" s="287">
        <f t="shared" si="419"/>
        <v>0</v>
      </c>
      <c r="AX667" s="287">
        <f t="shared" si="420"/>
        <v>0</v>
      </c>
      <c r="AY667" s="287">
        <f t="shared" si="421"/>
        <v>0</v>
      </c>
      <c r="AZ667" s="287">
        <f t="shared" si="422"/>
        <v>0</v>
      </c>
      <c r="BA667" s="287">
        <f t="shared" si="423"/>
        <v>0</v>
      </c>
      <c r="BB667" s="16"/>
      <c r="BC667" s="287">
        <f t="shared" si="424"/>
        <v>0</v>
      </c>
      <c r="BD667" s="287">
        <f t="shared" si="425"/>
        <v>0</v>
      </c>
      <c r="BE667" s="287">
        <f t="shared" si="426"/>
        <v>0</v>
      </c>
      <c r="BF667" s="287">
        <f t="shared" si="427"/>
        <v>0</v>
      </c>
      <c r="BG667" s="287">
        <f t="shared" si="428"/>
        <v>0</v>
      </c>
      <c r="BH667" s="287">
        <f t="shared" si="429"/>
        <v>0</v>
      </c>
      <c r="BI667" s="287">
        <f t="shared" si="430"/>
        <v>0</v>
      </c>
      <c r="BJ667" s="287">
        <f t="shared" si="431"/>
        <v>0</v>
      </c>
      <c r="BK667" s="287">
        <f t="shared" si="432"/>
        <v>0</v>
      </c>
      <c r="BL667" s="287">
        <f t="shared" si="433"/>
        <v>0</v>
      </c>
      <c r="BM667" s="16"/>
      <c r="BN667" s="287">
        <f t="shared" si="434"/>
        <v>10020400</v>
      </c>
      <c r="BO667" s="287">
        <f t="shared" si="435"/>
        <v>0</v>
      </c>
      <c r="BP667" s="432"/>
      <c r="BQ667" s="21"/>
      <c r="BR667" s="21"/>
      <c r="BS667" s="6" t="e">
        <v>#VALUE!</v>
      </c>
      <c r="BT667" s="194">
        <f t="shared" si="437"/>
        <v>10020400</v>
      </c>
      <c r="BU667" s="194">
        <f t="shared" si="438"/>
        <v>10020400</v>
      </c>
      <c r="BV667" s="194">
        <f t="shared" si="439"/>
        <v>0</v>
      </c>
      <c r="BW667" s="194">
        <f t="shared" si="440"/>
        <v>0</v>
      </c>
      <c r="BX667" s="6"/>
      <c r="BY667" s="6"/>
      <c r="BZ667" s="39">
        <v>654</v>
      </c>
      <c r="CA667" s="39">
        <f t="shared" si="436"/>
        <v>2031</v>
      </c>
      <c r="CB667" s="6"/>
      <c r="CC667" s="39"/>
      <c r="CD667" s="39"/>
      <c r="CE667" s="39"/>
      <c r="CF667" s="39"/>
      <c r="CG667" s="39"/>
      <c r="CH667" s="39"/>
      <c r="CI667" s="39"/>
      <c r="CJ667" s="39"/>
      <c r="CK667" s="39"/>
    </row>
    <row r="668" spans="1:89" s="193" customFormat="1" ht="24">
      <c r="A668" s="357"/>
      <c r="B668" s="21" t="str">
        <f t="shared" si="413"/>
        <v>TRA</v>
      </c>
      <c r="C668" s="21"/>
      <c r="D668" s="432"/>
      <c r="E668" s="439" t="s">
        <v>3626</v>
      </c>
      <c r="F668" s="439"/>
      <c r="G668" s="273" t="s">
        <v>4401</v>
      </c>
      <c r="H668" s="358" t="s">
        <v>4434</v>
      </c>
      <c r="I668" s="262" t="s">
        <v>3161</v>
      </c>
      <c r="J668" s="262"/>
      <c r="K668" s="263">
        <v>67354</v>
      </c>
      <c r="L668" s="263">
        <v>69726.219199999992</v>
      </c>
      <c r="M668" s="263">
        <v>88836.475663999998</v>
      </c>
      <c r="N668" s="263">
        <v>120794.60032181999</v>
      </c>
      <c r="O668" s="263">
        <v>128823.12249087122</v>
      </c>
      <c r="P668" s="263">
        <v>210309.91347882649</v>
      </c>
      <c r="Q668" s="263">
        <v>202631.19658522183</v>
      </c>
      <c r="R668" s="263">
        <v>239544.17973747721</v>
      </c>
      <c r="S668" s="263">
        <v>304190.0291173227</v>
      </c>
      <c r="T668" s="263">
        <v>283374.29860446113</v>
      </c>
      <c r="U668" s="263">
        <f t="shared" si="441"/>
        <v>1715584.0352000007</v>
      </c>
      <c r="V668" s="196" t="str">
        <f t="shared" si="411"/>
        <v>G/LOS</v>
      </c>
      <c r="W668" s="196" t="s">
        <v>1168</v>
      </c>
      <c r="X668" s="196" t="str">
        <f t="shared" si="408"/>
        <v>Y</v>
      </c>
      <c r="Y668" s="376">
        <f t="shared" si="409"/>
        <v>1715584.0352000007</v>
      </c>
      <c r="Z668" s="198"/>
      <c r="AA668" s="376">
        <f t="shared" si="412"/>
        <v>1715584.0352000007</v>
      </c>
      <c r="AB668" s="196" t="s">
        <v>1166</v>
      </c>
      <c r="AC668" s="196" t="s">
        <v>1168</v>
      </c>
      <c r="AD668" s="275">
        <v>0.08</v>
      </c>
      <c r="AE668" s="275">
        <f>1-AD668</f>
        <v>0.92</v>
      </c>
      <c r="AF668" s="275">
        <v>0</v>
      </c>
      <c r="AG668" s="199">
        <v>0.08</v>
      </c>
      <c r="AH668" s="199">
        <v>0.08</v>
      </c>
      <c r="AI668" s="377">
        <f t="shared" si="394"/>
        <v>0.08</v>
      </c>
      <c r="AJ668" s="203">
        <v>0.67</v>
      </c>
      <c r="AK668" s="203">
        <f t="shared" si="410"/>
        <v>0.32999999999999996</v>
      </c>
      <c r="AL668" s="376">
        <f t="shared" si="395"/>
        <v>1578337.3123840007</v>
      </c>
      <c r="AM668" s="376">
        <f t="shared" si="396"/>
        <v>91955.304286720042</v>
      </c>
      <c r="AN668" s="376">
        <f t="shared" si="397"/>
        <v>45291.41852928001</v>
      </c>
      <c r="AO668" s="378" t="s">
        <v>3608</v>
      </c>
      <c r="AP668" s="379" t="s">
        <v>2784</v>
      </c>
      <c r="AQ668" s="279"/>
      <c r="AR668" s="287">
        <f t="shared" si="414"/>
        <v>3610.1743999999999</v>
      </c>
      <c r="AS668" s="287">
        <f t="shared" si="415"/>
        <v>3737.3253491199998</v>
      </c>
      <c r="AT668" s="287">
        <f t="shared" si="416"/>
        <v>4761.6350955903999</v>
      </c>
      <c r="AU668" s="287">
        <f t="shared" si="417"/>
        <v>6474.5905772495516</v>
      </c>
      <c r="AV668" s="287">
        <f t="shared" si="418"/>
        <v>6904.9193655106974</v>
      </c>
      <c r="AW668" s="287">
        <f t="shared" si="419"/>
        <v>11272.611362465101</v>
      </c>
      <c r="AX668" s="287">
        <f t="shared" si="420"/>
        <v>10861.03213696789</v>
      </c>
      <c r="AY668" s="287">
        <f t="shared" si="421"/>
        <v>12839.568033928779</v>
      </c>
      <c r="AZ668" s="287">
        <f t="shared" si="422"/>
        <v>16304.5855606885</v>
      </c>
      <c r="BA668" s="287">
        <f t="shared" si="423"/>
        <v>15188.862405199117</v>
      </c>
      <c r="BB668" s="16"/>
      <c r="BC668" s="287">
        <f t="shared" si="424"/>
        <v>1778.1455999999996</v>
      </c>
      <c r="BD668" s="287">
        <f t="shared" si="425"/>
        <v>1840.7721868799995</v>
      </c>
      <c r="BE668" s="287">
        <f t="shared" si="426"/>
        <v>2345.2829575295996</v>
      </c>
      <c r="BF668" s="287">
        <f t="shared" si="427"/>
        <v>3188.9774484960471</v>
      </c>
      <c r="BG668" s="287">
        <f t="shared" si="428"/>
        <v>3400.9304337589997</v>
      </c>
      <c r="BH668" s="287">
        <f t="shared" si="429"/>
        <v>5552.1817158410186</v>
      </c>
      <c r="BI668" s="287">
        <f t="shared" si="430"/>
        <v>5349.4635898498555</v>
      </c>
      <c r="BJ668" s="287">
        <f t="shared" si="431"/>
        <v>6323.9663450693979</v>
      </c>
      <c r="BK668" s="287">
        <f t="shared" si="432"/>
        <v>8030.6167686973195</v>
      </c>
      <c r="BL668" s="287">
        <f t="shared" si="433"/>
        <v>7481.0814831577727</v>
      </c>
      <c r="BM668" s="16"/>
      <c r="BN668" s="287">
        <f t="shared" si="434"/>
        <v>91955.304286720042</v>
      </c>
      <c r="BO668" s="287">
        <f t="shared" si="435"/>
        <v>45291.41852928001</v>
      </c>
      <c r="BP668" s="432"/>
      <c r="BQ668" s="21"/>
      <c r="BR668" s="21"/>
      <c r="BS668" s="6"/>
      <c r="BT668" s="194">
        <f t="shared" si="437"/>
        <v>137246.72281600005</v>
      </c>
      <c r="BU668" s="194">
        <f t="shared" si="438"/>
        <v>91955.304286720042</v>
      </c>
      <c r="BV668" s="194">
        <f t="shared" si="439"/>
        <v>45291.41852928001</v>
      </c>
      <c r="BW668" s="194">
        <f t="shared" si="440"/>
        <v>0</v>
      </c>
      <c r="BX668" s="6"/>
      <c r="BY668" s="6"/>
      <c r="BZ668" s="39">
        <v>655</v>
      </c>
      <c r="CA668" s="39">
        <f t="shared" si="436"/>
        <v>2036</v>
      </c>
      <c r="CB668" s="6"/>
      <c r="CC668" s="39"/>
      <c r="CD668" s="39"/>
      <c r="CE668" s="39"/>
      <c r="CF668" s="39"/>
      <c r="CG668" s="39"/>
      <c r="CH668" s="39"/>
      <c r="CI668" s="39"/>
      <c r="CJ668" s="39"/>
      <c r="CK668" s="39"/>
    </row>
    <row r="669" spans="1:89" s="193" customFormat="1" ht="28.5" customHeight="1">
      <c r="A669" s="357"/>
      <c r="B669" s="21" t="str">
        <f t="shared" si="413"/>
        <v>TRA</v>
      </c>
      <c r="C669" s="21"/>
      <c r="D669" s="432"/>
      <c r="E669" s="439" t="s">
        <v>3626</v>
      </c>
      <c r="F669" s="439"/>
      <c r="G669" s="273" t="s">
        <v>3630</v>
      </c>
      <c r="H669" s="358" t="s">
        <v>4467</v>
      </c>
      <c r="I669" s="262" t="s">
        <v>3161</v>
      </c>
      <c r="J669" s="262"/>
      <c r="K669" s="263">
        <v>1905903.9999999998</v>
      </c>
      <c r="L669" s="263">
        <v>1982140.1600000004</v>
      </c>
      <c r="M669" s="263">
        <v>9046104.6575535983</v>
      </c>
      <c r="N669" s="263">
        <v>9317487.7972802091</v>
      </c>
      <c r="O669" s="263">
        <v>9597012.4311986174</v>
      </c>
      <c r="P669" s="263">
        <v>9884922.8041345757</v>
      </c>
      <c r="Q669" s="263">
        <v>0</v>
      </c>
      <c r="R669" s="263">
        <v>0</v>
      </c>
      <c r="S669" s="263">
        <v>0</v>
      </c>
      <c r="T669" s="263">
        <v>0</v>
      </c>
      <c r="U669" s="263">
        <f t="shared" si="441"/>
        <v>41733571.850167006</v>
      </c>
      <c r="V669" s="196" t="str">
        <f t="shared" si="411"/>
        <v>G</v>
      </c>
      <c r="W669" s="196" t="s">
        <v>1168</v>
      </c>
      <c r="X669" s="196" t="s">
        <v>1166</v>
      </c>
      <c r="Y669" s="376">
        <f t="shared" si="409"/>
        <v>41733571.850167006</v>
      </c>
      <c r="Z669" s="198"/>
      <c r="AA669" s="376">
        <f t="shared" si="412"/>
        <v>41733571.850167006</v>
      </c>
      <c r="AB669" s="196" t="s">
        <v>1166</v>
      </c>
      <c r="AC669" s="196" t="s">
        <v>1168</v>
      </c>
      <c r="AD669" s="275">
        <v>1</v>
      </c>
      <c r="AE669" s="275">
        <v>0</v>
      </c>
      <c r="AF669" s="275">
        <v>0</v>
      </c>
      <c r="AG669" s="199">
        <v>1</v>
      </c>
      <c r="AH669" s="199">
        <v>1</v>
      </c>
      <c r="AI669" s="377">
        <f t="shared" ref="AI669:AI731" si="442">(AG669+AH669)/2</f>
        <v>1</v>
      </c>
      <c r="AJ669" s="203">
        <v>0.33</v>
      </c>
      <c r="AK669" s="203">
        <f>1-AJ669</f>
        <v>0.66999999999999993</v>
      </c>
      <c r="AL669" s="376">
        <f t="shared" ref="AL669:AL731" si="443">(100%-AI669)*AA669</f>
        <v>0</v>
      </c>
      <c r="AM669" s="376">
        <f t="shared" ref="AM669:AM731" si="444">AA669*AI669*AJ669</f>
        <v>13772078.710555112</v>
      </c>
      <c r="AN669" s="376">
        <f t="shared" ref="AN669:AN731" si="445">AA669*AI669*AK669</f>
        <v>27961493.139611892</v>
      </c>
      <c r="AO669" s="378" t="s">
        <v>3608</v>
      </c>
      <c r="AP669" s="379" t="s">
        <v>2786</v>
      </c>
      <c r="AQ669" s="279"/>
      <c r="AR669" s="287">
        <f t="shared" si="414"/>
        <v>628948.31999999995</v>
      </c>
      <c r="AS669" s="287">
        <f t="shared" si="415"/>
        <v>654106.25280000013</v>
      </c>
      <c r="AT669" s="287">
        <f t="shared" si="416"/>
        <v>2985214.5369926877</v>
      </c>
      <c r="AU669" s="287">
        <f t="shared" si="417"/>
        <v>3074770.973102469</v>
      </c>
      <c r="AV669" s="287">
        <f t="shared" si="418"/>
        <v>3167014.102295544</v>
      </c>
      <c r="AW669" s="287">
        <f t="shared" si="419"/>
        <v>3262024.5253644101</v>
      </c>
      <c r="AX669" s="287">
        <f t="shared" si="420"/>
        <v>0</v>
      </c>
      <c r="AY669" s="287">
        <f t="shared" si="421"/>
        <v>0</v>
      </c>
      <c r="AZ669" s="287">
        <f t="shared" si="422"/>
        <v>0</v>
      </c>
      <c r="BA669" s="287">
        <f t="shared" si="423"/>
        <v>0</v>
      </c>
      <c r="BB669" s="16"/>
      <c r="BC669" s="287">
        <f t="shared" si="424"/>
        <v>1276955.6799999997</v>
      </c>
      <c r="BD669" s="287">
        <f t="shared" si="425"/>
        <v>1328033.9072</v>
      </c>
      <c r="BE669" s="287">
        <f t="shared" si="426"/>
        <v>6060890.1205609106</v>
      </c>
      <c r="BF669" s="287">
        <f t="shared" si="427"/>
        <v>6242716.8241777392</v>
      </c>
      <c r="BG669" s="287">
        <f t="shared" si="428"/>
        <v>6429998.3289030734</v>
      </c>
      <c r="BH669" s="287">
        <f t="shared" si="429"/>
        <v>6622898.2787701646</v>
      </c>
      <c r="BI669" s="287">
        <f t="shared" si="430"/>
        <v>0</v>
      </c>
      <c r="BJ669" s="287">
        <f t="shared" si="431"/>
        <v>0</v>
      </c>
      <c r="BK669" s="287">
        <f t="shared" si="432"/>
        <v>0</v>
      </c>
      <c r="BL669" s="287">
        <f t="shared" si="433"/>
        <v>0</v>
      </c>
      <c r="BM669" s="16"/>
      <c r="BN669" s="287">
        <f t="shared" si="434"/>
        <v>13772078.71055511</v>
      </c>
      <c r="BO669" s="287">
        <f t="shared" si="435"/>
        <v>27961493.139611885</v>
      </c>
      <c r="BP669" s="432"/>
      <c r="BQ669" s="21"/>
      <c r="BR669" s="21"/>
      <c r="BS669" s="6"/>
      <c r="BT669" s="194">
        <f t="shared" si="437"/>
        <v>41733571.850166991</v>
      </c>
      <c r="BU669" s="194">
        <f t="shared" si="438"/>
        <v>13772078.710555112</v>
      </c>
      <c r="BV669" s="194">
        <f t="shared" si="439"/>
        <v>27961493.139611892</v>
      </c>
      <c r="BW669" s="194">
        <f t="shared" si="440"/>
        <v>0</v>
      </c>
      <c r="BX669" s="6"/>
      <c r="BY669" s="6"/>
      <c r="BZ669" s="39">
        <v>656</v>
      </c>
      <c r="CA669" s="39">
        <f t="shared" si="436"/>
        <v>2051</v>
      </c>
      <c r="CB669" s="6"/>
      <c r="CC669" s="39"/>
      <c r="CD669" s="39"/>
      <c r="CE669" s="39"/>
      <c r="CF669" s="39"/>
      <c r="CG669" s="39"/>
      <c r="CH669" s="39"/>
      <c r="CI669" s="39"/>
      <c r="CJ669" s="39"/>
      <c r="CK669" s="39"/>
    </row>
    <row r="670" spans="1:89" s="193" customFormat="1" ht="34.4" customHeight="1">
      <c r="A670" s="357"/>
      <c r="B670" s="21" t="str">
        <f t="shared" si="413"/>
        <v>TRA</v>
      </c>
      <c r="C670" s="21"/>
      <c r="D670" s="432"/>
      <c r="E670" s="439" t="s">
        <v>3626</v>
      </c>
      <c r="F670" s="439"/>
      <c r="G670" s="273" t="s">
        <v>4402</v>
      </c>
      <c r="H670" s="358" t="s">
        <v>4434</v>
      </c>
      <c r="I670" s="262" t="s">
        <v>3161</v>
      </c>
      <c r="J670" s="262"/>
      <c r="K670" s="263">
        <v>73256.399999999994</v>
      </c>
      <c r="L670" s="263">
        <v>75836.502719999989</v>
      </c>
      <c r="M670" s="263">
        <v>96621.438902399997</v>
      </c>
      <c r="N670" s="263">
        <v>131380.13420161197</v>
      </c>
      <c r="O670" s="263">
        <v>140112.21591056592</v>
      </c>
      <c r="P670" s="263">
        <v>228739.89882962118</v>
      </c>
      <c r="Q670" s="263">
        <v>220388.27671000452</v>
      </c>
      <c r="R670" s="263">
        <v>260536.03718443634</v>
      </c>
      <c r="S670" s="263">
        <v>330846.96453113755</v>
      </c>
      <c r="T670" s="263">
        <v>308207.09933022311</v>
      </c>
      <c r="U670" s="263">
        <f t="shared" si="441"/>
        <v>1865924.9683200007</v>
      </c>
      <c r="V670" s="196" t="str">
        <f t="shared" si="411"/>
        <v>G/LOS</v>
      </c>
      <c r="W670" s="196" t="s">
        <v>1168</v>
      </c>
      <c r="X670" s="196" t="str">
        <f>IF(LEFT(V670,1)="G","Y","N")</f>
        <v>Y</v>
      </c>
      <c r="Y670" s="376">
        <f t="shared" si="409"/>
        <v>1865924.9683200007</v>
      </c>
      <c r="Z670" s="198"/>
      <c r="AA670" s="376">
        <f t="shared" si="412"/>
        <v>1865924.9683200007</v>
      </c>
      <c r="AB670" s="196" t="s">
        <v>1166</v>
      </c>
      <c r="AC670" s="196" t="s">
        <v>1168</v>
      </c>
      <c r="AD670" s="275">
        <v>0.69</v>
      </c>
      <c r="AE670" s="275">
        <f>1-AD670</f>
        <v>0.31000000000000005</v>
      </c>
      <c r="AF670" s="275">
        <v>0</v>
      </c>
      <c r="AG670" s="199">
        <v>0.69</v>
      </c>
      <c r="AH670" s="199">
        <v>0.69</v>
      </c>
      <c r="AI670" s="377">
        <f t="shared" si="442"/>
        <v>0.69</v>
      </c>
      <c r="AJ670" s="203">
        <v>0.67</v>
      </c>
      <c r="AK670" s="203">
        <f>100%-AJ670</f>
        <v>0.32999999999999996</v>
      </c>
      <c r="AL670" s="376">
        <f t="shared" si="443"/>
        <v>578436.74017920031</v>
      </c>
      <c r="AM670" s="376">
        <f t="shared" si="444"/>
        <v>862617.11285433627</v>
      </c>
      <c r="AN670" s="376">
        <f t="shared" si="445"/>
        <v>424871.11528646405</v>
      </c>
      <c r="AO670" s="378" t="s">
        <v>3608</v>
      </c>
      <c r="AP670" s="379" t="s">
        <v>2793</v>
      </c>
      <c r="AQ670" s="279"/>
      <c r="AR670" s="287">
        <f t="shared" si="414"/>
        <v>33866.433719999994</v>
      </c>
      <c r="AS670" s="287">
        <f t="shared" si="415"/>
        <v>35059.215207455993</v>
      </c>
      <c r="AT670" s="287">
        <f t="shared" si="416"/>
        <v>44668.091204579519</v>
      </c>
      <c r="AU670" s="287">
        <f t="shared" si="417"/>
        <v>60737.036041405219</v>
      </c>
      <c r="AV670" s="287">
        <f t="shared" si="418"/>
        <v>64773.877415454626</v>
      </c>
      <c r="AW670" s="287">
        <f t="shared" si="419"/>
        <v>105746.45522893388</v>
      </c>
      <c r="AX670" s="287">
        <f t="shared" si="420"/>
        <v>101885.50032303508</v>
      </c>
      <c r="AY670" s="287">
        <f t="shared" si="421"/>
        <v>120445.80999036491</v>
      </c>
      <c r="AZ670" s="287">
        <f t="shared" si="422"/>
        <v>152950.55170274488</v>
      </c>
      <c r="BA670" s="287">
        <f t="shared" si="423"/>
        <v>142484.14202036214</v>
      </c>
      <c r="BB670" s="16"/>
      <c r="BC670" s="287">
        <f t="shared" si="424"/>
        <v>16680.482279999997</v>
      </c>
      <c r="BD670" s="287">
        <f t="shared" si="425"/>
        <v>17267.971669343995</v>
      </c>
      <c r="BE670" s="287">
        <f t="shared" si="426"/>
        <v>22000.701638076476</v>
      </c>
      <c r="BF670" s="287">
        <f t="shared" si="427"/>
        <v>29915.256557707042</v>
      </c>
      <c r="BG670" s="287">
        <f t="shared" si="428"/>
        <v>31903.551562835855</v>
      </c>
      <c r="BH670" s="287">
        <f t="shared" si="429"/>
        <v>52084.074963504732</v>
      </c>
      <c r="BI670" s="287">
        <f t="shared" si="430"/>
        <v>50182.410606868019</v>
      </c>
      <c r="BJ670" s="287">
        <f t="shared" si="431"/>
        <v>59324.055666896136</v>
      </c>
      <c r="BK670" s="287">
        <f t="shared" si="432"/>
        <v>75333.853823740006</v>
      </c>
      <c r="BL670" s="287">
        <f t="shared" si="433"/>
        <v>70178.756517491784</v>
      </c>
      <c r="BM670" s="16"/>
      <c r="BN670" s="287">
        <f t="shared" si="434"/>
        <v>862617.11285433639</v>
      </c>
      <c r="BO670" s="287">
        <f t="shared" si="435"/>
        <v>424871.11528646399</v>
      </c>
      <c r="BP670" s="432"/>
      <c r="BQ670" s="21"/>
      <c r="BR670" s="21"/>
      <c r="BS670" s="6"/>
      <c r="BT670" s="194">
        <f t="shared" si="437"/>
        <v>1287488.2281408003</v>
      </c>
      <c r="BU670" s="194">
        <f t="shared" si="438"/>
        <v>862617.11285433627</v>
      </c>
      <c r="BV670" s="194">
        <f t="shared" si="439"/>
        <v>424871.11528646405</v>
      </c>
      <c r="BW670" s="194">
        <f t="shared" si="440"/>
        <v>0</v>
      </c>
      <c r="BX670" s="6"/>
      <c r="BY670" s="6"/>
      <c r="BZ670" s="39">
        <v>657</v>
      </c>
      <c r="CA670" s="39">
        <f t="shared" si="436"/>
        <v>2036</v>
      </c>
      <c r="CB670" s="6"/>
      <c r="CC670" s="39"/>
      <c r="CD670" s="39"/>
      <c r="CE670" s="39"/>
      <c r="CF670" s="39"/>
      <c r="CG670" s="39"/>
      <c r="CH670" s="39"/>
      <c r="CI670" s="39"/>
      <c r="CJ670" s="39"/>
      <c r="CK670" s="39"/>
    </row>
    <row r="671" spans="1:89" s="193" customFormat="1" ht="34.5" customHeight="1">
      <c r="A671" s="357"/>
      <c r="B671" s="21" t="str">
        <f t="shared" si="413"/>
        <v>TRA</v>
      </c>
      <c r="C671" s="21"/>
      <c r="D671" s="432"/>
      <c r="E671" s="439" t="s">
        <v>3626</v>
      </c>
      <c r="F671" s="439"/>
      <c r="G671" s="273" t="s">
        <v>3631</v>
      </c>
      <c r="H671" s="358" t="s">
        <v>4468</v>
      </c>
      <c r="I671" s="262" t="s">
        <v>3161</v>
      </c>
      <c r="J671" s="262"/>
      <c r="K671" s="263">
        <v>1568196.5814666669</v>
      </c>
      <c r="L671" s="263">
        <v>1630924.4447253335</v>
      </c>
      <c r="M671" s="263">
        <v>1679852.1780670937</v>
      </c>
      <c r="N671" s="263">
        <v>12604193.325403173</v>
      </c>
      <c r="O671" s="263">
        <v>12982319.125165269</v>
      </c>
      <c r="P671" s="263">
        <v>13371788.698920228</v>
      </c>
      <c r="Q671" s="263">
        <v>13772942.359887833</v>
      </c>
      <c r="R671" s="263">
        <v>0</v>
      </c>
      <c r="S671" s="263">
        <v>0</v>
      </c>
      <c r="T671" s="263">
        <v>0</v>
      </c>
      <c r="U671" s="263">
        <f t="shared" si="441"/>
        <v>57610216.713635594</v>
      </c>
      <c r="V671" s="196" t="str">
        <f t="shared" si="411"/>
        <v>G/LOS</v>
      </c>
      <c r="W671" s="196" t="s">
        <v>1168</v>
      </c>
      <c r="X671" s="196" t="s">
        <v>1166</v>
      </c>
      <c r="Y671" s="376">
        <f t="shared" si="409"/>
        <v>57610216.713635594</v>
      </c>
      <c r="Z671" s="198"/>
      <c r="AA671" s="376">
        <f t="shared" si="412"/>
        <v>57610216.713635594</v>
      </c>
      <c r="AB671" s="196" t="s">
        <v>1166</v>
      </c>
      <c r="AC671" s="196" t="s">
        <v>1168</v>
      </c>
      <c r="AD671" s="275">
        <v>0.67</v>
      </c>
      <c r="AE671" s="275">
        <v>0.33</v>
      </c>
      <c r="AF671" s="275">
        <v>0</v>
      </c>
      <c r="AG671" s="199">
        <v>0.59</v>
      </c>
      <c r="AH671" s="199">
        <v>0.75</v>
      </c>
      <c r="AI671" s="377">
        <f t="shared" si="442"/>
        <v>0.66999999999999993</v>
      </c>
      <c r="AJ671" s="203">
        <v>0.67</v>
      </c>
      <c r="AK671" s="203">
        <f>100%-AJ671</f>
        <v>0.32999999999999996</v>
      </c>
      <c r="AL671" s="376">
        <f t="shared" si="443"/>
        <v>19011371.515499748</v>
      </c>
      <c r="AM671" s="376">
        <f t="shared" si="444"/>
        <v>25861226.282751016</v>
      </c>
      <c r="AN671" s="376">
        <f t="shared" si="445"/>
        <v>12737618.915384827</v>
      </c>
      <c r="AO671" s="378" t="s">
        <v>3607</v>
      </c>
      <c r="AP671" s="379" t="s">
        <v>2786</v>
      </c>
      <c r="AQ671" s="279"/>
      <c r="AR671" s="287">
        <f t="shared" si="414"/>
        <v>703963.44542038674</v>
      </c>
      <c r="AS671" s="287">
        <f t="shared" si="415"/>
        <v>732121.98323720205</v>
      </c>
      <c r="AT671" s="287">
        <f t="shared" si="416"/>
        <v>754085.64273431839</v>
      </c>
      <c r="AU671" s="287">
        <f t="shared" si="417"/>
        <v>5658022.3837734843</v>
      </c>
      <c r="AV671" s="287">
        <f t="shared" si="418"/>
        <v>5827763.0552866887</v>
      </c>
      <c r="AW671" s="287">
        <f t="shared" si="419"/>
        <v>6002595.9469452901</v>
      </c>
      <c r="AX671" s="287">
        <f t="shared" si="420"/>
        <v>6182673.8253536476</v>
      </c>
      <c r="AY671" s="287">
        <f t="shared" si="421"/>
        <v>0</v>
      </c>
      <c r="AZ671" s="287">
        <f t="shared" si="422"/>
        <v>0</v>
      </c>
      <c r="BA671" s="287">
        <f t="shared" si="423"/>
        <v>0</v>
      </c>
      <c r="BB671" s="16"/>
      <c r="BC671" s="287">
        <f t="shared" si="424"/>
        <v>346728.26416227996</v>
      </c>
      <c r="BD671" s="287">
        <f t="shared" si="425"/>
        <v>360597.39472877112</v>
      </c>
      <c r="BE671" s="287">
        <f t="shared" si="426"/>
        <v>371415.31657063437</v>
      </c>
      <c r="BF671" s="287">
        <f t="shared" si="427"/>
        <v>2786787.1442466411</v>
      </c>
      <c r="BG671" s="287">
        <f t="shared" si="428"/>
        <v>2870390.7585740401</v>
      </c>
      <c r="BH671" s="287">
        <f t="shared" si="429"/>
        <v>2956502.4813312618</v>
      </c>
      <c r="BI671" s="287">
        <f t="shared" si="430"/>
        <v>3045197.5557711991</v>
      </c>
      <c r="BJ671" s="287">
        <f t="shared" si="431"/>
        <v>0</v>
      </c>
      <c r="BK671" s="287">
        <f t="shared" si="432"/>
        <v>0</v>
      </c>
      <c r="BL671" s="287">
        <f t="shared" si="433"/>
        <v>0</v>
      </c>
      <c r="BM671" s="16"/>
      <c r="BN671" s="287">
        <f t="shared" si="434"/>
        <v>25861226.28275102</v>
      </c>
      <c r="BO671" s="287">
        <f t="shared" si="435"/>
        <v>12737618.915384825</v>
      </c>
      <c r="BP671" s="432"/>
      <c r="BQ671" s="21"/>
      <c r="BR671" s="21"/>
      <c r="BS671" s="6"/>
      <c r="BT671" s="194">
        <f t="shared" si="437"/>
        <v>38598845.198135845</v>
      </c>
      <c r="BU671" s="194">
        <f t="shared" si="438"/>
        <v>25861226.282751016</v>
      </c>
      <c r="BV671" s="194">
        <f t="shared" si="439"/>
        <v>12737618.915384827</v>
      </c>
      <c r="BW671" s="194">
        <f t="shared" si="440"/>
        <v>0</v>
      </c>
      <c r="BX671" s="6"/>
      <c r="BY671" s="6"/>
      <c r="BZ671" s="39">
        <v>658</v>
      </c>
      <c r="CA671" s="39">
        <f t="shared" si="436"/>
        <v>2036</v>
      </c>
      <c r="CB671" s="6"/>
      <c r="CC671" s="39"/>
      <c r="CD671" s="39"/>
      <c r="CE671" s="39"/>
      <c r="CF671" s="39"/>
      <c r="CG671" s="39"/>
      <c r="CH671" s="39"/>
      <c r="CI671" s="39"/>
      <c r="CJ671" s="39"/>
      <c r="CK671" s="39"/>
    </row>
    <row r="672" spans="1:89" s="193" customFormat="1" ht="24">
      <c r="A672" s="357"/>
      <c r="B672" s="21" t="str">
        <f t="shared" si="413"/>
        <v>STW</v>
      </c>
      <c r="C672" s="21"/>
      <c r="D672" s="432" t="s">
        <v>3933</v>
      </c>
      <c r="E672" s="439" t="s">
        <v>3626</v>
      </c>
      <c r="F672" s="439" t="s">
        <v>4076</v>
      </c>
      <c r="G672" s="273" t="s">
        <v>4581</v>
      </c>
      <c r="H672" s="358" t="s">
        <v>4580</v>
      </c>
      <c r="I672" s="262" t="s">
        <v>3491</v>
      </c>
      <c r="J672" s="262" t="s">
        <v>4195</v>
      </c>
      <c r="K672" s="263">
        <v>35000</v>
      </c>
      <c r="L672" s="263">
        <v>1075000</v>
      </c>
      <c r="M672" s="263">
        <v>0</v>
      </c>
      <c r="N672" s="263">
        <v>0</v>
      </c>
      <c r="O672" s="263">
        <v>0</v>
      </c>
      <c r="P672" s="263">
        <v>0</v>
      </c>
      <c r="Q672" s="263">
        <v>0</v>
      </c>
      <c r="R672" s="263">
        <v>0</v>
      </c>
      <c r="S672" s="263">
        <v>0</v>
      </c>
      <c r="T672" s="263">
        <v>0</v>
      </c>
      <c r="U672" s="263">
        <f t="shared" si="441"/>
        <v>1110000</v>
      </c>
      <c r="V672" s="196" t="str">
        <f t="shared" si="411"/>
        <v>G/LOS/R</v>
      </c>
      <c r="W672" s="196" t="s">
        <v>1168</v>
      </c>
      <c r="X672" s="196" t="str">
        <f t="shared" ref="X672:X703" si="446">IF(LEFT(V672,1)="G","Y","N")</f>
        <v>Y</v>
      </c>
      <c r="Y672" s="376">
        <f t="shared" ref="Y672:Y703" si="447">SUM(K672:T672)</f>
        <v>1110000</v>
      </c>
      <c r="Z672" s="198"/>
      <c r="AA672" s="376">
        <f t="shared" si="412"/>
        <v>1110000</v>
      </c>
      <c r="AB672" s="196" t="s">
        <v>1166</v>
      </c>
      <c r="AC672" s="196" t="s">
        <v>1168</v>
      </c>
      <c r="AD672" s="275">
        <v>0.1</v>
      </c>
      <c r="AE672" s="275">
        <v>0.3</v>
      </c>
      <c r="AF672" s="275">
        <v>0.6</v>
      </c>
      <c r="AG672" s="442">
        <v>0.1</v>
      </c>
      <c r="AH672" s="442">
        <v>0.1</v>
      </c>
      <c r="AI672" s="377">
        <f t="shared" si="442"/>
        <v>0.1</v>
      </c>
      <c r="AJ672" s="548">
        <v>1</v>
      </c>
      <c r="AK672" s="203">
        <f t="shared" ref="AK672:AK703" si="448">1-AJ672</f>
        <v>0</v>
      </c>
      <c r="AL672" s="376">
        <f t="shared" si="443"/>
        <v>999000</v>
      </c>
      <c r="AM672" s="376">
        <f t="shared" si="444"/>
        <v>111000</v>
      </c>
      <c r="AN672" s="376">
        <f t="shared" si="445"/>
        <v>0</v>
      </c>
      <c r="AO672" s="378" t="s">
        <v>3607</v>
      </c>
      <c r="AP672" s="379" t="s">
        <v>5416</v>
      </c>
      <c r="AQ672" s="279"/>
      <c r="AR672" s="287">
        <f t="shared" si="414"/>
        <v>3500</v>
      </c>
      <c r="AS672" s="287">
        <f t="shared" si="415"/>
        <v>107500</v>
      </c>
      <c r="AT672" s="287">
        <f t="shared" si="416"/>
        <v>0</v>
      </c>
      <c r="AU672" s="287">
        <f t="shared" si="417"/>
        <v>0</v>
      </c>
      <c r="AV672" s="287">
        <f t="shared" si="418"/>
        <v>0</v>
      </c>
      <c r="AW672" s="287">
        <f t="shared" si="419"/>
        <v>0</v>
      </c>
      <c r="AX672" s="287">
        <f t="shared" si="420"/>
        <v>0</v>
      </c>
      <c r="AY672" s="287">
        <f t="shared" si="421"/>
        <v>0</v>
      </c>
      <c r="AZ672" s="287">
        <f t="shared" si="422"/>
        <v>0</v>
      </c>
      <c r="BA672" s="287">
        <f t="shared" si="423"/>
        <v>0</v>
      </c>
      <c r="BB672" s="16"/>
      <c r="BC672" s="287">
        <f t="shared" si="424"/>
        <v>0</v>
      </c>
      <c r="BD672" s="287">
        <f t="shared" si="425"/>
        <v>0</v>
      </c>
      <c r="BE672" s="287">
        <f t="shared" si="426"/>
        <v>0</v>
      </c>
      <c r="BF672" s="287">
        <f t="shared" si="427"/>
        <v>0</v>
      </c>
      <c r="BG672" s="287">
        <f t="shared" si="428"/>
        <v>0</v>
      </c>
      <c r="BH672" s="287">
        <f t="shared" si="429"/>
        <v>0</v>
      </c>
      <c r="BI672" s="287">
        <f t="shared" si="430"/>
        <v>0</v>
      </c>
      <c r="BJ672" s="287">
        <f t="shared" si="431"/>
        <v>0</v>
      </c>
      <c r="BK672" s="287">
        <f t="shared" si="432"/>
        <v>0</v>
      </c>
      <c r="BL672" s="287">
        <f t="shared" si="433"/>
        <v>0</v>
      </c>
      <c r="BM672" s="16"/>
      <c r="BN672" s="287">
        <f t="shared" si="434"/>
        <v>111000</v>
      </c>
      <c r="BO672" s="287">
        <f t="shared" si="435"/>
        <v>0</v>
      </c>
      <c r="BP672" s="432"/>
      <c r="BQ672" s="21"/>
      <c r="BR672" s="21"/>
      <c r="BS672" s="6"/>
      <c r="BT672" s="194">
        <f t="shared" si="437"/>
        <v>111000</v>
      </c>
      <c r="BU672" s="194">
        <f t="shared" si="438"/>
        <v>111000</v>
      </c>
      <c r="BV672" s="194">
        <f t="shared" si="439"/>
        <v>0</v>
      </c>
      <c r="BW672" s="194">
        <f t="shared" si="440"/>
        <v>0</v>
      </c>
      <c r="BX672" s="6"/>
      <c r="BY672" s="6"/>
      <c r="BZ672" s="39">
        <v>659</v>
      </c>
      <c r="CA672" s="39">
        <f t="shared" si="436"/>
        <v>2031</v>
      </c>
      <c r="CB672" s="6"/>
      <c r="CC672" s="39"/>
      <c r="CD672" s="39"/>
      <c r="CE672" s="39"/>
      <c r="CF672" s="39"/>
      <c r="CG672" s="39"/>
      <c r="CH672" s="39"/>
      <c r="CI672" s="39"/>
      <c r="CJ672" s="39"/>
      <c r="CK672" s="39"/>
    </row>
    <row r="673" spans="1:89" s="193" customFormat="1" ht="24">
      <c r="A673" s="357"/>
      <c r="B673" s="21" t="str">
        <f t="shared" si="413"/>
        <v>STW</v>
      </c>
      <c r="C673" s="21"/>
      <c r="D673" s="432" t="s">
        <v>4104</v>
      </c>
      <c r="E673" s="439" t="s">
        <v>3626</v>
      </c>
      <c r="F673" s="439" t="s">
        <v>4105</v>
      </c>
      <c r="G673" s="273" t="s">
        <v>4106</v>
      </c>
      <c r="H673" s="358" t="s">
        <v>4509</v>
      </c>
      <c r="I673" s="262" t="s">
        <v>3491</v>
      </c>
      <c r="J673" s="262" t="s">
        <v>3504</v>
      </c>
      <c r="K673" s="263">
        <v>240000</v>
      </c>
      <c r="L673" s="263">
        <v>130000</v>
      </c>
      <c r="M673" s="263">
        <v>0</v>
      </c>
      <c r="N673" s="263">
        <v>0</v>
      </c>
      <c r="O673" s="263">
        <v>0</v>
      </c>
      <c r="P673" s="263">
        <v>0</v>
      </c>
      <c r="Q673" s="263">
        <v>0</v>
      </c>
      <c r="R673" s="263">
        <v>0</v>
      </c>
      <c r="S673" s="263">
        <v>0</v>
      </c>
      <c r="T673" s="263">
        <v>0</v>
      </c>
      <c r="U673" s="617">
        <f t="shared" si="441"/>
        <v>370000</v>
      </c>
      <c r="V673" s="196" t="str">
        <f t="shared" si="411"/>
        <v>G/LOS</v>
      </c>
      <c r="W673" s="196" t="s">
        <v>1168</v>
      </c>
      <c r="X673" s="196" t="str">
        <f t="shared" si="446"/>
        <v>Y</v>
      </c>
      <c r="Y673" s="376">
        <f t="shared" si="447"/>
        <v>370000</v>
      </c>
      <c r="Z673" s="198"/>
      <c r="AA673" s="376">
        <f t="shared" si="412"/>
        <v>370000</v>
      </c>
      <c r="AB673" s="196" t="s">
        <v>1166</v>
      </c>
      <c r="AC673" s="196" t="s">
        <v>3624</v>
      </c>
      <c r="AD673" s="275">
        <v>0.15</v>
      </c>
      <c r="AE673" s="275">
        <v>0.85</v>
      </c>
      <c r="AF673" s="275">
        <v>0</v>
      </c>
      <c r="AG673" s="442">
        <v>0.15</v>
      </c>
      <c r="AH673" s="442">
        <v>0.15</v>
      </c>
      <c r="AI673" s="377">
        <f t="shared" si="442"/>
        <v>0.15</v>
      </c>
      <c r="AJ673" s="548">
        <v>1</v>
      </c>
      <c r="AK673" s="203">
        <f t="shared" si="448"/>
        <v>0</v>
      </c>
      <c r="AL673" s="376">
        <f t="shared" si="443"/>
        <v>314500</v>
      </c>
      <c r="AM673" s="376">
        <f t="shared" si="444"/>
        <v>55500</v>
      </c>
      <c r="AN673" s="376">
        <f t="shared" si="445"/>
        <v>0</v>
      </c>
      <c r="AO673" s="378" t="s">
        <v>3608</v>
      </c>
      <c r="AP673" s="379" t="s">
        <v>5420</v>
      </c>
      <c r="AQ673" s="279"/>
      <c r="AR673" s="287">
        <f t="shared" si="414"/>
        <v>36000</v>
      </c>
      <c r="AS673" s="287">
        <f t="shared" si="415"/>
        <v>19500</v>
      </c>
      <c r="AT673" s="287">
        <f t="shared" si="416"/>
        <v>0</v>
      </c>
      <c r="AU673" s="287">
        <f t="shared" si="417"/>
        <v>0</v>
      </c>
      <c r="AV673" s="287">
        <f t="shared" si="418"/>
        <v>0</v>
      </c>
      <c r="AW673" s="287">
        <f t="shared" si="419"/>
        <v>0</v>
      </c>
      <c r="AX673" s="287">
        <f t="shared" si="420"/>
        <v>0</v>
      </c>
      <c r="AY673" s="287">
        <f t="shared" si="421"/>
        <v>0</v>
      </c>
      <c r="AZ673" s="287">
        <f t="shared" si="422"/>
        <v>0</v>
      </c>
      <c r="BA673" s="287">
        <f t="shared" si="423"/>
        <v>0</v>
      </c>
      <c r="BB673" s="16"/>
      <c r="BC673" s="287">
        <f t="shared" si="424"/>
        <v>0</v>
      </c>
      <c r="BD673" s="287">
        <f t="shared" si="425"/>
        <v>0</v>
      </c>
      <c r="BE673" s="287">
        <f t="shared" si="426"/>
        <v>0</v>
      </c>
      <c r="BF673" s="287">
        <f t="shared" si="427"/>
        <v>0</v>
      </c>
      <c r="BG673" s="287">
        <f t="shared" si="428"/>
        <v>0</v>
      </c>
      <c r="BH673" s="287">
        <f t="shared" si="429"/>
        <v>0</v>
      </c>
      <c r="BI673" s="287">
        <f t="shared" si="430"/>
        <v>0</v>
      </c>
      <c r="BJ673" s="287">
        <f t="shared" si="431"/>
        <v>0</v>
      </c>
      <c r="BK673" s="287">
        <f t="shared" si="432"/>
        <v>0</v>
      </c>
      <c r="BL673" s="287">
        <f t="shared" si="433"/>
        <v>0</v>
      </c>
      <c r="BM673" s="16"/>
      <c r="BN673" s="287">
        <f t="shared" si="434"/>
        <v>55500</v>
      </c>
      <c r="BO673" s="287">
        <f t="shared" si="435"/>
        <v>0</v>
      </c>
      <c r="BP673" s="432"/>
      <c r="BQ673" s="21"/>
      <c r="BR673" s="21"/>
      <c r="BS673" s="6"/>
      <c r="BT673" s="194">
        <f t="shared" si="437"/>
        <v>55500</v>
      </c>
      <c r="BU673" s="194">
        <f t="shared" si="438"/>
        <v>55500</v>
      </c>
      <c r="BV673" s="194">
        <f t="shared" si="439"/>
        <v>0</v>
      </c>
      <c r="BW673" s="194">
        <f t="shared" si="440"/>
        <v>0</v>
      </c>
      <c r="BX673" s="6"/>
      <c r="BY673" s="6"/>
      <c r="BZ673" s="39">
        <v>660</v>
      </c>
      <c r="CA673" s="39">
        <f t="shared" si="436"/>
        <v>2031</v>
      </c>
      <c r="CB673" s="6"/>
      <c r="CC673" s="39"/>
      <c r="CD673" s="39"/>
      <c r="CE673" s="39"/>
      <c r="CF673" s="39"/>
      <c r="CG673" s="39"/>
      <c r="CH673" s="39"/>
      <c r="CI673" s="39"/>
      <c r="CJ673" s="39"/>
      <c r="CK673" s="39"/>
    </row>
    <row r="674" spans="1:89" s="193" customFormat="1">
      <c r="A674" s="357"/>
      <c r="B674" s="21" t="str">
        <f t="shared" si="413"/>
        <v>STW</v>
      </c>
      <c r="C674" s="21"/>
      <c r="D674" s="432"/>
      <c r="E674" s="439" t="s">
        <v>3626</v>
      </c>
      <c r="F674" s="439" t="s">
        <v>4006</v>
      </c>
      <c r="G674" s="273" t="s">
        <v>4532</v>
      </c>
      <c r="H674" s="358" t="s">
        <v>4517</v>
      </c>
      <c r="I674" s="262" t="s">
        <v>3491</v>
      </c>
      <c r="J674" s="262" t="s">
        <v>4206</v>
      </c>
      <c r="K674" s="263">
        <v>630500</v>
      </c>
      <c r="L674" s="263">
        <v>0</v>
      </c>
      <c r="M674" s="263">
        <v>0</v>
      </c>
      <c r="N674" s="263">
        <v>0</v>
      </c>
      <c r="O674" s="263">
        <v>0</v>
      </c>
      <c r="P674" s="263">
        <v>0</v>
      </c>
      <c r="Q674" s="263">
        <v>0</v>
      </c>
      <c r="R674" s="263">
        <v>0</v>
      </c>
      <c r="S674" s="263">
        <v>0</v>
      </c>
      <c r="T674" s="263">
        <v>0</v>
      </c>
      <c r="U674" s="263">
        <f t="shared" si="441"/>
        <v>630500</v>
      </c>
      <c r="V674" s="196" t="str">
        <f t="shared" si="411"/>
        <v>G/LOS/R</v>
      </c>
      <c r="W674" s="196" t="s">
        <v>1168</v>
      </c>
      <c r="X674" s="196" t="str">
        <f t="shared" si="446"/>
        <v>Y</v>
      </c>
      <c r="Y674" s="376">
        <f t="shared" si="447"/>
        <v>630500</v>
      </c>
      <c r="Z674" s="198"/>
      <c r="AA674" s="376">
        <f t="shared" si="412"/>
        <v>630500</v>
      </c>
      <c r="AB674" s="196" t="s">
        <v>1166</v>
      </c>
      <c r="AC674" s="196" t="s">
        <v>1168</v>
      </c>
      <c r="AD674" s="275">
        <v>0.1</v>
      </c>
      <c r="AE674" s="275">
        <v>0.1</v>
      </c>
      <c r="AF674" s="275">
        <v>0.8</v>
      </c>
      <c r="AG674" s="442">
        <v>0.1</v>
      </c>
      <c r="AH674" s="442">
        <v>0.1</v>
      </c>
      <c r="AI674" s="377">
        <f t="shared" si="442"/>
        <v>0.1</v>
      </c>
      <c r="AJ674" s="548">
        <v>1</v>
      </c>
      <c r="AK674" s="203">
        <f t="shared" si="448"/>
        <v>0</v>
      </c>
      <c r="AL674" s="376">
        <f t="shared" si="443"/>
        <v>567450</v>
      </c>
      <c r="AM674" s="376">
        <f t="shared" si="444"/>
        <v>63050</v>
      </c>
      <c r="AN674" s="376">
        <f t="shared" si="445"/>
        <v>0</v>
      </c>
      <c r="AO674" s="378" t="s">
        <v>3607</v>
      </c>
      <c r="AP674" s="379" t="s">
        <v>5408</v>
      </c>
      <c r="AQ674" s="279"/>
      <c r="AR674" s="287">
        <f t="shared" si="414"/>
        <v>63050</v>
      </c>
      <c r="AS674" s="287">
        <f t="shared" si="415"/>
        <v>0</v>
      </c>
      <c r="AT674" s="287">
        <f t="shared" si="416"/>
        <v>0</v>
      </c>
      <c r="AU674" s="287">
        <f t="shared" si="417"/>
        <v>0</v>
      </c>
      <c r="AV674" s="287">
        <f t="shared" si="418"/>
        <v>0</v>
      </c>
      <c r="AW674" s="287">
        <f t="shared" si="419"/>
        <v>0</v>
      </c>
      <c r="AX674" s="287">
        <f t="shared" si="420"/>
        <v>0</v>
      </c>
      <c r="AY674" s="287">
        <f t="shared" si="421"/>
        <v>0</v>
      </c>
      <c r="AZ674" s="287">
        <f t="shared" si="422"/>
        <v>0</v>
      </c>
      <c r="BA674" s="287">
        <f t="shared" si="423"/>
        <v>0</v>
      </c>
      <c r="BB674" s="16"/>
      <c r="BC674" s="287">
        <f t="shared" si="424"/>
        <v>0</v>
      </c>
      <c r="BD674" s="287">
        <f t="shared" si="425"/>
        <v>0</v>
      </c>
      <c r="BE674" s="287">
        <f t="shared" si="426"/>
        <v>0</v>
      </c>
      <c r="BF674" s="287">
        <f t="shared" si="427"/>
        <v>0</v>
      </c>
      <c r="BG674" s="287">
        <f t="shared" si="428"/>
        <v>0</v>
      </c>
      <c r="BH674" s="287">
        <f t="shared" si="429"/>
        <v>0</v>
      </c>
      <c r="BI674" s="287">
        <f t="shared" si="430"/>
        <v>0</v>
      </c>
      <c r="BJ674" s="287">
        <f t="shared" si="431"/>
        <v>0</v>
      </c>
      <c r="BK674" s="287">
        <f t="shared" si="432"/>
        <v>0</v>
      </c>
      <c r="BL674" s="287">
        <f t="shared" si="433"/>
        <v>0</v>
      </c>
      <c r="BM674" s="16"/>
      <c r="BN674" s="287">
        <f t="shared" si="434"/>
        <v>63050</v>
      </c>
      <c r="BO674" s="287">
        <f t="shared" si="435"/>
        <v>0</v>
      </c>
      <c r="BP674" s="432"/>
      <c r="BQ674" s="21"/>
      <c r="BR674" s="21"/>
      <c r="BS674" s="6"/>
      <c r="BT674" s="194">
        <f t="shared" si="437"/>
        <v>63050</v>
      </c>
      <c r="BU674" s="194">
        <f t="shared" si="438"/>
        <v>63050</v>
      </c>
      <c r="BV674" s="194">
        <f t="shared" si="439"/>
        <v>0</v>
      </c>
      <c r="BW674" s="194">
        <f t="shared" si="440"/>
        <v>0</v>
      </c>
      <c r="BX674" s="6"/>
      <c r="BY674" s="6"/>
      <c r="BZ674" s="39">
        <v>661</v>
      </c>
      <c r="CA674" s="39">
        <f t="shared" si="436"/>
        <v>2031</v>
      </c>
      <c r="CB674" s="6"/>
      <c r="CC674" s="39"/>
      <c r="CD674" s="39"/>
      <c r="CE674" s="39"/>
      <c r="CF674" s="39"/>
      <c r="CG674" s="39"/>
      <c r="CH674" s="39"/>
      <c r="CI674" s="39"/>
      <c r="CJ674" s="39"/>
      <c r="CK674" s="39"/>
    </row>
    <row r="675" spans="1:89" s="193" customFormat="1" ht="36">
      <c r="A675" s="357"/>
      <c r="B675" s="21" t="str">
        <f t="shared" si="413"/>
        <v>STW</v>
      </c>
      <c r="C675" s="21"/>
      <c r="D675" s="432"/>
      <c r="E675" s="439" t="s">
        <v>3626</v>
      </c>
      <c r="F675" s="439" t="s">
        <v>4135</v>
      </c>
      <c r="G675" s="273" t="s">
        <v>4557</v>
      </c>
      <c r="H675" s="358" t="s">
        <v>4663</v>
      </c>
      <c r="I675" s="262" t="s">
        <v>3491</v>
      </c>
      <c r="J675" s="262" t="s">
        <v>4205</v>
      </c>
      <c r="K675" s="263">
        <v>66000</v>
      </c>
      <c r="L675" s="263">
        <v>605000</v>
      </c>
      <c r="M675" s="263">
        <v>0</v>
      </c>
      <c r="N675" s="263">
        <v>0</v>
      </c>
      <c r="O675" s="263">
        <v>0</v>
      </c>
      <c r="P675" s="263">
        <v>0</v>
      </c>
      <c r="Q675" s="263">
        <v>0</v>
      </c>
      <c r="R675" s="263">
        <v>0</v>
      </c>
      <c r="S675" s="263">
        <v>0</v>
      </c>
      <c r="T675" s="263">
        <v>0</v>
      </c>
      <c r="U675" s="263">
        <f t="shared" si="441"/>
        <v>671000</v>
      </c>
      <c r="V675" s="196" t="str">
        <f t="shared" si="411"/>
        <v>G/LOS/R</v>
      </c>
      <c r="W675" s="196" t="s">
        <v>1168</v>
      </c>
      <c r="X675" s="196" t="str">
        <f t="shared" si="446"/>
        <v>Y</v>
      </c>
      <c r="Y675" s="376">
        <f t="shared" si="447"/>
        <v>671000</v>
      </c>
      <c r="Z675" s="198"/>
      <c r="AA675" s="376">
        <f t="shared" si="412"/>
        <v>671000</v>
      </c>
      <c r="AB675" s="196" t="s">
        <v>1166</v>
      </c>
      <c r="AC675" s="196" t="s">
        <v>1168</v>
      </c>
      <c r="AD675" s="275">
        <v>0.3</v>
      </c>
      <c r="AE675" s="275">
        <v>0.65</v>
      </c>
      <c r="AF675" s="275">
        <v>0.05</v>
      </c>
      <c r="AG675" s="442">
        <v>0.3</v>
      </c>
      <c r="AH675" s="442">
        <v>0.3</v>
      </c>
      <c r="AI675" s="377">
        <f t="shared" si="442"/>
        <v>0.3</v>
      </c>
      <c r="AJ675" s="548">
        <v>1</v>
      </c>
      <c r="AK675" s="199">
        <f t="shared" si="448"/>
        <v>0</v>
      </c>
      <c r="AL675" s="376">
        <f t="shared" si="443"/>
        <v>469699.99999999994</v>
      </c>
      <c r="AM675" s="376">
        <f t="shared" si="444"/>
        <v>201300</v>
      </c>
      <c r="AN675" s="376">
        <f t="shared" si="445"/>
        <v>0</v>
      </c>
      <c r="AO675" s="378" t="s">
        <v>3607</v>
      </c>
      <c r="AP675" s="379" t="s">
        <v>5393</v>
      </c>
      <c r="AQ675" s="279"/>
      <c r="AR675" s="287">
        <f t="shared" si="414"/>
        <v>19800</v>
      </c>
      <c r="AS675" s="287">
        <f t="shared" si="415"/>
        <v>181500</v>
      </c>
      <c r="AT675" s="287">
        <f t="shared" si="416"/>
        <v>0</v>
      </c>
      <c r="AU675" s="287">
        <f t="shared" si="417"/>
        <v>0</v>
      </c>
      <c r="AV675" s="287">
        <f t="shared" si="418"/>
        <v>0</v>
      </c>
      <c r="AW675" s="287">
        <f t="shared" si="419"/>
        <v>0</v>
      </c>
      <c r="AX675" s="287">
        <f t="shared" si="420"/>
        <v>0</v>
      </c>
      <c r="AY675" s="287">
        <f t="shared" si="421"/>
        <v>0</v>
      </c>
      <c r="AZ675" s="287">
        <f t="shared" si="422"/>
        <v>0</v>
      </c>
      <c r="BA675" s="287">
        <f t="shared" si="423"/>
        <v>0</v>
      </c>
      <c r="BB675" s="16"/>
      <c r="BC675" s="287">
        <f t="shared" si="424"/>
        <v>0</v>
      </c>
      <c r="BD675" s="287">
        <f t="shared" si="425"/>
        <v>0</v>
      </c>
      <c r="BE675" s="287">
        <f t="shared" si="426"/>
        <v>0</v>
      </c>
      <c r="BF675" s="287">
        <f t="shared" si="427"/>
        <v>0</v>
      </c>
      <c r="BG675" s="287">
        <f t="shared" si="428"/>
        <v>0</v>
      </c>
      <c r="BH675" s="287">
        <f t="shared" si="429"/>
        <v>0</v>
      </c>
      <c r="BI675" s="287">
        <f t="shared" si="430"/>
        <v>0</v>
      </c>
      <c r="BJ675" s="287">
        <f t="shared" si="431"/>
        <v>0</v>
      </c>
      <c r="BK675" s="287">
        <f t="shared" si="432"/>
        <v>0</v>
      </c>
      <c r="BL675" s="287">
        <f t="shared" si="433"/>
        <v>0</v>
      </c>
      <c r="BM675" s="16"/>
      <c r="BN675" s="287">
        <f t="shared" si="434"/>
        <v>201300</v>
      </c>
      <c r="BO675" s="287">
        <f t="shared" si="435"/>
        <v>0</v>
      </c>
      <c r="BP675" s="432"/>
      <c r="BQ675" s="21"/>
      <c r="BR675" s="21"/>
      <c r="BS675" s="6"/>
      <c r="BT675" s="194">
        <f t="shared" si="437"/>
        <v>201300</v>
      </c>
      <c r="BU675" s="194">
        <f t="shared" si="438"/>
        <v>201300</v>
      </c>
      <c r="BV675" s="194">
        <f t="shared" si="439"/>
        <v>0</v>
      </c>
      <c r="BW675" s="194">
        <f t="shared" si="440"/>
        <v>0</v>
      </c>
      <c r="BX675" s="6"/>
      <c r="BY675" s="6"/>
      <c r="BZ675" s="39">
        <v>662</v>
      </c>
      <c r="CA675" s="39">
        <f t="shared" si="436"/>
        <v>2031</v>
      </c>
      <c r="CB675" s="6"/>
      <c r="CC675" s="39"/>
      <c r="CD675" s="39"/>
      <c r="CE675" s="39"/>
      <c r="CF675" s="39"/>
      <c r="CG675" s="39"/>
      <c r="CH675" s="39"/>
      <c r="CI675" s="39"/>
      <c r="CJ675" s="39"/>
      <c r="CK675" s="39"/>
    </row>
    <row r="676" spans="1:89" s="193" customFormat="1">
      <c r="A676" s="357"/>
      <c r="B676" s="21" t="str">
        <f t="shared" si="413"/>
        <v/>
      </c>
      <c r="C676" s="21"/>
      <c r="D676" s="432"/>
      <c r="E676" s="439" t="s">
        <v>3626</v>
      </c>
      <c r="F676" s="439" t="s">
        <v>4132</v>
      </c>
      <c r="G676" s="625" t="s">
        <v>4133</v>
      </c>
      <c r="H676" s="626"/>
      <c r="I676" s="262" t="s">
        <v>3491</v>
      </c>
      <c r="J676" s="262" t="s">
        <v>4201</v>
      </c>
      <c r="K676" s="263">
        <v>54700</v>
      </c>
      <c r="L676" s="263">
        <v>243953</v>
      </c>
      <c r="M676" s="263">
        <v>0</v>
      </c>
      <c r="N676" s="263">
        <v>0</v>
      </c>
      <c r="O676" s="263">
        <v>0</v>
      </c>
      <c r="P676" s="263">
        <v>0</v>
      </c>
      <c r="Q676" s="263">
        <v>0</v>
      </c>
      <c r="R676" s="263">
        <v>0</v>
      </c>
      <c r="S676" s="263">
        <v>0</v>
      </c>
      <c r="T676" s="263">
        <v>0</v>
      </c>
      <c r="U676" s="263">
        <f t="shared" si="441"/>
        <v>298653</v>
      </c>
      <c r="V676" s="196" t="str">
        <f t="shared" si="411"/>
        <v>LOS/R</v>
      </c>
      <c r="W676" s="196" t="s">
        <v>1168</v>
      </c>
      <c r="X676" s="196" t="str">
        <f t="shared" si="446"/>
        <v>N</v>
      </c>
      <c r="Y676" s="376">
        <f t="shared" si="447"/>
        <v>298653</v>
      </c>
      <c r="Z676" s="198"/>
      <c r="AA676" s="376">
        <f t="shared" si="412"/>
        <v>298653</v>
      </c>
      <c r="AB676" s="196" t="s">
        <v>1168</v>
      </c>
      <c r="AC676" s="196" t="s">
        <v>1168</v>
      </c>
      <c r="AD676" s="275">
        <v>0</v>
      </c>
      <c r="AE676" s="275">
        <v>0.2</v>
      </c>
      <c r="AF676" s="275">
        <v>0.8</v>
      </c>
      <c r="AG676" s="442"/>
      <c r="AH676" s="442"/>
      <c r="AI676" s="377">
        <f t="shared" si="442"/>
        <v>0</v>
      </c>
      <c r="AJ676" s="548"/>
      <c r="AK676" s="203"/>
      <c r="AL676" s="376">
        <f t="shared" si="443"/>
        <v>298653</v>
      </c>
      <c r="AM676" s="376">
        <f t="shared" si="444"/>
        <v>0</v>
      </c>
      <c r="AN676" s="376">
        <f t="shared" si="445"/>
        <v>0</v>
      </c>
      <c r="AO676" s="378"/>
      <c r="AP676" s="379"/>
      <c r="AQ676" s="279"/>
      <c r="AR676" s="287">
        <f t="shared" si="414"/>
        <v>0</v>
      </c>
      <c r="AS676" s="287">
        <f t="shared" si="415"/>
        <v>0</v>
      </c>
      <c r="AT676" s="287">
        <f t="shared" si="416"/>
        <v>0</v>
      </c>
      <c r="AU676" s="287">
        <f t="shared" si="417"/>
        <v>0</v>
      </c>
      <c r="AV676" s="287">
        <f t="shared" si="418"/>
        <v>0</v>
      </c>
      <c r="AW676" s="287">
        <f t="shared" si="419"/>
        <v>0</v>
      </c>
      <c r="AX676" s="287">
        <f t="shared" si="420"/>
        <v>0</v>
      </c>
      <c r="AY676" s="287">
        <f t="shared" si="421"/>
        <v>0</v>
      </c>
      <c r="AZ676" s="287">
        <f t="shared" si="422"/>
        <v>0</v>
      </c>
      <c r="BA676" s="287">
        <f t="shared" si="423"/>
        <v>0</v>
      </c>
      <c r="BB676" s="16"/>
      <c r="BC676" s="287">
        <f t="shared" si="424"/>
        <v>0</v>
      </c>
      <c r="BD676" s="287">
        <f t="shared" si="425"/>
        <v>0</v>
      </c>
      <c r="BE676" s="287">
        <f t="shared" si="426"/>
        <v>0</v>
      </c>
      <c r="BF676" s="287">
        <f t="shared" si="427"/>
        <v>0</v>
      </c>
      <c r="BG676" s="287">
        <f t="shared" si="428"/>
        <v>0</v>
      </c>
      <c r="BH676" s="287">
        <f t="shared" si="429"/>
        <v>0</v>
      </c>
      <c r="BI676" s="287">
        <f t="shared" si="430"/>
        <v>0</v>
      </c>
      <c r="BJ676" s="287">
        <f t="shared" si="431"/>
        <v>0</v>
      </c>
      <c r="BK676" s="287">
        <f t="shared" si="432"/>
        <v>0</v>
      </c>
      <c r="BL676" s="287">
        <f t="shared" si="433"/>
        <v>0</v>
      </c>
      <c r="BM676" s="16"/>
      <c r="BN676" s="287">
        <f t="shared" si="434"/>
        <v>0</v>
      </c>
      <c r="BO676" s="287">
        <f t="shared" si="435"/>
        <v>0</v>
      </c>
      <c r="BP676" s="432"/>
      <c r="BQ676" s="21"/>
      <c r="BR676" s="21"/>
      <c r="BS676" s="6"/>
      <c r="BT676" s="194">
        <f t="shared" si="437"/>
        <v>0</v>
      </c>
      <c r="BU676" s="194">
        <f t="shared" si="438"/>
        <v>0</v>
      </c>
      <c r="BV676" s="194">
        <f t="shared" si="439"/>
        <v>0</v>
      </c>
      <c r="BW676" s="194">
        <f t="shared" si="440"/>
        <v>0</v>
      </c>
      <c r="BX676" s="6"/>
      <c r="BY676" s="6" t="s">
        <v>5326</v>
      </c>
      <c r="BZ676" s="39">
        <v>663</v>
      </c>
      <c r="CA676" s="39" t="str">
        <f t="shared" si="436"/>
        <v/>
      </c>
      <c r="CB676" s="6"/>
      <c r="CC676" s="39"/>
      <c r="CD676" s="39"/>
      <c r="CE676" s="39"/>
      <c r="CF676" s="39"/>
      <c r="CG676" s="39"/>
      <c r="CH676" s="39"/>
      <c r="CI676" s="39"/>
      <c r="CJ676" s="39"/>
      <c r="CK676" s="39"/>
    </row>
    <row r="677" spans="1:89" s="193" customFormat="1" ht="24">
      <c r="A677" s="357"/>
      <c r="B677" s="21" t="str">
        <f t="shared" si="413"/>
        <v>STW</v>
      </c>
      <c r="C677" s="21"/>
      <c r="D677" s="432"/>
      <c r="E677" s="439" t="s">
        <v>3626</v>
      </c>
      <c r="F677" s="439" t="s">
        <v>4005</v>
      </c>
      <c r="G677" s="273" t="s">
        <v>4608</v>
      </c>
      <c r="H677" s="358" t="s">
        <v>4607</v>
      </c>
      <c r="I677" s="262" t="s">
        <v>3491</v>
      </c>
      <c r="J677" s="262" t="s">
        <v>4205</v>
      </c>
      <c r="K677" s="263">
        <v>0</v>
      </c>
      <c r="L677" s="263">
        <v>584000</v>
      </c>
      <c r="M677" s="263">
        <v>0</v>
      </c>
      <c r="N677" s="263">
        <v>0</v>
      </c>
      <c r="O677" s="263">
        <v>0</v>
      </c>
      <c r="P677" s="263">
        <v>0</v>
      </c>
      <c r="Q677" s="263">
        <v>0</v>
      </c>
      <c r="R677" s="263">
        <v>0</v>
      </c>
      <c r="S677" s="263">
        <v>0</v>
      </c>
      <c r="T677" s="263">
        <v>0</v>
      </c>
      <c r="U677" s="263">
        <f t="shared" si="441"/>
        <v>584000</v>
      </c>
      <c r="V677" s="196" t="str">
        <f t="shared" si="411"/>
        <v>G/R</v>
      </c>
      <c r="W677" s="196" t="s">
        <v>1168</v>
      </c>
      <c r="X677" s="196" t="str">
        <f t="shared" si="446"/>
        <v>Y</v>
      </c>
      <c r="Y677" s="376">
        <f t="shared" si="447"/>
        <v>584000</v>
      </c>
      <c r="Z677" s="198"/>
      <c r="AA677" s="376">
        <f t="shared" si="412"/>
        <v>584000</v>
      </c>
      <c r="AB677" s="196" t="s">
        <v>1166</v>
      </c>
      <c r="AC677" s="196" t="s">
        <v>1168</v>
      </c>
      <c r="AD677" s="445">
        <v>0.9</v>
      </c>
      <c r="AE677" s="275">
        <v>0</v>
      </c>
      <c r="AF677" s="275">
        <v>0.1</v>
      </c>
      <c r="AG677" s="442">
        <v>0.8</v>
      </c>
      <c r="AH677" s="442">
        <v>1</v>
      </c>
      <c r="AI677" s="377">
        <f t="shared" si="442"/>
        <v>0.9</v>
      </c>
      <c r="AJ677" s="548">
        <v>1</v>
      </c>
      <c r="AK677" s="199">
        <f t="shared" si="448"/>
        <v>0</v>
      </c>
      <c r="AL677" s="376">
        <f t="shared" si="443"/>
        <v>58399.999999999985</v>
      </c>
      <c r="AM677" s="376">
        <f t="shared" si="444"/>
        <v>525600</v>
      </c>
      <c r="AN677" s="376">
        <f t="shared" si="445"/>
        <v>0</v>
      </c>
      <c r="AO677" s="378" t="s">
        <v>3607</v>
      </c>
      <c r="AP677" s="379" t="s">
        <v>5393</v>
      </c>
      <c r="AQ677" s="279"/>
      <c r="AR677" s="287">
        <f t="shared" si="414"/>
        <v>0</v>
      </c>
      <c r="AS677" s="287">
        <f t="shared" si="415"/>
        <v>525600</v>
      </c>
      <c r="AT677" s="287">
        <f t="shared" si="416"/>
        <v>0</v>
      </c>
      <c r="AU677" s="287">
        <f t="shared" si="417"/>
        <v>0</v>
      </c>
      <c r="AV677" s="287">
        <f t="shared" si="418"/>
        <v>0</v>
      </c>
      <c r="AW677" s="287">
        <f t="shared" si="419"/>
        <v>0</v>
      </c>
      <c r="AX677" s="287">
        <f t="shared" si="420"/>
        <v>0</v>
      </c>
      <c r="AY677" s="287">
        <f t="shared" si="421"/>
        <v>0</v>
      </c>
      <c r="AZ677" s="287">
        <f t="shared" si="422"/>
        <v>0</v>
      </c>
      <c r="BA677" s="287">
        <f t="shared" si="423"/>
        <v>0</v>
      </c>
      <c r="BB677" s="16"/>
      <c r="BC677" s="287">
        <f t="shared" si="424"/>
        <v>0</v>
      </c>
      <c r="BD677" s="287">
        <f t="shared" si="425"/>
        <v>0</v>
      </c>
      <c r="BE677" s="287">
        <f t="shared" si="426"/>
        <v>0</v>
      </c>
      <c r="BF677" s="287">
        <f t="shared" si="427"/>
        <v>0</v>
      </c>
      <c r="BG677" s="287">
        <f t="shared" si="428"/>
        <v>0</v>
      </c>
      <c r="BH677" s="287">
        <f t="shared" si="429"/>
        <v>0</v>
      </c>
      <c r="BI677" s="287">
        <f t="shared" si="430"/>
        <v>0</v>
      </c>
      <c r="BJ677" s="287">
        <f t="shared" si="431"/>
        <v>0</v>
      </c>
      <c r="BK677" s="287">
        <f t="shared" si="432"/>
        <v>0</v>
      </c>
      <c r="BL677" s="287">
        <f t="shared" si="433"/>
        <v>0</v>
      </c>
      <c r="BM677" s="16"/>
      <c r="BN677" s="287">
        <f t="shared" si="434"/>
        <v>525600</v>
      </c>
      <c r="BO677" s="287">
        <f t="shared" si="435"/>
        <v>0</v>
      </c>
      <c r="BP677" s="432"/>
      <c r="BQ677" s="21"/>
      <c r="BR677" s="21"/>
      <c r="BS677" s="6"/>
      <c r="BT677" s="194">
        <f t="shared" si="437"/>
        <v>525600</v>
      </c>
      <c r="BU677" s="194">
        <f t="shared" si="438"/>
        <v>525600</v>
      </c>
      <c r="BV677" s="194">
        <f t="shared" si="439"/>
        <v>0</v>
      </c>
      <c r="BW677" s="194">
        <f t="shared" si="440"/>
        <v>0</v>
      </c>
      <c r="BX677" s="6"/>
      <c r="BY677" s="6"/>
      <c r="BZ677" s="39">
        <v>664</v>
      </c>
      <c r="CA677" s="39">
        <f t="shared" si="436"/>
        <v>2031</v>
      </c>
      <c r="CB677" s="6"/>
      <c r="CC677" s="39"/>
      <c r="CD677" s="39"/>
      <c r="CE677" s="39"/>
      <c r="CF677" s="39"/>
      <c r="CG677" s="39"/>
      <c r="CH677" s="39"/>
      <c r="CI677" s="39"/>
      <c r="CJ677" s="39"/>
      <c r="CK677" s="39"/>
    </row>
    <row r="678" spans="1:89" s="193" customFormat="1" ht="36">
      <c r="A678" s="357"/>
      <c r="B678" s="21" t="str">
        <f t="shared" si="413"/>
        <v>STW</v>
      </c>
      <c r="C678" s="21"/>
      <c r="D678" s="432"/>
      <c r="E678" s="439" t="s">
        <v>3626</v>
      </c>
      <c r="F678" s="439" t="s">
        <v>4128</v>
      </c>
      <c r="G678" s="273" t="s">
        <v>4604</v>
      </c>
      <c r="H678" s="358" t="s">
        <v>4603</v>
      </c>
      <c r="I678" s="262" t="s">
        <v>3491</v>
      </c>
      <c r="J678" s="262" t="s">
        <v>4196</v>
      </c>
      <c r="K678" s="263">
        <v>100000</v>
      </c>
      <c r="L678" s="263">
        <v>0</v>
      </c>
      <c r="M678" s="263">
        <v>0</v>
      </c>
      <c r="N678" s="263">
        <v>0</v>
      </c>
      <c r="O678" s="263">
        <v>0</v>
      </c>
      <c r="P678" s="263">
        <v>0</v>
      </c>
      <c r="Q678" s="263">
        <v>0</v>
      </c>
      <c r="R678" s="263">
        <v>0</v>
      </c>
      <c r="S678" s="263">
        <v>0</v>
      </c>
      <c r="T678" s="263">
        <v>0</v>
      </c>
      <c r="U678" s="263">
        <f t="shared" si="441"/>
        <v>100000</v>
      </c>
      <c r="V678" s="196" t="str">
        <f t="shared" si="411"/>
        <v>G/LOS/R</v>
      </c>
      <c r="W678" s="196" t="s">
        <v>1168</v>
      </c>
      <c r="X678" s="196" t="str">
        <f t="shared" si="446"/>
        <v>Y</v>
      </c>
      <c r="Y678" s="376">
        <f t="shared" si="447"/>
        <v>100000</v>
      </c>
      <c r="Z678" s="198"/>
      <c r="AA678" s="376">
        <f t="shared" si="412"/>
        <v>100000</v>
      </c>
      <c r="AB678" s="196" t="s">
        <v>1166</v>
      </c>
      <c r="AC678" s="196" t="s">
        <v>1168</v>
      </c>
      <c r="AD678" s="275">
        <v>0.1</v>
      </c>
      <c r="AE678" s="275">
        <v>0.1</v>
      </c>
      <c r="AF678" s="275">
        <v>0.8</v>
      </c>
      <c r="AG678" s="442">
        <v>0.1</v>
      </c>
      <c r="AH678" s="442">
        <v>0.1</v>
      </c>
      <c r="AI678" s="377">
        <f t="shared" si="442"/>
        <v>0.1</v>
      </c>
      <c r="AJ678" s="548">
        <v>1</v>
      </c>
      <c r="AK678" s="203">
        <f t="shared" si="448"/>
        <v>0</v>
      </c>
      <c r="AL678" s="376">
        <f t="shared" si="443"/>
        <v>90000</v>
      </c>
      <c r="AM678" s="376">
        <f t="shared" si="444"/>
        <v>10000</v>
      </c>
      <c r="AN678" s="376">
        <f t="shared" si="445"/>
        <v>0</v>
      </c>
      <c r="AO678" s="378" t="s">
        <v>3607</v>
      </c>
      <c r="AP678" s="379" t="s">
        <v>5418</v>
      </c>
      <c r="AQ678" s="279"/>
      <c r="AR678" s="287">
        <f t="shared" si="414"/>
        <v>10000</v>
      </c>
      <c r="AS678" s="287">
        <f t="shared" si="415"/>
        <v>0</v>
      </c>
      <c r="AT678" s="287">
        <f t="shared" si="416"/>
        <v>0</v>
      </c>
      <c r="AU678" s="287">
        <f t="shared" si="417"/>
        <v>0</v>
      </c>
      <c r="AV678" s="287">
        <f t="shared" si="418"/>
        <v>0</v>
      </c>
      <c r="AW678" s="287">
        <f t="shared" si="419"/>
        <v>0</v>
      </c>
      <c r="AX678" s="287">
        <f t="shared" si="420"/>
        <v>0</v>
      </c>
      <c r="AY678" s="287">
        <f t="shared" si="421"/>
        <v>0</v>
      </c>
      <c r="AZ678" s="287">
        <f t="shared" si="422"/>
        <v>0</v>
      </c>
      <c r="BA678" s="287">
        <f t="shared" si="423"/>
        <v>0</v>
      </c>
      <c r="BB678" s="16"/>
      <c r="BC678" s="287">
        <f t="shared" si="424"/>
        <v>0</v>
      </c>
      <c r="BD678" s="287">
        <f t="shared" si="425"/>
        <v>0</v>
      </c>
      <c r="BE678" s="287">
        <f t="shared" si="426"/>
        <v>0</v>
      </c>
      <c r="BF678" s="287">
        <f t="shared" si="427"/>
        <v>0</v>
      </c>
      <c r="BG678" s="287">
        <f t="shared" si="428"/>
        <v>0</v>
      </c>
      <c r="BH678" s="287">
        <f t="shared" si="429"/>
        <v>0</v>
      </c>
      <c r="BI678" s="287">
        <f t="shared" si="430"/>
        <v>0</v>
      </c>
      <c r="BJ678" s="287">
        <f t="shared" si="431"/>
        <v>0</v>
      </c>
      <c r="BK678" s="287">
        <f t="shared" si="432"/>
        <v>0</v>
      </c>
      <c r="BL678" s="287">
        <f t="shared" si="433"/>
        <v>0</v>
      </c>
      <c r="BM678" s="16"/>
      <c r="BN678" s="287">
        <f t="shared" si="434"/>
        <v>10000</v>
      </c>
      <c r="BO678" s="287">
        <f t="shared" si="435"/>
        <v>0</v>
      </c>
      <c r="BP678" s="432"/>
      <c r="BQ678" s="21"/>
      <c r="BR678" s="21"/>
      <c r="BS678" s="6"/>
      <c r="BT678" s="194">
        <f t="shared" si="437"/>
        <v>10000</v>
      </c>
      <c r="BU678" s="194">
        <f t="shared" si="438"/>
        <v>10000</v>
      </c>
      <c r="BV678" s="194">
        <f t="shared" si="439"/>
        <v>0</v>
      </c>
      <c r="BW678" s="194">
        <f t="shared" si="440"/>
        <v>0</v>
      </c>
      <c r="BX678" s="6"/>
      <c r="BY678" s="6"/>
      <c r="BZ678" s="39">
        <v>665</v>
      </c>
      <c r="CA678" s="39">
        <f t="shared" si="436"/>
        <v>2031</v>
      </c>
      <c r="CB678" s="6"/>
      <c r="CC678" s="39"/>
      <c r="CD678" s="39"/>
      <c r="CE678" s="39"/>
      <c r="CF678" s="39"/>
      <c r="CG678" s="39"/>
      <c r="CH678" s="39"/>
      <c r="CI678" s="39"/>
      <c r="CJ678" s="39"/>
      <c r="CK678" s="39"/>
    </row>
    <row r="679" spans="1:89" s="193" customFormat="1" ht="24">
      <c r="A679" s="357"/>
      <c r="B679" s="21" t="str">
        <f t="shared" si="413"/>
        <v>STW</v>
      </c>
      <c r="C679" s="21"/>
      <c r="D679" s="432"/>
      <c r="E679" s="439" t="s">
        <v>3626</v>
      </c>
      <c r="F679" s="439" t="s">
        <v>3997</v>
      </c>
      <c r="G679" s="273" t="s">
        <v>4563</v>
      </c>
      <c r="H679" s="358" t="s">
        <v>4562</v>
      </c>
      <c r="I679" s="262" t="s">
        <v>3491</v>
      </c>
      <c r="J679" s="262" t="s">
        <v>4205</v>
      </c>
      <c r="K679" s="263">
        <v>996800</v>
      </c>
      <c r="L679" s="263">
        <v>4000</v>
      </c>
      <c r="M679" s="263">
        <v>0</v>
      </c>
      <c r="N679" s="263">
        <v>0</v>
      </c>
      <c r="O679" s="263">
        <v>0</v>
      </c>
      <c r="P679" s="263">
        <v>0</v>
      </c>
      <c r="Q679" s="263">
        <v>0</v>
      </c>
      <c r="R679" s="263">
        <v>0</v>
      </c>
      <c r="S679" s="263">
        <v>0</v>
      </c>
      <c r="T679" s="263">
        <v>0</v>
      </c>
      <c r="U679" s="263">
        <f t="shared" si="441"/>
        <v>1000800</v>
      </c>
      <c r="V679" s="196" t="str">
        <f t="shared" si="411"/>
        <v>G/LOS/R</v>
      </c>
      <c r="W679" s="196" t="s">
        <v>1168</v>
      </c>
      <c r="X679" s="196" t="str">
        <f t="shared" si="446"/>
        <v>Y</v>
      </c>
      <c r="Y679" s="376">
        <f t="shared" si="447"/>
        <v>1000800</v>
      </c>
      <c r="Z679" s="198"/>
      <c r="AA679" s="376">
        <f t="shared" si="412"/>
        <v>1000800</v>
      </c>
      <c r="AB679" s="196" t="s">
        <v>1166</v>
      </c>
      <c r="AC679" s="196" t="s">
        <v>1168</v>
      </c>
      <c r="AD679" s="275">
        <v>0.25</v>
      </c>
      <c r="AE679" s="275">
        <v>0.35</v>
      </c>
      <c r="AF679" s="275">
        <v>0.4</v>
      </c>
      <c r="AG679" s="442">
        <v>0.25</v>
      </c>
      <c r="AH679" s="442">
        <v>0.25</v>
      </c>
      <c r="AI679" s="377">
        <f t="shared" si="442"/>
        <v>0.25</v>
      </c>
      <c r="AJ679" s="548">
        <v>1</v>
      </c>
      <c r="AK679" s="199">
        <f t="shared" si="448"/>
        <v>0</v>
      </c>
      <c r="AL679" s="376">
        <f t="shared" si="443"/>
        <v>750600</v>
      </c>
      <c r="AM679" s="376">
        <f t="shared" si="444"/>
        <v>250200</v>
      </c>
      <c r="AN679" s="376">
        <f t="shared" si="445"/>
        <v>0</v>
      </c>
      <c r="AO679" s="378" t="s">
        <v>3607</v>
      </c>
      <c r="AP679" s="379" t="s">
        <v>5393</v>
      </c>
      <c r="AQ679" s="279"/>
      <c r="AR679" s="287">
        <f t="shared" si="414"/>
        <v>249200</v>
      </c>
      <c r="AS679" s="287">
        <f t="shared" si="415"/>
        <v>1000</v>
      </c>
      <c r="AT679" s="287">
        <f t="shared" si="416"/>
        <v>0</v>
      </c>
      <c r="AU679" s="287">
        <f t="shared" si="417"/>
        <v>0</v>
      </c>
      <c r="AV679" s="287">
        <f t="shared" si="418"/>
        <v>0</v>
      </c>
      <c r="AW679" s="287">
        <f t="shared" si="419"/>
        <v>0</v>
      </c>
      <c r="AX679" s="287">
        <f t="shared" si="420"/>
        <v>0</v>
      </c>
      <c r="AY679" s="287">
        <f t="shared" si="421"/>
        <v>0</v>
      </c>
      <c r="AZ679" s="287">
        <f t="shared" si="422"/>
        <v>0</v>
      </c>
      <c r="BA679" s="287">
        <f t="shared" si="423"/>
        <v>0</v>
      </c>
      <c r="BB679" s="16"/>
      <c r="BC679" s="287">
        <f t="shared" si="424"/>
        <v>0</v>
      </c>
      <c r="BD679" s="287">
        <f t="shared" si="425"/>
        <v>0</v>
      </c>
      <c r="BE679" s="287">
        <f t="shared" si="426"/>
        <v>0</v>
      </c>
      <c r="BF679" s="287">
        <f t="shared" si="427"/>
        <v>0</v>
      </c>
      <c r="BG679" s="287">
        <f t="shared" si="428"/>
        <v>0</v>
      </c>
      <c r="BH679" s="287">
        <f t="shared" si="429"/>
        <v>0</v>
      </c>
      <c r="BI679" s="287">
        <f t="shared" si="430"/>
        <v>0</v>
      </c>
      <c r="BJ679" s="287">
        <f t="shared" si="431"/>
        <v>0</v>
      </c>
      <c r="BK679" s="287">
        <f t="shared" si="432"/>
        <v>0</v>
      </c>
      <c r="BL679" s="287">
        <f t="shared" si="433"/>
        <v>0</v>
      </c>
      <c r="BM679" s="16"/>
      <c r="BN679" s="287">
        <f t="shared" si="434"/>
        <v>250200</v>
      </c>
      <c r="BO679" s="287">
        <f t="shared" si="435"/>
        <v>0</v>
      </c>
      <c r="BP679" s="432"/>
      <c r="BQ679" s="21"/>
      <c r="BR679" s="21"/>
      <c r="BS679" s="6"/>
      <c r="BT679" s="194">
        <f t="shared" si="437"/>
        <v>250200</v>
      </c>
      <c r="BU679" s="194">
        <f t="shared" si="438"/>
        <v>250200</v>
      </c>
      <c r="BV679" s="194">
        <f t="shared" si="439"/>
        <v>0</v>
      </c>
      <c r="BW679" s="194">
        <f t="shared" si="440"/>
        <v>0</v>
      </c>
      <c r="BX679" s="6"/>
      <c r="BY679" s="6"/>
      <c r="BZ679" s="39">
        <v>666</v>
      </c>
      <c r="CA679" s="39">
        <f t="shared" si="436"/>
        <v>2031</v>
      </c>
      <c r="CB679" s="6"/>
      <c r="CC679" s="39"/>
      <c r="CD679" s="39"/>
      <c r="CE679" s="39"/>
      <c r="CF679" s="39"/>
      <c r="CG679" s="39"/>
      <c r="CH679" s="39"/>
      <c r="CI679" s="39"/>
      <c r="CJ679" s="39"/>
      <c r="CK679" s="39"/>
    </row>
    <row r="680" spans="1:89" s="193" customFormat="1" ht="24">
      <c r="A680" s="357"/>
      <c r="B680" s="21" t="str">
        <f t="shared" si="413"/>
        <v>STW</v>
      </c>
      <c r="C680" s="21"/>
      <c r="D680" s="432" t="s">
        <v>3933</v>
      </c>
      <c r="E680" s="439" t="s">
        <v>3626</v>
      </c>
      <c r="F680" s="439" t="s">
        <v>4077</v>
      </c>
      <c r="G680" s="273" t="s">
        <v>4511</v>
      </c>
      <c r="H680" s="358" t="s">
        <v>4510</v>
      </c>
      <c r="I680" s="262" t="s">
        <v>3491</v>
      </c>
      <c r="J680" s="262" t="s">
        <v>4196</v>
      </c>
      <c r="K680" s="263">
        <v>500000</v>
      </c>
      <c r="L680" s="263">
        <v>558000</v>
      </c>
      <c r="M680" s="263">
        <v>0</v>
      </c>
      <c r="N680" s="263">
        <v>0</v>
      </c>
      <c r="O680" s="263">
        <v>0</v>
      </c>
      <c r="P680" s="263">
        <v>0</v>
      </c>
      <c r="Q680" s="263">
        <v>0</v>
      </c>
      <c r="R680" s="263">
        <v>0</v>
      </c>
      <c r="S680" s="263">
        <v>0</v>
      </c>
      <c r="T680" s="263">
        <v>0</v>
      </c>
      <c r="U680" s="263">
        <f t="shared" si="441"/>
        <v>1058000</v>
      </c>
      <c r="V680" s="196" t="str">
        <f t="shared" si="411"/>
        <v>G/LOS/R</v>
      </c>
      <c r="W680" s="196" t="s">
        <v>1168</v>
      </c>
      <c r="X680" s="196" t="str">
        <f t="shared" si="446"/>
        <v>Y</v>
      </c>
      <c r="Y680" s="376">
        <f t="shared" si="447"/>
        <v>1058000</v>
      </c>
      <c r="Z680" s="198"/>
      <c r="AA680" s="376">
        <f t="shared" si="412"/>
        <v>1058000</v>
      </c>
      <c r="AB680" s="196" t="s">
        <v>1166</v>
      </c>
      <c r="AC680" s="196" t="s">
        <v>1168</v>
      </c>
      <c r="AD680" s="275">
        <v>0.15</v>
      </c>
      <c r="AE680" s="275">
        <v>0.3</v>
      </c>
      <c r="AF680" s="275">
        <v>0.55000000000000004</v>
      </c>
      <c r="AG680" s="442">
        <v>0.15</v>
      </c>
      <c r="AH680" s="442">
        <v>0.15</v>
      </c>
      <c r="AI680" s="377">
        <f t="shared" si="442"/>
        <v>0.15</v>
      </c>
      <c r="AJ680" s="548">
        <v>1</v>
      </c>
      <c r="AK680" s="203">
        <f t="shared" si="448"/>
        <v>0</v>
      </c>
      <c r="AL680" s="376">
        <f t="shared" si="443"/>
        <v>899300</v>
      </c>
      <c r="AM680" s="376">
        <f t="shared" si="444"/>
        <v>158700</v>
      </c>
      <c r="AN680" s="376">
        <f t="shared" si="445"/>
        <v>0</v>
      </c>
      <c r="AO680" s="378" t="s">
        <v>3607</v>
      </c>
      <c r="AP680" s="379" t="s">
        <v>5418</v>
      </c>
      <c r="AQ680" s="279"/>
      <c r="AR680" s="287">
        <f t="shared" si="414"/>
        <v>75000</v>
      </c>
      <c r="AS680" s="287">
        <f t="shared" si="415"/>
        <v>83700</v>
      </c>
      <c r="AT680" s="287">
        <f t="shared" si="416"/>
        <v>0</v>
      </c>
      <c r="AU680" s="287">
        <f t="shared" si="417"/>
        <v>0</v>
      </c>
      <c r="AV680" s="287">
        <f t="shared" si="418"/>
        <v>0</v>
      </c>
      <c r="AW680" s="287">
        <f t="shared" si="419"/>
        <v>0</v>
      </c>
      <c r="AX680" s="287">
        <f t="shared" si="420"/>
        <v>0</v>
      </c>
      <c r="AY680" s="287">
        <f t="shared" si="421"/>
        <v>0</v>
      </c>
      <c r="AZ680" s="287">
        <f t="shared" si="422"/>
        <v>0</v>
      </c>
      <c r="BA680" s="287">
        <f t="shared" si="423"/>
        <v>0</v>
      </c>
      <c r="BB680" s="16"/>
      <c r="BC680" s="287">
        <f t="shared" si="424"/>
        <v>0</v>
      </c>
      <c r="BD680" s="287">
        <f t="shared" si="425"/>
        <v>0</v>
      </c>
      <c r="BE680" s="287">
        <f t="shared" si="426"/>
        <v>0</v>
      </c>
      <c r="BF680" s="287">
        <f t="shared" si="427"/>
        <v>0</v>
      </c>
      <c r="BG680" s="287">
        <f t="shared" si="428"/>
        <v>0</v>
      </c>
      <c r="BH680" s="287">
        <f t="shared" si="429"/>
        <v>0</v>
      </c>
      <c r="BI680" s="287">
        <f t="shared" si="430"/>
        <v>0</v>
      </c>
      <c r="BJ680" s="287">
        <f t="shared" si="431"/>
        <v>0</v>
      </c>
      <c r="BK680" s="287">
        <f t="shared" si="432"/>
        <v>0</v>
      </c>
      <c r="BL680" s="287">
        <f t="shared" si="433"/>
        <v>0</v>
      </c>
      <c r="BM680" s="16"/>
      <c r="BN680" s="287">
        <f t="shared" si="434"/>
        <v>158700</v>
      </c>
      <c r="BO680" s="287">
        <f t="shared" si="435"/>
        <v>0</v>
      </c>
      <c r="BP680" s="432"/>
      <c r="BQ680" s="21"/>
      <c r="BR680" s="21"/>
      <c r="BS680" s="6"/>
      <c r="BT680" s="194">
        <f t="shared" si="437"/>
        <v>158700</v>
      </c>
      <c r="BU680" s="194">
        <f t="shared" si="438"/>
        <v>158700</v>
      </c>
      <c r="BV680" s="194">
        <f t="shared" si="439"/>
        <v>0</v>
      </c>
      <c r="BW680" s="194">
        <f t="shared" si="440"/>
        <v>0</v>
      </c>
      <c r="BX680" s="6"/>
      <c r="BY680" s="6"/>
      <c r="BZ680" s="39">
        <v>667</v>
      </c>
      <c r="CA680" s="39">
        <f t="shared" si="436"/>
        <v>2031</v>
      </c>
      <c r="CB680" s="6"/>
      <c r="CC680" s="39"/>
      <c r="CD680" s="39"/>
      <c r="CE680" s="39"/>
      <c r="CF680" s="39"/>
      <c r="CG680" s="39"/>
      <c r="CH680" s="39"/>
      <c r="CI680" s="39"/>
      <c r="CJ680" s="39"/>
      <c r="CK680" s="39"/>
    </row>
    <row r="681" spans="1:89" s="193" customFormat="1" ht="24">
      <c r="A681" s="357"/>
      <c r="B681" s="21" t="str">
        <f t="shared" si="413"/>
        <v>STW</v>
      </c>
      <c r="C681" s="21"/>
      <c r="D681" s="432"/>
      <c r="E681" s="439" t="s">
        <v>3626</v>
      </c>
      <c r="F681" s="439" t="s">
        <v>4030</v>
      </c>
      <c r="G681" s="273" t="s">
        <v>4626</v>
      </c>
      <c r="H681" s="358" t="s">
        <v>4625</v>
      </c>
      <c r="I681" s="262" t="s">
        <v>3491</v>
      </c>
      <c r="J681" s="262" t="s">
        <v>4199</v>
      </c>
      <c r="K681" s="263">
        <v>574974.69999999995</v>
      </c>
      <c r="L681" s="263">
        <v>0</v>
      </c>
      <c r="M681" s="263">
        <v>0</v>
      </c>
      <c r="N681" s="263">
        <v>0</v>
      </c>
      <c r="O681" s="263">
        <v>0</v>
      </c>
      <c r="P681" s="263">
        <v>0</v>
      </c>
      <c r="Q681" s="263">
        <v>0</v>
      </c>
      <c r="R681" s="263">
        <v>0</v>
      </c>
      <c r="S681" s="263">
        <v>0</v>
      </c>
      <c r="T681" s="263">
        <v>0</v>
      </c>
      <c r="U681" s="263">
        <f t="shared" si="441"/>
        <v>574974.69999999995</v>
      </c>
      <c r="V681" s="196" t="str">
        <f t="shared" si="411"/>
        <v>G/LOS/R</v>
      </c>
      <c r="W681" s="196" t="s">
        <v>1168</v>
      </c>
      <c r="X681" s="196" t="str">
        <f t="shared" si="446"/>
        <v>Y</v>
      </c>
      <c r="Y681" s="376">
        <f t="shared" si="447"/>
        <v>574974.69999999995</v>
      </c>
      <c r="Z681" s="198"/>
      <c r="AA681" s="376">
        <f t="shared" si="412"/>
        <v>574974.69999999995</v>
      </c>
      <c r="AB681" s="196" t="s">
        <v>1166</v>
      </c>
      <c r="AC681" s="196" t="s">
        <v>1168</v>
      </c>
      <c r="AD681" s="275">
        <v>0.3</v>
      </c>
      <c r="AE681" s="275">
        <v>0.65</v>
      </c>
      <c r="AF681" s="275">
        <v>0.05</v>
      </c>
      <c r="AG681" s="442">
        <v>0.3</v>
      </c>
      <c r="AH681" s="442">
        <v>0.3</v>
      </c>
      <c r="AI681" s="377">
        <f t="shared" si="442"/>
        <v>0.3</v>
      </c>
      <c r="AJ681" s="549">
        <v>1</v>
      </c>
      <c r="AK681" s="203">
        <f t="shared" si="448"/>
        <v>0</v>
      </c>
      <c r="AL681" s="376">
        <f t="shared" si="443"/>
        <v>402482.28999999992</v>
      </c>
      <c r="AM681" s="376">
        <f t="shared" si="444"/>
        <v>172492.40999999997</v>
      </c>
      <c r="AN681" s="376">
        <f t="shared" si="445"/>
        <v>0</v>
      </c>
      <c r="AO681" s="378" t="s">
        <v>3607</v>
      </c>
      <c r="AP681" s="379" t="s">
        <v>5401</v>
      </c>
      <c r="AQ681" s="279"/>
      <c r="AR681" s="287">
        <f t="shared" si="414"/>
        <v>172492.40999999997</v>
      </c>
      <c r="AS681" s="287">
        <f t="shared" si="415"/>
        <v>0</v>
      </c>
      <c r="AT681" s="287">
        <f t="shared" si="416"/>
        <v>0</v>
      </c>
      <c r="AU681" s="287">
        <f t="shared" si="417"/>
        <v>0</v>
      </c>
      <c r="AV681" s="287">
        <f t="shared" si="418"/>
        <v>0</v>
      </c>
      <c r="AW681" s="287">
        <f t="shared" si="419"/>
        <v>0</v>
      </c>
      <c r="AX681" s="287">
        <f t="shared" si="420"/>
        <v>0</v>
      </c>
      <c r="AY681" s="287">
        <f t="shared" si="421"/>
        <v>0</v>
      </c>
      <c r="AZ681" s="287">
        <f t="shared" si="422"/>
        <v>0</v>
      </c>
      <c r="BA681" s="287">
        <f t="shared" si="423"/>
        <v>0</v>
      </c>
      <c r="BB681" s="16"/>
      <c r="BC681" s="287">
        <f t="shared" si="424"/>
        <v>0</v>
      </c>
      <c r="BD681" s="287">
        <f t="shared" si="425"/>
        <v>0</v>
      </c>
      <c r="BE681" s="287">
        <f t="shared" si="426"/>
        <v>0</v>
      </c>
      <c r="BF681" s="287">
        <f t="shared" si="427"/>
        <v>0</v>
      </c>
      <c r="BG681" s="287">
        <f t="shared" si="428"/>
        <v>0</v>
      </c>
      <c r="BH681" s="287">
        <f t="shared" si="429"/>
        <v>0</v>
      </c>
      <c r="BI681" s="287">
        <f t="shared" si="430"/>
        <v>0</v>
      </c>
      <c r="BJ681" s="287">
        <f t="shared" si="431"/>
        <v>0</v>
      </c>
      <c r="BK681" s="287">
        <f t="shared" si="432"/>
        <v>0</v>
      </c>
      <c r="BL681" s="287">
        <f t="shared" si="433"/>
        <v>0</v>
      </c>
      <c r="BM681" s="16"/>
      <c r="BN681" s="287">
        <f t="shared" si="434"/>
        <v>172492.40999999997</v>
      </c>
      <c r="BO681" s="287">
        <f t="shared" si="435"/>
        <v>0</v>
      </c>
      <c r="BP681" s="432"/>
      <c r="BQ681" s="21"/>
      <c r="BR681" s="21"/>
      <c r="BS681" s="6"/>
      <c r="BT681" s="194">
        <f t="shared" si="437"/>
        <v>172492.40999999997</v>
      </c>
      <c r="BU681" s="194">
        <f t="shared" si="438"/>
        <v>172492.40999999997</v>
      </c>
      <c r="BV681" s="194">
        <f t="shared" si="439"/>
        <v>0</v>
      </c>
      <c r="BW681" s="194">
        <f t="shared" si="440"/>
        <v>0</v>
      </c>
      <c r="BX681" s="6"/>
      <c r="BY681" s="6"/>
      <c r="BZ681" s="39">
        <v>668</v>
      </c>
      <c r="CA681" s="39">
        <f t="shared" si="436"/>
        <v>2031</v>
      </c>
      <c r="CB681" s="6"/>
      <c r="CC681" s="39"/>
      <c r="CD681" s="39"/>
      <c r="CE681" s="39"/>
      <c r="CF681" s="39"/>
      <c r="CG681" s="39"/>
      <c r="CH681" s="39"/>
      <c r="CI681" s="39"/>
      <c r="CJ681" s="39"/>
      <c r="CK681" s="39"/>
    </row>
    <row r="682" spans="1:89" s="193" customFormat="1" ht="24">
      <c r="A682" s="357"/>
      <c r="B682" s="21" t="str">
        <f t="shared" si="413"/>
        <v>STW</v>
      </c>
      <c r="C682" s="21"/>
      <c r="D682" s="432" t="s">
        <v>3933</v>
      </c>
      <c r="E682" s="439" t="s">
        <v>3626</v>
      </c>
      <c r="F682" s="439" t="s">
        <v>4078</v>
      </c>
      <c r="G682" s="273" t="s">
        <v>4583</v>
      </c>
      <c r="H682" s="358" t="s">
        <v>4582</v>
      </c>
      <c r="I682" s="262" t="s">
        <v>3491</v>
      </c>
      <c r="J682" s="262" t="s">
        <v>4197</v>
      </c>
      <c r="K682" s="263">
        <v>272000</v>
      </c>
      <c r="L682" s="263">
        <v>0</v>
      </c>
      <c r="M682" s="263">
        <v>0</v>
      </c>
      <c r="N682" s="263">
        <v>0</v>
      </c>
      <c r="O682" s="263">
        <v>0</v>
      </c>
      <c r="P682" s="263">
        <v>0</v>
      </c>
      <c r="Q682" s="263">
        <v>0</v>
      </c>
      <c r="R682" s="263">
        <v>0</v>
      </c>
      <c r="S682" s="263">
        <v>0</v>
      </c>
      <c r="T682" s="263">
        <v>0</v>
      </c>
      <c r="U682" s="263">
        <f t="shared" si="441"/>
        <v>272000</v>
      </c>
      <c r="V682" s="196" t="str">
        <f t="shared" si="411"/>
        <v>G/LOS/R</v>
      </c>
      <c r="W682" s="196" t="s">
        <v>1168</v>
      </c>
      <c r="X682" s="196" t="str">
        <f t="shared" si="446"/>
        <v>Y</v>
      </c>
      <c r="Y682" s="376">
        <f t="shared" si="447"/>
        <v>272000</v>
      </c>
      <c r="Z682" s="198"/>
      <c r="AA682" s="376">
        <f t="shared" si="412"/>
        <v>272000</v>
      </c>
      <c r="AB682" s="196" t="s">
        <v>1166</v>
      </c>
      <c r="AC682" s="196" t="s">
        <v>1168</v>
      </c>
      <c r="AD682" s="275">
        <v>0.1</v>
      </c>
      <c r="AE682" s="275">
        <v>0.1</v>
      </c>
      <c r="AF682" s="275">
        <v>0.8</v>
      </c>
      <c r="AG682" s="442">
        <v>0.1</v>
      </c>
      <c r="AH682" s="442">
        <v>0.1</v>
      </c>
      <c r="AI682" s="377">
        <f t="shared" si="442"/>
        <v>0.1</v>
      </c>
      <c r="AJ682" s="549">
        <v>1</v>
      </c>
      <c r="AK682" s="203">
        <f t="shared" si="448"/>
        <v>0</v>
      </c>
      <c r="AL682" s="376">
        <f t="shared" si="443"/>
        <v>244800</v>
      </c>
      <c r="AM682" s="376">
        <f t="shared" si="444"/>
        <v>27200</v>
      </c>
      <c r="AN682" s="376">
        <f t="shared" si="445"/>
        <v>0</v>
      </c>
      <c r="AO682" s="378" t="s">
        <v>3607</v>
      </c>
      <c r="AP682" s="379" t="s">
        <v>5413</v>
      </c>
      <c r="AQ682" s="279"/>
      <c r="AR682" s="287">
        <f t="shared" si="414"/>
        <v>27200</v>
      </c>
      <c r="AS682" s="287">
        <f t="shared" si="415"/>
        <v>0</v>
      </c>
      <c r="AT682" s="287">
        <f t="shared" si="416"/>
        <v>0</v>
      </c>
      <c r="AU682" s="287">
        <f t="shared" si="417"/>
        <v>0</v>
      </c>
      <c r="AV682" s="287">
        <f t="shared" si="418"/>
        <v>0</v>
      </c>
      <c r="AW682" s="287">
        <f t="shared" si="419"/>
        <v>0</v>
      </c>
      <c r="AX682" s="287">
        <f t="shared" si="420"/>
        <v>0</v>
      </c>
      <c r="AY682" s="287">
        <f t="shared" si="421"/>
        <v>0</v>
      </c>
      <c r="AZ682" s="287">
        <f t="shared" si="422"/>
        <v>0</v>
      </c>
      <c r="BA682" s="287">
        <f t="shared" si="423"/>
        <v>0</v>
      </c>
      <c r="BB682" s="16"/>
      <c r="BC682" s="287">
        <f t="shared" si="424"/>
        <v>0</v>
      </c>
      <c r="BD682" s="287">
        <f t="shared" si="425"/>
        <v>0</v>
      </c>
      <c r="BE682" s="287">
        <f t="shared" si="426"/>
        <v>0</v>
      </c>
      <c r="BF682" s="287">
        <f t="shared" si="427"/>
        <v>0</v>
      </c>
      <c r="BG682" s="287">
        <f t="shared" si="428"/>
        <v>0</v>
      </c>
      <c r="BH682" s="287">
        <f t="shared" si="429"/>
        <v>0</v>
      </c>
      <c r="BI682" s="287">
        <f t="shared" si="430"/>
        <v>0</v>
      </c>
      <c r="BJ682" s="287">
        <f t="shared" si="431"/>
        <v>0</v>
      </c>
      <c r="BK682" s="287">
        <f t="shared" si="432"/>
        <v>0</v>
      </c>
      <c r="BL682" s="287">
        <f t="shared" si="433"/>
        <v>0</v>
      </c>
      <c r="BM682" s="16"/>
      <c r="BN682" s="287">
        <f t="shared" si="434"/>
        <v>27200</v>
      </c>
      <c r="BO682" s="287">
        <f t="shared" si="435"/>
        <v>0</v>
      </c>
      <c r="BP682" s="432"/>
      <c r="BQ682" s="21"/>
      <c r="BR682" s="21"/>
      <c r="BS682" s="6"/>
      <c r="BT682" s="194">
        <f t="shared" si="437"/>
        <v>27200</v>
      </c>
      <c r="BU682" s="194">
        <f t="shared" si="438"/>
        <v>27200</v>
      </c>
      <c r="BV682" s="194">
        <f t="shared" si="439"/>
        <v>0</v>
      </c>
      <c r="BW682" s="194">
        <f t="shared" si="440"/>
        <v>0</v>
      </c>
      <c r="BX682" s="6"/>
      <c r="BY682" s="6"/>
      <c r="BZ682" s="39">
        <v>669</v>
      </c>
      <c r="CA682" s="39">
        <f t="shared" si="436"/>
        <v>2031</v>
      </c>
      <c r="CB682" s="6"/>
      <c r="CC682" s="39"/>
      <c r="CD682" s="39"/>
      <c r="CE682" s="39"/>
      <c r="CF682" s="39"/>
      <c r="CG682" s="39"/>
      <c r="CH682" s="39"/>
      <c r="CI682" s="39"/>
      <c r="CJ682" s="39"/>
      <c r="CK682" s="39"/>
    </row>
    <row r="683" spans="1:89" s="193" customFormat="1" ht="24">
      <c r="A683" s="357"/>
      <c r="B683" s="21" t="str">
        <f t="shared" si="413"/>
        <v>STW</v>
      </c>
      <c r="C683" s="21"/>
      <c r="D683" s="432" t="s">
        <v>3933</v>
      </c>
      <c r="E683" s="439" t="s">
        <v>3626</v>
      </c>
      <c r="F683" s="439" t="s">
        <v>4079</v>
      </c>
      <c r="G683" s="273" t="s">
        <v>4522</v>
      </c>
      <c r="H683" s="358" t="s">
        <v>4503</v>
      </c>
      <c r="I683" s="262" t="s">
        <v>3491</v>
      </c>
      <c r="J683" s="262" t="s">
        <v>4196</v>
      </c>
      <c r="K683" s="263">
        <v>45000</v>
      </c>
      <c r="L683" s="263">
        <v>383734</v>
      </c>
      <c r="M683" s="263">
        <v>1191266</v>
      </c>
      <c r="N683" s="263">
        <v>0</v>
      </c>
      <c r="O683" s="263">
        <v>0</v>
      </c>
      <c r="P683" s="263">
        <v>0</v>
      </c>
      <c r="Q683" s="263">
        <v>0</v>
      </c>
      <c r="R683" s="263">
        <v>0</v>
      </c>
      <c r="S683" s="263">
        <v>0</v>
      </c>
      <c r="T683" s="263">
        <v>0</v>
      </c>
      <c r="U683" s="263">
        <f t="shared" si="441"/>
        <v>1620000</v>
      </c>
      <c r="V683" s="196" t="str">
        <f t="shared" si="411"/>
        <v>G/LOS/R</v>
      </c>
      <c r="W683" s="196" t="s">
        <v>1168</v>
      </c>
      <c r="X683" s="196" t="str">
        <f t="shared" si="446"/>
        <v>Y</v>
      </c>
      <c r="Y683" s="376">
        <f t="shared" si="447"/>
        <v>1620000</v>
      </c>
      <c r="Z683" s="198"/>
      <c r="AA683" s="376">
        <f t="shared" si="412"/>
        <v>1620000</v>
      </c>
      <c r="AB683" s="196" t="s">
        <v>1166</v>
      </c>
      <c r="AC683" s="196" t="s">
        <v>1168</v>
      </c>
      <c r="AD683" s="275">
        <v>0.15</v>
      </c>
      <c r="AE683" s="275">
        <v>0.35</v>
      </c>
      <c r="AF683" s="275">
        <v>0.5</v>
      </c>
      <c r="AG683" s="442">
        <v>0.15</v>
      </c>
      <c r="AH683" s="442">
        <v>0.15</v>
      </c>
      <c r="AI683" s="377">
        <f t="shared" si="442"/>
        <v>0.15</v>
      </c>
      <c r="AJ683" s="549">
        <v>1</v>
      </c>
      <c r="AK683" s="203">
        <f t="shared" si="448"/>
        <v>0</v>
      </c>
      <c r="AL683" s="376">
        <f t="shared" si="443"/>
        <v>1377000</v>
      </c>
      <c r="AM683" s="376">
        <f t="shared" si="444"/>
        <v>243000</v>
      </c>
      <c r="AN683" s="376">
        <f t="shared" si="445"/>
        <v>0</v>
      </c>
      <c r="AO683" s="378" t="s">
        <v>3607</v>
      </c>
      <c r="AP683" s="379" t="s">
        <v>5418</v>
      </c>
      <c r="AQ683" s="279"/>
      <c r="AR683" s="287">
        <f t="shared" si="414"/>
        <v>6750</v>
      </c>
      <c r="AS683" s="287">
        <f t="shared" si="415"/>
        <v>57560.1</v>
      </c>
      <c r="AT683" s="287">
        <f t="shared" si="416"/>
        <v>178689.9</v>
      </c>
      <c r="AU683" s="287">
        <f t="shared" si="417"/>
        <v>0</v>
      </c>
      <c r="AV683" s="287">
        <f t="shared" si="418"/>
        <v>0</v>
      </c>
      <c r="AW683" s="287">
        <f t="shared" si="419"/>
        <v>0</v>
      </c>
      <c r="AX683" s="287">
        <f t="shared" si="420"/>
        <v>0</v>
      </c>
      <c r="AY683" s="287">
        <f t="shared" si="421"/>
        <v>0</v>
      </c>
      <c r="AZ683" s="287">
        <f t="shared" si="422"/>
        <v>0</v>
      </c>
      <c r="BA683" s="287">
        <f t="shared" si="423"/>
        <v>0</v>
      </c>
      <c r="BB683" s="16"/>
      <c r="BC683" s="287">
        <f t="shared" si="424"/>
        <v>0</v>
      </c>
      <c r="BD683" s="287">
        <f t="shared" si="425"/>
        <v>0</v>
      </c>
      <c r="BE683" s="287">
        <f t="shared" si="426"/>
        <v>0</v>
      </c>
      <c r="BF683" s="287">
        <f t="shared" si="427"/>
        <v>0</v>
      </c>
      <c r="BG683" s="287">
        <f t="shared" si="428"/>
        <v>0</v>
      </c>
      <c r="BH683" s="287">
        <f t="shared" si="429"/>
        <v>0</v>
      </c>
      <c r="BI683" s="287">
        <f t="shared" si="430"/>
        <v>0</v>
      </c>
      <c r="BJ683" s="287">
        <f t="shared" si="431"/>
        <v>0</v>
      </c>
      <c r="BK683" s="287">
        <f t="shared" si="432"/>
        <v>0</v>
      </c>
      <c r="BL683" s="287">
        <f t="shared" si="433"/>
        <v>0</v>
      </c>
      <c r="BM683" s="16"/>
      <c r="BN683" s="287">
        <f t="shared" si="434"/>
        <v>243000</v>
      </c>
      <c r="BO683" s="287">
        <f t="shared" si="435"/>
        <v>0</v>
      </c>
      <c r="BP683" s="432"/>
      <c r="BQ683" s="21"/>
      <c r="BR683" s="21"/>
      <c r="BS683" s="6"/>
      <c r="BT683" s="194">
        <f t="shared" si="437"/>
        <v>243000</v>
      </c>
      <c r="BU683" s="194">
        <f t="shared" si="438"/>
        <v>243000</v>
      </c>
      <c r="BV683" s="194">
        <f t="shared" si="439"/>
        <v>0</v>
      </c>
      <c r="BW683" s="194">
        <f t="shared" si="440"/>
        <v>0</v>
      </c>
      <c r="BX683" s="6"/>
      <c r="BY683" s="6"/>
      <c r="BZ683" s="39">
        <v>670</v>
      </c>
      <c r="CA683" s="39">
        <f t="shared" si="436"/>
        <v>2031</v>
      </c>
      <c r="CB683" s="6"/>
      <c r="CC683" s="39"/>
      <c r="CD683" s="39"/>
      <c r="CE683" s="39"/>
      <c r="CF683" s="39"/>
      <c r="CG683" s="39"/>
      <c r="CH683" s="39"/>
      <c r="CI683" s="39"/>
      <c r="CJ683" s="39"/>
      <c r="CK683" s="39"/>
    </row>
    <row r="684" spans="1:89" s="193" customFormat="1" ht="24">
      <c r="A684" s="357"/>
      <c r="B684" s="21" t="str">
        <f t="shared" si="413"/>
        <v>STW</v>
      </c>
      <c r="C684" s="21"/>
      <c r="D684" s="432"/>
      <c r="E684" s="439" t="s">
        <v>3626</v>
      </c>
      <c r="F684" s="439" t="s">
        <v>4165</v>
      </c>
      <c r="G684" s="273" t="s">
        <v>4549</v>
      </c>
      <c r="H684" s="358" t="s">
        <v>4548</v>
      </c>
      <c r="I684" s="262" t="s">
        <v>3491</v>
      </c>
      <c r="J684" s="262" t="s">
        <v>4190</v>
      </c>
      <c r="K684" s="263">
        <v>60000</v>
      </c>
      <c r="L684" s="263">
        <v>75000</v>
      </c>
      <c r="M684" s="263">
        <v>600000</v>
      </c>
      <c r="N684" s="263">
        <v>600000</v>
      </c>
      <c r="O684" s="263">
        <v>0</v>
      </c>
      <c r="P684" s="263">
        <v>0</v>
      </c>
      <c r="Q684" s="263">
        <v>0</v>
      </c>
      <c r="R684" s="263">
        <v>0</v>
      </c>
      <c r="S684" s="263">
        <v>0</v>
      </c>
      <c r="T684" s="263">
        <v>0</v>
      </c>
      <c r="U684" s="263">
        <f t="shared" si="441"/>
        <v>1335000</v>
      </c>
      <c r="V684" s="196" t="str">
        <f t="shared" si="411"/>
        <v>G</v>
      </c>
      <c r="W684" s="196" t="s">
        <v>1168</v>
      </c>
      <c r="X684" s="196" t="str">
        <f t="shared" si="446"/>
        <v>Y</v>
      </c>
      <c r="Y684" s="376">
        <f t="shared" si="447"/>
        <v>1335000</v>
      </c>
      <c r="Z684" s="198"/>
      <c r="AA684" s="376">
        <f t="shared" si="412"/>
        <v>1335000</v>
      </c>
      <c r="AB684" s="196" t="s">
        <v>1166</v>
      </c>
      <c r="AC684" s="196" t="s">
        <v>1168</v>
      </c>
      <c r="AD684" s="445">
        <v>0.83</v>
      </c>
      <c r="AE684" s="275">
        <v>0</v>
      </c>
      <c r="AF684" s="275">
        <v>0</v>
      </c>
      <c r="AG684" s="442">
        <v>0.2</v>
      </c>
      <c r="AH684" s="442">
        <v>0.2</v>
      </c>
      <c r="AI684" s="377">
        <f t="shared" si="442"/>
        <v>0.2</v>
      </c>
      <c r="AJ684" s="549">
        <v>1</v>
      </c>
      <c r="AK684" s="203">
        <f t="shared" si="448"/>
        <v>0</v>
      </c>
      <c r="AL684" s="376">
        <f t="shared" si="443"/>
        <v>1068000</v>
      </c>
      <c r="AM684" s="376">
        <f t="shared" si="444"/>
        <v>267000</v>
      </c>
      <c r="AN684" s="376">
        <f t="shared" si="445"/>
        <v>0</v>
      </c>
      <c r="AO684" s="378" t="s">
        <v>3607</v>
      </c>
      <c r="AP684" s="379" t="s">
        <v>5394</v>
      </c>
      <c r="AQ684" s="279"/>
      <c r="AR684" s="287">
        <f t="shared" si="414"/>
        <v>12000</v>
      </c>
      <c r="AS684" s="287">
        <f t="shared" si="415"/>
        <v>15000</v>
      </c>
      <c r="AT684" s="287">
        <f t="shared" si="416"/>
        <v>120000</v>
      </c>
      <c r="AU684" s="287">
        <f t="shared" si="417"/>
        <v>120000</v>
      </c>
      <c r="AV684" s="287">
        <f t="shared" si="418"/>
        <v>0</v>
      </c>
      <c r="AW684" s="287">
        <f t="shared" si="419"/>
        <v>0</v>
      </c>
      <c r="AX684" s="287">
        <f t="shared" si="420"/>
        <v>0</v>
      </c>
      <c r="AY684" s="287">
        <f t="shared" si="421"/>
        <v>0</v>
      </c>
      <c r="AZ684" s="287">
        <f t="shared" si="422"/>
        <v>0</v>
      </c>
      <c r="BA684" s="287">
        <f t="shared" si="423"/>
        <v>0</v>
      </c>
      <c r="BB684" s="16"/>
      <c r="BC684" s="287">
        <f t="shared" si="424"/>
        <v>0</v>
      </c>
      <c r="BD684" s="287">
        <f t="shared" si="425"/>
        <v>0</v>
      </c>
      <c r="BE684" s="287">
        <f t="shared" si="426"/>
        <v>0</v>
      </c>
      <c r="BF684" s="287">
        <f t="shared" si="427"/>
        <v>0</v>
      </c>
      <c r="BG684" s="287">
        <f t="shared" si="428"/>
        <v>0</v>
      </c>
      <c r="BH684" s="287">
        <f t="shared" si="429"/>
        <v>0</v>
      </c>
      <c r="BI684" s="287">
        <f t="shared" si="430"/>
        <v>0</v>
      </c>
      <c r="BJ684" s="287">
        <f t="shared" si="431"/>
        <v>0</v>
      </c>
      <c r="BK684" s="287">
        <f t="shared" si="432"/>
        <v>0</v>
      </c>
      <c r="BL684" s="287">
        <f t="shared" si="433"/>
        <v>0</v>
      </c>
      <c r="BM684" s="16"/>
      <c r="BN684" s="287">
        <f t="shared" si="434"/>
        <v>267000</v>
      </c>
      <c r="BO684" s="287">
        <f t="shared" si="435"/>
        <v>0</v>
      </c>
      <c r="BP684" s="432"/>
      <c r="BQ684" s="21"/>
      <c r="BR684" s="21"/>
      <c r="BS684" s="6"/>
      <c r="BT684" s="194">
        <f t="shared" si="437"/>
        <v>267000</v>
      </c>
      <c r="BU684" s="194">
        <f t="shared" si="438"/>
        <v>267000</v>
      </c>
      <c r="BV684" s="194">
        <f t="shared" si="439"/>
        <v>0</v>
      </c>
      <c r="BW684" s="194">
        <f t="shared" si="440"/>
        <v>0</v>
      </c>
      <c r="BX684" s="6"/>
      <c r="BY684" s="6"/>
      <c r="BZ684" s="39">
        <v>671</v>
      </c>
      <c r="CA684" s="39">
        <f t="shared" si="436"/>
        <v>2031</v>
      </c>
      <c r="CB684" s="6"/>
      <c r="CC684" s="39"/>
      <c r="CD684" s="39"/>
      <c r="CE684" s="39"/>
      <c r="CF684" s="39"/>
      <c r="CG684" s="39"/>
      <c r="CH684" s="39"/>
      <c r="CI684" s="39"/>
      <c r="CJ684" s="39"/>
      <c r="CK684" s="39"/>
    </row>
    <row r="685" spans="1:89" s="193" customFormat="1" ht="24">
      <c r="A685" s="357"/>
      <c r="B685" s="21" t="str">
        <f t="shared" si="413"/>
        <v>STW</v>
      </c>
      <c r="C685" s="21"/>
      <c r="D685" s="432"/>
      <c r="E685" s="439" t="s">
        <v>3626</v>
      </c>
      <c r="F685" s="439" t="s">
        <v>4126</v>
      </c>
      <c r="G685" s="273" t="s">
        <v>4127</v>
      </c>
      <c r="H685" s="358" t="s">
        <v>4554</v>
      </c>
      <c r="I685" s="262" t="s">
        <v>3491</v>
      </c>
      <c r="J685" s="262" t="s">
        <v>4198</v>
      </c>
      <c r="K685" s="263">
        <v>75000</v>
      </c>
      <c r="L685" s="263">
        <v>460000</v>
      </c>
      <c r="M685" s="263">
        <v>0</v>
      </c>
      <c r="N685" s="263">
        <v>0</v>
      </c>
      <c r="O685" s="263">
        <v>0</v>
      </c>
      <c r="P685" s="263">
        <v>0</v>
      </c>
      <c r="Q685" s="263">
        <v>0</v>
      </c>
      <c r="R685" s="263">
        <v>0</v>
      </c>
      <c r="S685" s="263">
        <v>0</v>
      </c>
      <c r="T685" s="263">
        <v>0</v>
      </c>
      <c r="U685" s="263">
        <f t="shared" si="441"/>
        <v>535000</v>
      </c>
      <c r="V685" s="196" t="str">
        <f t="shared" si="411"/>
        <v>G</v>
      </c>
      <c r="W685" s="196" t="s">
        <v>1168</v>
      </c>
      <c r="X685" s="196" t="str">
        <f t="shared" si="446"/>
        <v>Y</v>
      </c>
      <c r="Y685" s="376">
        <f t="shared" si="447"/>
        <v>535000</v>
      </c>
      <c r="Z685" s="198"/>
      <c r="AA685" s="376">
        <f t="shared" si="412"/>
        <v>535000</v>
      </c>
      <c r="AB685" s="196" t="s">
        <v>1166</v>
      </c>
      <c r="AC685" s="196" t="s">
        <v>1168</v>
      </c>
      <c r="AD685" s="445">
        <v>0.7</v>
      </c>
      <c r="AE685" s="275">
        <v>0</v>
      </c>
      <c r="AF685" s="275">
        <v>0</v>
      </c>
      <c r="AG685" s="442">
        <v>0.7</v>
      </c>
      <c r="AH685" s="442">
        <v>0.7</v>
      </c>
      <c r="AI685" s="377">
        <f t="shared" si="442"/>
        <v>0.7</v>
      </c>
      <c r="AJ685" s="688">
        <v>1</v>
      </c>
      <c r="AK685" s="203">
        <f t="shared" si="448"/>
        <v>0</v>
      </c>
      <c r="AL685" s="376">
        <f t="shared" si="443"/>
        <v>160500.00000000003</v>
      </c>
      <c r="AM685" s="376">
        <f t="shared" si="444"/>
        <v>374500</v>
      </c>
      <c r="AN685" s="376">
        <f t="shared" si="445"/>
        <v>0</v>
      </c>
      <c r="AO685" s="378" t="s">
        <v>3607</v>
      </c>
      <c r="AP685" s="379" t="s">
        <v>5395</v>
      </c>
      <c r="AQ685" s="279"/>
      <c r="AR685" s="287">
        <f t="shared" si="414"/>
        <v>52500</v>
      </c>
      <c r="AS685" s="287">
        <f t="shared" si="415"/>
        <v>322000</v>
      </c>
      <c r="AT685" s="287">
        <f t="shared" si="416"/>
        <v>0</v>
      </c>
      <c r="AU685" s="287">
        <f t="shared" si="417"/>
        <v>0</v>
      </c>
      <c r="AV685" s="287">
        <f t="shared" si="418"/>
        <v>0</v>
      </c>
      <c r="AW685" s="287">
        <f t="shared" si="419"/>
        <v>0</v>
      </c>
      <c r="AX685" s="287">
        <f t="shared" si="420"/>
        <v>0</v>
      </c>
      <c r="AY685" s="287">
        <f t="shared" si="421"/>
        <v>0</v>
      </c>
      <c r="AZ685" s="287">
        <f t="shared" si="422"/>
        <v>0</v>
      </c>
      <c r="BA685" s="287">
        <f t="shared" si="423"/>
        <v>0</v>
      </c>
      <c r="BB685" s="16"/>
      <c r="BC685" s="287">
        <f t="shared" si="424"/>
        <v>0</v>
      </c>
      <c r="BD685" s="287">
        <f t="shared" si="425"/>
        <v>0</v>
      </c>
      <c r="BE685" s="287">
        <f t="shared" si="426"/>
        <v>0</v>
      </c>
      <c r="BF685" s="287">
        <f t="shared" si="427"/>
        <v>0</v>
      </c>
      <c r="BG685" s="287">
        <f t="shared" si="428"/>
        <v>0</v>
      </c>
      <c r="BH685" s="287">
        <f t="shared" si="429"/>
        <v>0</v>
      </c>
      <c r="BI685" s="287">
        <f t="shared" si="430"/>
        <v>0</v>
      </c>
      <c r="BJ685" s="287">
        <f t="shared" si="431"/>
        <v>0</v>
      </c>
      <c r="BK685" s="287">
        <f t="shared" si="432"/>
        <v>0</v>
      </c>
      <c r="BL685" s="287">
        <f t="shared" si="433"/>
        <v>0</v>
      </c>
      <c r="BM685" s="16"/>
      <c r="BN685" s="287">
        <f t="shared" si="434"/>
        <v>374500</v>
      </c>
      <c r="BO685" s="287">
        <f t="shared" si="435"/>
        <v>0</v>
      </c>
      <c r="BP685" s="432"/>
      <c r="BQ685" s="21"/>
      <c r="BR685" s="21"/>
      <c r="BS685" s="6"/>
      <c r="BT685" s="194">
        <f t="shared" si="437"/>
        <v>374500</v>
      </c>
      <c r="BU685" s="194">
        <f t="shared" si="438"/>
        <v>374500</v>
      </c>
      <c r="BV685" s="194">
        <f t="shared" si="439"/>
        <v>0</v>
      </c>
      <c r="BW685" s="194">
        <f t="shared" si="440"/>
        <v>0</v>
      </c>
      <c r="BX685" s="6"/>
      <c r="BY685" s="6"/>
      <c r="BZ685" s="39">
        <v>672</v>
      </c>
      <c r="CA685" s="39">
        <f t="shared" si="436"/>
        <v>2031</v>
      </c>
      <c r="CB685" s="6"/>
      <c r="CC685" s="39"/>
      <c r="CD685" s="39"/>
      <c r="CE685" s="39"/>
      <c r="CF685" s="39"/>
      <c r="CG685" s="39"/>
      <c r="CH685" s="39"/>
      <c r="CI685" s="39"/>
      <c r="CJ685" s="39"/>
      <c r="CK685" s="39"/>
    </row>
    <row r="686" spans="1:89" s="193" customFormat="1">
      <c r="A686" s="357"/>
      <c r="B686" s="21" t="str">
        <f t="shared" si="413"/>
        <v>STW</v>
      </c>
      <c r="C686" s="21"/>
      <c r="D686" s="432" t="s">
        <v>3933</v>
      </c>
      <c r="E686" s="439" t="s">
        <v>3626</v>
      </c>
      <c r="F686" s="439" t="s">
        <v>3932</v>
      </c>
      <c r="G686" s="273" t="s">
        <v>4537</v>
      </c>
      <c r="H686" s="358" t="s">
        <v>4517</v>
      </c>
      <c r="I686" s="262" t="s">
        <v>3491</v>
      </c>
      <c r="J686" s="262" t="s">
        <v>4195</v>
      </c>
      <c r="K686" s="263">
        <v>1731000</v>
      </c>
      <c r="L686" s="263">
        <v>0</v>
      </c>
      <c r="M686" s="263">
        <v>0</v>
      </c>
      <c r="N686" s="263">
        <v>0</v>
      </c>
      <c r="O686" s="263">
        <v>0</v>
      </c>
      <c r="P686" s="263">
        <v>0</v>
      </c>
      <c r="Q686" s="263">
        <v>0</v>
      </c>
      <c r="R686" s="263">
        <v>0</v>
      </c>
      <c r="S686" s="263">
        <v>0</v>
      </c>
      <c r="T686" s="263">
        <v>0</v>
      </c>
      <c r="U686" s="263">
        <f t="shared" si="441"/>
        <v>1731000</v>
      </c>
      <c r="V686" s="196" t="str">
        <f t="shared" si="411"/>
        <v>G/R</v>
      </c>
      <c r="W686" s="196" t="s">
        <v>1168</v>
      </c>
      <c r="X686" s="196" t="str">
        <f t="shared" si="446"/>
        <v>Y</v>
      </c>
      <c r="Y686" s="376">
        <f t="shared" si="447"/>
        <v>1731000</v>
      </c>
      <c r="Z686" s="198"/>
      <c r="AA686" s="376">
        <f t="shared" si="412"/>
        <v>1731000</v>
      </c>
      <c r="AB686" s="196" t="s">
        <v>1166</v>
      </c>
      <c r="AC686" s="196" t="s">
        <v>1168</v>
      </c>
      <c r="AD686" s="275">
        <v>0.35</v>
      </c>
      <c r="AE686" s="275">
        <v>0</v>
      </c>
      <c r="AF686" s="275">
        <v>0.65</v>
      </c>
      <c r="AG686" s="442">
        <v>0.35</v>
      </c>
      <c r="AH686" s="442">
        <v>0.35</v>
      </c>
      <c r="AI686" s="377">
        <f t="shared" si="442"/>
        <v>0.35</v>
      </c>
      <c r="AJ686" s="549">
        <v>1</v>
      </c>
      <c r="AK686" s="203">
        <f t="shared" si="448"/>
        <v>0</v>
      </c>
      <c r="AL686" s="376">
        <f t="shared" si="443"/>
        <v>1125150</v>
      </c>
      <c r="AM686" s="376">
        <f t="shared" si="444"/>
        <v>605850</v>
      </c>
      <c r="AN686" s="376">
        <f t="shared" si="445"/>
        <v>0</v>
      </c>
      <c r="AO686" s="378" t="s">
        <v>3607</v>
      </c>
      <c r="AP686" s="379" t="s">
        <v>5416</v>
      </c>
      <c r="AQ686" s="279"/>
      <c r="AR686" s="287">
        <f t="shared" si="414"/>
        <v>605850</v>
      </c>
      <c r="AS686" s="287">
        <f t="shared" si="415"/>
        <v>0</v>
      </c>
      <c r="AT686" s="287">
        <f t="shared" si="416"/>
        <v>0</v>
      </c>
      <c r="AU686" s="287">
        <f t="shared" si="417"/>
        <v>0</v>
      </c>
      <c r="AV686" s="287">
        <f t="shared" si="418"/>
        <v>0</v>
      </c>
      <c r="AW686" s="287">
        <f t="shared" si="419"/>
        <v>0</v>
      </c>
      <c r="AX686" s="287">
        <f t="shared" si="420"/>
        <v>0</v>
      </c>
      <c r="AY686" s="287">
        <f t="shared" si="421"/>
        <v>0</v>
      </c>
      <c r="AZ686" s="287">
        <f t="shared" si="422"/>
        <v>0</v>
      </c>
      <c r="BA686" s="287">
        <f t="shared" si="423"/>
        <v>0</v>
      </c>
      <c r="BB686" s="16"/>
      <c r="BC686" s="287">
        <f t="shared" si="424"/>
        <v>0</v>
      </c>
      <c r="BD686" s="287">
        <f t="shared" si="425"/>
        <v>0</v>
      </c>
      <c r="BE686" s="287">
        <f t="shared" si="426"/>
        <v>0</v>
      </c>
      <c r="BF686" s="287">
        <f t="shared" si="427"/>
        <v>0</v>
      </c>
      <c r="BG686" s="287">
        <f t="shared" si="428"/>
        <v>0</v>
      </c>
      <c r="BH686" s="287">
        <f t="shared" si="429"/>
        <v>0</v>
      </c>
      <c r="BI686" s="287">
        <f t="shared" si="430"/>
        <v>0</v>
      </c>
      <c r="BJ686" s="287">
        <f t="shared" si="431"/>
        <v>0</v>
      </c>
      <c r="BK686" s="287">
        <f t="shared" si="432"/>
        <v>0</v>
      </c>
      <c r="BL686" s="287">
        <f t="shared" si="433"/>
        <v>0</v>
      </c>
      <c r="BM686" s="16"/>
      <c r="BN686" s="287">
        <f t="shared" si="434"/>
        <v>605850</v>
      </c>
      <c r="BO686" s="287">
        <f t="shared" si="435"/>
        <v>0</v>
      </c>
      <c r="BP686" s="432"/>
      <c r="BQ686" s="21"/>
      <c r="BR686" s="21"/>
      <c r="BS686" s="6"/>
      <c r="BT686" s="194">
        <f t="shared" si="437"/>
        <v>605850</v>
      </c>
      <c r="BU686" s="194">
        <f t="shared" si="438"/>
        <v>605850</v>
      </c>
      <c r="BV686" s="194">
        <f t="shared" si="439"/>
        <v>0</v>
      </c>
      <c r="BW686" s="194">
        <f t="shared" si="440"/>
        <v>0</v>
      </c>
      <c r="BX686" s="6"/>
      <c r="BY686" s="6"/>
      <c r="BZ686" s="39">
        <v>673</v>
      </c>
      <c r="CA686" s="39">
        <f t="shared" si="436"/>
        <v>2031</v>
      </c>
      <c r="CB686" s="6"/>
      <c r="CC686" s="39"/>
      <c r="CD686" s="39"/>
      <c r="CE686" s="39"/>
      <c r="CF686" s="39"/>
      <c r="CG686" s="39"/>
      <c r="CH686" s="39"/>
      <c r="CI686" s="39"/>
      <c r="CJ686" s="39"/>
      <c r="CK686" s="39"/>
    </row>
    <row r="687" spans="1:89" s="193" customFormat="1">
      <c r="A687" s="357"/>
      <c r="B687" s="21" t="str">
        <f t="shared" si="413"/>
        <v>STW</v>
      </c>
      <c r="C687" s="21"/>
      <c r="D687" s="432"/>
      <c r="E687" s="439" t="s">
        <v>3626</v>
      </c>
      <c r="F687" s="439" t="s">
        <v>4154</v>
      </c>
      <c r="G687" s="273" t="s">
        <v>4579</v>
      </c>
      <c r="H687" s="358" t="s">
        <v>4578</v>
      </c>
      <c r="I687" s="262" t="s">
        <v>3491</v>
      </c>
      <c r="J687" s="262" t="s">
        <v>4199</v>
      </c>
      <c r="K687" s="263">
        <v>211000</v>
      </c>
      <c r="L687" s="263">
        <v>250000</v>
      </c>
      <c r="M687" s="263">
        <v>1568000</v>
      </c>
      <c r="N687" s="263">
        <v>0</v>
      </c>
      <c r="O687" s="263">
        <v>0</v>
      </c>
      <c r="P687" s="263">
        <v>0</v>
      </c>
      <c r="Q687" s="263">
        <v>0</v>
      </c>
      <c r="R687" s="263">
        <v>0</v>
      </c>
      <c r="S687" s="263">
        <v>0</v>
      </c>
      <c r="T687" s="263">
        <v>0</v>
      </c>
      <c r="U687" s="263">
        <f t="shared" si="441"/>
        <v>2029000</v>
      </c>
      <c r="V687" s="196" t="str">
        <f t="shared" si="411"/>
        <v>G/LOS/R</v>
      </c>
      <c r="W687" s="196" t="s">
        <v>1168</v>
      </c>
      <c r="X687" s="196" t="str">
        <f t="shared" si="446"/>
        <v>Y</v>
      </c>
      <c r="Y687" s="376">
        <f t="shared" si="447"/>
        <v>2029000</v>
      </c>
      <c r="Z687" s="198"/>
      <c r="AA687" s="376">
        <f t="shared" si="412"/>
        <v>2029000</v>
      </c>
      <c r="AB687" s="196" t="s">
        <v>1166</v>
      </c>
      <c r="AC687" s="196" t="s">
        <v>1168</v>
      </c>
      <c r="AD687" s="275">
        <v>0.15</v>
      </c>
      <c r="AE687" s="275">
        <v>0.35</v>
      </c>
      <c r="AF687" s="275">
        <v>0.5</v>
      </c>
      <c r="AG687" s="442">
        <v>0.15</v>
      </c>
      <c r="AH687" s="442">
        <v>0.15</v>
      </c>
      <c r="AI687" s="377">
        <f t="shared" si="442"/>
        <v>0.15</v>
      </c>
      <c r="AJ687" s="549">
        <v>1</v>
      </c>
      <c r="AK687" s="203">
        <f t="shared" si="448"/>
        <v>0</v>
      </c>
      <c r="AL687" s="376">
        <f t="shared" si="443"/>
        <v>1724650</v>
      </c>
      <c r="AM687" s="376">
        <f t="shared" si="444"/>
        <v>304350</v>
      </c>
      <c r="AN687" s="376">
        <f t="shared" si="445"/>
        <v>0</v>
      </c>
      <c r="AO687" s="378" t="s">
        <v>3607</v>
      </c>
      <c r="AP687" s="379" t="s">
        <v>5401</v>
      </c>
      <c r="AQ687" s="279"/>
      <c r="AR687" s="287">
        <f t="shared" si="414"/>
        <v>31650</v>
      </c>
      <c r="AS687" s="287">
        <f t="shared" si="415"/>
        <v>37500</v>
      </c>
      <c r="AT687" s="287">
        <f t="shared" si="416"/>
        <v>235200</v>
      </c>
      <c r="AU687" s="287">
        <f t="shared" si="417"/>
        <v>0</v>
      </c>
      <c r="AV687" s="287">
        <f t="shared" si="418"/>
        <v>0</v>
      </c>
      <c r="AW687" s="287">
        <f t="shared" si="419"/>
        <v>0</v>
      </c>
      <c r="AX687" s="287">
        <f t="shared" si="420"/>
        <v>0</v>
      </c>
      <c r="AY687" s="287">
        <f t="shared" si="421"/>
        <v>0</v>
      </c>
      <c r="AZ687" s="287">
        <f t="shared" si="422"/>
        <v>0</v>
      </c>
      <c r="BA687" s="287">
        <f t="shared" si="423"/>
        <v>0</v>
      </c>
      <c r="BB687" s="16"/>
      <c r="BC687" s="287">
        <f t="shared" si="424"/>
        <v>0</v>
      </c>
      <c r="BD687" s="287">
        <f t="shared" si="425"/>
        <v>0</v>
      </c>
      <c r="BE687" s="287">
        <f t="shared" si="426"/>
        <v>0</v>
      </c>
      <c r="BF687" s="287">
        <f t="shared" si="427"/>
        <v>0</v>
      </c>
      <c r="BG687" s="287">
        <f t="shared" si="428"/>
        <v>0</v>
      </c>
      <c r="BH687" s="287">
        <f t="shared" si="429"/>
        <v>0</v>
      </c>
      <c r="BI687" s="287">
        <f t="shared" si="430"/>
        <v>0</v>
      </c>
      <c r="BJ687" s="287">
        <f t="shared" si="431"/>
        <v>0</v>
      </c>
      <c r="BK687" s="287">
        <f t="shared" si="432"/>
        <v>0</v>
      </c>
      <c r="BL687" s="287">
        <f t="shared" si="433"/>
        <v>0</v>
      </c>
      <c r="BM687" s="16"/>
      <c r="BN687" s="287">
        <f t="shared" si="434"/>
        <v>304350</v>
      </c>
      <c r="BO687" s="287">
        <f t="shared" si="435"/>
        <v>0</v>
      </c>
      <c r="BP687" s="432"/>
      <c r="BQ687" s="21"/>
      <c r="BR687" s="21"/>
      <c r="BS687" s="6"/>
      <c r="BT687" s="194">
        <f t="shared" si="437"/>
        <v>304350</v>
      </c>
      <c r="BU687" s="194">
        <f t="shared" si="438"/>
        <v>304350</v>
      </c>
      <c r="BV687" s="194">
        <f t="shared" si="439"/>
        <v>0</v>
      </c>
      <c r="BW687" s="194">
        <f t="shared" si="440"/>
        <v>0</v>
      </c>
      <c r="BX687" s="6"/>
      <c r="BY687" s="6"/>
      <c r="BZ687" s="39">
        <v>674</v>
      </c>
      <c r="CA687" s="39">
        <f t="shared" si="436"/>
        <v>2031</v>
      </c>
      <c r="CB687" s="6"/>
      <c r="CC687" s="39"/>
      <c r="CD687" s="39"/>
      <c r="CE687" s="39"/>
      <c r="CF687" s="39"/>
      <c r="CG687" s="39"/>
      <c r="CH687" s="39"/>
      <c r="CI687" s="39"/>
      <c r="CJ687" s="39"/>
      <c r="CK687" s="39"/>
    </row>
    <row r="688" spans="1:89" s="193" customFormat="1" ht="24">
      <c r="A688" s="357"/>
      <c r="B688" s="21" t="str">
        <f t="shared" si="413"/>
        <v>STW</v>
      </c>
      <c r="C688" s="21"/>
      <c r="D688" s="432"/>
      <c r="E688" s="439" t="s">
        <v>3626</v>
      </c>
      <c r="F688" s="439" t="s">
        <v>4164</v>
      </c>
      <c r="G688" s="273" t="s">
        <v>4634</v>
      </c>
      <c r="H688" s="358" t="s">
        <v>4633</v>
      </c>
      <c r="I688" s="262" t="s">
        <v>3491</v>
      </c>
      <c r="J688" s="262" t="s">
        <v>4190</v>
      </c>
      <c r="K688" s="263">
        <v>50000</v>
      </c>
      <c r="L688" s="263">
        <v>50000</v>
      </c>
      <c r="M688" s="263">
        <v>500000</v>
      </c>
      <c r="N688" s="263">
        <v>500000</v>
      </c>
      <c r="O688" s="263">
        <v>0</v>
      </c>
      <c r="P688" s="263">
        <v>0</v>
      </c>
      <c r="Q688" s="263">
        <v>0</v>
      </c>
      <c r="R688" s="263">
        <v>0</v>
      </c>
      <c r="S688" s="263">
        <v>0</v>
      </c>
      <c r="T688" s="263">
        <v>0</v>
      </c>
      <c r="U688" s="263">
        <f t="shared" si="441"/>
        <v>1100000</v>
      </c>
      <c r="V688" s="196" t="str">
        <f t="shared" si="411"/>
        <v>G/LOS/R</v>
      </c>
      <c r="W688" s="196" t="s">
        <v>1168</v>
      </c>
      <c r="X688" s="196" t="str">
        <f t="shared" si="446"/>
        <v>Y</v>
      </c>
      <c r="Y688" s="376">
        <f t="shared" si="447"/>
        <v>1100000</v>
      </c>
      <c r="Z688" s="198"/>
      <c r="AA688" s="376">
        <f t="shared" si="412"/>
        <v>1100000</v>
      </c>
      <c r="AB688" s="196" t="s">
        <v>1166</v>
      </c>
      <c r="AC688" s="196" t="s">
        <v>1168</v>
      </c>
      <c r="AD688" s="275">
        <v>0.2</v>
      </c>
      <c r="AE688" s="275">
        <v>0.2</v>
      </c>
      <c r="AF688" s="275">
        <v>0.6</v>
      </c>
      <c r="AG688" s="442">
        <v>0.2</v>
      </c>
      <c r="AH688" s="442">
        <v>0.2</v>
      </c>
      <c r="AI688" s="377">
        <f t="shared" si="442"/>
        <v>0.2</v>
      </c>
      <c r="AJ688" s="549">
        <v>1</v>
      </c>
      <c r="AK688" s="203">
        <f t="shared" si="448"/>
        <v>0</v>
      </c>
      <c r="AL688" s="376">
        <f t="shared" si="443"/>
        <v>880000</v>
      </c>
      <c r="AM688" s="376">
        <f t="shared" si="444"/>
        <v>220000</v>
      </c>
      <c r="AN688" s="376">
        <f t="shared" si="445"/>
        <v>0</v>
      </c>
      <c r="AO688" s="378" t="s">
        <v>3607</v>
      </c>
      <c r="AP688" s="379" t="s">
        <v>5394</v>
      </c>
      <c r="AQ688" s="279"/>
      <c r="AR688" s="287">
        <f t="shared" si="414"/>
        <v>10000</v>
      </c>
      <c r="AS688" s="287">
        <f t="shared" si="415"/>
        <v>10000</v>
      </c>
      <c r="AT688" s="287">
        <f t="shared" si="416"/>
        <v>100000</v>
      </c>
      <c r="AU688" s="287">
        <f t="shared" si="417"/>
        <v>100000</v>
      </c>
      <c r="AV688" s="287">
        <f t="shared" si="418"/>
        <v>0</v>
      </c>
      <c r="AW688" s="287">
        <f t="shared" si="419"/>
        <v>0</v>
      </c>
      <c r="AX688" s="287">
        <f t="shared" si="420"/>
        <v>0</v>
      </c>
      <c r="AY688" s="287">
        <f t="shared" si="421"/>
        <v>0</v>
      </c>
      <c r="AZ688" s="287">
        <f t="shared" si="422"/>
        <v>0</v>
      </c>
      <c r="BA688" s="287">
        <f t="shared" si="423"/>
        <v>0</v>
      </c>
      <c r="BB688" s="16"/>
      <c r="BC688" s="287">
        <f t="shared" si="424"/>
        <v>0</v>
      </c>
      <c r="BD688" s="287">
        <f t="shared" si="425"/>
        <v>0</v>
      </c>
      <c r="BE688" s="287">
        <f t="shared" si="426"/>
        <v>0</v>
      </c>
      <c r="BF688" s="287">
        <f t="shared" si="427"/>
        <v>0</v>
      </c>
      <c r="BG688" s="287">
        <f t="shared" si="428"/>
        <v>0</v>
      </c>
      <c r="BH688" s="287">
        <f t="shared" si="429"/>
        <v>0</v>
      </c>
      <c r="BI688" s="287">
        <f t="shared" si="430"/>
        <v>0</v>
      </c>
      <c r="BJ688" s="287">
        <f t="shared" si="431"/>
        <v>0</v>
      </c>
      <c r="BK688" s="287">
        <f t="shared" si="432"/>
        <v>0</v>
      </c>
      <c r="BL688" s="287">
        <f t="shared" si="433"/>
        <v>0</v>
      </c>
      <c r="BM688" s="16"/>
      <c r="BN688" s="287">
        <f t="shared" si="434"/>
        <v>220000</v>
      </c>
      <c r="BO688" s="287">
        <f t="shared" si="435"/>
        <v>0</v>
      </c>
      <c r="BP688" s="432"/>
      <c r="BQ688" s="21"/>
      <c r="BR688" s="21"/>
      <c r="BS688" s="6"/>
      <c r="BT688" s="194">
        <f t="shared" si="437"/>
        <v>220000</v>
      </c>
      <c r="BU688" s="194">
        <f t="shared" si="438"/>
        <v>220000</v>
      </c>
      <c r="BV688" s="194">
        <f t="shared" si="439"/>
        <v>0</v>
      </c>
      <c r="BW688" s="194">
        <f t="shared" si="440"/>
        <v>0</v>
      </c>
      <c r="BX688" s="6"/>
      <c r="BY688" s="6"/>
      <c r="BZ688" s="39">
        <v>675</v>
      </c>
      <c r="CA688" s="39">
        <f t="shared" si="436"/>
        <v>2031</v>
      </c>
      <c r="CB688" s="6"/>
      <c r="CC688" s="39"/>
      <c r="CD688" s="39"/>
      <c r="CE688" s="39"/>
      <c r="CF688" s="39"/>
      <c r="CG688" s="39"/>
      <c r="CH688" s="39"/>
      <c r="CI688" s="39"/>
      <c r="CJ688" s="39"/>
      <c r="CK688" s="39"/>
    </row>
    <row r="689" spans="1:89" s="193" customFormat="1">
      <c r="A689" s="357"/>
      <c r="B689" s="21" t="str">
        <f t="shared" si="413"/>
        <v>STW</v>
      </c>
      <c r="C689" s="21"/>
      <c r="D689" s="432"/>
      <c r="E689" s="439" t="s">
        <v>3626</v>
      </c>
      <c r="F689" s="439" t="s">
        <v>4023</v>
      </c>
      <c r="G689" s="273" t="s">
        <v>4619</v>
      </c>
      <c r="H689" s="358" t="s">
        <v>4618</v>
      </c>
      <c r="I689" s="262" t="s">
        <v>3491</v>
      </c>
      <c r="J689" s="262" t="s">
        <v>4208</v>
      </c>
      <c r="K689" s="263">
        <v>85000</v>
      </c>
      <c r="L689" s="263">
        <v>1115000</v>
      </c>
      <c r="M689" s="263">
        <v>0</v>
      </c>
      <c r="N689" s="263">
        <v>0</v>
      </c>
      <c r="O689" s="263">
        <v>0</v>
      </c>
      <c r="P689" s="263">
        <v>0</v>
      </c>
      <c r="Q689" s="263">
        <v>0</v>
      </c>
      <c r="R689" s="263">
        <v>0</v>
      </c>
      <c r="S689" s="263">
        <v>0</v>
      </c>
      <c r="T689" s="263">
        <v>0</v>
      </c>
      <c r="U689" s="263">
        <f t="shared" si="441"/>
        <v>1200000</v>
      </c>
      <c r="V689" s="196" t="str">
        <f t="shared" si="411"/>
        <v>G/LOS/R</v>
      </c>
      <c r="W689" s="196" t="s">
        <v>1168</v>
      </c>
      <c r="X689" s="196" t="str">
        <f t="shared" si="446"/>
        <v>Y</v>
      </c>
      <c r="Y689" s="376">
        <f t="shared" si="447"/>
        <v>1200000</v>
      </c>
      <c r="Z689" s="198"/>
      <c r="AA689" s="376">
        <f t="shared" si="412"/>
        <v>1200000</v>
      </c>
      <c r="AB689" s="196" t="s">
        <v>1166</v>
      </c>
      <c r="AC689" s="196" t="s">
        <v>1168</v>
      </c>
      <c r="AD689" s="275">
        <v>0.3</v>
      </c>
      <c r="AE689" s="275">
        <v>0.6</v>
      </c>
      <c r="AF689" s="275">
        <v>0.1</v>
      </c>
      <c r="AG689" s="442">
        <v>0.3</v>
      </c>
      <c r="AH689" s="442">
        <v>0.3</v>
      </c>
      <c r="AI689" s="377">
        <f t="shared" si="442"/>
        <v>0.3</v>
      </c>
      <c r="AJ689" s="548">
        <v>1</v>
      </c>
      <c r="AK689" s="203">
        <f t="shared" si="448"/>
        <v>0</v>
      </c>
      <c r="AL689" s="376">
        <f t="shared" si="443"/>
        <v>840000</v>
      </c>
      <c r="AM689" s="376">
        <f t="shared" si="444"/>
        <v>360000</v>
      </c>
      <c r="AN689" s="376">
        <f t="shared" si="445"/>
        <v>0</v>
      </c>
      <c r="AO689" s="378" t="s">
        <v>3607</v>
      </c>
      <c r="AP689" s="379" t="s">
        <v>5424</v>
      </c>
      <c r="AQ689" s="279"/>
      <c r="AR689" s="287">
        <f t="shared" si="414"/>
        <v>25500</v>
      </c>
      <c r="AS689" s="287">
        <f t="shared" si="415"/>
        <v>334500</v>
      </c>
      <c r="AT689" s="287">
        <f t="shared" si="416"/>
        <v>0</v>
      </c>
      <c r="AU689" s="287">
        <f t="shared" si="417"/>
        <v>0</v>
      </c>
      <c r="AV689" s="287">
        <f t="shared" si="418"/>
        <v>0</v>
      </c>
      <c r="AW689" s="287">
        <f t="shared" si="419"/>
        <v>0</v>
      </c>
      <c r="AX689" s="287">
        <f t="shared" si="420"/>
        <v>0</v>
      </c>
      <c r="AY689" s="287">
        <f t="shared" si="421"/>
        <v>0</v>
      </c>
      <c r="AZ689" s="287">
        <f t="shared" si="422"/>
        <v>0</v>
      </c>
      <c r="BA689" s="287">
        <f t="shared" si="423"/>
        <v>0</v>
      </c>
      <c r="BB689" s="16"/>
      <c r="BC689" s="287">
        <f t="shared" si="424"/>
        <v>0</v>
      </c>
      <c r="BD689" s="287">
        <f t="shared" si="425"/>
        <v>0</v>
      </c>
      <c r="BE689" s="287">
        <f t="shared" si="426"/>
        <v>0</v>
      </c>
      <c r="BF689" s="287">
        <f t="shared" si="427"/>
        <v>0</v>
      </c>
      <c r="BG689" s="287">
        <f t="shared" si="428"/>
        <v>0</v>
      </c>
      <c r="BH689" s="287">
        <f t="shared" si="429"/>
        <v>0</v>
      </c>
      <c r="BI689" s="287">
        <f t="shared" si="430"/>
        <v>0</v>
      </c>
      <c r="BJ689" s="287">
        <f t="shared" si="431"/>
        <v>0</v>
      </c>
      <c r="BK689" s="287">
        <f t="shared" si="432"/>
        <v>0</v>
      </c>
      <c r="BL689" s="287">
        <f t="shared" si="433"/>
        <v>0</v>
      </c>
      <c r="BM689" s="16"/>
      <c r="BN689" s="287">
        <f t="shared" si="434"/>
        <v>360000</v>
      </c>
      <c r="BO689" s="287">
        <f t="shared" si="435"/>
        <v>0</v>
      </c>
      <c r="BP689" s="432"/>
      <c r="BQ689" s="21"/>
      <c r="BR689" s="21"/>
      <c r="BS689" s="6"/>
      <c r="BT689" s="194">
        <f t="shared" si="437"/>
        <v>360000</v>
      </c>
      <c r="BU689" s="194">
        <f t="shared" si="438"/>
        <v>360000</v>
      </c>
      <c r="BV689" s="194">
        <f t="shared" si="439"/>
        <v>0</v>
      </c>
      <c r="BW689" s="194">
        <f t="shared" si="440"/>
        <v>0</v>
      </c>
      <c r="BX689" s="6"/>
      <c r="BY689" s="6"/>
      <c r="BZ689" s="39">
        <v>676</v>
      </c>
      <c r="CA689" s="39">
        <f t="shared" si="436"/>
        <v>2031</v>
      </c>
      <c r="CB689" s="6"/>
      <c r="CC689" s="39"/>
      <c r="CD689" s="39"/>
      <c r="CE689" s="39"/>
      <c r="CF689" s="39"/>
      <c r="CG689" s="39"/>
      <c r="CH689" s="39"/>
      <c r="CI689" s="39"/>
      <c r="CJ689" s="39"/>
      <c r="CK689" s="39"/>
    </row>
    <row r="690" spans="1:89" s="193" customFormat="1" ht="24">
      <c r="A690" s="357"/>
      <c r="B690" s="21" t="str">
        <f t="shared" si="413"/>
        <v>STW</v>
      </c>
      <c r="C690" s="21"/>
      <c r="D690" s="432" t="s">
        <v>3933</v>
      </c>
      <c r="E690" s="439" t="s">
        <v>3626</v>
      </c>
      <c r="F690" s="439" t="s">
        <v>4056</v>
      </c>
      <c r="G690" s="273" t="s">
        <v>4055</v>
      </c>
      <c r="H690" s="358" t="s">
        <v>4590</v>
      </c>
      <c r="I690" s="262" t="s">
        <v>3491</v>
      </c>
      <c r="J690" s="262" t="s">
        <v>4195</v>
      </c>
      <c r="K690" s="263">
        <v>111000.5</v>
      </c>
      <c r="L690" s="263">
        <v>0</v>
      </c>
      <c r="M690" s="263">
        <v>25000</v>
      </c>
      <c r="N690" s="263">
        <v>25000</v>
      </c>
      <c r="O690" s="263">
        <v>1605000</v>
      </c>
      <c r="P690" s="263">
        <v>0</v>
      </c>
      <c r="Q690" s="263">
        <v>0</v>
      </c>
      <c r="R690" s="263">
        <v>0</v>
      </c>
      <c r="S690" s="263">
        <v>0</v>
      </c>
      <c r="T690" s="263">
        <v>0</v>
      </c>
      <c r="U690" s="263">
        <f t="shared" si="441"/>
        <v>1766000.5</v>
      </c>
      <c r="V690" s="196" t="str">
        <f t="shared" si="411"/>
        <v>G/LOS/R</v>
      </c>
      <c r="W690" s="196" t="s">
        <v>1168</v>
      </c>
      <c r="X690" s="196" t="str">
        <f t="shared" si="446"/>
        <v>Y</v>
      </c>
      <c r="Y690" s="376">
        <f t="shared" si="447"/>
        <v>1766000.5</v>
      </c>
      <c r="Z690" s="198"/>
      <c r="AA690" s="376">
        <f t="shared" si="412"/>
        <v>1766000.5</v>
      </c>
      <c r="AB690" s="196" t="s">
        <v>1166</v>
      </c>
      <c r="AC690" s="196" t="s">
        <v>1168</v>
      </c>
      <c r="AD690" s="518">
        <v>0.1</v>
      </c>
      <c r="AE690" s="275">
        <v>0.4</v>
      </c>
      <c r="AF690" s="275">
        <v>0.5</v>
      </c>
      <c r="AG690" s="442">
        <v>0.1</v>
      </c>
      <c r="AH690" s="442">
        <v>0.1</v>
      </c>
      <c r="AI690" s="377">
        <f t="shared" si="442"/>
        <v>0.1</v>
      </c>
      <c r="AJ690" s="548">
        <v>1</v>
      </c>
      <c r="AK690" s="203">
        <f t="shared" si="448"/>
        <v>0</v>
      </c>
      <c r="AL690" s="376">
        <f t="shared" si="443"/>
        <v>1589400.45</v>
      </c>
      <c r="AM690" s="376">
        <f t="shared" si="444"/>
        <v>176600.05000000002</v>
      </c>
      <c r="AN690" s="376">
        <f t="shared" si="445"/>
        <v>0</v>
      </c>
      <c r="AO690" s="378" t="s">
        <v>3607</v>
      </c>
      <c r="AP690" s="379" t="s">
        <v>5416</v>
      </c>
      <c r="AQ690" s="279"/>
      <c r="AR690" s="287">
        <f t="shared" si="414"/>
        <v>11100.050000000001</v>
      </c>
      <c r="AS690" s="287">
        <f t="shared" si="415"/>
        <v>0</v>
      </c>
      <c r="AT690" s="287">
        <f t="shared" si="416"/>
        <v>2500</v>
      </c>
      <c r="AU690" s="287">
        <f t="shared" si="417"/>
        <v>2500</v>
      </c>
      <c r="AV690" s="287">
        <f t="shared" si="418"/>
        <v>160500</v>
      </c>
      <c r="AW690" s="287">
        <f t="shared" si="419"/>
        <v>0</v>
      </c>
      <c r="AX690" s="287">
        <f t="shared" si="420"/>
        <v>0</v>
      </c>
      <c r="AY690" s="287">
        <f t="shared" si="421"/>
        <v>0</v>
      </c>
      <c r="AZ690" s="287">
        <f t="shared" si="422"/>
        <v>0</v>
      </c>
      <c r="BA690" s="287">
        <f t="shared" si="423"/>
        <v>0</v>
      </c>
      <c r="BB690" s="16"/>
      <c r="BC690" s="287">
        <f t="shared" si="424"/>
        <v>0</v>
      </c>
      <c r="BD690" s="287">
        <f t="shared" si="425"/>
        <v>0</v>
      </c>
      <c r="BE690" s="287">
        <f t="shared" si="426"/>
        <v>0</v>
      </c>
      <c r="BF690" s="287">
        <f t="shared" si="427"/>
        <v>0</v>
      </c>
      <c r="BG690" s="287">
        <f t="shared" si="428"/>
        <v>0</v>
      </c>
      <c r="BH690" s="287">
        <f t="shared" si="429"/>
        <v>0</v>
      </c>
      <c r="BI690" s="287">
        <f t="shared" si="430"/>
        <v>0</v>
      </c>
      <c r="BJ690" s="287">
        <f t="shared" si="431"/>
        <v>0</v>
      </c>
      <c r="BK690" s="287">
        <f t="shared" si="432"/>
        <v>0</v>
      </c>
      <c r="BL690" s="287">
        <f t="shared" si="433"/>
        <v>0</v>
      </c>
      <c r="BM690" s="16"/>
      <c r="BN690" s="287">
        <f t="shared" si="434"/>
        <v>176600.05</v>
      </c>
      <c r="BO690" s="287">
        <f t="shared" si="435"/>
        <v>0</v>
      </c>
      <c r="BP690" s="432"/>
      <c r="BQ690" s="21"/>
      <c r="BR690" s="21"/>
      <c r="BS690" s="6"/>
      <c r="BT690" s="194">
        <f t="shared" si="437"/>
        <v>176600.05</v>
      </c>
      <c r="BU690" s="194">
        <f t="shared" si="438"/>
        <v>176600.05000000002</v>
      </c>
      <c r="BV690" s="194">
        <f t="shared" si="439"/>
        <v>0</v>
      </c>
      <c r="BW690" s="194">
        <f t="shared" si="440"/>
        <v>-2.9103830456733704E-11</v>
      </c>
      <c r="BX690" s="6"/>
      <c r="BY690" s="6"/>
      <c r="BZ690" s="39">
        <v>677</v>
      </c>
      <c r="CA690" s="39">
        <f t="shared" si="436"/>
        <v>2031</v>
      </c>
      <c r="CB690" s="6"/>
      <c r="CC690" s="39"/>
      <c r="CD690" s="39"/>
      <c r="CE690" s="39"/>
      <c r="CF690" s="39"/>
      <c r="CG690" s="39"/>
      <c r="CH690" s="39"/>
      <c r="CI690" s="39"/>
      <c r="CJ690" s="39"/>
      <c r="CK690" s="39"/>
    </row>
    <row r="691" spans="1:89" s="193" customFormat="1" ht="24">
      <c r="A691" s="357"/>
      <c r="B691" s="21" t="str">
        <f t="shared" si="413"/>
        <v>STW</v>
      </c>
      <c r="C691" s="21"/>
      <c r="D691" s="432"/>
      <c r="E691" s="439" t="s">
        <v>3626</v>
      </c>
      <c r="F691" s="439" t="s">
        <v>4177</v>
      </c>
      <c r="G691" s="273" t="s">
        <v>4178</v>
      </c>
      <c r="H691" s="358" t="s">
        <v>4503</v>
      </c>
      <c r="I691" s="262" t="s">
        <v>3491</v>
      </c>
      <c r="J691" s="262" t="s">
        <v>4198</v>
      </c>
      <c r="K691" s="263">
        <v>50000</v>
      </c>
      <c r="L691" s="263">
        <v>50000</v>
      </c>
      <c r="M691" s="263">
        <v>500000</v>
      </c>
      <c r="N691" s="263">
        <v>504000</v>
      </c>
      <c r="O691" s="263">
        <v>0</v>
      </c>
      <c r="P691" s="263">
        <v>0</v>
      </c>
      <c r="Q691" s="263">
        <v>0</v>
      </c>
      <c r="R691" s="263">
        <v>0</v>
      </c>
      <c r="S691" s="263">
        <v>0</v>
      </c>
      <c r="T691" s="263">
        <v>0</v>
      </c>
      <c r="U691" s="263">
        <f t="shared" si="441"/>
        <v>1104000</v>
      </c>
      <c r="V691" s="196" t="str">
        <f t="shared" si="411"/>
        <v>G/LOS/R</v>
      </c>
      <c r="W691" s="196" t="s">
        <v>1168</v>
      </c>
      <c r="X691" s="196" t="str">
        <f t="shared" si="446"/>
        <v>Y</v>
      </c>
      <c r="Y691" s="376">
        <f t="shared" si="447"/>
        <v>1104000</v>
      </c>
      <c r="Z691" s="198"/>
      <c r="AA691" s="376">
        <f t="shared" si="412"/>
        <v>1104000</v>
      </c>
      <c r="AB691" s="196" t="s">
        <v>1166</v>
      </c>
      <c r="AC691" s="196" t="s">
        <v>1168</v>
      </c>
      <c r="AD691" s="275">
        <v>0.15</v>
      </c>
      <c r="AE691" s="275">
        <v>0.65</v>
      </c>
      <c r="AF691" s="275">
        <v>0.2</v>
      </c>
      <c r="AG691" s="442">
        <v>0.15</v>
      </c>
      <c r="AH691" s="442">
        <v>0.15</v>
      </c>
      <c r="AI691" s="377">
        <f t="shared" si="442"/>
        <v>0.15</v>
      </c>
      <c r="AJ691" s="549">
        <v>1</v>
      </c>
      <c r="AK691" s="203">
        <f t="shared" si="448"/>
        <v>0</v>
      </c>
      <c r="AL691" s="376">
        <f t="shared" si="443"/>
        <v>938400</v>
      </c>
      <c r="AM691" s="376">
        <f t="shared" si="444"/>
        <v>165600</v>
      </c>
      <c r="AN691" s="376">
        <f t="shared" si="445"/>
        <v>0</v>
      </c>
      <c r="AO691" s="378" t="s">
        <v>3607</v>
      </c>
      <c r="AP691" s="379" t="s">
        <v>5395</v>
      </c>
      <c r="AQ691" s="279"/>
      <c r="AR691" s="287">
        <f t="shared" si="414"/>
        <v>7500</v>
      </c>
      <c r="AS691" s="287">
        <f t="shared" si="415"/>
        <v>7500</v>
      </c>
      <c r="AT691" s="287">
        <f t="shared" si="416"/>
        <v>75000</v>
      </c>
      <c r="AU691" s="287">
        <f t="shared" si="417"/>
        <v>75600</v>
      </c>
      <c r="AV691" s="287">
        <f t="shared" si="418"/>
        <v>0</v>
      </c>
      <c r="AW691" s="287">
        <f t="shared" si="419"/>
        <v>0</v>
      </c>
      <c r="AX691" s="287">
        <f t="shared" si="420"/>
        <v>0</v>
      </c>
      <c r="AY691" s="287">
        <f t="shared" si="421"/>
        <v>0</v>
      </c>
      <c r="AZ691" s="287">
        <f t="shared" si="422"/>
        <v>0</v>
      </c>
      <c r="BA691" s="287">
        <f t="shared" si="423"/>
        <v>0</v>
      </c>
      <c r="BB691" s="16"/>
      <c r="BC691" s="287">
        <f t="shared" si="424"/>
        <v>0</v>
      </c>
      <c r="BD691" s="287">
        <f t="shared" si="425"/>
        <v>0</v>
      </c>
      <c r="BE691" s="287">
        <f t="shared" si="426"/>
        <v>0</v>
      </c>
      <c r="BF691" s="287">
        <f t="shared" si="427"/>
        <v>0</v>
      </c>
      <c r="BG691" s="287">
        <f t="shared" si="428"/>
        <v>0</v>
      </c>
      <c r="BH691" s="287">
        <f t="shared" si="429"/>
        <v>0</v>
      </c>
      <c r="BI691" s="287">
        <f t="shared" si="430"/>
        <v>0</v>
      </c>
      <c r="BJ691" s="287">
        <f t="shared" si="431"/>
        <v>0</v>
      </c>
      <c r="BK691" s="287">
        <f t="shared" si="432"/>
        <v>0</v>
      </c>
      <c r="BL691" s="287">
        <f t="shared" si="433"/>
        <v>0</v>
      </c>
      <c r="BM691" s="16"/>
      <c r="BN691" s="287">
        <f t="shared" si="434"/>
        <v>165600</v>
      </c>
      <c r="BO691" s="287">
        <f t="shared" si="435"/>
        <v>0</v>
      </c>
      <c r="BP691" s="432"/>
      <c r="BQ691" s="21"/>
      <c r="BR691" s="21"/>
      <c r="BS691" s="6"/>
      <c r="BT691" s="194">
        <f t="shared" si="437"/>
        <v>165600</v>
      </c>
      <c r="BU691" s="194">
        <f t="shared" si="438"/>
        <v>165600</v>
      </c>
      <c r="BV691" s="194">
        <f t="shared" si="439"/>
        <v>0</v>
      </c>
      <c r="BW691" s="194">
        <f t="shared" si="440"/>
        <v>0</v>
      </c>
      <c r="BX691" s="6"/>
      <c r="BY691" s="6"/>
      <c r="BZ691" s="39">
        <v>678</v>
      </c>
      <c r="CA691" s="39">
        <f t="shared" si="436"/>
        <v>2031</v>
      </c>
      <c r="CB691" s="6"/>
      <c r="CC691" s="39"/>
      <c r="CD691" s="39"/>
      <c r="CE691" s="39"/>
      <c r="CF691" s="39"/>
      <c r="CG691" s="39"/>
      <c r="CH691" s="39"/>
      <c r="CI691" s="39"/>
      <c r="CJ691" s="39"/>
      <c r="CK691" s="39"/>
    </row>
    <row r="692" spans="1:89" s="193" customFormat="1" ht="48">
      <c r="A692" s="357"/>
      <c r="B692" s="21" t="str">
        <f t="shared" si="413"/>
        <v>STW</v>
      </c>
      <c r="C692" s="21"/>
      <c r="D692" s="432"/>
      <c r="E692" s="439" t="s">
        <v>3626</v>
      </c>
      <c r="F692" s="439" t="s">
        <v>4025</v>
      </c>
      <c r="G692" s="273" t="s">
        <v>4024</v>
      </c>
      <c r="H692" s="358" t="s">
        <v>4560</v>
      </c>
      <c r="I692" s="262" t="s">
        <v>3491</v>
      </c>
      <c r="J692" s="262" t="s">
        <v>4199</v>
      </c>
      <c r="K692" s="263">
        <v>577500</v>
      </c>
      <c r="L692" s="263">
        <v>0</v>
      </c>
      <c r="M692" s="263">
        <v>0</v>
      </c>
      <c r="N692" s="263">
        <v>0</v>
      </c>
      <c r="O692" s="263">
        <v>0</v>
      </c>
      <c r="P692" s="263">
        <v>0</v>
      </c>
      <c r="Q692" s="263">
        <v>0</v>
      </c>
      <c r="R692" s="263">
        <v>0</v>
      </c>
      <c r="S692" s="263">
        <v>0</v>
      </c>
      <c r="T692" s="263">
        <v>0</v>
      </c>
      <c r="U692" s="263">
        <f t="shared" si="441"/>
        <v>577500</v>
      </c>
      <c r="V692" s="196" t="str">
        <f t="shared" si="411"/>
        <v>G/LOS/R</v>
      </c>
      <c r="W692" s="196" t="s">
        <v>1168</v>
      </c>
      <c r="X692" s="196" t="str">
        <f t="shared" si="446"/>
        <v>Y</v>
      </c>
      <c r="Y692" s="376">
        <f t="shared" si="447"/>
        <v>577500</v>
      </c>
      <c r="Z692" s="198"/>
      <c r="AA692" s="376">
        <f t="shared" si="412"/>
        <v>577500</v>
      </c>
      <c r="AB692" s="196" t="s">
        <v>1166</v>
      </c>
      <c r="AC692" s="196" t="s">
        <v>1168</v>
      </c>
      <c r="AD692" s="275">
        <v>0.3</v>
      </c>
      <c r="AE692" s="275">
        <v>0.65</v>
      </c>
      <c r="AF692" s="275">
        <v>0.05</v>
      </c>
      <c r="AG692" s="442">
        <v>0.3</v>
      </c>
      <c r="AH692" s="442">
        <v>0.3</v>
      </c>
      <c r="AI692" s="377">
        <f t="shared" si="442"/>
        <v>0.3</v>
      </c>
      <c r="AJ692" s="549">
        <v>1</v>
      </c>
      <c r="AK692" s="203">
        <f t="shared" si="448"/>
        <v>0</v>
      </c>
      <c r="AL692" s="376">
        <f t="shared" si="443"/>
        <v>404250</v>
      </c>
      <c r="AM692" s="376">
        <f t="shared" si="444"/>
        <v>173250</v>
      </c>
      <c r="AN692" s="376">
        <f t="shared" si="445"/>
        <v>0</v>
      </c>
      <c r="AO692" s="378" t="s">
        <v>3607</v>
      </c>
      <c r="AP692" s="379" t="s">
        <v>5401</v>
      </c>
      <c r="AQ692" s="279"/>
      <c r="AR692" s="287">
        <f t="shared" si="414"/>
        <v>173250</v>
      </c>
      <c r="AS692" s="287">
        <f t="shared" si="415"/>
        <v>0</v>
      </c>
      <c r="AT692" s="287">
        <f t="shared" si="416"/>
        <v>0</v>
      </c>
      <c r="AU692" s="287">
        <f t="shared" si="417"/>
        <v>0</v>
      </c>
      <c r="AV692" s="287">
        <f t="shared" si="418"/>
        <v>0</v>
      </c>
      <c r="AW692" s="287">
        <f t="shared" si="419"/>
        <v>0</v>
      </c>
      <c r="AX692" s="287">
        <f t="shared" si="420"/>
        <v>0</v>
      </c>
      <c r="AY692" s="287">
        <f t="shared" si="421"/>
        <v>0</v>
      </c>
      <c r="AZ692" s="287">
        <f t="shared" si="422"/>
        <v>0</v>
      </c>
      <c r="BA692" s="287">
        <f t="shared" si="423"/>
        <v>0</v>
      </c>
      <c r="BB692" s="16"/>
      <c r="BC692" s="287">
        <f t="shared" si="424"/>
        <v>0</v>
      </c>
      <c r="BD692" s="287">
        <f t="shared" si="425"/>
        <v>0</v>
      </c>
      <c r="BE692" s="287">
        <f t="shared" si="426"/>
        <v>0</v>
      </c>
      <c r="BF692" s="287">
        <f t="shared" si="427"/>
        <v>0</v>
      </c>
      <c r="BG692" s="287">
        <f t="shared" si="428"/>
        <v>0</v>
      </c>
      <c r="BH692" s="287">
        <f t="shared" si="429"/>
        <v>0</v>
      </c>
      <c r="BI692" s="287">
        <f t="shared" si="430"/>
        <v>0</v>
      </c>
      <c r="BJ692" s="287">
        <f t="shared" si="431"/>
        <v>0</v>
      </c>
      <c r="BK692" s="287">
        <f t="shared" si="432"/>
        <v>0</v>
      </c>
      <c r="BL692" s="287">
        <f t="shared" si="433"/>
        <v>0</v>
      </c>
      <c r="BM692" s="16"/>
      <c r="BN692" s="287">
        <f t="shared" si="434"/>
        <v>173250</v>
      </c>
      <c r="BO692" s="287">
        <f t="shared" si="435"/>
        <v>0</v>
      </c>
      <c r="BP692" s="432"/>
      <c r="BQ692" s="21"/>
      <c r="BR692" s="21"/>
      <c r="BS692" s="6"/>
      <c r="BT692" s="194">
        <f t="shared" si="437"/>
        <v>173250</v>
      </c>
      <c r="BU692" s="194">
        <f t="shared" si="438"/>
        <v>173250</v>
      </c>
      <c r="BV692" s="194">
        <f t="shared" si="439"/>
        <v>0</v>
      </c>
      <c r="BW692" s="194">
        <f t="shared" si="440"/>
        <v>0</v>
      </c>
      <c r="BX692" s="6"/>
      <c r="BY692" s="6"/>
      <c r="BZ692" s="39">
        <v>679</v>
      </c>
      <c r="CA692" s="39">
        <f t="shared" si="436"/>
        <v>2031</v>
      </c>
      <c r="CB692" s="6"/>
      <c r="CC692" s="39"/>
      <c r="CD692" s="39"/>
      <c r="CE692" s="39"/>
      <c r="CF692" s="39"/>
      <c r="CG692" s="39"/>
      <c r="CH692" s="39"/>
      <c r="CI692" s="39"/>
      <c r="CJ692" s="39"/>
      <c r="CK692" s="39"/>
    </row>
    <row r="693" spans="1:89" s="193" customFormat="1" ht="24">
      <c r="A693" s="357"/>
      <c r="B693" s="21" t="str">
        <f t="shared" si="413"/>
        <v>STW</v>
      </c>
      <c r="C693" s="21"/>
      <c r="D693" s="432"/>
      <c r="E693" s="439" t="s">
        <v>3626</v>
      </c>
      <c r="F693" s="439" t="s">
        <v>4136</v>
      </c>
      <c r="G693" s="273" t="s">
        <v>4137</v>
      </c>
      <c r="H693" s="358" t="s">
        <v>4509</v>
      </c>
      <c r="I693" s="262" t="s">
        <v>3491</v>
      </c>
      <c r="J693" s="262" t="s">
        <v>4201</v>
      </c>
      <c r="K693" s="263">
        <v>516500</v>
      </c>
      <c r="L693" s="263">
        <v>0</v>
      </c>
      <c r="M693" s="263">
        <v>0</v>
      </c>
      <c r="N693" s="263">
        <v>0</v>
      </c>
      <c r="O693" s="263">
        <v>0</v>
      </c>
      <c r="P693" s="263">
        <v>0</v>
      </c>
      <c r="Q693" s="263">
        <v>0</v>
      </c>
      <c r="R693" s="263">
        <v>0</v>
      </c>
      <c r="S693" s="263">
        <v>0</v>
      </c>
      <c r="T693" s="263">
        <v>0</v>
      </c>
      <c r="U693" s="263">
        <f t="shared" si="441"/>
        <v>516500</v>
      </c>
      <c r="V693" s="196" t="str">
        <f t="shared" si="411"/>
        <v>G/LOS/R</v>
      </c>
      <c r="W693" s="196" t="s">
        <v>1168</v>
      </c>
      <c r="X693" s="196" t="str">
        <f t="shared" si="446"/>
        <v>Y</v>
      </c>
      <c r="Y693" s="376">
        <f t="shared" si="447"/>
        <v>516500</v>
      </c>
      <c r="Z693" s="198"/>
      <c r="AA693" s="376">
        <f t="shared" si="412"/>
        <v>516500</v>
      </c>
      <c r="AB693" s="196" t="s">
        <v>1166</v>
      </c>
      <c r="AC693" s="196" t="s">
        <v>1168</v>
      </c>
      <c r="AD693" s="275">
        <v>0.1</v>
      </c>
      <c r="AE693" s="275">
        <v>0.8</v>
      </c>
      <c r="AF693" s="275">
        <v>0.1</v>
      </c>
      <c r="AG693" s="442">
        <v>0.1</v>
      </c>
      <c r="AH693" s="442">
        <v>0.1</v>
      </c>
      <c r="AI693" s="377">
        <f t="shared" si="442"/>
        <v>0.1</v>
      </c>
      <c r="AJ693" s="548">
        <v>1</v>
      </c>
      <c r="AK693" s="203">
        <f t="shared" si="448"/>
        <v>0</v>
      </c>
      <c r="AL693" s="376">
        <f t="shared" si="443"/>
        <v>464850</v>
      </c>
      <c r="AM693" s="376">
        <f t="shared" si="444"/>
        <v>51650</v>
      </c>
      <c r="AN693" s="376">
        <f t="shared" si="445"/>
        <v>0</v>
      </c>
      <c r="AO693" s="378" t="s">
        <v>3607</v>
      </c>
      <c r="AP693" s="379" t="s">
        <v>5403</v>
      </c>
      <c r="AQ693" s="279"/>
      <c r="AR693" s="287">
        <f t="shared" si="414"/>
        <v>51650</v>
      </c>
      <c r="AS693" s="287">
        <f t="shared" si="415"/>
        <v>0</v>
      </c>
      <c r="AT693" s="287">
        <f t="shared" si="416"/>
        <v>0</v>
      </c>
      <c r="AU693" s="287">
        <f t="shared" si="417"/>
        <v>0</v>
      </c>
      <c r="AV693" s="287">
        <f t="shared" si="418"/>
        <v>0</v>
      </c>
      <c r="AW693" s="287">
        <f t="shared" si="419"/>
        <v>0</v>
      </c>
      <c r="AX693" s="287">
        <f t="shared" si="420"/>
        <v>0</v>
      </c>
      <c r="AY693" s="287">
        <f t="shared" si="421"/>
        <v>0</v>
      </c>
      <c r="AZ693" s="287">
        <f t="shared" si="422"/>
        <v>0</v>
      </c>
      <c r="BA693" s="287">
        <f t="shared" si="423"/>
        <v>0</v>
      </c>
      <c r="BB693" s="16"/>
      <c r="BC693" s="287">
        <f t="shared" si="424"/>
        <v>0</v>
      </c>
      <c r="BD693" s="287">
        <f t="shared" si="425"/>
        <v>0</v>
      </c>
      <c r="BE693" s="287">
        <f t="shared" si="426"/>
        <v>0</v>
      </c>
      <c r="BF693" s="287">
        <f t="shared" si="427"/>
        <v>0</v>
      </c>
      <c r="BG693" s="287">
        <f t="shared" si="428"/>
        <v>0</v>
      </c>
      <c r="BH693" s="287">
        <f t="shared" si="429"/>
        <v>0</v>
      </c>
      <c r="BI693" s="287">
        <f t="shared" si="430"/>
        <v>0</v>
      </c>
      <c r="BJ693" s="287">
        <f t="shared" si="431"/>
        <v>0</v>
      </c>
      <c r="BK693" s="287">
        <f t="shared" si="432"/>
        <v>0</v>
      </c>
      <c r="BL693" s="287">
        <f t="shared" si="433"/>
        <v>0</v>
      </c>
      <c r="BM693" s="16"/>
      <c r="BN693" s="287">
        <f t="shared" si="434"/>
        <v>51650</v>
      </c>
      <c r="BO693" s="287">
        <f t="shared" si="435"/>
        <v>0</v>
      </c>
      <c r="BP693" s="432"/>
      <c r="BQ693" s="21"/>
      <c r="BR693" s="21"/>
      <c r="BS693" s="6"/>
      <c r="BT693" s="194">
        <f t="shared" si="437"/>
        <v>51650</v>
      </c>
      <c r="BU693" s="194">
        <f t="shared" si="438"/>
        <v>51650</v>
      </c>
      <c r="BV693" s="194">
        <f t="shared" si="439"/>
        <v>0</v>
      </c>
      <c r="BW693" s="194">
        <f t="shared" si="440"/>
        <v>0</v>
      </c>
      <c r="BX693" s="6"/>
      <c r="BY693" s="6"/>
      <c r="BZ693" s="39">
        <v>680</v>
      </c>
      <c r="CA693" s="39">
        <f t="shared" si="436"/>
        <v>2031</v>
      </c>
      <c r="CB693" s="6"/>
      <c r="CC693" s="39"/>
      <c r="CD693" s="39"/>
      <c r="CE693" s="39"/>
      <c r="CF693" s="39"/>
      <c r="CG693" s="39"/>
      <c r="CH693" s="39"/>
      <c r="CI693" s="39"/>
      <c r="CJ693" s="39"/>
      <c r="CK693" s="39"/>
    </row>
    <row r="694" spans="1:89" s="193" customFormat="1">
      <c r="A694" s="357"/>
      <c r="B694" s="21" t="str">
        <f t="shared" si="413"/>
        <v>STW</v>
      </c>
      <c r="C694" s="21"/>
      <c r="D694" s="432"/>
      <c r="E694" s="439" t="s">
        <v>3626</v>
      </c>
      <c r="F694" s="439" t="s">
        <v>4131</v>
      </c>
      <c r="G694" s="273" t="s">
        <v>4566</v>
      </c>
      <c r="H694" s="358" t="s">
        <v>4565</v>
      </c>
      <c r="I694" s="262" t="s">
        <v>3491</v>
      </c>
      <c r="J694" s="262" t="s">
        <v>4196</v>
      </c>
      <c r="K694" s="263">
        <v>100000</v>
      </c>
      <c r="L694" s="263">
        <v>830000</v>
      </c>
      <c r="M694" s="263">
        <v>0</v>
      </c>
      <c r="N694" s="263">
        <v>0</v>
      </c>
      <c r="O694" s="263">
        <v>0</v>
      </c>
      <c r="P694" s="263">
        <v>0</v>
      </c>
      <c r="Q694" s="263">
        <v>0</v>
      </c>
      <c r="R694" s="263">
        <v>0</v>
      </c>
      <c r="S694" s="263">
        <v>0</v>
      </c>
      <c r="T694" s="263">
        <v>0</v>
      </c>
      <c r="U694" s="263">
        <f t="shared" si="441"/>
        <v>930000</v>
      </c>
      <c r="V694" s="196" t="str">
        <f t="shared" si="411"/>
        <v>G/LOS/R</v>
      </c>
      <c r="W694" s="196" t="s">
        <v>1168</v>
      </c>
      <c r="X694" s="196" t="str">
        <f t="shared" si="446"/>
        <v>Y</v>
      </c>
      <c r="Y694" s="376">
        <f t="shared" si="447"/>
        <v>930000</v>
      </c>
      <c r="Z694" s="198"/>
      <c r="AA694" s="376">
        <f t="shared" si="412"/>
        <v>930000</v>
      </c>
      <c r="AB694" s="196" t="s">
        <v>1166</v>
      </c>
      <c r="AC694" s="196" t="s">
        <v>1168</v>
      </c>
      <c r="AD694" s="518">
        <v>0.2</v>
      </c>
      <c r="AE694" s="275">
        <v>0.15000000000000002</v>
      </c>
      <c r="AF694" s="275">
        <v>0.65</v>
      </c>
      <c r="AG694" s="442">
        <v>0.2</v>
      </c>
      <c r="AH694" s="442">
        <v>0.2</v>
      </c>
      <c r="AI694" s="377">
        <f t="shared" si="442"/>
        <v>0.2</v>
      </c>
      <c r="AJ694" s="549">
        <v>1</v>
      </c>
      <c r="AK694" s="203">
        <f t="shared" si="448"/>
        <v>0</v>
      </c>
      <c r="AL694" s="376">
        <f t="shared" si="443"/>
        <v>744000</v>
      </c>
      <c r="AM694" s="376">
        <f t="shared" si="444"/>
        <v>186000</v>
      </c>
      <c r="AN694" s="376">
        <f t="shared" si="445"/>
        <v>0</v>
      </c>
      <c r="AO694" s="378" t="s">
        <v>3607</v>
      </c>
      <c r="AP694" s="379" t="s">
        <v>5418</v>
      </c>
      <c r="AQ694" s="279"/>
      <c r="AR694" s="287">
        <f t="shared" si="414"/>
        <v>20000</v>
      </c>
      <c r="AS694" s="287">
        <f t="shared" si="415"/>
        <v>166000</v>
      </c>
      <c r="AT694" s="287">
        <f t="shared" si="416"/>
        <v>0</v>
      </c>
      <c r="AU694" s="287">
        <f t="shared" si="417"/>
        <v>0</v>
      </c>
      <c r="AV694" s="287">
        <f t="shared" si="418"/>
        <v>0</v>
      </c>
      <c r="AW694" s="287">
        <f t="shared" si="419"/>
        <v>0</v>
      </c>
      <c r="AX694" s="287">
        <f t="shared" si="420"/>
        <v>0</v>
      </c>
      <c r="AY694" s="287">
        <f t="shared" si="421"/>
        <v>0</v>
      </c>
      <c r="AZ694" s="287">
        <f t="shared" si="422"/>
        <v>0</v>
      </c>
      <c r="BA694" s="287">
        <f t="shared" si="423"/>
        <v>0</v>
      </c>
      <c r="BB694" s="16"/>
      <c r="BC694" s="287">
        <f t="shared" si="424"/>
        <v>0</v>
      </c>
      <c r="BD694" s="287">
        <f t="shared" si="425"/>
        <v>0</v>
      </c>
      <c r="BE694" s="287">
        <f t="shared" si="426"/>
        <v>0</v>
      </c>
      <c r="BF694" s="287">
        <f t="shared" si="427"/>
        <v>0</v>
      </c>
      <c r="BG694" s="287">
        <f t="shared" si="428"/>
        <v>0</v>
      </c>
      <c r="BH694" s="287">
        <f t="shared" si="429"/>
        <v>0</v>
      </c>
      <c r="BI694" s="287">
        <f t="shared" si="430"/>
        <v>0</v>
      </c>
      <c r="BJ694" s="287">
        <f t="shared" si="431"/>
        <v>0</v>
      </c>
      <c r="BK694" s="287">
        <f t="shared" si="432"/>
        <v>0</v>
      </c>
      <c r="BL694" s="287">
        <f t="shared" si="433"/>
        <v>0</v>
      </c>
      <c r="BM694" s="16"/>
      <c r="BN694" s="287">
        <f t="shared" si="434"/>
        <v>186000</v>
      </c>
      <c r="BO694" s="287">
        <f t="shared" si="435"/>
        <v>0</v>
      </c>
      <c r="BP694" s="432"/>
      <c r="BQ694" s="21"/>
      <c r="BR694" s="21"/>
      <c r="BS694" s="6"/>
      <c r="BT694" s="194">
        <f t="shared" si="437"/>
        <v>186000</v>
      </c>
      <c r="BU694" s="194">
        <f t="shared" si="438"/>
        <v>186000</v>
      </c>
      <c r="BV694" s="194">
        <f t="shared" si="439"/>
        <v>0</v>
      </c>
      <c r="BW694" s="194">
        <f t="shared" si="440"/>
        <v>0</v>
      </c>
      <c r="BX694" s="6"/>
      <c r="BY694" s="6"/>
      <c r="BZ694" s="39">
        <v>681</v>
      </c>
      <c r="CA694" s="39">
        <f t="shared" si="436"/>
        <v>2031</v>
      </c>
      <c r="CB694" s="6"/>
      <c r="CC694" s="39"/>
      <c r="CD694" s="39"/>
      <c r="CE694" s="39"/>
      <c r="CF694" s="39"/>
      <c r="CG694" s="39"/>
      <c r="CH694" s="39"/>
      <c r="CI694" s="39"/>
      <c r="CJ694" s="39"/>
      <c r="CK694" s="39"/>
    </row>
    <row r="695" spans="1:89" s="193" customFormat="1">
      <c r="A695" s="357"/>
      <c r="B695" s="21" t="str">
        <f t="shared" si="413"/>
        <v>STW</v>
      </c>
      <c r="C695" s="21"/>
      <c r="D695" s="432"/>
      <c r="E695" s="439" t="s">
        <v>3626</v>
      </c>
      <c r="F695" s="439" t="s">
        <v>4167</v>
      </c>
      <c r="G695" s="273" t="s">
        <v>4525</v>
      </c>
      <c r="H695" s="358" t="s">
        <v>4517</v>
      </c>
      <c r="I695" s="262" t="s">
        <v>3491</v>
      </c>
      <c r="J695" s="262" t="s">
        <v>4201</v>
      </c>
      <c r="K695" s="263">
        <v>25000</v>
      </c>
      <c r="L695" s="263">
        <v>50000</v>
      </c>
      <c r="M695" s="263">
        <v>600000</v>
      </c>
      <c r="N695" s="263">
        <v>75000</v>
      </c>
      <c r="O695" s="263">
        <v>0</v>
      </c>
      <c r="P695" s="263">
        <v>0</v>
      </c>
      <c r="Q695" s="263">
        <v>0</v>
      </c>
      <c r="R695" s="263">
        <v>0</v>
      </c>
      <c r="S695" s="263">
        <v>0</v>
      </c>
      <c r="T695" s="263">
        <v>0</v>
      </c>
      <c r="U695" s="263">
        <f t="shared" si="441"/>
        <v>750000</v>
      </c>
      <c r="V695" s="196" t="str">
        <f t="shared" si="411"/>
        <v>G/LOS/R</v>
      </c>
      <c r="W695" s="196" t="s">
        <v>1168</v>
      </c>
      <c r="X695" s="196" t="str">
        <f t="shared" si="446"/>
        <v>Y</v>
      </c>
      <c r="Y695" s="376">
        <f t="shared" si="447"/>
        <v>750000</v>
      </c>
      <c r="Z695" s="198"/>
      <c r="AA695" s="376">
        <f t="shared" si="412"/>
        <v>750000</v>
      </c>
      <c r="AB695" s="196" t="s">
        <v>1166</v>
      </c>
      <c r="AC695" s="196" t="s">
        <v>1168</v>
      </c>
      <c r="AD695" s="275">
        <v>0.1</v>
      </c>
      <c r="AE695" s="275">
        <v>0.1</v>
      </c>
      <c r="AF695" s="275">
        <v>0.8</v>
      </c>
      <c r="AG695" s="442">
        <v>0.1</v>
      </c>
      <c r="AH695" s="442">
        <v>0.1</v>
      </c>
      <c r="AI695" s="377">
        <f t="shared" si="442"/>
        <v>0.1</v>
      </c>
      <c r="AJ695" s="548">
        <v>1</v>
      </c>
      <c r="AK695" s="203">
        <f t="shared" si="448"/>
        <v>0</v>
      </c>
      <c r="AL695" s="376">
        <f t="shared" si="443"/>
        <v>675000</v>
      </c>
      <c r="AM695" s="376">
        <f t="shared" si="444"/>
        <v>75000</v>
      </c>
      <c r="AN695" s="376">
        <f t="shared" si="445"/>
        <v>0</v>
      </c>
      <c r="AO695" s="378" t="s">
        <v>3607</v>
      </c>
      <c r="AP695" s="379" t="s">
        <v>5403</v>
      </c>
      <c r="AQ695" s="279"/>
      <c r="AR695" s="287">
        <f t="shared" si="414"/>
        <v>2500</v>
      </c>
      <c r="AS695" s="287">
        <f t="shared" si="415"/>
        <v>5000</v>
      </c>
      <c r="AT695" s="287">
        <f t="shared" si="416"/>
        <v>60000</v>
      </c>
      <c r="AU695" s="287">
        <f t="shared" si="417"/>
        <v>7500</v>
      </c>
      <c r="AV695" s="287">
        <f t="shared" si="418"/>
        <v>0</v>
      </c>
      <c r="AW695" s="287">
        <f t="shared" si="419"/>
        <v>0</v>
      </c>
      <c r="AX695" s="287">
        <f t="shared" si="420"/>
        <v>0</v>
      </c>
      <c r="AY695" s="287">
        <f t="shared" si="421"/>
        <v>0</v>
      </c>
      <c r="AZ695" s="287">
        <f t="shared" si="422"/>
        <v>0</v>
      </c>
      <c r="BA695" s="287">
        <f t="shared" si="423"/>
        <v>0</v>
      </c>
      <c r="BB695" s="16"/>
      <c r="BC695" s="287">
        <f t="shared" si="424"/>
        <v>0</v>
      </c>
      <c r="BD695" s="287">
        <f t="shared" si="425"/>
        <v>0</v>
      </c>
      <c r="BE695" s="287">
        <f t="shared" si="426"/>
        <v>0</v>
      </c>
      <c r="BF695" s="287">
        <f t="shared" si="427"/>
        <v>0</v>
      </c>
      <c r="BG695" s="287">
        <f t="shared" si="428"/>
        <v>0</v>
      </c>
      <c r="BH695" s="287">
        <f t="shared" si="429"/>
        <v>0</v>
      </c>
      <c r="BI695" s="287">
        <f t="shared" si="430"/>
        <v>0</v>
      </c>
      <c r="BJ695" s="287">
        <f t="shared" si="431"/>
        <v>0</v>
      </c>
      <c r="BK695" s="287">
        <f t="shared" si="432"/>
        <v>0</v>
      </c>
      <c r="BL695" s="287">
        <f t="shared" si="433"/>
        <v>0</v>
      </c>
      <c r="BM695" s="16"/>
      <c r="BN695" s="287">
        <f t="shared" si="434"/>
        <v>75000</v>
      </c>
      <c r="BO695" s="287">
        <f t="shared" si="435"/>
        <v>0</v>
      </c>
      <c r="BP695" s="432"/>
      <c r="BQ695" s="21"/>
      <c r="BR695" s="21"/>
      <c r="BS695" s="6"/>
      <c r="BT695" s="194">
        <f t="shared" si="437"/>
        <v>75000</v>
      </c>
      <c r="BU695" s="194">
        <f t="shared" si="438"/>
        <v>75000</v>
      </c>
      <c r="BV695" s="194">
        <f t="shared" si="439"/>
        <v>0</v>
      </c>
      <c r="BW695" s="194">
        <f t="shared" si="440"/>
        <v>0</v>
      </c>
      <c r="BX695" s="6"/>
      <c r="BY695" s="6"/>
      <c r="BZ695" s="39">
        <v>682</v>
      </c>
      <c r="CA695" s="39">
        <f t="shared" si="436"/>
        <v>2031</v>
      </c>
      <c r="CB695" s="6"/>
      <c r="CC695" s="39"/>
      <c r="CD695" s="39"/>
      <c r="CE695" s="39"/>
      <c r="CF695" s="39"/>
      <c r="CG695" s="39"/>
      <c r="CH695" s="39"/>
      <c r="CI695" s="39"/>
      <c r="CJ695" s="39"/>
      <c r="CK695" s="39"/>
    </row>
    <row r="696" spans="1:89" s="193" customFormat="1">
      <c r="A696" s="357"/>
      <c r="B696" s="21" t="str">
        <f t="shared" si="413"/>
        <v>STW</v>
      </c>
      <c r="C696" s="21"/>
      <c r="D696" s="432" t="s">
        <v>3933</v>
      </c>
      <c r="E696" s="439" t="s">
        <v>3626</v>
      </c>
      <c r="F696" s="439" t="s">
        <v>4112</v>
      </c>
      <c r="G696" s="273" t="s">
        <v>4610</v>
      </c>
      <c r="H696" s="358" t="s">
        <v>4517</v>
      </c>
      <c r="I696" s="262" t="s">
        <v>3491</v>
      </c>
      <c r="J696" s="262" t="s">
        <v>4190</v>
      </c>
      <c r="K696" s="263">
        <v>50000</v>
      </c>
      <c r="L696" s="263">
        <v>260000</v>
      </c>
      <c r="M696" s="263">
        <v>0</v>
      </c>
      <c r="N696" s="263">
        <v>0</v>
      </c>
      <c r="O696" s="263">
        <v>0</v>
      </c>
      <c r="P696" s="263">
        <v>0</v>
      </c>
      <c r="Q696" s="263">
        <v>0</v>
      </c>
      <c r="R696" s="263">
        <v>0</v>
      </c>
      <c r="S696" s="263">
        <v>0</v>
      </c>
      <c r="T696" s="263">
        <v>0</v>
      </c>
      <c r="U696" s="263">
        <f t="shared" si="441"/>
        <v>310000</v>
      </c>
      <c r="V696" s="196" t="str">
        <f t="shared" si="411"/>
        <v>G/LOS/R</v>
      </c>
      <c r="W696" s="196" t="s">
        <v>1168</v>
      </c>
      <c r="X696" s="196" t="str">
        <f t="shared" si="446"/>
        <v>Y</v>
      </c>
      <c r="Y696" s="376">
        <f t="shared" si="447"/>
        <v>310000</v>
      </c>
      <c r="Z696" s="198"/>
      <c r="AA696" s="376">
        <f t="shared" si="412"/>
        <v>310000</v>
      </c>
      <c r="AB696" s="196" t="s">
        <v>1166</v>
      </c>
      <c r="AC696" s="196" t="s">
        <v>1168</v>
      </c>
      <c r="AD696" s="518">
        <v>0.1</v>
      </c>
      <c r="AE696" s="275">
        <v>0.1</v>
      </c>
      <c r="AF696" s="275">
        <v>0.8</v>
      </c>
      <c r="AG696" s="442">
        <v>0.1</v>
      </c>
      <c r="AH696" s="442">
        <v>0.1</v>
      </c>
      <c r="AI696" s="377">
        <f t="shared" si="442"/>
        <v>0.1</v>
      </c>
      <c r="AJ696" s="549">
        <v>1</v>
      </c>
      <c r="AK696" s="203">
        <f t="shared" si="448"/>
        <v>0</v>
      </c>
      <c r="AL696" s="376">
        <f t="shared" si="443"/>
        <v>279000</v>
      </c>
      <c r="AM696" s="376">
        <f t="shared" si="444"/>
        <v>31000</v>
      </c>
      <c r="AN696" s="376">
        <f t="shared" si="445"/>
        <v>0</v>
      </c>
      <c r="AO696" s="378" t="s">
        <v>3607</v>
      </c>
      <c r="AP696" s="379" t="s">
        <v>5394</v>
      </c>
      <c r="AQ696" s="279"/>
      <c r="AR696" s="287">
        <f t="shared" si="414"/>
        <v>5000</v>
      </c>
      <c r="AS696" s="287">
        <f t="shared" si="415"/>
        <v>26000</v>
      </c>
      <c r="AT696" s="287">
        <f t="shared" si="416"/>
        <v>0</v>
      </c>
      <c r="AU696" s="287">
        <f t="shared" si="417"/>
        <v>0</v>
      </c>
      <c r="AV696" s="287">
        <f t="shared" si="418"/>
        <v>0</v>
      </c>
      <c r="AW696" s="287">
        <f t="shared" si="419"/>
        <v>0</v>
      </c>
      <c r="AX696" s="287">
        <f t="shared" si="420"/>
        <v>0</v>
      </c>
      <c r="AY696" s="287">
        <f t="shared" si="421"/>
        <v>0</v>
      </c>
      <c r="AZ696" s="287">
        <f t="shared" si="422"/>
        <v>0</v>
      </c>
      <c r="BA696" s="287">
        <f t="shared" si="423"/>
        <v>0</v>
      </c>
      <c r="BB696" s="16"/>
      <c r="BC696" s="287">
        <f t="shared" si="424"/>
        <v>0</v>
      </c>
      <c r="BD696" s="287">
        <f t="shared" si="425"/>
        <v>0</v>
      </c>
      <c r="BE696" s="287">
        <f t="shared" si="426"/>
        <v>0</v>
      </c>
      <c r="BF696" s="287">
        <f t="shared" si="427"/>
        <v>0</v>
      </c>
      <c r="BG696" s="287">
        <f t="shared" si="428"/>
        <v>0</v>
      </c>
      <c r="BH696" s="287">
        <f t="shared" si="429"/>
        <v>0</v>
      </c>
      <c r="BI696" s="287">
        <f t="shared" si="430"/>
        <v>0</v>
      </c>
      <c r="BJ696" s="287">
        <f t="shared" si="431"/>
        <v>0</v>
      </c>
      <c r="BK696" s="287">
        <f t="shared" si="432"/>
        <v>0</v>
      </c>
      <c r="BL696" s="287">
        <f t="shared" si="433"/>
        <v>0</v>
      </c>
      <c r="BM696" s="16"/>
      <c r="BN696" s="287">
        <f t="shared" si="434"/>
        <v>31000</v>
      </c>
      <c r="BO696" s="287">
        <f t="shared" si="435"/>
        <v>0</v>
      </c>
      <c r="BP696" s="432"/>
      <c r="BQ696" s="21"/>
      <c r="BR696" s="21"/>
      <c r="BS696" s="6"/>
      <c r="BT696" s="194">
        <f t="shared" si="437"/>
        <v>31000</v>
      </c>
      <c r="BU696" s="194">
        <f t="shared" si="438"/>
        <v>31000</v>
      </c>
      <c r="BV696" s="194">
        <f t="shared" si="439"/>
        <v>0</v>
      </c>
      <c r="BW696" s="194">
        <f t="shared" si="440"/>
        <v>0</v>
      </c>
      <c r="BX696" s="6"/>
      <c r="BY696" s="6"/>
      <c r="BZ696" s="39">
        <v>683</v>
      </c>
      <c r="CA696" s="39">
        <f t="shared" si="436"/>
        <v>2031</v>
      </c>
      <c r="CB696" s="6"/>
      <c r="CC696" s="39"/>
      <c r="CD696" s="39"/>
      <c r="CE696" s="39"/>
      <c r="CF696" s="39"/>
      <c r="CG696" s="39"/>
      <c r="CH696" s="39"/>
      <c r="CI696" s="39"/>
      <c r="CJ696" s="39"/>
      <c r="CK696" s="39"/>
    </row>
    <row r="697" spans="1:89" s="193" customFormat="1" ht="24">
      <c r="A697" s="357"/>
      <c r="B697" s="21" t="str">
        <f t="shared" si="413"/>
        <v>STW</v>
      </c>
      <c r="C697" s="21"/>
      <c r="D697" s="432" t="s">
        <v>4010</v>
      </c>
      <c r="E697" s="439" t="s">
        <v>3626</v>
      </c>
      <c r="F697" s="439" t="s">
        <v>4019</v>
      </c>
      <c r="G697" s="273" t="s">
        <v>4530</v>
      </c>
      <c r="H697" s="358" t="s">
        <v>4509</v>
      </c>
      <c r="I697" s="262" t="s">
        <v>3491</v>
      </c>
      <c r="J697" s="262" t="s">
        <v>4190</v>
      </c>
      <c r="K697" s="263">
        <v>691000</v>
      </c>
      <c r="L697" s="263">
        <v>0</v>
      </c>
      <c r="M697" s="263">
        <v>0</v>
      </c>
      <c r="N697" s="263">
        <v>0</v>
      </c>
      <c r="O697" s="263">
        <v>0</v>
      </c>
      <c r="P697" s="263">
        <v>0</v>
      </c>
      <c r="Q697" s="263">
        <v>0</v>
      </c>
      <c r="R697" s="263">
        <v>0</v>
      </c>
      <c r="S697" s="263">
        <v>0</v>
      </c>
      <c r="T697" s="263">
        <v>0</v>
      </c>
      <c r="U697" s="263">
        <f t="shared" si="441"/>
        <v>691000</v>
      </c>
      <c r="V697" s="196" t="str">
        <f t="shared" si="411"/>
        <v>G/LOS/R</v>
      </c>
      <c r="W697" s="196" t="s">
        <v>1168</v>
      </c>
      <c r="X697" s="196" t="str">
        <f t="shared" si="446"/>
        <v>Y</v>
      </c>
      <c r="Y697" s="376">
        <f t="shared" si="447"/>
        <v>691000</v>
      </c>
      <c r="Z697" s="198"/>
      <c r="AA697" s="376">
        <f t="shared" si="412"/>
        <v>691000</v>
      </c>
      <c r="AB697" s="196" t="s">
        <v>1166</v>
      </c>
      <c r="AC697" s="196" t="s">
        <v>1168</v>
      </c>
      <c r="AD697" s="275">
        <v>0.1</v>
      </c>
      <c r="AE697" s="275">
        <v>0.1</v>
      </c>
      <c r="AF697" s="275">
        <v>0.8</v>
      </c>
      <c r="AG697" s="442">
        <v>0.1</v>
      </c>
      <c r="AH697" s="442">
        <v>0.1</v>
      </c>
      <c r="AI697" s="377">
        <f t="shared" si="442"/>
        <v>0.1</v>
      </c>
      <c r="AJ697" s="549">
        <v>1</v>
      </c>
      <c r="AK697" s="203">
        <f t="shared" si="448"/>
        <v>0</v>
      </c>
      <c r="AL697" s="376">
        <f t="shared" si="443"/>
        <v>621900</v>
      </c>
      <c r="AM697" s="376">
        <f t="shared" si="444"/>
        <v>69100</v>
      </c>
      <c r="AN697" s="376">
        <f t="shared" si="445"/>
        <v>0</v>
      </c>
      <c r="AO697" s="378" t="s">
        <v>3607</v>
      </c>
      <c r="AP697" s="379" t="s">
        <v>5394</v>
      </c>
      <c r="AQ697" s="279"/>
      <c r="AR697" s="287">
        <f t="shared" si="414"/>
        <v>69100</v>
      </c>
      <c r="AS697" s="287">
        <f t="shared" si="415"/>
        <v>0</v>
      </c>
      <c r="AT697" s="287">
        <f t="shared" si="416"/>
        <v>0</v>
      </c>
      <c r="AU697" s="287">
        <f t="shared" si="417"/>
        <v>0</v>
      </c>
      <c r="AV697" s="287">
        <f t="shared" si="418"/>
        <v>0</v>
      </c>
      <c r="AW697" s="287">
        <f t="shared" si="419"/>
        <v>0</v>
      </c>
      <c r="AX697" s="287">
        <f t="shared" si="420"/>
        <v>0</v>
      </c>
      <c r="AY697" s="287">
        <f t="shared" si="421"/>
        <v>0</v>
      </c>
      <c r="AZ697" s="287">
        <f t="shared" si="422"/>
        <v>0</v>
      </c>
      <c r="BA697" s="287">
        <f t="shared" si="423"/>
        <v>0</v>
      </c>
      <c r="BB697" s="16"/>
      <c r="BC697" s="287">
        <f t="shared" si="424"/>
        <v>0</v>
      </c>
      <c r="BD697" s="287">
        <f t="shared" si="425"/>
        <v>0</v>
      </c>
      <c r="BE697" s="287">
        <f t="shared" si="426"/>
        <v>0</v>
      </c>
      <c r="BF697" s="287">
        <f t="shared" si="427"/>
        <v>0</v>
      </c>
      <c r="BG697" s="287">
        <f t="shared" si="428"/>
        <v>0</v>
      </c>
      <c r="BH697" s="287">
        <f t="shared" si="429"/>
        <v>0</v>
      </c>
      <c r="BI697" s="287">
        <f t="shared" si="430"/>
        <v>0</v>
      </c>
      <c r="BJ697" s="287">
        <f t="shared" si="431"/>
        <v>0</v>
      </c>
      <c r="BK697" s="287">
        <f t="shared" si="432"/>
        <v>0</v>
      </c>
      <c r="BL697" s="287">
        <f t="shared" si="433"/>
        <v>0</v>
      </c>
      <c r="BM697" s="16"/>
      <c r="BN697" s="287">
        <f t="shared" si="434"/>
        <v>69100</v>
      </c>
      <c r="BO697" s="287">
        <f t="shared" si="435"/>
        <v>0</v>
      </c>
      <c r="BP697" s="432"/>
      <c r="BQ697" s="21"/>
      <c r="BR697" s="21"/>
      <c r="BS697" s="6"/>
      <c r="BT697" s="194">
        <f t="shared" ref="BT697:BT721" si="449">+BN697+BO697</f>
        <v>69100</v>
      </c>
      <c r="BU697" s="194">
        <f t="shared" ref="BU697:BU721" si="450">+AM697</f>
        <v>69100</v>
      </c>
      <c r="BV697" s="194">
        <f t="shared" ref="BV697:BV721" si="451">+AN697</f>
        <v>0</v>
      </c>
      <c r="BW697" s="194">
        <f t="shared" ref="BW697:BW721" si="452">+BT697-BU697-BV697</f>
        <v>0</v>
      </c>
      <c r="BX697" s="6"/>
      <c r="BY697" s="6"/>
      <c r="BZ697" s="39">
        <v>684</v>
      </c>
      <c r="CA697" s="39">
        <f t="shared" si="436"/>
        <v>2031</v>
      </c>
      <c r="CB697" s="6"/>
      <c r="CC697" s="39"/>
      <c r="CD697" s="39"/>
      <c r="CE697" s="39"/>
      <c r="CF697" s="39"/>
      <c r="CG697" s="39"/>
      <c r="CH697" s="39"/>
      <c r="CI697" s="39"/>
      <c r="CJ697" s="39"/>
      <c r="CK697" s="39"/>
    </row>
    <row r="698" spans="1:89" s="193" customFormat="1" ht="24">
      <c r="A698" s="357"/>
      <c r="B698" s="21" t="str">
        <f t="shared" si="413"/>
        <v>STW</v>
      </c>
      <c r="C698" s="21"/>
      <c r="D698" s="432"/>
      <c r="E698" s="439" t="s">
        <v>3626</v>
      </c>
      <c r="F698" s="439" t="s">
        <v>4188</v>
      </c>
      <c r="G698" s="273" t="s">
        <v>4189</v>
      </c>
      <c r="H698" s="358" t="s">
        <v>4515</v>
      </c>
      <c r="I698" s="262" t="s">
        <v>3491</v>
      </c>
      <c r="J698" s="262" t="s">
        <v>4195</v>
      </c>
      <c r="K698" s="263">
        <v>1775000</v>
      </c>
      <c r="L698" s="263">
        <v>1500000</v>
      </c>
      <c r="M698" s="263">
        <v>500000</v>
      </c>
      <c r="N698" s="263">
        <v>0</v>
      </c>
      <c r="O698" s="263">
        <v>0</v>
      </c>
      <c r="P698" s="263">
        <v>0</v>
      </c>
      <c r="Q698" s="263">
        <v>0</v>
      </c>
      <c r="R698" s="263">
        <v>0</v>
      </c>
      <c r="S698" s="263">
        <v>0</v>
      </c>
      <c r="T698" s="263">
        <v>0</v>
      </c>
      <c r="U698" s="263">
        <f t="shared" si="441"/>
        <v>3775000</v>
      </c>
      <c r="V698" s="196" t="str">
        <f t="shared" si="411"/>
        <v>G/LOS/R</v>
      </c>
      <c r="W698" s="196" t="s">
        <v>1168</v>
      </c>
      <c r="X698" s="196" t="str">
        <f t="shared" si="446"/>
        <v>Y</v>
      </c>
      <c r="Y698" s="376">
        <f t="shared" si="447"/>
        <v>3775000</v>
      </c>
      <c r="Z698" s="198"/>
      <c r="AA698" s="376">
        <f t="shared" si="412"/>
        <v>3775000</v>
      </c>
      <c r="AB698" s="196" t="s">
        <v>1166</v>
      </c>
      <c r="AC698" s="196" t="s">
        <v>1168</v>
      </c>
      <c r="AD698" s="275">
        <v>0.1</v>
      </c>
      <c r="AE698" s="275">
        <v>0.8</v>
      </c>
      <c r="AF698" s="275">
        <v>0.1</v>
      </c>
      <c r="AG698" s="442">
        <v>0.1</v>
      </c>
      <c r="AH698" s="442">
        <v>0.1</v>
      </c>
      <c r="AI698" s="377">
        <f t="shared" si="442"/>
        <v>0.1</v>
      </c>
      <c r="AJ698" s="548">
        <v>1</v>
      </c>
      <c r="AK698" s="203">
        <f t="shared" si="448"/>
        <v>0</v>
      </c>
      <c r="AL698" s="376">
        <f t="shared" si="443"/>
        <v>3397500</v>
      </c>
      <c r="AM698" s="376">
        <f t="shared" si="444"/>
        <v>377500</v>
      </c>
      <c r="AN698" s="376">
        <f t="shared" si="445"/>
        <v>0</v>
      </c>
      <c r="AO698" s="378" t="s">
        <v>3607</v>
      </c>
      <c r="AP698" s="379" t="s">
        <v>5416</v>
      </c>
      <c r="AQ698" s="279"/>
      <c r="AR698" s="287">
        <f t="shared" si="414"/>
        <v>177500</v>
      </c>
      <c r="AS698" s="287">
        <f t="shared" si="415"/>
        <v>150000</v>
      </c>
      <c r="AT698" s="287">
        <f t="shared" si="416"/>
        <v>50000</v>
      </c>
      <c r="AU698" s="287">
        <f t="shared" si="417"/>
        <v>0</v>
      </c>
      <c r="AV698" s="287">
        <f t="shared" si="418"/>
        <v>0</v>
      </c>
      <c r="AW698" s="287">
        <f t="shared" si="419"/>
        <v>0</v>
      </c>
      <c r="AX698" s="287">
        <f t="shared" si="420"/>
        <v>0</v>
      </c>
      <c r="AY698" s="287">
        <f t="shared" si="421"/>
        <v>0</v>
      </c>
      <c r="AZ698" s="287">
        <f t="shared" si="422"/>
        <v>0</v>
      </c>
      <c r="BA698" s="287">
        <f t="shared" si="423"/>
        <v>0</v>
      </c>
      <c r="BB698" s="16"/>
      <c r="BC698" s="287">
        <f t="shared" si="424"/>
        <v>0</v>
      </c>
      <c r="BD698" s="287">
        <f t="shared" si="425"/>
        <v>0</v>
      </c>
      <c r="BE698" s="287">
        <f t="shared" si="426"/>
        <v>0</v>
      </c>
      <c r="BF698" s="287">
        <f t="shared" si="427"/>
        <v>0</v>
      </c>
      <c r="BG698" s="287">
        <f t="shared" si="428"/>
        <v>0</v>
      </c>
      <c r="BH698" s="287">
        <f t="shared" si="429"/>
        <v>0</v>
      </c>
      <c r="BI698" s="287">
        <f t="shared" si="430"/>
        <v>0</v>
      </c>
      <c r="BJ698" s="287">
        <f t="shared" si="431"/>
        <v>0</v>
      </c>
      <c r="BK698" s="287">
        <f t="shared" si="432"/>
        <v>0</v>
      </c>
      <c r="BL698" s="287">
        <f t="shared" si="433"/>
        <v>0</v>
      </c>
      <c r="BM698" s="16"/>
      <c r="BN698" s="287">
        <f t="shared" si="434"/>
        <v>377500</v>
      </c>
      <c r="BO698" s="287">
        <f t="shared" si="435"/>
        <v>0</v>
      </c>
      <c r="BP698" s="432"/>
      <c r="BQ698" s="21"/>
      <c r="BR698" s="21"/>
      <c r="BS698" s="6"/>
      <c r="BT698" s="194">
        <f t="shared" si="449"/>
        <v>377500</v>
      </c>
      <c r="BU698" s="194">
        <f t="shared" si="450"/>
        <v>377500</v>
      </c>
      <c r="BV698" s="194">
        <f t="shared" si="451"/>
        <v>0</v>
      </c>
      <c r="BW698" s="194">
        <f t="shared" si="452"/>
        <v>0</v>
      </c>
      <c r="BX698" s="6"/>
      <c r="BY698" s="6"/>
      <c r="BZ698" s="39">
        <v>685</v>
      </c>
      <c r="CA698" s="39">
        <f t="shared" si="436"/>
        <v>2031</v>
      </c>
      <c r="CB698" s="6"/>
      <c r="CC698" s="39"/>
      <c r="CD698" s="39"/>
      <c r="CE698" s="39"/>
      <c r="CF698" s="39"/>
      <c r="CG698" s="39"/>
      <c r="CH698" s="39"/>
      <c r="CI698" s="39"/>
      <c r="CJ698" s="39"/>
      <c r="CK698" s="39"/>
    </row>
    <row r="699" spans="1:89" s="193" customFormat="1" ht="48">
      <c r="A699" s="357"/>
      <c r="B699" s="21" t="str">
        <f t="shared" si="413"/>
        <v>STW</v>
      </c>
      <c r="C699" s="21"/>
      <c r="D699" s="432"/>
      <c r="E699" s="439" t="s">
        <v>3626</v>
      </c>
      <c r="F699" s="439" t="s">
        <v>4166</v>
      </c>
      <c r="G699" s="273" t="s">
        <v>4620</v>
      </c>
      <c r="H699" s="358" t="s">
        <v>4621</v>
      </c>
      <c r="I699" s="262" t="s">
        <v>3491</v>
      </c>
      <c r="J699" s="262" t="s">
        <v>4203</v>
      </c>
      <c r="K699" s="263">
        <v>100000</v>
      </c>
      <c r="L699" s="263">
        <v>100000</v>
      </c>
      <c r="M699" s="263">
        <v>200000</v>
      </c>
      <c r="N699" s="263">
        <v>2000000</v>
      </c>
      <c r="O699" s="263">
        <v>1600000</v>
      </c>
      <c r="P699" s="263">
        <v>0</v>
      </c>
      <c r="Q699" s="263">
        <v>0</v>
      </c>
      <c r="R699" s="263">
        <v>0</v>
      </c>
      <c r="S699" s="263">
        <v>0</v>
      </c>
      <c r="T699" s="263">
        <v>0</v>
      </c>
      <c r="U699" s="263">
        <f t="shared" si="441"/>
        <v>4000000</v>
      </c>
      <c r="V699" s="196" t="str">
        <f t="shared" si="411"/>
        <v>G</v>
      </c>
      <c r="W699" s="196" t="s">
        <v>1168</v>
      </c>
      <c r="X699" s="196" t="str">
        <f t="shared" si="446"/>
        <v>Y</v>
      </c>
      <c r="Y699" s="376">
        <f t="shared" si="447"/>
        <v>4000000</v>
      </c>
      <c r="Z699" s="198"/>
      <c r="AA699" s="376">
        <f t="shared" si="412"/>
        <v>4000000</v>
      </c>
      <c r="AB699" s="196" t="s">
        <v>1166</v>
      </c>
      <c r="AC699" s="196" t="s">
        <v>1168</v>
      </c>
      <c r="AD699" s="445">
        <v>0.6</v>
      </c>
      <c r="AE699" s="275">
        <v>0</v>
      </c>
      <c r="AF699" s="275">
        <v>0</v>
      </c>
      <c r="AG699" s="442">
        <v>0.6</v>
      </c>
      <c r="AH699" s="442">
        <v>0.6</v>
      </c>
      <c r="AI699" s="377">
        <f t="shared" si="442"/>
        <v>0.6</v>
      </c>
      <c r="AJ699" s="548">
        <v>1</v>
      </c>
      <c r="AK699" s="203">
        <f t="shared" si="448"/>
        <v>0</v>
      </c>
      <c r="AL699" s="376">
        <f t="shared" si="443"/>
        <v>1600000</v>
      </c>
      <c r="AM699" s="376">
        <f t="shared" si="444"/>
        <v>2400000</v>
      </c>
      <c r="AN699" s="376">
        <f t="shared" si="445"/>
        <v>0</v>
      </c>
      <c r="AO699" s="378" t="s">
        <v>3607</v>
      </c>
      <c r="AP699" s="379" t="s">
        <v>5421</v>
      </c>
      <c r="AQ699" s="279"/>
      <c r="AR699" s="287">
        <f t="shared" si="414"/>
        <v>60000</v>
      </c>
      <c r="AS699" s="287">
        <f t="shared" si="415"/>
        <v>60000</v>
      </c>
      <c r="AT699" s="287">
        <f t="shared" si="416"/>
        <v>120000</v>
      </c>
      <c r="AU699" s="287">
        <f t="shared" si="417"/>
        <v>1200000</v>
      </c>
      <c r="AV699" s="287">
        <f t="shared" si="418"/>
        <v>960000</v>
      </c>
      <c r="AW699" s="287">
        <f t="shared" si="419"/>
        <v>0</v>
      </c>
      <c r="AX699" s="287">
        <f t="shared" si="420"/>
        <v>0</v>
      </c>
      <c r="AY699" s="287">
        <f t="shared" si="421"/>
        <v>0</v>
      </c>
      <c r="AZ699" s="287">
        <f t="shared" si="422"/>
        <v>0</v>
      </c>
      <c r="BA699" s="287">
        <f t="shared" si="423"/>
        <v>0</v>
      </c>
      <c r="BB699" s="16"/>
      <c r="BC699" s="287">
        <f t="shared" si="424"/>
        <v>0</v>
      </c>
      <c r="BD699" s="287">
        <f t="shared" si="425"/>
        <v>0</v>
      </c>
      <c r="BE699" s="287">
        <f t="shared" si="426"/>
        <v>0</v>
      </c>
      <c r="BF699" s="287">
        <f t="shared" si="427"/>
        <v>0</v>
      </c>
      <c r="BG699" s="287">
        <f t="shared" si="428"/>
        <v>0</v>
      </c>
      <c r="BH699" s="287">
        <f t="shared" si="429"/>
        <v>0</v>
      </c>
      <c r="BI699" s="287">
        <f t="shared" si="430"/>
        <v>0</v>
      </c>
      <c r="BJ699" s="287">
        <f t="shared" si="431"/>
        <v>0</v>
      </c>
      <c r="BK699" s="287">
        <f t="shared" si="432"/>
        <v>0</v>
      </c>
      <c r="BL699" s="287">
        <f t="shared" si="433"/>
        <v>0</v>
      </c>
      <c r="BM699" s="16"/>
      <c r="BN699" s="287">
        <f t="shared" si="434"/>
        <v>2400000</v>
      </c>
      <c r="BO699" s="287">
        <f t="shared" si="435"/>
        <v>0</v>
      </c>
      <c r="BP699" s="432"/>
      <c r="BQ699" s="21"/>
      <c r="BR699" s="21"/>
      <c r="BS699" s="6"/>
      <c r="BT699" s="194">
        <f t="shared" si="449"/>
        <v>2400000</v>
      </c>
      <c r="BU699" s="194">
        <f t="shared" si="450"/>
        <v>2400000</v>
      </c>
      <c r="BV699" s="194">
        <f t="shared" si="451"/>
        <v>0</v>
      </c>
      <c r="BW699" s="194">
        <f t="shared" si="452"/>
        <v>0</v>
      </c>
      <c r="BX699" s="6"/>
      <c r="BY699" s="6"/>
      <c r="BZ699" s="39">
        <v>686</v>
      </c>
      <c r="CA699" s="39">
        <f t="shared" si="436"/>
        <v>2031</v>
      </c>
      <c r="CB699" s="6"/>
      <c r="CC699" s="39"/>
      <c r="CD699" s="39"/>
      <c r="CE699" s="39"/>
      <c r="CF699" s="39"/>
      <c r="CG699" s="39"/>
      <c r="CH699" s="39"/>
      <c r="CI699" s="39"/>
      <c r="CJ699" s="39"/>
      <c r="CK699" s="39"/>
    </row>
    <row r="700" spans="1:89" s="193" customFormat="1" ht="24">
      <c r="A700" s="357"/>
      <c r="B700" s="21" t="str">
        <f t="shared" si="413"/>
        <v>STW</v>
      </c>
      <c r="C700" s="21"/>
      <c r="D700" s="432" t="s">
        <v>4099</v>
      </c>
      <c r="E700" s="439" t="s">
        <v>3626</v>
      </c>
      <c r="F700" s="439" t="s">
        <v>4100</v>
      </c>
      <c r="G700" s="273" t="s">
        <v>4349</v>
      </c>
      <c r="H700" s="358" t="s">
        <v>4573</v>
      </c>
      <c r="I700" s="262" t="s">
        <v>3491</v>
      </c>
      <c r="J700" s="262" t="s">
        <v>4350</v>
      </c>
      <c r="K700" s="263">
        <v>18050</v>
      </c>
      <c r="L700" s="263">
        <v>0</v>
      </c>
      <c r="M700" s="263">
        <v>0</v>
      </c>
      <c r="N700" s="263">
        <v>0</v>
      </c>
      <c r="O700" s="263">
        <v>0</v>
      </c>
      <c r="P700" s="263">
        <v>0</v>
      </c>
      <c r="Q700" s="263">
        <v>0</v>
      </c>
      <c r="R700" s="263">
        <v>0</v>
      </c>
      <c r="S700" s="263">
        <v>0</v>
      </c>
      <c r="T700" s="263">
        <v>0</v>
      </c>
      <c r="U700" s="263">
        <f t="shared" si="441"/>
        <v>18050</v>
      </c>
      <c r="V700" s="196" t="str">
        <f t="shared" si="411"/>
        <v>G/LOS</v>
      </c>
      <c r="W700" s="196" t="s">
        <v>1168</v>
      </c>
      <c r="X700" s="196" t="str">
        <f t="shared" si="446"/>
        <v>Y</v>
      </c>
      <c r="Y700" s="376">
        <f t="shared" si="447"/>
        <v>18050</v>
      </c>
      <c r="Z700" s="198"/>
      <c r="AA700" s="376">
        <f t="shared" si="412"/>
        <v>18050</v>
      </c>
      <c r="AB700" s="196" t="s">
        <v>1166</v>
      </c>
      <c r="AC700" s="196" t="s">
        <v>1168</v>
      </c>
      <c r="AD700" s="519">
        <v>0.9</v>
      </c>
      <c r="AE700" s="275">
        <v>0.1</v>
      </c>
      <c r="AF700" s="275">
        <v>0</v>
      </c>
      <c r="AG700" s="442">
        <v>0.8</v>
      </c>
      <c r="AH700" s="442">
        <v>1</v>
      </c>
      <c r="AI700" s="377">
        <f t="shared" si="442"/>
        <v>0.9</v>
      </c>
      <c r="AJ700" s="687">
        <v>0.67</v>
      </c>
      <c r="AK700" s="203">
        <f t="shared" si="448"/>
        <v>0.32999999999999996</v>
      </c>
      <c r="AL700" s="376">
        <f t="shared" si="443"/>
        <v>1804.9999999999995</v>
      </c>
      <c r="AM700" s="376">
        <f t="shared" si="444"/>
        <v>10884.150000000001</v>
      </c>
      <c r="AN700" s="376">
        <f t="shared" si="445"/>
        <v>5360.8499999999995</v>
      </c>
      <c r="AO700" s="378" t="s">
        <v>3615</v>
      </c>
      <c r="AP700" s="379" t="s">
        <v>5416</v>
      </c>
      <c r="AQ700" s="279"/>
      <c r="AR700" s="287">
        <f t="shared" si="414"/>
        <v>10884.150000000001</v>
      </c>
      <c r="AS700" s="287">
        <f t="shared" si="415"/>
        <v>0</v>
      </c>
      <c r="AT700" s="287">
        <f t="shared" si="416"/>
        <v>0</v>
      </c>
      <c r="AU700" s="287">
        <f t="shared" si="417"/>
        <v>0</v>
      </c>
      <c r="AV700" s="287">
        <f t="shared" si="418"/>
        <v>0</v>
      </c>
      <c r="AW700" s="287">
        <f t="shared" si="419"/>
        <v>0</v>
      </c>
      <c r="AX700" s="287">
        <f t="shared" si="420"/>
        <v>0</v>
      </c>
      <c r="AY700" s="287">
        <f t="shared" si="421"/>
        <v>0</v>
      </c>
      <c r="AZ700" s="287">
        <f t="shared" si="422"/>
        <v>0</v>
      </c>
      <c r="BA700" s="287">
        <f t="shared" si="423"/>
        <v>0</v>
      </c>
      <c r="BB700" s="16"/>
      <c r="BC700" s="287">
        <f t="shared" si="424"/>
        <v>5360.8499999999995</v>
      </c>
      <c r="BD700" s="287">
        <f t="shared" si="425"/>
        <v>0</v>
      </c>
      <c r="BE700" s="287">
        <f t="shared" si="426"/>
        <v>0</v>
      </c>
      <c r="BF700" s="287">
        <f t="shared" si="427"/>
        <v>0</v>
      </c>
      <c r="BG700" s="287">
        <f t="shared" si="428"/>
        <v>0</v>
      </c>
      <c r="BH700" s="287">
        <f t="shared" si="429"/>
        <v>0</v>
      </c>
      <c r="BI700" s="287">
        <f t="shared" si="430"/>
        <v>0</v>
      </c>
      <c r="BJ700" s="287">
        <f t="shared" si="431"/>
        <v>0</v>
      </c>
      <c r="BK700" s="287">
        <f t="shared" si="432"/>
        <v>0</v>
      </c>
      <c r="BL700" s="287">
        <f t="shared" si="433"/>
        <v>0</v>
      </c>
      <c r="BM700" s="16"/>
      <c r="BN700" s="287">
        <f t="shared" si="434"/>
        <v>10884.150000000001</v>
      </c>
      <c r="BO700" s="287">
        <f t="shared" si="435"/>
        <v>5360.8499999999995</v>
      </c>
      <c r="BP700" s="432"/>
      <c r="BQ700" s="21"/>
      <c r="BR700" s="21"/>
      <c r="BS700" s="6"/>
      <c r="BT700" s="194">
        <f t="shared" si="449"/>
        <v>16245</v>
      </c>
      <c r="BU700" s="194">
        <f t="shared" si="450"/>
        <v>10884.150000000001</v>
      </c>
      <c r="BV700" s="194">
        <f t="shared" si="451"/>
        <v>5360.8499999999995</v>
      </c>
      <c r="BW700" s="194">
        <f t="shared" si="452"/>
        <v>0</v>
      </c>
      <c r="BX700" s="6"/>
      <c r="BY700" s="6"/>
      <c r="BZ700" s="39">
        <v>687</v>
      </c>
      <c r="CA700" s="39">
        <f t="shared" si="436"/>
        <v>2036</v>
      </c>
      <c r="CB700" s="6"/>
      <c r="CC700" s="39"/>
      <c r="CD700" s="39"/>
      <c r="CE700" s="39"/>
      <c r="CF700" s="39"/>
      <c r="CG700" s="39"/>
      <c r="CH700" s="39"/>
      <c r="CI700" s="39"/>
      <c r="CJ700" s="39"/>
      <c r="CK700" s="39"/>
    </row>
    <row r="701" spans="1:89" s="193" customFormat="1" ht="24">
      <c r="A701" s="357"/>
      <c r="B701" s="21" t="str">
        <f t="shared" si="413"/>
        <v>STW</v>
      </c>
      <c r="C701" s="21"/>
      <c r="D701" s="432" t="s">
        <v>4099</v>
      </c>
      <c r="E701" s="439" t="s">
        <v>3626</v>
      </c>
      <c r="F701" s="439" t="s">
        <v>4100</v>
      </c>
      <c r="G701" s="273" t="s">
        <v>4348</v>
      </c>
      <c r="H701" s="358" t="s">
        <v>4573</v>
      </c>
      <c r="I701" s="262" t="s">
        <v>3491</v>
      </c>
      <c r="J701" s="262" t="s">
        <v>4194</v>
      </c>
      <c r="K701" s="263">
        <v>76950</v>
      </c>
      <c r="L701" s="263">
        <v>0</v>
      </c>
      <c r="M701" s="263">
        <v>0</v>
      </c>
      <c r="N701" s="263">
        <v>0</v>
      </c>
      <c r="O701" s="263">
        <v>0</v>
      </c>
      <c r="P701" s="263">
        <v>0</v>
      </c>
      <c r="Q701" s="263">
        <v>0</v>
      </c>
      <c r="R701" s="263">
        <v>0</v>
      </c>
      <c r="S701" s="263">
        <v>0</v>
      </c>
      <c r="T701" s="263">
        <v>0</v>
      </c>
      <c r="U701" s="263">
        <f t="shared" si="441"/>
        <v>76950</v>
      </c>
      <c r="V701" s="196" t="str">
        <f t="shared" si="411"/>
        <v>G/LOS</v>
      </c>
      <c r="W701" s="196" t="s">
        <v>1168</v>
      </c>
      <c r="X701" s="196" t="str">
        <f t="shared" si="446"/>
        <v>Y</v>
      </c>
      <c r="Y701" s="376">
        <f t="shared" si="447"/>
        <v>76950</v>
      </c>
      <c r="Z701" s="198"/>
      <c r="AA701" s="376">
        <f t="shared" si="412"/>
        <v>76950</v>
      </c>
      <c r="AB701" s="196" t="s">
        <v>1166</v>
      </c>
      <c r="AC701" s="196" t="s">
        <v>1168</v>
      </c>
      <c r="AD701" s="519">
        <v>0.9</v>
      </c>
      <c r="AE701" s="275">
        <v>0.1</v>
      </c>
      <c r="AF701" s="275">
        <v>0</v>
      </c>
      <c r="AG701" s="442">
        <v>0.8</v>
      </c>
      <c r="AH701" s="442">
        <v>1</v>
      </c>
      <c r="AI701" s="377">
        <f t="shared" si="442"/>
        <v>0.9</v>
      </c>
      <c r="AJ701" s="548">
        <v>1</v>
      </c>
      <c r="AK701" s="203">
        <f t="shared" si="448"/>
        <v>0</v>
      </c>
      <c r="AL701" s="376">
        <f t="shared" si="443"/>
        <v>7694.9999999999982</v>
      </c>
      <c r="AM701" s="376">
        <f t="shared" si="444"/>
        <v>69255</v>
      </c>
      <c r="AN701" s="376">
        <f t="shared" si="445"/>
        <v>0</v>
      </c>
      <c r="AO701" s="378" t="s">
        <v>3615</v>
      </c>
      <c r="AP701" s="379" t="s">
        <v>5409</v>
      </c>
      <c r="AQ701" s="279"/>
      <c r="AR701" s="287">
        <f t="shared" si="414"/>
        <v>69255</v>
      </c>
      <c r="AS701" s="287">
        <f t="shared" si="415"/>
        <v>0</v>
      </c>
      <c r="AT701" s="287">
        <f t="shared" si="416"/>
        <v>0</v>
      </c>
      <c r="AU701" s="287">
        <f t="shared" si="417"/>
        <v>0</v>
      </c>
      <c r="AV701" s="287">
        <f t="shared" si="418"/>
        <v>0</v>
      </c>
      <c r="AW701" s="287">
        <f t="shared" si="419"/>
        <v>0</v>
      </c>
      <c r="AX701" s="287">
        <f t="shared" si="420"/>
        <v>0</v>
      </c>
      <c r="AY701" s="287">
        <f t="shared" si="421"/>
        <v>0</v>
      </c>
      <c r="AZ701" s="287">
        <f t="shared" si="422"/>
        <v>0</v>
      </c>
      <c r="BA701" s="287">
        <f t="shared" si="423"/>
        <v>0</v>
      </c>
      <c r="BB701" s="16"/>
      <c r="BC701" s="287">
        <f t="shared" si="424"/>
        <v>0</v>
      </c>
      <c r="BD701" s="287">
        <f t="shared" si="425"/>
        <v>0</v>
      </c>
      <c r="BE701" s="287">
        <f t="shared" si="426"/>
        <v>0</v>
      </c>
      <c r="BF701" s="287">
        <f t="shared" si="427"/>
        <v>0</v>
      </c>
      <c r="BG701" s="287">
        <f t="shared" si="428"/>
        <v>0</v>
      </c>
      <c r="BH701" s="287">
        <f t="shared" si="429"/>
        <v>0</v>
      </c>
      <c r="BI701" s="287">
        <f t="shared" si="430"/>
        <v>0</v>
      </c>
      <c r="BJ701" s="287">
        <f t="shared" si="431"/>
        <v>0</v>
      </c>
      <c r="BK701" s="287">
        <f t="shared" si="432"/>
        <v>0</v>
      </c>
      <c r="BL701" s="287">
        <f t="shared" si="433"/>
        <v>0</v>
      </c>
      <c r="BM701" s="16"/>
      <c r="BN701" s="287">
        <f t="shared" si="434"/>
        <v>69255</v>
      </c>
      <c r="BO701" s="287">
        <f t="shared" si="435"/>
        <v>0</v>
      </c>
      <c r="BP701" s="432"/>
      <c r="BQ701" s="21"/>
      <c r="BR701" s="21"/>
      <c r="BS701" s="6"/>
      <c r="BT701" s="194">
        <f t="shared" si="449"/>
        <v>69255</v>
      </c>
      <c r="BU701" s="194">
        <f t="shared" si="450"/>
        <v>69255</v>
      </c>
      <c r="BV701" s="194">
        <f t="shared" si="451"/>
        <v>0</v>
      </c>
      <c r="BW701" s="194">
        <f t="shared" si="452"/>
        <v>0</v>
      </c>
      <c r="BX701" s="6"/>
      <c r="BY701" s="6"/>
      <c r="BZ701" s="39">
        <v>688</v>
      </c>
      <c r="CA701" s="39">
        <f t="shared" si="436"/>
        <v>2031</v>
      </c>
      <c r="CB701" s="6"/>
      <c r="CC701" s="39"/>
      <c r="CD701" s="39"/>
      <c r="CE701" s="39"/>
      <c r="CF701" s="39"/>
      <c r="CG701" s="39"/>
      <c r="CH701" s="39"/>
      <c r="CI701" s="39"/>
      <c r="CJ701" s="39"/>
      <c r="CK701" s="39"/>
    </row>
    <row r="702" spans="1:89" s="193" customFormat="1" ht="24">
      <c r="A702" s="357"/>
      <c r="B702" s="21" t="str">
        <f t="shared" si="413"/>
        <v>STW</v>
      </c>
      <c r="C702" s="21"/>
      <c r="D702" s="432" t="s">
        <v>3933</v>
      </c>
      <c r="E702" s="439" t="s">
        <v>3626</v>
      </c>
      <c r="F702" s="439" t="s">
        <v>3964</v>
      </c>
      <c r="G702" s="273" t="s">
        <v>3963</v>
      </c>
      <c r="H702" s="358" t="s">
        <v>4509</v>
      </c>
      <c r="I702" s="262" t="s">
        <v>3491</v>
      </c>
      <c r="J702" s="262" t="s">
        <v>4198</v>
      </c>
      <c r="K702" s="263">
        <v>383440</v>
      </c>
      <c r="L702" s="263">
        <v>0</v>
      </c>
      <c r="M702" s="263">
        <v>0</v>
      </c>
      <c r="N702" s="263">
        <v>0</v>
      </c>
      <c r="O702" s="263">
        <v>0</v>
      </c>
      <c r="P702" s="263">
        <v>0</v>
      </c>
      <c r="Q702" s="263">
        <v>0</v>
      </c>
      <c r="R702" s="263">
        <v>0</v>
      </c>
      <c r="S702" s="263">
        <v>0</v>
      </c>
      <c r="T702" s="263">
        <v>0</v>
      </c>
      <c r="U702" s="263">
        <f t="shared" si="441"/>
        <v>383440</v>
      </c>
      <c r="V702" s="196" t="str">
        <f t="shared" si="411"/>
        <v>G/LOS/R</v>
      </c>
      <c r="W702" s="196" t="s">
        <v>1168</v>
      </c>
      <c r="X702" s="196" t="str">
        <f t="shared" si="446"/>
        <v>Y</v>
      </c>
      <c r="Y702" s="376">
        <f t="shared" si="447"/>
        <v>383440</v>
      </c>
      <c r="Z702" s="198"/>
      <c r="AA702" s="376">
        <f t="shared" si="412"/>
        <v>383440</v>
      </c>
      <c r="AB702" s="196" t="s">
        <v>1166</v>
      </c>
      <c r="AC702" s="196" t="s">
        <v>1168</v>
      </c>
      <c r="AD702" s="275">
        <v>0.1</v>
      </c>
      <c r="AE702" s="275">
        <v>0.1</v>
      </c>
      <c r="AF702" s="275">
        <v>0.8</v>
      </c>
      <c r="AG702" s="442">
        <v>0.1</v>
      </c>
      <c r="AH702" s="442">
        <v>0.1</v>
      </c>
      <c r="AI702" s="377">
        <f t="shared" si="442"/>
        <v>0.1</v>
      </c>
      <c r="AJ702" s="688">
        <v>1</v>
      </c>
      <c r="AK702" s="203">
        <f t="shared" si="448"/>
        <v>0</v>
      </c>
      <c r="AL702" s="376">
        <f t="shared" si="443"/>
        <v>345096</v>
      </c>
      <c r="AM702" s="376">
        <f t="shared" si="444"/>
        <v>38344</v>
      </c>
      <c r="AN702" s="376">
        <f t="shared" si="445"/>
        <v>0</v>
      </c>
      <c r="AO702" s="378" t="s">
        <v>3607</v>
      </c>
      <c r="AP702" s="379" t="s">
        <v>5395</v>
      </c>
      <c r="AQ702" s="279"/>
      <c r="AR702" s="287">
        <f t="shared" si="414"/>
        <v>38344</v>
      </c>
      <c r="AS702" s="287">
        <f t="shared" si="415"/>
        <v>0</v>
      </c>
      <c r="AT702" s="287">
        <f t="shared" si="416"/>
        <v>0</v>
      </c>
      <c r="AU702" s="287">
        <f t="shared" si="417"/>
        <v>0</v>
      </c>
      <c r="AV702" s="287">
        <f t="shared" si="418"/>
        <v>0</v>
      </c>
      <c r="AW702" s="287">
        <f t="shared" si="419"/>
        <v>0</v>
      </c>
      <c r="AX702" s="287">
        <f t="shared" si="420"/>
        <v>0</v>
      </c>
      <c r="AY702" s="287">
        <f t="shared" si="421"/>
        <v>0</v>
      </c>
      <c r="AZ702" s="287">
        <f t="shared" si="422"/>
        <v>0</v>
      </c>
      <c r="BA702" s="287">
        <f t="shared" si="423"/>
        <v>0</v>
      </c>
      <c r="BB702" s="16"/>
      <c r="BC702" s="287">
        <f t="shared" si="424"/>
        <v>0</v>
      </c>
      <c r="BD702" s="287">
        <f t="shared" si="425"/>
        <v>0</v>
      </c>
      <c r="BE702" s="287">
        <f t="shared" si="426"/>
        <v>0</v>
      </c>
      <c r="BF702" s="287">
        <f t="shared" si="427"/>
        <v>0</v>
      </c>
      <c r="BG702" s="287">
        <f t="shared" si="428"/>
        <v>0</v>
      </c>
      <c r="BH702" s="287">
        <f t="shared" si="429"/>
        <v>0</v>
      </c>
      <c r="BI702" s="287">
        <f t="shared" si="430"/>
        <v>0</v>
      </c>
      <c r="BJ702" s="287">
        <f t="shared" si="431"/>
        <v>0</v>
      </c>
      <c r="BK702" s="287">
        <f t="shared" si="432"/>
        <v>0</v>
      </c>
      <c r="BL702" s="287">
        <f t="shared" si="433"/>
        <v>0</v>
      </c>
      <c r="BM702" s="16"/>
      <c r="BN702" s="287">
        <f t="shared" si="434"/>
        <v>38344</v>
      </c>
      <c r="BO702" s="287">
        <f t="shared" si="435"/>
        <v>0</v>
      </c>
      <c r="BP702" s="432"/>
      <c r="BQ702" s="21"/>
      <c r="BR702" s="21"/>
      <c r="BS702" s="6"/>
      <c r="BT702" s="194">
        <f t="shared" si="449"/>
        <v>38344</v>
      </c>
      <c r="BU702" s="194">
        <f t="shared" si="450"/>
        <v>38344</v>
      </c>
      <c r="BV702" s="194">
        <f t="shared" si="451"/>
        <v>0</v>
      </c>
      <c r="BW702" s="194">
        <f t="shared" si="452"/>
        <v>0</v>
      </c>
      <c r="BX702" s="6"/>
      <c r="BY702" s="6"/>
      <c r="BZ702" s="39">
        <v>689</v>
      </c>
      <c r="CA702" s="39">
        <f t="shared" si="436"/>
        <v>2031</v>
      </c>
      <c r="CB702" s="6"/>
      <c r="CC702" s="39"/>
      <c r="CD702" s="39"/>
      <c r="CE702" s="39"/>
      <c r="CF702" s="39"/>
      <c r="CG702" s="39"/>
      <c r="CH702" s="39"/>
      <c r="CI702" s="39"/>
      <c r="CJ702" s="39"/>
      <c r="CK702" s="39"/>
    </row>
    <row r="703" spans="1:89" s="193" customFormat="1" ht="48">
      <c r="A703" s="357"/>
      <c r="B703" s="21" t="str">
        <f t="shared" si="413"/>
        <v>STW</v>
      </c>
      <c r="C703" s="21"/>
      <c r="D703" s="432" t="s">
        <v>3958</v>
      </c>
      <c r="E703" s="439" t="s">
        <v>3626</v>
      </c>
      <c r="F703" s="439" t="s">
        <v>4168</v>
      </c>
      <c r="G703" s="273" t="s">
        <v>4169</v>
      </c>
      <c r="H703" s="358" t="s">
        <v>4544</v>
      </c>
      <c r="I703" s="262" t="s">
        <v>3491</v>
      </c>
      <c r="J703" s="262" t="s">
        <v>4350</v>
      </c>
      <c r="K703" s="263">
        <v>0</v>
      </c>
      <c r="L703" s="263">
        <v>0</v>
      </c>
      <c r="M703" s="263">
        <v>100000</v>
      </c>
      <c r="N703" s="263">
        <v>5140000</v>
      </c>
      <c r="O703" s="263">
        <v>0</v>
      </c>
      <c r="P703" s="263">
        <v>0</v>
      </c>
      <c r="Q703" s="263">
        <v>0</v>
      </c>
      <c r="R703" s="263">
        <v>0</v>
      </c>
      <c r="S703" s="263">
        <v>0</v>
      </c>
      <c r="T703" s="263">
        <v>0</v>
      </c>
      <c r="U703" s="263">
        <f t="shared" si="441"/>
        <v>5240000</v>
      </c>
      <c r="V703" s="196" t="str">
        <f t="shared" si="411"/>
        <v>G/LOS</v>
      </c>
      <c r="W703" s="196" t="s">
        <v>1168</v>
      </c>
      <c r="X703" s="196" t="str">
        <f t="shared" si="446"/>
        <v>Y</v>
      </c>
      <c r="Y703" s="376">
        <f t="shared" si="447"/>
        <v>5240000</v>
      </c>
      <c r="Z703" s="198"/>
      <c r="AA703" s="376">
        <f t="shared" si="412"/>
        <v>5240000</v>
      </c>
      <c r="AB703" s="196" t="s">
        <v>1166</v>
      </c>
      <c r="AC703" s="196" t="s">
        <v>1168</v>
      </c>
      <c r="AD703" s="445">
        <v>0.9</v>
      </c>
      <c r="AE703" s="275">
        <v>0.1</v>
      </c>
      <c r="AF703" s="275">
        <v>0</v>
      </c>
      <c r="AG703" s="442">
        <v>0.8</v>
      </c>
      <c r="AH703" s="442">
        <v>1</v>
      </c>
      <c r="AI703" s="377">
        <f t="shared" si="442"/>
        <v>0.9</v>
      </c>
      <c r="AJ703" s="687">
        <v>0.67</v>
      </c>
      <c r="AK703" s="203">
        <f t="shared" si="448"/>
        <v>0.32999999999999996</v>
      </c>
      <c r="AL703" s="376">
        <f t="shared" si="443"/>
        <v>523999.99999999988</v>
      </c>
      <c r="AM703" s="376">
        <f t="shared" si="444"/>
        <v>3159720</v>
      </c>
      <c r="AN703" s="376">
        <f t="shared" si="445"/>
        <v>1556279.9999999998</v>
      </c>
      <c r="AO703" s="378" t="s">
        <v>3615</v>
      </c>
      <c r="AP703" s="379" t="s">
        <v>5416</v>
      </c>
      <c r="AQ703" s="279"/>
      <c r="AR703" s="287">
        <f t="shared" si="414"/>
        <v>0</v>
      </c>
      <c r="AS703" s="287">
        <f t="shared" si="415"/>
        <v>0</v>
      </c>
      <c r="AT703" s="287">
        <f t="shared" si="416"/>
        <v>60300</v>
      </c>
      <c r="AU703" s="287">
        <f t="shared" si="417"/>
        <v>3099420</v>
      </c>
      <c r="AV703" s="287">
        <f t="shared" si="418"/>
        <v>0</v>
      </c>
      <c r="AW703" s="287">
        <f t="shared" si="419"/>
        <v>0</v>
      </c>
      <c r="AX703" s="287">
        <f t="shared" si="420"/>
        <v>0</v>
      </c>
      <c r="AY703" s="287">
        <f t="shared" si="421"/>
        <v>0</v>
      </c>
      <c r="AZ703" s="287">
        <f t="shared" si="422"/>
        <v>0</v>
      </c>
      <c r="BA703" s="287">
        <f t="shared" si="423"/>
        <v>0</v>
      </c>
      <c r="BB703" s="16"/>
      <c r="BC703" s="287">
        <f t="shared" si="424"/>
        <v>0</v>
      </c>
      <c r="BD703" s="287">
        <f t="shared" si="425"/>
        <v>0</v>
      </c>
      <c r="BE703" s="287">
        <f t="shared" si="426"/>
        <v>29699.999999999996</v>
      </c>
      <c r="BF703" s="287">
        <f t="shared" si="427"/>
        <v>1526579.9999999998</v>
      </c>
      <c r="BG703" s="287">
        <f t="shared" si="428"/>
        <v>0</v>
      </c>
      <c r="BH703" s="287">
        <f t="shared" si="429"/>
        <v>0</v>
      </c>
      <c r="BI703" s="287">
        <f t="shared" si="430"/>
        <v>0</v>
      </c>
      <c r="BJ703" s="287">
        <f t="shared" si="431"/>
        <v>0</v>
      </c>
      <c r="BK703" s="287">
        <f t="shared" si="432"/>
        <v>0</v>
      </c>
      <c r="BL703" s="287">
        <f t="shared" si="433"/>
        <v>0</v>
      </c>
      <c r="BM703" s="16"/>
      <c r="BN703" s="287">
        <f t="shared" si="434"/>
        <v>3159720</v>
      </c>
      <c r="BO703" s="287">
        <f t="shared" si="435"/>
        <v>1556279.9999999998</v>
      </c>
      <c r="BP703" s="432"/>
      <c r="BQ703" s="21"/>
      <c r="BR703" s="21"/>
      <c r="BS703" s="6"/>
      <c r="BT703" s="194">
        <f t="shared" si="449"/>
        <v>4716000</v>
      </c>
      <c r="BU703" s="194">
        <f t="shared" si="450"/>
        <v>3159720</v>
      </c>
      <c r="BV703" s="194">
        <f t="shared" si="451"/>
        <v>1556279.9999999998</v>
      </c>
      <c r="BW703" s="194">
        <f t="shared" si="452"/>
        <v>0</v>
      </c>
      <c r="BX703" s="6"/>
      <c r="BY703" s="6"/>
      <c r="BZ703" s="39">
        <v>690</v>
      </c>
      <c r="CA703" s="39">
        <f t="shared" si="436"/>
        <v>2036</v>
      </c>
      <c r="CB703" s="6"/>
      <c r="CC703" s="39"/>
      <c r="CD703" s="39"/>
      <c r="CE703" s="39"/>
      <c r="CF703" s="39"/>
      <c r="CG703" s="39"/>
      <c r="CH703" s="39"/>
      <c r="CI703" s="39"/>
      <c r="CJ703" s="39"/>
      <c r="CK703" s="39"/>
    </row>
    <row r="704" spans="1:89" s="193" customFormat="1" ht="36">
      <c r="A704" s="357"/>
      <c r="B704" s="21" t="str">
        <f t="shared" si="413"/>
        <v>STW</v>
      </c>
      <c r="C704" s="21"/>
      <c r="D704" s="432" t="s">
        <v>3958</v>
      </c>
      <c r="E704" s="439" t="s">
        <v>3626</v>
      </c>
      <c r="F704" s="439" t="s">
        <v>4170</v>
      </c>
      <c r="G704" s="273" t="s">
        <v>4171</v>
      </c>
      <c r="H704" s="358" t="s">
        <v>4627</v>
      </c>
      <c r="I704" s="262" t="s">
        <v>3491</v>
      </c>
      <c r="J704" s="262" t="s">
        <v>4195</v>
      </c>
      <c r="K704" s="263">
        <v>0</v>
      </c>
      <c r="L704" s="263">
        <v>0</v>
      </c>
      <c r="M704" s="263">
        <v>240000</v>
      </c>
      <c r="N704" s="263">
        <v>8280000</v>
      </c>
      <c r="O704" s="263">
        <v>0</v>
      </c>
      <c r="P704" s="263">
        <v>0</v>
      </c>
      <c r="Q704" s="263">
        <v>0</v>
      </c>
      <c r="R704" s="263">
        <v>0</v>
      </c>
      <c r="S704" s="263">
        <v>0</v>
      </c>
      <c r="T704" s="263">
        <v>0</v>
      </c>
      <c r="U704" s="263">
        <f t="shared" si="441"/>
        <v>8520000</v>
      </c>
      <c r="V704" s="196" t="str">
        <f t="shared" si="411"/>
        <v>G/LOS</v>
      </c>
      <c r="W704" s="196" t="s">
        <v>1168</v>
      </c>
      <c r="X704" s="196" t="str">
        <f t="shared" ref="X704:X735" si="453">IF(LEFT(V704,1)="G","Y","N")</f>
        <v>Y</v>
      </c>
      <c r="Y704" s="376">
        <f t="shared" ref="Y704:Y735" si="454">SUM(K704:T704)</f>
        <v>8520000</v>
      </c>
      <c r="Z704" s="198"/>
      <c r="AA704" s="376">
        <f t="shared" si="412"/>
        <v>8520000</v>
      </c>
      <c r="AB704" s="196" t="s">
        <v>1166</v>
      </c>
      <c r="AC704" s="196" t="s">
        <v>1168</v>
      </c>
      <c r="AD704" s="445">
        <v>0.9</v>
      </c>
      <c r="AE704" s="275">
        <v>0.1</v>
      </c>
      <c r="AF704" s="275">
        <v>0</v>
      </c>
      <c r="AG704" s="442">
        <v>0.8</v>
      </c>
      <c r="AH704" s="442">
        <v>1</v>
      </c>
      <c r="AI704" s="377">
        <f t="shared" si="442"/>
        <v>0.9</v>
      </c>
      <c r="AJ704" s="687">
        <v>0.67</v>
      </c>
      <c r="AK704" s="203">
        <f t="shared" ref="AK704:AK721" si="455">1-AJ704</f>
        <v>0.32999999999999996</v>
      </c>
      <c r="AL704" s="376">
        <f t="shared" si="443"/>
        <v>851999.99999999977</v>
      </c>
      <c r="AM704" s="376">
        <f t="shared" si="444"/>
        <v>5137560</v>
      </c>
      <c r="AN704" s="376">
        <f t="shared" si="445"/>
        <v>2530439.9999999995</v>
      </c>
      <c r="AO704" s="378" t="s">
        <v>3615</v>
      </c>
      <c r="AP704" s="379" t="s">
        <v>5416</v>
      </c>
      <c r="AQ704" s="279"/>
      <c r="AR704" s="287">
        <f t="shared" si="414"/>
        <v>0</v>
      </c>
      <c r="AS704" s="287">
        <f t="shared" si="415"/>
        <v>0</v>
      </c>
      <c r="AT704" s="287">
        <f t="shared" si="416"/>
        <v>144720</v>
      </c>
      <c r="AU704" s="287">
        <f t="shared" si="417"/>
        <v>4992840</v>
      </c>
      <c r="AV704" s="287">
        <f t="shared" si="418"/>
        <v>0</v>
      </c>
      <c r="AW704" s="287">
        <f t="shared" si="419"/>
        <v>0</v>
      </c>
      <c r="AX704" s="287">
        <f t="shared" si="420"/>
        <v>0</v>
      </c>
      <c r="AY704" s="287">
        <f t="shared" si="421"/>
        <v>0</v>
      </c>
      <c r="AZ704" s="287">
        <f t="shared" si="422"/>
        <v>0</v>
      </c>
      <c r="BA704" s="287">
        <f t="shared" si="423"/>
        <v>0</v>
      </c>
      <c r="BB704" s="16"/>
      <c r="BC704" s="287">
        <f t="shared" si="424"/>
        <v>0</v>
      </c>
      <c r="BD704" s="287">
        <f t="shared" si="425"/>
        <v>0</v>
      </c>
      <c r="BE704" s="287">
        <f t="shared" si="426"/>
        <v>71279.999999999985</v>
      </c>
      <c r="BF704" s="287">
        <f t="shared" si="427"/>
        <v>2459159.9999999995</v>
      </c>
      <c r="BG704" s="287">
        <f t="shared" si="428"/>
        <v>0</v>
      </c>
      <c r="BH704" s="287">
        <f t="shared" si="429"/>
        <v>0</v>
      </c>
      <c r="BI704" s="287">
        <f t="shared" si="430"/>
        <v>0</v>
      </c>
      <c r="BJ704" s="287">
        <f t="shared" si="431"/>
        <v>0</v>
      </c>
      <c r="BK704" s="287">
        <f t="shared" si="432"/>
        <v>0</v>
      </c>
      <c r="BL704" s="287">
        <f t="shared" si="433"/>
        <v>0</v>
      </c>
      <c r="BM704" s="16"/>
      <c r="BN704" s="287">
        <f t="shared" si="434"/>
        <v>5137560</v>
      </c>
      <c r="BO704" s="287">
        <f t="shared" si="435"/>
        <v>2530439.9999999995</v>
      </c>
      <c r="BP704" s="432"/>
      <c r="BQ704" s="21"/>
      <c r="BR704" s="21"/>
      <c r="BS704" s="6"/>
      <c r="BT704" s="194">
        <f t="shared" si="449"/>
        <v>7668000</v>
      </c>
      <c r="BU704" s="194">
        <f t="shared" si="450"/>
        <v>5137560</v>
      </c>
      <c r="BV704" s="194">
        <f t="shared" si="451"/>
        <v>2530439.9999999995</v>
      </c>
      <c r="BW704" s="194">
        <f t="shared" si="452"/>
        <v>0</v>
      </c>
      <c r="BX704" s="6"/>
      <c r="BY704" s="6"/>
      <c r="BZ704" s="39">
        <v>691</v>
      </c>
      <c r="CA704" s="39">
        <f t="shared" si="436"/>
        <v>2036</v>
      </c>
      <c r="CB704" s="6"/>
      <c r="CC704" s="39"/>
      <c r="CD704" s="39"/>
      <c r="CE704" s="39"/>
      <c r="CF704" s="39"/>
      <c r="CG704" s="39"/>
      <c r="CH704" s="39"/>
      <c r="CI704" s="39"/>
      <c r="CJ704" s="39"/>
      <c r="CK704" s="39"/>
    </row>
    <row r="705" spans="1:89" s="193" customFormat="1" ht="24">
      <c r="A705" s="357"/>
      <c r="B705" s="21" t="str">
        <f t="shared" si="413"/>
        <v>STW</v>
      </c>
      <c r="C705" s="21"/>
      <c r="D705" s="432" t="s">
        <v>3958</v>
      </c>
      <c r="E705" s="439" t="s">
        <v>3626</v>
      </c>
      <c r="F705" s="439" t="s">
        <v>3957</v>
      </c>
      <c r="G705" s="273" t="s">
        <v>3956</v>
      </c>
      <c r="H705" s="358" t="s">
        <v>4571</v>
      </c>
      <c r="I705" s="262" t="s">
        <v>3491</v>
      </c>
      <c r="J705" s="262" t="s">
        <v>4194</v>
      </c>
      <c r="K705" s="263">
        <v>7034000</v>
      </c>
      <c r="L705" s="263">
        <v>5060000</v>
      </c>
      <c r="M705" s="263">
        <v>40000</v>
      </c>
      <c r="N705" s="263">
        <v>0</v>
      </c>
      <c r="O705" s="263">
        <v>940000</v>
      </c>
      <c r="P705" s="263">
        <v>0</v>
      </c>
      <c r="Q705" s="263">
        <v>0</v>
      </c>
      <c r="R705" s="263">
        <v>0</v>
      </c>
      <c r="S705" s="263">
        <v>0</v>
      </c>
      <c r="T705" s="263">
        <v>0</v>
      </c>
      <c r="U705" s="263">
        <f t="shared" si="441"/>
        <v>13074000</v>
      </c>
      <c r="V705" s="196" t="str">
        <f t="shared" si="411"/>
        <v>G/LOS</v>
      </c>
      <c r="W705" s="196" t="s">
        <v>1168</v>
      </c>
      <c r="X705" s="196" t="str">
        <f t="shared" si="453"/>
        <v>Y</v>
      </c>
      <c r="Y705" s="376">
        <f t="shared" si="454"/>
        <v>13074000</v>
      </c>
      <c r="Z705" s="198"/>
      <c r="AA705" s="376">
        <f t="shared" si="412"/>
        <v>13074000</v>
      </c>
      <c r="AB705" s="196" t="s">
        <v>1166</v>
      </c>
      <c r="AC705" s="196" t="s">
        <v>1168</v>
      </c>
      <c r="AD705" s="519">
        <v>0.9</v>
      </c>
      <c r="AE705" s="275">
        <v>0.1</v>
      </c>
      <c r="AF705" s="275">
        <v>0</v>
      </c>
      <c r="AG705" s="442">
        <v>0.8</v>
      </c>
      <c r="AH705" s="442">
        <v>1</v>
      </c>
      <c r="AI705" s="377">
        <f t="shared" si="442"/>
        <v>0.9</v>
      </c>
      <c r="AJ705" s="548">
        <v>1</v>
      </c>
      <c r="AK705" s="203">
        <f t="shared" si="455"/>
        <v>0</v>
      </c>
      <c r="AL705" s="376">
        <f t="shared" si="443"/>
        <v>1307399.9999999998</v>
      </c>
      <c r="AM705" s="376">
        <f t="shared" si="444"/>
        <v>11766600</v>
      </c>
      <c r="AN705" s="376">
        <f t="shared" si="445"/>
        <v>0</v>
      </c>
      <c r="AO705" s="378" t="s">
        <v>3615</v>
      </c>
      <c r="AP705" s="379" t="s">
        <v>5409</v>
      </c>
      <c r="AQ705" s="279"/>
      <c r="AR705" s="287">
        <f t="shared" si="414"/>
        <v>6330600</v>
      </c>
      <c r="AS705" s="287">
        <f t="shared" si="415"/>
        <v>4554000</v>
      </c>
      <c r="AT705" s="287">
        <f t="shared" si="416"/>
        <v>36000</v>
      </c>
      <c r="AU705" s="287">
        <f t="shared" si="417"/>
        <v>0</v>
      </c>
      <c r="AV705" s="287">
        <f t="shared" si="418"/>
        <v>846000</v>
      </c>
      <c r="AW705" s="287">
        <f t="shared" si="419"/>
        <v>0</v>
      </c>
      <c r="AX705" s="287">
        <f t="shared" si="420"/>
        <v>0</v>
      </c>
      <c r="AY705" s="287">
        <f t="shared" si="421"/>
        <v>0</v>
      </c>
      <c r="AZ705" s="287">
        <f t="shared" si="422"/>
        <v>0</v>
      </c>
      <c r="BA705" s="287">
        <f t="shared" si="423"/>
        <v>0</v>
      </c>
      <c r="BB705" s="16"/>
      <c r="BC705" s="287">
        <f t="shared" si="424"/>
        <v>0</v>
      </c>
      <c r="BD705" s="287">
        <f t="shared" si="425"/>
        <v>0</v>
      </c>
      <c r="BE705" s="287">
        <f t="shared" si="426"/>
        <v>0</v>
      </c>
      <c r="BF705" s="287">
        <f t="shared" si="427"/>
        <v>0</v>
      </c>
      <c r="BG705" s="287">
        <f t="shared" si="428"/>
        <v>0</v>
      </c>
      <c r="BH705" s="287">
        <f t="shared" si="429"/>
        <v>0</v>
      </c>
      <c r="BI705" s="287">
        <f t="shared" si="430"/>
        <v>0</v>
      </c>
      <c r="BJ705" s="287">
        <f t="shared" si="431"/>
        <v>0</v>
      </c>
      <c r="BK705" s="287">
        <f t="shared" si="432"/>
        <v>0</v>
      </c>
      <c r="BL705" s="287">
        <f t="shared" si="433"/>
        <v>0</v>
      </c>
      <c r="BM705" s="16"/>
      <c r="BN705" s="287">
        <f t="shared" si="434"/>
        <v>11766600</v>
      </c>
      <c r="BO705" s="287">
        <f t="shared" si="435"/>
        <v>0</v>
      </c>
      <c r="BP705" s="432"/>
      <c r="BQ705" s="21"/>
      <c r="BR705" s="21"/>
      <c r="BS705" s="6"/>
      <c r="BT705" s="194">
        <f t="shared" si="449"/>
        <v>11766600</v>
      </c>
      <c r="BU705" s="194">
        <f t="shared" si="450"/>
        <v>11766600</v>
      </c>
      <c r="BV705" s="194">
        <f t="shared" si="451"/>
        <v>0</v>
      </c>
      <c r="BW705" s="194">
        <f t="shared" si="452"/>
        <v>0</v>
      </c>
      <c r="BX705" s="6"/>
      <c r="BY705" s="6"/>
      <c r="BZ705" s="39">
        <v>692</v>
      </c>
      <c r="CA705" s="39">
        <f t="shared" si="436"/>
        <v>2031</v>
      </c>
      <c r="CB705" s="6"/>
      <c r="CC705" s="39"/>
      <c r="CD705" s="39"/>
      <c r="CE705" s="39"/>
      <c r="CF705" s="39"/>
      <c r="CG705" s="39"/>
      <c r="CH705" s="39"/>
      <c r="CI705" s="39"/>
      <c r="CJ705" s="39"/>
      <c r="CK705" s="39"/>
    </row>
    <row r="706" spans="1:89" s="193" customFormat="1" ht="24">
      <c r="A706" s="357"/>
      <c r="B706" s="21" t="str">
        <f t="shared" si="413"/>
        <v>STW</v>
      </c>
      <c r="C706" s="21"/>
      <c r="D706" s="432" t="s">
        <v>3985</v>
      </c>
      <c r="E706" s="439" t="s">
        <v>3626</v>
      </c>
      <c r="F706" s="439" t="s">
        <v>3984</v>
      </c>
      <c r="G706" s="273" t="s">
        <v>3983</v>
      </c>
      <c r="H706" s="358" t="s">
        <v>4533</v>
      </c>
      <c r="I706" s="262" t="s">
        <v>3491</v>
      </c>
      <c r="J706" s="262" t="s">
        <v>4198</v>
      </c>
      <c r="K706" s="263">
        <v>500000</v>
      </c>
      <c r="L706" s="263">
        <v>0</v>
      </c>
      <c r="M706" s="263">
        <v>0</v>
      </c>
      <c r="N706" s="263">
        <v>0</v>
      </c>
      <c r="O706" s="263">
        <v>0</v>
      </c>
      <c r="P706" s="263">
        <v>0</v>
      </c>
      <c r="Q706" s="263">
        <v>0</v>
      </c>
      <c r="R706" s="263">
        <v>0</v>
      </c>
      <c r="S706" s="263">
        <v>0</v>
      </c>
      <c r="T706" s="263">
        <v>0</v>
      </c>
      <c r="U706" s="263">
        <f t="shared" si="441"/>
        <v>500000</v>
      </c>
      <c r="V706" s="196" t="str">
        <f t="shared" si="411"/>
        <v>G/LOS/R</v>
      </c>
      <c r="W706" s="196" t="s">
        <v>1168</v>
      </c>
      <c r="X706" s="196" t="str">
        <f t="shared" si="453"/>
        <v>Y</v>
      </c>
      <c r="Y706" s="376">
        <f t="shared" si="454"/>
        <v>500000</v>
      </c>
      <c r="Z706" s="198"/>
      <c r="AA706" s="376">
        <f t="shared" si="412"/>
        <v>500000</v>
      </c>
      <c r="AB706" s="196" t="s">
        <v>1166</v>
      </c>
      <c r="AC706" s="196" t="s">
        <v>1168</v>
      </c>
      <c r="AD706" s="275">
        <v>0.1</v>
      </c>
      <c r="AE706" s="275">
        <v>0.8</v>
      </c>
      <c r="AF706" s="275">
        <v>0.1</v>
      </c>
      <c r="AG706" s="442">
        <v>0.1</v>
      </c>
      <c r="AH706" s="442">
        <v>0.1</v>
      </c>
      <c r="AI706" s="377">
        <f t="shared" si="442"/>
        <v>0.1</v>
      </c>
      <c r="AJ706" s="688">
        <v>1</v>
      </c>
      <c r="AK706" s="203">
        <f t="shared" si="455"/>
        <v>0</v>
      </c>
      <c r="AL706" s="376">
        <f t="shared" si="443"/>
        <v>450000</v>
      </c>
      <c r="AM706" s="376">
        <f t="shared" si="444"/>
        <v>50000</v>
      </c>
      <c r="AN706" s="376">
        <f t="shared" si="445"/>
        <v>0</v>
      </c>
      <c r="AO706" s="378" t="s">
        <v>3607</v>
      </c>
      <c r="AP706" s="379" t="s">
        <v>5395</v>
      </c>
      <c r="AQ706" s="279"/>
      <c r="AR706" s="287">
        <f t="shared" si="414"/>
        <v>50000</v>
      </c>
      <c r="AS706" s="287">
        <f t="shared" si="415"/>
        <v>0</v>
      </c>
      <c r="AT706" s="287">
        <f t="shared" si="416"/>
        <v>0</v>
      </c>
      <c r="AU706" s="287">
        <f t="shared" si="417"/>
        <v>0</v>
      </c>
      <c r="AV706" s="287">
        <f t="shared" si="418"/>
        <v>0</v>
      </c>
      <c r="AW706" s="287">
        <f t="shared" si="419"/>
        <v>0</v>
      </c>
      <c r="AX706" s="287">
        <f t="shared" si="420"/>
        <v>0</v>
      </c>
      <c r="AY706" s="287">
        <f t="shared" si="421"/>
        <v>0</v>
      </c>
      <c r="AZ706" s="287">
        <f t="shared" si="422"/>
        <v>0</v>
      </c>
      <c r="BA706" s="287">
        <f t="shared" si="423"/>
        <v>0</v>
      </c>
      <c r="BB706" s="16"/>
      <c r="BC706" s="287">
        <f t="shared" si="424"/>
        <v>0</v>
      </c>
      <c r="BD706" s="287">
        <f t="shared" si="425"/>
        <v>0</v>
      </c>
      <c r="BE706" s="287">
        <f t="shared" si="426"/>
        <v>0</v>
      </c>
      <c r="BF706" s="287">
        <f t="shared" si="427"/>
        <v>0</v>
      </c>
      <c r="BG706" s="287">
        <f t="shared" si="428"/>
        <v>0</v>
      </c>
      <c r="BH706" s="287">
        <f t="shared" si="429"/>
        <v>0</v>
      </c>
      <c r="BI706" s="287">
        <f t="shared" si="430"/>
        <v>0</v>
      </c>
      <c r="BJ706" s="287">
        <f t="shared" si="431"/>
        <v>0</v>
      </c>
      <c r="BK706" s="287">
        <f t="shared" si="432"/>
        <v>0</v>
      </c>
      <c r="BL706" s="287">
        <f t="shared" si="433"/>
        <v>0</v>
      </c>
      <c r="BM706" s="16"/>
      <c r="BN706" s="287">
        <f t="shared" si="434"/>
        <v>50000</v>
      </c>
      <c r="BO706" s="287">
        <f t="shared" si="435"/>
        <v>0</v>
      </c>
      <c r="BP706" s="432"/>
      <c r="BQ706" s="21"/>
      <c r="BR706" s="21"/>
      <c r="BS706" s="6"/>
      <c r="BT706" s="194">
        <f t="shared" si="449"/>
        <v>50000</v>
      </c>
      <c r="BU706" s="194">
        <f t="shared" si="450"/>
        <v>50000</v>
      </c>
      <c r="BV706" s="194">
        <f t="shared" si="451"/>
        <v>0</v>
      </c>
      <c r="BW706" s="194">
        <f t="shared" si="452"/>
        <v>0</v>
      </c>
      <c r="BX706" s="6"/>
      <c r="BY706" s="6"/>
      <c r="BZ706" s="39">
        <v>693</v>
      </c>
      <c r="CA706" s="39">
        <f t="shared" si="436"/>
        <v>2031</v>
      </c>
      <c r="CB706" s="6"/>
      <c r="CC706" s="39"/>
      <c r="CD706" s="39"/>
      <c r="CE706" s="39"/>
      <c r="CF706" s="39"/>
      <c r="CG706" s="39"/>
      <c r="CH706" s="39"/>
      <c r="CI706" s="39"/>
      <c r="CJ706" s="39"/>
      <c r="CK706" s="39"/>
    </row>
    <row r="707" spans="1:89" s="193" customFormat="1" ht="24">
      <c r="A707" s="357"/>
      <c r="B707" s="21" t="str">
        <f t="shared" si="413"/>
        <v>STW</v>
      </c>
      <c r="C707" s="21"/>
      <c r="D707" s="432"/>
      <c r="E707" s="439" t="s">
        <v>3626</v>
      </c>
      <c r="F707" s="439" t="s">
        <v>4080</v>
      </c>
      <c r="G707" s="273" t="s">
        <v>4584</v>
      </c>
      <c r="H707" s="358" t="s">
        <v>4555</v>
      </c>
      <c r="I707" s="262" t="s">
        <v>3491</v>
      </c>
      <c r="J707" s="262" t="s">
        <v>4351</v>
      </c>
      <c r="K707" s="263">
        <v>60000</v>
      </c>
      <c r="L707" s="263">
        <v>1275000</v>
      </c>
      <c r="M707" s="263">
        <v>0</v>
      </c>
      <c r="N707" s="263">
        <v>0</v>
      </c>
      <c r="O707" s="263">
        <v>0</v>
      </c>
      <c r="P707" s="263">
        <v>0</v>
      </c>
      <c r="Q707" s="263">
        <v>0</v>
      </c>
      <c r="R707" s="263">
        <v>0</v>
      </c>
      <c r="S707" s="263">
        <v>0</v>
      </c>
      <c r="T707" s="263">
        <v>0</v>
      </c>
      <c r="U707" s="263">
        <f t="shared" si="441"/>
        <v>1335000</v>
      </c>
      <c r="V707" s="196" t="str">
        <f t="shared" si="411"/>
        <v>G/LOS/R</v>
      </c>
      <c r="W707" s="196" t="s">
        <v>1168</v>
      </c>
      <c r="X707" s="196" t="str">
        <f t="shared" si="453"/>
        <v>Y</v>
      </c>
      <c r="Y707" s="376">
        <f t="shared" si="454"/>
        <v>1335000</v>
      </c>
      <c r="Z707" s="198"/>
      <c r="AA707" s="376">
        <f t="shared" si="412"/>
        <v>1335000</v>
      </c>
      <c r="AB707" s="196" t="s">
        <v>1166</v>
      </c>
      <c r="AC707" s="196" t="s">
        <v>1168</v>
      </c>
      <c r="AD707" s="518">
        <v>0.1</v>
      </c>
      <c r="AE707" s="275">
        <v>0.45</v>
      </c>
      <c r="AF707" s="275">
        <v>0.45</v>
      </c>
      <c r="AG707" s="442">
        <v>0.1</v>
      </c>
      <c r="AH707" s="442">
        <v>0.1</v>
      </c>
      <c r="AI707" s="377">
        <f t="shared" si="442"/>
        <v>0.1</v>
      </c>
      <c r="AJ707" s="548">
        <v>1</v>
      </c>
      <c r="AK707" s="203">
        <f t="shared" si="455"/>
        <v>0</v>
      </c>
      <c r="AL707" s="376">
        <f t="shared" si="443"/>
        <v>1201500</v>
      </c>
      <c r="AM707" s="376">
        <f t="shared" si="444"/>
        <v>133500</v>
      </c>
      <c r="AN707" s="376">
        <f t="shared" si="445"/>
        <v>0</v>
      </c>
      <c r="AO707" s="378" t="s">
        <v>3607</v>
      </c>
      <c r="AP707" s="379" t="s">
        <v>5418</v>
      </c>
      <c r="AQ707" s="279"/>
      <c r="AR707" s="287">
        <f t="shared" si="414"/>
        <v>6000</v>
      </c>
      <c r="AS707" s="287">
        <f t="shared" si="415"/>
        <v>127500</v>
      </c>
      <c r="AT707" s="287">
        <f t="shared" si="416"/>
        <v>0</v>
      </c>
      <c r="AU707" s="287">
        <f t="shared" si="417"/>
        <v>0</v>
      </c>
      <c r="AV707" s="287">
        <f t="shared" si="418"/>
        <v>0</v>
      </c>
      <c r="AW707" s="287">
        <f t="shared" si="419"/>
        <v>0</v>
      </c>
      <c r="AX707" s="287">
        <f t="shared" si="420"/>
        <v>0</v>
      </c>
      <c r="AY707" s="287">
        <f t="shared" si="421"/>
        <v>0</v>
      </c>
      <c r="AZ707" s="287">
        <f t="shared" si="422"/>
        <v>0</v>
      </c>
      <c r="BA707" s="287">
        <f t="shared" si="423"/>
        <v>0</v>
      </c>
      <c r="BB707" s="16"/>
      <c r="BC707" s="287">
        <f t="shared" si="424"/>
        <v>0</v>
      </c>
      <c r="BD707" s="287">
        <f t="shared" si="425"/>
        <v>0</v>
      </c>
      <c r="BE707" s="287">
        <f t="shared" si="426"/>
        <v>0</v>
      </c>
      <c r="BF707" s="287">
        <f t="shared" si="427"/>
        <v>0</v>
      </c>
      <c r="BG707" s="287">
        <f t="shared" si="428"/>
        <v>0</v>
      </c>
      <c r="BH707" s="287">
        <f t="shared" si="429"/>
        <v>0</v>
      </c>
      <c r="BI707" s="287">
        <f t="shared" si="430"/>
        <v>0</v>
      </c>
      <c r="BJ707" s="287">
        <f t="shared" si="431"/>
        <v>0</v>
      </c>
      <c r="BK707" s="287">
        <f t="shared" si="432"/>
        <v>0</v>
      </c>
      <c r="BL707" s="287">
        <f t="shared" si="433"/>
        <v>0</v>
      </c>
      <c r="BM707" s="16"/>
      <c r="BN707" s="287">
        <f t="shared" si="434"/>
        <v>133500</v>
      </c>
      <c r="BO707" s="287">
        <f t="shared" si="435"/>
        <v>0</v>
      </c>
      <c r="BP707" s="432"/>
      <c r="BQ707" s="21"/>
      <c r="BR707" s="21"/>
      <c r="BS707" s="6"/>
      <c r="BT707" s="194">
        <f t="shared" si="449"/>
        <v>133500</v>
      </c>
      <c r="BU707" s="194">
        <f t="shared" si="450"/>
        <v>133500</v>
      </c>
      <c r="BV707" s="194">
        <f t="shared" si="451"/>
        <v>0</v>
      </c>
      <c r="BW707" s="194">
        <f t="shared" si="452"/>
        <v>0</v>
      </c>
      <c r="BX707" s="6"/>
      <c r="BY707" s="6"/>
      <c r="BZ707" s="39">
        <v>694</v>
      </c>
      <c r="CA707" s="39">
        <f t="shared" si="436"/>
        <v>2031</v>
      </c>
      <c r="CB707" s="6"/>
      <c r="CC707" s="39"/>
      <c r="CD707" s="39"/>
      <c r="CE707" s="39"/>
      <c r="CF707" s="39"/>
      <c r="CG707" s="39"/>
      <c r="CH707" s="39"/>
      <c r="CI707" s="39"/>
      <c r="CJ707" s="39"/>
      <c r="CK707" s="39"/>
    </row>
    <row r="708" spans="1:89" s="193" customFormat="1" ht="24">
      <c r="A708" s="357"/>
      <c r="B708" s="21" t="str">
        <f t="shared" si="413"/>
        <v>STW</v>
      </c>
      <c r="C708" s="21"/>
      <c r="D708" s="432"/>
      <c r="E708" s="439" t="s">
        <v>3626</v>
      </c>
      <c r="F708" s="439" t="s">
        <v>4181</v>
      </c>
      <c r="G708" s="273" t="s">
        <v>4182</v>
      </c>
      <c r="H708" s="358" t="s">
        <v>4509</v>
      </c>
      <c r="I708" s="262" t="s">
        <v>3491</v>
      </c>
      <c r="J708" s="262" t="s">
        <v>4198</v>
      </c>
      <c r="K708" s="263">
        <v>10000</v>
      </c>
      <c r="L708" s="263">
        <v>90000</v>
      </c>
      <c r="M708" s="263">
        <v>0</v>
      </c>
      <c r="N708" s="263">
        <v>0</v>
      </c>
      <c r="O708" s="263">
        <v>0</v>
      </c>
      <c r="P708" s="263">
        <v>0</v>
      </c>
      <c r="Q708" s="263">
        <v>0</v>
      </c>
      <c r="R708" s="263">
        <v>0</v>
      </c>
      <c r="S708" s="263">
        <v>0</v>
      </c>
      <c r="T708" s="263">
        <v>0</v>
      </c>
      <c r="U708" s="263">
        <f t="shared" si="441"/>
        <v>100000</v>
      </c>
      <c r="V708" s="196" t="str">
        <f t="shared" si="411"/>
        <v>G/LOS/R</v>
      </c>
      <c r="W708" s="196" t="s">
        <v>1168</v>
      </c>
      <c r="X708" s="196" t="str">
        <f t="shared" si="453"/>
        <v>Y</v>
      </c>
      <c r="Y708" s="376">
        <f t="shared" si="454"/>
        <v>100000</v>
      </c>
      <c r="Z708" s="198"/>
      <c r="AA708" s="376">
        <f t="shared" si="412"/>
        <v>100000</v>
      </c>
      <c r="AB708" s="196" t="s">
        <v>1166</v>
      </c>
      <c r="AC708" s="196" t="s">
        <v>1168</v>
      </c>
      <c r="AD708" s="275">
        <v>0.3</v>
      </c>
      <c r="AE708" s="275">
        <v>0.65</v>
      </c>
      <c r="AF708" s="275">
        <v>0.05</v>
      </c>
      <c r="AG708" s="442">
        <v>0.3</v>
      </c>
      <c r="AH708" s="442">
        <v>0.3</v>
      </c>
      <c r="AI708" s="377">
        <f t="shared" si="442"/>
        <v>0.3</v>
      </c>
      <c r="AJ708" s="548">
        <v>1</v>
      </c>
      <c r="AK708" s="203">
        <f t="shared" si="455"/>
        <v>0</v>
      </c>
      <c r="AL708" s="376">
        <f t="shared" si="443"/>
        <v>70000</v>
      </c>
      <c r="AM708" s="376">
        <f t="shared" si="444"/>
        <v>30000</v>
      </c>
      <c r="AN708" s="376">
        <f t="shared" si="445"/>
        <v>0</v>
      </c>
      <c r="AO708" s="378" t="s">
        <v>3607</v>
      </c>
      <c r="AP708" s="379" t="s">
        <v>5395</v>
      </c>
      <c r="AQ708" s="279"/>
      <c r="AR708" s="287">
        <f t="shared" si="414"/>
        <v>3000</v>
      </c>
      <c r="AS708" s="287">
        <f t="shared" si="415"/>
        <v>27000</v>
      </c>
      <c r="AT708" s="287">
        <f t="shared" si="416"/>
        <v>0</v>
      </c>
      <c r="AU708" s="287">
        <f t="shared" si="417"/>
        <v>0</v>
      </c>
      <c r="AV708" s="287">
        <f t="shared" si="418"/>
        <v>0</v>
      </c>
      <c r="AW708" s="287">
        <f t="shared" si="419"/>
        <v>0</v>
      </c>
      <c r="AX708" s="287">
        <f t="shared" si="420"/>
        <v>0</v>
      </c>
      <c r="AY708" s="287">
        <f t="shared" si="421"/>
        <v>0</v>
      </c>
      <c r="AZ708" s="287">
        <f t="shared" si="422"/>
        <v>0</v>
      </c>
      <c r="BA708" s="287">
        <f t="shared" si="423"/>
        <v>0</v>
      </c>
      <c r="BB708" s="16"/>
      <c r="BC708" s="287">
        <f t="shared" si="424"/>
        <v>0</v>
      </c>
      <c r="BD708" s="287">
        <f t="shared" si="425"/>
        <v>0</v>
      </c>
      <c r="BE708" s="287">
        <f t="shared" si="426"/>
        <v>0</v>
      </c>
      <c r="BF708" s="287">
        <f t="shared" si="427"/>
        <v>0</v>
      </c>
      <c r="BG708" s="287">
        <f t="shared" si="428"/>
        <v>0</v>
      </c>
      <c r="BH708" s="287">
        <f t="shared" si="429"/>
        <v>0</v>
      </c>
      <c r="BI708" s="287">
        <f t="shared" si="430"/>
        <v>0</v>
      </c>
      <c r="BJ708" s="287">
        <f t="shared" si="431"/>
        <v>0</v>
      </c>
      <c r="BK708" s="287">
        <f t="shared" si="432"/>
        <v>0</v>
      </c>
      <c r="BL708" s="287">
        <f t="shared" si="433"/>
        <v>0</v>
      </c>
      <c r="BM708" s="16"/>
      <c r="BN708" s="287">
        <f t="shared" si="434"/>
        <v>30000</v>
      </c>
      <c r="BO708" s="287">
        <f t="shared" si="435"/>
        <v>0</v>
      </c>
      <c r="BP708" s="432"/>
      <c r="BQ708" s="21"/>
      <c r="BR708" s="21"/>
      <c r="BS708" s="6"/>
      <c r="BT708" s="194">
        <f t="shared" si="449"/>
        <v>30000</v>
      </c>
      <c r="BU708" s="194">
        <f t="shared" si="450"/>
        <v>30000</v>
      </c>
      <c r="BV708" s="194">
        <f t="shared" si="451"/>
        <v>0</v>
      </c>
      <c r="BW708" s="194">
        <f t="shared" si="452"/>
        <v>0</v>
      </c>
      <c r="BX708" s="6"/>
      <c r="BY708" s="6"/>
      <c r="BZ708" s="39">
        <v>695</v>
      </c>
      <c r="CA708" s="39">
        <f t="shared" si="436"/>
        <v>2031</v>
      </c>
      <c r="CB708" s="6"/>
      <c r="CC708" s="39"/>
      <c r="CD708" s="39"/>
      <c r="CE708" s="39"/>
      <c r="CF708" s="39"/>
      <c r="CG708" s="39"/>
      <c r="CH708" s="39"/>
      <c r="CI708" s="39"/>
      <c r="CJ708" s="39"/>
      <c r="CK708" s="39"/>
    </row>
    <row r="709" spans="1:89" s="193" customFormat="1">
      <c r="A709" s="357"/>
      <c r="B709" s="21" t="str">
        <f t="shared" si="413"/>
        <v>STW</v>
      </c>
      <c r="C709" s="21"/>
      <c r="D709" s="432" t="s">
        <v>3933</v>
      </c>
      <c r="E709" s="439" t="s">
        <v>3626</v>
      </c>
      <c r="F709" s="439" t="s">
        <v>3942</v>
      </c>
      <c r="G709" s="273" t="s">
        <v>4596</v>
      </c>
      <c r="H709" s="358" t="s">
        <v>4517</v>
      </c>
      <c r="I709" s="262" t="s">
        <v>3491</v>
      </c>
      <c r="J709" s="262" t="s">
        <v>4190</v>
      </c>
      <c r="K709" s="263">
        <v>174000</v>
      </c>
      <c r="L709" s="263">
        <v>0</v>
      </c>
      <c r="M709" s="263">
        <v>0</v>
      </c>
      <c r="N709" s="263">
        <v>0</v>
      </c>
      <c r="O709" s="263">
        <v>0</v>
      </c>
      <c r="P709" s="263">
        <v>0</v>
      </c>
      <c r="Q709" s="263">
        <v>0</v>
      </c>
      <c r="R709" s="263">
        <v>0</v>
      </c>
      <c r="S709" s="263">
        <v>0</v>
      </c>
      <c r="T709" s="263">
        <v>0</v>
      </c>
      <c r="U709" s="263">
        <f t="shared" si="441"/>
        <v>174000</v>
      </c>
      <c r="V709" s="196" t="str">
        <f t="shared" si="411"/>
        <v>G/LOS/R</v>
      </c>
      <c r="W709" s="196" t="s">
        <v>1168</v>
      </c>
      <c r="X709" s="196" t="str">
        <f t="shared" si="453"/>
        <v>Y</v>
      </c>
      <c r="Y709" s="376">
        <f t="shared" si="454"/>
        <v>174000</v>
      </c>
      <c r="Z709" s="198"/>
      <c r="AA709" s="376">
        <f t="shared" si="412"/>
        <v>174000</v>
      </c>
      <c r="AB709" s="196" t="s">
        <v>1166</v>
      </c>
      <c r="AC709" s="196" t="s">
        <v>1168</v>
      </c>
      <c r="AD709" s="518">
        <v>0.1</v>
      </c>
      <c r="AE709" s="275">
        <v>0.1</v>
      </c>
      <c r="AF709" s="275">
        <v>0.8</v>
      </c>
      <c r="AG709" s="442">
        <v>0.1</v>
      </c>
      <c r="AH709" s="442">
        <v>0.1</v>
      </c>
      <c r="AI709" s="377">
        <f t="shared" si="442"/>
        <v>0.1</v>
      </c>
      <c r="AJ709" s="548">
        <v>1</v>
      </c>
      <c r="AK709" s="203">
        <f t="shared" si="455"/>
        <v>0</v>
      </c>
      <c r="AL709" s="376">
        <f t="shared" si="443"/>
        <v>156600</v>
      </c>
      <c r="AM709" s="376">
        <f t="shared" si="444"/>
        <v>17400</v>
      </c>
      <c r="AN709" s="376">
        <f t="shared" si="445"/>
        <v>0</v>
      </c>
      <c r="AO709" s="378" t="s">
        <v>3607</v>
      </c>
      <c r="AP709" s="379" t="s">
        <v>5394</v>
      </c>
      <c r="AQ709" s="279"/>
      <c r="AR709" s="287">
        <f t="shared" si="414"/>
        <v>17400</v>
      </c>
      <c r="AS709" s="287">
        <f t="shared" si="415"/>
        <v>0</v>
      </c>
      <c r="AT709" s="287">
        <f t="shared" si="416"/>
        <v>0</v>
      </c>
      <c r="AU709" s="287">
        <f t="shared" si="417"/>
        <v>0</v>
      </c>
      <c r="AV709" s="287">
        <f t="shared" si="418"/>
        <v>0</v>
      </c>
      <c r="AW709" s="287">
        <f t="shared" si="419"/>
        <v>0</v>
      </c>
      <c r="AX709" s="287">
        <f t="shared" si="420"/>
        <v>0</v>
      </c>
      <c r="AY709" s="287">
        <f t="shared" si="421"/>
        <v>0</v>
      </c>
      <c r="AZ709" s="287">
        <f t="shared" si="422"/>
        <v>0</v>
      </c>
      <c r="BA709" s="287">
        <f t="shared" si="423"/>
        <v>0</v>
      </c>
      <c r="BB709" s="16"/>
      <c r="BC709" s="287">
        <f t="shared" si="424"/>
        <v>0</v>
      </c>
      <c r="BD709" s="287">
        <f t="shared" si="425"/>
        <v>0</v>
      </c>
      <c r="BE709" s="287">
        <f t="shared" si="426"/>
        <v>0</v>
      </c>
      <c r="BF709" s="287">
        <f t="shared" si="427"/>
        <v>0</v>
      </c>
      <c r="BG709" s="287">
        <f t="shared" si="428"/>
        <v>0</v>
      </c>
      <c r="BH709" s="287">
        <f t="shared" si="429"/>
        <v>0</v>
      </c>
      <c r="BI709" s="287">
        <f t="shared" si="430"/>
        <v>0</v>
      </c>
      <c r="BJ709" s="287">
        <f t="shared" si="431"/>
        <v>0</v>
      </c>
      <c r="BK709" s="287">
        <f t="shared" si="432"/>
        <v>0</v>
      </c>
      <c r="BL709" s="287">
        <f t="shared" si="433"/>
        <v>0</v>
      </c>
      <c r="BM709" s="16"/>
      <c r="BN709" s="287">
        <f t="shared" si="434"/>
        <v>17400</v>
      </c>
      <c r="BO709" s="287">
        <f t="shared" si="435"/>
        <v>0</v>
      </c>
      <c r="BP709" s="432"/>
      <c r="BQ709" s="21"/>
      <c r="BR709" s="21"/>
      <c r="BS709" s="6"/>
      <c r="BT709" s="194">
        <f t="shared" si="449"/>
        <v>17400</v>
      </c>
      <c r="BU709" s="194">
        <f t="shared" si="450"/>
        <v>17400</v>
      </c>
      <c r="BV709" s="194">
        <f t="shared" si="451"/>
        <v>0</v>
      </c>
      <c r="BW709" s="194">
        <f t="shared" si="452"/>
        <v>0</v>
      </c>
      <c r="BX709" s="6"/>
      <c r="BY709" s="6"/>
      <c r="BZ709" s="39">
        <v>696</v>
      </c>
      <c r="CA709" s="39">
        <f t="shared" si="436"/>
        <v>2031</v>
      </c>
      <c r="CB709" s="6"/>
      <c r="CC709" s="39"/>
      <c r="CD709" s="39"/>
      <c r="CE709" s="39"/>
      <c r="CF709" s="39"/>
      <c r="CG709" s="39"/>
      <c r="CH709" s="39"/>
      <c r="CI709" s="39"/>
      <c r="CJ709" s="39"/>
      <c r="CK709" s="39"/>
    </row>
    <row r="710" spans="1:89" s="193" customFormat="1">
      <c r="A710" s="357"/>
      <c r="B710" s="21" t="str">
        <f t="shared" si="413"/>
        <v>STW</v>
      </c>
      <c r="C710" s="21"/>
      <c r="D710" s="432"/>
      <c r="E710" s="439" t="s">
        <v>3626</v>
      </c>
      <c r="F710" s="439" t="s">
        <v>4160</v>
      </c>
      <c r="G710" s="273" t="s">
        <v>4343</v>
      </c>
      <c r="H710" s="358" t="s">
        <v>4516</v>
      </c>
      <c r="I710" s="262" t="s">
        <v>3491</v>
      </c>
      <c r="J710" s="262" t="s">
        <v>4190</v>
      </c>
      <c r="K710" s="263">
        <v>12000</v>
      </c>
      <c r="L710" s="263">
        <v>12000</v>
      </c>
      <c r="M710" s="263">
        <v>210000</v>
      </c>
      <c r="N710" s="263">
        <v>6000</v>
      </c>
      <c r="O710" s="263">
        <v>0</v>
      </c>
      <c r="P710" s="263">
        <v>0</v>
      </c>
      <c r="Q710" s="263">
        <v>0</v>
      </c>
      <c r="R710" s="263">
        <v>0</v>
      </c>
      <c r="S710" s="263">
        <v>0</v>
      </c>
      <c r="T710" s="263">
        <v>0</v>
      </c>
      <c r="U710" s="263">
        <f t="shared" si="441"/>
        <v>240000</v>
      </c>
      <c r="V710" s="196" t="str">
        <f t="shared" si="411"/>
        <v>G/LOS/R</v>
      </c>
      <c r="W710" s="196" t="s">
        <v>1168</v>
      </c>
      <c r="X710" s="196" t="str">
        <f t="shared" si="453"/>
        <v>Y</v>
      </c>
      <c r="Y710" s="376">
        <f t="shared" si="454"/>
        <v>240000</v>
      </c>
      <c r="Z710" s="198"/>
      <c r="AA710" s="376">
        <f t="shared" si="412"/>
        <v>240000</v>
      </c>
      <c r="AB710" s="196" t="s">
        <v>1166</v>
      </c>
      <c r="AC710" s="196" t="s">
        <v>1168</v>
      </c>
      <c r="AD710" s="275">
        <v>0.3</v>
      </c>
      <c r="AE710" s="275">
        <v>0.65</v>
      </c>
      <c r="AF710" s="275">
        <v>0.05</v>
      </c>
      <c r="AG710" s="442">
        <v>0.3</v>
      </c>
      <c r="AH710" s="442">
        <v>0.3</v>
      </c>
      <c r="AI710" s="377">
        <f t="shared" si="442"/>
        <v>0.3</v>
      </c>
      <c r="AJ710" s="548">
        <v>1</v>
      </c>
      <c r="AK710" s="203">
        <f t="shared" si="455"/>
        <v>0</v>
      </c>
      <c r="AL710" s="376">
        <f t="shared" si="443"/>
        <v>168000</v>
      </c>
      <c r="AM710" s="376">
        <f t="shared" si="444"/>
        <v>72000</v>
      </c>
      <c r="AN710" s="376">
        <f t="shared" si="445"/>
        <v>0</v>
      </c>
      <c r="AO710" s="378" t="s">
        <v>3607</v>
      </c>
      <c r="AP710" s="379" t="s">
        <v>5394</v>
      </c>
      <c r="AQ710" s="279"/>
      <c r="AR710" s="287">
        <f t="shared" si="414"/>
        <v>3600</v>
      </c>
      <c r="AS710" s="287">
        <f t="shared" si="415"/>
        <v>3600</v>
      </c>
      <c r="AT710" s="287">
        <f t="shared" si="416"/>
        <v>63000</v>
      </c>
      <c r="AU710" s="287">
        <f t="shared" si="417"/>
        <v>1800</v>
      </c>
      <c r="AV710" s="287">
        <f t="shared" si="418"/>
        <v>0</v>
      </c>
      <c r="AW710" s="287">
        <f t="shared" si="419"/>
        <v>0</v>
      </c>
      <c r="AX710" s="287">
        <f t="shared" si="420"/>
        <v>0</v>
      </c>
      <c r="AY710" s="287">
        <f t="shared" si="421"/>
        <v>0</v>
      </c>
      <c r="AZ710" s="287">
        <f t="shared" si="422"/>
        <v>0</v>
      </c>
      <c r="BA710" s="287">
        <f t="shared" si="423"/>
        <v>0</v>
      </c>
      <c r="BB710" s="16"/>
      <c r="BC710" s="287">
        <f t="shared" si="424"/>
        <v>0</v>
      </c>
      <c r="BD710" s="287">
        <f t="shared" si="425"/>
        <v>0</v>
      </c>
      <c r="BE710" s="287">
        <f t="shared" si="426"/>
        <v>0</v>
      </c>
      <c r="BF710" s="287">
        <f t="shared" si="427"/>
        <v>0</v>
      </c>
      <c r="BG710" s="287">
        <f t="shared" si="428"/>
        <v>0</v>
      </c>
      <c r="BH710" s="287">
        <f t="shared" si="429"/>
        <v>0</v>
      </c>
      <c r="BI710" s="287">
        <f t="shared" si="430"/>
        <v>0</v>
      </c>
      <c r="BJ710" s="287">
        <f t="shared" si="431"/>
        <v>0</v>
      </c>
      <c r="BK710" s="287">
        <f t="shared" si="432"/>
        <v>0</v>
      </c>
      <c r="BL710" s="287">
        <f t="shared" si="433"/>
        <v>0</v>
      </c>
      <c r="BM710" s="16"/>
      <c r="BN710" s="287">
        <f t="shared" si="434"/>
        <v>72000</v>
      </c>
      <c r="BO710" s="287">
        <f t="shared" si="435"/>
        <v>0</v>
      </c>
      <c r="BP710" s="432"/>
      <c r="BQ710" s="21"/>
      <c r="BR710" s="21"/>
      <c r="BS710" s="6"/>
      <c r="BT710" s="194">
        <f t="shared" si="449"/>
        <v>72000</v>
      </c>
      <c r="BU710" s="194">
        <f t="shared" si="450"/>
        <v>72000</v>
      </c>
      <c r="BV710" s="194">
        <f t="shared" si="451"/>
        <v>0</v>
      </c>
      <c r="BW710" s="194">
        <f t="shared" si="452"/>
        <v>0</v>
      </c>
      <c r="BX710" s="6"/>
      <c r="BY710" s="6"/>
      <c r="BZ710" s="39">
        <v>697</v>
      </c>
      <c r="CA710" s="39">
        <f t="shared" si="436"/>
        <v>2031</v>
      </c>
      <c r="CB710" s="6"/>
      <c r="CC710" s="39"/>
      <c r="CD710" s="39"/>
      <c r="CE710" s="39"/>
      <c r="CF710" s="39"/>
      <c r="CG710" s="39"/>
      <c r="CH710" s="39"/>
      <c r="CI710" s="39"/>
      <c r="CJ710" s="39"/>
      <c r="CK710" s="39"/>
    </row>
    <row r="711" spans="1:89" s="193" customFormat="1">
      <c r="A711" s="357"/>
      <c r="B711" s="21" t="str">
        <f t="shared" si="413"/>
        <v>STW</v>
      </c>
      <c r="C711" s="21"/>
      <c r="D711" s="432"/>
      <c r="E711" s="439" t="s">
        <v>3626</v>
      </c>
      <c r="F711" s="439" t="s">
        <v>4160</v>
      </c>
      <c r="G711" s="273" t="s">
        <v>4342</v>
      </c>
      <c r="H711" s="358" t="s">
        <v>4516</v>
      </c>
      <c r="I711" s="262" t="s">
        <v>3491</v>
      </c>
      <c r="J711" s="262" t="s">
        <v>4198</v>
      </c>
      <c r="K711" s="263">
        <v>28000</v>
      </c>
      <c r="L711" s="263">
        <v>28000</v>
      </c>
      <c r="M711" s="263">
        <v>489999.99999999994</v>
      </c>
      <c r="N711" s="263">
        <v>14000</v>
      </c>
      <c r="O711" s="263">
        <v>0</v>
      </c>
      <c r="P711" s="263">
        <v>0</v>
      </c>
      <c r="Q711" s="263">
        <v>0</v>
      </c>
      <c r="R711" s="263">
        <v>0</v>
      </c>
      <c r="S711" s="263">
        <v>0</v>
      </c>
      <c r="T711" s="263">
        <v>0</v>
      </c>
      <c r="U711" s="263">
        <f t="shared" si="441"/>
        <v>560000</v>
      </c>
      <c r="V711" s="196" t="str">
        <f t="shared" si="411"/>
        <v>G/LOS/R</v>
      </c>
      <c r="W711" s="196" t="s">
        <v>1168</v>
      </c>
      <c r="X711" s="196" t="str">
        <f t="shared" si="453"/>
        <v>Y</v>
      </c>
      <c r="Y711" s="376">
        <f t="shared" si="454"/>
        <v>560000</v>
      </c>
      <c r="Z711" s="198"/>
      <c r="AA711" s="376">
        <f t="shared" si="412"/>
        <v>560000</v>
      </c>
      <c r="AB711" s="196" t="s">
        <v>1166</v>
      </c>
      <c r="AC711" s="196" t="s">
        <v>1168</v>
      </c>
      <c r="AD711" s="275">
        <v>0.3</v>
      </c>
      <c r="AE711" s="275">
        <v>0.65</v>
      </c>
      <c r="AF711" s="275">
        <v>0.05</v>
      </c>
      <c r="AG711" s="442">
        <v>0.3</v>
      </c>
      <c r="AH711" s="442">
        <v>0.3</v>
      </c>
      <c r="AI711" s="377">
        <f t="shared" si="442"/>
        <v>0.3</v>
      </c>
      <c r="AJ711" s="548">
        <v>1</v>
      </c>
      <c r="AK711" s="203">
        <f t="shared" si="455"/>
        <v>0</v>
      </c>
      <c r="AL711" s="376">
        <f t="shared" si="443"/>
        <v>392000</v>
      </c>
      <c r="AM711" s="376">
        <f t="shared" si="444"/>
        <v>168000</v>
      </c>
      <c r="AN711" s="376">
        <f t="shared" si="445"/>
        <v>0</v>
      </c>
      <c r="AO711" s="378" t="s">
        <v>3607</v>
      </c>
      <c r="AP711" s="379" t="s">
        <v>5395</v>
      </c>
      <c r="AQ711" s="279"/>
      <c r="AR711" s="287">
        <f t="shared" si="414"/>
        <v>8400</v>
      </c>
      <c r="AS711" s="287">
        <f t="shared" si="415"/>
        <v>8400</v>
      </c>
      <c r="AT711" s="287">
        <f t="shared" si="416"/>
        <v>146999.99999999997</v>
      </c>
      <c r="AU711" s="287">
        <f t="shared" si="417"/>
        <v>4200</v>
      </c>
      <c r="AV711" s="287">
        <f t="shared" si="418"/>
        <v>0</v>
      </c>
      <c r="AW711" s="287">
        <f t="shared" si="419"/>
        <v>0</v>
      </c>
      <c r="AX711" s="287">
        <f t="shared" si="420"/>
        <v>0</v>
      </c>
      <c r="AY711" s="287">
        <f t="shared" si="421"/>
        <v>0</v>
      </c>
      <c r="AZ711" s="287">
        <f t="shared" si="422"/>
        <v>0</v>
      </c>
      <c r="BA711" s="287">
        <f t="shared" si="423"/>
        <v>0</v>
      </c>
      <c r="BB711" s="16"/>
      <c r="BC711" s="287">
        <f t="shared" si="424"/>
        <v>0</v>
      </c>
      <c r="BD711" s="287">
        <f t="shared" si="425"/>
        <v>0</v>
      </c>
      <c r="BE711" s="287">
        <f t="shared" si="426"/>
        <v>0</v>
      </c>
      <c r="BF711" s="287">
        <f t="shared" si="427"/>
        <v>0</v>
      </c>
      <c r="BG711" s="287">
        <f t="shared" si="428"/>
        <v>0</v>
      </c>
      <c r="BH711" s="287">
        <f t="shared" si="429"/>
        <v>0</v>
      </c>
      <c r="BI711" s="287">
        <f t="shared" si="430"/>
        <v>0</v>
      </c>
      <c r="BJ711" s="287">
        <f t="shared" si="431"/>
        <v>0</v>
      </c>
      <c r="BK711" s="287">
        <f t="shared" si="432"/>
        <v>0</v>
      </c>
      <c r="BL711" s="287">
        <f t="shared" si="433"/>
        <v>0</v>
      </c>
      <c r="BM711" s="16"/>
      <c r="BN711" s="287">
        <f t="shared" si="434"/>
        <v>167999.99999999997</v>
      </c>
      <c r="BO711" s="287">
        <f t="shared" si="435"/>
        <v>0</v>
      </c>
      <c r="BP711" s="432"/>
      <c r="BQ711" s="21"/>
      <c r="BR711" s="21"/>
      <c r="BS711" s="6"/>
      <c r="BT711" s="194">
        <f t="shared" si="449"/>
        <v>167999.99999999997</v>
      </c>
      <c r="BU711" s="194">
        <f t="shared" si="450"/>
        <v>168000</v>
      </c>
      <c r="BV711" s="194">
        <f t="shared" si="451"/>
        <v>0</v>
      </c>
      <c r="BW711" s="194">
        <f t="shared" si="452"/>
        <v>-2.9103830456733704E-11</v>
      </c>
      <c r="BX711" s="6"/>
      <c r="BY711" s="6"/>
      <c r="BZ711" s="39">
        <v>698</v>
      </c>
      <c r="CA711" s="39">
        <f t="shared" si="436"/>
        <v>2031</v>
      </c>
      <c r="CB711" s="6"/>
      <c r="CC711" s="39"/>
      <c r="CD711" s="39"/>
      <c r="CE711" s="39"/>
      <c r="CF711" s="39"/>
      <c r="CG711" s="39"/>
      <c r="CH711" s="39"/>
      <c r="CI711" s="39"/>
      <c r="CJ711" s="39"/>
      <c r="CK711" s="39"/>
    </row>
    <row r="712" spans="1:89" s="193" customFormat="1" ht="24">
      <c r="A712" s="357"/>
      <c r="B712" s="21" t="str">
        <f t="shared" si="413"/>
        <v>STW</v>
      </c>
      <c r="C712" s="21"/>
      <c r="D712" s="432"/>
      <c r="E712" s="439" t="s">
        <v>3626</v>
      </c>
      <c r="F712" s="439" t="s">
        <v>3996</v>
      </c>
      <c r="G712" s="273" t="s">
        <v>3995</v>
      </c>
      <c r="H712" s="358" t="s">
        <v>4613</v>
      </c>
      <c r="I712" s="262" t="s">
        <v>3491</v>
      </c>
      <c r="J712" s="262" t="s">
        <v>4201</v>
      </c>
      <c r="K712" s="263">
        <v>63000</v>
      </c>
      <c r="L712" s="263">
        <v>0</v>
      </c>
      <c r="M712" s="263">
        <v>0</v>
      </c>
      <c r="N712" s="263">
        <v>0</v>
      </c>
      <c r="O712" s="263">
        <v>0</v>
      </c>
      <c r="P712" s="263">
        <v>0</v>
      </c>
      <c r="Q712" s="263">
        <v>0</v>
      </c>
      <c r="R712" s="263">
        <v>0</v>
      </c>
      <c r="S712" s="263">
        <v>0</v>
      </c>
      <c r="T712" s="263">
        <v>0</v>
      </c>
      <c r="U712" s="263">
        <f t="shared" si="441"/>
        <v>63000</v>
      </c>
      <c r="V712" s="196" t="str">
        <f t="shared" si="411"/>
        <v>G/LOS/R</v>
      </c>
      <c r="W712" s="196" t="s">
        <v>1168</v>
      </c>
      <c r="X712" s="196" t="str">
        <f t="shared" si="453"/>
        <v>Y</v>
      </c>
      <c r="Y712" s="376">
        <f t="shared" si="454"/>
        <v>63000</v>
      </c>
      <c r="Z712" s="198"/>
      <c r="AA712" s="376">
        <f t="shared" si="412"/>
        <v>63000</v>
      </c>
      <c r="AB712" s="196" t="s">
        <v>1166</v>
      </c>
      <c r="AC712" s="196" t="s">
        <v>1168</v>
      </c>
      <c r="AD712" s="275">
        <v>0.1</v>
      </c>
      <c r="AE712" s="275">
        <v>0.1</v>
      </c>
      <c r="AF712" s="275">
        <v>0.8</v>
      </c>
      <c r="AG712" s="442">
        <v>0.1</v>
      </c>
      <c r="AH712" s="442">
        <v>0.1</v>
      </c>
      <c r="AI712" s="377">
        <f t="shared" si="442"/>
        <v>0.1</v>
      </c>
      <c r="AJ712" s="548">
        <v>1</v>
      </c>
      <c r="AK712" s="203">
        <f t="shared" si="455"/>
        <v>0</v>
      </c>
      <c r="AL712" s="376">
        <f t="shared" si="443"/>
        <v>56700</v>
      </c>
      <c r="AM712" s="376">
        <f t="shared" si="444"/>
        <v>6300</v>
      </c>
      <c r="AN712" s="376">
        <f t="shared" si="445"/>
        <v>0</v>
      </c>
      <c r="AO712" s="378" t="s">
        <v>3607</v>
      </c>
      <c r="AP712" s="379" t="s">
        <v>5403</v>
      </c>
      <c r="AQ712" s="279"/>
      <c r="AR712" s="287">
        <f t="shared" si="414"/>
        <v>6300</v>
      </c>
      <c r="AS712" s="287">
        <f t="shared" si="415"/>
        <v>0</v>
      </c>
      <c r="AT712" s="287">
        <f t="shared" si="416"/>
        <v>0</v>
      </c>
      <c r="AU712" s="287">
        <f t="shared" si="417"/>
        <v>0</v>
      </c>
      <c r="AV712" s="287">
        <f t="shared" si="418"/>
        <v>0</v>
      </c>
      <c r="AW712" s="287">
        <f t="shared" si="419"/>
        <v>0</v>
      </c>
      <c r="AX712" s="287">
        <f t="shared" si="420"/>
        <v>0</v>
      </c>
      <c r="AY712" s="287">
        <f t="shared" si="421"/>
        <v>0</v>
      </c>
      <c r="AZ712" s="287">
        <f t="shared" si="422"/>
        <v>0</v>
      </c>
      <c r="BA712" s="287">
        <f t="shared" si="423"/>
        <v>0</v>
      </c>
      <c r="BB712" s="16"/>
      <c r="BC712" s="287">
        <f t="shared" si="424"/>
        <v>0</v>
      </c>
      <c r="BD712" s="287">
        <f t="shared" si="425"/>
        <v>0</v>
      </c>
      <c r="BE712" s="287">
        <f t="shared" si="426"/>
        <v>0</v>
      </c>
      <c r="BF712" s="287">
        <f t="shared" si="427"/>
        <v>0</v>
      </c>
      <c r="BG712" s="287">
        <f t="shared" si="428"/>
        <v>0</v>
      </c>
      <c r="BH712" s="287">
        <f t="shared" si="429"/>
        <v>0</v>
      </c>
      <c r="BI712" s="287">
        <f t="shared" si="430"/>
        <v>0</v>
      </c>
      <c r="BJ712" s="287">
        <f t="shared" si="431"/>
        <v>0</v>
      </c>
      <c r="BK712" s="287">
        <f t="shared" si="432"/>
        <v>0</v>
      </c>
      <c r="BL712" s="287">
        <f t="shared" si="433"/>
        <v>0</v>
      </c>
      <c r="BM712" s="16"/>
      <c r="BN712" s="287">
        <f t="shared" si="434"/>
        <v>6300</v>
      </c>
      <c r="BO712" s="287">
        <f t="shared" si="435"/>
        <v>0</v>
      </c>
      <c r="BP712" s="432"/>
      <c r="BQ712" s="21"/>
      <c r="BR712" s="21"/>
      <c r="BS712" s="6"/>
      <c r="BT712" s="194">
        <f t="shared" si="449"/>
        <v>6300</v>
      </c>
      <c r="BU712" s="194">
        <f t="shared" si="450"/>
        <v>6300</v>
      </c>
      <c r="BV712" s="194">
        <f t="shared" si="451"/>
        <v>0</v>
      </c>
      <c r="BW712" s="194">
        <f t="shared" si="452"/>
        <v>0</v>
      </c>
      <c r="BX712" s="6"/>
      <c r="BY712" s="6"/>
      <c r="BZ712" s="39">
        <v>699</v>
      </c>
      <c r="CA712" s="39">
        <f t="shared" si="436"/>
        <v>2031</v>
      </c>
      <c r="CB712" s="6"/>
      <c r="CC712" s="39"/>
      <c r="CD712" s="39"/>
      <c r="CE712" s="39"/>
      <c r="CF712" s="39"/>
      <c r="CG712" s="39"/>
      <c r="CH712" s="39"/>
      <c r="CI712" s="39"/>
      <c r="CJ712" s="39"/>
      <c r="CK712" s="39"/>
    </row>
    <row r="713" spans="1:89" s="193" customFormat="1" ht="24">
      <c r="A713" s="357"/>
      <c r="B713" s="21" t="str">
        <f t="shared" si="413"/>
        <v>STW</v>
      </c>
      <c r="C713" s="21"/>
      <c r="D713" s="432" t="s">
        <v>3985</v>
      </c>
      <c r="E713" s="439" t="s">
        <v>3626</v>
      </c>
      <c r="F713" s="439" t="s">
        <v>4081</v>
      </c>
      <c r="G713" s="273" t="s">
        <v>4082</v>
      </c>
      <c r="H713" s="358" t="s">
        <v>4505</v>
      </c>
      <c r="I713" s="262" t="s">
        <v>3491</v>
      </c>
      <c r="J713" s="262" t="s">
        <v>4194</v>
      </c>
      <c r="K713" s="263">
        <v>10000</v>
      </c>
      <c r="L713" s="263">
        <v>10000</v>
      </c>
      <c r="M713" s="263">
        <v>0</v>
      </c>
      <c r="N713" s="263">
        <v>0</v>
      </c>
      <c r="O713" s="263">
        <v>0</v>
      </c>
      <c r="P713" s="263">
        <v>0</v>
      </c>
      <c r="Q713" s="263">
        <v>0</v>
      </c>
      <c r="R713" s="263">
        <v>0</v>
      </c>
      <c r="S713" s="263">
        <v>0</v>
      </c>
      <c r="T713" s="263">
        <v>0</v>
      </c>
      <c r="U713" s="263">
        <f t="shared" si="441"/>
        <v>20000</v>
      </c>
      <c r="V713" s="196" t="str">
        <f t="shared" si="411"/>
        <v>G/LOS/R</v>
      </c>
      <c r="W713" s="196" t="s">
        <v>1168</v>
      </c>
      <c r="X713" s="196" t="str">
        <f t="shared" si="453"/>
        <v>Y</v>
      </c>
      <c r="Y713" s="376">
        <f t="shared" si="454"/>
        <v>20000</v>
      </c>
      <c r="Z713" s="198"/>
      <c r="AA713" s="376">
        <f t="shared" si="412"/>
        <v>20000</v>
      </c>
      <c r="AB713" s="196" t="s">
        <v>1166</v>
      </c>
      <c r="AC713" s="196" t="s">
        <v>1168</v>
      </c>
      <c r="AD713" s="518">
        <v>0.1</v>
      </c>
      <c r="AE713" s="275">
        <v>0.8</v>
      </c>
      <c r="AF713" s="275">
        <v>0.1</v>
      </c>
      <c r="AG713" s="442">
        <v>0.1</v>
      </c>
      <c r="AH713" s="442">
        <v>0.1</v>
      </c>
      <c r="AI713" s="377">
        <f t="shared" si="442"/>
        <v>0.1</v>
      </c>
      <c r="AJ713" s="548">
        <v>1</v>
      </c>
      <c r="AK713" s="203">
        <f t="shared" si="455"/>
        <v>0</v>
      </c>
      <c r="AL713" s="376">
        <f t="shared" si="443"/>
        <v>18000</v>
      </c>
      <c r="AM713" s="376">
        <f t="shared" si="444"/>
        <v>2000</v>
      </c>
      <c r="AN713" s="376">
        <f t="shared" si="445"/>
        <v>0</v>
      </c>
      <c r="AO713" s="378" t="s">
        <v>3615</v>
      </c>
      <c r="AP713" s="379" t="s">
        <v>5409</v>
      </c>
      <c r="AQ713" s="279"/>
      <c r="AR713" s="287">
        <f t="shared" si="414"/>
        <v>1000</v>
      </c>
      <c r="AS713" s="287">
        <f t="shared" si="415"/>
        <v>1000</v>
      </c>
      <c r="AT713" s="287">
        <f t="shared" si="416"/>
        <v>0</v>
      </c>
      <c r="AU713" s="287">
        <f t="shared" si="417"/>
        <v>0</v>
      </c>
      <c r="AV713" s="287">
        <f t="shared" si="418"/>
        <v>0</v>
      </c>
      <c r="AW713" s="287">
        <f t="shared" si="419"/>
        <v>0</v>
      </c>
      <c r="AX713" s="287">
        <f t="shared" si="420"/>
        <v>0</v>
      </c>
      <c r="AY713" s="287">
        <f t="shared" si="421"/>
        <v>0</v>
      </c>
      <c r="AZ713" s="287">
        <f t="shared" si="422"/>
        <v>0</v>
      </c>
      <c r="BA713" s="287">
        <f t="shared" si="423"/>
        <v>0</v>
      </c>
      <c r="BB713" s="16"/>
      <c r="BC713" s="287">
        <f t="shared" si="424"/>
        <v>0</v>
      </c>
      <c r="BD713" s="287">
        <f t="shared" si="425"/>
        <v>0</v>
      </c>
      <c r="BE713" s="287">
        <f t="shared" si="426"/>
        <v>0</v>
      </c>
      <c r="BF713" s="287">
        <f t="shared" si="427"/>
        <v>0</v>
      </c>
      <c r="BG713" s="287">
        <f t="shared" si="428"/>
        <v>0</v>
      </c>
      <c r="BH713" s="287">
        <f t="shared" si="429"/>
        <v>0</v>
      </c>
      <c r="BI713" s="287">
        <f t="shared" si="430"/>
        <v>0</v>
      </c>
      <c r="BJ713" s="287">
        <f t="shared" si="431"/>
        <v>0</v>
      </c>
      <c r="BK713" s="287">
        <f t="shared" si="432"/>
        <v>0</v>
      </c>
      <c r="BL713" s="287">
        <f t="shared" si="433"/>
        <v>0</v>
      </c>
      <c r="BM713" s="16"/>
      <c r="BN713" s="287">
        <f t="shared" si="434"/>
        <v>2000</v>
      </c>
      <c r="BO713" s="287">
        <f t="shared" si="435"/>
        <v>0</v>
      </c>
      <c r="BP713" s="432"/>
      <c r="BQ713" s="21"/>
      <c r="BR713" s="21"/>
      <c r="BS713" s="6"/>
      <c r="BT713" s="194">
        <f t="shared" si="449"/>
        <v>2000</v>
      </c>
      <c r="BU713" s="194">
        <f t="shared" si="450"/>
        <v>2000</v>
      </c>
      <c r="BV713" s="194">
        <f t="shared" si="451"/>
        <v>0</v>
      </c>
      <c r="BW713" s="194">
        <f t="shared" si="452"/>
        <v>0</v>
      </c>
      <c r="BX713" s="6"/>
      <c r="BY713" s="6"/>
      <c r="BZ713" s="39">
        <v>700</v>
      </c>
      <c r="CA713" s="39">
        <f t="shared" si="436"/>
        <v>2031</v>
      </c>
      <c r="CB713" s="6"/>
      <c r="CC713" s="39"/>
      <c r="CD713" s="39"/>
      <c r="CE713" s="39"/>
      <c r="CF713" s="39"/>
      <c r="CG713" s="39"/>
      <c r="CH713" s="39"/>
      <c r="CI713" s="39"/>
      <c r="CJ713" s="39"/>
      <c r="CK713" s="39"/>
    </row>
    <row r="714" spans="1:89" s="541" customFormat="1" ht="36">
      <c r="A714" s="522"/>
      <c r="B714" s="523" t="str">
        <f t="shared" si="413"/>
        <v>STW</v>
      </c>
      <c r="C714" s="523"/>
      <c r="D714" s="524"/>
      <c r="E714" s="525" t="s">
        <v>3626</v>
      </c>
      <c r="F714" s="525" t="s">
        <v>4129</v>
      </c>
      <c r="G714" s="526" t="s">
        <v>4130</v>
      </c>
      <c r="H714" s="527" t="s">
        <v>4502</v>
      </c>
      <c r="I714" s="524" t="s">
        <v>3491</v>
      </c>
      <c r="J714" s="524" t="s">
        <v>4221</v>
      </c>
      <c r="K714" s="528">
        <v>750000</v>
      </c>
      <c r="L714" s="528">
        <v>750000</v>
      </c>
      <c r="M714" s="528">
        <v>0</v>
      </c>
      <c r="N714" s="528">
        <v>0</v>
      </c>
      <c r="O714" s="528">
        <v>0</v>
      </c>
      <c r="P714" s="528">
        <v>0</v>
      </c>
      <c r="Q714" s="528">
        <v>0</v>
      </c>
      <c r="R714" s="528">
        <v>0</v>
      </c>
      <c r="S714" s="528">
        <v>0</v>
      </c>
      <c r="T714" s="528">
        <v>0</v>
      </c>
      <c r="U714" s="617">
        <f t="shared" si="441"/>
        <v>1500000</v>
      </c>
      <c r="V714" s="529" t="str">
        <f t="shared" si="411"/>
        <v>G/LOS/R</v>
      </c>
      <c r="W714" s="529" t="s">
        <v>1168</v>
      </c>
      <c r="X714" s="529" t="str">
        <f t="shared" si="453"/>
        <v>Y</v>
      </c>
      <c r="Y714" s="530">
        <f t="shared" si="454"/>
        <v>1500000</v>
      </c>
      <c r="Z714" s="531"/>
      <c r="AA714" s="530">
        <f t="shared" si="412"/>
        <v>1500000</v>
      </c>
      <c r="AB714" s="529" t="s">
        <v>1166</v>
      </c>
      <c r="AC714" s="529" t="s">
        <v>1168</v>
      </c>
      <c r="AD714" s="532">
        <v>0.51</v>
      </c>
      <c r="AE714" s="532">
        <v>0.22</v>
      </c>
      <c r="AF714" s="532">
        <v>0.27</v>
      </c>
      <c r="AG714" s="533">
        <v>0.23</v>
      </c>
      <c r="AH714" s="533">
        <v>0.51</v>
      </c>
      <c r="AI714" s="534">
        <f t="shared" si="442"/>
        <v>0.37</v>
      </c>
      <c r="AJ714" s="548">
        <v>1</v>
      </c>
      <c r="AK714" s="535">
        <f t="shared" si="455"/>
        <v>0</v>
      </c>
      <c r="AL714" s="530">
        <f t="shared" si="443"/>
        <v>945000</v>
      </c>
      <c r="AM714" s="530">
        <f t="shared" si="444"/>
        <v>555000</v>
      </c>
      <c r="AN714" s="530">
        <f t="shared" si="445"/>
        <v>0</v>
      </c>
      <c r="AO714" s="536" t="s">
        <v>4234</v>
      </c>
      <c r="AP714" s="537" t="s">
        <v>5420</v>
      </c>
      <c r="AQ714" s="538"/>
      <c r="AR714" s="287">
        <f t="shared" si="414"/>
        <v>277500</v>
      </c>
      <c r="AS714" s="287">
        <f t="shared" si="415"/>
        <v>277500</v>
      </c>
      <c r="AT714" s="287">
        <f t="shared" si="416"/>
        <v>0</v>
      </c>
      <c r="AU714" s="287">
        <f t="shared" si="417"/>
        <v>0</v>
      </c>
      <c r="AV714" s="287">
        <f t="shared" si="418"/>
        <v>0</v>
      </c>
      <c r="AW714" s="287">
        <f t="shared" si="419"/>
        <v>0</v>
      </c>
      <c r="AX714" s="287">
        <f t="shared" si="420"/>
        <v>0</v>
      </c>
      <c r="AY714" s="287">
        <f t="shared" si="421"/>
        <v>0</v>
      </c>
      <c r="AZ714" s="287">
        <f t="shared" si="422"/>
        <v>0</v>
      </c>
      <c r="BA714" s="287">
        <f t="shared" si="423"/>
        <v>0</v>
      </c>
      <c r="BB714" s="16"/>
      <c r="BC714" s="287">
        <f t="shared" si="424"/>
        <v>0</v>
      </c>
      <c r="BD714" s="287">
        <f t="shared" si="425"/>
        <v>0</v>
      </c>
      <c r="BE714" s="287">
        <f t="shared" si="426"/>
        <v>0</v>
      </c>
      <c r="BF714" s="287">
        <f t="shared" si="427"/>
        <v>0</v>
      </c>
      <c r="BG714" s="287">
        <f t="shared" si="428"/>
        <v>0</v>
      </c>
      <c r="BH714" s="287">
        <f t="shared" si="429"/>
        <v>0</v>
      </c>
      <c r="BI714" s="287">
        <f t="shared" si="430"/>
        <v>0</v>
      </c>
      <c r="BJ714" s="287">
        <f t="shared" si="431"/>
        <v>0</v>
      </c>
      <c r="BK714" s="287">
        <f t="shared" si="432"/>
        <v>0</v>
      </c>
      <c r="BL714" s="287">
        <f t="shared" si="433"/>
        <v>0</v>
      </c>
      <c r="BM714" s="16"/>
      <c r="BN714" s="287">
        <f t="shared" si="434"/>
        <v>555000</v>
      </c>
      <c r="BO714" s="287">
        <f t="shared" si="435"/>
        <v>0</v>
      </c>
      <c r="BP714" s="524"/>
      <c r="BQ714" s="523"/>
      <c r="BR714" s="523"/>
      <c r="BS714" s="523"/>
      <c r="BT714" s="539">
        <f t="shared" si="449"/>
        <v>555000</v>
      </c>
      <c r="BU714" s="539">
        <f t="shared" si="450"/>
        <v>555000</v>
      </c>
      <c r="BV714" s="539">
        <f t="shared" si="451"/>
        <v>0</v>
      </c>
      <c r="BW714" s="539">
        <f t="shared" si="452"/>
        <v>0</v>
      </c>
      <c r="BX714" s="523"/>
      <c r="BY714" s="523"/>
      <c r="BZ714" s="39">
        <v>701</v>
      </c>
      <c r="CA714" s="39">
        <f t="shared" si="436"/>
        <v>2031</v>
      </c>
      <c r="CB714" s="523"/>
      <c r="CC714" s="540"/>
      <c r="CD714" s="540"/>
      <c r="CE714" s="540"/>
      <c r="CF714" s="540"/>
      <c r="CG714" s="540"/>
      <c r="CH714" s="540"/>
      <c r="CI714" s="540"/>
      <c r="CJ714" s="540"/>
      <c r="CK714" s="540"/>
    </row>
    <row r="715" spans="1:89" s="193" customFormat="1">
      <c r="A715" s="357"/>
      <c r="B715" s="21" t="str">
        <f t="shared" si="413"/>
        <v>STW</v>
      </c>
      <c r="C715" s="21"/>
      <c r="D715" s="432" t="s">
        <v>3933</v>
      </c>
      <c r="E715" s="439" t="s">
        <v>3626</v>
      </c>
      <c r="F715" s="439" t="s">
        <v>3976</v>
      </c>
      <c r="G715" s="273" t="s">
        <v>4531</v>
      </c>
      <c r="H715" s="358" t="s">
        <v>4517</v>
      </c>
      <c r="I715" s="262" t="s">
        <v>3491</v>
      </c>
      <c r="J715" s="262" t="s">
        <v>4204</v>
      </c>
      <c r="K715" s="263">
        <v>660000</v>
      </c>
      <c r="L715" s="263">
        <v>0</v>
      </c>
      <c r="M715" s="263">
        <v>0</v>
      </c>
      <c r="N715" s="263">
        <v>0</v>
      </c>
      <c r="O715" s="263">
        <v>0</v>
      </c>
      <c r="P715" s="263">
        <v>0</v>
      </c>
      <c r="Q715" s="263">
        <v>0</v>
      </c>
      <c r="R715" s="263">
        <v>0</v>
      </c>
      <c r="S715" s="263">
        <v>0</v>
      </c>
      <c r="T715" s="263">
        <v>0</v>
      </c>
      <c r="U715" s="263">
        <f t="shared" si="441"/>
        <v>660000</v>
      </c>
      <c r="V715" s="196" t="str">
        <f t="shared" ref="V715:V778" si="456">IF(AND(AD715&gt;0,AE715&gt;0,AF715&gt;0),"G/LOS/R",IF(AND(AD715&gt;0,AE715&gt;0),"G/LOS",IF(AND(AD715&gt;0,AF715&gt;0),"G/R",IF(AND(AE715&gt;0,AF715&gt;0),"LOS/R",IF(AD715&gt;0,"G",IF(AE715&gt;0,"LOS",IF(AF715&gt;0,"R","CHECK")))))))</f>
        <v>G/LOS/R</v>
      </c>
      <c r="W715" s="196" t="s">
        <v>1168</v>
      </c>
      <c r="X715" s="196" t="str">
        <f t="shared" si="453"/>
        <v>Y</v>
      </c>
      <c r="Y715" s="376">
        <f t="shared" si="454"/>
        <v>660000</v>
      </c>
      <c r="Z715" s="198"/>
      <c r="AA715" s="376">
        <f t="shared" ref="AA715:AA778" si="457">Y715-Z715</f>
        <v>660000</v>
      </c>
      <c r="AB715" s="196" t="s">
        <v>1166</v>
      </c>
      <c r="AC715" s="196" t="s">
        <v>3624</v>
      </c>
      <c r="AD715" s="518">
        <v>0.1</v>
      </c>
      <c r="AE715" s="275">
        <v>0.1</v>
      </c>
      <c r="AF715" s="275">
        <v>0.8</v>
      </c>
      <c r="AG715" s="442">
        <v>0.1</v>
      </c>
      <c r="AH715" s="442">
        <v>0.1</v>
      </c>
      <c r="AI715" s="377">
        <f t="shared" si="442"/>
        <v>0.1</v>
      </c>
      <c r="AJ715" s="548">
        <v>1</v>
      </c>
      <c r="AK715" s="203">
        <f t="shared" si="455"/>
        <v>0</v>
      </c>
      <c r="AL715" s="376">
        <f t="shared" si="443"/>
        <v>594000</v>
      </c>
      <c r="AM715" s="376">
        <f t="shared" si="444"/>
        <v>66000</v>
      </c>
      <c r="AN715" s="376">
        <f t="shared" si="445"/>
        <v>0</v>
      </c>
      <c r="AO715" s="378" t="s">
        <v>3607</v>
      </c>
      <c r="AP715" s="379" t="s">
        <v>5412</v>
      </c>
      <c r="AQ715" s="279"/>
      <c r="AR715" s="287">
        <f t="shared" si="414"/>
        <v>66000</v>
      </c>
      <c r="AS715" s="287">
        <f t="shared" si="415"/>
        <v>0</v>
      </c>
      <c r="AT715" s="287">
        <f t="shared" si="416"/>
        <v>0</v>
      </c>
      <c r="AU715" s="287">
        <f t="shared" si="417"/>
        <v>0</v>
      </c>
      <c r="AV715" s="287">
        <f t="shared" si="418"/>
        <v>0</v>
      </c>
      <c r="AW715" s="287">
        <f t="shared" si="419"/>
        <v>0</v>
      </c>
      <c r="AX715" s="287">
        <f t="shared" si="420"/>
        <v>0</v>
      </c>
      <c r="AY715" s="287">
        <f t="shared" si="421"/>
        <v>0</v>
      </c>
      <c r="AZ715" s="287">
        <f t="shared" si="422"/>
        <v>0</v>
      </c>
      <c r="BA715" s="287">
        <f t="shared" si="423"/>
        <v>0</v>
      </c>
      <c r="BB715" s="16"/>
      <c r="BC715" s="287">
        <f t="shared" si="424"/>
        <v>0</v>
      </c>
      <c r="BD715" s="287">
        <f t="shared" si="425"/>
        <v>0</v>
      </c>
      <c r="BE715" s="287">
        <f t="shared" si="426"/>
        <v>0</v>
      </c>
      <c r="BF715" s="287">
        <f t="shared" si="427"/>
        <v>0</v>
      </c>
      <c r="BG715" s="287">
        <f t="shared" si="428"/>
        <v>0</v>
      </c>
      <c r="BH715" s="287">
        <f t="shared" si="429"/>
        <v>0</v>
      </c>
      <c r="BI715" s="287">
        <f t="shared" si="430"/>
        <v>0</v>
      </c>
      <c r="BJ715" s="287">
        <f t="shared" si="431"/>
        <v>0</v>
      </c>
      <c r="BK715" s="287">
        <f t="shared" si="432"/>
        <v>0</v>
      </c>
      <c r="BL715" s="287">
        <f t="shared" si="433"/>
        <v>0</v>
      </c>
      <c r="BM715" s="16"/>
      <c r="BN715" s="287">
        <f t="shared" si="434"/>
        <v>66000</v>
      </c>
      <c r="BO715" s="287">
        <f t="shared" si="435"/>
        <v>0</v>
      </c>
      <c r="BP715" s="432"/>
      <c r="BQ715" s="21"/>
      <c r="BR715" s="21"/>
      <c r="BS715" s="6"/>
      <c r="BT715" s="194">
        <f t="shared" si="449"/>
        <v>66000</v>
      </c>
      <c r="BU715" s="194">
        <f t="shared" si="450"/>
        <v>66000</v>
      </c>
      <c r="BV715" s="194">
        <f t="shared" si="451"/>
        <v>0</v>
      </c>
      <c r="BW715" s="194">
        <f t="shared" si="452"/>
        <v>0</v>
      </c>
      <c r="BX715" s="6"/>
      <c r="BY715" s="6"/>
      <c r="BZ715" s="39">
        <v>702</v>
      </c>
      <c r="CA715" s="39">
        <f t="shared" si="436"/>
        <v>2031</v>
      </c>
      <c r="CB715" s="6"/>
      <c r="CC715" s="39"/>
      <c r="CD715" s="39"/>
      <c r="CE715" s="39"/>
      <c r="CF715" s="39"/>
      <c r="CG715" s="39"/>
      <c r="CH715" s="39"/>
      <c r="CI715" s="39"/>
      <c r="CJ715" s="39"/>
      <c r="CK715" s="39"/>
    </row>
    <row r="716" spans="1:89" s="541" customFormat="1" ht="36">
      <c r="A716" s="522"/>
      <c r="B716" s="523" t="str">
        <f t="shared" si="413"/>
        <v>STW</v>
      </c>
      <c r="C716" s="523"/>
      <c r="D716" s="524"/>
      <c r="E716" s="525" t="s">
        <v>3626</v>
      </c>
      <c r="F716" s="525" t="s">
        <v>4036</v>
      </c>
      <c r="G716" s="526" t="s">
        <v>4035</v>
      </c>
      <c r="H716" s="527" t="s">
        <v>4502</v>
      </c>
      <c r="I716" s="524" t="s">
        <v>3491</v>
      </c>
      <c r="J716" s="524" t="s">
        <v>4221</v>
      </c>
      <c r="K716" s="528">
        <v>4900000</v>
      </c>
      <c r="L716" s="528">
        <v>1500000</v>
      </c>
      <c r="M716" s="528">
        <v>1500000</v>
      </c>
      <c r="N716" s="528">
        <v>0</v>
      </c>
      <c r="O716" s="528">
        <v>0</v>
      </c>
      <c r="P716" s="528">
        <v>0</v>
      </c>
      <c r="Q716" s="528">
        <v>0</v>
      </c>
      <c r="R716" s="528">
        <v>0</v>
      </c>
      <c r="S716" s="528">
        <v>0</v>
      </c>
      <c r="T716" s="528">
        <v>0</v>
      </c>
      <c r="U716" s="617">
        <f t="shared" si="441"/>
        <v>7900000</v>
      </c>
      <c r="V716" s="529" t="str">
        <f t="shared" si="456"/>
        <v>G/LOS/R</v>
      </c>
      <c r="W716" s="529" t="s">
        <v>1168</v>
      </c>
      <c r="X716" s="529" t="str">
        <f t="shared" si="453"/>
        <v>Y</v>
      </c>
      <c r="Y716" s="530">
        <f t="shared" si="454"/>
        <v>7900000</v>
      </c>
      <c r="Z716" s="531"/>
      <c r="AA716" s="530">
        <f t="shared" si="457"/>
        <v>7900000</v>
      </c>
      <c r="AB716" s="529" t="s">
        <v>1166</v>
      </c>
      <c r="AC716" s="529" t="s">
        <v>1168</v>
      </c>
      <c r="AD716" s="550">
        <v>0.51</v>
      </c>
      <c r="AE716" s="532">
        <v>0.22</v>
      </c>
      <c r="AF716" s="532">
        <v>0.27</v>
      </c>
      <c r="AG716" s="533">
        <v>0.23</v>
      </c>
      <c r="AH716" s="533">
        <v>0.51</v>
      </c>
      <c r="AI716" s="534">
        <f t="shared" si="442"/>
        <v>0.37</v>
      </c>
      <c r="AJ716" s="548">
        <v>1</v>
      </c>
      <c r="AK716" s="535">
        <f t="shared" si="455"/>
        <v>0</v>
      </c>
      <c r="AL716" s="530">
        <f t="shared" si="443"/>
        <v>4977000</v>
      </c>
      <c r="AM716" s="530">
        <f t="shared" si="444"/>
        <v>2923000</v>
      </c>
      <c r="AN716" s="530">
        <f t="shared" si="445"/>
        <v>0</v>
      </c>
      <c r="AO716" s="536" t="s">
        <v>4234</v>
      </c>
      <c r="AP716" s="537" t="s">
        <v>5420</v>
      </c>
      <c r="AQ716" s="538"/>
      <c r="AR716" s="287">
        <f t="shared" si="414"/>
        <v>1813000</v>
      </c>
      <c r="AS716" s="287">
        <f t="shared" si="415"/>
        <v>555000</v>
      </c>
      <c r="AT716" s="287">
        <f t="shared" si="416"/>
        <v>555000</v>
      </c>
      <c r="AU716" s="287">
        <f t="shared" si="417"/>
        <v>0</v>
      </c>
      <c r="AV716" s="287">
        <f t="shared" si="418"/>
        <v>0</v>
      </c>
      <c r="AW716" s="287">
        <f t="shared" si="419"/>
        <v>0</v>
      </c>
      <c r="AX716" s="287">
        <f t="shared" si="420"/>
        <v>0</v>
      </c>
      <c r="AY716" s="287">
        <f t="shared" si="421"/>
        <v>0</v>
      </c>
      <c r="AZ716" s="287">
        <f t="shared" si="422"/>
        <v>0</v>
      </c>
      <c r="BA716" s="287">
        <f t="shared" si="423"/>
        <v>0</v>
      </c>
      <c r="BB716" s="16"/>
      <c r="BC716" s="287">
        <f t="shared" si="424"/>
        <v>0</v>
      </c>
      <c r="BD716" s="287">
        <f t="shared" si="425"/>
        <v>0</v>
      </c>
      <c r="BE716" s="287">
        <f t="shared" si="426"/>
        <v>0</v>
      </c>
      <c r="BF716" s="287">
        <f t="shared" si="427"/>
        <v>0</v>
      </c>
      <c r="BG716" s="287">
        <f t="shared" si="428"/>
        <v>0</v>
      </c>
      <c r="BH716" s="287">
        <f t="shared" si="429"/>
        <v>0</v>
      </c>
      <c r="BI716" s="287">
        <f t="shared" si="430"/>
        <v>0</v>
      </c>
      <c r="BJ716" s="287">
        <f t="shared" si="431"/>
        <v>0</v>
      </c>
      <c r="BK716" s="287">
        <f t="shared" si="432"/>
        <v>0</v>
      </c>
      <c r="BL716" s="287">
        <f t="shared" si="433"/>
        <v>0</v>
      </c>
      <c r="BM716" s="16"/>
      <c r="BN716" s="287">
        <f t="shared" si="434"/>
        <v>2923000</v>
      </c>
      <c r="BO716" s="287">
        <f t="shared" si="435"/>
        <v>0</v>
      </c>
      <c r="BP716" s="524"/>
      <c r="BQ716" s="523"/>
      <c r="BR716" s="523"/>
      <c r="BS716" s="523"/>
      <c r="BT716" s="539">
        <f t="shared" si="449"/>
        <v>2923000</v>
      </c>
      <c r="BU716" s="539">
        <f t="shared" si="450"/>
        <v>2923000</v>
      </c>
      <c r="BV716" s="539">
        <f t="shared" si="451"/>
        <v>0</v>
      </c>
      <c r="BW716" s="539">
        <f t="shared" si="452"/>
        <v>0</v>
      </c>
      <c r="BX716" s="523"/>
      <c r="BY716" s="523"/>
      <c r="BZ716" s="39">
        <v>703</v>
      </c>
      <c r="CA716" s="39">
        <f t="shared" si="436"/>
        <v>2031</v>
      </c>
      <c r="CB716" s="523"/>
      <c r="CC716" s="540"/>
      <c r="CD716" s="540"/>
      <c r="CE716" s="540"/>
      <c r="CF716" s="540"/>
      <c r="CG716" s="540"/>
      <c r="CH716" s="540"/>
      <c r="CI716" s="540"/>
      <c r="CJ716" s="540"/>
      <c r="CK716" s="540"/>
    </row>
    <row r="717" spans="1:89" s="193" customFormat="1">
      <c r="A717" s="357"/>
      <c r="B717" s="21" t="str">
        <f t="shared" si="413"/>
        <v>STW</v>
      </c>
      <c r="C717" s="21"/>
      <c r="D717" s="432"/>
      <c r="E717" s="439" t="s">
        <v>3626</v>
      </c>
      <c r="F717" s="439" t="s">
        <v>3950</v>
      </c>
      <c r="G717" s="273" t="s">
        <v>4592</v>
      </c>
      <c r="H717" s="358" t="s">
        <v>4517</v>
      </c>
      <c r="I717" s="262" t="s">
        <v>3491</v>
      </c>
      <c r="J717" s="262" t="s">
        <v>4190</v>
      </c>
      <c r="K717" s="263">
        <v>130000</v>
      </c>
      <c r="L717" s="263">
        <v>0</v>
      </c>
      <c r="M717" s="263">
        <v>0</v>
      </c>
      <c r="N717" s="263">
        <v>0</v>
      </c>
      <c r="O717" s="263">
        <v>0</v>
      </c>
      <c r="P717" s="263">
        <v>0</v>
      </c>
      <c r="Q717" s="263">
        <v>0</v>
      </c>
      <c r="R717" s="263">
        <v>0</v>
      </c>
      <c r="S717" s="263">
        <v>0</v>
      </c>
      <c r="T717" s="263">
        <v>0</v>
      </c>
      <c r="U717" s="263">
        <f t="shared" si="441"/>
        <v>130000</v>
      </c>
      <c r="V717" s="196" t="str">
        <f t="shared" si="456"/>
        <v>G/LOS/R</v>
      </c>
      <c r="W717" s="196" t="s">
        <v>1168</v>
      </c>
      <c r="X717" s="196" t="str">
        <f t="shared" si="453"/>
        <v>Y</v>
      </c>
      <c r="Y717" s="376">
        <f t="shared" si="454"/>
        <v>130000</v>
      </c>
      <c r="Z717" s="198"/>
      <c r="AA717" s="376">
        <f t="shared" si="457"/>
        <v>130000</v>
      </c>
      <c r="AB717" s="196" t="s">
        <v>1166</v>
      </c>
      <c r="AC717" s="196" t="s">
        <v>1168</v>
      </c>
      <c r="AD717" s="275">
        <v>0.1</v>
      </c>
      <c r="AE717" s="275">
        <v>0.1</v>
      </c>
      <c r="AF717" s="275">
        <v>0.8</v>
      </c>
      <c r="AG717" s="442">
        <v>0.1</v>
      </c>
      <c r="AH717" s="442">
        <v>0.1</v>
      </c>
      <c r="AI717" s="377">
        <f t="shared" si="442"/>
        <v>0.1</v>
      </c>
      <c r="AJ717" s="548">
        <v>1</v>
      </c>
      <c r="AK717" s="203">
        <f t="shared" si="455"/>
        <v>0</v>
      </c>
      <c r="AL717" s="376">
        <f t="shared" si="443"/>
        <v>117000</v>
      </c>
      <c r="AM717" s="376">
        <f t="shared" si="444"/>
        <v>13000</v>
      </c>
      <c r="AN717" s="376">
        <f t="shared" si="445"/>
        <v>0</v>
      </c>
      <c r="AO717" s="378" t="s">
        <v>3607</v>
      </c>
      <c r="AP717" s="379" t="s">
        <v>5394</v>
      </c>
      <c r="AQ717" s="279"/>
      <c r="AR717" s="287">
        <f t="shared" si="414"/>
        <v>13000</v>
      </c>
      <c r="AS717" s="287">
        <f t="shared" si="415"/>
        <v>0</v>
      </c>
      <c r="AT717" s="287">
        <f t="shared" si="416"/>
        <v>0</v>
      </c>
      <c r="AU717" s="287">
        <f t="shared" si="417"/>
        <v>0</v>
      </c>
      <c r="AV717" s="287">
        <f t="shared" si="418"/>
        <v>0</v>
      </c>
      <c r="AW717" s="287">
        <f t="shared" si="419"/>
        <v>0</v>
      </c>
      <c r="AX717" s="287">
        <f t="shared" si="420"/>
        <v>0</v>
      </c>
      <c r="AY717" s="287">
        <f t="shared" si="421"/>
        <v>0</v>
      </c>
      <c r="AZ717" s="287">
        <f t="shared" si="422"/>
        <v>0</v>
      </c>
      <c r="BA717" s="287">
        <f t="shared" si="423"/>
        <v>0</v>
      </c>
      <c r="BB717" s="16"/>
      <c r="BC717" s="287">
        <f t="shared" si="424"/>
        <v>0</v>
      </c>
      <c r="BD717" s="287">
        <f t="shared" si="425"/>
        <v>0</v>
      </c>
      <c r="BE717" s="287">
        <f t="shared" si="426"/>
        <v>0</v>
      </c>
      <c r="BF717" s="287">
        <f t="shared" si="427"/>
        <v>0</v>
      </c>
      <c r="BG717" s="287">
        <f t="shared" si="428"/>
        <v>0</v>
      </c>
      <c r="BH717" s="287">
        <f t="shared" si="429"/>
        <v>0</v>
      </c>
      <c r="BI717" s="287">
        <f t="shared" si="430"/>
        <v>0</v>
      </c>
      <c r="BJ717" s="287">
        <f t="shared" si="431"/>
        <v>0</v>
      </c>
      <c r="BK717" s="287">
        <f t="shared" si="432"/>
        <v>0</v>
      </c>
      <c r="BL717" s="287">
        <f t="shared" si="433"/>
        <v>0</v>
      </c>
      <c r="BM717" s="16"/>
      <c r="BN717" s="287">
        <f t="shared" si="434"/>
        <v>13000</v>
      </c>
      <c r="BO717" s="287">
        <f t="shared" si="435"/>
        <v>0</v>
      </c>
      <c r="BP717" s="432"/>
      <c r="BQ717" s="21"/>
      <c r="BR717" s="21"/>
      <c r="BS717" s="6"/>
      <c r="BT717" s="194">
        <f t="shared" si="449"/>
        <v>13000</v>
      </c>
      <c r="BU717" s="194">
        <f t="shared" si="450"/>
        <v>13000</v>
      </c>
      <c r="BV717" s="194">
        <f t="shared" si="451"/>
        <v>0</v>
      </c>
      <c r="BW717" s="194">
        <f t="shared" si="452"/>
        <v>0</v>
      </c>
      <c r="BX717" s="6"/>
      <c r="BY717" s="6"/>
      <c r="BZ717" s="39">
        <v>704</v>
      </c>
      <c r="CA717" s="39">
        <f t="shared" si="436"/>
        <v>2031</v>
      </c>
      <c r="CB717" s="6"/>
      <c r="CC717" s="39"/>
      <c r="CD717" s="39"/>
      <c r="CE717" s="39"/>
      <c r="CF717" s="39"/>
      <c r="CG717" s="39"/>
      <c r="CH717" s="39"/>
      <c r="CI717" s="39"/>
      <c r="CJ717" s="39"/>
      <c r="CK717" s="39"/>
    </row>
    <row r="718" spans="1:89" s="193" customFormat="1">
      <c r="A718" s="357"/>
      <c r="B718" s="21" t="str">
        <f t="shared" ref="B718:B781" si="458">LEFT(AP718,3)</f>
        <v>STW</v>
      </c>
      <c r="C718" s="21"/>
      <c r="D718" s="432" t="s">
        <v>4233</v>
      </c>
      <c r="E718" s="439" t="s">
        <v>3626</v>
      </c>
      <c r="F718" s="439" t="s">
        <v>3947</v>
      </c>
      <c r="G718" s="273" t="s">
        <v>3946</v>
      </c>
      <c r="H718" s="358" t="s">
        <v>4567</v>
      </c>
      <c r="I718" s="262" t="s">
        <v>3491</v>
      </c>
      <c r="J718" s="262" t="s">
        <v>4201</v>
      </c>
      <c r="K718" s="263">
        <v>2051000</v>
      </c>
      <c r="L718" s="263">
        <v>8470000</v>
      </c>
      <c r="M718" s="263">
        <v>0</v>
      </c>
      <c r="N718" s="263">
        <v>0</v>
      </c>
      <c r="O718" s="263">
        <v>0</v>
      </c>
      <c r="P718" s="263">
        <v>0</v>
      </c>
      <c r="Q718" s="263">
        <v>0</v>
      </c>
      <c r="R718" s="263">
        <v>0</v>
      </c>
      <c r="S718" s="263">
        <v>0</v>
      </c>
      <c r="T718" s="263">
        <v>0</v>
      </c>
      <c r="U718" s="263">
        <f t="shared" si="441"/>
        <v>10521000</v>
      </c>
      <c r="V718" s="196" t="str">
        <f t="shared" si="456"/>
        <v>G</v>
      </c>
      <c r="W718" s="196" t="s">
        <v>1168</v>
      </c>
      <c r="X718" s="196" t="str">
        <f t="shared" si="453"/>
        <v>Y</v>
      </c>
      <c r="Y718" s="376">
        <f t="shared" si="454"/>
        <v>10521000</v>
      </c>
      <c r="Z718" s="198"/>
      <c r="AA718" s="376">
        <f t="shared" si="457"/>
        <v>10521000</v>
      </c>
      <c r="AB718" s="196" t="s">
        <v>1166</v>
      </c>
      <c r="AC718" s="196" t="s">
        <v>1168</v>
      </c>
      <c r="AD718" s="275">
        <v>1</v>
      </c>
      <c r="AE718" s="275">
        <v>0</v>
      </c>
      <c r="AF718" s="275">
        <v>0</v>
      </c>
      <c r="AG718" s="442">
        <v>1</v>
      </c>
      <c r="AH718" s="442">
        <v>1</v>
      </c>
      <c r="AI718" s="377">
        <f t="shared" si="442"/>
        <v>1</v>
      </c>
      <c r="AJ718" s="548">
        <v>1</v>
      </c>
      <c r="AK718" s="203">
        <f t="shared" si="455"/>
        <v>0</v>
      </c>
      <c r="AL718" s="376">
        <f t="shared" si="443"/>
        <v>0</v>
      </c>
      <c r="AM718" s="376">
        <f t="shared" si="444"/>
        <v>10521000</v>
      </c>
      <c r="AN718" s="376">
        <f t="shared" si="445"/>
        <v>0</v>
      </c>
      <c r="AO718" s="378" t="s">
        <v>3607</v>
      </c>
      <c r="AP718" s="379" t="s">
        <v>5403</v>
      </c>
      <c r="AQ718" s="279"/>
      <c r="AR718" s="287">
        <f t="shared" si="414"/>
        <v>2051000</v>
      </c>
      <c r="AS718" s="287">
        <f t="shared" si="415"/>
        <v>8470000</v>
      </c>
      <c r="AT718" s="287">
        <f t="shared" si="416"/>
        <v>0</v>
      </c>
      <c r="AU718" s="287">
        <f t="shared" si="417"/>
        <v>0</v>
      </c>
      <c r="AV718" s="287">
        <f t="shared" si="418"/>
        <v>0</v>
      </c>
      <c r="AW718" s="287">
        <f t="shared" si="419"/>
        <v>0</v>
      </c>
      <c r="AX718" s="287">
        <f t="shared" si="420"/>
        <v>0</v>
      </c>
      <c r="AY718" s="287">
        <f t="shared" si="421"/>
        <v>0</v>
      </c>
      <c r="AZ718" s="287">
        <f t="shared" si="422"/>
        <v>0</v>
      </c>
      <c r="BA718" s="287">
        <f t="shared" si="423"/>
        <v>0</v>
      </c>
      <c r="BB718" s="16"/>
      <c r="BC718" s="287">
        <f t="shared" si="424"/>
        <v>0</v>
      </c>
      <c r="BD718" s="287">
        <f t="shared" si="425"/>
        <v>0</v>
      </c>
      <c r="BE718" s="287">
        <f t="shared" si="426"/>
        <v>0</v>
      </c>
      <c r="BF718" s="287">
        <f t="shared" si="427"/>
        <v>0</v>
      </c>
      <c r="BG718" s="287">
        <f t="shared" si="428"/>
        <v>0</v>
      </c>
      <c r="BH718" s="287">
        <f t="shared" si="429"/>
        <v>0</v>
      </c>
      <c r="BI718" s="287">
        <f t="shared" si="430"/>
        <v>0</v>
      </c>
      <c r="BJ718" s="287">
        <f t="shared" si="431"/>
        <v>0</v>
      </c>
      <c r="BK718" s="287">
        <f t="shared" si="432"/>
        <v>0</v>
      </c>
      <c r="BL718" s="287">
        <f t="shared" si="433"/>
        <v>0</v>
      </c>
      <c r="BM718" s="16"/>
      <c r="BN718" s="287">
        <f t="shared" si="434"/>
        <v>10521000</v>
      </c>
      <c r="BO718" s="287">
        <f t="shared" si="435"/>
        <v>0</v>
      </c>
      <c r="BP718" s="432"/>
      <c r="BQ718" s="21"/>
      <c r="BR718" s="21"/>
      <c r="BS718" s="6"/>
      <c r="BT718" s="194">
        <f t="shared" si="449"/>
        <v>10521000</v>
      </c>
      <c r="BU718" s="194">
        <f t="shared" si="450"/>
        <v>10521000</v>
      </c>
      <c r="BV718" s="194">
        <f t="shared" si="451"/>
        <v>0</v>
      </c>
      <c r="BW718" s="194">
        <f t="shared" si="452"/>
        <v>0</v>
      </c>
      <c r="BX718" s="6"/>
      <c r="BY718" s="6"/>
      <c r="BZ718" s="39">
        <v>705</v>
      </c>
      <c r="CA718" s="39">
        <f t="shared" si="436"/>
        <v>2031</v>
      </c>
      <c r="CB718" s="6"/>
      <c r="CC718" s="39"/>
      <c r="CD718" s="39"/>
      <c r="CE718" s="39"/>
      <c r="CF718" s="39"/>
      <c r="CG718" s="39"/>
      <c r="CH718" s="39"/>
      <c r="CI718" s="39"/>
      <c r="CJ718" s="39"/>
      <c r="CK718" s="39"/>
    </row>
    <row r="719" spans="1:89" s="193" customFormat="1" ht="24">
      <c r="A719" s="357"/>
      <c r="B719" s="21" t="str">
        <f t="shared" si="458"/>
        <v>STW</v>
      </c>
      <c r="C719" s="21"/>
      <c r="D719" s="432"/>
      <c r="E719" s="439" t="s">
        <v>3626</v>
      </c>
      <c r="F719" s="439" t="s">
        <v>4027</v>
      </c>
      <c r="G719" s="273" t="s">
        <v>4026</v>
      </c>
      <c r="H719" s="358" t="s">
        <v>4512</v>
      </c>
      <c r="I719" s="262" t="s">
        <v>3491</v>
      </c>
      <c r="J719" s="262" t="s">
        <v>4194</v>
      </c>
      <c r="K719" s="263">
        <v>90000</v>
      </c>
      <c r="L719" s="263">
        <v>850000</v>
      </c>
      <c r="M719" s="263">
        <v>0</v>
      </c>
      <c r="N719" s="263">
        <v>0</v>
      </c>
      <c r="O719" s="263">
        <v>0</v>
      </c>
      <c r="P719" s="263">
        <v>0</v>
      </c>
      <c r="Q719" s="263">
        <v>0</v>
      </c>
      <c r="R719" s="263">
        <v>0</v>
      </c>
      <c r="S719" s="263">
        <v>0</v>
      </c>
      <c r="T719" s="263">
        <v>0</v>
      </c>
      <c r="U719" s="263">
        <f t="shared" si="441"/>
        <v>940000</v>
      </c>
      <c r="V719" s="196" t="str">
        <f t="shared" si="456"/>
        <v>G/LOS/R</v>
      </c>
      <c r="W719" s="196" t="s">
        <v>1168</v>
      </c>
      <c r="X719" s="196" t="str">
        <f t="shared" si="453"/>
        <v>Y</v>
      </c>
      <c r="Y719" s="376">
        <f t="shared" si="454"/>
        <v>940000</v>
      </c>
      <c r="Z719" s="198"/>
      <c r="AA719" s="376">
        <f t="shared" si="457"/>
        <v>940000</v>
      </c>
      <c r="AB719" s="196" t="s">
        <v>1166</v>
      </c>
      <c r="AC719" s="196" t="s">
        <v>1168</v>
      </c>
      <c r="AD719" s="518">
        <v>0.05</v>
      </c>
      <c r="AE719" s="275">
        <v>0.75</v>
      </c>
      <c r="AF719" s="275">
        <v>0.2</v>
      </c>
      <c r="AG719" s="442">
        <v>0.05</v>
      </c>
      <c r="AH719" s="442">
        <v>0.05</v>
      </c>
      <c r="AI719" s="377">
        <f t="shared" si="442"/>
        <v>0.05</v>
      </c>
      <c r="AJ719" s="548">
        <v>1</v>
      </c>
      <c r="AK719" s="203">
        <f t="shared" si="455"/>
        <v>0</v>
      </c>
      <c r="AL719" s="376">
        <f t="shared" si="443"/>
        <v>893000</v>
      </c>
      <c r="AM719" s="376">
        <f t="shared" si="444"/>
        <v>47000</v>
      </c>
      <c r="AN719" s="376">
        <f t="shared" si="445"/>
        <v>0</v>
      </c>
      <c r="AO719" s="378" t="s">
        <v>3615</v>
      </c>
      <c r="AP719" s="379" t="s">
        <v>5409</v>
      </c>
      <c r="AQ719" s="279"/>
      <c r="AR719" s="287">
        <f t="shared" ref="AR719:AR782" si="459">K719*$AI719*$AJ719</f>
        <v>4500</v>
      </c>
      <c r="AS719" s="287">
        <f t="shared" ref="AS719:AS782" si="460">L719*$AI719*$AJ719</f>
        <v>42500</v>
      </c>
      <c r="AT719" s="287">
        <f t="shared" ref="AT719:AT782" si="461">M719*$AI719*$AJ719</f>
        <v>0</v>
      </c>
      <c r="AU719" s="287">
        <f t="shared" ref="AU719:AU782" si="462">N719*$AI719*$AJ719</f>
        <v>0</v>
      </c>
      <c r="AV719" s="287">
        <f t="shared" ref="AV719:AV782" si="463">O719*$AI719*$AJ719</f>
        <v>0</v>
      </c>
      <c r="AW719" s="287">
        <f t="shared" ref="AW719:AW782" si="464">P719*$AI719*$AJ719</f>
        <v>0</v>
      </c>
      <c r="AX719" s="287">
        <f t="shared" ref="AX719:AX782" si="465">Q719*$AI719*$AJ719</f>
        <v>0</v>
      </c>
      <c r="AY719" s="287">
        <f t="shared" ref="AY719:AY782" si="466">R719*$AI719*$AJ719</f>
        <v>0</v>
      </c>
      <c r="AZ719" s="287">
        <f t="shared" ref="AZ719:AZ782" si="467">S719*$AI719*$AJ719</f>
        <v>0</v>
      </c>
      <c r="BA719" s="287">
        <f t="shared" ref="BA719:BA782" si="468">T719*$AI719*$AJ719</f>
        <v>0</v>
      </c>
      <c r="BB719" s="16"/>
      <c r="BC719" s="287">
        <f t="shared" ref="BC719:BC782" si="469">K719*$AI719*$AK719</f>
        <v>0</v>
      </c>
      <c r="BD719" s="287">
        <f t="shared" ref="BD719:BD782" si="470">L719*$AI719*$AK719</f>
        <v>0</v>
      </c>
      <c r="BE719" s="287">
        <f t="shared" ref="BE719:BE782" si="471">M719*$AI719*$AK719</f>
        <v>0</v>
      </c>
      <c r="BF719" s="287">
        <f t="shared" ref="BF719:BF782" si="472">N719*$AI719*$AK719</f>
        <v>0</v>
      </c>
      <c r="BG719" s="287">
        <f t="shared" ref="BG719:BG782" si="473">O719*$AI719*$AK719</f>
        <v>0</v>
      </c>
      <c r="BH719" s="287">
        <f t="shared" ref="BH719:BH782" si="474">P719*$AI719*$AK719</f>
        <v>0</v>
      </c>
      <c r="BI719" s="287">
        <f t="shared" ref="BI719:BI782" si="475">Q719*$AI719*$AK719</f>
        <v>0</v>
      </c>
      <c r="BJ719" s="287">
        <f t="shared" ref="BJ719:BJ782" si="476">R719*$AI719*$AK719</f>
        <v>0</v>
      </c>
      <c r="BK719" s="287">
        <f t="shared" ref="BK719:BK782" si="477">S719*$AI719*$AK719</f>
        <v>0</v>
      </c>
      <c r="BL719" s="287">
        <f t="shared" ref="BL719:BL782" si="478">T719*$AI719*$AK719</f>
        <v>0</v>
      </c>
      <c r="BM719" s="16"/>
      <c r="BN719" s="287">
        <f t="shared" ref="BN719:BN782" si="479">SUM(AR719:BA719)</f>
        <v>47000</v>
      </c>
      <c r="BO719" s="287">
        <f t="shared" ref="BO719:BO782" si="480">SUM(BC719:BL719)</f>
        <v>0</v>
      </c>
      <c r="BP719" s="432"/>
      <c r="BQ719" s="21"/>
      <c r="BR719" s="21"/>
      <c r="BS719" s="6"/>
      <c r="BT719" s="194">
        <f t="shared" si="449"/>
        <v>47000</v>
      </c>
      <c r="BU719" s="194">
        <f t="shared" si="450"/>
        <v>47000</v>
      </c>
      <c r="BV719" s="194">
        <f t="shared" si="451"/>
        <v>0</v>
      </c>
      <c r="BW719" s="194">
        <f t="shared" si="452"/>
        <v>0</v>
      </c>
      <c r="BX719" s="6"/>
      <c r="BY719" s="6"/>
      <c r="BZ719" s="39">
        <v>706</v>
      </c>
      <c r="CA719" s="39">
        <f t="shared" ref="CA719:CA782" si="481">IFERROR(ROUND(IF(AJ719=100%,2031,1/AJ719*10+2021),0),"")</f>
        <v>2031</v>
      </c>
      <c r="CB719" s="6"/>
      <c r="CC719" s="39"/>
      <c r="CD719" s="39"/>
      <c r="CE719" s="39"/>
      <c r="CF719" s="39"/>
      <c r="CG719" s="39"/>
      <c r="CH719" s="39"/>
      <c r="CI719" s="39"/>
      <c r="CJ719" s="39"/>
      <c r="CK719" s="39"/>
    </row>
    <row r="720" spans="1:89" s="193" customFormat="1" ht="24">
      <c r="A720" s="357"/>
      <c r="B720" s="21" t="str">
        <f t="shared" si="458"/>
        <v>STW</v>
      </c>
      <c r="C720" s="21"/>
      <c r="D720" s="432" t="s">
        <v>3941</v>
      </c>
      <c r="E720" s="439" t="s">
        <v>3626</v>
      </c>
      <c r="F720" s="439" t="s">
        <v>3940</v>
      </c>
      <c r="G720" s="273" t="s">
        <v>3939</v>
      </c>
      <c r="H720" s="358" t="s">
        <v>4536</v>
      </c>
      <c r="I720" s="262" t="s">
        <v>3491</v>
      </c>
      <c r="J720" s="262" t="s">
        <v>4198</v>
      </c>
      <c r="K720" s="263">
        <v>30000</v>
      </c>
      <c r="L720" s="263">
        <v>0</v>
      </c>
      <c r="M720" s="263">
        <v>0</v>
      </c>
      <c r="N720" s="263">
        <v>0</v>
      </c>
      <c r="O720" s="263">
        <v>0</v>
      </c>
      <c r="P720" s="263">
        <v>0</v>
      </c>
      <c r="Q720" s="263">
        <v>0</v>
      </c>
      <c r="R720" s="263">
        <v>0</v>
      </c>
      <c r="S720" s="263">
        <v>0</v>
      </c>
      <c r="T720" s="263">
        <v>0</v>
      </c>
      <c r="U720" s="263">
        <f t="shared" si="441"/>
        <v>30000</v>
      </c>
      <c r="V720" s="196" t="str">
        <f t="shared" si="456"/>
        <v>G/LOS/R</v>
      </c>
      <c r="W720" s="196" t="s">
        <v>1168</v>
      </c>
      <c r="X720" s="196" t="str">
        <f t="shared" si="453"/>
        <v>Y</v>
      </c>
      <c r="Y720" s="376">
        <f t="shared" si="454"/>
        <v>30000</v>
      </c>
      <c r="Z720" s="198"/>
      <c r="AA720" s="376">
        <f t="shared" si="457"/>
        <v>30000</v>
      </c>
      <c r="AB720" s="196" t="s">
        <v>1166</v>
      </c>
      <c r="AC720" s="196" t="s">
        <v>1168</v>
      </c>
      <c r="AD720" s="518">
        <v>0.1</v>
      </c>
      <c r="AE720" s="275">
        <v>0.8</v>
      </c>
      <c r="AF720" s="275">
        <v>0.1</v>
      </c>
      <c r="AG720" s="442">
        <v>0.1</v>
      </c>
      <c r="AH720" s="442">
        <v>0.1</v>
      </c>
      <c r="AI720" s="377">
        <f t="shared" si="442"/>
        <v>0.1</v>
      </c>
      <c r="AJ720" s="688">
        <v>1</v>
      </c>
      <c r="AK720" s="203">
        <f t="shared" si="455"/>
        <v>0</v>
      </c>
      <c r="AL720" s="376">
        <f t="shared" si="443"/>
        <v>27000</v>
      </c>
      <c r="AM720" s="376">
        <f t="shared" si="444"/>
        <v>3000</v>
      </c>
      <c r="AN720" s="376">
        <f t="shared" si="445"/>
        <v>0</v>
      </c>
      <c r="AO720" s="378" t="s">
        <v>3607</v>
      </c>
      <c r="AP720" s="379" t="s">
        <v>5395</v>
      </c>
      <c r="AQ720" s="279"/>
      <c r="AR720" s="287">
        <f t="shared" si="459"/>
        <v>3000</v>
      </c>
      <c r="AS720" s="287">
        <f t="shared" si="460"/>
        <v>0</v>
      </c>
      <c r="AT720" s="287">
        <f t="shared" si="461"/>
        <v>0</v>
      </c>
      <c r="AU720" s="287">
        <f t="shared" si="462"/>
        <v>0</v>
      </c>
      <c r="AV720" s="287">
        <f t="shared" si="463"/>
        <v>0</v>
      </c>
      <c r="AW720" s="287">
        <f t="shared" si="464"/>
        <v>0</v>
      </c>
      <c r="AX720" s="287">
        <f t="shared" si="465"/>
        <v>0</v>
      </c>
      <c r="AY720" s="287">
        <f t="shared" si="466"/>
        <v>0</v>
      </c>
      <c r="AZ720" s="287">
        <f t="shared" si="467"/>
        <v>0</v>
      </c>
      <c r="BA720" s="287">
        <f t="shared" si="468"/>
        <v>0</v>
      </c>
      <c r="BB720" s="16"/>
      <c r="BC720" s="287">
        <f t="shared" si="469"/>
        <v>0</v>
      </c>
      <c r="BD720" s="287">
        <f t="shared" si="470"/>
        <v>0</v>
      </c>
      <c r="BE720" s="287">
        <f t="shared" si="471"/>
        <v>0</v>
      </c>
      <c r="BF720" s="287">
        <f t="shared" si="472"/>
        <v>0</v>
      </c>
      <c r="BG720" s="287">
        <f t="shared" si="473"/>
        <v>0</v>
      </c>
      <c r="BH720" s="287">
        <f t="shared" si="474"/>
        <v>0</v>
      </c>
      <c r="BI720" s="287">
        <f t="shared" si="475"/>
        <v>0</v>
      </c>
      <c r="BJ720" s="287">
        <f t="shared" si="476"/>
        <v>0</v>
      </c>
      <c r="BK720" s="287">
        <f t="shared" si="477"/>
        <v>0</v>
      </c>
      <c r="BL720" s="287">
        <f t="shared" si="478"/>
        <v>0</v>
      </c>
      <c r="BM720" s="16"/>
      <c r="BN720" s="287">
        <f t="shared" si="479"/>
        <v>3000</v>
      </c>
      <c r="BO720" s="287">
        <f t="shared" si="480"/>
        <v>0</v>
      </c>
      <c r="BP720" s="432"/>
      <c r="BQ720" s="21"/>
      <c r="BR720" s="21"/>
      <c r="BS720" s="6"/>
      <c r="BT720" s="194">
        <f t="shared" si="449"/>
        <v>3000</v>
      </c>
      <c r="BU720" s="194">
        <f t="shared" si="450"/>
        <v>3000</v>
      </c>
      <c r="BV720" s="194">
        <f t="shared" si="451"/>
        <v>0</v>
      </c>
      <c r="BW720" s="194">
        <f t="shared" si="452"/>
        <v>0</v>
      </c>
      <c r="BX720" s="6"/>
      <c r="BY720" s="6"/>
      <c r="BZ720" s="39">
        <v>707</v>
      </c>
      <c r="CA720" s="39">
        <f t="shared" si="481"/>
        <v>2031</v>
      </c>
      <c r="CB720" s="6"/>
      <c r="CC720" s="39"/>
      <c r="CD720" s="39"/>
      <c r="CE720" s="39"/>
      <c r="CF720" s="39"/>
      <c r="CG720" s="39"/>
      <c r="CH720" s="39"/>
      <c r="CI720" s="39"/>
      <c r="CJ720" s="39"/>
      <c r="CK720" s="39"/>
    </row>
    <row r="721" spans="1:89" s="193" customFormat="1" ht="24">
      <c r="A721" s="357"/>
      <c r="B721" s="21" t="str">
        <f t="shared" si="458"/>
        <v>STW</v>
      </c>
      <c r="C721" s="21"/>
      <c r="D721" s="432"/>
      <c r="E721" s="439" t="s">
        <v>3626</v>
      </c>
      <c r="F721" s="439" t="s">
        <v>2987</v>
      </c>
      <c r="G721" s="273" t="s">
        <v>4324</v>
      </c>
      <c r="H721" s="358" t="s">
        <v>4498</v>
      </c>
      <c r="I721" s="262" t="s">
        <v>3491</v>
      </c>
      <c r="J721" s="262" t="s">
        <v>4200</v>
      </c>
      <c r="K721" s="263">
        <v>5000000</v>
      </c>
      <c r="L721" s="263">
        <v>10000000</v>
      </c>
      <c r="M721" s="263">
        <v>0</v>
      </c>
      <c r="N721" s="263">
        <v>0</v>
      </c>
      <c r="O721" s="263">
        <v>0</v>
      </c>
      <c r="P721" s="263">
        <v>0</v>
      </c>
      <c r="Q721" s="263">
        <v>0</v>
      </c>
      <c r="R721" s="263">
        <v>0</v>
      </c>
      <c r="S721" s="263">
        <v>0</v>
      </c>
      <c r="T721" s="263">
        <v>0</v>
      </c>
      <c r="U721" s="263">
        <f t="shared" si="441"/>
        <v>15000000</v>
      </c>
      <c r="V721" s="196" t="str">
        <f t="shared" si="456"/>
        <v>G/LOS/R</v>
      </c>
      <c r="W721" s="196" t="s">
        <v>1168</v>
      </c>
      <c r="X721" s="196" t="str">
        <f t="shared" si="453"/>
        <v>Y</v>
      </c>
      <c r="Y721" s="376">
        <f t="shared" si="454"/>
        <v>15000000</v>
      </c>
      <c r="Z721" s="198"/>
      <c r="AA721" s="376">
        <f t="shared" si="457"/>
        <v>15000000</v>
      </c>
      <c r="AB721" s="196" t="s">
        <v>1166</v>
      </c>
      <c r="AC721" s="196" t="s">
        <v>3624</v>
      </c>
      <c r="AD721" s="275">
        <v>0.1</v>
      </c>
      <c r="AE721" s="275">
        <v>0.85000000000000009</v>
      </c>
      <c r="AF721" s="275">
        <v>0.05</v>
      </c>
      <c r="AG721" s="442">
        <v>0.1</v>
      </c>
      <c r="AH721" s="442">
        <v>0.15</v>
      </c>
      <c r="AI721" s="377">
        <f t="shared" si="442"/>
        <v>0.125</v>
      </c>
      <c r="AJ721" s="688">
        <v>1</v>
      </c>
      <c r="AK721" s="203">
        <f t="shared" si="455"/>
        <v>0</v>
      </c>
      <c r="AL721" s="376">
        <f t="shared" si="443"/>
        <v>13125000</v>
      </c>
      <c r="AM721" s="376">
        <f t="shared" si="444"/>
        <v>1875000</v>
      </c>
      <c r="AN721" s="376">
        <f t="shared" si="445"/>
        <v>0</v>
      </c>
      <c r="AO721" s="378" t="s">
        <v>3607</v>
      </c>
      <c r="AP721" s="379" t="s">
        <v>5400</v>
      </c>
      <c r="AQ721" s="279"/>
      <c r="AR721" s="287">
        <f t="shared" si="459"/>
        <v>625000</v>
      </c>
      <c r="AS721" s="287">
        <f t="shared" si="460"/>
        <v>1250000</v>
      </c>
      <c r="AT721" s="287">
        <f t="shared" si="461"/>
        <v>0</v>
      </c>
      <c r="AU721" s="287">
        <f t="shared" si="462"/>
        <v>0</v>
      </c>
      <c r="AV721" s="287">
        <f t="shared" si="463"/>
        <v>0</v>
      </c>
      <c r="AW721" s="287">
        <f t="shared" si="464"/>
        <v>0</v>
      </c>
      <c r="AX721" s="287">
        <f t="shared" si="465"/>
        <v>0</v>
      </c>
      <c r="AY721" s="287">
        <f t="shared" si="466"/>
        <v>0</v>
      </c>
      <c r="AZ721" s="287">
        <f t="shared" si="467"/>
        <v>0</v>
      </c>
      <c r="BA721" s="287">
        <f t="shared" si="468"/>
        <v>0</v>
      </c>
      <c r="BB721" s="16"/>
      <c r="BC721" s="287">
        <f t="shared" si="469"/>
        <v>0</v>
      </c>
      <c r="BD721" s="287">
        <f t="shared" si="470"/>
        <v>0</v>
      </c>
      <c r="BE721" s="287">
        <f t="shared" si="471"/>
        <v>0</v>
      </c>
      <c r="BF721" s="287">
        <f t="shared" si="472"/>
        <v>0</v>
      </c>
      <c r="BG721" s="287">
        <f t="shared" si="473"/>
        <v>0</v>
      </c>
      <c r="BH721" s="287">
        <f t="shared" si="474"/>
        <v>0</v>
      </c>
      <c r="BI721" s="287">
        <f t="shared" si="475"/>
        <v>0</v>
      </c>
      <c r="BJ721" s="287">
        <f t="shared" si="476"/>
        <v>0</v>
      </c>
      <c r="BK721" s="287">
        <f t="shared" si="477"/>
        <v>0</v>
      </c>
      <c r="BL721" s="287">
        <f t="shared" si="478"/>
        <v>0</v>
      </c>
      <c r="BM721" s="16"/>
      <c r="BN721" s="287">
        <f t="shared" si="479"/>
        <v>1875000</v>
      </c>
      <c r="BO721" s="287">
        <f t="shared" si="480"/>
        <v>0</v>
      </c>
      <c r="BP721" s="432"/>
      <c r="BQ721" s="21"/>
      <c r="BR721" s="21"/>
      <c r="BS721" s="6"/>
      <c r="BT721" s="194">
        <f t="shared" si="449"/>
        <v>1875000</v>
      </c>
      <c r="BU721" s="194">
        <f t="shared" si="450"/>
        <v>1875000</v>
      </c>
      <c r="BV721" s="194">
        <f t="shared" si="451"/>
        <v>0</v>
      </c>
      <c r="BW721" s="194">
        <f t="shared" si="452"/>
        <v>0</v>
      </c>
      <c r="BX721" s="6"/>
      <c r="BY721" s="6"/>
      <c r="BZ721" s="39">
        <v>708</v>
      </c>
      <c r="CA721" s="39">
        <f t="shared" si="481"/>
        <v>2031</v>
      </c>
      <c r="CB721" s="6"/>
      <c r="CC721" s="39"/>
      <c r="CD721" s="39"/>
      <c r="CE721" s="39"/>
      <c r="CF721" s="39"/>
      <c r="CG721" s="39"/>
      <c r="CH721" s="39"/>
      <c r="CI721" s="39"/>
      <c r="CJ721" s="39"/>
      <c r="CK721" s="39"/>
    </row>
    <row r="722" spans="1:89" s="193" customFormat="1" ht="24">
      <c r="A722" s="357"/>
      <c r="B722" s="21" t="str">
        <f t="shared" si="458"/>
        <v>STW</v>
      </c>
      <c r="C722" s="21"/>
      <c r="D722" s="432" t="s">
        <v>3917</v>
      </c>
      <c r="E722" s="439" t="s">
        <v>3626</v>
      </c>
      <c r="F722" s="439" t="s">
        <v>4043</v>
      </c>
      <c r="G722" s="273" t="s">
        <v>4042</v>
      </c>
      <c r="H722" s="358" t="s">
        <v>4503</v>
      </c>
      <c r="I722" s="262" t="s">
        <v>3491</v>
      </c>
      <c r="J722" s="262" t="s">
        <v>4221</v>
      </c>
      <c r="K722" s="263">
        <v>110000</v>
      </c>
      <c r="L722" s="263">
        <v>120000</v>
      </c>
      <c r="M722" s="263">
        <v>1395000</v>
      </c>
      <c r="N722" s="263">
        <v>1860000</v>
      </c>
      <c r="O722" s="263">
        <v>0</v>
      </c>
      <c r="P722" s="263">
        <v>0</v>
      </c>
      <c r="Q722" s="263">
        <v>0</v>
      </c>
      <c r="R722" s="263">
        <v>0</v>
      </c>
      <c r="S722" s="263">
        <v>0</v>
      </c>
      <c r="T722" s="263">
        <v>0</v>
      </c>
      <c r="U722" s="263">
        <f t="shared" si="441"/>
        <v>3485000</v>
      </c>
      <c r="V722" s="196" t="str">
        <f t="shared" si="456"/>
        <v>G/LOS/R</v>
      </c>
      <c r="W722" s="196" t="s">
        <v>1168</v>
      </c>
      <c r="X722" s="196" t="str">
        <f t="shared" si="453"/>
        <v>Y</v>
      </c>
      <c r="Y722" s="376">
        <f t="shared" si="454"/>
        <v>3485000</v>
      </c>
      <c r="Z722" s="198"/>
      <c r="AA722" s="376">
        <f t="shared" si="457"/>
        <v>3485000</v>
      </c>
      <c r="AB722" s="196" t="s">
        <v>1166</v>
      </c>
      <c r="AC722" s="196" t="s">
        <v>1168</v>
      </c>
      <c r="AD722" s="275">
        <v>0.3</v>
      </c>
      <c r="AE722" s="275">
        <v>0.6</v>
      </c>
      <c r="AF722" s="275">
        <v>0.1</v>
      </c>
      <c r="AG722" s="442">
        <v>0.3</v>
      </c>
      <c r="AH722" s="442">
        <v>0.3</v>
      </c>
      <c r="AI722" s="377">
        <f t="shared" si="442"/>
        <v>0.3</v>
      </c>
      <c r="AJ722" s="548">
        <v>1</v>
      </c>
      <c r="AK722" s="203">
        <v>0</v>
      </c>
      <c r="AL722" s="376">
        <f t="shared" si="443"/>
        <v>2439500</v>
      </c>
      <c r="AM722" s="376">
        <f t="shared" si="444"/>
        <v>1045500</v>
      </c>
      <c r="AN722" s="376">
        <f t="shared" si="445"/>
        <v>0</v>
      </c>
      <c r="AO722" s="378" t="s">
        <v>3607</v>
      </c>
      <c r="AP722" s="379" t="s">
        <v>5423</v>
      </c>
      <c r="AQ722" s="279"/>
      <c r="AR722" s="287">
        <f t="shared" si="459"/>
        <v>33000</v>
      </c>
      <c r="AS722" s="287">
        <f t="shared" si="460"/>
        <v>36000</v>
      </c>
      <c r="AT722" s="287">
        <f t="shared" si="461"/>
        <v>418500</v>
      </c>
      <c r="AU722" s="287">
        <f t="shared" si="462"/>
        <v>558000</v>
      </c>
      <c r="AV722" s="287">
        <f t="shared" si="463"/>
        <v>0</v>
      </c>
      <c r="AW722" s="287">
        <f t="shared" si="464"/>
        <v>0</v>
      </c>
      <c r="AX722" s="287">
        <f t="shared" si="465"/>
        <v>0</v>
      </c>
      <c r="AY722" s="287">
        <f t="shared" si="466"/>
        <v>0</v>
      </c>
      <c r="AZ722" s="287">
        <f t="shared" si="467"/>
        <v>0</v>
      </c>
      <c r="BA722" s="287">
        <f t="shared" si="468"/>
        <v>0</v>
      </c>
      <c r="BB722" s="16"/>
      <c r="BC722" s="287">
        <f t="shared" si="469"/>
        <v>0</v>
      </c>
      <c r="BD722" s="287">
        <f t="shared" si="470"/>
        <v>0</v>
      </c>
      <c r="BE722" s="287">
        <f t="shared" si="471"/>
        <v>0</v>
      </c>
      <c r="BF722" s="287">
        <f t="shared" si="472"/>
        <v>0</v>
      </c>
      <c r="BG722" s="287">
        <f t="shared" si="473"/>
        <v>0</v>
      </c>
      <c r="BH722" s="287">
        <f t="shared" si="474"/>
        <v>0</v>
      </c>
      <c r="BI722" s="287">
        <f t="shared" si="475"/>
        <v>0</v>
      </c>
      <c r="BJ722" s="287">
        <f t="shared" si="476"/>
        <v>0</v>
      </c>
      <c r="BK722" s="287">
        <f t="shared" si="477"/>
        <v>0</v>
      </c>
      <c r="BL722" s="287">
        <f t="shared" si="478"/>
        <v>0</v>
      </c>
      <c r="BM722" s="16"/>
      <c r="BN722" s="287">
        <f t="shared" si="479"/>
        <v>1045500</v>
      </c>
      <c r="BO722" s="287">
        <f t="shared" si="480"/>
        <v>0</v>
      </c>
      <c r="BP722" s="432"/>
      <c r="BQ722" s="21"/>
      <c r="BR722" s="21"/>
      <c r="BS722" s="6"/>
      <c r="BT722" s="6"/>
      <c r="BU722" s="6"/>
      <c r="BV722" s="6"/>
      <c r="BW722" s="6"/>
      <c r="BX722" s="6"/>
      <c r="BY722" s="6"/>
      <c r="BZ722" s="39">
        <v>709</v>
      </c>
      <c r="CA722" s="39">
        <f t="shared" si="481"/>
        <v>2031</v>
      </c>
      <c r="CB722" s="6"/>
      <c r="CC722" s="39"/>
      <c r="CD722" s="39"/>
      <c r="CE722" s="39"/>
      <c r="CF722" s="39"/>
      <c r="CG722" s="39"/>
      <c r="CH722" s="39"/>
      <c r="CI722" s="39"/>
      <c r="CJ722" s="39"/>
      <c r="CK722" s="39"/>
    </row>
    <row r="723" spans="1:89" s="193" customFormat="1" ht="36">
      <c r="A723" s="357"/>
      <c r="B723" s="21" t="str">
        <f t="shared" si="458"/>
        <v>STW</v>
      </c>
      <c r="C723" s="21"/>
      <c r="D723" s="432"/>
      <c r="E723" s="439" t="s">
        <v>3626</v>
      </c>
      <c r="F723" s="439" t="s">
        <v>4008</v>
      </c>
      <c r="G723" s="273" t="s">
        <v>4007</v>
      </c>
      <c r="H723" s="358" t="s">
        <v>4605</v>
      </c>
      <c r="I723" s="262" t="s">
        <v>3491</v>
      </c>
      <c r="J723" s="262" t="s">
        <v>4196</v>
      </c>
      <c r="K723" s="263">
        <v>607500</v>
      </c>
      <c r="L723" s="263">
        <v>3130500</v>
      </c>
      <c r="M723" s="263">
        <v>3104500</v>
      </c>
      <c r="N723" s="263">
        <v>0</v>
      </c>
      <c r="O723" s="263">
        <v>0</v>
      </c>
      <c r="P723" s="263">
        <v>0</v>
      </c>
      <c r="Q723" s="263">
        <v>0</v>
      </c>
      <c r="R723" s="263">
        <v>0</v>
      </c>
      <c r="S723" s="263">
        <v>0</v>
      </c>
      <c r="T723" s="263">
        <v>0</v>
      </c>
      <c r="U723" s="263">
        <f t="shared" si="441"/>
        <v>6842500</v>
      </c>
      <c r="V723" s="196" t="str">
        <f t="shared" si="456"/>
        <v>G/LOS/R</v>
      </c>
      <c r="W723" s="196" t="s">
        <v>1168</v>
      </c>
      <c r="X723" s="196" t="str">
        <f t="shared" si="453"/>
        <v>Y</v>
      </c>
      <c r="Y723" s="376">
        <f t="shared" si="454"/>
        <v>6842500</v>
      </c>
      <c r="Z723" s="198"/>
      <c r="AA723" s="376">
        <f t="shared" si="457"/>
        <v>6842500</v>
      </c>
      <c r="AB723" s="196" t="s">
        <v>1166</v>
      </c>
      <c r="AC723" s="196" t="s">
        <v>1168</v>
      </c>
      <c r="AD723" s="275">
        <v>0.4</v>
      </c>
      <c r="AE723" s="275">
        <v>0.2</v>
      </c>
      <c r="AF723" s="275">
        <v>0.4</v>
      </c>
      <c r="AG723" s="442">
        <v>0.4</v>
      </c>
      <c r="AH723" s="442">
        <v>0.4</v>
      </c>
      <c r="AI723" s="377">
        <f t="shared" si="442"/>
        <v>0.4</v>
      </c>
      <c r="AJ723" s="548">
        <v>1</v>
      </c>
      <c r="AK723" s="203">
        <f>1-AJ723</f>
        <v>0</v>
      </c>
      <c r="AL723" s="376">
        <f t="shared" si="443"/>
        <v>4105500</v>
      </c>
      <c r="AM723" s="376">
        <f t="shared" si="444"/>
        <v>2737000</v>
      </c>
      <c r="AN723" s="376">
        <f t="shared" si="445"/>
        <v>0</v>
      </c>
      <c r="AO723" s="378" t="s">
        <v>3607</v>
      </c>
      <c r="AP723" s="379" t="s">
        <v>5418</v>
      </c>
      <c r="AQ723" s="279"/>
      <c r="AR723" s="287">
        <f t="shared" si="459"/>
        <v>243000</v>
      </c>
      <c r="AS723" s="287">
        <f t="shared" si="460"/>
        <v>1252200</v>
      </c>
      <c r="AT723" s="287">
        <f t="shared" si="461"/>
        <v>1241800</v>
      </c>
      <c r="AU723" s="287">
        <f t="shared" si="462"/>
        <v>0</v>
      </c>
      <c r="AV723" s="287">
        <f t="shared" si="463"/>
        <v>0</v>
      </c>
      <c r="AW723" s="287">
        <f t="shared" si="464"/>
        <v>0</v>
      </c>
      <c r="AX723" s="287">
        <f t="shared" si="465"/>
        <v>0</v>
      </c>
      <c r="AY723" s="287">
        <f t="shared" si="466"/>
        <v>0</v>
      </c>
      <c r="AZ723" s="287">
        <f t="shared" si="467"/>
        <v>0</v>
      </c>
      <c r="BA723" s="287">
        <f t="shared" si="468"/>
        <v>0</v>
      </c>
      <c r="BB723" s="16"/>
      <c r="BC723" s="287">
        <f t="shared" si="469"/>
        <v>0</v>
      </c>
      <c r="BD723" s="287">
        <f t="shared" si="470"/>
        <v>0</v>
      </c>
      <c r="BE723" s="287">
        <f t="shared" si="471"/>
        <v>0</v>
      </c>
      <c r="BF723" s="287">
        <f t="shared" si="472"/>
        <v>0</v>
      </c>
      <c r="BG723" s="287">
        <f t="shared" si="473"/>
        <v>0</v>
      </c>
      <c r="BH723" s="287">
        <f t="shared" si="474"/>
        <v>0</v>
      </c>
      <c r="BI723" s="287">
        <f t="shared" si="475"/>
        <v>0</v>
      </c>
      <c r="BJ723" s="287">
        <f t="shared" si="476"/>
        <v>0</v>
      </c>
      <c r="BK723" s="287">
        <f t="shared" si="477"/>
        <v>0</v>
      </c>
      <c r="BL723" s="287">
        <f t="shared" si="478"/>
        <v>0</v>
      </c>
      <c r="BM723" s="16"/>
      <c r="BN723" s="287">
        <f t="shared" si="479"/>
        <v>2737000</v>
      </c>
      <c r="BO723" s="287">
        <f t="shared" si="480"/>
        <v>0</v>
      </c>
      <c r="BP723" s="432"/>
      <c r="BQ723" s="21"/>
      <c r="BR723" s="21"/>
      <c r="BS723" s="6"/>
      <c r="BT723" s="194">
        <f>+BN723+BO723</f>
        <v>2737000</v>
      </c>
      <c r="BU723" s="194">
        <f t="shared" ref="BU723:BV725" si="482">+AM723</f>
        <v>2737000</v>
      </c>
      <c r="BV723" s="194">
        <f t="shared" si="482"/>
        <v>0</v>
      </c>
      <c r="BW723" s="194">
        <f>+BT723-BU723-BV723</f>
        <v>0</v>
      </c>
      <c r="BX723" s="6"/>
      <c r="BY723" s="6"/>
      <c r="BZ723" s="39">
        <v>710</v>
      </c>
      <c r="CA723" s="39">
        <f t="shared" si="481"/>
        <v>2031</v>
      </c>
      <c r="CB723" s="6"/>
      <c r="CC723" s="39"/>
      <c r="CD723" s="39"/>
      <c r="CE723" s="39"/>
      <c r="CF723" s="39"/>
      <c r="CG723" s="39"/>
      <c r="CH723" s="39"/>
      <c r="CI723" s="39"/>
      <c r="CJ723" s="39"/>
      <c r="CK723" s="39"/>
    </row>
    <row r="724" spans="1:89" s="193" customFormat="1" ht="24">
      <c r="A724" s="357"/>
      <c r="B724" s="21" t="str">
        <f t="shared" si="458"/>
        <v>STW</v>
      </c>
      <c r="C724" s="21"/>
      <c r="D724" s="432"/>
      <c r="E724" s="439" t="s">
        <v>3626</v>
      </c>
      <c r="F724" s="439" t="s">
        <v>4179</v>
      </c>
      <c r="G724" s="273" t="s">
        <v>4180</v>
      </c>
      <c r="H724" s="358" t="s">
        <v>4514</v>
      </c>
      <c r="I724" s="262" t="s">
        <v>3491</v>
      </c>
      <c r="J724" s="262" t="s">
        <v>4200</v>
      </c>
      <c r="K724" s="263">
        <v>50000</v>
      </c>
      <c r="L724" s="263">
        <v>50000</v>
      </c>
      <c r="M724" s="263">
        <v>300000</v>
      </c>
      <c r="N724" s="263">
        <v>1000000</v>
      </c>
      <c r="O724" s="263">
        <v>3800000</v>
      </c>
      <c r="P724" s="263">
        <v>0</v>
      </c>
      <c r="Q724" s="263">
        <v>0</v>
      </c>
      <c r="R724" s="263">
        <v>0</v>
      </c>
      <c r="S724" s="263">
        <v>0</v>
      </c>
      <c r="T724" s="263">
        <v>0</v>
      </c>
      <c r="U724" s="263">
        <f t="shared" si="441"/>
        <v>5200000</v>
      </c>
      <c r="V724" s="196" t="str">
        <f t="shared" si="456"/>
        <v>G/LOS/R</v>
      </c>
      <c r="W724" s="196" t="s">
        <v>1168</v>
      </c>
      <c r="X724" s="196" t="str">
        <f t="shared" si="453"/>
        <v>Y</v>
      </c>
      <c r="Y724" s="376">
        <f t="shared" si="454"/>
        <v>5200000</v>
      </c>
      <c r="Z724" s="198"/>
      <c r="AA724" s="376">
        <f t="shared" si="457"/>
        <v>5200000</v>
      </c>
      <c r="AB724" s="196" t="s">
        <v>1166</v>
      </c>
      <c r="AC724" s="196" t="s">
        <v>3624</v>
      </c>
      <c r="AD724" s="275">
        <v>0.15</v>
      </c>
      <c r="AE724" s="275">
        <v>0.70000000000000007</v>
      </c>
      <c r="AF724" s="275">
        <v>0.15</v>
      </c>
      <c r="AG724" s="442">
        <v>0.15</v>
      </c>
      <c r="AH724" s="442">
        <v>0.15</v>
      </c>
      <c r="AI724" s="377">
        <f t="shared" si="442"/>
        <v>0.15</v>
      </c>
      <c r="AJ724" s="688">
        <v>1</v>
      </c>
      <c r="AK724" s="203">
        <f>1-AJ724</f>
        <v>0</v>
      </c>
      <c r="AL724" s="376">
        <f t="shared" si="443"/>
        <v>4420000</v>
      </c>
      <c r="AM724" s="376">
        <f t="shared" si="444"/>
        <v>780000</v>
      </c>
      <c r="AN724" s="376">
        <f t="shared" si="445"/>
        <v>0</v>
      </c>
      <c r="AO724" s="378" t="s">
        <v>3607</v>
      </c>
      <c r="AP724" s="379" t="s">
        <v>5400</v>
      </c>
      <c r="AQ724" s="279"/>
      <c r="AR724" s="287">
        <f t="shared" si="459"/>
        <v>7500</v>
      </c>
      <c r="AS724" s="287">
        <f t="shared" si="460"/>
        <v>7500</v>
      </c>
      <c r="AT724" s="287">
        <f t="shared" si="461"/>
        <v>45000</v>
      </c>
      <c r="AU724" s="287">
        <f t="shared" si="462"/>
        <v>150000</v>
      </c>
      <c r="AV724" s="287">
        <f t="shared" si="463"/>
        <v>570000</v>
      </c>
      <c r="AW724" s="287">
        <f t="shared" si="464"/>
        <v>0</v>
      </c>
      <c r="AX724" s="287">
        <f t="shared" si="465"/>
        <v>0</v>
      </c>
      <c r="AY724" s="287">
        <f t="shared" si="466"/>
        <v>0</v>
      </c>
      <c r="AZ724" s="287">
        <f t="shared" si="467"/>
        <v>0</v>
      </c>
      <c r="BA724" s="287">
        <f t="shared" si="468"/>
        <v>0</v>
      </c>
      <c r="BB724" s="16"/>
      <c r="BC724" s="287">
        <f t="shared" si="469"/>
        <v>0</v>
      </c>
      <c r="BD724" s="287">
        <f t="shared" si="470"/>
        <v>0</v>
      </c>
      <c r="BE724" s="287">
        <f t="shared" si="471"/>
        <v>0</v>
      </c>
      <c r="BF724" s="287">
        <f t="shared" si="472"/>
        <v>0</v>
      </c>
      <c r="BG724" s="287">
        <f t="shared" si="473"/>
        <v>0</v>
      </c>
      <c r="BH724" s="287">
        <f t="shared" si="474"/>
        <v>0</v>
      </c>
      <c r="BI724" s="287">
        <f t="shared" si="475"/>
        <v>0</v>
      </c>
      <c r="BJ724" s="287">
        <f t="shared" si="476"/>
        <v>0</v>
      </c>
      <c r="BK724" s="287">
        <f t="shared" si="477"/>
        <v>0</v>
      </c>
      <c r="BL724" s="287">
        <f t="shared" si="478"/>
        <v>0</v>
      </c>
      <c r="BM724" s="16"/>
      <c r="BN724" s="287">
        <f t="shared" si="479"/>
        <v>780000</v>
      </c>
      <c r="BO724" s="287">
        <f t="shared" si="480"/>
        <v>0</v>
      </c>
      <c r="BP724" s="432"/>
      <c r="BQ724" s="21"/>
      <c r="BR724" s="21"/>
      <c r="BS724" s="6"/>
      <c r="BT724" s="194">
        <f>+BN724+BO724</f>
        <v>780000</v>
      </c>
      <c r="BU724" s="194">
        <f t="shared" si="482"/>
        <v>780000</v>
      </c>
      <c r="BV724" s="194">
        <f t="shared" si="482"/>
        <v>0</v>
      </c>
      <c r="BW724" s="194">
        <f>+BT724-BU724-BV724</f>
        <v>0</v>
      </c>
      <c r="BX724" s="6"/>
      <c r="BY724" s="6"/>
      <c r="BZ724" s="39">
        <v>711</v>
      </c>
      <c r="CA724" s="39">
        <f t="shared" si="481"/>
        <v>2031</v>
      </c>
      <c r="CB724" s="6"/>
      <c r="CC724" s="39"/>
      <c r="CD724" s="39"/>
      <c r="CE724" s="39"/>
      <c r="CF724" s="39"/>
      <c r="CG724" s="39"/>
      <c r="CH724" s="39"/>
      <c r="CI724" s="39"/>
      <c r="CJ724" s="39"/>
      <c r="CK724" s="39"/>
    </row>
    <row r="725" spans="1:89" s="193" customFormat="1" ht="24">
      <c r="A725" s="357"/>
      <c r="B725" s="21" t="str">
        <f t="shared" si="458"/>
        <v>STW</v>
      </c>
      <c r="C725" s="21"/>
      <c r="D725" s="432" t="s">
        <v>3961</v>
      </c>
      <c r="E725" s="439" t="s">
        <v>3626</v>
      </c>
      <c r="F725" s="439" t="s">
        <v>3960</v>
      </c>
      <c r="G725" s="273" t="s">
        <v>3959</v>
      </c>
      <c r="H725" s="358" t="s">
        <v>4586</v>
      </c>
      <c r="I725" s="262" t="s">
        <v>3491</v>
      </c>
      <c r="J725" s="262" t="s">
        <v>4199</v>
      </c>
      <c r="K725" s="263">
        <v>885000</v>
      </c>
      <c r="L725" s="263">
        <v>1925000</v>
      </c>
      <c r="M725" s="263">
        <v>0</v>
      </c>
      <c r="N725" s="263">
        <v>0</v>
      </c>
      <c r="O725" s="263">
        <v>0</v>
      </c>
      <c r="P725" s="263">
        <v>0</v>
      </c>
      <c r="Q725" s="263">
        <v>0</v>
      </c>
      <c r="R725" s="263">
        <v>0</v>
      </c>
      <c r="S725" s="263">
        <v>0</v>
      </c>
      <c r="T725" s="263">
        <v>0</v>
      </c>
      <c r="U725" s="263">
        <f t="shared" si="441"/>
        <v>2810000</v>
      </c>
      <c r="V725" s="196" t="str">
        <f t="shared" si="456"/>
        <v>G/LOS</v>
      </c>
      <c r="W725" s="196" t="s">
        <v>1168</v>
      </c>
      <c r="X725" s="196" t="str">
        <f t="shared" si="453"/>
        <v>Y</v>
      </c>
      <c r="Y725" s="376">
        <f t="shared" si="454"/>
        <v>2810000</v>
      </c>
      <c r="Z725" s="198"/>
      <c r="AA725" s="376">
        <f t="shared" si="457"/>
        <v>2810000</v>
      </c>
      <c r="AB725" s="196" t="s">
        <v>1166</v>
      </c>
      <c r="AC725" s="196" t="s">
        <v>1168</v>
      </c>
      <c r="AD725" s="445">
        <v>0.8</v>
      </c>
      <c r="AE725" s="275">
        <v>0.2</v>
      </c>
      <c r="AF725" s="275">
        <v>0</v>
      </c>
      <c r="AG725" s="442">
        <v>0.8</v>
      </c>
      <c r="AH725" s="442">
        <v>0.8</v>
      </c>
      <c r="AI725" s="377">
        <f t="shared" si="442"/>
        <v>0.8</v>
      </c>
      <c r="AJ725" s="548">
        <v>1</v>
      </c>
      <c r="AK725" s="203">
        <f>1-AJ725</f>
        <v>0</v>
      </c>
      <c r="AL725" s="376">
        <f t="shared" si="443"/>
        <v>561999.99999999988</v>
      </c>
      <c r="AM725" s="376">
        <f t="shared" si="444"/>
        <v>2248000</v>
      </c>
      <c r="AN725" s="376">
        <f t="shared" si="445"/>
        <v>0</v>
      </c>
      <c r="AO725" s="378" t="s">
        <v>3607</v>
      </c>
      <c r="AP725" s="379" t="s">
        <v>5401</v>
      </c>
      <c r="AQ725" s="279"/>
      <c r="AR725" s="287">
        <f t="shared" si="459"/>
        <v>708000</v>
      </c>
      <c r="AS725" s="287">
        <f t="shared" si="460"/>
        <v>1540000</v>
      </c>
      <c r="AT725" s="287">
        <f t="shared" si="461"/>
        <v>0</v>
      </c>
      <c r="AU725" s="287">
        <f t="shared" si="462"/>
        <v>0</v>
      </c>
      <c r="AV725" s="287">
        <f t="shared" si="463"/>
        <v>0</v>
      </c>
      <c r="AW725" s="287">
        <f t="shared" si="464"/>
        <v>0</v>
      </c>
      <c r="AX725" s="287">
        <f t="shared" si="465"/>
        <v>0</v>
      </c>
      <c r="AY725" s="287">
        <f t="shared" si="466"/>
        <v>0</v>
      </c>
      <c r="AZ725" s="287">
        <f t="shared" si="467"/>
        <v>0</v>
      </c>
      <c r="BA725" s="287">
        <f t="shared" si="468"/>
        <v>0</v>
      </c>
      <c r="BB725" s="16"/>
      <c r="BC725" s="287">
        <f t="shared" si="469"/>
        <v>0</v>
      </c>
      <c r="BD725" s="287">
        <f t="shared" si="470"/>
        <v>0</v>
      </c>
      <c r="BE725" s="287">
        <f t="shared" si="471"/>
        <v>0</v>
      </c>
      <c r="BF725" s="287">
        <f t="shared" si="472"/>
        <v>0</v>
      </c>
      <c r="BG725" s="287">
        <f t="shared" si="473"/>
        <v>0</v>
      </c>
      <c r="BH725" s="287">
        <f t="shared" si="474"/>
        <v>0</v>
      </c>
      <c r="BI725" s="287">
        <f t="shared" si="475"/>
        <v>0</v>
      </c>
      <c r="BJ725" s="287">
        <f t="shared" si="476"/>
        <v>0</v>
      </c>
      <c r="BK725" s="287">
        <f t="shared" si="477"/>
        <v>0</v>
      </c>
      <c r="BL725" s="287">
        <f t="shared" si="478"/>
        <v>0</v>
      </c>
      <c r="BM725" s="16"/>
      <c r="BN725" s="287">
        <f t="shared" si="479"/>
        <v>2248000</v>
      </c>
      <c r="BO725" s="287">
        <f t="shared" si="480"/>
        <v>0</v>
      </c>
      <c r="BP725" s="432"/>
      <c r="BQ725" s="21"/>
      <c r="BR725" s="21"/>
      <c r="BS725" s="6"/>
      <c r="BT725" s="194">
        <f>+BN725+BO725</f>
        <v>2248000</v>
      </c>
      <c r="BU725" s="194">
        <f t="shared" si="482"/>
        <v>2248000</v>
      </c>
      <c r="BV725" s="194">
        <f t="shared" si="482"/>
        <v>0</v>
      </c>
      <c r="BW725" s="194">
        <f>+BT725-BU725-BV725</f>
        <v>0</v>
      </c>
      <c r="BX725" s="6"/>
      <c r="BY725" s="6"/>
      <c r="BZ725" s="39">
        <v>712</v>
      </c>
      <c r="CA725" s="39">
        <f t="shared" si="481"/>
        <v>2031</v>
      </c>
      <c r="CB725" s="6"/>
      <c r="CC725" s="39"/>
      <c r="CD725" s="39"/>
      <c r="CE725" s="39"/>
      <c r="CF725" s="39"/>
      <c r="CG725" s="39"/>
      <c r="CH725" s="39"/>
      <c r="CI725" s="39"/>
      <c r="CJ725" s="39"/>
      <c r="CK725" s="39"/>
    </row>
    <row r="726" spans="1:89" s="193" customFormat="1">
      <c r="A726" s="195"/>
      <c r="B726" s="21" t="str">
        <f t="shared" si="458"/>
        <v/>
      </c>
      <c r="C726" s="21"/>
      <c r="D726" s="432" t="s">
        <v>4183</v>
      </c>
      <c r="E726" s="439" t="s">
        <v>3626</v>
      </c>
      <c r="F726" s="439" t="s">
        <v>4184</v>
      </c>
      <c r="G726" s="273" t="s">
        <v>4185</v>
      </c>
      <c r="H726" s="358"/>
      <c r="I726" s="262" t="s">
        <v>3491</v>
      </c>
      <c r="J726" s="262" t="s">
        <v>3504</v>
      </c>
      <c r="K726" s="263">
        <v>107000</v>
      </c>
      <c r="L726" s="263">
        <v>0</v>
      </c>
      <c r="M726" s="263">
        <v>0</v>
      </c>
      <c r="N726" s="263">
        <v>0</v>
      </c>
      <c r="O726" s="263">
        <v>0</v>
      </c>
      <c r="P726" s="263">
        <v>0</v>
      </c>
      <c r="Q726" s="263">
        <v>0</v>
      </c>
      <c r="R726" s="263">
        <v>0</v>
      </c>
      <c r="S726" s="263">
        <v>0</v>
      </c>
      <c r="T726" s="263">
        <v>0</v>
      </c>
      <c r="U726" s="263">
        <f t="shared" si="441"/>
        <v>107000</v>
      </c>
      <c r="V726" s="196" t="str">
        <f t="shared" si="456"/>
        <v>LOS</v>
      </c>
      <c r="W726" s="196" t="s">
        <v>1168</v>
      </c>
      <c r="X726" s="196" t="str">
        <f t="shared" si="453"/>
        <v>N</v>
      </c>
      <c r="Y726" s="197">
        <f t="shared" si="454"/>
        <v>107000</v>
      </c>
      <c r="Z726" s="198"/>
      <c r="AA726" s="197">
        <f t="shared" si="457"/>
        <v>107000</v>
      </c>
      <c r="AB726" s="196" t="s">
        <v>1168</v>
      </c>
      <c r="AC726" s="196"/>
      <c r="AD726" s="518"/>
      <c r="AE726" s="275">
        <v>1</v>
      </c>
      <c r="AF726" s="275">
        <v>0</v>
      </c>
      <c r="AG726" s="442"/>
      <c r="AH726" s="442"/>
      <c r="AI726" s="200">
        <f t="shared" si="442"/>
        <v>0</v>
      </c>
      <c r="AJ726" s="548">
        <v>1</v>
      </c>
      <c r="AK726" s="203"/>
      <c r="AL726" s="197">
        <f t="shared" si="443"/>
        <v>107000</v>
      </c>
      <c r="AM726" s="197">
        <f t="shared" si="444"/>
        <v>0</v>
      </c>
      <c r="AN726" s="197">
        <f t="shared" si="445"/>
        <v>0</v>
      </c>
      <c r="AO726" s="202"/>
      <c r="AP726" s="161"/>
      <c r="AQ726" s="279"/>
      <c r="AR726" s="287">
        <f t="shared" si="459"/>
        <v>0</v>
      </c>
      <c r="AS726" s="287">
        <f t="shared" si="460"/>
        <v>0</v>
      </c>
      <c r="AT726" s="287">
        <f t="shared" si="461"/>
        <v>0</v>
      </c>
      <c r="AU726" s="287">
        <f t="shared" si="462"/>
        <v>0</v>
      </c>
      <c r="AV726" s="287">
        <f t="shared" si="463"/>
        <v>0</v>
      </c>
      <c r="AW726" s="287">
        <f t="shared" si="464"/>
        <v>0</v>
      </c>
      <c r="AX726" s="287">
        <f t="shared" si="465"/>
        <v>0</v>
      </c>
      <c r="AY726" s="287">
        <f t="shared" si="466"/>
        <v>0</v>
      </c>
      <c r="AZ726" s="287">
        <f t="shared" si="467"/>
        <v>0</v>
      </c>
      <c r="BA726" s="287">
        <f t="shared" si="468"/>
        <v>0</v>
      </c>
      <c r="BB726" s="16"/>
      <c r="BC726" s="287">
        <f t="shared" si="469"/>
        <v>0</v>
      </c>
      <c r="BD726" s="287">
        <f t="shared" si="470"/>
        <v>0</v>
      </c>
      <c r="BE726" s="287">
        <f t="shared" si="471"/>
        <v>0</v>
      </c>
      <c r="BF726" s="287">
        <f t="shared" si="472"/>
        <v>0</v>
      </c>
      <c r="BG726" s="287">
        <f t="shared" si="473"/>
        <v>0</v>
      </c>
      <c r="BH726" s="287">
        <f t="shared" si="474"/>
        <v>0</v>
      </c>
      <c r="BI726" s="287">
        <f t="shared" si="475"/>
        <v>0</v>
      </c>
      <c r="BJ726" s="287">
        <f t="shared" si="476"/>
        <v>0</v>
      </c>
      <c r="BK726" s="287">
        <f t="shared" si="477"/>
        <v>0</v>
      </c>
      <c r="BL726" s="287">
        <f t="shared" si="478"/>
        <v>0</v>
      </c>
      <c r="BM726" s="16"/>
      <c r="BN726" s="287">
        <f t="shared" si="479"/>
        <v>0</v>
      </c>
      <c r="BO726" s="287">
        <f t="shared" si="480"/>
        <v>0</v>
      </c>
      <c r="BP726" s="432"/>
      <c r="BQ726" s="21"/>
      <c r="BR726" s="21"/>
      <c r="BS726" s="39"/>
      <c r="BT726" s="39"/>
      <c r="BU726" s="39"/>
      <c r="BV726" s="39"/>
      <c r="BW726" s="39"/>
      <c r="BX726" s="39"/>
      <c r="BY726" s="39"/>
      <c r="BZ726" s="39">
        <v>713</v>
      </c>
      <c r="CA726" s="39">
        <f t="shared" si="481"/>
        <v>2031</v>
      </c>
      <c r="CB726" s="39"/>
      <c r="CC726" s="39"/>
      <c r="CD726" s="39"/>
      <c r="CE726" s="39"/>
      <c r="CF726" s="39"/>
      <c r="CG726" s="39"/>
      <c r="CH726" s="39"/>
      <c r="CI726" s="39"/>
      <c r="CJ726" s="39"/>
      <c r="CK726" s="39"/>
    </row>
    <row r="727" spans="1:89" s="193" customFormat="1" ht="36">
      <c r="A727" s="357"/>
      <c r="B727" s="21" t="str">
        <f t="shared" si="458"/>
        <v>STW</v>
      </c>
      <c r="C727" s="21"/>
      <c r="D727" s="432"/>
      <c r="E727" s="439" t="s">
        <v>3626</v>
      </c>
      <c r="F727" s="439" t="s">
        <v>4016</v>
      </c>
      <c r="G727" s="273" t="s">
        <v>4015</v>
      </c>
      <c r="H727" s="358" t="s">
        <v>4543</v>
      </c>
      <c r="I727" s="262" t="s">
        <v>3491</v>
      </c>
      <c r="J727" s="262" t="s">
        <v>4199</v>
      </c>
      <c r="K727" s="263">
        <v>632300</v>
      </c>
      <c r="L727" s="263">
        <v>1112630.3599999999</v>
      </c>
      <c r="M727" s="263">
        <v>0</v>
      </c>
      <c r="N727" s="263">
        <v>0</v>
      </c>
      <c r="O727" s="263">
        <v>0</v>
      </c>
      <c r="P727" s="263">
        <v>0</v>
      </c>
      <c r="Q727" s="263">
        <v>0</v>
      </c>
      <c r="R727" s="263">
        <v>0</v>
      </c>
      <c r="S727" s="263">
        <v>0</v>
      </c>
      <c r="T727" s="263">
        <v>0</v>
      </c>
      <c r="U727" s="263">
        <f t="shared" si="441"/>
        <v>1744930.3599999999</v>
      </c>
      <c r="V727" s="196" t="str">
        <f t="shared" si="456"/>
        <v>G/LOS</v>
      </c>
      <c r="W727" s="196" t="s">
        <v>1168</v>
      </c>
      <c r="X727" s="196" t="str">
        <f t="shared" si="453"/>
        <v>Y</v>
      </c>
      <c r="Y727" s="376">
        <f t="shared" si="454"/>
        <v>1744930.3599999999</v>
      </c>
      <c r="Z727" s="198"/>
      <c r="AA727" s="376">
        <f t="shared" si="457"/>
        <v>1744930.3599999999</v>
      </c>
      <c r="AB727" s="196" t="s">
        <v>1166</v>
      </c>
      <c r="AC727" s="196" t="s">
        <v>1168</v>
      </c>
      <c r="AD727" s="445">
        <v>0.9</v>
      </c>
      <c r="AE727" s="275">
        <v>0.1</v>
      </c>
      <c r="AF727" s="275">
        <v>0</v>
      </c>
      <c r="AG727" s="442">
        <v>0.8</v>
      </c>
      <c r="AH727" s="442">
        <v>1</v>
      </c>
      <c r="AI727" s="377">
        <f t="shared" si="442"/>
        <v>0.9</v>
      </c>
      <c r="AJ727" s="548">
        <v>1</v>
      </c>
      <c r="AK727" s="203">
        <f t="shared" ref="AK727:AK758" si="483">1-AJ727</f>
        <v>0</v>
      </c>
      <c r="AL727" s="376">
        <f t="shared" si="443"/>
        <v>174493.03599999993</v>
      </c>
      <c r="AM727" s="376">
        <f t="shared" si="444"/>
        <v>1570437.324</v>
      </c>
      <c r="AN727" s="376">
        <f t="shared" si="445"/>
        <v>0</v>
      </c>
      <c r="AO727" s="378" t="s">
        <v>3607</v>
      </c>
      <c r="AP727" s="379" t="s">
        <v>5401</v>
      </c>
      <c r="AQ727" s="279"/>
      <c r="AR727" s="287">
        <f t="shared" si="459"/>
        <v>569070</v>
      </c>
      <c r="AS727" s="287">
        <f t="shared" si="460"/>
        <v>1001367.3239999999</v>
      </c>
      <c r="AT727" s="287">
        <f t="shared" si="461"/>
        <v>0</v>
      </c>
      <c r="AU727" s="287">
        <f t="shared" si="462"/>
        <v>0</v>
      </c>
      <c r="AV727" s="287">
        <f t="shared" si="463"/>
        <v>0</v>
      </c>
      <c r="AW727" s="287">
        <f t="shared" si="464"/>
        <v>0</v>
      </c>
      <c r="AX727" s="287">
        <f t="shared" si="465"/>
        <v>0</v>
      </c>
      <c r="AY727" s="287">
        <f t="shared" si="466"/>
        <v>0</v>
      </c>
      <c r="AZ727" s="287">
        <f t="shared" si="467"/>
        <v>0</v>
      </c>
      <c r="BA727" s="287">
        <f t="shared" si="468"/>
        <v>0</v>
      </c>
      <c r="BB727" s="16"/>
      <c r="BC727" s="287">
        <f t="shared" si="469"/>
        <v>0</v>
      </c>
      <c r="BD727" s="287">
        <f t="shared" si="470"/>
        <v>0</v>
      </c>
      <c r="BE727" s="287">
        <f t="shared" si="471"/>
        <v>0</v>
      </c>
      <c r="BF727" s="287">
        <f t="shared" si="472"/>
        <v>0</v>
      </c>
      <c r="BG727" s="287">
        <f t="shared" si="473"/>
        <v>0</v>
      </c>
      <c r="BH727" s="287">
        <f t="shared" si="474"/>
        <v>0</v>
      </c>
      <c r="BI727" s="287">
        <f t="shared" si="475"/>
        <v>0</v>
      </c>
      <c r="BJ727" s="287">
        <f t="shared" si="476"/>
        <v>0</v>
      </c>
      <c r="BK727" s="287">
        <f t="shared" si="477"/>
        <v>0</v>
      </c>
      <c r="BL727" s="287">
        <f t="shared" si="478"/>
        <v>0</v>
      </c>
      <c r="BM727" s="16"/>
      <c r="BN727" s="287">
        <f t="shared" si="479"/>
        <v>1570437.324</v>
      </c>
      <c r="BO727" s="287">
        <f t="shared" si="480"/>
        <v>0</v>
      </c>
      <c r="BP727" s="432"/>
      <c r="BQ727" s="21"/>
      <c r="BR727" s="21"/>
      <c r="BS727" s="6"/>
      <c r="BT727" s="194">
        <f t="shared" ref="BT727:BT758" si="484">+BN727+BO727</f>
        <v>1570437.324</v>
      </c>
      <c r="BU727" s="194">
        <f t="shared" ref="BU727:BU758" si="485">+AM727</f>
        <v>1570437.324</v>
      </c>
      <c r="BV727" s="194">
        <f t="shared" ref="BV727:BV758" si="486">+AN727</f>
        <v>0</v>
      </c>
      <c r="BW727" s="194">
        <f t="shared" ref="BW727:BW758" si="487">+BT727-BU727-BV727</f>
        <v>0</v>
      </c>
      <c r="BX727" s="6"/>
      <c r="BY727" s="6"/>
      <c r="BZ727" s="39">
        <v>714</v>
      </c>
      <c r="CA727" s="39">
        <f t="shared" si="481"/>
        <v>2031</v>
      </c>
      <c r="CB727" s="6"/>
      <c r="CC727" s="39"/>
      <c r="CD727" s="39"/>
      <c r="CE727" s="39"/>
      <c r="CF727" s="39"/>
      <c r="CG727" s="39"/>
      <c r="CH727" s="39"/>
      <c r="CI727" s="39"/>
      <c r="CJ727" s="39"/>
      <c r="CK727" s="39"/>
    </row>
    <row r="728" spans="1:89" s="193" customFormat="1">
      <c r="A728" s="357"/>
      <c r="B728" s="21" t="str">
        <f t="shared" si="458"/>
        <v>STW</v>
      </c>
      <c r="C728" s="21"/>
      <c r="D728" s="432"/>
      <c r="E728" s="439" t="s">
        <v>3626</v>
      </c>
      <c r="F728" s="439" t="s">
        <v>4153</v>
      </c>
      <c r="G728" s="273" t="s">
        <v>4518</v>
      </c>
      <c r="H728" s="358" t="s">
        <v>4516</v>
      </c>
      <c r="I728" s="262" t="s">
        <v>3491</v>
      </c>
      <c r="J728" s="262" t="s">
        <v>4212</v>
      </c>
      <c r="K728" s="263">
        <v>60000</v>
      </c>
      <c r="L728" s="263">
        <v>100000</v>
      </c>
      <c r="M728" s="263">
        <v>100000</v>
      </c>
      <c r="N728" s="263">
        <v>0</v>
      </c>
      <c r="O728" s="263">
        <v>3000000</v>
      </c>
      <c r="P728" s="263">
        <v>0</v>
      </c>
      <c r="Q728" s="263">
        <v>0</v>
      </c>
      <c r="R728" s="263">
        <v>0</v>
      </c>
      <c r="S728" s="263">
        <v>0</v>
      </c>
      <c r="T728" s="263">
        <v>0</v>
      </c>
      <c r="U728" s="263">
        <f t="shared" si="441"/>
        <v>3260000</v>
      </c>
      <c r="V728" s="196" t="str">
        <f t="shared" si="456"/>
        <v>G/LOS/R</v>
      </c>
      <c r="W728" s="196" t="s">
        <v>1168</v>
      </c>
      <c r="X728" s="196" t="str">
        <f t="shared" si="453"/>
        <v>Y</v>
      </c>
      <c r="Y728" s="376">
        <f t="shared" si="454"/>
        <v>3260000</v>
      </c>
      <c r="Z728" s="198"/>
      <c r="AA728" s="376">
        <f t="shared" si="457"/>
        <v>3260000</v>
      </c>
      <c r="AB728" s="196" t="s">
        <v>1166</v>
      </c>
      <c r="AC728" s="196" t="s">
        <v>1168</v>
      </c>
      <c r="AD728" s="275">
        <v>0.1</v>
      </c>
      <c r="AE728" s="275">
        <v>0.5</v>
      </c>
      <c r="AF728" s="275">
        <v>0.4</v>
      </c>
      <c r="AG728" s="442">
        <v>0.1</v>
      </c>
      <c r="AH728" s="442">
        <v>0.1</v>
      </c>
      <c r="AI728" s="377">
        <f t="shared" si="442"/>
        <v>0.1</v>
      </c>
      <c r="AJ728" s="548">
        <v>1</v>
      </c>
      <c r="AK728" s="203">
        <f t="shared" si="483"/>
        <v>0</v>
      </c>
      <c r="AL728" s="376">
        <f t="shared" si="443"/>
        <v>2934000</v>
      </c>
      <c r="AM728" s="376">
        <f t="shared" si="444"/>
        <v>326000</v>
      </c>
      <c r="AN728" s="376">
        <f t="shared" si="445"/>
        <v>0</v>
      </c>
      <c r="AO728" s="378" t="s">
        <v>3607</v>
      </c>
      <c r="AP728" s="379" t="s">
        <v>5403</v>
      </c>
      <c r="AQ728" s="279"/>
      <c r="AR728" s="287">
        <f t="shared" si="459"/>
        <v>6000</v>
      </c>
      <c r="AS728" s="287">
        <f t="shared" si="460"/>
        <v>10000</v>
      </c>
      <c r="AT728" s="287">
        <f t="shared" si="461"/>
        <v>10000</v>
      </c>
      <c r="AU728" s="287">
        <f t="shared" si="462"/>
        <v>0</v>
      </c>
      <c r="AV728" s="287">
        <f t="shared" si="463"/>
        <v>300000</v>
      </c>
      <c r="AW728" s="287">
        <f t="shared" si="464"/>
        <v>0</v>
      </c>
      <c r="AX728" s="287">
        <f t="shared" si="465"/>
        <v>0</v>
      </c>
      <c r="AY728" s="287">
        <f t="shared" si="466"/>
        <v>0</v>
      </c>
      <c r="AZ728" s="287">
        <f t="shared" si="467"/>
        <v>0</v>
      </c>
      <c r="BA728" s="287">
        <f t="shared" si="468"/>
        <v>0</v>
      </c>
      <c r="BB728" s="16"/>
      <c r="BC728" s="287">
        <f t="shared" si="469"/>
        <v>0</v>
      </c>
      <c r="BD728" s="287">
        <f t="shared" si="470"/>
        <v>0</v>
      </c>
      <c r="BE728" s="287">
        <f t="shared" si="471"/>
        <v>0</v>
      </c>
      <c r="BF728" s="287">
        <f t="shared" si="472"/>
        <v>0</v>
      </c>
      <c r="BG728" s="287">
        <f t="shared" si="473"/>
        <v>0</v>
      </c>
      <c r="BH728" s="287">
        <f t="shared" si="474"/>
        <v>0</v>
      </c>
      <c r="BI728" s="287">
        <f t="shared" si="475"/>
        <v>0</v>
      </c>
      <c r="BJ728" s="287">
        <f t="shared" si="476"/>
        <v>0</v>
      </c>
      <c r="BK728" s="287">
        <f t="shared" si="477"/>
        <v>0</v>
      </c>
      <c r="BL728" s="287">
        <f t="shared" si="478"/>
        <v>0</v>
      </c>
      <c r="BM728" s="16"/>
      <c r="BN728" s="287">
        <f t="shared" si="479"/>
        <v>326000</v>
      </c>
      <c r="BO728" s="287">
        <f t="shared" si="480"/>
        <v>0</v>
      </c>
      <c r="BP728" s="432"/>
      <c r="BQ728" s="21"/>
      <c r="BR728" s="21"/>
      <c r="BS728" s="6"/>
      <c r="BT728" s="194">
        <f t="shared" si="484"/>
        <v>326000</v>
      </c>
      <c r="BU728" s="194">
        <f t="shared" si="485"/>
        <v>326000</v>
      </c>
      <c r="BV728" s="194">
        <f t="shared" si="486"/>
        <v>0</v>
      </c>
      <c r="BW728" s="194">
        <f t="shared" si="487"/>
        <v>0</v>
      </c>
      <c r="BX728" s="6"/>
      <c r="BY728" s="6"/>
      <c r="BZ728" s="39">
        <v>715</v>
      </c>
      <c r="CA728" s="39">
        <f t="shared" si="481"/>
        <v>2031</v>
      </c>
      <c r="CB728" s="6"/>
      <c r="CC728" s="39"/>
      <c r="CD728" s="39"/>
      <c r="CE728" s="39"/>
      <c r="CF728" s="39"/>
      <c r="CG728" s="39"/>
      <c r="CH728" s="39"/>
      <c r="CI728" s="39"/>
      <c r="CJ728" s="39"/>
      <c r="CK728" s="39"/>
    </row>
    <row r="729" spans="1:89" s="193" customFormat="1" ht="24">
      <c r="A729" s="357"/>
      <c r="B729" s="21" t="str">
        <f t="shared" si="458"/>
        <v>STW</v>
      </c>
      <c r="C729" s="21"/>
      <c r="D729" s="432" t="s">
        <v>3928</v>
      </c>
      <c r="E729" s="439" t="s">
        <v>3626</v>
      </c>
      <c r="F729" s="439" t="s">
        <v>3927</v>
      </c>
      <c r="G729" s="273" t="s">
        <v>3926</v>
      </c>
      <c r="H729" s="358" t="s">
        <v>4551</v>
      </c>
      <c r="I729" s="262" t="s">
        <v>3491</v>
      </c>
      <c r="J729" s="262" t="s">
        <v>4194</v>
      </c>
      <c r="K729" s="263">
        <v>398000</v>
      </c>
      <c r="L729" s="263">
        <v>0</v>
      </c>
      <c r="M729" s="263">
        <v>0</v>
      </c>
      <c r="N729" s="263">
        <v>0</v>
      </c>
      <c r="O729" s="263">
        <v>0</v>
      </c>
      <c r="P729" s="263">
        <v>0</v>
      </c>
      <c r="Q729" s="263">
        <v>0</v>
      </c>
      <c r="R729" s="263">
        <v>0</v>
      </c>
      <c r="S729" s="263">
        <v>0</v>
      </c>
      <c r="T729" s="263">
        <v>0</v>
      </c>
      <c r="U729" s="263">
        <f t="shared" si="441"/>
        <v>398000</v>
      </c>
      <c r="V729" s="196" t="str">
        <f t="shared" si="456"/>
        <v>G/LOS</v>
      </c>
      <c r="W729" s="196" t="s">
        <v>1168</v>
      </c>
      <c r="X729" s="196" t="str">
        <f t="shared" si="453"/>
        <v>Y</v>
      </c>
      <c r="Y729" s="376">
        <f t="shared" si="454"/>
        <v>398000</v>
      </c>
      <c r="Z729" s="198"/>
      <c r="AA729" s="376">
        <f t="shared" si="457"/>
        <v>398000</v>
      </c>
      <c r="AB729" s="196" t="s">
        <v>1166</v>
      </c>
      <c r="AC729" s="196" t="s">
        <v>1168</v>
      </c>
      <c r="AD729" s="519">
        <v>0.9</v>
      </c>
      <c r="AE729" s="275">
        <v>0.1</v>
      </c>
      <c r="AF729" s="275">
        <v>0</v>
      </c>
      <c r="AG729" s="442">
        <v>0.8</v>
      </c>
      <c r="AH729" s="442">
        <v>1</v>
      </c>
      <c r="AI729" s="377">
        <f t="shared" si="442"/>
        <v>0.9</v>
      </c>
      <c r="AJ729" s="548">
        <v>1</v>
      </c>
      <c r="AK729" s="203">
        <f t="shared" si="483"/>
        <v>0</v>
      </c>
      <c r="AL729" s="376">
        <f t="shared" si="443"/>
        <v>39799.999999999993</v>
      </c>
      <c r="AM729" s="376">
        <f t="shared" si="444"/>
        <v>358200</v>
      </c>
      <c r="AN729" s="376">
        <f t="shared" si="445"/>
        <v>0</v>
      </c>
      <c r="AO729" s="378" t="s">
        <v>3615</v>
      </c>
      <c r="AP729" s="379" t="s">
        <v>5409</v>
      </c>
      <c r="AQ729" s="279"/>
      <c r="AR729" s="287">
        <f t="shared" si="459"/>
        <v>358200</v>
      </c>
      <c r="AS729" s="287">
        <f t="shared" si="460"/>
        <v>0</v>
      </c>
      <c r="AT729" s="287">
        <f t="shared" si="461"/>
        <v>0</v>
      </c>
      <c r="AU729" s="287">
        <f t="shared" si="462"/>
        <v>0</v>
      </c>
      <c r="AV729" s="287">
        <f t="shared" si="463"/>
        <v>0</v>
      </c>
      <c r="AW729" s="287">
        <f t="shared" si="464"/>
        <v>0</v>
      </c>
      <c r="AX729" s="287">
        <f t="shared" si="465"/>
        <v>0</v>
      </c>
      <c r="AY729" s="287">
        <f t="shared" si="466"/>
        <v>0</v>
      </c>
      <c r="AZ729" s="287">
        <f t="shared" si="467"/>
        <v>0</v>
      </c>
      <c r="BA729" s="287">
        <f t="shared" si="468"/>
        <v>0</v>
      </c>
      <c r="BB729" s="16"/>
      <c r="BC729" s="287">
        <f t="shared" si="469"/>
        <v>0</v>
      </c>
      <c r="BD729" s="287">
        <f t="shared" si="470"/>
        <v>0</v>
      </c>
      <c r="BE729" s="287">
        <f t="shared" si="471"/>
        <v>0</v>
      </c>
      <c r="BF729" s="287">
        <f t="shared" si="472"/>
        <v>0</v>
      </c>
      <c r="BG729" s="287">
        <f t="shared" si="473"/>
        <v>0</v>
      </c>
      <c r="BH729" s="287">
        <f t="shared" si="474"/>
        <v>0</v>
      </c>
      <c r="BI729" s="287">
        <f t="shared" si="475"/>
        <v>0</v>
      </c>
      <c r="BJ729" s="287">
        <f t="shared" si="476"/>
        <v>0</v>
      </c>
      <c r="BK729" s="287">
        <f t="shared" si="477"/>
        <v>0</v>
      </c>
      <c r="BL729" s="287">
        <f t="shared" si="478"/>
        <v>0</v>
      </c>
      <c r="BM729" s="16"/>
      <c r="BN729" s="287">
        <f t="shared" si="479"/>
        <v>358200</v>
      </c>
      <c r="BO729" s="287">
        <f t="shared" si="480"/>
        <v>0</v>
      </c>
      <c r="BP729" s="432"/>
      <c r="BQ729" s="21"/>
      <c r="BR729" s="21"/>
      <c r="BS729" s="6"/>
      <c r="BT729" s="194">
        <f t="shared" si="484"/>
        <v>358200</v>
      </c>
      <c r="BU729" s="194">
        <f t="shared" si="485"/>
        <v>358200</v>
      </c>
      <c r="BV729" s="194">
        <f t="shared" si="486"/>
        <v>0</v>
      </c>
      <c r="BW729" s="194">
        <f t="shared" si="487"/>
        <v>0</v>
      </c>
      <c r="BX729" s="6"/>
      <c r="BY729" s="6"/>
      <c r="BZ729" s="39">
        <v>716</v>
      </c>
      <c r="CA729" s="39">
        <f t="shared" si="481"/>
        <v>2031</v>
      </c>
      <c r="CB729" s="6"/>
      <c r="CC729" s="39"/>
      <c r="CD729" s="39"/>
      <c r="CE729" s="39"/>
      <c r="CF729" s="39"/>
      <c r="CG729" s="39"/>
      <c r="CH729" s="39"/>
      <c r="CI729" s="39"/>
      <c r="CJ729" s="39"/>
      <c r="CK729" s="39"/>
    </row>
    <row r="730" spans="1:89" s="193" customFormat="1" ht="12.5">
      <c r="A730" s="357"/>
      <c r="B730" s="21" t="str">
        <f t="shared" si="458"/>
        <v>STW</v>
      </c>
      <c r="C730" s="21"/>
      <c r="D730" s="432"/>
      <c r="E730" s="439" t="s">
        <v>3626</v>
      </c>
      <c r="F730" s="439" t="s">
        <v>4175</v>
      </c>
      <c r="G730" s="273" t="s">
        <v>4176</v>
      </c>
      <c r="H730" s="358" t="s">
        <v>4520</v>
      </c>
      <c r="I730" s="262" t="s">
        <v>3491</v>
      </c>
      <c r="J730" s="262" t="s">
        <v>4206</v>
      </c>
      <c r="K730" s="263">
        <v>400000</v>
      </c>
      <c r="L730" s="263">
        <v>800000</v>
      </c>
      <c r="M730" s="263">
        <v>0</v>
      </c>
      <c r="N730" s="263">
        <v>0</v>
      </c>
      <c r="O730" s="263">
        <v>0</v>
      </c>
      <c r="P730" s="263">
        <v>0</v>
      </c>
      <c r="Q730" s="263">
        <v>0</v>
      </c>
      <c r="R730" s="263">
        <v>0</v>
      </c>
      <c r="S730" s="263">
        <v>0</v>
      </c>
      <c r="T730" s="263">
        <v>0</v>
      </c>
      <c r="U730" s="263">
        <f t="shared" ref="U730:U748" si="488">SUM(K730:T730)</f>
        <v>1200000</v>
      </c>
      <c r="V730" s="196" t="str">
        <f t="shared" si="456"/>
        <v>G/LOS/R</v>
      </c>
      <c r="W730" s="196" t="s">
        <v>1168</v>
      </c>
      <c r="X730" s="196" t="str">
        <f t="shared" si="453"/>
        <v>Y</v>
      </c>
      <c r="Y730" s="376">
        <f t="shared" si="454"/>
        <v>1200000</v>
      </c>
      <c r="Z730" s="198"/>
      <c r="AA730" s="376">
        <f t="shared" si="457"/>
        <v>1200000</v>
      </c>
      <c r="AB730" s="196" t="s">
        <v>1166</v>
      </c>
      <c r="AC730" s="196" t="s">
        <v>1168</v>
      </c>
      <c r="AD730" s="445">
        <v>0.3</v>
      </c>
      <c r="AE730" s="275">
        <v>0.4</v>
      </c>
      <c r="AF730" s="275">
        <v>0.3</v>
      </c>
      <c r="AG730" s="442">
        <v>0.3</v>
      </c>
      <c r="AH730" s="442">
        <v>0.3</v>
      </c>
      <c r="AI730" s="377">
        <f t="shared" si="442"/>
        <v>0.3</v>
      </c>
      <c r="AJ730" s="548">
        <v>1</v>
      </c>
      <c r="AK730" s="203">
        <f t="shared" si="483"/>
        <v>0</v>
      </c>
      <c r="AL730" s="376">
        <f t="shared" si="443"/>
        <v>840000</v>
      </c>
      <c r="AM730" s="376">
        <f t="shared" si="444"/>
        <v>360000</v>
      </c>
      <c r="AN730" s="376">
        <f t="shared" si="445"/>
        <v>0</v>
      </c>
      <c r="AO730" s="378" t="s">
        <v>3607</v>
      </c>
      <c r="AP730" s="379" t="s">
        <v>5408</v>
      </c>
      <c r="AQ730" s="279"/>
      <c r="AR730" s="287">
        <f t="shared" si="459"/>
        <v>120000</v>
      </c>
      <c r="AS730" s="287">
        <f t="shared" si="460"/>
        <v>240000</v>
      </c>
      <c r="AT730" s="287">
        <f t="shared" si="461"/>
        <v>0</v>
      </c>
      <c r="AU730" s="287">
        <f t="shared" si="462"/>
        <v>0</v>
      </c>
      <c r="AV730" s="287">
        <f t="shared" si="463"/>
        <v>0</v>
      </c>
      <c r="AW730" s="287">
        <f t="shared" si="464"/>
        <v>0</v>
      </c>
      <c r="AX730" s="287">
        <f t="shared" si="465"/>
        <v>0</v>
      </c>
      <c r="AY730" s="287">
        <f t="shared" si="466"/>
        <v>0</v>
      </c>
      <c r="AZ730" s="287">
        <f t="shared" si="467"/>
        <v>0</v>
      </c>
      <c r="BA730" s="287">
        <f t="shared" si="468"/>
        <v>0</v>
      </c>
      <c r="BB730" s="16"/>
      <c r="BC730" s="287">
        <f t="shared" si="469"/>
        <v>0</v>
      </c>
      <c r="BD730" s="287">
        <f t="shared" si="470"/>
        <v>0</v>
      </c>
      <c r="BE730" s="287">
        <f t="shared" si="471"/>
        <v>0</v>
      </c>
      <c r="BF730" s="287">
        <f t="shared" si="472"/>
        <v>0</v>
      </c>
      <c r="BG730" s="287">
        <f t="shared" si="473"/>
        <v>0</v>
      </c>
      <c r="BH730" s="287">
        <f t="shared" si="474"/>
        <v>0</v>
      </c>
      <c r="BI730" s="287">
        <f t="shared" si="475"/>
        <v>0</v>
      </c>
      <c r="BJ730" s="287">
        <f t="shared" si="476"/>
        <v>0</v>
      </c>
      <c r="BK730" s="287">
        <f t="shared" si="477"/>
        <v>0</v>
      </c>
      <c r="BL730" s="287">
        <f t="shared" si="478"/>
        <v>0</v>
      </c>
      <c r="BM730" s="16"/>
      <c r="BN730" s="287">
        <f t="shared" si="479"/>
        <v>360000</v>
      </c>
      <c r="BO730" s="287">
        <f t="shared" si="480"/>
        <v>0</v>
      </c>
      <c r="BP730" s="432"/>
      <c r="BQ730" s="21"/>
      <c r="BR730" s="21"/>
      <c r="BS730" s="6"/>
      <c r="BT730" s="194">
        <f t="shared" si="484"/>
        <v>360000</v>
      </c>
      <c r="BU730" s="194">
        <f t="shared" si="485"/>
        <v>360000</v>
      </c>
      <c r="BV730" s="194">
        <f t="shared" si="486"/>
        <v>0</v>
      </c>
      <c r="BW730" s="194">
        <f t="shared" si="487"/>
        <v>0</v>
      </c>
      <c r="BX730" s="6"/>
      <c r="BY730" s="6"/>
      <c r="BZ730" s="39">
        <v>717</v>
      </c>
      <c r="CA730" s="39">
        <f t="shared" si="481"/>
        <v>2031</v>
      </c>
      <c r="CB730" s="6"/>
      <c r="CC730" s="39"/>
      <c r="CD730" s="39"/>
      <c r="CE730" s="39"/>
      <c r="CF730" s="39"/>
      <c r="CG730" s="39"/>
      <c r="CH730" s="39"/>
      <c r="CI730" s="39"/>
      <c r="CJ730" s="39"/>
      <c r="CK730" s="39"/>
    </row>
    <row r="731" spans="1:89" s="193" customFormat="1">
      <c r="A731" s="357"/>
      <c r="B731" s="21" t="str">
        <f t="shared" si="458"/>
        <v>STW</v>
      </c>
      <c r="C731" s="21"/>
      <c r="D731" s="432"/>
      <c r="E731" s="439" t="s">
        <v>3626</v>
      </c>
      <c r="F731" s="439" t="s">
        <v>4134</v>
      </c>
      <c r="G731" s="273" t="s">
        <v>4526</v>
      </c>
      <c r="H731" s="358" t="s">
        <v>4517</v>
      </c>
      <c r="I731" s="262" t="s">
        <v>3491</v>
      </c>
      <c r="J731" s="262" t="s">
        <v>4199</v>
      </c>
      <c r="K731" s="263">
        <v>129000</v>
      </c>
      <c r="L731" s="263">
        <v>617000</v>
      </c>
      <c r="M731" s="263">
        <v>0</v>
      </c>
      <c r="N731" s="263">
        <v>0</v>
      </c>
      <c r="O731" s="263">
        <v>0</v>
      </c>
      <c r="P731" s="263">
        <v>0</v>
      </c>
      <c r="Q731" s="263">
        <v>0</v>
      </c>
      <c r="R731" s="263">
        <v>0</v>
      </c>
      <c r="S731" s="263">
        <v>0</v>
      </c>
      <c r="T731" s="263">
        <v>0</v>
      </c>
      <c r="U731" s="263">
        <f t="shared" si="488"/>
        <v>746000</v>
      </c>
      <c r="V731" s="196" t="str">
        <f t="shared" si="456"/>
        <v>G/LOS/R</v>
      </c>
      <c r="W731" s="196" t="s">
        <v>1168</v>
      </c>
      <c r="X731" s="196" t="str">
        <f t="shared" si="453"/>
        <v>Y</v>
      </c>
      <c r="Y731" s="376">
        <f t="shared" si="454"/>
        <v>746000</v>
      </c>
      <c r="Z731" s="198"/>
      <c r="AA731" s="376">
        <f t="shared" si="457"/>
        <v>746000</v>
      </c>
      <c r="AB731" s="196" t="s">
        <v>1166</v>
      </c>
      <c r="AC731" s="196" t="s">
        <v>1168</v>
      </c>
      <c r="AD731" s="275">
        <v>0.1</v>
      </c>
      <c r="AE731" s="275">
        <v>0.1</v>
      </c>
      <c r="AF731" s="275">
        <v>0.8</v>
      </c>
      <c r="AG731" s="442">
        <v>0.1</v>
      </c>
      <c r="AH731" s="442">
        <v>0.1</v>
      </c>
      <c r="AI731" s="377">
        <f t="shared" si="442"/>
        <v>0.1</v>
      </c>
      <c r="AJ731" s="548">
        <v>1</v>
      </c>
      <c r="AK731" s="203">
        <f t="shared" si="483"/>
        <v>0</v>
      </c>
      <c r="AL731" s="376">
        <f t="shared" si="443"/>
        <v>671400</v>
      </c>
      <c r="AM731" s="376">
        <f t="shared" si="444"/>
        <v>74600</v>
      </c>
      <c r="AN731" s="376">
        <f t="shared" si="445"/>
        <v>0</v>
      </c>
      <c r="AO731" s="378" t="s">
        <v>3607</v>
      </c>
      <c r="AP731" s="379" t="s">
        <v>5401</v>
      </c>
      <c r="AQ731" s="279"/>
      <c r="AR731" s="287">
        <f t="shared" si="459"/>
        <v>12900</v>
      </c>
      <c r="AS731" s="287">
        <f t="shared" si="460"/>
        <v>61700</v>
      </c>
      <c r="AT731" s="287">
        <f t="shared" si="461"/>
        <v>0</v>
      </c>
      <c r="AU731" s="287">
        <f t="shared" si="462"/>
        <v>0</v>
      </c>
      <c r="AV731" s="287">
        <f t="shared" si="463"/>
        <v>0</v>
      </c>
      <c r="AW731" s="287">
        <f t="shared" si="464"/>
        <v>0</v>
      </c>
      <c r="AX731" s="287">
        <f t="shared" si="465"/>
        <v>0</v>
      </c>
      <c r="AY731" s="287">
        <f t="shared" si="466"/>
        <v>0</v>
      </c>
      <c r="AZ731" s="287">
        <f t="shared" si="467"/>
        <v>0</v>
      </c>
      <c r="BA731" s="287">
        <f t="shared" si="468"/>
        <v>0</v>
      </c>
      <c r="BB731" s="16"/>
      <c r="BC731" s="287">
        <f t="shared" si="469"/>
        <v>0</v>
      </c>
      <c r="BD731" s="287">
        <f t="shared" si="470"/>
        <v>0</v>
      </c>
      <c r="BE731" s="287">
        <f t="shared" si="471"/>
        <v>0</v>
      </c>
      <c r="BF731" s="287">
        <f t="shared" si="472"/>
        <v>0</v>
      </c>
      <c r="BG731" s="287">
        <f t="shared" si="473"/>
        <v>0</v>
      </c>
      <c r="BH731" s="287">
        <f t="shared" si="474"/>
        <v>0</v>
      </c>
      <c r="BI731" s="287">
        <f t="shared" si="475"/>
        <v>0</v>
      </c>
      <c r="BJ731" s="287">
        <f t="shared" si="476"/>
        <v>0</v>
      </c>
      <c r="BK731" s="287">
        <f t="shared" si="477"/>
        <v>0</v>
      </c>
      <c r="BL731" s="287">
        <f t="shared" si="478"/>
        <v>0</v>
      </c>
      <c r="BM731" s="16"/>
      <c r="BN731" s="287">
        <f t="shared" si="479"/>
        <v>74600</v>
      </c>
      <c r="BO731" s="287">
        <f t="shared" si="480"/>
        <v>0</v>
      </c>
      <c r="BP731" s="432"/>
      <c r="BQ731" s="21"/>
      <c r="BR731" s="21"/>
      <c r="BS731" s="6"/>
      <c r="BT731" s="194">
        <f t="shared" si="484"/>
        <v>74600</v>
      </c>
      <c r="BU731" s="194">
        <f t="shared" si="485"/>
        <v>74600</v>
      </c>
      <c r="BV731" s="194">
        <f t="shared" si="486"/>
        <v>0</v>
      </c>
      <c r="BW731" s="194">
        <f t="shared" si="487"/>
        <v>0</v>
      </c>
      <c r="BX731" s="6"/>
      <c r="BY731" s="6"/>
      <c r="BZ731" s="39">
        <v>718</v>
      </c>
      <c r="CA731" s="39">
        <f t="shared" si="481"/>
        <v>2031</v>
      </c>
      <c r="CB731" s="6"/>
      <c r="CC731" s="39"/>
      <c r="CD731" s="39"/>
      <c r="CE731" s="39"/>
      <c r="CF731" s="39"/>
      <c r="CG731" s="39"/>
      <c r="CH731" s="39"/>
      <c r="CI731" s="39"/>
      <c r="CJ731" s="39"/>
      <c r="CK731" s="39"/>
    </row>
    <row r="732" spans="1:89" s="193" customFormat="1" ht="24">
      <c r="A732" s="357"/>
      <c r="B732" s="21" t="str">
        <f t="shared" si="458"/>
        <v>STW</v>
      </c>
      <c r="C732" s="21"/>
      <c r="D732" s="432" t="s">
        <v>4083</v>
      </c>
      <c r="E732" s="439" t="s">
        <v>3626</v>
      </c>
      <c r="F732" s="439" t="s">
        <v>4084</v>
      </c>
      <c r="G732" s="273" t="s">
        <v>4085</v>
      </c>
      <c r="H732" s="358" t="s">
        <v>4635</v>
      </c>
      <c r="I732" s="262" t="s">
        <v>3491</v>
      </c>
      <c r="J732" s="262" t="s">
        <v>4190</v>
      </c>
      <c r="K732" s="263">
        <v>50000</v>
      </c>
      <c r="L732" s="263">
        <v>0</v>
      </c>
      <c r="M732" s="263">
        <v>0</v>
      </c>
      <c r="N732" s="263">
        <v>0</v>
      </c>
      <c r="O732" s="263">
        <v>0</v>
      </c>
      <c r="P732" s="263">
        <v>0</v>
      </c>
      <c r="Q732" s="263">
        <v>0</v>
      </c>
      <c r="R732" s="263">
        <v>0</v>
      </c>
      <c r="S732" s="263">
        <v>0</v>
      </c>
      <c r="T732" s="263">
        <v>0</v>
      </c>
      <c r="U732" s="263">
        <f t="shared" si="488"/>
        <v>50000</v>
      </c>
      <c r="V732" s="196" t="str">
        <f t="shared" si="456"/>
        <v>G</v>
      </c>
      <c r="W732" s="196" t="s">
        <v>1168</v>
      </c>
      <c r="X732" s="196" t="str">
        <f t="shared" si="453"/>
        <v>Y</v>
      </c>
      <c r="Y732" s="376">
        <f t="shared" si="454"/>
        <v>50000</v>
      </c>
      <c r="Z732" s="198"/>
      <c r="AA732" s="376">
        <f t="shared" si="457"/>
        <v>50000</v>
      </c>
      <c r="AB732" s="196" t="s">
        <v>1166</v>
      </c>
      <c r="AC732" s="196" t="s">
        <v>1168</v>
      </c>
      <c r="AD732" s="519">
        <v>0.1</v>
      </c>
      <c r="AE732" s="275">
        <v>0</v>
      </c>
      <c r="AF732" s="275">
        <v>0</v>
      </c>
      <c r="AG732" s="442">
        <v>0.1</v>
      </c>
      <c r="AH732" s="442">
        <v>0.1</v>
      </c>
      <c r="AI732" s="377">
        <f t="shared" ref="AI732:AI785" si="489">(AG732+AH732)/2</f>
        <v>0.1</v>
      </c>
      <c r="AJ732" s="548">
        <v>1</v>
      </c>
      <c r="AK732" s="203">
        <f t="shared" si="483"/>
        <v>0</v>
      </c>
      <c r="AL732" s="376">
        <f t="shared" ref="AL732:AL785" si="490">(100%-AI732)*AA732</f>
        <v>45000</v>
      </c>
      <c r="AM732" s="376">
        <f t="shared" ref="AM732:AM785" si="491">AA732*AI732*AJ732</f>
        <v>5000</v>
      </c>
      <c r="AN732" s="376">
        <f t="shared" ref="AN732:AN785" si="492">AA732*AI732*AK732</f>
        <v>0</v>
      </c>
      <c r="AO732" s="378" t="s">
        <v>3607</v>
      </c>
      <c r="AP732" s="379" t="s">
        <v>5394</v>
      </c>
      <c r="AQ732" s="279"/>
      <c r="AR732" s="287">
        <f t="shared" si="459"/>
        <v>5000</v>
      </c>
      <c r="AS732" s="287">
        <f t="shared" si="460"/>
        <v>0</v>
      </c>
      <c r="AT732" s="287">
        <f t="shared" si="461"/>
        <v>0</v>
      </c>
      <c r="AU732" s="287">
        <f t="shared" si="462"/>
        <v>0</v>
      </c>
      <c r="AV732" s="287">
        <f t="shared" si="463"/>
        <v>0</v>
      </c>
      <c r="AW732" s="287">
        <f t="shared" si="464"/>
        <v>0</v>
      </c>
      <c r="AX732" s="287">
        <f t="shared" si="465"/>
        <v>0</v>
      </c>
      <c r="AY732" s="287">
        <f t="shared" si="466"/>
        <v>0</v>
      </c>
      <c r="AZ732" s="287">
        <f t="shared" si="467"/>
        <v>0</v>
      </c>
      <c r="BA732" s="287">
        <f t="shared" si="468"/>
        <v>0</v>
      </c>
      <c r="BB732" s="16"/>
      <c r="BC732" s="287">
        <f t="shared" si="469"/>
        <v>0</v>
      </c>
      <c r="BD732" s="287">
        <f t="shared" si="470"/>
        <v>0</v>
      </c>
      <c r="BE732" s="287">
        <f t="shared" si="471"/>
        <v>0</v>
      </c>
      <c r="BF732" s="287">
        <f t="shared" si="472"/>
        <v>0</v>
      </c>
      <c r="BG732" s="287">
        <f t="shared" si="473"/>
        <v>0</v>
      </c>
      <c r="BH732" s="287">
        <f t="shared" si="474"/>
        <v>0</v>
      </c>
      <c r="BI732" s="287">
        <f t="shared" si="475"/>
        <v>0</v>
      </c>
      <c r="BJ732" s="287">
        <f t="shared" si="476"/>
        <v>0</v>
      </c>
      <c r="BK732" s="287">
        <f t="shared" si="477"/>
        <v>0</v>
      </c>
      <c r="BL732" s="287">
        <f t="shared" si="478"/>
        <v>0</v>
      </c>
      <c r="BM732" s="16"/>
      <c r="BN732" s="287">
        <f t="shared" si="479"/>
        <v>5000</v>
      </c>
      <c r="BO732" s="287">
        <f t="shared" si="480"/>
        <v>0</v>
      </c>
      <c r="BP732" s="432"/>
      <c r="BQ732" s="21"/>
      <c r="BR732" s="21"/>
      <c r="BS732" s="6"/>
      <c r="BT732" s="194">
        <f t="shared" si="484"/>
        <v>5000</v>
      </c>
      <c r="BU732" s="194">
        <f t="shared" si="485"/>
        <v>5000</v>
      </c>
      <c r="BV732" s="194">
        <f t="shared" si="486"/>
        <v>0</v>
      </c>
      <c r="BW732" s="194">
        <f t="shared" si="487"/>
        <v>0</v>
      </c>
      <c r="BX732" s="6"/>
      <c r="BY732" s="6"/>
      <c r="BZ732" s="39">
        <v>719</v>
      </c>
      <c r="CA732" s="39">
        <f t="shared" si="481"/>
        <v>2031</v>
      </c>
      <c r="CB732" s="6"/>
      <c r="CC732" s="39"/>
      <c r="CD732" s="39"/>
      <c r="CE732" s="39"/>
      <c r="CF732" s="39"/>
      <c r="CG732" s="39"/>
      <c r="CH732" s="39"/>
      <c r="CI732" s="39"/>
      <c r="CJ732" s="39"/>
      <c r="CK732" s="39"/>
    </row>
    <row r="733" spans="1:89" s="193" customFormat="1" ht="24">
      <c r="A733" s="357"/>
      <c r="B733" s="21" t="str">
        <f t="shared" si="458"/>
        <v>STW</v>
      </c>
      <c r="C733" s="21"/>
      <c r="D733" s="432" t="s">
        <v>4010</v>
      </c>
      <c r="E733" s="439" t="s">
        <v>3626</v>
      </c>
      <c r="F733" s="439" t="s">
        <v>4009</v>
      </c>
      <c r="G733" s="273" t="s">
        <v>4534</v>
      </c>
      <c r="H733" s="358" t="s">
        <v>4509</v>
      </c>
      <c r="I733" s="262" t="s">
        <v>3491</v>
      </c>
      <c r="J733" s="262" t="s">
        <v>4190</v>
      </c>
      <c r="K733" s="263">
        <v>264750</v>
      </c>
      <c r="L733" s="263">
        <v>0</v>
      </c>
      <c r="M733" s="263">
        <v>0</v>
      </c>
      <c r="N733" s="263">
        <v>0</v>
      </c>
      <c r="O733" s="263">
        <v>0</v>
      </c>
      <c r="P733" s="263">
        <v>0</v>
      </c>
      <c r="Q733" s="263">
        <v>0</v>
      </c>
      <c r="R733" s="263">
        <v>0</v>
      </c>
      <c r="S733" s="263">
        <v>0</v>
      </c>
      <c r="T733" s="263">
        <v>0</v>
      </c>
      <c r="U733" s="263">
        <f t="shared" si="488"/>
        <v>264750</v>
      </c>
      <c r="V733" s="196" t="str">
        <f t="shared" si="456"/>
        <v>G/LOS/R</v>
      </c>
      <c r="W733" s="196" t="s">
        <v>1168</v>
      </c>
      <c r="X733" s="196" t="str">
        <f t="shared" si="453"/>
        <v>Y</v>
      </c>
      <c r="Y733" s="376">
        <f t="shared" si="454"/>
        <v>264750</v>
      </c>
      <c r="Z733" s="198"/>
      <c r="AA733" s="376">
        <f t="shared" si="457"/>
        <v>264750</v>
      </c>
      <c r="AB733" s="196" t="s">
        <v>1166</v>
      </c>
      <c r="AC733" s="196" t="s">
        <v>1168</v>
      </c>
      <c r="AD733" s="275">
        <v>0.1</v>
      </c>
      <c r="AE733" s="275">
        <v>0.1</v>
      </c>
      <c r="AF733" s="275">
        <v>0.8</v>
      </c>
      <c r="AG733" s="442">
        <v>0.1</v>
      </c>
      <c r="AH733" s="442">
        <v>0.1</v>
      </c>
      <c r="AI733" s="377">
        <f t="shared" si="489"/>
        <v>0.1</v>
      </c>
      <c r="AJ733" s="548">
        <v>1</v>
      </c>
      <c r="AK733" s="203">
        <f t="shared" si="483"/>
        <v>0</v>
      </c>
      <c r="AL733" s="376">
        <f t="shared" si="490"/>
        <v>238275</v>
      </c>
      <c r="AM733" s="376">
        <f t="shared" si="491"/>
        <v>26475</v>
      </c>
      <c r="AN733" s="376">
        <f t="shared" si="492"/>
        <v>0</v>
      </c>
      <c r="AO733" s="378" t="s">
        <v>3607</v>
      </c>
      <c r="AP733" s="379" t="s">
        <v>5394</v>
      </c>
      <c r="AQ733" s="279"/>
      <c r="AR733" s="287">
        <f t="shared" si="459"/>
        <v>26475</v>
      </c>
      <c r="AS733" s="287">
        <f t="shared" si="460"/>
        <v>0</v>
      </c>
      <c r="AT733" s="287">
        <f t="shared" si="461"/>
        <v>0</v>
      </c>
      <c r="AU733" s="287">
        <f t="shared" si="462"/>
        <v>0</v>
      </c>
      <c r="AV733" s="287">
        <f t="shared" si="463"/>
        <v>0</v>
      </c>
      <c r="AW733" s="287">
        <f t="shared" si="464"/>
        <v>0</v>
      </c>
      <c r="AX733" s="287">
        <f t="shared" si="465"/>
        <v>0</v>
      </c>
      <c r="AY733" s="287">
        <f t="shared" si="466"/>
        <v>0</v>
      </c>
      <c r="AZ733" s="287">
        <f t="shared" si="467"/>
        <v>0</v>
      </c>
      <c r="BA733" s="287">
        <f t="shared" si="468"/>
        <v>0</v>
      </c>
      <c r="BB733" s="16"/>
      <c r="BC733" s="287">
        <f t="shared" si="469"/>
        <v>0</v>
      </c>
      <c r="BD733" s="287">
        <f t="shared" si="470"/>
        <v>0</v>
      </c>
      <c r="BE733" s="287">
        <f t="shared" si="471"/>
        <v>0</v>
      </c>
      <c r="BF733" s="287">
        <f t="shared" si="472"/>
        <v>0</v>
      </c>
      <c r="BG733" s="287">
        <f t="shared" si="473"/>
        <v>0</v>
      </c>
      <c r="BH733" s="287">
        <f t="shared" si="474"/>
        <v>0</v>
      </c>
      <c r="BI733" s="287">
        <f t="shared" si="475"/>
        <v>0</v>
      </c>
      <c r="BJ733" s="287">
        <f t="shared" si="476"/>
        <v>0</v>
      </c>
      <c r="BK733" s="287">
        <f t="shared" si="477"/>
        <v>0</v>
      </c>
      <c r="BL733" s="287">
        <f t="shared" si="478"/>
        <v>0</v>
      </c>
      <c r="BM733" s="16"/>
      <c r="BN733" s="287">
        <f t="shared" si="479"/>
        <v>26475</v>
      </c>
      <c r="BO733" s="287">
        <f t="shared" si="480"/>
        <v>0</v>
      </c>
      <c r="BP733" s="432"/>
      <c r="BQ733" s="21"/>
      <c r="BR733" s="21"/>
      <c r="BS733" s="6"/>
      <c r="BT733" s="194">
        <f t="shared" si="484"/>
        <v>26475</v>
      </c>
      <c r="BU733" s="194">
        <f t="shared" si="485"/>
        <v>26475</v>
      </c>
      <c r="BV733" s="194">
        <f t="shared" si="486"/>
        <v>0</v>
      </c>
      <c r="BW733" s="194">
        <f t="shared" si="487"/>
        <v>0</v>
      </c>
      <c r="BX733" s="6"/>
      <c r="BY733" s="6"/>
      <c r="BZ733" s="39">
        <v>720</v>
      </c>
      <c r="CA733" s="39">
        <f t="shared" si="481"/>
        <v>2031</v>
      </c>
      <c r="CB733" s="6"/>
      <c r="CC733" s="39"/>
      <c r="CD733" s="39"/>
      <c r="CE733" s="39"/>
      <c r="CF733" s="39"/>
      <c r="CG733" s="39"/>
      <c r="CH733" s="39"/>
      <c r="CI733" s="39"/>
      <c r="CJ733" s="39"/>
      <c r="CK733" s="39"/>
    </row>
    <row r="734" spans="1:89" s="193" customFormat="1" ht="36">
      <c r="A734" s="357"/>
      <c r="B734" s="21" t="str">
        <f t="shared" si="458"/>
        <v>STW</v>
      </c>
      <c r="C734" s="21"/>
      <c r="D734" s="432" t="s">
        <v>4083</v>
      </c>
      <c r="E734" s="439" t="s">
        <v>3626</v>
      </c>
      <c r="F734" s="439" t="s">
        <v>4107</v>
      </c>
      <c r="G734" s="273" t="s">
        <v>4576</v>
      </c>
      <c r="H734" s="358" t="s">
        <v>4575</v>
      </c>
      <c r="I734" s="262" t="s">
        <v>3491</v>
      </c>
      <c r="J734" s="262" t="s">
        <v>4203</v>
      </c>
      <c r="K734" s="263">
        <v>0</v>
      </c>
      <c r="L734" s="263">
        <v>0</v>
      </c>
      <c r="M734" s="263">
        <v>0</v>
      </c>
      <c r="N734" s="263">
        <v>0</v>
      </c>
      <c r="O734" s="263">
        <v>0</v>
      </c>
      <c r="P734" s="263">
        <v>6100000</v>
      </c>
      <c r="Q734" s="263">
        <v>5200000</v>
      </c>
      <c r="R734" s="263">
        <v>0</v>
      </c>
      <c r="S734" s="263">
        <v>0</v>
      </c>
      <c r="T734" s="263">
        <v>0</v>
      </c>
      <c r="U734" s="263">
        <f t="shared" si="488"/>
        <v>11300000</v>
      </c>
      <c r="V734" s="196" t="str">
        <f t="shared" si="456"/>
        <v>G</v>
      </c>
      <c r="W734" s="196" t="s">
        <v>1168</v>
      </c>
      <c r="X734" s="196" t="str">
        <f t="shared" si="453"/>
        <v>Y</v>
      </c>
      <c r="Y734" s="376">
        <f t="shared" si="454"/>
        <v>11300000</v>
      </c>
      <c r="Z734" s="198"/>
      <c r="AA734" s="376">
        <f t="shared" si="457"/>
        <v>11300000</v>
      </c>
      <c r="AB734" s="196" t="s">
        <v>1166</v>
      </c>
      <c r="AC734" s="196" t="s">
        <v>1168</v>
      </c>
      <c r="AD734" s="519">
        <v>0.83</v>
      </c>
      <c r="AE734" s="275">
        <v>0</v>
      </c>
      <c r="AF734" s="275">
        <v>0</v>
      </c>
      <c r="AG734" s="442">
        <v>0.83</v>
      </c>
      <c r="AH734" s="442">
        <v>0.83</v>
      </c>
      <c r="AI734" s="377">
        <f t="shared" si="489"/>
        <v>0.83</v>
      </c>
      <c r="AJ734" s="548">
        <v>1</v>
      </c>
      <c r="AK734" s="203">
        <f t="shared" si="483"/>
        <v>0</v>
      </c>
      <c r="AL734" s="376">
        <f t="shared" si="490"/>
        <v>1921000.0000000005</v>
      </c>
      <c r="AM734" s="376">
        <f t="shared" si="491"/>
        <v>9379000</v>
      </c>
      <c r="AN734" s="376">
        <f t="shared" si="492"/>
        <v>0</v>
      </c>
      <c r="AO734" s="378" t="s">
        <v>3607</v>
      </c>
      <c r="AP734" s="379" t="s">
        <v>5421</v>
      </c>
      <c r="AQ734" s="279"/>
      <c r="AR734" s="287">
        <f t="shared" si="459"/>
        <v>0</v>
      </c>
      <c r="AS734" s="287">
        <f t="shared" si="460"/>
        <v>0</v>
      </c>
      <c r="AT734" s="287">
        <f t="shared" si="461"/>
        <v>0</v>
      </c>
      <c r="AU734" s="287">
        <f t="shared" si="462"/>
        <v>0</v>
      </c>
      <c r="AV734" s="287">
        <f t="shared" si="463"/>
        <v>0</v>
      </c>
      <c r="AW734" s="287">
        <f t="shared" si="464"/>
        <v>5063000</v>
      </c>
      <c r="AX734" s="287">
        <f t="shared" si="465"/>
        <v>4316000</v>
      </c>
      <c r="AY734" s="287">
        <f t="shared" si="466"/>
        <v>0</v>
      </c>
      <c r="AZ734" s="287">
        <f t="shared" si="467"/>
        <v>0</v>
      </c>
      <c r="BA734" s="287">
        <f t="shared" si="468"/>
        <v>0</v>
      </c>
      <c r="BB734" s="16"/>
      <c r="BC734" s="287">
        <f t="shared" si="469"/>
        <v>0</v>
      </c>
      <c r="BD734" s="287">
        <f t="shared" si="470"/>
        <v>0</v>
      </c>
      <c r="BE734" s="287">
        <f t="shared" si="471"/>
        <v>0</v>
      </c>
      <c r="BF734" s="287">
        <f t="shared" si="472"/>
        <v>0</v>
      </c>
      <c r="BG734" s="287">
        <f t="shared" si="473"/>
        <v>0</v>
      </c>
      <c r="BH734" s="287">
        <f t="shared" si="474"/>
        <v>0</v>
      </c>
      <c r="BI734" s="287">
        <f t="shared" si="475"/>
        <v>0</v>
      </c>
      <c r="BJ734" s="287">
        <f t="shared" si="476"/>
        <v>0</v>
      </c>
      <c r="BK734" s="287">
        <f t="shared" si="477"/>
        <v>0</v>
      </c>
      <c r="BL734" s="287">
        <f t="shared" si="478"/>
        <v>0</v>
      </c>
      <c r="BM734" s="16"/>
      <c r="BN734" s="287">
        <f t="shared" si="479"/>
        <v>9379000</v>
      </c>
      <c r="BO734" s="287">
        <f t="shared" si="480"/>
        <v>0</v>
      </c>
      <c r="BP734" s="432"/>
      <c r="BQ734" s="21"/>
      <c r="BR734" s="21"/>
      <c r="BS734" s="6"/>
      <c r="BT734" s="194">
        <f t="shared" si="484"/>
        <v>9379000</v>
      </c>
      <c r="BU734" s="194">
        <f t="shared" si="485"/>
        <v>9379000</v>
      </c>
      <c r="BV734" s="194">
        <f t="shared" si="486"/>
        <v>0</v>
      </c>
      <c r="BW734" s="194">
        <f t="shared" si="487"/>
        <v>0</v>
      </c>
      <c r="BX734" s="6"/>
      <c r="BY734" s="6"/>
      <c r="BZ734" s="39">
        <v>721</v>
      </c>
      <c r="CA734" s="39">
        <f t="shared" si="481"/>
        <v>2031</v>
      </c>
      <c r="CB734" s="6"/>
      <c r="CC734" s="39"/>
      <c r="CD734" s="39"/>
      <c r="CE734" s="39"/>
      <c r="CF734" s="39"/>
      <c r="CG734" s="39"/>
      <c r="CH734" s="39"/>
      <c r="CI734" s="39"/>
      <c r="CJ734" s="39"/>
      <c r="CK734" s="39"/>
    </row>
    <row r="735" spans="1:89" s="193" customFormat="1">
      <c r="A735" s="357"/>
      <c r="B735" s="21" t="str">
        <f t="shared" si="458"/>
        <v>STW</v>
      </c>
      <c r="C735" s="21"/>
      <c r="D735" s="432"/>
      <c r="E735" s="439" t="s">
        <v>3626</v>
      </c>
      <c r="F735" s="439" t="s">
        <v>3938</v>
      </c>
      <c r="G735" s="273" t="s">
        <v>3937</v>
      </c>
      <c r="H735" s="358" t="s">
        <v>4556</v>
      </c>
      <c r="I735" s="262" t="s">
        <v>3491</v>
      </c>
      <c r="J735" s="262" t="s">
        <v>4198</v>
      </c>
      <c r="K735" s="263">
        <v>255000</v>
      </c>
      <c r="L735" s="263">
        <v>0</v>
      </c>
      <c r="M735" s="263">
        <v>0</v>
      </c>
      <c r="N735" s="263">
        <v>0</v>
      </c>
      <c r="O735" s="263">
        <v>0</v>
      </c>
      <c r="P735" s="263">
        <v>0</v>
      </c>
      <c r="Q735" s="263">
        <v>0</v>
      </c>
      <c r="R735" s="263">
        <v>0</v>
      </c>
      <c r="S735" s="263">
        <v>0</v>
      </c>
      <c r="T735" s="263">
        <v>0</v>
      </c>
      <c r="U735" s="263">
        <f t="shared" si="488"/>
        <v>255000</v>
      </c>
      <c r="V735" s="196" t="str">
        <f t="shared" si="456"/>
        <v>G/LOS/R</v>
      </c>
      <c r="W735" s="196" t="s">
        <v>1168</v>
      </c>
      <c r="X735" s="196" t="str">
        <f t="shared" si="453"/>
        <v>Y</v>
      </c>
      <c r="Y735" s="376">
        <f t="shared" si="454"/>
        <v>255000</v>
      </c>
      <c r="Z735" s="198"/>
      <c r="AA735" s="376">
        <f t="shared" si="457"/>
        <v>255000</v>
      </c>
      <c r="AB735" s="196" t="s">
        <v>1166</v>
      </c>
      <c r="AC735" s="196" t="s">
        <v>1168</v>
      </c>
      <c r="AD735" s="275">
        <v>0.3</v>
      </c>
      <c r="AE735" s="275">
        <v>0.65</v>
      </c>
      <c r="AF735" s="275">
        <v>0.05</v>
      </c>
      <c r="AG735" s="442">
        <v>0.3</v>
      </c>
      <c r="AH735" s="442">
        <v>0.3</v>
      </c>
      <c r="AI735" s="377">
        <f t="shared" si="489"/>
        <v>0.3</v>
      </c>
      <c r="AJ735" s="688">
        <v>1</v>
      </c>
      <c r="AK735" s="203">
        <f t="shared" si="483"/>
        <v>0</v>
      </c>
      <c r="AL735" s="376">
        <f t="shared" si="490"/>
        <v>178500</v>
      </c>
      <c r="AM735" s="376">
        <f t="shared" si="491"/>
        <v>76500</v>
      </c>
      <c r="AN735" s="376">
        <f t="shared" si="492"/>
        <v>0</v>
      </c>
      <c r="AO735" s="378" t="s">
        <v>3607</v>
      </c>
      <c r="AP735" s="379" t="s">
        <v>5395</v>
      </c>
      <c r="AQ735" s="279"/>
      <c r="AR735" s="287">
        <f t="shared" si="459"/>
        <v>76500</v>
      </c>
      <c r="AS735" s="287">
        <f t="shared" si="460"/>
        <v>0</v>
      </c>
      <c r="AT735" s="287">
        <f t="shared" si="461"/>
        <v>0</v>
      </c>
      <c r="AU735" s="287">
        <f t="shared" si="462"/>
        <v>0</v>
      </c>
      <c r="AV735" s="287">
        <f t="shared" si="463"/>
        <v>0</v>
      </c>
      <c r="AW735" s="287">
        <f t="shared" si="464"/>
        <v>0</v>
      </c>
      <c r="AX735" s="287">
        <f t="shared" si="465"/>
        <v>0</v>
      </c>
      <c r="AY735" s="287">
        <f t="shared" si="466"/>
        <v>0</v>
      </c>
      <c r="AZ735" s="287">
        <f t="shared" si="467"/>
        <v>0</v>
      </c>
      <c r="BA735" s="287">
        <f t="shared" si="468"/>
        <v>0</v>
      </c>
      <c r="BB735" s="16"/>
      <c r="BC735" s="287">
        <f t="shared" si="469"/>
        <v>0</v>
      </c>
      <c r="BD735" s="287">
        <f t="shared" si="470"/>
        <v>0</v>
      </c>
      <c r="BE735" s="287">
        <f t="shared" si="471"/>
        <v>0</v>
      </c>
      <c r="BF735" s="287">
        <f t="shared" si="472"/>
        <v>0</v>
      </c>
      <c r="BG735" s="287">
        <f t="shared" si="473"/>
        <v>0</v>
      </c>
      <c r="BH735" s="287">
        <f t="shared" si="474"/>
        <v>0</v>
      </c>
      <c r="BI735" s="287">
        <f t="shared" si="475"/>
        <v>0</v>
      </c>
      <c r="BJ735" s="287">
        <f t="shared" si="476"/>
        <v>0</v>
      </c>
      <c r="BK735" s="287">
        <f t="shared" si="477"/>
        <v>0</v>
      </c>
      <c r="BL735" s="287">
        <f t="shared" si="478"/>
        <v>0</v>
      </c>
      <c r="BM735" s="16"/>
      <c r="BN735" s="287">
        <f t="shared" si="479"/>
        <v>76500</v>
      </c>
      <c r="BO735" s="287">
        <f t="shared" si="480"/>
        <v>0</v>
      </c>
      <c r="BP735" s="432"/>
      <c r="BQ735" s="21"/>
      <c r="BR735" s="21"/>
      <c r="BS735" s="6"/>
      <c r="BT735" s="194">
        <f t="shared" si="484"/>
        <v>76500</v>
      </c>
      <c r="BU735" s="194">
        <f t="shared" si="485"/>
        <v>76500</v>
      </c>
      <c r="BV735" s="194">
        <f t="shared" si="486"/>
        <v>0</v>
      </c>
      <c r="BW735" s="194">
        <f t="shared" si="487"/>
        <v>0</v>
      </c>
      <c r="BX735" s="6"/>
      <c r="BY735" s="6"/>
      <c r="BZ735" s="39">
        <v>722</v>
      </c>
      <c r="CA735" s="39">
        <f t="shared" si="481"/>
        <v>2031</v>
      </c>
      <c r="CB735" s="6"/>
      <c r="CC735" s="39"/>
      <c r="CD735" s="39"/>
      <c r="CE735" s="39"/>
      <c r="CF735" s="39"/>
      <c r="CG735" s="39"/>
      <c r="CH735" s="39"/>
      <c r="CI735" s="39"/>
      <c r="CJ735" s="39"/>
      <c r="CK735" s="39"/>
    </row>
    <row r="736" spans="1:89" s="193" customFormat="1">
      <c r="A736" s="357"/>
      <c r="B736" s="21" t="str">
        <f t="shared" si="458"/>
        <v>STW</v>
      </c>
      <c r="C736" s="21"/>
      <c r="D736" s="432"/>
      <c r="E736" s="439" t="s">
        <v>3626</v>
      </c>
      <c r="F736" s="439" t="s">
        <v>3998</v>
      </c>
      <c r="G736" s="273" t="s">
        <v>4524</v>
      </c>
      <c r="H736" s="358" t="s">
        <v>4517</v>
      </c>
      <c r="I736" s="262" t="s">
        <v>3491</v>
      </c>
      <c r="J736" s="262" t="s">
        <v>4198</v>
      </c>
      <c r="K736" s="263">
        <v>1031400</v>
      </c>
      <c r="L736" s="263">
        <v>320000</v>
      </c>
      <c r="M736" s="263">
        <v>0</v>
      </c>
      <c r="N736" s="263">
        <v>0</v>
      </c>
      <c r="O736" s="263">
        <v>0</v>
      </c>
      <c r="P736" s="263">
        <v>0</v>
      </c>
      <c r="Q736" s="263">
        <v>0</v>
      </c>
      <c r="R736" s="263">
        <v>0</v>
      </c>
      <c r="S736" s="263">
        <v>0</v>
      </c>
      <c r="T736" s="263">
        <v>0</v>
      </c>
      <c r="U736" s="263">
        <f t="shared" si="488"/>
        <v>1351400</v>
      </c>
      <c r="V736" s="196" t="str">
        <f t="shared" si="456"/>
        <v>G/LOS/R</v>
      </c>
      <c r="W736" s="196" t="s">
        <v>1168</v>
      </c>
      <c r="X736" s="196" t="str">
        <f t="shared" ref="X736:X767" si="493">IF(LEFT(V736,1)="G","Y","N")</f>
        <v>Y</v>
      </c>
      <c r="Y736" s="376">
        <f t="shared" ref="Y736:Y767" si="494">SUM(K736:T736)</f>
        <v>1351400</v>
      </c>
      <c r="Z736" s="198"/>
      <c r="AA736" s="376">
        <f t="shared" si="457"/>
        <v>1351400</v>
      </c>
      <c r="AB736" s="196" t="s">
        <v>1166</v>
      </c>
      <c r="AC736" s="196" t="s">
        <v>1168</v>
      </c>
      <c r="AD736" s="275">
        <v>0.25</v>
      </c>
      <c r="AE736" s="275">
        <v>0.44999999999999996</v>
      </c>
      <c r="AF736" s="275">
        <v>0.3</v>
      </c>
      <c r="AG736" s="442">
        <v>0.25</v>
      </c>
      <c r="AH736" s="442">
        <v>0.25</v>
      </c>
      <c r="AI736" s="377">
        <f t="shared" si="489"/>
        <v>0.25</v>
      </c>
      <c r="AJ736" s="688">
        <v>1</v>
      </c>
      <c r="AK736" s="203">
        <f t="shared" si="483"/>
        <v>0</v>
      </c>
      <c r="AL736" s="376">
        <f t="shared" si="490"/>
        <v>1013550</v>
      </c>
      <c r="AM736" s="376">
        <f t="shared" si="491"/>
        <v>337850</v>
      </c>
      <c r="AN736" s="376">
        <f t="shared" si="492"/>
        <v>0</v>
      </c>
      <c r="AO736" s="378" t="s">
        <v>3607</v>
      </c>
      <c r="AP736" s="379" t="s">
        <v>5395</v>
      </c>
      <c r="AQ736" s="279"/>
      <c r="AR736" s="287">
        <f t="shared" si="459"/>
        <v>257850</v>
      </c>
      <c r="AS736" s="287">
        <f t="shared" si="460"/>
        <v>80000</v>
      </c>
      <c r="AT736" s="287">
        <f t="shared" si="461"/>
        <v>0</v>
      </c>
      <c r="AU736" s="287">
        <f t="shared" si="462"/>
        <v>0</v>
      </c>
      <c r="AV736" s="287">
        <f t="shared" si="463"/>
        <v>0</v>
      </c>
      <c r="AW736" s="287">
        <f t="shared" si="464"/>
        <v>0</v>
      </c>
      <c r="AX736" s="287">
        <f t="shared" si="465"/>
        <v>0</v>
      </c>
      <c r="AY736" s="287">
        <f t="shared" si="466"/>
        <v>0</v>
      </c>
      <c r="AZ736" s="287">
        <f t="shared" si="467"/>
        <v>0</v>
      </c>
      <c r="BA736" s="287">
        <f t="shared" si="468"/>
        <v>0</v>
      </c>
      <c r="BB736" s="16"/>
      <c r="BC736" s="287">
        <f t="shared" si="469"/>
        <v>0</v>
      </c>
      <c r="BD736" s="287">
        <f t="shared" si="470"/>
        <v>0</v>
      </c>
      <c r="BE736" s="287">
        <f t="shared" si="471"/>
        <v>0</v>
      </c>
      <c r="BF736" s="287">
        <f t="shared" si="472"/>
        <v>0</v>
      </c>
      <c r="BG736" s="287">
        <f t="shared" si="473"/>
        <v>0</v>
      </c>
      <c r="BH736" s="287">
        <f t="shared" si="474"/>
        <v>0</v>
      </c>
      <c r="BI736" s="287">
        <f t="shared" si="475"/>
        <v>0</v>
      </c>
      <c r="BJ736" s="287">
        <f t="shared" si="476"/>
        <v>0</v>
      </c>
      <c r="BK736" s="287">
        <f t="shared" si="477"/>
        <v>0</v>
      </c>
      <c r="BL736" s="287">
        <f t="shared" si="478"/>
        <v>0</v>
      </c>
      <c r="BM736" s="16"/>
      <c r="BN736" s="287">
        <f t="shared" si="479"/>
        <v>337850</v>
      </c>
      <c r="BO736" s="287">
        <f t="shared" si="480"/>
        <v>0</v>
      </c>
      <c r="BP736" s="432"/>
      <c r="BQ736" s="21"/>
      <c r="BR736" s="21"/>
      <c r="BS736" s="6"/>
      <c r="BT736" s="194">
        <f t="shared" si="484"/>
        <v>337850</v>
      </c>
      <c r="BU736" s="194">
        <f t="shared" si="485"/>
        <v>337850</v>
      </c>
      <c r="BV736" s="194">
        <f t="shared" si="486"/>
        <v>0</v>
      </c>
      <c r="BW736" s="194">
        <f t="shared" si="487"/>
        <v>0</v>
      </c>
      <c r="BX736" s="6"/>
      <c r="BY736" s="6"/>
      <c r="BZ736" s="39">
        <v>723</v>
      </c>
      <c r="CA736" s="39">
        <f t="shared" si="481"/>
        <v>2031</v>
      </c>
      <c r="CB736" s="6"/>
      <c r="CC736" s="39"/>
      <c r="CD736" s="39"/>
      <c r="CE736" s="39"/>
      <c r="CF736" s="39"/>
      <c r="CG736" s="39"/>
      <c r="CH736" s="39"/>
      <c r="CI736" s="39"/>
      <c r="CJ736" s="39"/>
      <c r="CK736" s="39"/>
    </row>
    <row r="737" spans="1:89" s="193" customFormat="1" ht="24">
      <c r="A737" s="357"/>
      <c r="B737" s="21" t="str">
        <f t="shared" si="458"/>
        <v>STW</v>
      </c>
      <c r="C737" s="21"/>
      <c r="D737" s="432" t="s">
        <v>3933</v>
      </c>
      <c r="E737" s="439" t="s">
        <v>3626</v>
      </c>
      <c r="F737" s="439" t="s">
        <v>4113</v>
      </c>
      <c r="G737" s="273" t="s">
        <v>4593</v>
      </c>
      <c r="H737" s="358" t="s">
        <v>4594</v>
      </c>
      <c r="I737" s="262" t="s">
        <v>3491</v>
      </c>
      <c r="J737" s="262" t="s">
        <v>4203</v>
      </c>
      <c r="K737" s="263">
        <v>400000</v>
      </c>
      <c r="L737" s="263">
        <v>750000</v>
      </c>
      <c r="M737" s="263">
        <v>0</v>
      </c>
      <c r="N737" s="263">
        <v>0</v>
      </c>
      <c r="O737" s="263">
        <v>0</v>
      </c>
      <c r="P737" s="263">
        <v>0</v>
      </c>
      <c r="Q737" s="263">
        <v>0</v>
      </c>
      <c r="R737" s="263">
        <v>0</v>
      </c>
      <c r="S737" s="263">
        <v>0</v>
      </c>
      <c r="T737" s="263">
        <v>0</v>
      </c>
      <c r="U737" s="263">
        <f t="shared" si="488"/>
        <v>1150000</v>
      </c>
      <c r="V737" s="196" t="str">
        <f t="shared" si="456"/>
        <v>G/LOS/R</v>
      </c>
      <c r="W737" s="196" t="s">
        <v>1168</v>
      </c>
      <c r="X737" s="196" t="str">
        <f t="shared" si="493"/>
        <v>Y</v>
      </c>
      <c r="Y737" s="376">
        <f t="shared" si="494"/>
        <v>1150000</v>
      </c>
      <c r="Z737" s="198"/>
      <c r="AA737" s="376">
        <f t="shared" si="457"/>
        <v>1150000</v>
      </c>
      <c r="AB737" s="196" t="s">
        <v>1166</v>
      </c>
      <c r="AC737" s="196" t="s">
        <v>1168</v>
      </c>
      <c r="AD737" s="275">
        <v>0.35</v>
      </c>
      <c r="AE737" s="275">
        <v>0.30000000000000004</v>
      </c>
      <c r="AF737" s="275">
        <v>0.35</v>
      </c>
      <c r="AG737" s="442">
        <v>0.35</v>
      </c>
      <c r="AH737" s="442">
        <v>0.35</v>
      </c>
      <c r="AI737" s="377">
        <f t="shared" si="489"/>
        <v>0.35</v>
      </c>
      <c r="AJ737" s="548">
        <v>1</v>
      </c>
      <c r="AK737" s="203">
        <f t="shared" si="483"/>
        <v>0</v>
      </c>
      <c r="AL737" s="376">
        <f t="shared" si="490"/>
        <v>747500</v>
      </c>
      <c r="AM737" s="376">
        <f t="shared" si="491"/>
        <v>402500</v>
      </c>
      <c r="AN737" s="376">
        <f t="shared" si="492"/>
        <v>0</v>
      </c>
      <c r="AO737" s="378" t="s">
        <v>3607</v>
      </c>
      <c r="AP737" s="379" t="s">
        <v>5421</v>
      </c>
      <c r="AQ737" s="279"/>
      <c r="AR737" s="287">
        <f t="shared" si="459"/>
        <v>140000</v>
      </c>
      <c r="AS737" s="287">
        <f t="shared" si="460"/>
        <v>262500</v>
      </c>
      <c r="AT737" s="287">
        <f t="shared" si="461"/>
        <v>0</v>
      </c>
      <c r="AU737" s="287">
        <f t="shared" si="462"/>
        <v>0</v>
      </c>
      <c r="AV737" s="287">
        <f t="shared" si="463"/>
        <v>0</v>
      </c>
      <c r="AW737" s="287">
        <f t="shared" si="464"/>
        <v>0</v>
      </c>
      <c r="AX737" s="287">
        <f t="shared" si="465"/>
        <v>0</v>
      </c>
      <c r="AY737" s="287">
        <f t="shared" si="466"/>
        <v>0</v>
      </c>
      <c r="AZ737" s="287">
        <f t="shared" si="467"/>
        <v>0</v>
      </c>
      <c r="BA737" s="287">
        <f t="shared" si="468"/>
        <v>0</v>
      </c>
      <c r="BB737" s="16"/>
      <c r="BC737" s="287">
        <f t="shared" si="469"/>
        <v>0</v>
      </c>
      <c r="BD737" s="287">
        <f t="shared" si="470"/>
        <v>0</v>
      </c>
      <c r="BE737" s="287">
        <f t="shared" si="471"/>
        <v>0</v>
      </c>
      <c r="BF737" s="287">
        <f t="shared" si="472"/>
        <v>0</v>
      </c>
      <c r="BG737" s="287">
        <f t="shared" si="473"/>
        <v>0</v>
      </c>
      <c r="BH737" s="287">
        <f t="shared" si="474"/>
        <v>0</v>
      </c>
      <c r="BI737" s="287">
        <f t="shared" si="475"/>
        <v>0</v>
      </c>
      <c r="BJ737" s="287">
        <f t="shared" si="476"/>
        <v>0</v>
      </c>
      <c r="BK737" s="287">
        <f t="shared" si="477"/>
        <v>0</v>
      </c>
      <c r="BL737" s="287">
        <f t="shared" si="478"/>
        <v>0</v>
      </c>
      <c r="BM737" s="16"/>
      <c r="BN737" s="287">
        <f t="shared" si="479"/>
        <v>402500</v>
      </c>
      <c r="BO737" s="287">
        <f t="shared" si="480"/>
        <v>0</v>
      </c>
      <c r="BP737" s="432"/>
      <c r="BQ737" s="21"/>
      <c r="BR737" s="21"/>
      <c r="BS737" s="6"/>
      <c r="BT737" s="194">
        <f t="shared" si="484"/>
        <v>402500</v>
      </c>
      <c r="BU737" s="194">
        <f t="shared" si="485"/>
        <v>402500</v>
      </c>
      <c r="BV737" s="194">
        <f t="shared" si="486"/>
        <v>0</v>
      </c>
      <c r="BW737" s="194">
        <f t="shared" si="487"/>
        <v>0</v>
      </c>
      <c r="BX737" s="6"/>
      <c r="BY737" s="6"/>
      <c r="BZ737" s="39">
        <v>724</v>
      </c>
      <c r="CA737" s="39">
        <f t="shared" si="481"/>
        <v>2031</v>
      </c>
      <c r="CB737" s="6"/>
      <c r="CC737" s="39"/>
      <c r="CD737" s="39"/>
      <c r="CE737" s="39"/>
      <c r="CF737" s="39"/>
      <c r="CG737" s="39"/>
      <c r="CH737" s="39"/>
      <c r="CI737" s="39"/>
      <c r="CJ737" s="39"/>
      <c r="CK737" s="39"/>
    </row>
    <row r="738" spans="1:89" s="193" customFormat="1" ht="36">
      <c r="A738" s="357"/>
      <c r="B738" s="21" t="str">
        <f t="shared" si="458"/>
        <v>STW</v>
      </c>
      <c r="C738" s="21"/>
      <c r="D738" s="432"/>
      <c r="E738" s="439" t="s">
        <v>3626</v>
      </c>
      <c r="F738" s="439" t="s">
        <v>4012</v>
      </c>
      <c r="G738" s="273" t="s">
        <v>4011</v>
      </c>
      <c r="H738" s="358" t="s">
        <v>4624</v>
      </c>
      <c r="I738" s="262" t="s">
        <v>3491</v>
      </c>
      <c r="J738" s="262" t="s">
        <v>4193</v>
      </c>
      <c r="K738" s="263">
        <v>1207000</v>
      </c>
      <c r="L738" s="263">
        <v>235000</v>
      </c>
      <c r="M738" s="263">
        <v>0</v>
      </c>
      <c r="N738" s="263">
        <v>0</v>
      </c>
      <c r="O738" s="263">
        <v>0</v>
      </c>
      <c r="P738" s="263">
        <v>0</v>
      </c>
      <c r="Q738" s="263">
        <v>0</v>
      </c>
      <c r="R738" s="263">
        <v>0</v>
      </c>
      <c r="S738" s="263">
        <v>0</v>
      </c>
      <c r="T738" s="263">
        <v>0</v>
      </c>
      <c r="U738" s="263">
        <f t="shared" si="488"/>
        <v>1442000</v>
      </c>
      <c r="V738" s="196" t="str">
        <f t="shared" si="456"/>
        <v>G/LOS/R</v>
      </c>
      <c r="W738" s="196" t="s">
        <v>1168</v>
      </c>
      <c r="X738" s="196" t="str">
        <f t="shared" si="493"/>
        <v>Y</v>
      </c>
      <c r="Y738" s="376">
        <f t="shared" si="494"/>
        <v>1442000</v>
      </c>
      <c r="Z738" s="198"/>
      <c r="AA738" s="376">
        <f t="shared" si="457"/>
        <v>1442000</v>
      </c>
      <c r="AB738" s="196" t="s">
        <v>1166</v>
      </c>
      <c r="AC738" s="196" t="s">
        <v>1168</v>
      </c>
      <c r="AD738" s="445">
        <v>0.4</v>
      </c>
      <c r="AE738" s="275">
        <v>0.3</v>
      </c>
      <c r="AF738" s="275">
        <v>0.3</v>
      </c>
      <c r="AG738" s="442">
        <v>0.4</v>
      </c>
      <c r="AH738" s="442">
        <v>0.4</v>
      </c>
      <c r="AI738" s="377">
        <f t="shared" si="489"/>
        <v>0.4</v>
      </c>
      <c r="AJ738" s="548">
        <v>1</v>
      </c>
      <c r="AK738" s="203">
        <f t="shared" si="483"/>
        <v>0</v>
      </c>
      <c r="AL738" s="376">
        <f t="shared" si="490"/>
        <v>865200</v>
      </c>
      <c r="AM738" s="376">
        <f t="shared" si="491"/>
        <v>576800</v>
      </c>
      <c r="AN738" s="376">
        <f t="shared" si="492"/>
        <v>0</v>
      </c>
      <c r="AO738" s="378" t="s">
        <v>3607</v>
      </c>
      <c r="AP738" s="379" t="s">
        <v>5422</v>
      </c>
      <c r="AQ738" s="279"/>
      <c r="AR738" s="287">
        <f t="shared" si="459"/>
        <v>482800</v>
      </c>
      <c r="AS738" s="287">
        <f t="shared" si="460"/>
        <v>94000</v>
      </c>
      <c r="AT738" s="287">
        <f t="shared" si="461"/>
        <v>0</v>
      </c>
      <c r="AU738" s="287">
        <f t="shared" si="462"/>
        <v>0</v>
      </c>
      <c r="AV738" s="287">
        <f t="shared" si="463"/>
        <v>0</v>
      </c>
      <c r="AW738" s="287">
        <f t="shared" si="464"/>
        <v>0</v>
      </c>
      <c r="AX738" s="287">
        <f t="shared" si="465"/>
        <v>0</v>
      </c>
      <c r="AY738" s="287">
        <f t="shared" si="466"/>
        <v>0</v>
      </c>
      <c r="AZ738" s="287">
        <f t="shared" si="467"/>
        <v>0</v>
      </c>
      <c r="BA738" s="287">
        <f t="shared" si="468"/>
        <v>0</v>
      </c>
      <c r="BB738" s="16"/>
      <c r="BC738" s="287">
        <f t="shared" si="469"/>
        <v>0</v>
      </c>
      <c r="BD738" s="287">
        <f t="shared" si="470"/>
        <v>0</v>
      </c>
      <c r="BE738" s="287">
        <f t="shared" si="471"/>
        <v>0</v>
      </c>
      <c r="BF738" s="287">
        <f t="shared" si="472"/>
        <v>0</v>
      </c>
      <c r="BG738" s="287">
        <f t="shared" si="473"/>
        <v>0</v>
      </c>
      <c r="BH738" s="287">
        <f t="shared" si="474"/>
        <v>0</v>
      </c>
      <c r="BI738" s="287">
        <f t="shared" si="475"/>
        <v>0</v>
      </c>
      <c r="BJ738" s="287">
        <f t="shared" si="476"/>
        <v>0</v>
      </c>
      <c r="BK738" s="287">
        <f t="shared" si="477"/>
        <v>0</v>
      </c>
      <c r="BL738" s="287">
        <f t="shared" si="478"/>
        <v>0</v>
      </c>
      <c r="BM738" s="16"/>
      <c r="BN738" s="287">
        <f t="shared" si="479"/>
        <v>576800</v>
      </c>
      <c r="BO738" s="287">
        <f t="shared" si="480"/>
        <v>0</v>
      </c>
      <c r="BP738" s="432"/>
      <c r="BQ738" s="21"/>
      <c r="BR738" s="21"/>
      <c r="BS738" s="6"/>
      <c r="BT738" s="194">
        <f t="shared" si="484"/>
        <v>576800</v>
      </c>
      <c r="BU738" s="194">
        <f t="shared" si="485"/>
        <v>576800</v>
      </c>
      <c r="BV738" s="194">
        <f t="shared" si="486"/>
        <v>0</v>
      </c>
      <c r="BW738" s="194">
        <f t="shared" si="487"/>
        <v>0</v>
      </c>
      <c r="BX738" s="6"/>
      <c r="BY738" s="6"/>
      <c r="BZ738" s="39">
        <v>725</v>
      </c>
      <c r="CA738" s="39">
        <f t="shared" si="481"/>
        <v>2031</v>
      </c>
      <c r="CB738" s="6"/>
      <c r="CC738" s="39"/>
      <c r="CD738" s="39"/>
      <c r="CE738" s="39"/>
      <c r="CF738" s="39"/>
      <c r="CG738" s="39"/>
      <c r="CH738" s="39"/>
      <c r="CI738" s="39"/>
      <c r="CJ738" s="39"/>
      <c r="CK738" s="39"/>
    </row>
    <row r="739" spans="1:89" s="193" customFormat="1">
      <c r="A739" s="357"/>
      <c r="B739" s="21" t="str">
        <f t="shared" si="458"/>
        <v>STW</v>
      </c>
      <c r="C739" s="21"/>
      <c r="D739" s="432"/>
      <c r="E739" s="439" t="s">
        <v>3626</v>
      </c>
      <c r="F739" s="439" t="s">
        <v>4161</v>
      </c>
      <c r="G739" s="273" t="s">
        <v>4162</v>
      </c>
      <c r="H739" s="358" t="s">
        <v>4517</v>
      </c>
      <c r="I739" s="262" t="s">
        <v>3491</v>
      </c>
      <c r="J739" s="262" t="s">
        <v>4198</v>
      </c>
      <c r="K739" s="263">
        <v>40000</v>
      </c>
      <c r="L739" s="263">
        <v>80000</v>
      </c>
      <c r="M739" s="263">
        <v>1200000</v>
      </c>
      <c r="N739" s="263">
        <v>280000</v>
      </c>
      <c r="O739" s="263">
        <v>0</v>
      </c>
      <c r="P739" s="263">
        <v>0</v>
      </c>
      <c r="Q739" s="263">
        <v>0</v>
      </c>
      <c r="R739" s="263">
        <v>0</v>
      </c>
      <c r="S739" s="263">
        <v>0</v>
      </c>
      <c r="T739" s="263">
        <v>0</v>
      </c>
      <c r="U739" s="263">
        <f t="shared" si="488"/>
        <v>1600000</v>
      </c>
      <c r="V739" s="196" t="str">
        <f t="shared" si="456"/>
        <v>G/LOS/R</v>
      </c>
      <c r="W739" s="196" t="s">
        <v>1168</v>
      </c>
      <c r="X739" s="196" t="str">
        <f t="shared" si="493"/>
        <v>Y</v>
      </c>
      <c r="Y739" s="376">
        <f t="shared" si="494"/>
        <v>1600000</v>
      </c>
      <c r="Z739" s="198"/>
      <c r="AA739" s="376">
        <f t="shared" si="457"/>
        <v>1600000</v>
      </c>
      <c r="AB739" s="196" t="s">
        <v>1166</v>
      </c>
      <c r="AC739" s="196" t="s">
        <v>1168</v>
      </c>
      <c r="AD739" s="275">
        <v>0.3</v>
      </c>
      <c r="AE739" s="275">
        <v>0.5</v>
      </c>
      <c r="AF739" s="275">
        <v>0.2</v>
      </c>
      <c r="AG739" s="442">
        <v>0.3</v>
      </c>
      <c r="AH739" s="442">
        <v>0.3</v>
      </c>
      <c r="AI739" s="377">
        <f t="shared" si="489"/>
        <v>0.3</v>
      </c>
      <c r="AJ739" s="548">
        <v>1</v>
      </c>
      <c r="AK739" s="203">
        <f t="shared" si="483"/>
        <v>0</v>
      </c>
      <c r="AL739" s="376">
        <f t="shared" si="490"/>
        <v>1120000</v>
      </c>
      <c r="AM739" s="376">
        <f t="shared" si="491"/>
        <v>480000</v>
      </c>
      <c r="AN739" s="376">
        <f t="shared" si="492"/>
        <v>0</v>
      </c>
      <c r="AO739" s="378" t="s">
        <v>3607</v>
      </c>
      <c r="AP739" s="379" t="s">
        <v>5395</v>
      </c>
      <c r="AQ739" s="279"/>
      <c r="AR739" s="287">
        <f t="shared" si="459"/>
        <v>12000</v>
      </c>
      <c r="AS739" s="287">
        <f t="shared" si="460"/>
        <v>24000</v>
      </c>
      <c r="AT739" s="287">
        <f t="shared" si="461"/>
        <v>360000</v>
      </c>
      <c r="AU739" s="287">
        <f t="shared" si="462"/>
        <v>84000</v>
      </c>
      <c r="AV739" s="287">
        <f t="shared" si="463"/>
        <v>0</v>
      </c>
      <c r="AW739" s="287">
        <f t="shared" si="464"/>
        <v>0</v>
      </c>
      <c r="AX739" s="287">
        <f t="shared" si="465"/>
        <v>0</v>
      </c>
      <c r="AY739" s="287">
        <f t="shared" si="466"/>
        <v>0</v>
      </c>
      <c r="AZ739" s="287">
        <f t="shared" si="467"/>
        <v>0</v>
      </c>
      <c r="BA739" s="287">
        <f t="shared" si="468"/>
        <v>0</v>
      </c>
      <c r="BB739" s="16"/>
      <c r="BC739" s="287">
        <f t="shared" si="469"/>
        <v>0</v>
      </c>
      <c r="BD739" s="287">
        <f t="shared" si="470"/>
        <v>0</v>
      </c>
      <c r="BE739" s="287">
        <f t="shared" si="471"/>
        <v>0</v>
      </c>
      <c r="BF739" s="287">
        <f t="shared" si="472"/>
        <v>0</v>
      </c>
      <c r="BG739" s="287">
        <f t="shared" si="473"/>
        <v>0</v>
      </c>
      <c r="BH739" s="287">
        <f t="shared" si="474"/>
        <v>0</v>
      </c>
      <c r="BI739" s="287">
        <f t="shared" si="475"/>
        <v>0</v>
      </c>
      <c r="BJ739" s="287">
        <f t="shared" si="476"/>
        <v>0</v>
      </c>
      <c r="BK739" s="287">
        <f t="shared" si="477"/>
        <v>0</v>
      </c>
      <c r="BL739" s="287">
        <f t="shared" si="478"/>
        <v>0</v>
      </c>
      <c r="BM739" s="16"/>
      <c r="BN739" s="287">
        <f t="shared" si="479"/>
        <v>480000</v>
      </c>
      <c r="BO739" s="287">
        <f t="shared" si="480"/>
        <v>0</v>
      </c>
      <c r="BP739" s="432"/>
      <c r="BQ739" s="21"/>
      <c r="BR739" s="21"/>
      <c r="BS739" s="6"/>
      <c r="BT739" s="194">
        <f t="shared" si="484"/>
        <v>480000</v>
      </c>
      <c r="BU739" s="194">
        <f t="shared" si="485"/>
        <v>480000</v>
      </c>
      <c r="BV739" s="194">
        <f t="shared" si="486"/>
        <v>0</v>
      </c>
      <c r="BW739" s="194">
        <f t="shared" si="487"/>
        <v>0</v>
      </c>
      <c r="BX739" s="6"/>
      <c r="BY739" s="6"/>
      <c r="BZ739" s="39">
        <v>726</v>
      </c>
      <c r="CA739" s="39">
        <f t="shared" si="481"/>
        <v>2031</v>
      </c>
      <c r="CB739" s="6"/>
      <c r="CC739" s="39"/>
      <c r="CD739" s="39"/>
      <c r="CE739" s="39"/>
      <c r="CF739" s="39"/>
      <c r="CG739" s="39"/>
      <c r="CH739" s="39"/>
      <c r="CI739" s="39"/>
      <c r="CJ739" s="39"/>
      <c r="CK739" s="39"/>
    </row>
    <row r="740" spans="1:89" s="193" customFormat="1" ht="24">
      <c r="A740" s="357"/>
      <c r="B740" s="21" t="str">
        <f t="shared" si="458"/>
        <v>STW</v>
      </c>
      <c r="C740" s="21"/>
      <c r="D740" s="432"/>
      <c r="E740" s="439" t="s">
        <v>3626</v>
      </c>
      <c r="F740" s="439" t="s">
        <v>3990</v>
      </c>
      <c r="G740" s="273" t="s">
        <v>3989</v>
      </c>
      <c r="H740" s="358" t="s">
        <v>4509</v>
      </c>
      <c r="I740" s="262" t="s">
        <v>3491</v>
      </c>
      <c r="J740" s="262" t="s">
        <v>4196</v>
      </c>
      <c r="K740" s="263">
        <v>281800</v>
      </c>
      <c r="L740" s="263">
        <v>0</v>
      </c>
      <c r="M740" s="263">
        <v>0</v>
      </c>
      <c r="N740" s="263">
        <v>0</v>
      </c>
      <c r="O740" s="263">
        <v>0</v>
      </c>
      <c r="P740" s="263">
        <v>0</v>
      </c>
      <c r="Q740" s="263">
        <v>0</v>
      </c>
      <c r="R740" s="263">
        <v>0</v>
      </c>
      <c r="S740" s="263">
        <v>0</v>
      </c>
      <c r="T740" s="263">
        <v>0</v>
      </c>
      <c r="U740" s="263">
        <f t="shared" si="488"/>
        <v>281800</v>
      </c>
      <c r="V740" s="196" t="str">
        <f t="shared" si="456"/>
        <v>G/LOS/R</v>
      </c>
      <c r="W740" s="196" t="s">
        <v>1168</v>
      </c>
      <c r="X740" s="196" t="str">
        <f t="shared" si="493"/>
        <v>Y</v>
      </c>
      <c r="Y740" s="376">
        <f t="shared" si="494"/>
        <v>281800</v>
      </c>
      <c r="Z740" s="198"/>
      <c r="AA740" s="376">
        <f t="shared" si="457"/>
        <v>281800</v>
      </c>
      <c r="AB740" s="196" t="s">
        <v>1166</v>
      </c>
      <c r="AC740" s="196" t="s">
        <v>1168</v>
      </c>
      <c r="AD740" s="518">
        <v>0.1</v>
      </c>
      <c r="AE740" s="288">
        <v>0.1</v>
      </c>
      <c r="AF740" s="275">
        <v>0.8</v>
      </c>
      <c r="AG740" s="442">
        <v>0.1</v>
      </c>
      <c r="AH740" s="442">
        <v>0.1</v>
      </c>
      <c r="AI740" s="377">
        <f t="shared" si="489"/>
        <v>0.1</v>
      </c>
      <c r="AJ740" s="548">
        <v>1</v>
      </c>
      <c r="AK740" s="203">
        <f t="shared" si="483"/>
        <v>0</v>
      </c>
      <c r="AL740" s="376">
        <f t="shared" si="490"/>
        <v>253620</v>
      </c>
      <c r="AM740" s="376">
        <f t="shared" si="491"/>
        <v>28180</v>
      </c>
      <c r="AN740" s="376">
        <f t="shared" si="492"/>
        <v>0</v>
      </c>
      <c r="AO740" s="378" t="s">
        <v>3607</v>
      </c>
      <c r="AP740" s="379" t="s">
        <v>5418</v>
      </c>
      <c r="AQ740" s="279"/>
      <c r="AR740" s="287">
        <f t="shared" si="459"/>
        <v>28180</v>
      </c>
      <c r="AS740" s="287">
        <f t="shared" si="460"/>
        <v>0</v>
      </c>
      <c r="AT740" s="287">
        <f t="shared" si="461"/>
        <v>0</v>
      </c>
      <c r="AU740" s="287">
        <f t="shared" si="462"/>
        <v>0</v>
      </c>
      <c r="AV740" s="287">
        <f t="shared" si="463"/>
        <v>0</v>
      </c>
      <c r="AW740" s="287">
        <f t="shared" si="464"/>
        <v>0</v>
      </c>
      <c r="AX740" s="287">
        <f t="shared" si="465"/>
        <v>0</v>
      </c>
      <c r="AY740" s="287">
        <f t="shared" si="466"/>
        <v>0</v>
      </c>
      <c r="AZ740" s="287">
        <f t="shared" si="467"/>
        <v>0</v>
      </c>
      <c r="BA740" s="287">
        <f t="shared" si="468"/>
        <v>0</v>
      </c>
      <c r="BB740" s="16"/>
      <c r="BC740" s="287">
        <f t="shared" si="469"/>
        <v>0</v>
      </c>
      <c r="BD740" s="287">
        <f t="shared" si="470"/>
        <v>0</v>
      </c>
      <c r="BE740" s="287">
        <f t="shared" si="471"/>
        <v>0</v>
      </c>
      <c r="BF740" s="287">
        <f t="shared" si="472"/>
        <v>0</v>
      </c>
      <c r="BG740" s="287">
        <f t="shared" si="473"/>
        <v>0</v>
      </c>
      <c r="BH740" s="287">
        <f t="shared" si="474"/>
        <v>0</v>
      </c>
      <c r="BI740" s="287">
        <f t="shared" si="475"/>
        <v>0</v>
      </c>
      <c r="BJ740" s="287">
        <f t="shared" si="476"/>
        <v>0</v>
      </c>
      <c r="BK740" s="287">
        <f t="shared" si="477"/>
        <v>0</v>
      </c>
      <c r="BL740" s="287">
        <f t="shared" si="478"/>
        <v>0</v>
      </c>
      <c r="BM740" s="16"/>
      <c r="BN740" s="287">
        <f t="shared" si="479"/>
        <v>28180</v>
      </c>
      <c r="BO740" s="287">
        <f t="shared" si="480"/>
        <v>0</v>
      </c>
      <c r="BP740" s="432"/>
      <c r="BQ740" s="21"/>
      <c r="BR740" s="21"/>
      <c r="BS740" s="6"/>
      <c r="BT740" s="194">
        <f t="shared" si="484"/>
        <v>28180</v>
      </c>
      <c r="BU740" s="194">
        <f t="shared" si="485"/>
        <v>28180</v>
      </c>
      <c r="BV740" s="194">
        <f t="shared" si="486"/>
        <v>0</v>
      </c>
      <c r="BW740" s="194">
        <f t="shared" si="487"/>
        <v>0</v>
      </c>
      <c r="BX740" s="6"/>
      <c r="BY740" s="6"/>
      <c r="BZ740" s="39">
        <v>727</v>
      </c>
      <c r="CA740" s="39">
        <f t="shared" si="481"/>
        <v>2031</v>
      </c>
      <c r="CB740" s="6"/>
      <c r="CC740" s="39"/>
      <c r="CD740" s="39"/>
      <c r="CE740" s="39"/>
      <c r="CF740" s="39"/>
      <c r="CG740" s="39"/>
      <c r="CH740" s="39"/>
      <c r="CI740" s="39"/>
      <c r="CJ740" s="39"/>
      <c r="CK740" s="39"/>
    </row>
    <row r="741" spans="1:89" s="193" customFormat="1" ht="24">
      <c r="A741" s="357"/>
      <c r="B741" s="21" t="str">
        <f t="shared" si="458"/>
        <v>STW</v>
      </c>
      <c r="C741" s="21"/>
      <c r="D741" s="432"/>
      <c r="E741" s="439" t="s">
        <v>3626</v>
      </c>
      <c r="F741" s="439" t="s">
        <v>4122</v>
      </c>
      <c r="G741" s="273" t="s">
        <v>4600</v>
      </c>
      <c r="H741" s="358" t="s">
        <v>4598</v>
      </c>
      <c r="I741" s="262" t="s">
        <v>3491</v>
      </c>
      <c r="J741" s="262" t="s">
        <v>4196</v>
      </c>
      <c r="K741" s="263">
        <v>15000</v>
      </c>
      <c r="L741" s="263">
        <v>450000</v>
      </c>
      <c r="M741" s="263">
        <v>470000</v>
      </c>
      <c r="N741" s="263">
        <v>1680000</v>
      </c>
      <c r="O741" s="263">
        <v>0</v>
      </c>
      <c r="P741" s="263">
        <v>0</v>
      </c>
      <c r="Q741" s="263">
        <v>0</v>
      </c>
      <c r="R741" s="263">
        <v>0</v>
      </c>
      <c r="S741" s="263">
        <v>0</v>
      </c>
      <c r="T741" s="263">
        <v>0</v>
      </c>
      <c r="U741" s="263">
        <f t="shared" si="488"/>
        <v>2615000</v>
      </c>
      <c r="V741" s="196" t="str">
        <f t="shared" si="456"/>
        <v>G/LOS/R</v>
      </c>
      <c r="W741" s="196" t="s">
        <v>1168</v>
      </c>
      <c r="X741" s="196" t="str">
        <f t="shared" si="493"/>
        <v>Y</v>
      </c>
      <c r="Y741" s="376">
        <f t="shared" si="494"/>
        <v>2615000</v>
      </c>
      <c r="Z741" s="198"/>
      <c r="AA741" s="376">
        <f t="shared" si="457"/>
        <v>2615000</v>
      </c>
      <c r="AB741" s="196" t="s">
        <v>1166</v>
      </c>
      <c r="AC741" s="196" t="s">
        <v>1168</v>
      </c>
      <c r="AD741" s="518">
        <v>0.1</v>
      </c>
      <c r="AE741" s="275">
        <v>0.3</v>
      </c>
      <c r="AF741" s="275">
        <v>0.6</v>
      </c>
      <c r="AG741" s="442">
        <v>0.1</v>
      </c>
      <c r="AH741" s="442">
        <v>0.1</v>
      </c>
      <c r="AI741" s="377">
        <f t="shared" si="489"/>
        <v>0.1</v>
      </c>
      <c r="AJ741" s="548">
        <v>1</v>
      </c>
      <c r="AK741" s="203">
        <f t="shared" si="483"/>
        <v>0</v>
      </c>
      <c r="AL741" s="376">
        <f t="shared" si="490"/>
        <v>2353500</v>
      </c>
      <c r="AM741" s="376">
        <f t="shared" si="491"/>
        <v>261500</v>
      </c>
      <c r="AN741" s="376">
        <f t="shared" si="492"/>
        <v>0</v>
      </c>
      <c r="AO741" s="378" t="s">
        <v>3607</v>
      </c>
      <c r="AP741" s="379" t="s">
        <v>5418</v>
      </c>
      <c r="AQ741" s="279"/>
      <c r="AR741" s="287">
        <f t="shared" si="459"/>
        <v>1500</v>
      </c>
      <c r="AS741" s="287">
        <f t="shared" si="460"/>
        <v>45000</v>
      </c>
      <c r="AT741" s="287">
        <f t="shared" si="461"/>
        <v>47000</v>
      </c>
      <c r="AU741" s="287">
        <f t="shared" si="462"/>
        <v>168000</v>
      </c>
      <c r="AV741" s="287">
        <f t="shared" si="463"/>
        <v>0</v>
      </c>
      <c r="AW741" s="287">
        <f t="shared" si="464"/>
        <v>0</v>
      </c>
      <c r="AX741" s="287">
        <f t="shared" si="465"/>
        <v>0</v>
      </c>
      <c r="AY741" s="287">
        <f t="shared" si="466"/>
        <v>0</v>
      </c>
      <c r="AZ741" s="287">
        <f t="shared" si="467"/>
        <v>0</v>
      </c>
      <c r="BA741" s="287">
        <f t="shared" si="468"/>
        <v>0</v>
      </c>
      <c r="BB741" s="16"/>
      <c r="BC741" s="287">
        <f t="shared" si="469"/>
        <v>0</v>
      </c>
      <c r="BD741" s="287">
        <f t="shared" si="470"/>
        <v>0</v>
      </c>
      <c r="BE741" s="287">
        <f t="shared" si="471"/>
        <v>0</v>
      </c>
      <c r="BF741" s="287">
        <f t="shared" si="472"/>
        <v>0</v>
      </c>
      <c r="BG741" s="287">
        <f t="shared" si="473"/>
        <v>0</v>
      </c>
      <c r="BH741" s="287">
        <f t="shared" si="474"/>
        <v>0</v>
      </c>
      <c r="BI741" s="287">
        <f t="shared" si="475"/>
        <v>0</v>
      </c>
      <c r="BJ741" s="287">
        <f t="shared" si="476"/>
        <v>0</v>
      </c>
      <c r="BK741" s="287">
        <f t="shared" si="477"/>
        <v>0</v>
      </c>
      <c r="BL741" s="287">
        <f t="shared" si="478"/>
        <v>0</v>
      </c>
      <c r="BM741" s="16"/>
      <c r="BN741" s="287">
        <f t="shared" si="479"/>
        <v>261500</v>
      </c>
      <c r="BO741" s="287">
        <f t="shared" si="480"/>
        <v>0</v>
      </c>
      <c r="BP741" s="432"/>
      <c r="BQ741" s="21"/>
      <c r="BR741" s="21"/>
      <c r="BS741" s="6"/>
      <c r="BT741" s="194">
        <f t="shared" si="484"/>
        <v>261500</v>
      </c>
      <c r="BU741" s="194">
        <f t="shared" si="485"/>
        <v>261500</v>
      </c>
      <c r="BV741" s="194">
        <f t="shared" si="486"/>
        <v>0</v>
      </c>
      <c r="BW741" s="194">
        <f t="shared" si="487"/>
        <v>0</v>
      </c>
      <c r="BX741" s="6"/>
      <c r="BY741" s="6"/>
      <c r="BZ741" s="39">
        <v>728</v>
      </c>
      <c r="CA741" s="39">
        <f t="shared" si="481"/>
        <v>2031</v>
      </c>
      <c r="CB741" s="6"/>
      <c r="CC741" s="39"/>
      <c r="CD741" s="39"/>
      <c r="CE741" s="39"/>
      <c r="CF741" s="39"/>
      <c r="CG741" s="39"/>
      <c r="CH741" s="39"/>
      <c r="CI741" s="39"/>
      <c r="CJ741" s="39"/>
      <c r="CK741" s="39"/>
    </row>
    <row r="742" spans="1:89" s="193" customFormat="1" ht="24">
      <c r="A742" s="357"/>
      <c r="B742" s="21" t="str">
        <f t="shared" si="458"/>
        <v>STW</v>
      </c>
      <c r="C742" s="21"/>
      <c r="D742" s="432"/>
      <c r="E742" s="439" t="s">
        <v>3626</v>
      </c>
      <c r="F742" s="439" t="s">
        <v>3626</v>
      </c>
      <c r="G742" s="273" t="s">
        <v>4222</v>
      </c>
      <c r="H742" s="358" t="s">
        <v>4550</v>
      </c>
      <c r="I742" s="262" t="s">
        <v>3491</v>
      </c>
      <c r="J742" s="262" t="s">
        <v>4191</v>
      </c>
      <c r="K742" s="263">
        <v>279586.01228174253</v>
      </c>
      <c r="L742" s="263">
        <v>559172.02456348506</v>
      </c>
      <c r="M742" s="263">
        <v>559172.02456348506</v>
      </c>
      <c r="N742" s="263">
        <v>838758.03684522759</v>
      </c>
      <c r="O742" s="263">
        <v>838758.03684522759</v>
      </c>
      <c r="P742" s="263">
        <v>1118344.0491269701</v>
      </c>
      <c r="Q742" s="263">
        <v>1118344.0491269701</v>
      </c>
      <c r="R742" s="263">
        <v>1118344.0491269701</v>
      </c>
      <c r="S742" s="263">
        <v>419379.01842261379</v>
      </c>
      <c r="T742" s="263">
        <v>139793.00614087126</v>
      </c>
      <c r="U742" s="263">
        <f t="shared" si="488"/>
        <v>6989650.3070435626</v>
      </c>
      <c r="V742" s="196" t="str">
        <f t="shared" si="456"/>
        <v>G/LOS</v>
      </c>
      <c r="W742" s="196" t="s">
        <v>1168</v>
      </c>
      <c r="X742" s="196" t="str">
        <f t="shared" si="493"/>
        <v>Y</v>
      </c>
      <c r="Y742" s="376">
        <f t="shared" si="494"/>
        <v>6989650.3070435626</v>
      </c>
      <c r="Z742" s="198"/>
      <c r="AA742" s="376">
        <f t="shared" si="457"/>
        <v>6989650.3070435626</v>
      </c>
      <c r="AB742" s="196" t="s">
        <v>1166</v>
      </c>
      <c r="AC742" s="196" t="s">
        <v>1168</v>
      </c>
      <c r="AD742" s="444">
        <v>0.83</v>
      </c>
      <c r="AE742" s="275">
        <v>0.17</v>
      </c>
      <c r="AF742" s="275">
        <v>0</v>
      </c>
      <c r="AG742" s="442">
        <v>0.83</v>
      </c>
      <c r="AH742" s="442">
        <v>0.83</v>
      </c>
      <c r="AI742" s="377">
        <f t="shared" si="489"/>
        <v>0.83</v>
      </c>
      <c r="AJ742" s="548">
        <v>1</v>
      </c>
      <c r="AK742" s="203">
        <f t="shared" si="483"/>
        <v>0</v>
      </c>
      <c r="AL742" s="376">
        <f t="shared" si="490"/>
        <v>1188240.5521974058</v>
      </c>
      <c r="AM742" s="376">
        <f t="shared" si="491"/>
        <v>5801409.7548461566</v>
      </c>
      <c r="AN742" s="376">
        <f t="shared" si="492"/>
        <v>0</v>
      </c>
      <c r="AO742" s="378" t="s">
        <v>3607</v>
      </c>
      <c r="AP742" s="379" t="s">
        <v>5416</v>
      </c>
      <c r="AQ742" s="279"/>
      <c r="AR742" s="287">
        <f t="shared" si="459"/>
        <v>232056.39019384628</v>
      </c>
      <c r="AS742" s="287">
        <f t="shared" si="460"/>
        <v>464112.78038769256</v>
      </c>
      <c r="AT742" s="287">
        <f t="shared" si="461"/>
        <v>464112.78038769256</v>
      </c>
      <c r="AU742" s="287">
        <f t="shared" si="462"/>
        <v>696169.17058153881</v>
      </c>
      <c r="AV742" s="287">
        <f t="shared" si="463"/>
        <v>696169.17058153881</v>
      </c>
      <c r="AW742" s="287">
        <f t="shared" si="464"/>
        <v>928225.56077538512</v>
      </c>
      <c r="AX742" s="287">
        <f t="shared" si="465"/>
        <v>928225.56077538512</v>
      </c>
      <c r="AY742" s="287">
        <f t="shared" si="466"/>
        <v>928225.56077538512</v>
      </c>
      <c r="AZ742" s="287">
        <f t="shared" si="467"/>
        <v>348084.58529076941</v>
      </c>
      <c r="BA742" s="287">
        <f t="shared" si="468"/>
        <v>116028.19509692314</v>
      </c>
      <c r="BB742" s="16"/>
      <c r="BC742" s="287">
        <f t="shared" si="469"/>
        <v>0</v>
      </c>
      <c r="BD742" s="287">
        <f t="shared" si="470"/>
        <v>0</v>
      </c>
      <c r="BE742" s="287">
        <f t="shared" si="471"/>
        <v>0</v>
      </c>
      <c r="BF742" s="287">
        <f t="shared" si="472"/>
        <v>0</v>
      </c>
      <c r="BG742" s="287">
        <f t="shared" si="473"/>
        <v>0</v>
      </c>
      <c r="BH742" s="287">
        <f t="shared" si="474"/>
        <v>0</v>
      </c>
      <c r="BI742" s="287">
        <f t="shared" si="475"/>
        <v>0</v>
      </c>
      <c r="BJ742" s="287">
        <f t="shared" si="476"/>
        <v>0</v>
      </c>
      <c r="BK742" s="287">
        <f t="shared" si="477"/>
        <v>0</v>
      </c>
      <c r="BL742" s="287">
        <f t="shared" si="478"/>
        <v>0</v>
      </c>
      <c r="BM742" s="16"/>
      <c r="BN742" s="287">
        <f t="shared" si="479"/>
        <v>5801409.7548461566</v>
      </c>
      <c r="BO742" s="287">
        <f t="shared" si="480"/>
        <v>0</v>
      </c>
      <c r="BP742" s="432"/>
      <c r="BQ742" s="21"/>
      <c r="BR742" s="21"/>
      <c r="BS742" s="6"/>
      <c r="BT742" s="194">
        <f t="shared" si="484"/>
        <v>5801409.7548461566</v>
      </c>
      <c r="BU742" s="194">
        <f t="shared" si="485"/>
        <v>5801409.7548461566</v>
      </c>
      <c r="BV742" s="194">
        <f t="shared" si="486"/>
        <v>0</v>
      </c>
      <c r="BW742" s="194">
        <f t="shared" si="487"/>
        <v>0</v>
      </c>
      <c r="BX742" s="6"/>
      <c r="BY742" s="6"/>
      <c r="BZ742" s="39">
        <v>729</v>
      </c>
      <c r="CA742" s="39">
        <f t="shared" si="481"/>
        <v>2031</v>
      </c>
      <c r="CB742" s="6"/>
      <c r="CC742" s="39"/>
      <c r="CD742" s="39"/>
      <c r="CE742" s="39"/>
      <c r="CF742" s="39"/>
      <c r="CG742" s="39"/>
      <c r="CH742" s="39"/>
      <c r="CI742" s="39"/>
      <c r="CJ742" s="39"/>
      <c r="CK742" s="39"/>
    </row>
    <row r="743" spans="1:89" s="193" customFormat="1" ht="24">
      <c r="A743" s="357"/>
      <c r="B743" s="21" t="str">
        <f t="shared" si="458"/>
        <v>STW</v>
      </c>
      <c r="C743" s="21"/>
      <c r="D743" s="432"/>
      <c r="E743" s="439" t="s">
        <v>3626</v>
      </c>
      <c r="F743" s="439" t="s">
        <v>3626</v>
      </c>
      <c r="G743" s="273" t="s">
        <v>4223</v>
      </c>
      <c r="H743" s="358" t="s">
        <v>4550</v>
      </c>
      <c r="I743" s="262" t="s">
        <v>3491</v>
      </c>
      <c r="J743" s="262" t="s">
        <v>4192</v>
      </c>
      <c r="K743" s="263">
        <v>31065.112475749171</v>
      </c>
      <c r="L743" s="263">
        <v>62130.224951498341</v>
      </c>
      <c r="M743" s="263">
        <v>62130.224951498341</v>
      </c>
      <c r="N743" s="263">
        <v>93195.337427247505</v>
      </c>
      <c r="O743" s="263">
        <v>93195.337427247505</v>
      </c>
      <c r="P743" s="263">
        <v>124260.44990299668</v>
      </c>
      <c r="Q743" s="263">
        <v>124260.44990299668</v>
      </c>
      <c r="R743" s="263">
        <v>124260.44990299668</v>
      </c>
      <c r="S743" s="263">
        <v>46597.668713623752</v>
      </c>
      <c r="T743" s="263">
        <v>15532.556237874585</v>
      </c>
      <c r="U743" s="263">
        <f t="shared" si="488"/>
        <v>776627.81189372914</v>
      </c>
      <c r="V743" s="196" t="str">
        <f t="shared" si="456"/>
        <v>G/LOS</v>
      </c>
      <c r="W743" s="196" t="s">
        <v>1168</v>
      </c>
      <c r="X743" s="196" t="str">
        <f t="shared" si="493"/>
        <v>Y</v>
      </c>
      <c r="Y743" s="376">
        <f t="shared" si="494"/>
        <v>776627.81189372914</v>
      </c>
      <c r="Z743" s="198"/>
      <c r="AA743" s="376">
        <f t="shared" si="457"/>
        <v>776627.81189372914</v>
      </c>
      <c r="AB743" s="196" t="s">
        <v>1166</v>
      </c>
      <c r="AC743" s="196" t="s">
        <v>1168</v>
      </c>
      <c r="AD743" s="521">
        <v>0.83</v>
      </c>
      <c r="AE743" s="275">
        <v>0.17</v>
      </c>
      <c r="AF743" s="275">
        <v>0</v>
      </c>
      <c r="AG743" s="442">
        <v>0.83</v>
      </c>
      <c r="AH743" s="442">
        <v>0.83</v>
      </c>
      <c r="AI743" s="377">
        <f t="shared" si="489"/>
        <v>0.83</v>
      </c>
      <c r="AJ743" s="548">
        <v>1</v>
      </c>
      <c r="AK743" s="203">
        <f t="shared" si="483"/>
        <v>0</v>
      </c>
      <c r="AL743" s="376">
        <f t="shared" si="490"/>
        <v>132026.72802193399</v>
      </c>
      <c r="AM743" s="376">
        <f t="shared" si="491"/>
        <v>644601.08387179521</v>
      </c>
      <c r="AN743" s="376">
        <f t="shared" si="492"/>
        <v>0</v>
      </c>
      <c r="AO743" s="378" t="s">
        <v>3607</v>
      </c>
      <c r="AP743" s="379" t="s">
        <v>5417</v>
      </c>
      <c r="AQ743" s="279"/>
      <c r="AR743" s="287">
        <f t="shared" si="459"/>
        <v>25784.04335487181</v>
      </c>
      <c r="AS743" s="287">
        <f t="shared" si="460"/>
        <v>51568.08670974362</v>
      </c>
      <c r="AT743" s="287">
        <f t="shared" si="461"/>
        <v>51568.08670974362</v>
      </c>
      <c r="AU743" s="287">
        <f t="shared" si="462"/>
        <v>77352.130064615427</v>
      </c>
      <c r="AV743" s="287">
        <f t="shared" si="463"/>
        <v>77352.130064615427</v>
      </c>
      <c r="AW743" s="287">
        <f t="shared" si="464"/>
        <v>103136.17341948724</v>
      </c>
      <c r="AX743" s="287">
        <f t="shared" si="465"/>
        <v>103136.17341948724</v>
      </c>
      <c r="AY743" s="287">
        <f t="shared" si="466"/>
        <v>103136.17341948724</v>
      </c>
      <c r="AZ743" s="287">
        <f t="shared" si="467"/>
        <v>38676.065032307713</v>
      </c>
      <c r="BA743" s="287">
        <f t="shared" si="468"/>
        <v>12892.021677435905</v>
      </c>
      <c r="BB743" s="16"/>
      <c r="BC743" s="287">
        <f t="shared" si="469"/>
        <v>0</v>
      </c>
      <c r="BD743" s="287">
        <f t="shared" si="470"/>
        <v>0</v>
      </c>
      <c r="BE743" s="287">
        <f t="shared" si="471"/>
        <v>0</v>
      </c>
      <c r="BF743" s="287">
        <f t="shared" si="472"/>
        <v>0</v>
      </c>
      <c r="BG743" s="287">
        <f t="shared" si="473"/>
        <v>0</v>
      </c>
      <c r="BH743" s="287">
        <f t="shared" si="474"/>
        <v>0</v>
      </c>
      <c r="BI743" s="287">
        <f t="shared" si="475"/>
        <v>0</v>
      </c>
      <c r="BJ743" s="287">
        <f t="shared" si="476"/>
        <v>0</v>
      </c>
      <c r="BK743" s="287">
        <f t="shared" si="477"/>
        <v>0</v>
      </c>
      <c r="BL743" s="287">
        <f t="shared" si="478"/>
        <v>0</v>
      </c>
      <c r="BM743" s="16"/>
      <c r="BN743" s="287">
        <f t="shared" si="479"/>
        <v>644601.08387179533</v>
      </c>
      <c r="BO743" s="287">
        <f t="shared" si="480"/>
        <v>0</v>
      </c>
      <c r="BP743" s="432"/>
      <c r="BQ743" s="21"/>
      <c r="BR743" s="21"/>
      <c r="BS743" s="6"/>
      <c r="BT743" s="194">
        <f t="shared" si="484"/>
        <v>644601.08387179533</v>
      </c>
      <c r="BU743" s="194">
        <f t="shared" si="485"/>
        <v>644601.08387179521</v>
      </c>
      <c r="BV743" s="194">
        <f t="shared" si="486"/>
        <v>0</v>
      </c>
      <c r="BW743" s="194">
        <f t="shared" si="487"/>
        <v>1.1641532182693481E-10</v>
      </c>
      <c r="BX743" s="6"/>
      <c r="BY743" s="6"/>
      <c r="BZ743" s="39">
        <v>730</v>
      </c>
      <c r="CA743" s="39">
        <f t="shared" si="481"/>
        <v>2031</v>
      </c>
      <c r="CB743" s="6"/>
      <c r="CC743" s="39"/>
      <c r="CD743" s="39"/>
      <c r="CE743" s="39"/>
      <c r="CF743" s="39"/>
      <c r="CG743" s="39"/>
      <c r="CH743" s="39"/>
      <c r="CI743" s="39"/>
      <c r="CJ743" s="39"/>
      <c r="CK743" s="39"/>
    </row>
    <row r="744" spans="1:89" s="193" customFormat="1">
      <c r="A744" s="357"/>
      <c r="B744" s="21" t="str">
        <f t="shared" si="458"/>
        <v>STW</v>
      </c>
      <c r="C744" s="21"/>
      <c r="D744" s="432"/>
      <c r="E744" s="439" t="s">
        <v>3626</v>
      </c>
      <c r="F744" s="439" t="s">
        <v>4157</v>
      </c>
      <c r="G744" s="273" t="s">
        <v>4632</v>
      </c>
      <c r="H744" s="358" t="s">
        <v>4631</v>
      </c>
      <c r="I744" s="262" t="s">
        <v>3491</v>
      </c>
      <c r="J744" s="262" t="s">
        <v>4198</v>
      </c>
      <c r="K744" s="263">
        <v>50000</v>
      </c>
      <c r="L744" s="263">
        <v>50000</v>
      </c>
      <c r="M744" s="263">
        <v>1200000</v>
      </c>
      <c r="N744" s="263">
        <v>600000</v>
      </c>
      <c r="O744" s="263">
        <v>0</v>
      </c>
      <c r="P744" s="263">
        <v>0</v>
      </c>
      <c r="Q744" s="263">
        <v>0</v>
      </c>
      <c r="R744" s="263">
        <v>0</v>
      </c>
      <c r="S744" s="263">
        <v>0</v>
      </c>
      <c r="T744" s="263">
        <v>0</v>
      </c>
      <c r="U744" s="263">
        <f t="shared" si="488"/>
        <v>1900000</v>
      </c>
      <c r="V744" s="196" t="str">
        <f t="shared" si="456"/>
        <v>G/LOS/R</v>
      </c>
      <c r="W744" s="196" t="s">
        <v>1168</v>
      </c>
      <c r="X744" s="196" t="str">
        <f t="shared" si="493"/>
        <v>Y</v>
      </c>
      <c r="Y744" s="376">
        <f t="shared" si="494"/>
        <v>1900000</v>
      </c>
      <c r="Z744" s="198"/>
      <c r="AA744" s="376">
        <f t="shared" si="457"/>
        <v>1900000</v>
      </c>
      <c r="AB744" s="196" t="s">
        <v>1166</v>
      </c>
      <c r="AC744" s="196" t="s">
        <v>1168</v>
      </c>
      <c r="AD744" s="275">
        <v>0.2</v>
      </c>
      <c r="AE744" s="275">
        <v>0.3</v>
      </c>
      <c r="AF744" s="275">
        <v>0.5</v>
      </c>
      <c r="AG744" s="442">
        <v>0.2</v>
      </c>
      <c r="AH744" s="442">
        <v>0.2</v>
      </c>
      <c r="AI744" s="377">
        <f t="shared" si="489"/>
        <v>0.2</v>
      </c>
      <c r="AJ744" s="548">
        <v>1</v>
      </c>
      <c r="AK744" s="203">
        <f t="shared" si="483"/>
        <v>0</v>
      </c>
      <c r="AL744" s="376">
        <f t="shared" si="490"/>
        <v>1520000</v>
      </c>
      <c r="AM744" s="376">
        <f t="shared" si="491"/>
        <v>380000</v>
      </c>
      <c r="AN744" s="376">
        <f t="shared" si="492"/>
        <v>0</v>
      </c>
      <c r="AO744" s="378" t="s">
        <v>3607</v>
      </c>
      <c r="AP744" s="379" t="s">
        <v>5395</v>
      </c>
      <c r="AQ744" s="279"/>
      <c r="AR744" s="287">
        <f t="shared" si="459"/>
        <v>10000</v>
      </c>
      <c r="AS744" s="287">
        <f t="shared" si="460"/>
        <v>10000</v>
      </c>
      <c r="AT744" s="287">
        <f t="shared" si="461"/>
        <v>240000</v>
      </c>
      <c r="AU744" s="287">
        <f t="shared" si="462"/>
        <v>120000</v>
      </c>
      <c r="AV744" s="287">
        <f t="shared" si="463"/>
        <v>0</v>
      </c>
      <c r="AW744" s="287">
        <f t="shared" si="464"/>
        <v>0</v>
      </c>
      <c r="AX744" s="287">
        <f t="shared" si="465"/>
        <v>0</v>
      </c>
      <c r="AY744" s="287">
        <f t="shared" si="466"/>
        <v>0</v>
      </c>
      <c r="AZ744" s="287">
        <f t="shared" si="467"/>
        <v>0</v>
      </c>
      <c r="BA744" s="287">
        <f t="shared" si="468"/>
        <v>0</v>
      </c>
      <c r="BB744" s="16"/>
      <c r="BC744" s="287">
        <f t="shared" si="469"/>
        <v>0</v>
      </c>
      <c r="BD744" s="287">
        <f t="shared" si="470"/>
        <v>0</v>
      </c>
      <c r="BE744" s="287">
        <f t="shared" si="471"/>
        <v>0</v>
      </c>
      <c r="BF744" s="287">
        <f t="shared" si="472"/>
        <v>0</v>
      </c>
      <c r="BG744" s="287">
        <f t="shared" si="473"/>
        <v>0</v>
      </c>
      <c r="BH744" s="287">
        <f t="shared" si="474"/>
        <v>0</v>
      </c>
      <c r="BI744" s="287">
        <f t="shared" si="475"/>
        <v>0</v>
      </c>
      <c r="BJ744" s="287">
        <f t="shared" si="476"/>
        <v>0</v>
      </c>
      <c r="BK744" s="287">
        <f t="shared" si="477"/>
        <v>0</v>
      </c>
      <c r="BL744" s="287">
        <f t="shared" si="478"/>
        <v>0</v>
      </c>
      <c r="BM744" s="16"/>
      <c r="BN744" s="287">
        <f t="shared" si="479"/>
        <v>380000</v>
      </c>
      <c r="BO744" s="287">
        <f t="shared" si="480"/>
        <v>0</v>
      </c>
      <c r="BP744" s="432"/>
      <c r="BQ744" s="21"/>
      <c r="BR744" s="21"/>
      <c r="BS744" s="6"/>
      <c r="BT744" s="194">
        <f t="shared" si="484"/>
        <v>380000</v>
      </c>
      <c r="BU744" s="194">
        <f t="shared" si="485"/>
        <v>380000</v>
      </c>
      <c r="BV744" s="194">
        <f t="shared" si="486"/>
        <v>0</v>
      </c>
      <c r="BW744" s="194">
        <f t="shared" si="487"/>
        <v>0</v>
      </c>
      <c r="BX744" s="6"/>
      <c r="BY744" s="6"/>
      <c r="BZ744" s="39">
        <v>731</v>
      </c>
      <c r="CA744" s="39">
        <f t="shared" si="481"/>
        <v>2031</v>
      </c>
      <c r="CB744" s="6"/>
      <c r="CC744" s="39"/>
      <c r="CD744" s="39"/>
      <c r="CE744" s="39"/>
      <c r="CF744" s="39"/>
      <c r="CG744" s="39"/>
      <c r="CH744" s="39"/>
      <c r="CI744" s="39"/>
      <c r="CJ744" s="39"/>
      <c r="CK744" s="39"/>
    </row>
    <row r="745" spans="1:89" s="193" customFormat="1">
      <c r="A745" s="357"/>
      <c r="B745" s="21" t="str">
        <f t="shared" si="458"/>
        <v>STW</v>
      </c>
      <c r="C745" s="21"/>
      <c r="D745" s="432" t="s">
        <v>4034</v>
      </c>
      <c r="E745" s="439" t="s">
        <v>3626</v>
      </c>
      <c r="F745" s="439" t="s">
        <v>4033</v>
      </c>
      <c r="G745" s="273" t="s">
        <v>4637</v>
      </c>
      <c r="H745" s="358" t="s">
        <v>4636</v>
      </c>
      <c r="I745" s="262" t="s">
        <v>3491</v>
      </c>
      <c r="J745" s="262" t="s">
        <v>4221</v>
      </c>
      <c r="K745" s="263">
        <v>687000</v>
      </c>
      <c r="L745" s="263">
        <v>448000</v>
      </c>
      <c r="M745" s="263">
        <v>0</v>
      </c>
      <c r="N745" s="263">
        <v>0</v>
      </c>
      <c r="O745" s="263">
        <v>0</v>
      </c>
      <c r="P745" s="263">
        <v>0</v>
      </c>
      <c r="Q745" s="263">
        <v>0</v>
      </c>
      <c r="R745" s="263">
        <v>0</v>
      </c>
      <c r="S745" s="263">
        <v>0</v>
      </c>
      <c r="T745" s="263">
        <v>0</v>
      </c>
      <c r="U745" s="263">
        <f t="shared" si="488"/>
        <v>1135000</v>
      </c>
      <c r="V745" s="196" t="str">
        <f t="shared" si="456"/>
        <v>G/LOS/R</v>
      </c>
      <c r="W745" s="196" t="s">
        <v>1168</v>
      </c>
      <c r="X745" s="196" t="str">
        <f t="shared" si="493"/>
        <v>Y</v>
      </c>
      <c r="Y745" s="376">
        <f t="shared" si="494"/>
        <v>1135000</v>
      </c>
      <c r="Z745" s="198"/>
      <c r="AA745" s="376">
        <f t="shared" si="457"/>
        <v>1135000</v>
      </c>
      <c r="AB745" s="196" t="s">
        <v>1166</v>
      </c>
      <c r="AC745" s="196" t="s">
        <v>1168</v>
      </c>
      <c r="AD745" s="275">
        <v>0.1</v>
      </c>
      <c r="AE745" s="275">
        <v>0.8</v>
      </c>
      <c r="AF745" s="275">
        <v>0.1</v>
      </c>
      <c r="AG745" s="442">
        <v>0.1</v>
      </c>
      <c r="AH745" s="442">
        <v>0.1</v>
      </c>
      <c r="AI745" s="377">
        <f t="shared" si="489"/>
        <v>0.1</v>
      </c>
      <c r="AJ745" s="548">
        <v>1</v>
      </c>
      <c r="AK745" s="203">
        <f t="shared" si="483"/>
        <v>0</v>
      </c>
      <c r="AL745" s="376">
        <f t="shared" si="490"/>
        <v>1021500</v>
      </c>
      <c r="AM745" s="376">
        <f t="shared" si="491"/>
        <v>113500</v>
      </c>
      <c r="AN745" s="376">
        <f t="shared" si="492"/>
        <v>0</v>
      </c>
      <c r="AO745" s="378" t="s">
        <v>3607</v>
      </c>
      <c r="AP745" s="379" t="s">
        <v>5423</v>
      </c>
      <c r="AQ745" s="279" t="s">
        <v>4346</v>
      </c>
      <c r="AR745" s="287">
        <f t="shared" si="459"/>
        <v>68700</v>
      </c>
      <c r="AS745" s="287">
        <f t="shared" si="460"/>
        <v>44800</v>
      </c>
      <c r="AT745" s="287">
        <f t="shared" si="461"/>
        <v>0</v>
      </c>
      <c r="AU745" s="287">
        <f t="shared" si="462"/>
        <v>0</v>
      </c>
      <c r="AV745" s="287">
        <f t="shared" si="463"/>
        <v>0</v>
      </c>
      <c r="AW745" s="287">
        <f t="shared" si="464"/>
        <v>0</v>
      </c>
      <c r="AX745" s="287">
        <f t="shared" si="465"/>
        <v>0</v>
      </c>
      <c r="AY745" s="287">
        <f t="shared" si="466"/>
        <v>0</v>
      </c>
      <c r="AZ745" s="287">
        <f t="shared" si="467"/>
        <v>0</v>
      </c>
      <c r="BA745" s="287">
        <f t="shared" si="468"/>
        <v>0</v>
      </c>
      <c r="BB745" s="16"/>
      <c r="BC745" s="287">
        <f t="shared" si="469"/>
        <v>0</v>
      </c>
      <c r="BD745" s="287">
        <f t="shared" si="470"/>
        <v>0</v>
      </c>
      <c r="BE745" s="287">
        <f t="shared" si="471"/>
        <v>0</v>
      </c>
      <c r="BF745" s="287">
        <f t="shared" si="472"/>
        <v>0</v>
      </c>
      <c r="BG745" s="287">
        <f t="shared" si="473"/>
        <v>0</v>
      </c>
      <c r="BH745" s="287">
        <f t="shared" si="474"/>
        <v>0</v>
      </c>
      <c r="BI745" s="287">
        <f t="shared" si="475"/>
        <v>0</v>
      </c>
      <c r="BJ745" s="287">
        <f t="shared" si="476"/>
        <v>0</v>
      </c>
      <c r="BK745" s="287">
        <f t="shared" si="477"/>
        <v>0</v>
      </c>
      <c r="BL745" s="287">
        <f t="shared" si="478"/>
        <v>0</v>
      </c>
      <c r="BM745" s="16"/>
      <c r="BN745" s="287">
        <f t="shared" si="479"/>
        <v>113500</v>
      </c>
      <c r="BO745" s="287">
        <f t="shared" si="480"/>
        <v>0</v>
      </c>
      <c r="BP745" s="432"/>
      <c r="BQ745" s="21"/>
      <c r="BR745" s="21"/>
      <c r="BS745" s="6"/>
      <c r="BT745" s="194">
        <f t="shared" si="484"/>
        <v>113500</v>
      </c>
      <c r="BU745" s="194">
        <f t="shared" si="485"/>
        <v>113500</v>
      </c>
      <c r="BV745" s="194">
        <f t="shared" si="486"/>
        <v>0</v>
      </c>
      <c r="BW745" s="194">
        <f t="shared" si="487"/>
        <v>0</v>
      </c>
      <c r="BX745" s="6"/>
      <c r="BY745" s="6"/>
      <c r="BZ745" s="39">
        <v>732</v>
      </c>
      <c r="CA745" s="39">
        <f t="shared" si="481"/>
        <v>2031</v>
      </c>
      <c r="CB745" s="6"/>
      <c r="CC745" s="39"/>
      <c r="CD745" s="39"/>
      <c r="CE745" s="39"/>
      <c r="CF745" s="39"/>
      <c r="CG745" s="39"/>
      <c r="CH745" s="39"/>
      <c r="CI745" s="39"/>
      <c r="CJ745" s="39"/>
      <c r="CK745" s="39"/>
    </row>
    <row r="746" spans="1:89" s="193" customFormat="1">
      <c r="A746" s="357"/>
      <c r="B746" s="21" t="str">
        <f t="shared" si="458"/>
        <v>STW</v>
      </c>
      <c r="C746" s="21"/>
      <c r="D746" s="432"/>
      <c r="E746" s="439" t="s">
        <v>3626</v>
      </c>
      <c r="F746" s="439" t="s">
        <v>3955</v>
      </c>
      <c r="G746" s="273" t="s">
        <v>4602</v>
      </c>
      <c r="H746" s="358" t="s">
        <v>4517</v>
      </c>
      <c r="I746" s="262" t="s">
        <v>3491</v>
      </c>
      <c r="J746" s="262" t="s">
        <v>4198</v>
      </c>
      <c r="K746" s="263">
        <v>122000</v>
      </c>
      <c r="L746" s="263">
        <v>0</v>
      </c>
      <c r="M746" s="263">
        <v>0</v>
      </c>
      <c r="N746" s="263">
        <v>0</v>
      </c>
      <c r="O746" s="263">
        <v>0</v>
      </c>
      <c r="P746" s="263">
        <v>0</v>
      </c>
      <c r="Q746" s="263">
        <v>0</v>
      </c>
      <c r="R746" s="263">
        <v>0</v>
      </c>
      <c r="S746" s="263">
        <v>0</v>
      </c>
      <c r="T746" s="263">
        <v>0</v>
      </c>
      <c r="U746" s="263">
        <f t="shared" si="488"/>
        <v>122000</v>
      </c>
      <c r="V746" s="196" t="str">
        <f t="shared" si="456"/>
        <v>G/LOS/R</v>
      </c>
      <c r="W746" s="196" t="s">
        <v>1168</v>
      </c>
      <c r="X746" s="196" t="str">
        <f t="shared" si="493"/>
        <v>Y</v>
      </c>
      <c r="Y746" s="376">
        <f t="shared" si="494"/>
        <v>122000</v>
      </c>
      <c r="Z746" s="198"/>
      <c r="AA746" s="376">
        <f t="shared" si="457"/>
        <v>122000</v>
      </c>
      <c r="AB746" s="196" t="s">
        <v>1166</v>
      </c>
      <c r="AC746" s="196" t="s">
        <v>1168</v>
      </c>
      <c r="AD746" s="275">
        <v>0.1</v>
      </c>
      <c r="AE746" s="275">
        <v>0.1</v>
      </c>
      <c r="AF746" s="275">
        <v>0.8</v>
      </c>
      <c r="AG746" s="442">
        <v>0.1</v>
      </c>
      <c r="AH746" s="442">
        <v>0.1</v>
      </c>
      <c r="AI746" s="377">
        <f t="shared" si="489"/>
        <v>0.1</v>
      </c>
      <c r="AJ746" s="688">
        <v>1</v>
      </c>
      <c r="AK746" s="203">
        <f t="shared" si="483"/>
        <v>0</v>
      </c>
      <c r="AL746" s="376">
        <f t="shared" si="490"/>
        <v>109800</v>
      </c>
      <c r="AM746" s="376">
        <f t="shared" si="491"/>
        <v>12200</v>
      </c>
      <c r="AN746" s="376">
        <f t="shared" si="492"/>
        <v>0</v>
      </c>
      <c r="AO746" s="378" t="s">
        <v>3607</v>
      </c>
      <c r="AP746" s="379" t="s">
        <v>5395</v>
      </c>
      <c r="AQ746" s="279"/>
      <c r="AR746" s="287">
        <f t="shared" si="459"/>
        <v>12200</v>
      </c>
      <c r="AS746" s="287">
        <f t="shared" si="460"/>
        <v>0</v>
      </c>
      <c r="AT746" s="287">
        <f t="shared" si="461"/>
        <v>0</v>
      </c>
      <c r="AU746" s="287">
        <f t="shared" si="462"/>
        <v>0</v>
      </c>
      <c r="AV746" s="287">
        <f t="shared" si="463"/>
        <v>0</v>
      </c>
      <c r="AW746" s="287">
        <f t="shared" si="464"/>
        <v>0</v>
      </c>
      <c r="AX746" s="287">
        <f t="shared" si="465"/>
        <v>0</v>
      </c>
      <c r="AY746" s="287">
        <f t="shared" si="466"/>
        <v>0</v>
      </c>
      <c r="AZ746" s="287">
        <f t="shared" si="467"/>
        <v>0</v>
      </c>
      <c r="BA746" s="287">
        <f t="shared" si="468"/>
        <v>0</v>
      </c>
      <c r="BB746" s="16"/>
      <c r="BC746" s="287">
        <f t="shared" si="469"/>
        <v>0</v>
      </c>
      <c r="BD746" s="287">
        <f t="shared" si="470"/>
        <v>0</v>
      </c>
      <c r="BE746" s="287">
        <f t="shared" si="471"/>
        <v>0</v>
      </c>
      <c r="BF746" s="287">
        <f t="shared" si="472"/>
        <v>0</v>
      </c>
      <c r="BG746" s="287">
        <f t="shared" si="473"/>
        <v>0</v>
      </c>
      <c r="BH746" s="287">
        <f t="shared" si="474"/>
        <v>0</v>
      </c>
      <c r="BI746" s="287">
        <f t="shared" si="475"/>
        <v>0</v>
      </c>
      <c r="BJ746" s="287">
        <f t="shared" si="476"/>
        <v>0</v>
      </c>
      <c r="BK746" s="287">
        <f t="shared" si="477"/>
        <v>0</v>
      </c>
      <c r="BL746" s="287">
        <f t="shared" si="478"/>
        <v>0</v>
      </c>
      <c r="BM746" s="16"/>
      <c r="BN746" s="287">
        <f t="shared" si="479"/>
        <v>12200</v>
      </c>
      <c r="BO746" s="287">
        <f t="shared" si="480"/>
        <v>0</v>
      </c>
      <c r="BP746" s="432"/>
      <c r="BQ746" s="21"/>
      <c r="BR746" s="21"/>
      <c r="BS746" s="6"/>
      <c r="BT746" s="194">
        <f t="shared" si="484"/>
        <v>12200</v>
      </c>
      <c r="BU746" s="194">
        <f t="shared" si="485"/>
        <v>12200</v>
      </c>
      <c r="BV746" s="194">
        <f t="shared" si="486"/>
        <v>0</v>
      </c>
      <c r="BW746" s="194">
        <f t="shared" si="487"/>
        <v>0</v>
      </c>
      <c r="BX746" s="6"/>
      <c r="BY746" s="6"/>
      <c r="BZ746" s="39">
        <v>733</v>
      </c>
      <c r="CA746" s="39">
        <f t="shared" si="481"/>
        <v>2031</v>
      </c>
      <c r="CB746" s="6"/>
      <c r="CC746" s="39"/>
      <c r="CD746" s="39"/>
      <c r="CE746" s="39"/>
      <c r="CF746" s="39"/>
      <c r="CG746" s="39"/>
      <c r="CH746" s="39"/>
      <c r="CI746" s="39"/>
      <c r="CJ746" s="39"/>
      <c r="CK746" s="39"/>
    </row>
    <row r="747" spans="1:89" s="193" customFormat="1">
      <c r="A747" s="357"/>
      <c r="B747" s="21" t="str">
        <f t="shared" si="458"/>
        <v>STW</v>
      </c>
      <c r="C747" s="21"/>
      <c r="D747" s="432"/>
      <c r="E747" s="439" t="s">
        <v>3626</v>
      </c>
      <c r="F747" s="439" t="s">
        <v>3992</v>
      </c>
      <c r="G747" s="273" t="s">
        <v>3991</v>
      </c>
      <c r="H747" s="358" t="s">
        <v>4520</v>
      </c>
      <c r="I747" s="262" t="s">
        <v>3491</v>
      </c>
      <c r="J747" s="262" t="s">
        <v>4345</v>
      </c>
      <c r="K747" s="263">
        <v>1330750</v>
      </c>
      <c r="L747" s="263">
        <v>716250</v>
      </c>
      <c r="M747" s="263">
        <v>0</v>
      </c>
      <c r="N747" s="263">
        <v>0</v>
      </c>
      <c r="O747" s="263">
        <v>0</v>
      </c>
      <c r="P747" s="263">
        <v>0</v>
      </c>
      <c r="Q747" s="263">
        <v>0</v>
      </c>
      <c r="R747" s="263">
        <v>0</v>
      </c>
      <c r="S747" s="263">
        <v>0</v>
      </c>
      <c r="T747" s="263">
        <v>0</v>
      </c>
      <c r="U747" s="263">
        <f t="shared" si="488"/>
        <v>2047000</v>
      </c>
      <c r="V747" s="196" t="str">
        <f t="shared" si="456"/>
        <v>G/LOS/R</v>
      </c>
      <c r="W747" s="196" t="s">
        <v>1168</v>
      </c>
      <c r="X747" s="196" t="str">
        <f t="shared" si="493"/>
        <v>Y</v>
      </c>
      <c r="Y747" s="376">
        <f t="shared" si="494"/>
        <v>2047000</v>
      </c>
      <c r="Z747" s="198"/>
      <c r="AA747" s="376">
        <f t="shared" si="457"/>
        <v>2047000</v>
      </c>
      <c r="AB747" s="196" t="s">
        <v>1166</v>
      </c>
      <c r="AC747" s="196" t="s">
        <v>1168</v>
      </c>
      <c r="AD747" s="275">
        <v>0.1</v>
      </c>
      <c r="AE747" s="275">
        <v>0.8</v>
      </c>
      <c r="AF747" s="275">
        <v>0.1</v>
      </c>
      <c r="AG747" s="442">
        <v>0.1</v>
      </c>
      <c r="AH747" s="442">
        <v>0.1</v>
      </c>
      <c r="AI747" s="377">
        <f t="shared" si="489"/>
        <v>0.1</v>
      </c>
      <c r="AJ747" s="548">
        <v>1</v>
      </c>
      <c r="AK747" s="203">
        <f t="shared" si="483"/>
        <v>0</v>
      </c>
      <c r="AL747" s="376">
        <f t="shared" si="490"/>
        <v>1842300</v>
      </c>
      <c r="AM747" s="376">
        <f t="shared" si="491"/>
        <v>204700</v>
      </c>
      <c r="AN747" s="376">
        <f t="shared" si="492"/>
        <v>0</v>
      </c>
      <c r="AO747" s="378" t="s">
        <v>3607</v>
      </c>
      <c r="AP747" s="379" t="s">
        <v>5425</v>
      </c>
      <c r="AQ747" s="279" t="s">
        <v>4347</v>
      </c>
      <c r="AR747" s="287">
        <f t="shared" si="459"/>
        <v>133075</v>
      </c>
      <c r="AS747" s="287">
        <f t="shared" si="460"/>
        <v>71625</v>
      </c>
      <c r="AT747" s="287">
        <f t="shared" si="461"/>
        <v>0</v>
      </c>
      <c r="AU747" s="287">
        <f t="shared" si="462"/>
        <v>0</v>
      </c>
      <c r="AV747" s="287">
        <f t="shared" si="463"/>
        <v>0</v>
      </c>
      <c r="AW747" s="287">
        <f t="shared" si="464"/>
        <v>0</v>
      </c>
      <c r="AX747" s="287">
        <f t="shared" si="465"/>
        <v>0</v>
      </c>
      <c r="AY747" s="287">
        <f t="shared" si="466"/>
        <v>0</v>
      </c>
      <c r="AZ747" s="287">
        <f t="shared" si="467"/>
        <v>0</v>
      </c>
      <c r="BA747" s="287">
        <f t="shared" si="468"/>
        <v>0</v>
      </c>
      <c r="BB747" s="16"/>
      <c r="BC747" s="287">
        <f t="shared" si="469"/>
        <v>0</v>
      </c>
      <c r="BD747" s="287">
        <f t="shared" si="470"/>
        <v>0</v>
      </c>
      <c r="BE747" s="287">
        <f t="shared" si="471"/>
        <v>0</v>
      </c>
      <c r="BF747" s="287">
        <f t="shared" si="472"/>
        <v>0</v>
      </c>
      <c r="BG747" s="287">
        <f t="shared" si="473"/>
        <v>0</v>
      </c>
      <c r="BH747" s="287">
        <f t="shared" si="474"/>
        <v>0</v>
      </c>
      <c r="BI747" s="287">
        <f t="shared" si="475"/>
        <v>0</v>
      </c>
      <c r="BJ747" s="287">
        <f t="shared" si="476"/>
        <v>0</v>
      </c>
      <c r="BK747" s="287">
        <f t="shared" si="477"/>
        <v>0</v>
      </c>
      <c r="BL747" s="287">
        <f t="shared" si="478"/>
        <v>0</v>
      </c>
      <c r="BM747" s="16"/>
      <c r="BN747" s="287">
        <f t="shared" si="479"/>
        <v>204700</v>
      </c>
      <c r="BO747" s="287">
        <f t="shared" si="480"/>
        <v>0</v>
      </c>
      <c r="BP747" s="432"/>
      <c r="BQ747" s="21"/>
      <c r="BR747" s="21"/>
      <c r="BS747" s="6"/>
      <c r="BT747" s="194">
        <f t="shared" si="484"/>
        <v>204700</v>
      </c>
      <c r="BU747" s="194">
        <f t="shared" si="485"/>
        <v>204700</v>
      </c>
      <c r="BV747" s="194">
        <f t="shared" si="486"/>
        <v>0</v>
      </c>
      <c r="BW747" s="194">
        <f t="shared" si="487"/>
        <v>0</v>
      </c>
      <c r="BX747" s="6"/>
      <c r="BY747" s="6"/>
      <c r="BZ747" s="39">
        <v>734</v>
      </c>
      <c r="CA747" s="39">
        <f t="shared" si="481"/>
        <v>2031</v>
      </c>
      <c r="CB747" s="6"/>
      <c r="CC747" s="39"/>
      <c r="CD747" s="39"/>
      <c r="CE747" s="39"/>
      <c r="CF747" s="39"/>
      <c r="CG747" s="39"/>
      <c r="CH747" s="39"/>
      <c r="CI747" s="39"/>
      <c r="CJ747" s="39"/>
      <c r="CK747" s="39"/>
    </row>
    <row r="748" spans="1:89" s="193" customFormat="1" ht="24">
      <c r="A748" s="357"/>
      <c r="B748" s="21" t="str">
        <f t="shared" si="458"/>
        <v>STW</v>
      </c>
      <c r="C748" s="21"/>
      <c r="D748" s="432" t="s">
        <v>3936</v>
      </c>
      <c r="E748" s="439" t="s">
        <v>3626</v>
      </c>
      <c r="F748" s="439" t="s">
        <v>3935</v>
      </c>
      <c r="G748" s="273" t="s">
        <v>3934</v>
      </c>
      <c r="H748" s="358" t="s">
        <v>4558</v>
      </c>
      <c r="I748" s="262" t="s">
        <v>3491</v>
      </c>
      <c r="J748" s="262" t="s">
        <v>4200</v>
      </c>
      <c r="K748" s="263">
        <v>507000</v>
      </c>
      <c r="L748" s="263">
        <v>0</v>
      </c>
      <c r="M748" s="263">
        <v>0</v>
      </c>
      <c r="N748" s="263">
        <v>0</v>
      </c>
      <c r="O748" s="263">
        <v>0</v>
      </c>
      <c r="P748" s="263">
        <v>0</v>
      </c>
      <c r="Q748" s="263">
        <v>0</v>
      </c>
      <c r="R748" s="263">
        <v>0</v>
      </c>
      <c r="S748" s="263">
        <v>0</v>
      </c>
      <c r="T748" s="263">
        <v>0</v>
      </c>
      <c r="U748" s="263">
        <f t="shared" si="488"/>
        <v>507000</v>
      </c>
      <c r="V748" s="196" t="str">
        <f t="shared" si="456"/>
        <v>G/LOS</v>
      </c>
      <c r="W748" s="196" t="s">
        <v>1168</v>
      </c>
      <c r="X748" s="196" t="str">
        <f t="shared" si="493"/>
        <v>Y</v>
      </c>
      <c r="Y748" s="376">
        <f t="shared" si="494"/>
        <v>507000</v>
      </c>
      <c r="Z748" s="198"/>
      <c r="AA748" s="376">
        <f t="shared" si="457"/>
        <v>507000</v>
      </c>
      <c r="AB748" s="196" t="s">
        <v>1166</v>
      </c>
      <c r="AC748" s="196" t="s">
        <v>3624</v>
      </c>
      <c r="AD748" s="519">
        <v>0.6</v>
      </c>
      <c r="AE748" s="275">
        <f>1-AD748</f>
        <v>0.4</v>
      </c>
      <c r="AF748" s="275">
        <v>0</v>
      </c>
      <c r="AG748" s="442">
        <v>0.6</v>
      </c>
      <c r="AH748" s="442">
        <v>0.6</v>
      </c>
      <c r="AI748" s="377">
        <f t="shared" si="489"/>
        <v>0.6</v>
      </c>
      <c r="AJ748" s="688">
        <v>1</v>
      </c>
      <c r="AK748" s="203">
        <f t="shared" si="483"/>
        <v>0</v>
      </c>
      <c r="AL748" s="376">
        <f t="shared" si="490"/>
        <v>202800</v>
      </c>
      <c r="AM748" s="376">
        <f t="shared" si="491"/>
        <v>304200</v>
      </c>
      <c r="AN748" s="376">
        <f t="shared" si="492"/>
        <v>0</v>
      </c>
      <c r="AO748" s="378" t="s">
        <v>3607</v>
      </c>
      <c r="AP748" s="379" t="s">
        <v>5400</v>
      </c>
      <c r="AQ748" s="279"/>
      <c r="AR748" s="287">
        <f t="shared" si="459"/>
        <v>304200</v>
      </c>
      <c r="AS748" s="287">
        <f t="shared" si="460"/>
        <v>0</v>
      </c>
      <c r="AT748" s="287">
        <f t="shared" si="461"/>
        <v>0</v>
      </c>
      <c r="AU748" s="287">
        <f t="shared" si="462"/>
        <v>0</v>
      </c>
      <c r="AV748" s="287">
        <f t="shared" si="463"/>
        <v>0</v>
      </c>
      <c r="AW748" s="287">
        <f t="shared" si="464"/>
        <v>0</v>
      </c>
      <c r="AX748" s="287">
        <f t="shared" si="465"/>
        <v>0</v>
      </c>
      <c r="AY748" s="287">
        <f t="shared" si="466"/>
        <v>0</v>
      </c>
      <c r="AZ748" s="287">
        <f t="shared" si="467"/>
        <v>0</v>
      </c>
      <c r="BA748" s="287">
        <f t="shared" si="468"/>
        <v>0</v>
      </c>
      <c r="BB748" s="16"/>
      <c r="BC748" s="287">
        <f t="shared" si="469"/>
        <v>0</v>
      </c>
      <c r="BD748" s="287">
        <f t="shared" si="470"/>
        <v>0</v>
      </c>
      <c r="BE748" s="287">
        <f t="shared" si="471"/>
        <v>0</v>
      </c>
      <c r="BF748" s="287">
        <f t="shared" si="472"/>
        <v>0</v>
      </c>
      <c r="BG748" s="287">
        <f t="shared" si="473"/>
        <v>0</v>
      </c>
      <c r="BH748" s="287">
        <f t="shared" si="474"/>
        <v>0</v>
      </c>
      <c r="BI748" s="287">
        <f t="shared" si="475"/>
        <v>0</v>
      </c>
      <c r="BJ748" s="287">
        <f t="shared" si="476"/>
        <v>0</v>
      </c>
      <c r="BK748" s="287">
        <f t="shared" si="477"/>
        <v>0</v>
      </c>
      <c r="BL748" s="287">
        <f t="shared" si="478"/>
        <v>0</v>
      </c>
      <c r="BM748" s="16"/>
      <c r="BN748" s="287">
        <f t="shared" si="479"/>
        <v>304200</v>
      </c>
      <c r="BO748" s="287">
        <f t="shared" si="480"/>
        <v>0</v>
      </c>
      <c r="BP748" s="432"/>
      <c r="BQ748" s="21"/>
      <c r="BR748" s="21"/>
      <c r="BS748" s="6"/>
      <c r="BT748" s="194">
        <f t="shared" si="484"/>
        <v>304200</v>
      </c>
      <c r="BU748" s="194">
        <f t="shared" si="485"/>
        <v>304200</v>
      </c>
      <c r="BV748" s="194">
        <f t="shared" si="486"/>
        <v>0</v>
      </c>
      <c r="BW748" s="194">
        <f t="shared" si="487"/>
        <v>0</v>
      </c>
      <c r="BX748" s="6"/>
      <c r="BY748" s="6"/>
      <c r="BZ748" s="39">
        <v>735</v>
      </c>
      <c r="CA748" s="39">
        <f t="shared" si="481"/>
        <v>2031</v>
      </c>
      <c r="CB748" s="6"/>
      <c r="CC748" s="39"/>
      <c r="CD748" s="39"/>
      <c r="CE748" s="39"/>
      <c r="CF748" s="39"/>
      <c r="CG748" s="39"/>
      <c r="CH748" s="39"/>
      <c r="CI748" s="39"/>
      <c r="CJ748" s="39"/>
      <c r="CK748" s="39"/>
    </row>
    <row r="749" spans="1:89" s="193" customFormat="1" ht="24">
      <c r="A749" s="357"/>
      <c r="B749" s="21" t="str">
        <f t="shared" si="458"/>
        <v>STW</v>
      </c>
      <c r="C749" s="21"/>
      <c r="D749" s="432"/>
      <c r="E749" s="439" t="s">
        <v>3626</v>
      </c>
      <c r="F749" s="439"/>
      <c r="G749" s="273" t="s">
        <v>4227</v>
      </c>
      <c r="H749" s="358" t="s">
        <v>4550</v>
      </c>
      <c r="I749" s="262" t="s">
        <v>3491</v>
      </c>
      <c r="J749" s="262" t="s">
        <v>4230</v>
      </c>
      <c r="K749" s="263">
        <v>2040000</v>
      </c>
      <c r="L749" s="263">
        <v>4176000</v>
      </c>
      <c r="M749" s="263">
        <v>5001000</v>
      </c>
      <c r="N749" s="263">
        <v>0</v>
      </c>
      <c r="O749" s="263">
        <v>0</v>
      </c>
      <c r="P749" s="263">
        <v>0</v>
      </c>
      <c r="Q749" s="263">
        <v>0</v>
      </c>
      <c r="R749" s="263">
        <v>0</v>
      </c>
      <c r="S749" s="263">
        <v>0</v>
      </c>
      <c r="T749" s="263">
        <v>0</v>
      </c>
      <c r="U749" s="263">
        <v>11217000</v>
      </c>
      <c r="V749" s="196" t="str">
        <f t="shared" si="456"/>
        <v>G</v>
      </c>
      <c r="W749" s="196" t="s">
        <v>1168</v>
      </c>
      <c r="X749" s="196" t="str">
        <f t="shared" si="493"/>
        <v>Y</v>
      </c>
      <c r="Y749" s="376">
        <f t="shared" si="494"/>
        <v>11217000</v>
      </c>
      <c r="Z749" s="198"/>
      <c r="AA749" s="376">
        <f t="shared" si="457"/>
        <v>11217000</v>
      </c>
      <c r="AB749" s="196" t="s">
        <v>1166</v>
      </c>
      <c r="AC749" s="196" t="s">
        <v>1168</v>
      </c>
      <c r="AD749" s="445">
        <v>0.83</v>
      </c>
      <c r="AE749" s="275">
        <v>0</v>
      </c>
      <c r="AF749" s="275">
        <v>0</v>
      </c>
      <c r="AG749" s="442">
        <v>0.83</v>
      </c>
      <c r="AH749" s="442">
        <v>0.83</v>
      </c>
      <c r="AI749" s="377">
        <f t="shared" si="489"/>
        <v>0.83</v>
      </c>
      <c r="AJ749" s="548">
        <v>1</v>
      </c>
      <c r="AK749" s="203">
        <f t="shared" si="483"/>
        <v>0</v>
      </c>
      <c r="AL749" s="376">
        <f t="shared" si="490"/>
        <v>1906890.0000000005</v>
      </c>
      <c r="AM749" s="376">
        <f t="shared" si="491"/>
        <v>9310110</v>
      </c>
      <c r="AN749" s="376">
        <f t="shared" si="492"/>
        <v>0</v>
      </c>
      <c r="AO749" s="378" t="s">
        <v>3607</v>
      </c>
      <c r="AP749" s="379" t="s">
        <v>5403</v>
      </c>
      <c r="AQ749" s="279"/>
      <c r="AR749" s="287">
        <f t="shared" si="459"/>
        <v>1693200</v>
      </c>
      <c r="AS749" s="287">
        <f t="shared" si="460"/>
        <v>3466080</v>
      </c>
      <c r="AT749" s="287">
        <f t="shared" si="461"/>
        <v>4150830</v>
      </c>
      <c r="AU749" s="287">
        <f t="shared" si="462"/>
        <v>0</v>
      </c>
      <c r="AV749" s="287">
        <f t="shared" si="463"/>
        <v>0</v>
      </c>
      <c r="AW749" s="287">
        <f t="shared" si="464"/>
        <v>0</v>
      </c>
      <c r="AX749" s="287">
        <f t="shared" si="465"/>
        <v>0</v>
      </c>
      <c r="AY749" s="287">
        <f t="shared" si="466"/>
        <v>0</v>
      </c>
      <c r="AZ749" s="287">
        <f t="shared" si="467"/>
        <v>0</v>
      </c>
      <c r="BA749" s="287">
        <f t="shared" si="468"/>
        <v>0</v>
      </c>
      <c r="BB749" s="16"/>
      <c r="BC749" s="287">
        <f t="shared" si="469"/>
        <v>0</v>
      </c>
      <c r="BD749" s="287">
        <f t="shared" si="470"/>
        <v>0</v>
      </c>
      <c r="BE749" s="287">
        <f t="shared" si="471"/>
        <v>0</v>
      </c>
      <c r="BF749" s="287">
        <f t="shared" si="472"/>
        <v>0</v>
      </c>
      <c r="BG749" s="287">
        <f t="shared" si="473"/>
        <v>0</v>
      </c>
      <c r="BH749" s="287">
        <f t="shared" si="474"/>
        <v>0</v>
      </c>
      <c r="BI749" s="287">
        <f t="shared" si="475"/>
        <v>0</v>
      </c>
      <c r="BJ749" s="287">
        <f t="shared" si="476"/>
        <v>0</v>
      </c>
      <c r="BK749" s="287">
        <f t="shared" si="477"/>
        <v>0</v>
      </c>
      <c r="BL749" s="287">
        <f t="shared" si="478"/>
        <v>0</v>
      </c>
      <c r="BM749" s="16"/>
      <c r="BN749" s="287">
        <f t="shared" si="479"/>
        <v>9310110</v>
      </c>
      <c r="BO749" s="287">
        <f t="shared" si="480"/>
        <v>0</v>
      </c>
      <c r="BP749" s="432"/>
      <c r="BQ749" s="21"/>
      <c r="BR749" s="21"/>
      <c r="BS749" s="6"/>
      <c r="BT749" s="194">
        <f t="shared" si="484"/>
        <v>9310110</v>
      </c>
      <c r="BU749" s="194">
        <f t="shared" si="485"/>
        <v>9310110</v>
      </c>
      <c r="BV749" s="194">
        <f t="shared" si="486"/>
        <v>0</v>
      </c>
      <c r="BW749" s="194">
        <f t="shared" si="487"/>
        <v>0</v>
      </c>
      <c r="BX749" s="6"/>
      <c r="BY749" s="6"/>
      <c r="BZ749" s="39">
        <v>736</v>
      </c>
      <c r="CA749" s="39">
        <f t="shared" si="481"/>
        <v>2031</v>
      </c>
      <c r="CB749" s="6"/>
      <c r="CC749" s="39"/>
      <c r="CD749" s="39"/>
      <c r="CE749" s="39"/>
      <c r="CF749" s="39"/>
      <c r="CG749" s="39"/>
      <c r="CH749" s="39"/>
      <c r="CI749" s="39"/>
      <c r="CJ749" s="39"/>
      <c r="CK749" s="39"/>
    </row>
    <row r="750" spans="1:89" s="193" customFormat="1" ht="24">
      <c r="A750" s="357"/>
      <c r="B750" s="21" t="str">
        <f t="shared" si="458"/>
        <v>STW</v>
      </c>
      <c r="C750" s="21"/>
      <c r="D750" s="432"/>
      <c r="E750" s="439" t="s">
        <v>3626</v>
      </c>
      <c r="F750" s="439"/>
      <c r="G750" s="273" t="s">
        <v>4228</v>
      </c>
      <c r="H750" s="358" t="s">
        <v>4550</v>
      </c>
      <c r="I750" s="262" t="s">
        <v>3491</v>
      </c>
      <c r="J750" s="262" t="s">
        <v>4231</v>
      </c>
      <c r="K750" s="263">
        <v>1020000</v>
      </c>
      <c r="L750" s="263">
        <v>2088000</v>
      </c>
      <c r="M750" s="263">
        <v>2500500</v>
      </c>
      <c r="N750" s="263">
        <v>0</v>
      </c>
      <c r="O750" s="263">
        <v>0</v>
      </c>
      <c r="P750" s="263">
        <v>0</v>
      </c>
      <c r="Q750" s="263">
        <v>0</v>
      </c>
      <c r="R750" s="263">
        <v>0</v>
      </c>
      <c r="S750" s="263">
        <v>0</v>
      </c>
      <c r="T750" s="263">
        <v>0</v>
      </c>
      <c r="U750" s="263">
        <v>5608500</v>
      </c>
      <c r="V750" s="196" t="str">
        <f t="shared" si="456"/>
        <v>G</v>
      </c>
      <c r="W750" s="196" t="s">
        <v>1168</v>
      </c>
      <c r="X750" s="196" t="str">
        <f t="shared" si="493"/>
        <v>Y</v>
      </c>
      <c r="Y750" s="376">
        <f t="shared" si="494"/>
        <v>5608500</v>
      </c>
      <c r="Z750" s="198"/>
      <c r="AA750" s="376">
        <f t="shared" si="457"/>
        <v>5608500</v>
      </c>
      <c r="AB750" s="196" t="s">
        <v>1166</v>
      </c>
      <c r="AC750" s="196" t="s">
        <v>1168</v>
      </c>
      <c r="AD750" s="445">
        <v>0.83</v>
      </c>
      <c r="AE750" s="275">
        <v>0</v>
      </c>
      <c r="AF750" s="275">
        <v>0</v>
      </c>
      <c r="AG750" s="442">
        <v>0.83</v>
      </c>
      <c r="AH750" s="442">
        <v>0.83</v>
      </c>
      <c r="AI750" s="377">
        <f t="shared" si="489"/>
        <v>0.83</v>
      </c>
      <c r="AJ750" s="548">
        <v>1</v>
      </c>
      <c r="AK750" s="203">
        <f t="shared" si="483"/>
        <v>0</v>
      </c>
      <c r="AL750" s="376">
        <f t="shared" si="490"/>
        <v>953445.00000000023</v>
      </c>
      <c r="AM750" s="376">
        <f t="shared" si="491"/>
        <v>4655055</v>
      </c>
      <c r="AN750" s="376">
        <f t="shared" si="492"/>
        <v>0</v>
      </c>
      <c r="AO750" s="378" t="s">
        <v>3607</v>
      </c>
      <c r="AP750" s="379" t="s">
        <v>5401</v>
      </c>
      <c r="AQ750" s="279"/>
      <c r="AR750" s="287">
        <f t="shared" si="459"/>
        <v>846600</v>
      </c>
      <c r="AS750" s="287">
        <f t="shared" si="460"/>
        <v>1733040</v>
      </c>
      <c r="AT750" s="287">
        <f t="shared" si="461"/>
        <v>2075415</v>
      </c>
      <c r="AU750" s="287">
        <f t="shared" si="462"/>
        <v>0</v>
      </c>
      <c r="AV750" s="287">
        <f t="shared" si="463"/>
        <v>0</v>
      </c>
      <c r="AW750" s="287">
        <f t="shared" si="464"/>
        <v>0</v>
      </c>
      <c r="AX750" s="287">
        <f t="shared" si="465"/>
        <v>0</v>
      </c>
      <c r="AY750" s="287">
        <f t="shared" si="466"/>
        <v>0</v>
      </c>
      <c r="AZ750" s="287">
        <f t="shared" si="467"/>
        <v>0</v>
      </c>
      <c r="BA750" s="287">
        <f t="shared" si="468"/>
        <v>0</v>
      </c>
      <c r="BB750" s="16"/>
      <c r="BC750" s="287">
        <f t="shared" si="469"/>
        <v>0</v>
      </c>
      <c r="BD750" s="287">
        <f t="shared" si="470"/>
        <v>0</v>
      </c>
      <c r="BE750" s="287">
        <f t="shared" si="471"/>
        <v>0</v>
      </c>
      <c r="BF750" s="287">
        <f t="shared" si="472"/>
        <v>0</v>
      </c>
      <c r="BG750" s="287">
        <f t="shared" si="473"/>
        <v>0</v>
      </c>
      <c r="BH750" s="287">
        <f t="shared" si="474"/>
        <v>0</v>
      </c>
      <c r="BI750" s="287">
        <f t="shared" si="475"/>
        <v>0</v>
      </c>
      <c r="BJ750" s="287">
        <f t="shared" si="476"/>
        <v>0</v>
      </c>
      <c r="BK750" s="287">
        <f t="shared" si="477"/>
        <v>0</v>
      </c>
      <c r="BL750" s="287">
        <f t="shared" si="478"/>
        <v>0</v>
      </c>
      <c r="BM750" s="16"/>
      <c r="BN750" s="287">
        <f t="shared" si="479"/>
        <v>4655055</v>
      </c>
      <c r="BO750" s="287">
        <f t="shared" si="480"/>
        <v>0</v>
      </c>
      <c r="BP750" s="432"/>
      <c r="BQ750" s="21"/>
      <c r="BR750" s="21"/>
      <c r="BS750" s="6"/>
      <c r="BT750" s="194">
        <f t="shared" si="484"/>
        <v>4655055</v>
      </c>
      <c r="BU750" s="194">
        <f t="shared" si="485"/>
        <v>4655055</v>
      </c>
      <c r="BV750" s="194">
        <f t="shared" si="486"/>
        <v>0</v>
      </c>
      <c r="BW750" s="194">
        <f t="shared" si="487"/>
        <v>0</v>
      </c>
      <c r="BX750" s="6"/>
      <c r="BY750" s="6"/>
      <c r="BZ750" s="39">
        <v>737</v>
      </c>
      <c r="CA750" s="39">
        <f t="shared" si="481"/>
        <v>2031</v>
      </c>
      <c r="CB750" s="6"/>
      <c r="CC750" s="39"/>
      <c r="CD750" s="39"/>
      <c r="CE750" s="39"/>
      <c r="CF750" s="39"/>
      <c r="CG750" s="39"/>
      <c r="CH750" s="39"/>
      <c r="CI750" s="39"/>
      <c r="CJ750" s="39"/>
      <c r="CK750" s="39"/>
    </row>
    <row r="751" spans="1:89" s="193" customFormat="1" ht="24">
      <c r="A751" s="357"/>
      <c r="B751" s="21" t="str">
        <f t="shared" si="458"/>
        <v>STW</v>
      </c>
      <c r="C751" s="21"/>
      <c r="D751" s="432"/>
      <c r="E751" s="439" t="s">
        <v>3626</v>
      </c>
      <c r="F751" s="439"/>
      <c r="G751" s="273" t="s">
        <v>4229</v>
      </c>
      <c r="H751" s="358" t="s">
        <v>4550</v>
      </c>
      <c r="I751" s="262" t="s">
        <v>3491</v>
      </c>
      <c r="J751" s="262" t="s">
        <v>4232</v>
      </c>
      <c r="K751" s="263">
        <v>340000</v>
      </c>
      <c r="L751" s="263">
        <v>696000</v>
      </c>
      <c r="M751" s="263">
        <v>833500</v>
      </c>
      <c r="N751" s="263">
        <v>0</v>
      </c>
      <c r="O751" s="263">
        <v>0</v>
      </c>
      <c r="P751" s="263">
        <v>0</v>
      </c>
      <c r="Q751" s="263">
        <v>0</v>
      </c>
      <c r="R751" s="263">
        <v>0</v>
      </c>
      <c r="S751" s="263">
        <v>0</v>
      </c>
      <c r="T751" s="263">
        <v>0</v>
      </c>
      <c r="U751" s="263">
        <v>1869500</v>
      </c>
      <c r="V751" s="196" t="str">
        <f t="shared" si="456"/>
        <v>G</v>
      </c>
      <c r="W751" s="196" t="s">
        <v>1168</v>
      </c>
      <c r="X751" s="196" t="str">
        <f t="shared" si="493"/>
        <v>Y</v>
      </c>
      <c r="Y751" s="376">
        <f t="shared" si="494"/>
        <v>1869500</v>
      </c>
      <c r="Z751" s="198"/>
      <c r="AA751" s="376">
        <f t="shared" si="457"/>
        <v>1869500</v>
      </c>
      <c r="AB751" s="196" t="s">
        <v>1166</v>
      </c>
      <c r="AC751" s="196" t="s">
        <v>1168</v>
      </c>
      <c r="AD751" s="445">
        <v>0.83</v>
      </c>
      <c r="AE751" s="275">
        <v>0</v>
      </c>
      <c r="AF751" s="275">
        <v>0</v>
      </c>
      <c r="AG751" s="442">
        <v>0.83</v>
      </c>
      <c r="AH751" s="442">
        <v>0.83</v>
      </c>
      <c r="AI751" s="377">
        <f t="shared" si="489"/>
        <v>0.83</v>
      </c>
      <c r="AJ751" s="548">
        <v>1</v>
      </c>
      <c r="AK751" s="203">
        <f t="shared" si="483"/>
        <v>0</v>
      </c>
      <c r="AL751" s="376">
        <f t="shared" si="490"/>
        <v>317815.00000000006</v>
      </c>
      <c r="AM751" s="376">
        <f t="shared" si="491"/>
        <v>1551685</v>
      </c>
      <c r="AN751" s="376">
        <f t="shared" si="492"/>
        <v>0</v>
      </c>
      <c r="AO751" s="378" t="s">
        <v>3607</v>
      </c>
      <c r="AP751" s="379" t="s">
        <v>5412</v>
      </c>
      <c r="AQ751" s="279"/>
      <c r="AR751" s="287">
        <f t="shared" si="459"/>
        <v>282200</v>
      </c>
      <c r="AS751" s="287">
        <f t="shared" si="460"/>
        <v>577680</v>
      </c>
      <c r="AT751" s="287">
        <f t="shared" si="461"/>
        <v>691805</v>
      </c>
      <c r="AU751" s="287">
        <f t="shared" si="462"/>
        <v>0</v>
      </c>
      <c r="AV751" s="287">
        <f t="shared" si="463"/>
        <v>0</v>
      </c>
      <c r="AW751" s="287">
        <f t="shared" si="464"/>
        <v>0</v>
      </c>
      <c r="AX751" s="287">
        <f t="shared" si="465"/>
        <v>0</v>
      </c>
      <c r="AY751" s="287">
        <f t="shared" si="466"/>
        <v>0</v>
      </c>
      <c r="AZ751" s="287">
        <f t="shared" si="467"/>
        <v>0</v>
      </c>
      <c r="BA751" s="287">
        <f t="shared" si="468"/>
        <v>0</v>
      </c>
      <c r="BB751" s="16"/>
      <c r="BC751" s="287">
        <f t="shared" si="469"/>
        <v>0</v>
      </c>
      <c r="BD751" s="287">
        <f t="shared" si="470"/>
        <v>0</v>
      </c>
      <c r="BE751" s="287">
        <f t="shared" si="471"/>
        <v>0</v>
      </c>
      <c r="BF751" s="287">
        <f t="shared" si="472"/>
        <v>0</v>
      </c>
      <c r="BG751" s="287">
        <f t="shared" si="473"/>
        <v>0</v>
      </c>
      <c r="BH751" s="287">
        <f t="shared" si="474"/>
        <v>0</v>
      </c>
      <c r="BI751" s="287">
        <f t="shared" si="475"/>
        <v>0</v>
      </c>
      <c r="BJ751" s="287">
        <f t="shared" si="476"/>
        <v>0</v>
      </c>
      <c r="BK751" s="287">
        <f t="shared" si="477"/>
        <v>0</v>
      </c>
      <c r="BL751" s="287">
        <f t="shared" si="478"/>
        <v>0</v>
      </c>
      <c r="BM751" s="16"/>
      <c r="BN751" s="287">
        <f t="shared" si="479"/>
        <v>1551685</v>
      </c>
      <c r="BO751" s="287">
        <f t="shared" si="480"/>
        <v>0</v>
      </c>
      <c r="BP751" s="432"/>
      <c r="BQ751" s="21"/>
      <c r="BR751" s="21"/>
      <c r="BS751" s="6"/>
      <c r="BT751" s="194">
        <f t="shared" si="484"/>
        <v>1551685</v>
      </c>
      <c r="BU751" s="194">
        <f t="shared" si="485"/>
        <v>1551685</v>
      </c>
      <c r="BV751" s="194">
        <f t="shared" si="486"/>
        <v>0</v>
      </c>
      <c r="BW751" s="194">
        <f t="shared" si="487"/>
        <v>0</v>
      </c>
      <c r="BX751" s="6"/>
      <c r="BY751" s="6"/>
      <c r="BZ751" s="39">
        <v>738</v>
      </c>
      <c r="CA751" s="39">
        <f t="shared" si="481"/>
        <v>2031</v>
      </c>
      <c r="CB751" s="6"/>
      <c r="CC751" s="39"/>
      <c r="CD751" s="39"/>
      <c r="CE751" s="39"/>
      <c r="CF751" s="39"/>
      <c r="CG751" s="39"/>
      <c r="CH751" s="39"/>
      <c r="CI751" s="39"/>
      <c r="CJ751" s="39"/>
      <c r="CK751" s="39"/>
    </row>
    <row r="752" spans="1:89" s="193" customFormat="1" ht="24">
      <c r="A752" s="357"/>
      <c r="B752" s="21" t="str">
        <f t="shared" si="458"/>
        <v>STW</v>
      </c>
      <c r="C752" s="21"/>
      <c r="D752" s="432"/>
      <c r="E752" s="439" t="s">
        <v>3626</v>
      </c>
      <c r="F752" s="439" t="s">
        <v>3988</v>
      </c>
      <c r="G752" s="273" t="s">
        <v>4617</v>
      </c>
      <c r="H752" s="358" t="s">
        <v>4616</v>
      </c>
      <c r="I752" s="262" t="s">
        <v>3491</v>
      </c>
      <c r="J752" s="262" t="s">
        <v>4198</v>
      </c>
      <c r="K752" s="263">
        <v>168000</v>
      </c>
      <c r="L752" s="263">
        <v>511000</v>
      </c>
      <c r="M752" s="263">
        <v>0</v>
      </c>
      <c r="N752" s="263">
        <v>0</v>
      </c>
      <c r="O752" s="263">
        <v>0</v>
      </c>
      <c r="P752" s="263">
        <v>0</v>
      </c>
      <c r="Q752" s="263">
        <v>0</v>
      </c>
      <c r="R752" s="263">
        <v>0</v>
      </c>
      <c r="S752" s="263">
        <v>0</v>
      </c>
      <c r="T752" s="263">
        <v>0</v>
      </c>
      <c r="U752" s="263">
        <f t="shared" ref="U752:U786" si="495">SUM(K752:T752)</f>
        <v>679000</v>
      </c>
      <c r="V752" s="196" t="str">
        <f t="shared" si="456"/>
        <v>G/LOS/R</v>
      </c>
      <c r="W752" s="196" t="s">
        <v>1168</v>
      </c>
      <c r="X752" s="196" t="str">
        <f t="shared" si="493"/>
        <v>Y</v>
      </c>
      <c r="Y752" s="376">
        <f t="shared" si="494"/>
        <v>679000</v>
      </c>
      <c r="Z752" s="198"/>
      <c r="AA752" s="376">
        <f t="shared" si="457"/>
        <v>679000</v>
      </c>
      <c r="AB752" s="196" t="s">
        <v>1166</v>
      </c>
      <c r="AC752" s="196" t="s">
        <v>1168</v>
      </c>
      <c r="AD752" s="275">
        <v>0.1</v>
      </c>
      <c r="AE752" s="275">
        <v>0.1</v>
      </c>
      <c r="AF752" s="275">
        <v>0.8</v>
      </c>
      <c r="AG752" s="442">
        <v>0.1</v>
      </c>
      <c r="AH752" s="442">
        <v>0.1</v>
      </c>
      <c r="AI752" s="377">
        <f t="shared" si="489"/>
        <v>0.1</v>
      </c>
      <c r="AJ752" s="688">
        <v>1</v>
      </c>
      <c r="AK752" s="203">
        <f t="shared" si="483"/>
        <v>0</v>
      </c>
      <c r="AL752" s="376">
        <f t="shared" si="490"/>
        <v>611100</v>
      </c>
      <c r="AM752" s="376">
        <f t="shared" si="491"/>
        <v>67900</v>
      </c>
      <c r="AN752" s="376">
        <f t="shared" si="492"/>
        <v>0</v>
      </c>
      <c r="AO752" s="378" t="s">
        <v>3607</v>
      </c>
      <c r="AP752" s="379" t="s">
        <v>5395</v>
      </c>
      <c r="AQ752" s="279"/>
      <c r="AR752" s="287">
        <f t="shared" si="459"/>
        <v>16800</v>
      </c>
      <c r="AS752" s="287">
        <f t="shared" si="460"/>
        <v>51100</v>
      </c>
      <c r="AT752" s="287">
        <f t="shared" si="461"/>
        <v>0</v>
      </c>
      <c r="AU752" s="287">
        <f t="shared" si="462"/>
        <v>0</v>
      </c>
      <c r="AV752" s="287">
        <f t="shared" si="463"/>
        <v>0</v>
      </c>
      <c r="AW752" s="287">
        <f t="shared" si="464"/>
        <v>0</v>
      </c>
      <c r="AX752" s="287">
        <f t="shared" si="465"/>
        <v>0</v>
      </c>
      <c r="AY752" s="287">
        <f t="shared" si="466"/>
        <v>0</v>
      </c>
      <c r="AZ752" s="287">
        <f t="shared" si="467"/>
        <v>0</v>
      </c>
      <c r="BA752" s="287">
        <f t="shared" si="468"/>
        <v>0</v>
      </c>
      <c r="BB752" s="16"/>
      <c r="BC752" s="287">
        <f t="shared" si="469"/>
        <v>0</v>
      </c>
      <c r="BD752" s="287">
        <f t="shared" si="470"/>
        <v>0</v>
      </c>
      <c r="BE752" s="287">
        <f t="shared" si="471"/>
        <v>0</v>
      </c>
      <c r="BF752" s="287">
        <f t="shared" si="472"/>
        <v>0</v>
      </c>
      <c r="BG752" s="287">
        <f t="shared" si="473"/>
        <v>0</v>
      </c>
      <c r="BH752" s="287">
        <f t="shared" si="474"/>
        <v>0</v>
      </c>
      <c r="BI752" s="287">
        <f t="shared" si="475"/>
        <v>0</v>
      </c>
      <c r="BJ752" s="287">
        <f t="shared" si="476"/>
        <v>0</v>
      </c>
      <c r="BK752" s="287">
        <f t="shared" si="477"/>
        <v>0</v>
      </c>
      <c r="BL752" s="287">
        <f t="shared" si="478"/>
        <v>0</v>
      </c>
      <c r="BM752" s="16"/>
      <c r="BN752" s="287">
        <f t="shared" si="479"/>
        <v>67900</v>
      </c>
      <c r="BO752" s="287">
        <f t="shared" si="480"/>
        <v>0</v>
      </c>
      <c r="BP752" s="432"/>
      <c r="BQ752" s="21"/>
      <c r="BR752" s="21"/>
      <c r="BS752" s="6"/>
      <c r="BT752" s="194">
        <f t="shared" si="484"/>
        <v>67900</v>
      </c>
      <c r="BU752" s="194">
        <f t="shared" si="485"/>
        <v>67900</v>
      </c>
      <c r="BV752" s="194">
        <f t="shared" si="486"/>
        <v>0</v>
      </c>
      <c r="BW752" s="194">
        <f t="shared" si="487"/>
        <v>0</v>
      </c>
      <c r="BX752" s="6"/>
      <c r="BY752" s="6"/>
      <c r="BZ752" s="39">
        <v>739</v>
      </c>
      <c r="CA752" s="39">
        <f t="shared" si="481"/>
        <v>2031</v>
      </c>
      <c r="CB752" s="6"/>
      <c r="CC752" s="39"/>
      <c r="CD752" s="39"/>
      <c r="CE752" s="39"/>
      <c r="CF752" s="39"/>
      <c r="CG752" s="39"/>
      <c r="CH752" s="39"/>
      <c r="CI752" s="39"/>
      <c r="CJ752" s="39"/>
      <c r="CK752" s="39"/>
    </row>
    <row r="753" spans="1:89" s="193" customFormat="1" ht="24">
      <c r="A753" s="357"/>
      <c r="B753" s="21" t="str">
        <f t="shared" si="458"/>
        <v>STW</v>
      </c>
      <c r="C753" s="21"/>
      <c r="D753" s="432"/>
      <c r="E753" s="439" t="s">
        <v>3626</v>
      </c>
      <c r="F753" s="439"/>
      <c r="G753" s="273" t="s">
        <v>4226</v>
      </c>
      <c r="H753" s="358" t="s">
        <v>4550</v>
      </c>
      <c r="I753" s="262" t="s">
        <v>3491</v>
      </c>
      <c r="J753" s="262" t="s">
        <v>4190</v>
      </c>
      <c r="K753" s="263">
        <v>600466.57794737769</v>
      </c>
      <c r="L753" s="263">
        <v>1200933.1558947554</v>
      </c>
      <c r="M753" s="263">
        <v>1200933.1558947554</v>
      </c>
      <c r="N753" s="263">
        <v>1801399.7338421331</v>
      </c>
      <c r="O753" s="263">
        <v>1801399.7338421331</v>
      </c>
      <c r="P753" s="263">
        <v>2401866.3117895108</v>
      </c>
      <c r="Q753" s="263">
        <v>2401866.3117895108</v>
      </c>
      <c r="R753" s="263">
        <v>2401866.3117895108</v>
      </c>
      <c r="S753" s="263">
        <v>900699.86692106654</v>
      </c>
      <c r="T753" s="263">
        <v>300233.28897368885</v>
      </c>
      <c r="U753" s="263">
        <f t="shared" si="495"/>
        <v>15011664.448684443</v>
      </c>
      <c r="V753" s="196" t="str">
        <f t="shared" si="456"/>
        <v>G/LOS</v>
      </c>
      <c r="W753" s="196" t="s">
        <v>1168</v>
      </c>
      <c r="X753" s="196" t="str">
        <f t="shared" si="493"/>
        <v>Y</v>
      </c>
      <c r="Y753" s="376">
        <f t="shared" si="494"/>
        <v>15011664.448684443</v>
      </c>
      <c r="Z753" s="198"/>
      <c r="AA753" s="376">
        <f t="shared" si="457"/>
        <v>15011664.448684443</v>
      </c>
      <c r="AB753" s="196" t="s">
        <v>1166</v>
      </c>
      <c r="AC753" s="196" t="s">
        <v>1168</v>
      </c>
      <c r="AD753" s="275">
        <v>0.75</v>
      </c>
      <c r="AE753" s="275">
        <v>0.25</v>
      </c>
      <c r="AF753" s="275">
        <v>0</v>
      </c>
      <c r="AG753" s="442">
        <v>0.75</v>
      </c>
      <c r="AH753" s="442">
        <v>0.75</v>
      </c>
      <c r="AI753" s="377">
        <f t="shared" si="489"/>
        <v>0.75</v>
      </c>
      <c r="AJ753" s="548">
        <v>1</v>
      </c>
      <c r="AK753" s="203">
        <f t="shared" si="483"/>
        <v>0</v>
      </c>
      <c r="AL753" s="376">
        <f t="shared" si="490"/>
        <v>3752916.1121711107</v>
      </c>
      <c r="AM753" s="376">
        <f t="shared" si="491"/>
        <v>11258748.336513333</v>
      </c>
      <c r="AN753" s="376">
        <f t="shared" si="492"/>
        <v>0</v>
      </c>
      <c r="AO753" s="378" t="s">
        <v>3607</v>
      </c>
      <c r="AP753" s="379" t="s">
        <v>5394</v>
      </c>
      <c r="AQ753" s="279"/>
      <c r="AR753" s="287">
        <f t="shared" si="459"/>
        <v>450349.93346053327</v>
      </c>
      <c r="AS753" s="287">
        <f t="shared" si="460"/>
        <v>900699.86692106654</v>
      </c>
      <c r="AT753" s="287">
        <f t="shared" si="461"/>
        <v>900699.86692106654</v>
      </c>
      <c r="AU753" s="287">
        <f t="shared" si="462"/>
        <v>1351049.8003815999</v>
      </c>
      <c r="AV753" s="287">
        <f t="shared" si="463"/>
        <v>1351049.8003815999</v>
      </c>
      <c r="AW753" s="287">
        <f t="shared" si="464"/>
        <v>1801399.7338421331</v>
      </c>
      <c r="AX753" s="287">
        <f t="shared" si="465"/>
        <v>1801399.7338421331</v>
      </c>
      <c r="AY753" s="287">
        <f t="shared" si="466"/>
        <v>1801399.7338421331</v>
      </c>
      <c r="AZ753" s="287">
        <f t="shared" si="467"/>
        <v>675524.90019079996</v>
      </c>
      <c r="BA753" s="287">
        <f t="shared" si="468"/>
        <v>225174.96673026663</v>
      </c>
      <c r="BB753" s="16"/>
      <c r="BC753" s="287">
        <f t="shared" si="469"/>
        <v>0</v>
      </c>
      <c r="BD753" s="287">
        <f t="shared" si="470"/>
        <v>0</v>
      </c>
      <c r="BE753" s="287">
        <f t="shared" si="471"/>
        <v>0</v>
      </c>
      <c r="BF753" s="287">
        <f t="shared" si="472"/>
        <v>0</v>
      </c>
      <c r="BG753" s="287">
        <f t="shared" si="473"/>
        <v>0</v>
      </c>
      <c r="BH753" s="287">
        <f t="shared" si="474"/>
        <v>0</v>
      </c>
      <c r="BI753" s="287">
        <f t="shared" si="475"/>
        <v>0</v>
      </c>
      <c r="BJ753" s="287">
        <f t="shared" si="476"/>
        <v>0</v>
      </c>
      <c r="BK753" s="287">
        <f t="shared" si="477"/>
        <v>0</v>
      </c>
      <c r="BL753" s="287">
        <f t="shared" si="478"/>
        <v>0</v>
      </c>
      <c r="BM753" s="16"/>
      <c r="BN753" s="287">
        <f t="shared" si="479"/>
        <v>11258748.336513331</v>
      </c>
      <c r="BO753" s="287">
        <f t="shared" si="480"/>
        <v>0</v>
      </c>
      <c r="BP753" s="432"/>
      <c r="BQ753" s="21"/>
      <c r="BR753" s="21"/>
      <c r="BS753" s="6"/>
      <c r="BT753" s="194">
        <f t="shared" si="484"/>
        <v>11258748.336513331</v>
      </c>
      <c r="BU753" s="194">
        <f t="shared" si="485"/>
        <v>11258748.336513333</v>
      </c>
      <c r="BV753" s="194">
        <f t="shared" si="486"/>
        <v>0</v>
      </c>
      <c r="BW753" s="194">
        <f t="shared" si="487"/>
        <v>-1.862645149230957E-9</v>
      </c>
      <c r="BX753" s="6"/>
      <c r="BY753" s="6"/>
      <c r="BZ753" s="39">
        <v>740</v>
      </c>
      <c r="CA753" s="39">
        <f t="shared" si="481"/>
        <v>2031</v>
      </c>
      <c r="CB753" s="6"/>
      <c r="CC753" s="39"/>
      <c r="CD753" s="39"/>
      <c r="CE753" s="39"/>
      <c r="CF753" s="39"/>
      <c r="CG753" s="39"/>
      <c r="CH753" s="39"/>
      <c r="CI753" s="39"/>
      <c r="CJ753" s="39"/>
      <c r="CK753" s="39"/>
    </row>
    <row r="754" spans="1:89" s="193" customFormat="1" ht="24">
      <c r="A754" s="357"/>
      <c r="B754" s="21" t="str">
        <f t="shared" si="458"/>
        <v>STW</v>
      </c>
      <c r="C754" s="21"/>
      <c r="D754" s="432"/>
      <c r="E754" s="439" t="s">
        <v>3626</v>
      </c>
      <c r="F754" s="439" t="s">
        <v>4018</v>
      </c>
      <c r="G754" s="273" t="s">
        <v>4017</v>
      </c>
      <c r="H754" s="358" t="s">
        <v>4509</v>
      </c>
      <c r="I754" s="262" t="s">
        <v>3491</v>
      </c>
      <c r="J754" s="262" t="s">
        <v>4199</v>
      </c>
      <c r="K754" s="263">
        <v>516500</v>
      </c>
      <c r="L754" s="263">
        <v>0</v>
      </c>
      <c r="M754" s="263">
        <v>0</v>
      </c>
      <c r="N754" s="263">
        <v>0</v>
      </c>
      <c r="O754" s="263">
        <v>0</v>
      </c>
      <c r="P754" s="263">
        <v>0</v>
      </c>
      <c r="Q754" s="263">
        <v>0</v>
      </c>
      <c r="R754" s="263">
        <v>0</v>
      </c>
      <c r="S754" s="263">
        <v>0</v>
      </c>
      <c r="T754" s="263">
        <v>0</v>
      </c>
      <c r="U754" s="263">
        <f t="shared" si="495"/>
        <v>516500</v>
      </c>
      <c r="V754" s="196" t="str">
        <f t="shared" si="456"/>
        <v>G/LOS/R</v>
      </c>
      <c r="W754" s="196" t="s">
        <v>1168</v>
      </c>
      <c r="X754" s="196" t="str">
        <f t="shared" si="493"/>
        <v>Y</v>
      </c>
      <c r="Y754" s="376">
        <f t="shared" si="494"/>
        <v>516500</v>
      </c>
      <c r="Z754" s="198"/>
      <c r="AA754" s="376">
        <f t="shared" si="457"/>
        <v>516500</v>
      </c>
      <c r="AB754" s="196" t="s">
        <v>1166</v>
      </c>
      <c r="AC754" s="196" t="s">
        <v>1168</v>
      </c>
      <c r="AD754" s="275">
        <v>0.1</v>
      </c>
      <c r="AE754" s="275">
        <v>0.1</v>
      </c>
      <c r="AF754" s="275">
        <v>0.8</v>
      </c>
      <c r="AG754" s="442">
        <v>0.1</v>
      </c>
      <c r="AH754" s="442">
        <v>0.1</v>
      </c>
      <c r="AI754" s="377">
        <f t="shared" si="489"/>
        <v>0.1</v>
      </c>
      <c r="AJ754" s="548">
        <v>1</v>
      </c>
      <c r="AK754" s="203">
        <f t="shared" si="483"/>
        <v>0</v>
      </c>
      <c r="AL754" s="376">
        <f t="shared" si="490"/>
        <v>464850</v>
      </c>
      <c r="AM754" s="376">
        <f t="shared" si="491"/>
        <v>51650</v>
      </c>
      <c r="AN754" s="376">
        <f t="shared" si="492"/>
        <v>0</v>
      </c>
      <c r="AO754" s="378" t="s">
        <v>3607</v>
      </c>
      <c r="AP754" s="379" t="s">
        <v>5401</v>
      </c>
      <c r="AQ754" s="279"/>
      <c r="AR754" s="287">
        <f t="shared" si="459"/>
        <v>51650</v>
      </c>
      <c r="AS754" s="287">
        <f t="shared" si="460"/>
        <v>0</v>
      </c>
      <c r="AT754" s="287">
        <f t="shared" si="461"/>
        <v>0</v>
      </c>
      <c r="AU754" s="287">
        <f t="shared" si="462"/>
        <v>0</v>
      </c>
      <c r="AV754" s="287">
        <f t="shared" si="463"/>
        <v>0</v>
      </c>
      <c r="AW754" s="287">
        <f t="shared" si="464"/>
        <v>0</v>
      </c>
      <c r="AX754" s="287">
        <f t="shared" si="465"/>
        <v>0</v>
      </c>
      <c r="AY754" s="287">
        <f t="shared" si="466"/>
        <v>0</v>
      </c>
      <c r="AZ754" s="287">
        <f t="shared" si="467"/>
        <v>0</v>
      </c>
      <c r="BA754" s="287">
        <f t="shared" si="468"/>
        <v>0</v>
      </c>
      <c r="BB754" s="16"/>
      <c r="BC754" s="287">
        <f t="shared" si="469"/>
        <v>0</v>
      </c>
      <c r="BD754" s="287">
        <f t="shared" si="470"/>
        <v>0</v>
      </c>
      <c r="BE754" s="287">
        <f t="shared" si="471"/>
        <v>0</v>
      </c>
      <c r="BF754" s="287">
        <f t="shared" si="472"/>
        <v>0</v>
      </c>
      <c r="BG754" s="287">
        <f t="shared" si="473"/>
        <v>0</v>
      </c>
      <c r="BH754" s="287">
        <f t="shared" si="474"/>
        <v>0</v>
      </c>
      <c r="BI754" s="287">
        <f t="shared" si="475"/>
        <v>0</v>
      </c>
      <c r="BJ754" s="287">
        <f t="shared" si="476"/>
        <v>0</v>
      </c>
      <c r="BK754" s="287">
        <f t="shared" si="477"/>
        <v>0</v>
      </c>
      <c r="BL754" s="287">
        <f t="shared" si="478"/>
        <v>0</v>
      </c>
      <c r="BM754" s="16"/>
      <c r="BN754" s="287">
        <f t="shared" si="479"/>
        <v>51650</v>
      </c>
      <c r="BO754" s="287">
        <f t="shared" si="480"/>
        <v>0</v>
      </c>
      <c r="BP754" s="432"/>
      <c r="BQ754" s="21"/>
      <c r="BR754" s="21"/>
      <c r="BS754" s="6"/>
      <c r="BT754" s="194">
        <f t="shared" si="484"/>
        <v>51650</v>
      </c>
      <c r="BU754" s="194">
        <f t="shared" si="485"/>
        <v>51650</v>
      </c>
      <c r="BV754" s="194">
        <f t="shared" si="486"/>
        <v>0</v>
      </c>
      <c r="BW754" s="194">
        <f t="shared" si="487"/>
        <v>0</v>
      </c>
      <c r="BX754" s="6"/>
      <c r="BY754" s="6"/>
      <c r="BZ754" s="39">
        <v>741</v>
      </c>
      <c r="CA754" s="39">
        <f t="shared" si="481"/>
        <v>2031</v>
      </c>
      <c r="CB754" s="6"/>
      <c r="CC754" s="39"/>
      <c r="CD754" s="39"/>
      <c r="CE754" s="39"/>
      <c r="CF754" s="39"/>
      <c r="CG754" s="39"/>
      <c r="CH754" s="39"/>
      <c r="CI754" s="39"/>
      <c r="CJ754" s="39"/>
      <c r="CK754" s="39"/>
    </row>
    <row r="755" spans="1:89" s="193" customFormat="1" ht="24">
      <c r="A755" s="357"/>
      <c r="B755" s="21" t="str">
        <f t="shared" si="458"/>
        <v>STW</v>
      </c>
      <c r="C755" s="21"/>
      <c r="D755" s="432" t="s">
        <v>3933</v>
      </c>
      <c r="E755" s="439" t="s">
        <v>3626</v>
      </c>
      <c r="F755" s="439" t="s">
        <v>3951</v>
      </c>
      <c r="G755" s="273" t="s">
        <v>4506</v>
      </c>
      <c r="H755" s="358" t="s">
        <v>4507</v>
      </c>
      <c r="I755" s="262" t="s">
        <v>3491</v>
      </c>
      <c r="J755" s="262" t="s">
        <v>4198</v>
      </c>
      <c r="K755" s="263">
        <v>408800</v>
      </c>
      <c r="L755" s="263">
        <v>0</v>
      </c>
      <c r="M755" s="263">
        <v>0</v>
      </c>
      <c r="N755" s="263">
        <v>0</v>
      </c>
      <c r="O755" s="263">
        <v>0</v>
      </c>
      <c r="P755" s="263">
        <v>0</v>
      </c>
      <c r="Q755" s="263">
        <v>0</v>
      </c>
      <c r="R755" s="263">
        <v>0</v>
      </c>
      <c r="S755" s="263">
        <v>0</v>
      </c>
      <c r="T755" s="263">
        <v>0</v>
      </c>
      <c r="U755" s="263">
        <f t="shared" si="495"/>
        <v>408800</v>
      </c>
      <c r="V755" s="196" t="str">
        <f t="shared" si="456"/>
        <v>G/LOS/R</v>
      </c>
      <c r="W755" s="196" t="s">
        <v>1168</v>
      </c>
      <c r="X755" s="196" t="str">
        <f t="shared" si="493"/>
        <v>Y</v>
      </c>
      <c r="Y755" s="376">
        <f t="shared" si="494"/>
        <v>408800</v>
      </c>
      <c r="Z755" s="198"/>
      <c r="AA755" s="376">
        <f t="shared" si="457"/>
        <v>408800</v>
      </c>
      <c r="AB755" s="196" t="s">
        <v>1166</v>
      </c>
      <c r="AC755" s="196" t="s">
        <v>1168</v>
      </c>
      <c r="AD755" s="275">
        <v>0.1</v>
      </c>
      <c r="AE755" s="275">
        <v>0.1</v>
      </c>
      <c r="AF755" s="275">
        <v>0.8</v>
      </c>
      <c r="AG755" s="442">
        <v>0.1</v>
      </c>
      <c r="AH755" s="442">
        <v>0.1</v>
      </c>
      <c r="AI755" s="377">
        <f t="shared" si="489"/>
        <v>0.1</v>
      </c>
      <c r="AJ755" s="688">
        <v>1</v>
      </c>
      <c r="AK755" s="203">
        <f t="shared" si="483"/>
        <v>0</v>
      </c>
      <c r="AL755" s="376">
        <f t="shared" si="490"/>
        <v>367920</v>
      </c>
      <c r="AM755" s="376">
        <f t="shared" si="491"/>
        <v>40880</v>
      </c>
      <c r="AN755" s="376">
        <f t="shared" si="492"/>
        <v>0</v>
      </c>
      <c r="AO755" s="378" t="s">
        <v>3607</v>
      </c>
      <c r="AP755" s="379" t="s">
        <v>5395</v>
      </c>
      <c r="AQ755" s="279"/>
      <c r="AR755" s="287">
        <f t="shared" si="459"/>
        <v>40880</v>
      </c>
      <c r="AS755" s="287">
        <f t="shared" si="460"/>
        <v>0</v>
      </c>
      <c r="AT755" s="287">
        <f t="shared" si="461"/>
        <v>0</v>
      </c>
      <c r="AU755" s="287">
        <f t="shared" si="462"/>
        <v>0</v>
      </c>
      <c r="AV755" s="287">
        <f t="shared" si="463"/>
        <v>0</v>
      </c>
      <c r="AW755" s="287">
        <f t="shared" si="464"/>
        <v>0</v>
      </c>
      <c r="AX755" s="287">
        <f t="shared" si="465"/>
        <v>0</v>
      </c>
      <c r="AY755" s="287">
        <f t="shared" si="466"/>
        <v>0</v>
      </c>
      <c r="AZ755" s="287">
        <f t="shared" si="467"/>
        <v>0</v>
      </c>
      <c r="BA755" s="287">
        <f t="shared" si="468"/>
        <v>0</v>
      </c>
      <c r="BB755" s="16"/>
      <c r="BC755" s="287">
        <f t="shared" si="469"/>
        <v>0</v>
      </c>
      <c r="BD755" s="287">
        <f t="shared" si="470"/>
        <v>0</v>
      </c>
      <c r="BE755" s="287">
        <f t="shared" si="471"/>
        <v>0</v>
      </c>
      <c r="BF755" s="287">
        <f t="shared" si="472"/>
        <v>0</v>
      </c>
      <c r="BG755" s="287">
        <f t="shared" si="473"/>
        <v>0</v>
      </c>
      <c r="BH755" s="287">
        <f t="shared" si="474"/>
        <v>0</v>
      </c>
      <c r="BI755" s="287">
        <f t="shared" si="475"/>
        <v>0</v>
      </c>
      <c r="BJ755" s="287">
        <f t="shared" si="476"/>
        <v>0</v>
      </c>
      <c r="BK755" s="287">
        <f t="shared" si="477"/>
        <v>0</v>
      </c>
      <c r="BL755" s="287">
        <f t="shared" si="478"/>
        <v>0</v>
      </c>
      <c r="BM755" s="16"/>
      <c r="BN755" s="287">
        <f t="shared" si="479"/>
        <v>40880</v>
      </c>
      <c r="BO755" s="287">
        <f t="shared" si="480"/>
        <v>0</v>
      </c>
      <c r="BP755" s="432"/>
      <c r="BQ755" s="21"/>
      <c r="BR755" s="21"/>
      <c r="BS755" s="6"/>
      <c r="BT755" s="194">
        <f t="shared" si="484"/>
        <v>40880</v>
      </c>
      <c r="BU755" s="194">
        <f t="shared" si="485"/>
        <v>40880</v>
      </c>
      <c r="BV755" s="194">
        <f t="shared" si="486"/>
        <v>0</v>
      </c>
      <c r="BW755" s="194">
        <f t="shared" si="487"/>
        <v>0</v>
      </c>
      <c r="BX755" s="6"/>
      <c r="BY755" s="6"/>
      <c r="BZ755" s="39">
        <v>742</v>
      </c>
      <c r="CA755" s="39">
        <f t="shared" si="481"/>
        <v>2031</v>
      </c>
      <c r="CB755" s="6"/>
      <c r="CC755" s="39"/>
      <c r="CD755" s="39"/>
      <c r="CE755" s="39"/>
      <c r="CF755" s="39"/>
      <c r="CG755" s="39"/>
      <c r="CH755" s="39"/>
      <c r="CI755" s="39"/>
      <c r="CJ755" s="39"/>
      <c r="CK755" s="39"/>
    </row>
    <row r="756" spans="1:89" s="193" customFormat="1" ht="24">
      <c r="A756" s="357"/>
      <c r="B756" s="21" t="str">
        <f t="shared" si="458"/>
        <v>STW</v>
      </c>
      <c r="C756" s="21"/>
      <c r="D756" s="432" t="s">
        <v>3975</v>
      </c>
      <c r="E756" s="439" t="s">
        <v>3626</v>
      </c>
      <c r="F756" s="439" t="s">
        <v>3974</v>
      </c>
      <c r="G756" s="273" t="s">
        <v>3973</v>
      </c>
      <c r="H756" s="358" t="s">
        <v>4599</v>
      </c>
      <c r="I756" s="262" t="s">
        <v>3491</v>
      </c>
      <c r="J756" s="262" t="s">
        <v>4207</v>
      </c>
      <c r="K756" s="263">
        <v>673500</v>
      </c>
      <c r="L756" s="263">
        <v>0</v>
      </c>
      <c r="M756" s="263">
        <v>0</v>
      </c>
      <c r="N756" s="263">
        <v>0</v>
      </c>
      <c r="O756" s="263">
        <v>0</v>
      </c>
      <c r="P756" s="263">
        <v>0</v>
      </c>
      <c r="Q756" s="263">
        <v>0</v>
      </c>
      <c r="R756" s="263">
        <v>0</v>
      </c>
      <c r="S756" s="263">
        <v>0</v>
      </c>
      <c r="T756" s="263">
        <v>0</v>
      </c>
      <c r="U756" s="263">
        <f t="shared" si="495"/>
        <v>673500</v>
      </c>
      <c r="V756" s="196" t="str">
        <f t="shared" si="456"/>
        <v>G/LOS/R</v>
      </c>
      <c r="W756" s="196" t="s">
        <v>1168</v>
      </c>
      <c r="X756" s="196" t="str">
        <f t="shared" si="493"/>
        <v>Y</v>
      </c>
      <c r="Y756" s="376">
        <f t="shared" si="494"/>
        <v>673500</v>
      </c>
      <c r="Z756" s="198"/>
      <c r="AA756" s="376">
        <f t="shared" si="457"/>
        <v>673500</v>
      </c>
      <c r="AB756" s="196" t="s">
        <v>1166</v>
      </c>
      <c r="AC756" s="196" t="s">
        <v>1168</v>
      </c>
      <c r="AD756" s="275">
        <v>0.1</v>
      </c>
      <c r="AE756" s="275">
        <v>0.8</v>
      </c>
      <c r="AF756" s="275">
        <v>0.1</v>
      </c>
      <c r="AG756" s="442">
        <v>0.1</v>
      </c>
      <c r="AH756" s="442">
        <v>0.1</v>
      </c>
      <c r="AI756" s="377">
        <f t="shared" si="489"/>
        <v>0.1</v>
      </c>
      <c r="AJ756" s="548">
        <v>1</v>
      </c>
      <c r="AK756" s="203">
        <f t="shared" si="483"/>
        <v>0</v>
      </c>
      <c r="AL756" s="376">
        <f t="shared" si="490"/>
        <v>606150</v>
      </c>
      <c r="AM756" s="376">
        <f t="shared" si="491"/>
        <v>67350</v>
      </c>
      <c r="AN756" s="376">
        <f t="shared" si="492"/>
        <v>0</v>
      </c>
      <c r="AO756" s="378" t="s">
        <v>3607</v>
      </c>
      <c r="AP756" s="379" t="s">
        <v>5414</v>
      </c>
      <c r="AQ756" s="279"/>
      <c r="AR756" s="287">
        <f t="shared" si="459"/>
        <v>67350</v>
      </c>
      <c r="AS756" s="287">
        <f t="shared" si="460"/>
        <v>0</v>
      </c>
      <c r="AT756" s="287">
        <f t="shared" si="461"/>
        <v>0</v>
      </c>
      <c r="AU756" s="287">
        <f t="shared" si="462"/>
        <v>0</v>
      </c>
      <c r="AV756" s="287">
        <f t="shared" si="463"/>
        <v>0</v>
      </c>
      <c r="AW756" s="287">
        <f t="shared" si="464"/>
        <v>0</v>
      </c>
      <c r="AX756" s="287">
        <f t="shared" si="465"/>
        <v>0</v>
      </c>
      <c r="AY756" s="287">
        <f t="shared" si="466"/>
        <v>0</v>
      </c>
      <c r="AZ756" s="287">
        <f t="shared" si="467"/>
        <v>0</v>
      </c>
      <c r="BA756" s="287">
        <f t="shared" si="468"/>
        <v>0</v>
      </c>
      <c r="BB756" s="16"/>
      <c r="BC756" s="287">
        <f t="shared" si="469"/>
        <v>0</v>
      </c>
      <c r="BD756" s="287">
        <f t="shared" si="470"/>
        <v>0</v>
      </c>
      <c r="BE756" s="287">
        <f t="shared" si="471"/>
        <v>0</v>
      </c>
      <c r="BF756" s="287">
        <f t="shared" si="472"/>
        <v>0</v>
      </c>
      <c r="BG756" s="287">
        <f t="shared" si="473"/>
        <v>0</v>
      </c>
      <c r="BH756" s="287">
        <f t="shared" si="474"/>
        <v>0</v>
      </c>
      <c r="BI756" s="287">
        <f t="shared" si="475"/>
        <v>0</v>
      </c>
      <c r="BJ756" s="287">
        <f t="shared" si="476"/>
        <v>0</v>
      </c>
      <c r="BK756" s="287">
        <f t="shared" si="477"/>
        <v>0</v>
      </c>
      <c r="BL756" s="287">
        <f t="shared" si="478"/>
        <v>0</v>
      </c>
      <c r="BM756" s="16"/>
      <c r="BN756" s="287">
        <f t="shared" si="479"/>
        <v>67350</v>
      </c>
      <c r="BO756" s="287">
        <f t="shared" si="480"/>
        <v>0</v>
      </c>
      <c r="BP756" s="432"/>
      <c r="BQ756" s="21"/>
      <c r="BR756" s="21"/>
      <c r="BS756" s="6"/>
      <c r="BT756" s="194">
        <f t="shared" si="484"/>
        <v>67350</v>
      </c>
      <c r="BU756" s="194">
        <f t="shared" si="485"/>
        <v>67350</v>
      </c>
      <c r="BV756" s="194">
        <f t="shared" si="486"/>
        <v>0</v>
      </c>
      <c r="BW756" s="194">
        <f t="shared" si="487"/>
        <v>0</v>
      </c>
      <c r="BX756" s="6"/>
      <c r="BY756" s="6"/>
      <c r="BZ756" s="39">
        <v>743</v>
      </c>
      <c r="CA756" s="39">
        <f t="shared" si="481"/>
        <v>2031</v>
      </c>
      <c r="CB756" s="6"/>
      <c r="CC756" s="39"/>
      <c r="CD756" s="39"/>
      <c r="CE756" s="39"/>
      <c r="CF756" s="39"/>
      <c r="CG756" s="39"/>
      <c r="CH756" s="39"/>
      <c r="CI756" s="39"/>
      <c r="CJ756" s="39"/>
      <c r="CK756" s="39"/>
    </row>
    <row r="757" spans="1:89" s="193" customFormat="1" ht="12.5">
      <c r="A757" s="357"/>
      <c r="B757" s="21" t="str">
        <f t="shared" si="458"/>
        <v>STW</v>
      </c>
      <c r="C757" s="21"/>
      <c r="D757" s="432" t="s">
        <v>3978</v>
      </c>
      <c r="E757" s="439" t="s">
        <v>3626</v>
      </c>
      <c r="F757" s="439" t="s">
        <v>3977</v>
      </c>
      <c r="G757" s="273" t="s">
        <v>4521</v>
      </c>
      <c r="H757" s="358" t="s">
        <v>4520</v>
      </c>
      <c r="I757" s="262" t="s">
        <v>3491</v>
      </c>
      <c r="J757" s="262" t="s">
        <v>4198</v>
      </c>
      <c r="K757" s="263">
        <v>1202000</v>
      </c>
      <c r="L757" s="263">
        <v>1050000</v>
      </c>
      <c r="M757" s="263">
        <v>0</v>
      </c>
      <c r="N757" s="263">
        <v>0</v>
      </c>
      <c r="O757" s="263">
        <v>0</v>
      </c>
      <c r="P757" s="263">
        <v>0</v>
      </c>
      <c r="Q757" s="263">
        <v>0</v>
      </c>
      <c r="R757" s="263">
        <v>0</v>
      </c>
      <c r="S757" s="263">
        <v>0</v>
      </c>
      <c r="T757" s="263">
        <v>0</v>
      </c>
      <c r="U757" s="263">
        <f t="shared" si="495"/>
        <v>2252000</v>
      </c>
      <c r="V757" s="196" t="str">
        <f t="shared" si="456"/>
        <v>G</v>
      </c>
      <c r="W757" s="196" t="s">
        <v>1168</v>
      </c>
      <c r="X757" s="196" t="str">
        <f t="shared" si="493"/>
        <v>Y</v>
      </c>
      <c r="Y757" s="376">
        <f t="shared" si="494"/>
        <v>2252000</v>
      </c>
      <c r="Z757" s="198"/>
      <c r="AA757" s="376">
        <f t="shared" si="457"/>
        <v>2252000</v>
      </c>
      <c r="AB757" s="196" t="s">
        <v>1166</v>
      </c>
      <c r="AC757" s="196" t="s">
        <v>1168</v>
      </c>
      <c r="AD757" s="445">
        <v>0.1</v>
      </c>
      <c r="AE757" s="275">
        <v>0</v>
      </c>
      <c r="AF757" s="275">
        <v>0</v>
      </c>
      <c r="AG757" s="442">
        <v>0.1</v>
      </c>
      <c r="AH757" s="442">
        <v>0.1</v>
      </c>
      <c r="AI757" s="377">
        <f t="shared" si="489"/>
        <v>0.1</v>
      </c>
      <c r="AJ757" s="688">
        <v>1</v>
      </c>
      <c r="AK757" s="203">
        <f t="shared" si="483"/>
        <v>0</v>
      </c>
      <c r="AL757" s="376">
        <f t="shared" si="490"/>
        <v>2026800</v>
      </c>
      <c r="AM757" s="376">
        <f t="shared" si="491"/>
        <v>225200</v>
      </c>
      <c r="AN757" s="376">
        <f t="shared" si="492"/>
        <v>0</v>
      </c>
      <c r="AO757" s="378" t="s">
        <v>3607</v>
      </c>
      <c r="AP757" s="379" t="s">
        <v>5395</v>
      </c>
      <c r="AQ757" s="279"/>
      <c r="AR757" s="287">
        <f t="shared" si="459"/>
        <v>120200</v>
      </c>
      <c r="AS757" s="287">
        <f t="shared" si="460"/>
        <v>105000</v>
      </c>
      <c r="AT757" s="287">
        <f t="shared" si="461"/>
        <v>0</v>
      </c>
      <c r="AU757" s="287">
        <f t="shared" si="462"/>
        <v>0</v>
      </c>
      <c r="AV757" s="287">
        <f t="shared" si="463"/>
        <v>0</v>
      </c>
      <c r="AW757" s="287">
        <f t="shared" si="464"/>
        <v>0</v>
      </c>
      <c r="AX757" s="287">
        <f t="shared" si="465"/>
        <v>0</v>
      </c>
      <c r="AY757" s="287">
        <f t="shared" si="466"/>
        <v>0</v>
      </c>
      <c r="AZ757" s="287">
        <f t="shared" si="467"/>
        <v>0</v>
      </c>
      <c r="BA757" s="287">
        <f t="shared" si="468"/>
        <v>0</v>
      </c>
      <c r="BB757" s="16"/>
      <c r="BC757" s="287">
        <f t="shared" si="469"/>
        <v>0</v>
      </c>
      <c r="BD757" s="287">
        <f t="shared" si="470"/>
        <v>0</v>
      </c>
      <c r="BE757" s="287">
        <f t="shared" si="471"/>
        <v>0</v>
      </c>
      <c r="BF757" s="287">
        <f t="shared" si="472"/>
        <v>0</v>
      </c>
      <c r="BG757" s="287">
        <f t="shared" si="473"/>
        <v>0</v>
      </c>
      <c r="BH757" s="287">
        <f t="shared" si="474"/>
        <v>0</v>
      </c>
      <c r="BI757" s="287">
        <f t="shared" si="475"/>
        <v>0</v>
      </c>
      <c r="BJ757" s="287">
        <f t="shared" si="476"/>
        <v>0</v>
      </c>
      <c r="BK757" s="287">
        <f t="shared" si="477"/>
        <v>0</v>
      </c>
      <c r="BL757" s="287">
        <f t="shared" si="478"/>
        <v>0</v>
      </c>
      <c r="BM757" s="16"/>
      <c r="BN757" s="287">
        <f t="shared" si="479"/>
        <v>225200</v>
      </c>
      <c r="BO757" s="287">
        <f t="shared" si="480"/>
        <v>0</v>
      </c>
      <c r="BP757" s="432"/>
      <c r="BQ757" s="21"/>
      <c r="BR757" s="21"/>
      <c r="BS757" s="6"/>
      <c r="BT757" s="194">
        <f t="shared" si="484"/>
        <v>225200</v>
      </c>
      <c r="BU757" s="194">
        <f t="shared" si="485"/>
        <v>225200</v>
      </c>
      <c r="BV757" s="194">
        <f t="shared" si="486"/>
        <v>0</v>
      </c>
      <c r="BW757" s="194">
        <f t="shared" si="487"/>
        <v>0</v>
      </c>
      <c r="BX757" s="6"/>
      <c r="BY757" s="6"/>
      <c r="BZ757" s="39">
        <v>744</v>
      </c>
      <c r="CA757" s="39">
        <f t="shared" si="481"/>
        <v>2031</v>
      </c>
      <c r="CB757" s="6"/>
      <c r="CC757" s="39"/>
      <c r="CD757" s="39"/>
      <c r="CE757" s="39"/>
      <c r="CF757" s="39"/>
      <c r="CG757" s="39"/>
      <c r="CH757" s="39"/>
      <c r="CI757" s="39"/>
      <c r="CJ757" s="39"/>
      <c r="CK757" s="39"/>
    </row>
    <row r="758" spans="1:89" s="193" customFormat="1" ht="24">
      <c r="A758" s="357"/>
      <c r="B758" s="21" t="str">
        <f t="shared" si="458"/>
        <v>STW</v>
      </c>
      <c r="C758" s="21"/>
      <c r="D758" s="432"/>
      <c r="E758" s="439" t="s">
        <v>3626</v>
      </c>
      <c r="F758" s="439" t="s">
        <v>4004</v>
      </c>
      <c r="G758" s="273" t="s">
        <v>4003</v>
      </c>
      <c r="H758" s="358" t="s">
        <v>4509</v>
      </c>
      <c r="I758" s="262" t="s">
        <v>3491</v>
      </c>
      <c r="J758" s="262" t="s">
        <v>4199</v>
      </c>
      <c r="K758" s="263">
        <v>1259600</v>
      </c>
      <c r="L758" s="263">
        <v>0</v>
      </c>
      <c r="M758" s="263">
        <v>0</v>
      </c>
      <c r="N758" s="263">
        <v>0</v>
      </c>
      <c r="O758" s="263">
        <v>0</v>
      </c>
      <c r="P758" s="263">
        <v>0</v>
      </c>
      <c r="Q758" s="263">
        <v>0</v>
      </c>
      <c r="R758" s="263">
        <v>0</v>
      </c>
      <c r="S758" s="263">
        <v>0</v>
      </c>
      <c r="T758" s="263">
        <v>0</v>
      </c>
      <c r="U758" s="263">
        <f t="shared" si="495"/>
        <v>1259600</v>
      </c>
      <c r="V758" s="196" t="str">
        <f t="shared" si="456"/>
        <v>G/LOS/R</v>
      </c>
      <c r="W758" s="196" t="s">
        <v>1168</v>
      </c>
      <c r="X758" s="196" t="str">
        <f t="shared" si="493"/>
        <v>Y</v>
      </c>
      <c r="Y758" s="376">
        <f t="shared" si="494"/>
        <v>1259600</v>
      </c>
      <c r="Z758" s="198"/>
      <c r="AA758" s="376">
        <f t="shared" si="457"/>
        <v>1259600</v>
      </c>
      <c r="AB758" s="196" t="s">
        <v>1166</v>
      </c>
      <c r="AC758" s="196" t="s">
        <v>1168</v>
      </c>
      <c r="AD758" s="275">
        <v>0.1</v>
      </c>
      <c r="AE758" s="275">
        <v>0.44999999999999996</v>
      </c>
      <c r="AF758" s="275">
        <v>0.45</v>
      </c>
      <c r="AG758" s="442">
        <v>0.1</v>
      </c>
      <c r="AH758" s="442">
        <v>0.1</v>
      </c>
      <c r="AI758" s="377">
        <f t="shared" si="489"/>
        <v>0.1</v>
      </c>
      <c r="AJ758" s="548">
        <v>1</v>
      </c>
      <c r="AK758" s="203">
        <f t="shared" si="483"/>
        <v>0</v>
      </c>
      <c r="AL758" s="376">
        <f t="shared" si="490"/>
        <v>1133640</v>
      </c>
      <c r="AM758" s="376">
        <f t="shared" si="491"/>
        <v>125960</v>
      </c>
      <c r="AN758" s="376">
        <f t="shared" si="492"/>
        <v>0</v>
      </c>
      <c r="AO758" s="378" t="s">
        <v>3607</v>
      </c>
      <c r="AP758" s="379" t="s">
        <v>5401</v>
      </c>
      <c r="AQ758" s="279"/>
      <c r="AR758" s="287">
        <f t="shared" si="459"/>
        <v>125960</v>
      </c>
      <c r="AS758" s="287">
        <f t="shared" si="460"/>
        <v>0</v>
      </c>
      <c r="AT758" s="287">
        <f t="shared" si="461"/>
        <v>0</v>
      </c>
      <c r="AU758" s="287">
        <f t="shared" si="462"/>
        <v>0</v>
      </c>
      <c r="AV758" s="287">
        <f t="shared" si="463"/>
        <v>0</v>
      </c>
      <c r="AW758" s="287">
        <f t="shared" si="464"/>
        <v>0</v>
      </c>
      <c r="AX758" s="287">
        <f t="shared" si="465"/>
        <v>0</v>
      </c>
      <c r="AY758" s="287">
        <f t="shared" si="466"/>
        <v>0</v>
      </c>
      <c r="AZ758" s="287">
        <f t="shared" si="467"/>
        <v>0</v>
      </c>
      <c r="BA758" s="287">
        <f t="shared" si="468"/>
        <v>0</v>
      </c>
      <c r="BB758" s="16"/>
      <c r="BC758" s="287">
        <f t="shared" si="469"/>
        <v>0</v>
      </c>
      <c r="BD758" s="287">
        <f t="shared" si="470"/>
        <v>0</v>
      </c>
      <c r="BE758" s="287">
        <f t="shared" si="471"/>
        <v>0</v>
      </c>
      <c r="BF758" s="287">
        <f t="shared" si="472"/>
        <v>0</v>
      </c>
      <c r="BG758" s="287">
        <f t="shared" si="473"/>
        <v>0</v>
      </c>
      <c r="BH758" s="287">
        <f t="shared" si="474"/>
        <v>0</v>
      </c>
      <c r="BI758" s="287">
        <f t="shared" si="475"/>
        <v>0</v>
      </c>
      <c r="BJ758" s="287">
        <f t="shared" si="476"/>
        <v>0</v>
      </c>
      <c r="BK758" s="287">
        <f t="shared" si="477"/>
        <v>0</v>
      </c>
      <c r="BL758" s="287">
        <f t="shared" si="478"/>
        <v>0</v>
      </c>
      <c r="BM758" s="16"/>
      <c r="BN758" s="287">
        <f t="shared" si="479"/>
        <v>125960</v>
      </c>
      <c r="BO758" s="287">
        <f t="shared" si="480"/>
        <v>0</v>
      </c>
      <c r="BP758" s="432"/>
      <c r="BQ758" s="21"/>
      <c r="BR758" s="21"/>
      <c r="BS758" s="6"/>
      <c r="BT758" s="194">
        <f t="shared" si="484"/>
        <v>125960</v>
      </c>
      <c r="BU758" s="194">
        <f t="shared" si="485"/>
        <v>125960</v>
      </c>
      <c r="BV758" s="194">
        <f t="shared" si="486"/>
        <v>0</v>
      </c>
      <c r="BW758" s="194">
        <f t="shared" si="487"/>
        <v>0</v>
      </c>
      <c r="BX758" s="6"/>
      <c r="BY758" s="6"/>
      <c r="BZ758" s="39">
        <v>745</v>
      </c>
      <c r="CA758" s="39">
        <f t="shared" si="481"/>
        <v>2031</v>
      </c>
      <c r="CB758" s="6"/>
      <c r="CC758" s="39"/>
      <c r="CD758" s="39"/>
      <c r="CE758" s="39"/>
      <c r="CF758" s="39"/>
      <c r="CG758" s="39"/>
      <c r="CH758" s="39"/>
      <c r="CI758" s="39"/>
      <c r="CJ758" s="39"/>
      <c r="CK758" s="39"/>
    </row>
    <row r="759" spans="1:89" s="193" customFormat="1" ht="24">
      <c r="A759" s="357"/>
      <c r="B759" s="21" t="str">
        <f t="shared" si="458"/>
        <v>STW</v>
      </c>
      <c r="C759" s="21"/>
      <c r="D759" s="432" t="s">
        <v>3912</v>
      </c>
      <c r="E759" s="439" t="s">
        <v>3626</v>
      </c>
      <c r="F759" s="439" t="s">
        <v>3911</v>
      </c>
      <c r="G759" s="273" t="s">
        <v>3910</v>
      </c>
      <c r="H759" s="358" t="s">
        <v>4570</v>
      </c>
      <c r="I759" s="262" t="s">
        <v>3491</v>
      </c>
      <c r="J759" s="262" t="s">
        <v>4199</v>
      </c>
      <c r="K759" s="263">
        <v>533000</v>
      </c>
      <c r="L759" s="263">
        <v>4320000</v>
      </c>
      <c r="M759" s="263">
        <v>4280000</v>
      </c>
      <c r="N759" s="263">
        <v>0</v>
      </c>
      <c r="O759" s="263">
        <v>0</v>
      </c>
      <c r="P759" s="263">
        <v>0</v>
      </c>
      <c r="Q759" s="263">
        <v>0</v>
      </c>
      <c r="R759" s="263">
        <v>0</v>
      </c>
      <c r="S759" s="263">
        <v>0</v>
      </c>
      <c r="T759" s="263">
        <v>0</v>
      </c>
      <c r="U759" s="263">
        <f t="shared" si="495"/>
        <v>9133000</v>
      </c>
      <c r="V759" s="196" t="str">
        <f t="shared" si="456"/>
        <v>G/LOS</v>
      </c>
      <c r="W759" s="196" t="s">
        <v>1168</v>
      </c>
      <c r="X759" s="196" t="str">
        <f t="shared" si="493"/>
        <v>Y</v>
      </c>
      <c r="Y759" s="376">
        <f t="shared" si="494"/>
        <v>9133000</v>
      </c>
      <c r="Z759" s="198"/>
      <c r="AA759" s="376">
        <f t="shared" si="457"/>
        <v>9133000</v>
      </c>
      <c r="AB759" s="196" t="s">
        <v>1166</v>
      </c>
      <c r="AC759" s="196" t="s">
        <v>1168</v>
      </c>
      <c r="AD759" s="519">
        <v>0.4</v>
      </c>
      <c r="AE759" s="275">
        <v>0.6</v>
      </c>
      <c r="AF759" s="275">
        <v>0</v>
      </c>
      <c r="AG759" s="442">
        <v>0.4</v>
      </c>
      <c r="AH759" s="442">
        <v>0.4</v>
      </c>
      <c r="AI759" s="377">
        <f t="shared" si="489"/>
        <v>0.4</v>
      </c>
      <c r="AJ759" s="548">
        <v>1</v>
      </c>
      <c r="AK759" s="203">
        <f t="shared" ref="AK759:AK786" si="496">1-AJ759</f>
        <v>0</v>
      </c>
      <c r="AL759" s="376">
        <f t="shared" si="490"/>
        <v>5479800</v>
      </c>
      <c r="AM759" s="376">
        <f t="shared" si="491"/>
        <v>3653200</v>
      </c>
      <c r="AN759" s="376">
        <f t="shared" si="492"/>
        <v>0</v>
      </c>
      <c r="AO759" s="378" t="s">
        <v>3607</v>
      </c>
      <c r="AP759" s="379" t="s">
        <v>5401</v>
      </c>
      <c r="AQ759" s="279"/>
      <c r="AR759" s="287">
        <f t="shared" si="459"/>
        <v>213200</v>
      </c>
      <c r="AS759" s="287">
        <f t="shared" si="460"/>
        <v>1728000</v>
      </c>
      <c r="AT759" s="287">
        <f t="shared" si="461"/>
        <v>1712000</v>
      </c>
      <c r="AU759" s="287">
        <f t="shared" si="462"/>
        <v>0</v>
      </c>
      <c r="AV759" s="287">
        <f t="shared" si="463"/>
        <v>0</v>
      </c>
      <c r="AW759" s="287">
        <f t="shared" si="464"/>
        <v>0</v>
      </c>
      <c r="AX759" s="287">
        <f t="shared" si="465"/>
        <v>0</v>
      </c>
      <c r="AY759" s="287">
        <f t="shared" si="466"/>
        <v>0</v>
      </c>
      <c r="AZ759" s="287">
        <f t="shared" si="467"/>
        <v>0</v>
      </c>
      <c r="BA759" s="287">
        <f t="shared" si="468"/>
        <v>0</v>
      </c>
      <c r="BB759" s="16"/>
      <c r="BC759" s="287">
        <f t="shared" si="469"/>
        <v>0</v>
      </c>
      <c r="BD759" s="287">
        <f t="shared" si="470"/>
        <v>0</v>
      </c>
      <c r="BE759" s="287">
        <f t="shared" si="471"/>
        <v>0</v>
      </c>
      <c r="BF759" s="287">
        <f t="shared" si="472"/>
        <v>0</v>
      </c>
      <c r="BG759" s="287">
        <f t="shared" si="473"/>
        <v>0</v>
      </c>
      <c r="BH759" s="287">
        <f t="shared" si="474"/>
        <v>0</v>
      </c>
      <c r="BI759" s="287">
        <f t="shared" si="475"/>
        <v>0</v>
      </c>
      <c r="BJ759" s="287">
        <f t="shared" si="476"/>
        <v>0</v>
      </c>
      <c r="BK759" s="287">
        <f t="shared" si="477"/>
        <v>0</v>
      </c>
      <c r="BL759" s="287">
        <f t="shared" si="478"/>
        <v>0</v>
      </c>
      <c r="BM759" s="16"/>
      <c r="BN759" s="287">
        <f t="shared" si="479"/>
        <v>3653200</v>
      </c>
      <c r="BO759" s="287">
        <f t="shared" si="480"/>
        <v>0</v>
      </c>
      <c r="BP759" s="432"/>
      <c r="BQ759" s="21"/>
      <c r="BR759" s="21"/>
      <c r="BS759" s="6"/>
      <c r="BT759" s="194">
        <f t="shared" ref="BT759:BT785" si="497">+BN759+BO759</f>
        <v>3653200</v>
      </c>
      <c r="BU759" s="194">
        <f t="shared" ref="BU759:BU785" si="498">+AM759</f>
        <v>3653200</v>
      </c>
      <c r="BV759" s="194">
        <f t="shared" ref="BV759:BV785" si="499">+AN759</f>
        <v>0</v>
      </c>
      <c r="BW759" s="194">
        <f t="shared" ref="BW759:BW785" si="500">+BT759-BU759-BV759</f>
        <v>0</v>
      </c>
      <c r="BX759" s="6"/>
      <c r="BY759" s="6"/>
      <c r="BZ759" s="39">
        <v>746</v>
      </c>
      <c r="CA759" s="39">
        <f t="shared" si="481"/>
        <v>2031</v>
      </c>
      <c r="CB759" s="6"/>
      <c r="CC759" s="39"/>
      <c r="CD759" s="39"/>
      <c r="CE759" s="39"/>
      <c r="CF759" s="39"/>
      <c r="CG759" s="39"/>
      <c r="CH759" s="39"/>
      <c r="CI759" s="39"/>
      <c r="CJ759" s="39"/>
      <c r="CK759" s="39"/>
    </row>
    <row r="760" spans="1:89" s="193" customFormat="1" ht="24">
      <c r="A760" s="357"/>
      <c r="B760" s="21" t="str">
        <f t="shared" si="458"/>
        <v>STW</v>
      </c>
      <c r="C760" s="21"/>
      <c r="D760" s="432" t="s">
        <v>3917</v>
      </c>
      <c r="E760" s="439" t="s">
        <v>3626</v>
      </c>
      <c r="F760" s="439" t="s">
        <v>4041</v>
      </c>
      <c r="G760" s="273" t="s">
        <v>4040</v>
      </c>
      <c r="H760" s="358" t="s">
        <v>4503</v>
      </c>
      <c r="I760" s="262" t="s">
        <v>3491</v>
      </c>
      <c r="J760" s="262" t="s">
        <v>4221</v>
      </c>
      <c r="K760" s="263">
        <v>480000</v>
      </c>
      <c r="L760" s="263">
        <v>315000</v>
      </c>
      <c r="M760" s="263">
        <v>0</v>
      </c>
      <c r="N760" s="263">
        <v>0</v>
      </c>
      <c r="O760" s="263">
        <v>0</v>
      </c>
      <c r="P760" s="263">
        <v>0</v>
      </c>
      <c r="Q760" s="263">
        <v>0</v>
      </c>
      <c r="R760" s="263">
        <v>0</v>
      </c>
      <c r="S760" s="263">
        <v>0</v>
      </c>
      <c r="T760" s="263">
        <v>0</v>
      </c>
      <c r="U760" s="263">
        <f t="shared" si="495"/>
        <v>795000</v>
      </c>
      <c r="V760" s="196" t="str">
        <f t="shared" si="456"/>
        <v>G/LOS/R</v>
      </c>
      <c r="W760" s="196" t="s">
        <v>1168</v>
      </c>
      <c r="X760" s="196" t="str">
        <f t="shared" si="493"/>
        <v>Y</v>
      </c>
      <c r="Y760" s="376">
        <f t="shared" si="494"/>
        <v>795000</v>
      </c>
      <c r="Z760" s="198"/>
      <c r="AA760" s="376">
        <f t="shared" si="457"/>
        <v>795000</v>
      </c>
      <c r="AB760" s="196" t="s">
        <v>1166</v>
      </c>
      <c r="AC760" s="196" t="s">
        <v>1168</v>
      </c>
      <c r="AD760" s="275">
        <v>0.3</v>
      </c>
      <c r="AE760" s="275">
        <v>0.65</v>
      </c>
      <c r="AF760" s="275">
        <v>0.05</v>
      </c>
      <c r="AG760" s="442">
        <v>0.3</v>
      </c>
      <c r="AH760" s="442">
        <v>0.3</v>
      </c>
      <c r="AI760" s="377">
        <f t="shared" si="489"/>
        <v>0.3</v>
      </c>
      <c r="AJ760" s="548">
        <v>1</v>
      </c>
      <c r="AK760" s="203">
        <f t="shared" si="496"/>
        <v>0</v>
      </c>
      <c r="AL760" s="376">
        <f t="shared" si="490"/>
        <v>556500</v>
      </c>
      <c r="AM760" s="376">
        <f t="shared" si="491"/>
        <v>238500</v>
      </c>
      <c r="AN760" s="376">
        <f t="shared" si="492"/>
        <v>0</v>
      </c>
      <c r="AO760" s="378" t="s">
        <v>3607</v>
      </c>
      <c r="AP760" s="379" t="s">
        <v>5423</v>
      </c>
      <c r="AQ760" s="279" t="s">
        <v>4346</v>
      </c>
      <c r="AR760" s="287">
        <f t="shared" si="459"/>
        <v>144000</v>
      </c>
      <c r="AS760" s="287">
        <f t="shared" si="460"/>
        <v>94500</v>
      </c>
      <c r="AT760" s="287">
        <f t="shared" si="461"/>
        <v>0</v>
      </c>
      <c r="AU760" s="287">
        <f t="shared" si="462"/>
        <v>0</v>
      </c>
      <c r="AV760" s="287">
        <f t="shared" si="463"/>
        <v>0</v>
      </c>
      <c r="AW760" s="287">
        <f t="shared" si="464"/>
        <v>0</v>
      </c>
      <c r="AX760" s="287">
        <f t="shared" si="465"/>
        <v>0</v>
      </c>
      <c r="AY760" s="287">
        <f t="shared" si="466"/>
        <v>0</v>
      </c>
      <c r="AZ760" s="287">
        <f t="shared" si="467"/>
        <v>0</v>
      </c>
      <c r="BA760" s="287">
        <f t="shared" si="468"/>
        <v>0</v>
      </c>
      <c r="BB760" s="16"/>
      <c r="BC760" s="287">
        <f t="shared" si="469"/>
        <v>0</v>
      </c>
      <c r="BD760" s="287">
        <f t="shared" si="470"/>
        <v>0</v>
      </c>
      <c r="BE760" s="287">
        <f t="shared" si="471"/>
        <v>0</v>
      </c>
      <c r="BF760" s="287">
        <f t="shared" si="472"/>
        <v>0</v>
      </c>
      <c r="BG760" s="287">
        <f t="shared" si="473"/>
        <v>0</v>
      </c>
      <c r="BH760" s="287">
        <f t="shared" si="474"/>
        <v>0</v>
      </c>
      <c r="BI760" s="287">
        <f t="shared" si="475"/>
        <v>0</v>
      </c>
      <c r="BJ760" s="287">
        <f t="shared" si="476"/>
        <v>0</v>
      </c>
      <c r="BK760" s="287">
        <f t="shared" si="477"/>
        <v>0</v>
      </c>
      <c r="BL760" s="287">
        <f t="shared" si="478"/>
        <v>0</v>
      </c>
      <c r="BM760" s="16"/>
      <c r="BN760" s="287">
        <f t="shared" si="479"/>
        <v>238500</v>
      </c>
      <c r="BO760" s="287">
        <f t="shared" si="480"/>
        <v>0</v>
      </c>
      <c r="BP760" s="432"/>
      <c r="BQ760" s="21"/>
      <c r="BR760" s="21"/>
      <c r="BS760" s="6"/>
      <c r="BT760" s="194">
        <f t="shared" si="497"/>
        <v>238500</v>
      </c>
      <c r="BU760" s="194">
        <f t="shared" si="498"/>
        <v>238500</v>
      </c>
      <c r="BV760" s="194">
        <f t="shared" si="499"/>
        <v>0</v>
      </c>
      <c r="BW760" s="194">
        <f t="shared" si="500"/>
        <v>0</v>
      </c>
      <c r="BX760" s="6"/>
      <c r="BY760" s="6"/>
      <c r="BZ760" s="39">
        <v>747</v>
      </c>
      <c r="CA760" s="39">
        <f t="shared" si="481"/>
        <v>2031</v>
      </c>
      <c r="CB760" s="6"/>
      <c r="CC760" s="39"/>
      <c r="CD760" s="39"/>
      <c r="CE760" s="39"/>
      <c r="CF760" s="39"/>
      <c r="CG760" s="39"/>
      <c r="CH760" s="39"/>
      <c r="CI760" s="39"/>
      <c r="CJ760" s="39"/>
      <c r="CK760" s="39"/>
    </row>
    <row r="761" spans="1:89" s="193" customFormat="1" ht="24">
      <c r="A761" s="357"/>
      <c r="B761" s="21" t="str">
        <f t="shared" si="458"/>
        <v>STW</v>
      </c>
      <c r="C761" s="21"/>
      <c r="D761" s="432" t="s">
        <v>3917</v>
      </c>
      <c r="E761" s="439" t="s">
        <v>3626</v>
      </c>
      <c r="F761" s="439" t="s">
        <v>4046</v>
      </c>
      <c r="G761" s="273" t="s">
        <v>4629</v>
      </c>
      <c r="H761" s="358" t="s">
        <v>4628</v>
      </c>
      <c r="I761" s="262" t="s">
        <v>3491</v>
      </c>
      <c r="J761" s="262" t="s">
        <v>4221</v>
      </c>
      <c r="K761" s="263">
        <v>60000</v>
      </c>
      <c r="L761" s="263">
        <v>300000</v>
      </c>
      <c r="M761" s="263">
        <v>0</v>
      </c>
      <c r="N761" s="263">
        <v>0</v>
      </c>
      <c r="O761" s="263">
        <v>0</v>
      </c>
      <c r="P761" s="263">
        <v>0</v>
      </c>
      <c r="Q761" s="263">
        <v>0</v>
      </c>
      <c r="R761" s="263">
        <v>0</v>
      </c>
      <c r="S761" s="263">
        <v>0</v>
      </c>
      <c r="T761" s="263">
        <v>0</v>
      </c>
      <c r="U761" s="263">
        <f t="shared" si="495"/>
        <v>360000</v>
      </c>
      <c r="V761" s="196" t="str">
        <f t="shared" si="456"/>
        <v>G/LOS/R</v>
      </c>
      <c r="W761" s="196" t="s">
        <v>1168</v>
      </c>
      <c r="X761" s="196" t="str">
        <f t="shared" si="493"/>
        <v>Y</v>
      </c>
      <c r="Y761" s="376">
        <f t="shared" si="494"/>
        <v>360000</v>
      </c>
      <c r="Z761" s="198"/>
      <c r="AA761" s="376">
        <f t="shared" si="457"/>
        <v>360000</v>
      </c>
      <c r="AB761" s="196" t="s">
        <v>1166</v>
      </c>
      <c r="AC761" s="196" t="s">
        <v>1168</v>
      </c>
      <c r="AD761" s="275">
        <v>0.3</v>
      </c>
      <c r="AE761" s="275">
        <v>0.65</v>
      </c>
      <c r="AF761" s="275">
        <v>0.05</v>
      </c>
      <c r="AG761" s="442">
        <v>0.3</v>
      </c>
      <c r="AH761" s="442">
        <v>0.3</v>
      </c>
      <c r="AI761" s="377">
        <f t="shared" si="489"/>
        <v>0.3</v>
      </c>
      <c r="AJ761" s="548">
        <v>1</v>
      </c>
      <c r="AK761" s="203">
        <f t="shared" si="496"/>
        <v>0</v>
      </c>
      <c r="AL761" s="376">
        <f t="shared" si="490"/>
        <v>251999.99999999997</v>
      </c>
      <c r="AM761" s="376">
        <f t="shared" si="491"/>
        <v>108000</v>
      </c>
      <c r="AN761" s="376">
        <f t="shared" si="492"/>
        <v>0</v>
      </c>
      <c r="AO761" s="378" t="s">
        <v>3607</v>
      </c>
      <c r="AP761" s="379" t="s">
        <v>5423</v>
      </c>
      <c r="AQ761" s="279" t="s">
        <v>4346</v>
      </c>
      <c r="AR761" s="287">
        <f t="shared" si="459"/>
        <v>18000</v>
      </c>
      <c r="AS761" s="287">
        <f t="shared" si="460"/>
        <v>90000</v>
      </c>
      <c r="AT761" s="287">
        <f t="shared" si="461"/>
        <v>0</v>
      </c>
      <c r="AU761" s="287">
        <f t="shared" si="462"/>
        <v>0</v>
      </c>
      <c r="AV761" s="287">
        <f t="shared" si="463"/>
        <v>0</v>
      </c>
      <c r="AW761" s="287">
        <f t="shared" si="464"/>
        <v>0</v>
      </c>
      <c r="AX761" s="287">
        <f t="shared" si="465"/>
        <v>0</v>
      </c>
      <c r="AY761" s="287">
        <f t="shared" si="466"/>
        <v>0</v>
      </c>
      <c r="AZ761" s="287">
        <f t="shared" si="467"/>
        <v>0</v>
      </c>
      <c r="BA761" s="287">
        <f t="shared" si="468"/>
        <v>0</v>
      </c>
      <c r="BB761" s="16"/>
      <c r="BC761" s="287">
        <f t="shared" si="469"/>
        <v>0</v>
      </c>
      <c r="BD761" s="287">
        <f t="shared" si="470"/>
        <v>0</v>
      </c>
      <c r="BE761" s="287">
        <f t="shared" si="471"/>
        <v>0</v>
      </c>
      <c r="BF761" s="287">
        <f t="shared" si="472"/>
        <v>0</v>
      </c>
      <c r="BG761" s="287">
        <f t="shared" si="473"/>
        <v>0</v>
      </c>
      <c r="BH761" s="287">
        <f t="shared" si="474"/>
        <v>0</v>
      </c>
      <c r="BI761" s="287">
        <f t="shared" si="475"/>
        <v>0</v>
      </c>
      <c r="BJ761" s="287">
        <f t="shared" si="476"/>
        <v>0</v>
      </c>
      <c r="BK761" s="287">
        <f t="shared" si="477"/>
        <v>0</v>
      </c>
      <c r="BL761" s="287">
        <f t="shared" si="478"/>
        <v>0</v>
      </c>
      <c r="BM761" s="16"/>
      <c r="BN761" s="287">
        <f t="shared" si="479"/>
        <v>108000</v>
      </c>
      <c r="BO761" s="287">
        <f t="shared" si="480"/>
        <v>0</v>
      </c>
      <c r="BP761" s="432"/>
      <c r="BQ761" s="21"/>
      <c r="BR761" s="21"/>
      <c r="BS761" s="6"/>
      <c r="BT761" s="194">
        <f t="shared" si="497"/>
        <v>108000</v>
      </c>
      <c r="BU761" s="194">
        <f t="shared" si="498"/>
        <v>108000</v>
      </c>
      <c r="BV761" s="194">
        <f t="shared" si="499"/>
        <v>0</v>
      </c>
      <c r="BW761" s="194">
        <f t="shared" si="500"/>
        <v>0</v>
      </c>
      <c r="BX761" s="6"/>
      <c r="BY761" s="6"/>
      <c r="BZ761" s="39">
        <v>748</v>
      </c>
      <c r="CA761" s="39">
        <f t="shared" si="481"/>
        <v>2031</v>
      </c>
      <c r="CB761" s="6"/>
      <c r="CC761" s="39"/>
      <c r="CD761" s="39"/>
      <c r="CE761" s="39"/>
      <c r="CF761" s="39"/>
      <c r="CG761" s="39"/>
      <c r="CH761" s="39"/>
      <c r="CI761" s="39"/>
      <c r="CJ761" s="39"/>
      <c r="CK761" s="39"/>
    </row>
    <row r="762" spans="1:89" s="193" customFormat="1" ht="24">
      <c r="A762" s="357"/>
      <c r="B762" s="21" t="str">
        <f t="shared" si="458"/>
        <v>STW</v>
      </c>
      <c r="C762" s="21"/>
      <c r="D762" s="432"/>
      <c r="E762" s="439" t="s">
        <v>3626</v>
      </c>
      <c r="F762" s="439"/>
      <c r="G762" s="273" t="s">
        <v>4224</v>
      </c>
      <c r="H762" s="358" t="s">
        <v>4550</v>
      </c>
      <c r="I762" s="262" t="s">
        <v>3491</v>
      </c>
      <c r="J762" s="262" t="s">
        <v>4199</v>
      </c>
      <c r="K762" s="263">
        <v>99007.519761419928</v>
      </c>
      <c r="L762" s="263">
        <v>198015.03952283986</v>
      </c>
      <c r="M762" s="263">
        <v>198015.03952283986</v>
      </c>
      <c r="N762" s="263">
        <v>297022.5592842598</v>
      </c>
      <c r="O762" s="263">
        <v>297022.5592842598</v>
      </c>
      <c r="P762" s="263">
        <v>396030.07904567971</v>
      </c>
      <c r="Q762" s="263">
        <v>396030.07904567971</v>
      </c>
      <c r="R762" s="263">
        <v>396030.07904567971</v>
      </c>
      <c r="S762" s="263">
        <v>148511.2796421299</v>
      </c>
      <c r="T762" s="263">
        <v>49503.759880709964</v>
      </c>
      <c r="U762" s="263">
        <f t="shared" si="495"/>
        <v>2475187.9940354982</v>
      </c>
      <c r="V762" s="196" t="str">
        <f t="shared" si="456"/>
        <v>G/R</v>
      </c>
      <c r="W762" s="196" t="s">
        <v>1168</v>
      </c>
      <c r="X762" s="196" t="str">
        <f t="shared" si="493"/>
        <v>Y</v>
      </c>
      <c r="Y762" s="376">
        <f t="shared" si="494"/>
        <v>2475187.9940354982</v>
      </c>
      <c r="Z762" s="198"/>
      <c r="AA762" s="376">
        <f t="shared" si="457"/>
        <v>2475187.9940354982</v>
      </c>
      <c r="AB762" s="196" t="s">
        <v>1166</v>
      </c>
      <c r="AC762" s="196" t="s">
        <v>1168</v>
      </c>
      <c r="AD762" s="519">
        <v>0.83</v>
      </c>
      <c r="AE762" s="275">
        <v>0</v>
      </c>
      <c r="AF762" s="275">
        <v>0.17</v>
      </c>
      <c r="AG762" s="442">
        <v>0.83</v>
      </c>
      <c r="AH762" s="442">
        <v>0.83</v>
      </c>
      <c r="AI762" s="377">
        <f t="shared" si="489"/>
        <v>0.83</v>
      </c>
      <c r="AJ762" s="548">
        <v>1</v>
      </c>
      <c r="AK762" s="203">
        <f t="shared" si="496"/>
        <v>0</v>
      </c>
      <c r="AL762" s="376">
        <f t="shared" si="490"/>
        <v>420781.95898603479</v>
      </c>
      <c r="AM762" s="376">
        <f t="shared" si="491"/>
        <v>2054406.0350494634</v>
      </c>
      <c r="AN762" s="376">
        <f t="shared" si="492"/>
        <v>0</v>
      </c>
      <c r="AO762" s="378" t="s">
        <v>3607</v>
      </c>
      <c r="AP762" s="379" t="s">
        <v>5401</v>
      </c>
      <c r="AQ762" s="279"/>
      <c r="AR762" s="287">
        <f t="shared" si="459"/>
        <v>82176.241401978536</v>
      </c>
      <c r="AS762" s="287">
        <f t="shared" si="460"/>
        <v>164352.48280395707</v>
      </c>
      <c r="AT762" s="287">
        <f t="shared" si="461"/>
        <v>164352.48280395707</v>
      </c>
      <c r="AU762" s="287">
        <f t="shared" si="462"/>
        <v>246528.72420593561</v>
      </c>
      <c r="AV762" s="287">
        <f t="shared" si="463"/>
        <v>246528.72420593561</v>
      </c>
      <c r="AW762" s="287">
        <f t="shared" si="464"/>
        <v>328704.96560791414</v>
      </c>
      <c r="AX762" s="287">
        <f t="shared" si="465"/>
        <v>328704.96560791414</v>
      </c>
      <c r="AY762" s="287">
        <f t="shared" si="466"/>
        <v>328704.96560791414</v>
      </c>
      <c r="AZ762" s="287">
        <f t="shared" si="467"/>
        <v>123264.3621029678</v>
      </c>
      <c r="BA762" s="287">
        <f t="shared" si="468"/>
        <v>41088.120700989268</v>
      </c>
      <c r="BB762" s="16"/>
      <c r="BC762" s="287">
        <f t="shared" si="469"/>
        <v>0</v>
      </c>
      <c r="BD762" s="287">
        <f t="shared" si="470"/>
        <v>0</v>
      </c>
      <c r="BE762" s="287">
        <f t="shared" si="471"/>
        <v>0</v>
      </c>
      <c r="BF762" s="287">
        <f t="shared" si="472"/>
        <v>0</v>
      </c>
      <c r="BG762" s="287">
        <f t="shared" si="473"/>
        <v>0</v>
      </c>
      <c r="BH762" s="287">
        <f t="shared" si="474"/>
        <v>0</v>
      </c>
      <c r="BI762" s="287">
        <f t="shared" si="475"/>
        <v>0</v>
      </c>
      <c r="BJ762" s="287">
        <f t="shared" si="476"/>
        <v>0</v>
      </c>
      <c r="BK762" s="287">
        <f t="shared" si="477"/>
        <v>0</v>
      </c>
      <c r="BL762" s="287">
        <f t="shared" si="478"/>
        <v>0</v>
      </c>
      <c r="BM762" s="16"/>
      <c r="BN762" s="287">
        <f t="shared" si="479"/>
        <v>2054406.0350494636</v>
      </c>
      <c r="BO762" s="287">
        <f t="shared" si="480"/>
        <v>0</v>
      </c>
      <c r="BP762" s="432"/>
      <c r="BQ762" s="21"/>
      <c r="BR762" s="21"/>
      <c r="BS762" s="6"/>
      <c r="BT762" s="194">
        <f t="shared" si="497"/>
        <v>2054406.0350494636</v>
      </c>
      <c r="BU762" s="194">
        <f t="shared" si="498"/>
        <v>2054406.0350494634</v>
      </c>
      <c r="BV762" s="194">
        <f t="shared" si="499"/>
        <v>0</v>
      </c>
      <c r="BW762" s="194">
        <f t="shared" si="500"/>
        <v>2.3283064365386963E-10</v>
      </c>
      <c r="BX762" s="6"/>
      <c r="BY762" s="6"/>
      <c r="BZ762" s="39">
        <v>749</v>
      </c>
      <c r="CA762" s="39">
        <f t="shared" si="481"/>
        <v>2031</v>
      </c>
      <c r="CB762" s="6"/>
      <c r="CC762" s="39"/>
      <c r="CD762" s="39"/>
      <c r="CE762" s="39"/>
      <c r="CF762" s="39"/>
      <c r="CG762" s="39"/>
      <c r="CH762" s="39"/>
      <c r="CI762" s="39"/>
      <c r="CJ762" s="39"/>
      <c r="CK762" s="39"/>
    </row>
    <row r="763" spans="1:89" s="193" customFormat="1" ht="36">
      <c r="A763" s="357"/>
      <c r="B763" s="21" t="str">
        <f t="shared" si="458"/>
        <v>STW</v>
      </c>
      <c r="C763" s="21"/>
      <c r="D763" s="432"/>
      <c r="E763" s="439" t="s">
        <v>3626</v>
      </c>
      <c r="F763" s="439" t="s">
        <v>4147</v>
      </c>
      <c r="G763" s="273" t="s">
        <v>4148</v>
      </c>
      <c r="H763" s="358" t="s">
        <v>4630</v>
      </c>
      <c r="I763" s="262" t="s">
        <v>3491</v>
      </c>
      <c r="J763" s="262" t="s">
        <v>4205</v>
      </c>
      <c r="K763" s="263">
        <v>100000</v>
      </c>
      <c r="L763" s="263">
        <v>200000</v>
      </c>
      <c r="M763" s="263">
        <v>1000000</v>
      </c>
      <c r="N763" s="263">
        <v>1100000</v>
      </c>
      <c r="O763" s="263">
        <v>0</v>
      </c>
      <c r="P763" s="263">
        <v>0</v>
      </c>
      <c r="Q763" s="263">
        <v>0</v>
      </c>
      <c r="R763" s="263">
        <v>0</v>
      </c>
      <c r="S763" s="263">
        <v>0</v>
      </c>
      <c r="T763" s="263">
        <v>0</v>
      </c>
      <c r="U763" s="263">
        <f t="shared" si="495"/>
        <v>2400000</v>
      </c>
      <c r="V763" s="196" t="str">
        <f t="shared" si="456"/>
        <v>G/LOS/R</v>
      </c>
      <c r="W763" s="196" t="s">
        <v>1168</v>
      </c>
      <c r="X763" s="196" t="str">
        <f t="shared" si="493"/>
        <v>Y</v>
      </c>
      <c r="Y763" s="376">
        <f t="shared" si="494"/>
        <v>2400000</v>
      </c>
      <c r="Z763" s="198"/>
      <c r="AA763" s="376">
        <f t="shared" si="457"/>
        <v>2400000</v>
      </c>
      <c r="AB763" s="196" t="s">
        <v>1166</v>
      </c>
      <c r="AC763" s="196" t="s">
        <v>1168</v>
      </c>
      <c r="AD763" s="275">
        <v>0.25</v>
      </c>
      <c r="AE763" s="275">
        <v>0.6</v>
      </c>
      <c r="AF763" s="275">
        <v>0.15</v>
      </c>
      <c r="AG763" s="442">
        <v>0.25</v>
      </c>
      <c r="AH763" s="442">
        <v>0.25</v>
      </c>
      <c r="AI763" s="377">
        <f t="shared" si="489"/>
        <v>0.25</v>
      </c>
      <c r="AJ763" s="548">
        <v>1</v>
      </c>
      <c r="AK763" s="199">
        <f t="shared" si="496"/>
        <v>0</v>
      </c>
      <c r="AL763" s="376">
        <f t="shared" si="490"/>
        <v>1800000</v>
      </c>
      <c r="AM763" s="376">
        <f t="shared" si="491"/>
        <v>600000</v>
      </c>
      <c r="AN763" s="376">
        <f t="shared" si="492"/>
        <v>0</v>
      </c>
      <c r="AO763" s="378" t="s">
        <v>3607</v>
      </c>
      <c r="AP763" s="379" t="s">
        <v>5393</v>
      </c>
      <c r="AQ763" s="279"/>
      <c r="AR763" s="287">
        <f t="shared" si="459"/>
        <v>25000</v>
      </c>
      <c r="AS763" s="287">
        <f t="shared" si="460"/>
        <v>50000</v>
      </c>
      <c r="AT763" s="287">
        <f t="shared" si="461"/>
        <v>250000</v>
      </c>
      <c r="AU763" s="287">
        <f t="shared" si="462"/>
        <v>275000</v>
      </c>
      <c r="AV763" s="287">
        <f t="shared" si="463"/>
        <v>0</v>
      </c>
      <c r="AW763" s="287">
        <f t="shared" si="464"/>
        <v>0</v>
      </c>
      <c r="AX763" s="287">
        <f t="shared" si="465"/>
        <v>0</v>
      </c>
      <c r="AY763" s="287">
        <f t="shared" si="466"/>
        <v>0</v>
      </c>
      <c r="AZ763" s="287">
        <f t="shared" si="467"/>
        <v>0</v>
      </c>
      <c r="BA763" s="287">
        <f t="shared" si="468"/>
        <v>0</v>
      </c>
      <c r="BB763" s="16"/>
      <c r="BC763" s="287">
        <f t="shared" si="469"/>
        <v>0</v>
      </c>
      <c r="BD763" s="287">
        <f t="shared" si="470"/>
        <v>0</v>
      </c>
      <c r="BE763" s="287">
        <f t="shared" si="471"/>
        <v>0</v>
      </c>
      <c r="BF763" s="287">
        <f t="shared" si="472"/>
        <v>0</v>
      </c>
      <c r="BG763" s="287">
        <f t="shared" si="473"/>
        <v>0</v>
      </c>
      <c r="BH763" s="287">
        <f t="shared" si="474"/>
        <v>0</v>
      </c>
      <c r="BI763" s="287">
        <f t="shared" si="475"/>
        <v>0</v>
      </c>
      <c r="BJ763" s="287">
        <f t="shared" si="476"/>
        <v>0</v>
      </c>
      <c r="BK763" s="287">
        <f t="shared" si="477"/>
        <v>0</v>
      </c>
      <c r="BL763" s="287">
        <f t="shared" si="478"/>
        <v>0</v>
      </c>
      <c r="BM763" s="16"/>
      <c r="BN763" s="287">
        <f t="shared" si="479"/>
        <v>600000</v>
      </c>
      <c r="BO763" s="287">
        <f t="shared" si="480"/>
        <v>0</v>
      </c>
      <c r="BP763" s="432"/>
      <c r="BQ763" s="21"/>
      <c r="BR763" s="21"/>
      <c r="BS763" s="6"/>
      <c r="BT763" s="194">
        <f t="shared" si="497"/>
        <v>600000</v>
      </c>
      <c r="BU763" s="194">
        <f t="shared" si="498"/>
        <v>600000</v>
      </c>
      <c r="BV763" s="194">
        <f t="shared" si="499"/>
        <v>0</v>
      </c>
      <c r="BW763" s="194">
        <f t="shared" si="500"/>
        <v>0</v>
      </c>
      <c r="BX763" s="6"/>
      <c r="BY763" s="6"/>
      <c r="BZ763" s="39">
        <v>750</v>
      </c>
      <c r="CA763" s="39">
        <f t="shared" si="481"/>
        <v>2031</v>
      </c>
      <c r="CB763" s="6"/>
      <c r="CC763" s="39"/>
      <c r="CD763" s="39"/>
      <c r="CE763" s="39"/>
      <c r="CF763" s="39"/>
      <c r="CG763" s="39"/>
      <c r="CH763" s="39"/>
      <c r="CI763" s="39"/>
      <c r="CJ763" s="39"/>
      <c r="CK763" s="39"/>
    </row>
    <row r="764" spans="1:89" s="193" customFormat="1" ht="24">
      <c r="A764" s="357"/>
      <c r="B764" s="21" t="str">
        <f t="shared" si="458"/>
        <v>STW</v>
      </c>
      <c r="C764" s="21"/>
      <c r="D764" s="432"/>
      <c r="E764" s="439" t="s">
        <v>3626</v>
      </c>
      <c r="F764" s="439" t="s">
        <v>4149</v>
      </c>
      <c r="G764" s="273" t="s">
        <v>4150</v>
      </c>
      <c r="H764" s="358" t="s">
        <v>4509</v>
      </c>
      <c r="I764" s="262" t="s">
        <v>3491</v>
      </c>
      <c r="J764" s="262" t="s">
        <v>4209</v>
      </c>
      <c r="K764" s="263">
        <v>50000</v>
      </c>
      <c r="L764" s="263">
        <v>546000</v>
      </c>
      <c r="M764" s="263">
        <v>0</v>
      </c>
      <c r="N764" s="263">
        <v>0</v>
      </c>
      <c r="O764" s="263">
        <v>0</v>
      </c>
      <c r="P764" s="263">
        <v>0</v>
      </c>
      <c r="Q764" s="263">
        <v>0</v>
      </c>
      <c r="R764" s="263">
        <v>0</v>
      </c>
      <c r="S764" s="263">
        <v>0</v>
      </c>
      <c r="T764" s="263">
        <v>0</v>
      </c>
      <c r="U764" s="263">
        <f t="shared" si="495"/>
        <v>596000</v>
      </c>
      <c r="V764" s="196" t="str">
        <f t="shared" si="456"/>
        <v>G/LOS/R</v>
      </c>
      <c r="W764" s="196" t="s">
        <v>1168</v>
      </c>
      <c r="X764" s="196" t="str">
        <f t="shared" si="493"/>
        <v>Y</v>
      </c>
      <c r="Y764" s="376">
        <f t="shared" si="494"/>
        <v>596000</v>
      </c>
      <c r="Z764" s="198"/>
      <c r="AA764" s="376">
        <f t="shared" si="457"/>
        <v>596000</v>
      </c>
      <c r="AB764" s="196" t="s">
        <v>1166</v>
      </c>
      <c r="AC764" s="196" t="s">
        <v>1168</v>
      </c>
      <c r="AD764" s="275">
        <v>0.1</v>
      </c>
      <c r="AE764" s="275">
        <v>0.8</v>
      </c>
      <c r="AF764" s="275">
        <v>0.1</v>
      </c>
      <c r="AG764" s="442">
        <v>0.1</v>
      </c>
      <c r="AH764" s="442">
        <v>0.1</v>
      </c>
      <c r="AI764" s="377">
        <f t="shared" si="489"/>
        <v>0.1</v>
      </c>
      <c r="AJ764" s="548">
        <v>1</v>
      </c>
      <c r="AK764" s="203">
        <f t="shared" si="496"/>
        <v>0</v>
      </c>
      <c r="AL764" s="376">
        <f t="shared" si="490"/>
        <v>536400</v>
      </c>
      <c r="AM764" s="376">
        <f t="shared" si="491"/>
        <v>59600</v>
      </c>
      <c r="AN764" s="376">
        <f t="shared" si="492"/>
        <v>0</v>
      </c>
      <c r="AO764" s="378" t="s">
        <v>3607</v>
      </c>
      <c r="AP764" s="379" t="s">
        <v>5403</v>
      </c>
      <c r="AQ764" s="279"/>
      <c r="AR764" s="287">
        <f t="shared" si="459"/>
        <v>5000</v>
      </c>
      <c r="AS764" s="287">
        <f t="shared" si="460"/>
        <v>54600</v>
      </c>
      <c r="AT764" s="287">
        <f t="shared" si="461"/>
        <v>0</v>
      </c>
      <c r="AU764" s="287">
        <f t="shared" si="462"/>
        <v>0</v>
      </c>
      <c r="AV764" s="287">
        <f t="shared" si="463"/>
        <v>0</v>
      </c>
      <c r="AW764" s="287">
        <f t="shared" si="464"/>
        <v>0</v>
      </c>
      <c r="AX764" s="287">
        <f t="shared" si="465"/>
        <v>0</v>
      </c>
      <c r="AY764" s="287">
        <f t="shared" si="466"/>
        <v>0</v>
      </c>
      <c r="AZ764" s="287">
        <f t="shared" si="467"/>
        <v>0</v>
      </c>
      <c r="BA764" s="287">
        <f t="shared" si="468"/>
        <v>0</v>
      </c>
      <c r="BB764" s="16"/>
      <c r="BC764" s="287">
        <f t="shared" si="469"/>
        <v>0</v>
      </c>
      <c r="BD764" s="287">
        <f t="shared" si="470"/>
        <v>0</v>
      </c>
      <c r="BE764" s="287">
        <f t="shared" si="471"/>
        <v>0</v>
      </c>
      <c r="BF764" s="287">
        <f t="shared" si="472"/>
        <v>0</v>
      </c>
      <c r="BG764" s="287">
        <f t="shared" si="473"/>
        <v>0</v>
      </c>
      <c r="BH764" s="287">
        <f t="shared" si="474"/>
        <v>0</v>
      </c>
      <c r="BI764" s="287">
        <f t="shared" si="475"/>
        <v>0</v>
      </c>
      <c r="BJ764" s="287">
        <f t="shared" si="476"/>
        <v>0</v>
      </c>
      <c r="BK764" s="287">
        <f t="shared" si="477"/>
        <v>0</v>
      </c>
      <c r="BL764" s="287">
        <f t="shared" si="478"/>
        <v>0</v>
      </c>
      <c r="BM764" s="16"/>
      <c r="BN764" s="287">
        <f t="shared" si="479"/>
        <v>59600</v>
      </c>
      <c r="BO764" s="287">
        <f t="shared" si="480"/>
        <v>0</v>
      </c>
      <c r="BP764" s="432"/>
      <c r="BQ764" s="21"/>
      <c r="BR764" s="21"/>
      <c r="BS764" s="6"/>
      <c r="BT764" s="194">
        <f t="shared" si="497"/>
        <v>59600</v>
      </c>
      <c r="BU764" s="194">
        <f t="shared" si="498"/>
        <v>59600</v>
      </c>
      <c r="BV764" s="194">
        <f t="shared" si="499"/>
        <v>0</v>
      </c>
      <c r="BW764" s="194">
        <f t="shared" si="500"/>
        <v>0</v>
      </c>
      <c r="BX764" s="6"/>
      <c r="BY764" s="6"/>
      <c r="BZ764" s="39">
        <v>751</v>
      </c>
      <c r="CA764" s="39">
        <f t="shared" si="481"/>
        <v>2031</v>
      </c>
      <c r="CB764" s="6"/>
      <c r="CC764" s="39"/>
      <c r="CD764" s="39"/>
      <c r="CE764" s="39"/>
      <c r="CF764" s="39"/>
      <c r="CG764" s="39"/>
      <c r="CH764" s="39"/>
      <c r="CI764" s="39"/>
      <c r="CJ764" s="39"/>
      <c r="CK764" s="39"/>
    </row>
    <row r="765" spans="1:89" s="193" customFormat="1" ht="24">
      <c r="A765" s="357"/>
      <c r="B765" s="21" t="str">
        <f t="shared" si="458"/>
        <v>STW</v>
      </c>
      <c r="C765" s="21"/>
      <c r="D765" s="432"/>
      <c r="E765" s="439" t="s">
        <v>3626</v>
      </c>
      <c r="F765" s="439" t="s">
        <v>4029</v>
      </c>
      <c r="G765" s="616" t="s">
        <v>4028</v>
      </c>
      <c r="H765" s="358" t="s">
        <v>4509</v>
      </c>
      <c r="I765" s="262" t="s">
        <v>3491</v>
      </c>
      <c r="J765" s="262" t="s">
        <v>4210</v>
      </c>
      <c r="K765" s="263">
        <v>195500</v>
      </c>
      <c r="L765" s="263">
        <v>506000</v>
      </c>
      <c r="M765" s="263">
        <v>0</v>
      </c>
      <c r="N765" s="263">
        <v>0</v>
      </c>
      <c r="O765" s="263">
        <v>0</v>
      </c>
      <c r="P765" s="263">
        <v>0</v>
      </c>
      <c r="Q765" s="263">
        <v>0</v>
      </c>
      <c r="R765" s="263">
        <v>0</v>
      </c>
      <c r="S765" s="263">
        <v>0</v>
      </c>
      <c r="T765" s="263">
        <v>0</v>
      </c>
      <c r="U765" s="617">
        <f t="shared" si="495"/>
        <v>701500</v>
      </c>
      <c r="V765" s="196" t="str">
        <f t="shared" si="456"/>
        <v>G/LOS/R</v>
      </c>
      <c r="W765" s="196" t="s">
        <v>1168</v>
      </c>
      <c r="X765" s="196" t="str">
        <f t="shared" si="493"/>
        <v>Y</v>
      </c>
      <c r="Y765" s="376">
        <f t="shared" si="494"/>
        <v>701500</v>
      </c>
      <c r="Z765" s="598"/>
      <c r="AA765" s="376">
        <f t="shared" si="457"/>
        <v>701500</v>
      </c>
      <c r="AB765" s="196" t="s">
        <v>1166</v>
      </c>
      <c r="AC765" s="196" t="s">
        <v>1168</v>
      </c>
      <c r="AD765" s="275">
        <v>0.1</v>
      </c>
      <c r="AE765" s="275">
        <v>0.8</v>
      </c>
      <c r="AF765" s="275">
        <v>0.1</v>
      </c>
      <c r="AG765" s="442">
        <v>0.1</v>
      </c>
      <c r="AH765" s="442">
        <v>0.1</v>
      </c>
      <c r="AI765" s="377">
        <f t="shared" si="489"/>
        <v>0.1</v>
      </c>
      <c r="AJ765" s="548">
        <v>1</v>
      </c>
      <c r="AK765" s="203">
        <f t="shared" si="496"/>
        <v>0</v>
      </c>
      <c r="AL765" s="376">
        <f t="shared" si="490"/>
        <v>631350</v>
      </c>
      <c r="AM765" s="376">
        <f t="shared" si="491"/>
        <v>70150</v>
      </c>
      <c r="AN765" s="376">
        <f t="shared" si="492"/>
        <v>0</v>
      </c>
      <c r="AO765" s="378" t="s">
        <v>3608</v>
      </c>
      <c r="AP765" s="379" t="s">
        <v>5420</v>
      </c>
      <c r="AQ765" s="279"/>
      <c r="AR765" s="287">
        <f t="shared" si="459"/>
        <v>19550</v>
      </c>
      <c r="AS765" s="287">
        <f t="shared" si="460"/>
        <v>50600</v>
      </c>
      <c r="AT765" s="287">
        <f t="shared" si="461"/>
        <v>0</v>
      </c>
      <c r="AU765" s="287">
        <f t="shared" si="462"/>
        <v>0</v>
      </c>
      <c r="AV765" s="287">
        <f t="shared" si="463"/>
        <v>0</v>
      </c>
      <c r="AW765" s="287">
        <f t="shared" si="464"/>
        <v>0</v>
      </c>
      <c r="AX765" s="287">
        <f t="shared" si="465"/>
        <v>0</v>
      </c>
      <c r="AY765" s="287">
        <f t="shared" si="466"/>
        <v>0</v>
      </c>
      <c r="AZ765" s="287">
        <f t="shared" si="467"/>
        <v>0</v>
      </c>
      <c r="BA765" s="287">
        <f t="shared" si="468"/>
        <v>0</v>
      </c>
      <c r="BB765" s="16"/>
      <c r="BC765" s="287">
        <f t="shared" si="469"/>
        <v>0</v>
      </c>
      <c r="BD765" s="287">
        <f t="shared" si="470"/>
        <v>0</v>
      </c>
      <c r="BE765" s="287">
        <f t="shared" si="471"/>
        <v>0</v>
      </c>
      <c r="BF765" s="287">
        <f t="shared" si="472"/>
        <v>0</v>
      </c>
      <c r="BG765" s="287">
        <f t="shared" si="473"/>
        <v>0</v>
      </c>
      <c r="BH765" s="287">
        <f t="shared" si="474"/>
        <v>0</v>
      </c>
      <c r="BI765" s="287">
        <f t="shared" si="475"/>
        <v>0</v>
      </c>
      <c r="BJ765" s="287">
        <f t="shared" si="476"/>
        <v>0</v>
      </c>
      <c r="BK765" s="287">
        <f t="shared" si="477"/>
        <v>0</v>
      </c>
      <c r="BL765" s="287">
        <f t="shared" si="478"/>
        <v>0</v>
      </c>
      <c r="BM765" s="16"/>
      <c r="BN765" s="287">
        <f t="shared" si="479"/>
        <v>70150</v>
      </c>
      <c r="BO765" s="287">
        <f t="shared" si="480"/>
        <v>0</v>
      </c>
      <c r="BP765" s="432"/>
      <c r="BQ765" s="21"/>
      <c r="BR765" s="21"/>
      <c r="BS765" s="6"/>
      <c r="BT765" s="194">
        <f t="shared" si="497"/>
        <v>70150</v>
      </c>
      <c r="BU765" s="194">
        <f t="shared" si="498"/>
        <v>70150</v>
      </c>
      <c r="BV765" s="194">
        <f t="shared" si="499"/>
        <v>0</v>
      </c>
      <c r="BW765" s="194">
        <f t="shared" si="500"/>
        <v>0</v>
      </c>
      <c r="BX765" s="6"/>
      <c r="BY765" s="6"/>
      <c r="BZ765" s="39">
        <v>752</v>
      </c>
      <c r="CA765" s="39">
        <f t="shared" si="481"/>
        <v>2031</v>
      </c>
      <c r="CB765" s="6"/>
      <c r="CC765" s="39"/>
      <c r="CD765" s="39"/>
      <c r="CE765" s="39"/>
      <c r="CF765" s="39"/>
      <c r="CG765" s="39"/>
      <c r="CH765" s="39"/>
      <c r="CI765" s="39"/>
      <c r="CJ765" s="39"/>
      <c r="CK765" s="39"/>
    </row>
    <row r="766" spans="1:89" s="193" customFormat="1" ht="24">
      <c r="A766" s="357"/>
      <c r="B766" s="21" t="str">
        <f t="shared" si="458"/>
        <v>STW</v>
      </c>
      <c r="C766" s="21"/>
      <c r="D766" s="432"/>
      <c r="E766" s="439" t="s">
        <v>3626</v>
      </c>
      <c r="F766" s="439" t="s">
        <v>4151</v>
      </c>
      <c r="G766" s="616" t="s">
        <v>4152</v>
      </c>
      <c r="H766" s="358" t="s">
        <v>4509</v>
      </c>
      <c r="I766" s="262" t="s">
        <v>3491</v>
      </c>
      <c r="J766" s="262" t="s">
        <v>4211</v>
      </c>
      <c r="K766" s="263">
        <v>0</v>
      </c>
      <c r="L766" s="263">
        <v>208500</v>
      </c>
      <c r="M766" s="263">
        <v>557700</v>
      </c>
      <c r="N766" s="263">
        <v>0</v>
      </c>
      <c r="O766" s="263">
        <v>0</v>
      </c>
      <c r="P766" s="263">
        <v>0</v>
      </c>
      <c r="Q766" s="263">
        <v>0</v>
      </c>
      <c r="R766" s="263">
        <v>0</v>
      </c>
      <c r="S766" s="263">
        <v>0</v>
      </c>
      <c r="T766" s="263">
        <v>0</v>
      </c>
      <c r="U766" s="617">
        <f t="shared" si="495"/>
        <v>766200</v>
      </c>
      <c r="V766" s="196" t="str">
        <f t="shared" si="456"/>
        <v>G/LOS/R</v>
      </c>
      <c r="W766" s="196" t="s">
        <v>1168</v>
      </c>
      <c r="X766" s="196" t="str">
        <f t="shared" si="493"/>
        <v>Y</v>
      </c>
      <c r="Y766" s="376">
        <f t="shared" si="494"/>
        <v>766200</v>
      </c>
      <c r="Z766" s="198"/>
      <c r="AA766" s="376">
        <f t="shared" si="457"/>
        <v>766200</v>
      </c>
      <c r="AB766" s="196" t="s">
        <v>1166</v>
      </c>
      <c r="AC766" s="196" t="s">
        <v>1168</v>
      </c>
      <c r="AD766" s="275">
        <v>0.1</v>
      </c>
      <c r="AE766" s="275">
        <v>0.8</v>
      </c>
      <c r="AF766" s="275">
        <v>0.1</v>
      </c>
      <c r="AG766" s="442">
        <v>0.1</v>
      </c>
      <c r="AH766" s="442">
        <v>0.1</v>
      </c>
      <c r="AI766" s="377">
        <f t="shared" si="489"/>
        <v>0.1</v>
      </c>
      <c r="AJ766" s="548">
        <v>1</v>
      </c>
      <c r="AK766" s="203">
        <f t="shared" si="496"/>
        <v>0</v>
      </c>
      <c r="AL766" s="376">
        <f t="shared" si="490"/>
        <v>689580</v>
      </c>
      <c r="AM766" s="376">
        <f t="shared" si="491"/>
        <v>76620</v>
      </c>
      <c r="AN766" s="376">
        <f t="shared" si="492"/>
        <v>0</v>
      </c>
      <c r="AO766" s="378" t="s">
        <v>3608</v>
      </c>
      <c r="AP766" s="379" t="s">
        <v>5420</v>
      </c>
      <c r="AQ766" s="279"/>
      <c r="AR766" s="287">
        <f t="shared" si="459"/>
        <v>0</v>
      </c>
      <c r="AS766" s="287">
        <f t="shared" si="460"/>
        <v>20850</v>
      </c>
      <c r="AT766" s="287">
        <f t="shared" si="461"/>
        <v>55770</v>
      </c>
      <c r="AU766" s="287">
        <f t="shared" si="462"/>
        <v>0</v>
      </c>
      <c r="AV766" s="287">
        <f t="shared" si="463"/>
        <v>0</v>
      </c>
      <c r="AW766" s="287">
        <f t="shared" si="464"/>
        <v>0</v>
      </c>
      <c r="AX766" s="287">
        <f t="shared" si="465"/>
        <v>0</v>
      </c>
      <c r="AY766" s="287">
        <f t="shared" si="466"/>
        <v>0</v>
      </c>
      <c r="AZ766" s="287">
        <f t="shared" si="467"/>
        <v>0</v>
      </c>
      <c r="BA766" s="287">
        <f t="shared" si="468"/>
        <v>0</v>
      </c>
      <c r="BB766" s="16"/>
      <c r="BC766" s="287">
        <f t="shared" si="469"/>
        <v>0</v>
      </c>
      <c r="BD766" s="287">
        <f t="shared" si="470"/>
        <v>0</v>
      </c>
      <c r="BE766" s="287">
        <f t="shared" si="471"/>
        <v>0</v>
      </c>
      <c r="BF766" s="287">
        <f t="shared" si="472"/>
        <v>0</v>
      </c>
      <c r="BG766" s="287">
        <f t="shared" si="473"/>
        <v>0</v>
      </c>
      <c r="BH766" s="287">
        <f t="shared" si="474"/>
        <v>0</v>
      </c>
      <c r="BI766" s="287">
        <f t="shared" si="475"/>
        <v>0</v>
      </c>
      <c r="BJ766" s="287">
        <f t="shared" si="476"/>
        <v>0</v>
      </c>
      <c r="BK766" s="287">
        <f t="shared" si="477"/>
        <v>0</v>
      </c>
      <c r="BL766" s="287">
        <f t="shared" si="478"/>
        <v>0</v>
      </c>
      <c r="BM766" s="16"/>
      <c r="BN766" s="287">
        <f t="shared" si="479"/>
        <v>76620</v>
      </c>
      <c r="BO766" s="287">
        <f t="shared" si="480"/>
        <v>0</v>
      </c>
      <c r="BP766" s="432"/>
      <c r="BQ766" s="21"/>
      <c r="BR766" s="21"/>
      <c r="BS766" s="6"/>
      <c r="BT766" s="194">
        <f t="shared" si="497"/>
        <v>76620</v>
      </c>
      <c r="BU766" s="194">
        <f t="shared" si="498"/>
        <v>76620</v>
      </c>
      <c r="BV766" s="194">
        <f t="shared" si="499"/>
        <v>0</v>
      </c>
      <c r="BW766" s="194">
        <f t="shared" si="500"/>
        <v>0</v>
      </c>
      <c r="BX766" s="6"/>
      <c r="BY766" s="6"/>
      <c r="BZ766" s="39">
        <v>753</v>
      </c>
      <c r="CA766" s="39">
        <f t="shared" si="481"/>
        <v>2031</v>
      </c>
      <c r="CB766" s="6"/>
      <c r="CC766" s="39"/>
      <c r="CD766" s="39"/>
      <c r="CE766" s="39"/>
      <c r="CF766" s="39"/>
      <c r="CG766" s="39"/>
      <c r="CH766" s="39"/>
      <c r="CI766" s="39"/>
      <c r="CJ766" s="39"/>
      <c r="CK766" s="39"/>
    </row>
    <row r="767" spans="1:89" s="193" customFormat="1" ht="24">
      <c r="A767" s="357"/>
      <c r="B767" s="21" t="str">
        <f t="shared" si="458"/>
        <v>STW</v>
      </c>
      <c r="C767" s="21"/>
      <c r="D767" s="432" t="s">
        <v>3914</v>
      </c>
      <c r="E767" s="439" t="s">
        <v>3626</v>
      </c>
      <c r="F767" s="439" t="s">
        <v>3913</v>
      </c>
      <c r="G767" s="273" t="s">
        <v>4513</v>
      </c>
      <c r="H767" s="358" t="s">
        <v>4498</v>
      </c>
      <c r="I767" s="262" t="s">
        <v>3491</v>
      </c>
      <c r="J767" s="262" t="s">
        <v>4200</v>
      </c>
      <c r="K767" s="263">
        <v>50000</v>
      </c>
      <c r="L767" s="263">
        <v>1000000</v>
      </c>
      <c r="M767" s="263">
        <v>3020000</v>
      </c>
      <c r="N767" s="263">
        <v>7370000</v>
      </c>
      <c r="O767" s="263">
        <v>1220000</v>
      </c>
      <c r="P767" s="263">
        <v>2170000</v>
      </c>
      <c r="Q767" s="263"/>
      <c r="R767" s="263"/>
      <c r="S767" s="263"/>
      <c r="T767" s="263"/>
      <c r="U767" s="263">
        <f t="shared" si="495"/>
        <v>14830000</v>
      </c>
      <c r="V767" s="196" t="str">
        <f t="shared" si="456"/>
        <v>G/LOS/R</v>
      </c>
      <c r="W767" s="196" t="s">
        <v>1168</v>
      </c>
      <c r="X767" s="196" t="str">
        <f t="shared" si="493"/>
        <v>Y</v>
      </c>
      <c r="Y767" s="376">
        <f t="shared" si="494"/>
        <v>14830000</v>
      </c>
      <c r="Z767" s="198"/>
      <c r="AA767" s="376">
        <f t="shared" si="457"/>
        <v>14830000</v>
      </c>
      <c r="AB767" s="196" t="s">
        <v>1166</v>
      </c>
      <c r="AC767" s="196" t="s">
        <v>3624</v>
      </c>
      <c r="AD767" s="275">
        <v>0.05</v>
      </c>
      <c r="AE767" s="275">
        <v>0.75</v>
      </c>
      <c r="AF767" s="275">
        <v>0.2</v>
      </c>
      <c r="AG767" s="442">
        <v>0.05</v>
      </c>
      <c r="AH767" s="442">
        <v>0.05</v>
      </c>
      <c r="AI767" s="377">
        <f t="shared" si="489"/>
        <v>0.05</v>
      </c>
      <c r="AJ767" s="688">
        <v>1</v>
      </c>
      <c r="AK767" s="203">
        <f t="shared" si="496"/>
        <v>0</v>
      </c>
      <c r="AL767" s="376">
        <f t="shared" si="490"/>
        <v>14088500</v>
      </c>
      <c r="AM767" s="376">
        <f t="shared" si="491"/>
        <v>741500</v>
      </c>
      <c r="AN767" s="376">
        <f t="shared" si="492"/>
        <v>0</v>
      </c>
      <c r="AO767" s="378" t="s">
        <v>3607</v>
      </c>
      <c r="AP767" s="379" t="s">
        <v>5400</v>
      </c>
      <c r="AQ767" s="279"/>
      <c r="AR767" s="287">
        <f t="shared" si="459"/>
        <v>2500</v>
      </c>
      <c r="AS767" s="287">
        <f t="shared" si="460"/>
        <v>50000</v>
      </c>
      <c r="AT767" s="287">
        <f t="shared" si="461"/>
        <v>151000</v>
      </c>
      <c r="AU767" s="287">
        <f t="shared" si="462"/>
        <v>368500</v>
      </c>
      <c r="AV767" s="287">
        <f t="shared" si="463"/>
        <v>61000</v>
      </c>
      <c r="AW767" s="287">
        <f t="shared" si="464"/>
        <v>108500</v>
      </c>
      <c r="AX767" s="287">
        <f t="shared" si="465"/>
        <v>0</v>
      </c>
      <c r="AY767" s="287">
        <f t="shared" si="466"/>
        <v>0</v>
      </c>
      <c r="AZ767" s="287">
        <f t="shared" si="467"/>
        <v>0</v>
      </c>
      <c r="BA767" s="287">
        <f t="shared" si="468"/>
        <v>0</v>
      </c>
      <c r="BB767" s="16"/>
      <c r="BC767" s="287">
        <f t="shared" si="469"/>
        <v>0</v>
      </c>
      <c r="BD767" s="287">
        <f t="shared" si="470"/>
        <v>0</v>
      </c>
      <c r="BE767" s="287">
        <f t="shared" si="471"/>
        <v>0</v>
      </c>
      <c r="BF767" s="287">
        <f t="shared" si="472"/>
        <v>0</v>
      </c>
      <c r="BG767" s="287">
        <f t="shared" si="473"/>
        <v>0</v>
      </c>
      <c r="BH767" s="287">
        <f t="shared" si="474"/>
        <v>0</v>
      </c>
      <c r="BI767" s="287">
        <f t="shared" si="475"/>
        <v>0</v>
      </c>
      <c r="BJ767" s="287">
        <f t="shared" si="476"/>
        <v>0</v>
      </c>
      <c r="BK767" s="287">
        <f t="shared" si="477"/>
        <v>0</v>
      </c>
      <c r="BL767" s="287">
        <f t="shared" si="478"/>
        <v>0</v>
      </c>
      <c r="BM767" s="16"/>
      <c r="BN767" s="287">
        <f t="shared" si="479"/>
        <v>741500</v>
      </c>
      <c r="BO767" s="287">
        <f t="shared" si="480"/>
        <v>0</v>
      </c>
      <c r="BP767" s="432"/>
      <c r="BQ767" s="21"/>
      <c r="BR767" s="21"/>
      <c r="BS767" s="6"/>
      <c r="BT767" s="194">
        <f t="shared" si="497"/>
        <v>741500</v>
      </c>
      <c r="BU767" s="194">
        <f t="shared" si="498"/>
        <v>741500</v>
      </c>
      <c r="BV767" s="194">
        <f t="shared" si="499"/>
        <v>0</v>
      </c>
      <c r="BW767" s="194">
        <f t="shared" si="500"/>
        <v>0</v>
      </c>
      <c r="BX767" s="6"/>
      <c r="BY767" s="6"/>
      <c r="BZ767" s="39">
        <v>754</v>
      </c>
      <c r="CA767" s="39">
        <f t="shared" si="481"/>
        <v>2031</v>
      </c>
      <c r="CB767" s="6"/>
      <c r="CC767" s="39"/>
      <c r="CD767" s="39"/>
      <c r="CE767" s="39"/>
      <c r="CF767" s="39"/>
      <c r="CG767" s="39"/>
      <c r="CH767" s="39"/>
      <c r="CI767" s="39"/>
      <c r="CJ767" s="39"/>
      <c r="CK767" s="39"/>
    </row>
    <row r="768" spans="1:89" s="193" customFormat="1">
      <c r="A768" s="357"/>
      <c r="B768" s="21" t="str">
        <f t="shared" si="458"/>
        <v>STW</v>
      </c>
      <c r="C768" s="21"/>
      <c r="D768" s="432"/>
      <c r="E768" s="439" t="s">
        <v>3626</v>
      </c>
      <c r="F768" s="439" t="s">
        <v>4123</v>
      </c>
      <c r="G768" s="273" t="s">
        <v>4601</v>
      </c>
      <c r="H768" s="358" t="s">
        <v>4517</v>
      </c>
      <c r="I768" s="262" t="s">
        <v>3491</v>
      </c>
      <c r="J768" s="262" t="s">
        <v>4193</v>
      </c>
      <c r="K768" s="263">
        <v>925000</v>
      </c>
      <c r="L768" s="263">
        <v>2880000</v>
      </c>
      <c r="M768" s="263">
        <v>0</v>
      </c>
      <c r="N768" s="263">
        <v>0</v>
      </c>
      <c r="O768" s="263">
        <v>0</v>
      </c>
      <c r="P768" s="263">
        <v>0</v>
      </c>
      <c r="Q768" s="263">
        <v>0</v>
      </c>
      <c r="R768" s="263">
        <v>0</v>
      </c>
      <c r="S768" s="263">
        <v>0</v>
      </c>
      <c r="T768" s="263">
        <v>0</v>
      </c>
      <c r="U768" s="263">
        <f t="shared" si="495"/>
        <v>3805000</v>
      </c>
      <c r="V768" s="196" t="str">
        <f t="shared" si="456"/>
        <v>G/LOS/R</v>
      </c>
      <c r="W768" s="196" t="s">
        <v>1168</v>
      </c>
      <c r="X768" s="196" t="str">
        <f t="shared" ref="X768:X785" si="501">IF(LEFT(V768,1)="G","Y","N")</f>
        <v>Y</v>
      </c>
      <c r="Y768" s="376">
        <f t="shared" ref="Y768:Y785" si="502">SUM(K768:T768)</f>
        <v>3805000</v>
      </c>
      <c r="Z768" s="198"/>
      <c r="AA768" s="376">
        <f t="shared" si="457"/>
        <v>3805000</v>
      </c>
      <c r="AB768" s="196" t="s">
        <v>1166</v>
      </c>
      <c r="AC768" s="196" t="s">
        <v>1168</v>
      </c>
      <c r="AD768" s="275">
        <v>0.3</v>
      </c>
      <c r="AE768" s="275">
        <v>0.3</v>
      </c>
      <c r="AF768" s="275">
        <v>0.4</v>
      </c>
      <c r="AG768" s="442">
        <v>0.3</v>
      </c>
      <c r="AH768" s="442">
        <v>0.3</v>
      </c>
      <c r="AI768" s="377">
        <f t="shared" si="489"/>
        <v>0.3</v>
      </c>
      <c r="AJ768" s="548">
        <v>1</v>
      </c>
      <c r="AK768" s="203">
        <f t="shared" si="496"/>
        <v>0</v>
      </c>
      <c r="AL768" s="376">
        <f t="shared" si="490"/>
        <v>2663500</v>
      </c>
      <c r="AM768" s="376">
        <f t="shared" si="491"/>
        <v>1141500</v>
      </c>
      <c r="AN768" s="376">
        <f t="shared" si="492"/>
        <v>0</v>
      </c>
      <c r="AO768" s="378" t="s">
        <v>3607</v>
      </c>
      <c r="AP768" s="379" t="s">
        <v>5422</v>
      </c>
      <c r="AQ768" s="279"/>
      <c r="AR768" s="287">
        <f t="shared" si="459"/>
        <v>277500</v>
      </c>
      <c r="AS768" s="287">
        <f t="shared" si="460"/>
        <v>864000</v>
      </c>
      <c r="AT768" s="287">
        <f t="shared" si="461"/>
        <v>0</v>
      </c>
      <c r="AU768" s="287">
        <f t="shared" si="462"/>
        <v>0</v>
      </c>
      <c r="AV768" s="287">
        <f t="shared" si="463"/>
        <v>0</v>
      </c>
      <c r="AW768" s="287">
        <f t="shared" si="464"/>
        <v>0</v>
      </c>
      <c r="AX768" s="287">
        <f t="shared" si="465"/>
        <v>0</v>
      </c>
      <c r="AY768" s="287">
        <f t="shared" si="466"/>
        <v>0</v>
      </c>
      <c r="AZ768" s="287">
        <f t="shared" si="467"/>
        <v>0</v>
      </c>
      <c r="BA768" s="287">
        <f t="shared" si="468"/>
        <v>0</v>
      </c>
      <c r="BB768" s="16"/>
      <c r="BC768" s="287">
        <f t="shared" si="469"/>
        <v>0</v>
      </c>
      <c r="BD768" s="287">
        <f t="shared" si="470"/>
        <v>0</v>
      </c>
      <c r="BE768" s="287">
        <f t="shared" si="471"/>
        <v>0</v>
      </c>
      <c r="BF768" s="287">
        <f t="shared" si="472"/>
        <v>0</v>
      </c>
      <c r="BG768" s="287">
        <f t="shared" si="473"/>
        <v>0</v>
      </c>
      <c r="BH768" s="287">
        <f t="shared" si="474"/>
        <v>0</v>
      </c>
      <c r="BI768" s="287">
        <f t="shared" si="475"/>
        <v>0</v>
      </c>
      <c r="BJ768" s="287">
        <f t="shared" si="476"/>
        <v>0</v>
      </c>
      <c r="BK768" s="287">
        <f t="shared" si="477"/>
        <v>0</v>
      </c>
      <c r="BL768" s="287">
        <f t="shared" si="478"/>
        <v>0</v>
      </c>
      <c r="BM768" s="16"/>
      <c r="BN768" s="287">
        <f t="shared" si="479"/>
        <v>1141500</v>
      </c>
      <c r="BO768" s="287">
        <f t="shared" si="480"/>
        <v>0</v>
      </c>
      <c r="BP768" s="432"/>
      <c r="BQ768" s="21"/>
      <c r="BR768" s="21"/>
      <c r="BS768" s="6"/>
      <c r="BT768" s="194">
        <f t="shared" si="497"/>
        <v>1141500</v>
      </c>
      <c r="BU768" s="194">
        <f t="shared" si="498"/>
        <v>1141500</v>
      </c>
      <c r="BV768" s="194">
        <f t="shared" si="499"/>
        <v>0</v>
      </c>
      <c r="BW768" s="194">
        <f t="shared" si="500"/>
        <v>0</v>
      </c>
      <c r="BX768" s="6"/>
      <c r="BY768" s="6"/>
      <c r="BZ768" s="39">
        <v>755</v>
      </c>
      <c r="CA768" s="39">
        <f t="shared" si="481"/>
        <v>2031</v>
      </c>
      <c r="CB768" s="6"/>
      <c r="CC768" s="39"/>
      <c r="CD768" s="39"/>
      <c r="CE768" s="39"/>
      <c r="CF768" s="39"/>
      <c r="CG768" s="39"/>
      <c r="CH768" s="39"/>
      <c r="CI768" s="39"/>
      <c r="CJ768" s="39"/>
      <c r="CK768" s="39"/>
    </row>
    <row r="769" spans="1:89" s="193" customFormat="1" ht="24">
      <c r="A769" s="357"/>
      <c r="B769" s="21" t="str">
        <f t="shared" si="458"/>
        <v>STW</v>
      </c>
      <c r="C769" s="21"/>
      <c r="D769" s="432"/>
      <c r="E769" s="439" t="s">
        <v>3626</v>
      </c>
      <c r="F769" s="439" t="s">
        <v>4140</v>
      </c>
      <c r="G769" s="273" t="s">
        <v>4141</v>
      </c>
      <c r="H769" s="358" t="s">
        <v>4512</v>
      </c>
      <c r="I769" s="262" t="s">
        <v>3491</v>
      </c>
      <c r="J769" s="262" t="s">
        <v>4201</v>
      </c>
      <c r="K769" s="263">
        <v>52000</v>
      </c>
      <c r="L769" s="263">
        <v>100000</v>
      </c>
      <c r="M769" s="263">
        <v>50000</v>
      </c>
      <c r="N769" s="263">
        <v>1200000</v>
      </c>
      <c r="O769" s="263">
        <v>900000</v>
      </c>
      <c r="P769" s="263">
        <v>0</v>
      </c>
      <c r="Q769" s="263">
        <v>0</v>
      </c>
      <c r="R769" s="263">
        <v>0</v>
      </c>
      <c r="S769" s="263">
        <v>0</v>
      </c>
      <c r="T769" s="263">
        <v>0</v>
      </c>
      <c r="U769" s="263">
        <f t="shared" si="495"/>
        <v>2302000</v>
      </c>
      <c r="V769" s="196" t="str">
        <f t="shared" si="456"/>
        <v>G/LOS/R</v>
      </c>
      <c r="W769" s="196" t="s">
        <v>1168</v>
      </c>
      <c r="X769" s="196" t="str">
        <f t="shared" si="501"/>
        <v>Y</v>
      </c>
      <c r="Y769" s="376">
        <f t="shared" si="502"/>
        <v>2302000</v>
      </c>
      <c r="Z769" s="198"/>
      <c r="AA769" s="376">
        <f t="shared" si="457"/>
        <v>2302000</v>
      </c>
      <c r="AB769" s="196" t="s">
        <v>1166</v>
      </c>
      <c r="AC769" s="196" t="s">
        <v>1168</v>
      </c>
      <c r="AD769" s="275">
        <v>0.05</v>
      </c>
      <c r="AE769" s="275">
        <v>0.8</v>
      </c>
      <c r="AF769" s="275">
        <v>0.15</v>
      </c>
      <c r="AG769" s="442">
        <v>0.05</v>
      </c>
      <c r="AH769" s="442">
        <v>0.05</v>
      </c>
      <c r="AI769" s="377">
        <f t="shared" si="489"/>
        <v>0.05</v>
      </c>
      <c r="AJ769" s="548">
        <v>1</v>
      </c>
      <c r="AK769" s="203">
        <f t="shared" si="496"/>
        <v>0</v>
      </c>
      <c r="AL769" s="376">
        <f t="shared" si="490"/>
        <v>2186900</v>
      </c>
      <c r="AM769" s="376">
        <f t="shared" si="491"/>
        <v>115100</v>
      </c>
      <c r="AN769" s="376">
        <f t="shared" si="492"/>
        <v>0</v>
      </c>
      <c r="AO769" s="378" t="s">
        <v>3607</v>
      </c>
      <c r="AP769" s="379" t="s">
        <v>5403</v>
      </c>
      <c r="AQ769" s="279"/>
      <c r="AR769" s="287">
        <f t="shared" si="459"/>
        <v>2600</v>
      </c>
      <c r="AS769" s="287">
        <f t="shared" si="460"/>
        <v>5000</v>
      </c>
      <c r="AT769" s="287">
        <f t="shared" si="461"/>
        <v>2500</v>
      </c>
      <c r="AU769" s="287">
        <f t="shared" si="462"/>
        <v>60000</v>
      </c>
      <c r="AV769" s="287">
        <f t="shared" si="463"/>
        <v>45000</v>
      </c>
      <c r="AW769" s="287">
        <f t="shared" si="464"/>
        <v>0</v>
      </c>
      <c r="AX769" s="287">
        <f t="shared" si="465"/>
        <v>0</v>
      </c>
      <c r="AY769" s="287">
        <f t="shared" si="466"/>
        <v>0</v>
      </c>
      <c r="AZ769" s="287">
        <f t="shared" si="467"/>
        <v>0</v>
      </c>
      <c r="BA769" s="287">
        <f t="shared" si="468"/>
        <v>0</v>
      </c>
      <c r="BB769" s="16"/>
      <c r="BC769" s="287">
        <f t="shared" si="469"/>
        <v>0</v>
      </c>
      <c r="BD769" s="287">
        <f t="shared" si="470"/>
        <v>0</v>
      </c>
      <c r="BE769" s="287">
        <f t="shared" si="471"/>
        <v>0</v>
      </c>
      <c r="BF769" s="287">
        <f t="shared" si="472"/>
        <v>0</v>
      </c>
      <c r="BG769" s="287">
        <f t="shared" si="473"/>
        <v>0</v>
      </c>
      <c r="BH769" s="287">
        <f t="shared" si="474"/>
        <v>0</v>
      </c>
      <c r="BI769" s="287">
        <f t="shared" si="475"/>
        <v>0</v>
      </c>
      <c r="BJ769" s="287">
        <f t="shared" si="476"/>
        <v>0</v>
      </c>
      <c r="BK769" s="287">
        <f t="shared" si="477"/>
        <v>0</v>
      </c>
      <c r="BL769" s="287">
        <f t="shared" si="478"/>
        <v>0</v>
      </c>
      <c r="BM769" s="16"/>
      <c r="BN769" s="287">
        <f t="shared" si="479"/>
        <v>115100</v>
      </c>
      <c r="BO769" s="287">
        <f t="shared" si="480"/>
        <v>0</v>
      </c>
      <c r="BP769" s="432"/>
      <c r="BQ769" s="21"/>
      <c r="BR769" s="21"/>
      <c r="BS769" s="6"/>
      <c r="BT769" s="194">
        <f t="shared" si="497"/>
        <v>115100</v>
      </c>
      <c r="BU769" s="194">
        <f t="shared" si="498"/>
        <v>115100</v>
      </c>
      <c r="BV769" s="194">
        <f t="shared" si="499"/>
        <v>0</v>
      </c>
      <c r="BW769" s="194">
        <f t="shared" si="500"/>
        <v>0</v>
      </c>
      <c r="BX769" s="6"/>
      <c r="BY769" s="6"/>
      <c r="BZ769" s="39">
        <v>756</v>
      </c>
      <c r="CA769" s="39">
        <f t="shared" si="481"/>
        <v>2031</v>
      </c>
      <c r="CB769" s="6"/>
      <c r="CC769" s="39"/>
      <c r="CD769" s="39"/>
      <c r="CE769" s="39"/>
      <c r="CF769" s="39"/>
      <c r="CG769" s="39"/>
      <c r="CH769" s="39"/>
      <c r="CI769" s="39"/>
      <c r="CJ769" s="39"/>
      <c r="CK769" s="39"/>
    </row>
    <row r="770" spans="1:89" s="193" customFormat="1" ht="24">
      <c r="A770" s="357"/>
      <c r="B770" s="21" t="str">
        <f t="shared" si="458"/>
        <v>STW</v>
      </c>
      <c r="C770" s="21"/>
      <c r="D770" s="432" t="s">
        <v>3909</v>
      </c>
      <c r="E770" s="439" t="s">
        <v>3626</v>
      </c>
      <c r="F770" s="439" t="s">
        <v>3908</v>
      </c>
      <c r="G770" s="273" t="s">
        <v>3907</v>
      </c>
      <c r="H770" s="358" t="s">
        <v>4574</v>
      </c>
      <c r="I770" s="262" t="s">
        <v>3491</v>
      </c>
      <c r="J770" s="262" t="s">
        <v>4200</v>
      </c>
      <c r="K770" s="263">
        <v>1965795</v>
      </c>
      <c r="L770" s="263">
        <v>7000000</v>
      </c>
      <c r="M770" s="263">
        <v>17556000</v>
      </c>
      <c r="N770" s="263">
        <v>7000000</v>
      </c>
      <c r="O770" s="263">
        <v>5000000</v>
      </c>
      <c r="P770" s="263">
        <v>4000000</v>
      </c>
      <c r="Q770" s="263">
        <v>0</v>
      </c>
      <c r="R770" s="263">
        <v>0</v>
      </c>
      <c r="S770" s="263">
        <v>0</v>
      </c>
      <c r="T770" s="263">
        <v>0</v>
      </c>
      <c r="U770" s="263">
        <f t="shared" si="495"/>
        <v>42521795</v>
      </c>
      <c r="V770" s="196" t="str">
        <f t="shared" si="456"/>
        <v>G/LOS/R</v>
      </c>
      <c r="W770" s="196" t="s">
        <v>1168</v>
      </c>
      <c r="X770" s="196" t="str">
        <f t="shared" si="501"/>
        <v>Y</v>
      </c>
      <c r="Y770" s="376">
        <f t="shared" si="502"/>
        <v>42521795</v>
      </c>
      <c r="Z770" s="198"/>
      <c r="AA770" s="376">
        <f t="shared" si="457"/>
        <v>42521795</v>
      </c>
      <c r="AB770" s="196" t="s">
        <v>1166</v>
      </c>
      <c r="AC770" s="196" t="s">
        <v>3624</v>
      </c>
      <c r="AD770" s="275">
        <v>0.4</v>
      </c>
      <c r="AE770" s="275">
        <v>0.25</v>
      </c>
      <c r="AF770" s="275">
        <v>0.35</v>
      </c>
      <c r="AG770" s="442">
        <v>0.25</v>
      </c>
      <c r="AH770" s="442">
        <v>0.25</v>
      </c>
      <c r="AI770" s="377">
        <f t="shared" si="489"/>
        <v>0.25</v>
      </c>
      <c r="AJ770" s="688">
        <v>1</v>
      </c>
      <c r="AK770" s="203">
        <f t="shared" si="496"/>
        <v>0</v>
      </c>
      <c r="AL770" s="376">
        <f t="shared" si="490"/>
        <v>31891346.25</v>
      </c>
      <c r="AM770" s="376">
        <f t="shared" si="491"/>
        <v>10630448.75</v>
      </c>
      <c r="AN770" s="376">
        <f t="shared" si="492"/>
        <v>0</v>
      </c>
      <c r="AO770" s="378" t="s">
        <v>3607</v>
      </c>
      <c r="AP770" s="379" t="s">
        <v>5400</v>
      </c>
      <c r="AQ770" s="279"/>
      <c r="AR770" s="287">
        <f t="shared" si="459"/>
        <v>491448.75</v>
      </c>
      <c r="AS770" s="287">
        <f t="shared" si="460"/>
        <v>1750000</v>
      </c>
      <c r="AT770" s="287">
        <f t="shared" si="461"/>
        <v>4389000</v>
      </c>
      <c r="AU770" s="287">
        <f t="shared" si="462"/>
        <v>1750000</v>
      </c>
      <c r="AV770" s="287">
        <f t="shared" si="463"/>
        <v>1250000</v>
      </c>
      <c r="AW770" s="287">
        <f t="shared" si="464"/>
        <v>1000000</v>
      </c>
      <c r="AX770" s="287">
        <f t="shared" si="465"/>
        <v>0</v>
      </c>
      <c r="AY770" s="287">
        <f t="shared" si="466"/>
        <v>0</v>
      </c>
      <c r="AZ770" s="287">
        <f t="shared" si="467"/>
        <v>0</v>
      </c>
      <c r="BA770" s="287">
        <f t="shared" si="468"/>
        <v>0</v>
      </c>
      <c r="BB770" s="16"/>
      <c r="BC770" s="287">
        <f t="shared" si="469"/>
        <v>0</v>
      </c>
      <c r="BD770" s="287">
        <f t="shared" si="470"/>
        <v>0</v>
      </c>
      <c r="BE770" s="287">
        <f t="shared" si="471"/>
        <v>0</v>
      </c>
      <c r="BF770" s="287">
        <f t="shared" si="472"/>
        <v>0</v>
      </c>
      <c r="BG770" s="287">
        <f t="shared" si="473"/>
        <v>0</v>
      </c>
      <c r="BH770" s="287">
        <f t="shared" si="474"/>
        <v>0</v>
      </c>
      <c r="BI770" s="287">
        <f t="shared" si="475"/>
        <v>0</v>
      </c>
      <c r="BJ770" s="287">
        <f t="shared" si="476"/>
        <v>0</v>
      </c>
      <c r="BK770" s="287">
        <f t="shared" si="477"/>
        <v>0</v>
      </c>
      <c r="BL770" s="287">
        <f t="shared" si="478"/>
        <v>0</v>
      </c>
      <c r="BM770" s="16"/>
      <c r="BN770" s="287">
        <f t="shared" si="479"/>
        <v>10630448.75</v>
      </c>
      <c r="BO770" s="287">
        <f t="shared" si="480"/>
        <v>0</v>
      </c>
      <c r="BP770" s="432"/>
      <c r="BQ770" s="21"/>
      <c r="BR770" s="21"/>
      <c r="BS770" s="6"/>
      <c r="BT770" s="194">
        <f t="shared" si="497"/>
        <v>10630448.75</v>
      </c>
      <c r="BU770" s="194">
        <f t="shared" si="498"/>
        <v>10630448.75</v>
      </c>
      <c r="BV770" s="194">
        <f t="shared" si="499"/>
        <v>0</v>
      </c>
      <c r="BW770" s="194">
        <f t="shared" si="500"/>
        <v>0</v>
      </c>
      <c r="BX770" s="6"/>
      <c r="BY770" s="6"/>
      <c r="BZ770" s="39">
        <v>757</v>
      </c>
      <c r="CA770" s="39">
        <f t="shared" si="481"/>
        <v>2031</v>
      </c>
      <c r="CB770" s="6"/>
      <c r="CC770" s="39"/>
      <c r="CD770" s="39"/>
      <c r="CE770" s="39"/>
      <c r="CF770" s="39"/>
      <c r="CG770" s="39"/>
      <c r="CH770" s="39"/>
      <c r="CI770" s="39"/>
      <c r="CJ770" s="39"/>
      <c r="CK770" s="39"/>
    </row>
    <row r="771" spans="1:89" s="193" customFormat="1" ht="24">
      <c r="A771" s="357"/>
      <c r="B771" s="21" t="str">
        <f t="shared" si="458"/>
        <v>STW</v>
      </c>
      <c r="C771" s="21"/>
      <c r="D771" s="432" t="s">
        <v>4116</v>
      </c>
      <c r="E771" s="439" t="s">
        <v>3626</v>
      </c>
      <c r="F771" s="439" t="s">
        <v>4117</v>
      </c>
      <c r="G771" s="273" t="s">
        <v>4118</v>
      </c>
      <c r="H771" s="358" t="s">
        <v>4598</v>
      </c>
      <c r="I771" s="262" t="s">
        <v>3491</v>
      </c>
      <c r="J771" s="262" t="s">
        <v>4206</v>
      </c>
      <c r="K771" s="263">
        <v>5000</v>
      </c>
      <c r="L771" s="263">
        <v>0</v>
      </c>
      <c r="M771" s="263">
        <v>0</v>
      </c>
      <c r="N771" s="263">
        <v>0</v>
      </c>
      <c r="O771" s="263">
        <v>0</v>
      </c>
      <c r="P771" s="263">
        <v>0</v>
      </c>
      <c r="Q771" s="263">
        <v>0</v>
      </c>
      <c r="R771" s="263">
        <v>0</v>
      </c>
      <c r="S771" s="263">
        <v>0</v>
      </c>
      <c r="T771" s="263">
        <v>0</v>
      </c>
      <c r="U771" s="263">
        <f t="shared" si="495"/>
        <v>5000</v>
      </c>
      <c r="V771" s="196" t="str">
        <f t="shared" si="456"/>
        <v>G/LOS</v>
      </c>
      <c r="W771" s="196" t="s">
        <v>1168</v>
      </c>
      <c r="X771" s="196" t="str">
        <f t="shared" si="501"/>
        <v>Y</v>
      </c>
      <c r="Y771" s="376">
        <f t="shared" si="502"/>
        <v>5000</v>
      </c>
      <c r="Z771" s="198"/>
      <c r="AA771" s="376">
        <f t="shared" si="457"/>
        <v>5000</v>
      </c>
      <c r="AB771" s="196" t="s">
        <v>1166</v>
      </c>
      <c r="AC771" s="196" t="s">
        <v>1168</v>
      </c>
      <c r="AD771" s="445">
        <v>0.1</v>
      </c>
      <c r="AE771" s="275">
        <v>0.9</v>
      </c>
      <c r="AF771" s="275">
        <v>0</v>
      </c>
      <c r="AG771" s="442">
        <v>0.1</v>
      </c>
      <c r="AH771" s="442">
        <v>0.1</v>
      </c>
      <c r="AI771" s="377">
        <f t="shared" si="489"/>
        <v>0.1</v>
      </c>
      <c r="AJ771" s="548">
        <v>1</v>
      </c>
      <c r="AK771" s="203">
        <f t="shared" si="496"/>
        <v>0</v>
      </c>
      <c r="AL771" s="376">
        <f t="shared" si="490"/>
        <v>4500</v>
      </c>
      <c r="AM771" s="376">
        <f t="shared" si="491"/>
        <v>500</v>
      </c>
      <c r="AN771" s="376">
        <f t="shared" si="492"/>
        <v>0</v>
      </c>
      <c r="AO771" s="378" t="s">
        <v>3607</v>
      </c>
      <c r="AP771" s="379" t="s">
        <v>5408</v>
      </c>
      <c r="AQ771" s="279"/>
      <c r="AR771" s="287">
        <f t="shared" si="459"/>
        <v>500</v>
      </c>
      <c r="AS771" s="287">
        <f t="shared" si="460"/>
        <v>0</v>
      </c>
      <c r="AT771" s="287">
        <f t="shared" si="461"/>
        <v>0</v>
      </c>
      <c r="AU771" s="287">
        <f t="shared" si="462"/>
        <v>0</v>
      </c>
      <c r="AV771" s="287">
        <f t="shared" si="463"/>
        <v>0</v>
      </c>
      <c r="AW771" s="287">
        <f t="shared" si="464"/>
        <v>0</v>
      </c>
      <c r="AX771" s="287">
        <f t="shared" si="465"/>
        <v>0</v>
      </c>
      <c r="AY771" s="287">
        <f t="shared" si="466"/>
        <v>0</v>
      </c>
      <c r="AZ771" s="287">
        <f t="shared" si="467"/>
        <v>0</v>
      </c>
      <c r="BA771" s="287">
        <f t="shared" si="468"/>
        <v>0</v>
      </c>
      <c r="BB771" s="16"/>
      <c r="BC771" s="287">
        <f t="shared" si="469"/>
        <v>0</v>
      </c>
      <c r="BD771" s="287">
        <f t="shared" si="470"/>
        <v>0</v>
      </c>
      <c r="BE771" s="287">
        <f t="shared" si="471"/>
        <v>0</v>
      </c>
      <c r="BF771" s="287">
        <f t="shared" si="472"/>
        <v>0</v>
      </c>
      <c r="BG771" s="287">
        <f t="shared" si="473"/>
        <v>0</v>
      </c>
      <c r="BH771" s="287">
        <f t="shared" si="474"/>
        <v>0</v>
      </c>
      <c r="BI771" s="287">
        <f t="shared" si="475"/>
        <v>0</v>
      </c>
      <c r="BJ771" s="287">
        <f t="shared" si="476"/>
        <v>0</v>
      </c>
      <c r="BK771" s="287">
        <f t="shared" si="477"/>
        <v>0</v>
      </c>
      <c r="BL771" s="287">
        <f t="shared" si="478"/>
        <v>0</v>
      </c>
      <c r="BM771" s="16"/>
      <c r="BN771" s="287">
        <f t="shared" si="479"/>
        <v>500</v>
      </c>
      <c r="BO771" s="287">
        <f t="shared" si="480"/>
        <v>0</v>
      </c>
      <c r="BP771" s="432"/>
      <c r="BQ771" s="21"/>
      <c r="BR771" s="21"/>
      <c r="BS771" s="6"/>
      <c r="BT771" s="194">
        <f t="shared" si="497"/>
        <v>500</v>
      </c>
      <c r="BU771" s="194">
        <f t="shared" si="498"/>
        <v>500</v>
      </c>
      <c r="BV771" s="194">
        <f t="shared" si="499"/>
        <v>0</v>
      </c>
      <c r="BW771" s="194">
        <f t="shared" si="500"/>
        <v>0</v>
      </c>
      <c r="BX771" s="6"/>
      <c r="BY771" s="6"/>
      <c r="BZ771" s="39">
        <v>758</v>
      </c>
      <c r="CA771" s="39">
        <f t="shared" si="481"/>
        <v>2031</v>
      </c>
      <c r="CB771" s="6"/>
      <c r="CC771" s="39"/>
      <c r="CD771" s="39"/>
      <c r="CE771" s="39"/>
      <c r="CF771" s="39"/>
      <c r="CG771" s="39"/>
      <c r="CH771" s="39"/>
      <c r="CI771" s="39"/>
      <c r="CJ771" s="39"/>
      <c r="CK771" s="39"/>
    </row>
    <row r="772" spans="1:89" s="193" customFormat="1" ht="24">
      <c r="A772" s="357"/>
      <c r="B772" s="21" t="str">
        <f t="shared" si="458"/>
        <v>STW</v>
      </c>
      <c r="C772" s="21"/>
      <c r="D772" s="432" t="s">
        <v>3933</v>
      </c>
      <c r="E772" s="439" t="s">
        <v>3626</v>
      </c>
      <c r="F772" s="439" t="s">
        <v>3979</v>
      </c>
      <c r="G772" s="273" t="s">
        <v>4615</v>
      </c>
      <c r="H772" s="358" t="s">
        <v>4614</v>
      </c>
      <c r="I772" s="262" t="s">
        <v>3491</v>
      </c>
      <c r="J772" s="262" t="s">
        <v>4190</v>
      </c>
      <c r="K772" s="263">
        <v>31200</v>
      </c>
      <c r="L772" s="263">
        <v>125000</v>
      </c>
      <c r="M772" s="263">
        <v>0</v>
      </c>
      <c r="N772" s="263">
        <v>0</v>
      </c>
      <c r="O772" s="263">
        <v>0</v>
      </c>
      <c r="P772" s="263">
        <v>0</v>
      </c>
      <c r="Q772" s="263">
        <v>0</v>
      </c>
      <c r="R772" s="263">
        <v>0</v>
      </c>
      <c r="S772" s="263">
        <v>0</v>
      </c>
      <c r="T772" s="263">
        <v>0</v>
      </c>
      <c r="U772" s="263">
        <f t="shared" si="495"/>
        <v>156200</v>
      </c>
      <c r="V772" s="196" t="str">
        <f t="shared" si="456"/>
        <v>G/LOS/R</v>
      </c>
      <c r="W772" s="196" t="s">
        <v>1168</v>
      </c>
      <c r="X772" s="196" t="str">
        <f t="shared" si="501"/>
        <v>Y</v>
      </c>
      <c r="Y772" s="376">
        <f t="shared" si="502"/>
        <v>156200</v>
      </c>
      <c r="Z772" s="198"/>
      <c r="AA772" s="376">
        <f t="shared" si="457"/>
        <v>156200</v>
      </c>
      <c r="AB772" s="196" t="s">
        <v>1166</v>
      </c>
      <c r="AC772" s="196" t="s">
        <v>1168</v>
      </c>
      <c r="AD772" s="275">
        <v>0.1</v>
      </c>
      <c r="AE772" s="275">
        <v>0.1</v>
      </c>
      <c r="AF772" s="275">
        <v>0.8</v>
      </c>
      <c r="AG772" s="442">
        <v>0.1</v>
      </c>
      <c r="AH772" s="442">
        <v>0.1</v>
      </c>
      <c r="AI772" s="377">
        <f t="shared" si="489"/>
        <v>0.1</v>
      </c>
      <c r="AJ772" s="548">
        <v>1</v>
      </c>
      <c r="AK772" s="203">
        <f t="shared" si="496"/>
        <v>0</v>
      </c>
      <c r="AL772" s="376">
        <f t="shared" si="490"/>
        <v>140580</v>
      </c>
      <c r="AM772" s="376">
        <f t="shared" si="491"/>
        <v>15620</v>
      </c>
      <c r="AN772" s="376">
        <f t="shared" si="492"/>
        <v>0</v>
      </c>
      <c r="AO772" s="378" t="s">
        <v>3607</v>
      </c>
      <c r="AP772" s="379" t="s">
        <v>5394</v>
      </c>
      <c r="AQ772" s="279"/>
      <c r="AR772" s="287">
        <f t="shared" si="459"/>
        <v>3120</v>
      </c>
      <c r="AS772" s="287">
        <f t="shared" si="460"/>
        <v>12500</v>
      </c>
      <c r="AT772" s="287">
        <f t="shared" si="461"/>
        <v>0</v>
      </c>
      <c r="AU772" s="287">
        <f t="shared" si="462"/>
        <v>0</v>
      </c>
      <c r="AV772" s="287">
        <f t="shared" si="463"/>
        <v>0</v>
      </c>
      <c r="AW772" s="287">
        <f t="shared" si="464"/>
        <v>0</v>
      </c>
      <c r="AX772" s="287">
        <f t="shared" si="465"/>
        <v>0</v>
      </c>
      <c r="AY772" s="287">
        <f t="shared" si="466"/>
        <v>0</v>
      </c>
      <c r="AZ772" s="287">
        <f t="shared" si="467"/>
        <v>0</v>
      </c>
      <c r="BA772" s="287">
        <f t="shared" si="468"/>
        <v>0</v>
      </c>
      <c r="BB772" s="16"/>
      <c r="BC772" s="287">
        <f t="shared" si="469"/>
        <v>0</v>
      </c>
      <c r="BD772" s="287">
        <f t="shared" si="470"/>
        <v>0</v>
      </c>
      <c r="BE772" s="287">
        <f t="shared" si="471"/>
        <v>0</v>
      </c>
      <c r="BF772" s="287">
        <f t="shared" si="472"/>
        <v>0</v>
      </c>
      <c r="BG772" s="287">
        <f t="shared" si="473"/>
        <v>0</v>
      </c>
      <c r="BH772" s="287">
        <f t="shared" si="474"/>
        <v>0</v>
      </c>
      <c r="BI772" s="287">
        <f t="shared" si="475"/>
        <v>0</v>
      </c>
      <c r="BJ772" s="287">
        <f t="shared" si="476"/>
        <v>0</v>
      </c>
      <c r="BK772" s="287">
        <f t="shared" si="477"/>
        <v>0</v>
      </c>
      <c r="BL772" s="287">
        <f t="shared" si="478"/>
        <v>0</v>
      </c>
      <c r="BM772" s="16"/>
      <c r="BN772" s="287">
        <f t="shared" si="479"/>
        <v>15620</v>
      </c>
      <c r="BO772" s="287">
        <f t="shared" si="480"/>
        <v>0</v>
      </c>
      <c r="BP772" s="432"/>
      <c r="BQ772" s="21"/>
      <c r="BR772" s="21"/>
      <c r="BS772" s="6"/>
      <c r="BT772" s="194">
        <f t="shared" si="497"/>
        <v>15620</v>
      </c>
      <c r="BU772" s="194">
        <f t="shared" si="498"/>
        <v>15620</v>
      </c>
      <c r="BV772" s="194">
        <f t="shared" si="499"/>
        <v>0</v>
      </c>
      <c r="BW772" s="194">
        <f t="shared" si="500"/>
        <v>0</v>
      </c>
      <c r="BX772" s="6"/>
      <c r="BY772" s="6"/>
      <c r="BZ772" s="39">
        <v>759</v>
      </c>
      <c r="CA772" s="39">
        <f t="shared" si="481"/>
        <v>2031</v>
      </c>
      <c r="CB772" s="6"/>
      <c r="CC772" s="39"/>
      <c r="CD772" s="39"/>
      <c r="CE772" s="39"/>
      <c r="CF772" s="39"/>
      <c r="CG772" s="39"/>
      <c r="CH772" s="39"/>
      <c r="CI772" s="39"/>
      <c r="CJ772" s="39"/>
      <c r="CK772" s="39"/>
    </row>
    <row r="773" spans="1:89" s="193" customFormat="1" ht="36">
      <c r="A773" s="357"/>
      <c r="B773" s="21" t="str">
        <f t="shared" si="458"/>
        <v>STW</v>
      </c>
      <c r="C773" s="21"/>
      <c r="D773" s="432"/>
      <c r="E773" s="439" t="s">
        <v>3626</v>
      </c>
      <c r="F773" s="439" t="s">
        <v>4163</v>
      </c>
      <c r="G773" s="273" t="s">
        <v>4547</v>
      </c>
      <c r="H773" s="358" t="s">
        <v>4546</v>
      </c>
      <c r="I773" s="262" t="s">
        <v>3491</v>
      </c>
      <c r="J773" s="262" t="s">
        <v>4198</v>
      </c>
      <c r="K773" s="263">
        <v>60000</v>
      </c>
      <c r="L773" s="263">
        <v>60000</v>
      </c>
      <c r="M773" s="263">
        <v>600000</v>
      </c>
      <c r="N773" s="263">
        <v>480000</v>
      </c>
      <c r="O773" s="263">
        <v>0</v>
      </c>
      <c r="P773" s="263">
        <v>0</v>
      </c>
      <c r="Q773" s="263">
        <v>0</v>
      </c>
      <c r="R773" s="263">
        <v>0</v>
      </c>
      <c r="S773" s="263">
        <v>0</v>
      </c>
      <c r="T773" s="263">
        <v>0</v>
      </c>
      <c r="U773" s="263">
        <f t="shared" si="495"/>
        <v>1200000</v>
      </c>
      <c r="V773" s="196" t="str">
        <f t="shared" si="456"/>
        <v>G</v>
      </c>
      <c r="W773" s="196" t="s">
        <v>1168</v>
      </c>
      <c r="X773" s="196" t="str">
        <f t="shared" si="501"/>
        <v>Y</v>
      </c>
      <c r="Y773" s="376">
        <f t="shared" si="502"/>
        <v>1200000</v>
      </c>
      <c r="Z773" s="198"/>
      <c r="AA773" s="376">
        <f t="shared" si="457"/>
        <v>1200000</v>
      </c>
      <c r="AB773" s="196" t="s">
        <v>1166</v>
      </c>
      <c r="AC773" s="196" t="s">
        <v>1168</v>
      </c>
      <c r="AD773" s="445">
        <v>0.83</v>
      </c>
      <c r="AE773" s="275">
        <v>0</v>
      </c>
      <c r="AF773" s="275">
        <v>0</v>
      </c>
      <c r="AG773" s="442">
        <v>0.83</v>
      </c>
      <c r="AH773" s="442">
        <v>0.83</v>
      </c>
      <c r="AI773" s="377">
        <f t="shared" si="489"/>
        <v>0.83</v>
      </c>
      <c r="AJ773" s="548">
        <v>1</v>
      </c>
      <c r="AK773" s="203">
        <f t="shared" si="496"/>
        <v>0</v>
      </c>
      <c r="AL773" s="376">
        <f t="shared" si="490"/>
        <v>204000.00000000006</v>
      </c>
      <c r="AM773" s="376">
        <f t="shared" si="491"/>
        <v>996000</v>
      </c>
      <c r="AN773" s="376">
        <f t="shared" si="492"/>
        <v>0</v>
      </c>
      <c r="AO773" s="378" t="s">
        <v>3607</v>
      </c>
      <c r="AP773" s="379" t="s">
        <v>5395</v>
      </c>
      <c r="AQ773" s="279"/>
      <c r="AR773" s="287">
        <f t="shared" si="459"/>
        <v>49800</v>
      </c>
      <c r="AS773" s="287">
        <f t="shared" si="460"/>
        <v>49800</v>
      </c>
      <c r="AT773" s="287">
        <f t="shared" si="461"/>
        <v>498000</v>
      </c>
      <c r="AU773" s="287">
        <f t="shared" si="462"/>
        <v>398400</v>
      </c>
      <c r="AV773" s="287">
        <f t="shared" si="463"/>
        <v>0</v>
      </c>
      <c r="AW773" s="287">
        <f t="shared" si="464"/>
        <v>0</v>
      </c>
      <c r="AX773" s="287">
        <f t="shared" si="465"/>
        <v>0</v>
      </c>
      <c r="AY773" s="287">
        <f t="shared" si="466"/>
        <v>0</v>
      </c>
      <c r="AZ773" s="287">
        <f t="shared" si="467"/>
        <v>0</v>
      </c>
      <c r="BA773" s="287">
        <f t="shared" si="468"/>
        <v>0</v>
      </c>
      <c r="BB773" s="16"/>
      <c r="BC773" s="287">
        <f t="shared" si="469"/>
        <v>0</v>
      </c>
      <c r="BD773" s="287">
        <f t="shared" si="470"/>
        <v>0</v>
      </c>
      <c r="BE773" s="287">
        <f t="shared" si="471"/>
        <v>0</v>
      </c>
      <c r="BF773" s="287">
        <f t="shared" si="472"/>
        <v>0</v>
      </c>
      <c r="BG773" s="287">
        <f t="shared" si="473"/>
        <v>0</v>
      </c>
      <c r="BH773" s="287">
        <f t="shared" si="474"/>
        <v>0</v>
      </c>
      <c r="BI773" s="287">
        <f t="shared" si="475"/>
        <v>0</v>
      </c>
      <c r="BJ773" s="287">
        <f t="shared" si="476"/>
        <v>0</v>
      </c>
      <c r="BK773" s="287">
        <f t="shared" si="477"/>
        <v>0</v>
      </c>
      <c r="BL773" s="287">
        <f t="shared" si="478"/>
        <v>0</v>
      </c>
      <c r="BM773" s="16"/>
      <c r="BN773" s="287">
        <f t="shared" si="479"/>
        <v>996000</v>
      </c>
      <c r="BO773" s="287">
        <f t="shared" si="480"/>
        <v>0</v>
      </c>
      <c r="BP773" s="432"/>
      <c r="BQ773" s="21"/>
      <c r="BR773" s="21"/>
      <c r="BS773" s="6"/>
      <c r="BT773" s="194">
        <f t="shared" si="497"/>
        <v>996000</v>
      </c>
      <c r="BU773" s="194">
        <f t="shared" si="498"/>
        <v>996000</v>
      </c>
      <c r="BV773" s="194">
        <f t="shared" si="499"/>
        <v>0</v>
      </c>
      <c r="BW773" s="194">
        <f t="shared" si="500"/>
        <v>0</v>
      </c>
      <c r="BX773" s="6"/>
      <c r="BY773" s="6"/>
      <c r="BZ773" s="39">
        <v>760</v>
      </c>
      <c r="CA773" s="39">
        <f t="shared" si="481"/>
        <v>2031</v>
      </c>
      <c r="CB773" s="6"/>
      <c r="CC773" s="39"/>
      <c r="CD773" s="39"/>
      <c r="CE773" s="39"/>
      <c r="CF773" s="39"/>
      <c r="CG773" s="39"/>
      <c r="CH773" s="39"/>
      <c r="CI773" s="39"/>
      <c r="CJ773" s="39"/>
      <c r="CK773" s="39"/>
    </row>
    <row r="774" spans="1:89" s="193" customFormat="1" ht="24">
      <c r="A774" s="357"/>
      <c r="B774" s="21" t="str">
        <f t="shared" si="458"/>
        <v>STW</v>
      </c>
      <c r="C774" s="21"/>
      <c r="D774" s="432"/>
      <c r="E774" s="439" t="s">
        <v>3626</v>
      </c>
      <c r="F774" s="439" t="s">
        <v>4158</v>
      </c>
      <c r="G774" s="273" t="s">
        <v>4159</v>
      </c>
      <c r="H774" s="358" t="s">
        <v>4606</v>
      </c>
      <c r="I774" s="262" t="s">
        <v>3491</v>
      </c>
      <c r="J774" s="262" t="s">
        <v>4198</v>
      </c>
      <c r="K774" s="263">
        <v>50000</v>
      </c>
      <c r="L774" s="263">
        <v>50000</v>
      </c>
      <c r="M774" s="263">
        <v>500000</v>
      </c>
      <c r="N774" s="263">
        <v>750000</v>
      </c>
      <c r="O774" s="263">
        <v>0</v>
      </c>
      <c r="P774" s="263">
        <v>0</v>
      </c>
      <c r="Q774" s="263">
        <v>0</v>
      </c>
      <c r="R774" s="263">
        <v>0</v>
      </c>
      <c r="S774" s="263">
        <v>0</v>
      </c>
      <c r="T774" s="263">
        <v>0</v>
      </c>
      <c r="U774" s="263">
        <f t="shared" si="495"/>
        <v>1350000</v>
      </c>
      <c r="V774" s="196" t="str">
        <f t="shared" si="456"/>
        <v>G</v>
      </c>
      <c r="W774" s="196" t="s">
        <v>1168</v>
      </c>
      <c r="X774" s="196" t="str">
        <f t="shared" si="501"/>
        <v>Y</v>
      </c>
      <c r="Y774" s="376">
        <f t="shared" si="502"/>
        <v>1350000</v>
      </c>
      <c r="Z774" s="198"/>
      <c r="AA774" s="376">
        <f t="shared" si="457"/>
        <v>1350000</v>
      </c>
      <c r="AB774" s="196" t="s">
        <v>1166</v>
      </c>
      <c r="AC774" s="196" t="s">
        <v>1168</v>
      </c>
      <c r="AD774" s="445">
        <v>0.7</v>
      </c>
      <c r="AE774" s="275">
        <v>0</v>
      </c>
      <c r="AF774" s="275">
        <v>0</v>
      </c>
      <c r="AG774" s="442">
        <v>0.7</v>
      </c>
      <c r="AH774" s="442">
        <v>0.7</v>
      </c>
      <c r="AI774" s="377">
        <f t="shared" si="489"/>
        <v>0.7</v>
      </c>
      <c r="AJ774" s="548">
        <v>1</v>
      </c>
      <c r="AK774" s="203">
        <f t="shared" si="496"/>
        <v>0</v>
      </c>
      <c r="AL774" s="376">
        <f t="shared" si="490"/>
        <v>405000.00000000006</v>
      </c>
      <c r="AM774" s="376">
        <f t="shared" si="491"/>
        <v>944999.99999999988</v>
      </c>
      <c r="AN774" s="376">
        <f t="shared" si="492"/>
        <v>0</v>
      </c>
      <c r="AO774" s="378" t="s">
        <v>3607</v>
      </c>
      <c r="AP774" s="379" t="s">
        <v>5395</v>
      </c>
      <c r="AQ774" s="279"/>
      <c r="AR774" s="287">
        <f t="shared" si="459"/>
        <v>35000</v>
      </c>
      <c r="AS774" s="287">
        <f t="shared" si="460"/>
        <v>35000</v>
      </c>
      <c r="AT774" s="287">
        <f t="shared" si="461"/>
        <v>350000</v>
      </c>
      <c r="AU774" s="287">
        <f t="shared" si="462"/>
        <v>525000</v>
      </c>
      <c r="AV774" s="287">
        <f t="shared" si="463"/>
        <v>0</v>
      </c>
      <c r="AW774" s="287">
        <f t="shared" si="464"/>
        <v>0</v>
      </c>
      <c r="AX774" s="287">
        <f t="shared" si="465"/>
        <v>0</v>
      </c>
      <c r="AY774" s="287">
        <f t="shared" si="466"/>
        <v>0</v>
      </c>
      <c r="AZ774" s="287">
        <f t="shared" si="467"/>
        <v>0</v>
      </c>
      <c r="BA774" s="287">
        <f t="shared" si="468"/>
        <v>0</v>
      </c>
      <c r="BB774" s="16"/>
      <c r="BC774" s="287">
        <f t="shared" si="469"/>
        <v>0</v>
      </c>
      <c r="BD774" s="287">
        <f t="shared" si="470"/>
        <v>0</v>
      </c>
      <c r="BE774" s="287">
        <f t="shared" si="471"/>
        <v>0</v>
      </c>
      <c r="BF774" s="287">
        <f t="shared" si="472"/>
        <v>0</v>
      </c>
      <c r="BG774" s="287">
        <f t="shared" si="473"/>
        <v>0</v>
      </c>
      <c r="BH774" s="287">
        <f t="shared" si="474"/>
        <v>0</v>
      </c>
      <c r="BI774" s="287">
        <f t="shared" si="475"/>
        <v>0</v>
      </c>
      <c r="BJ774" s="287">
        <f t="shared" si="476"/>
        <v>0</v>
      </c>
      <c r="BK774" s="287">
        <f t="shared" si="477"/>
        <v>0</v>
      </c>
      <c r="BL774" s="287">
        <f t="shared" si="478"/>
        <v>0</v>
      </c>
      <c r="BM774" s="16"/>
      <c r="BN774" s="287">
        <f t="shared" si="479"/>
        <v>945000</v>
      </c>
      <c r="BO774" s="287">
        <f t="shared" si="480"/>
        <v>0</v>
      </c>
      <c r="BP774" s="432"/>
      <c r="BQ774" s="21"/>
      <c r="BR774" s="21"/>
      <c r="BS774" s="6"/>
      <c r="BT774" s="194">
        <f t="shared" si="497"/>
        <v>945000</v>
      </c>
      <c r="BU774" s="194">
        <f t="shared" si="498"/>
        <v>944999.99999999988</v>
      </c>
      <c r="BV774" s="194">
        <f t="shared" si="499"/>
        <v>0</v>
      </c>
      <c r="BW774" s="194">
        <f t="shared" si="500"/>
        <v>1.1641532182693481E-10</v>
      </c>
      <c r="BX774" s="6"/>
      <c r="BY774" s="6"/>
      <c r="BZ774" s="39">
        <v>761</v>
      </c>
      <c r="CA774" s="39">
        <f t="shared" si="481"/>
        <v>2031</v>
      </c>
      <c r="CB774" s="6"/>
      <c r="CC774" s="39"/>
      <c r="CD774" s="39"/>
      <c r="CE774" s="39"/>
      <c r="CF774" s="39"/>
      <c r="CG774" s="39"/>
      <c r="CH774" s="39"/>
      <c r="CI774" s="39"/>
      <c r="CJ774" s="39"/>
      <c r="CK774" s="39"/>
    </row>
    <row r="775" spans="1:89" s="193" customFormat="1" ht="36">
      <c r="A775" s="357"/>
      <c r="B775" s="21" t="str">
        <f t="shared" si="458"/>
        <v>STW</v>
      </c>
      <c r="C775" s="21"/>
      <c r="D775" s="432" t="s">
        <v>3917</v>
      </c>
      <c r="E775" s="439" t="s">
        <v>3626</v>
      </c>
      <c r="F775" s="439" t="s">
        <v>3916</v>
      </c>
      <c r="G775" s="273" t="s">
        <v>3915</v>
      </c>
      <c r="H775" s="358" t="s">
        <v>4561</v>
      </c>
      <c r="I775" s="262" t="s">
        <v>3491</v>
      </c>
      <c r="J775" s="262" t="s">
        <v>4190</v>
      </c>
      <c r="K775" s="263">
        <v>80000</v>
      </c>
      <c r="L775" s="263">
        <v>830000</v>
      </c>
      <c r="M775" s="263">
        <v>0</v>
      </c>
      <c r="N775" s="263">
        <v>0</v>
      </c>
      <c r="O775" s="263">
        <v>0</v>
      </c>
      <c r="P775" s="263">
        <v>0</v>
      </c>
      <c r="Q775" s="263">
        <v>0</v>
      </c>
      <c r="R775" s="263">
        <v>0</v>
      </c>
      <c r="S775" s="263">
        <v>0</v>
      </c>
      <c r="T775" s="263">
        <v>0</v>
      </c>
      <c r="U775" s="263">
        <f t="shared" si="495"/>
        <v>910000</v>
      </c>
      <c r="V775" s="196" t="str">
        <f t="shared" si="456"/>
        <v>G/LOS/R</v>
      </c>
      <c r="W775" s="196" t="s">
        <v>1168</v>
      </c>
      <c r="X775" s="196" t="str">
        <f t="shared" si="501"/>
        <v>Y</v>
      </c>
      <c r="Y775" s="376">
        <f t="shared" si="502"/>
        <v>910000</v>
      </c>
      <c r="Z775" s="198"/>
      <c r="AA775" s="376">
        <f t="shared" si="457"/>
        <v>910000</v>
      </c>
      <c r="AB775" s="196" t="s">
        <v>1166</v>
      </c>
      <c r="AC775" s="196" t="s">
        <v>1168</v>
      </c>
      <c r="AD775" s="275">
        <v>0.3</v>
      </c>
      <c r="AE775" s="275">
        <v>0.65</v>
      </c>
      <c r="AF775" s="275">
        <v>0.05</v>
      </c>
      <c r="AG775" s="442">
        <v>0.3</v>
      </c>
      <c r="AH775" s="442">
        <v>0.3</v>
      </c>
      <c r="AI775" s="377">
        <f t="shared" si="489"/>
        <v>0.3</v>
      </c>
      <c r="AJ775" s="548">
        <v>1</v>
      </c>
      <c r="AK775" s="203">
        <f t="shared" si="496"/>
        <v>0</v>
      </c>
      <c r="AL775" s="376">
        <f t="shared" si="490"/>
        <v>637000</v>
      </c>
      <c r="AM775" s="376">
        <f t="shared" si="491"/>
        <v>273000</v>
      </c>
      <c r="AN775" s="376">
        <f t="shared" si="492"/>
        <v>0</v>
      </c>
      <c r="AO775" s="378" t="s">
        <v>3607</v>
      </c>
      <c r="AP775" s="379" t="s">
        <v>5394</v>
      </c>
      <c r="AQ775" s="279"/>
      <c r="AR775" s="287">
        <f t="shared" si="459"/>
        <v>24000</v>
      </c>
      <c r="AS775" s="287">
        <f t="shared" si="460"/>
        <v>249000</v>
      </c>
      <c r="AT775" s="287">
        <f t="shared" si="461"/>
        <v>0</v>
      </c>
      <c r="AU775" s="287">
        <f t="shared" si="462"/>
        <v>0</v>
      </c>
      <c r="AV775" s="287">
        <f t="shared" si="463"/>
        <v>0</v>
      </c>
      <c r="AW775" s="287">
        <f t="shared" si="464"/>
        <v>0</v>
      </c>
      <c r="AX775" s="287">
        <f t="shared" si="465"/>
        <v>0</v>
      </c>
      <c r="AY775" s="287">
        <f t="shared" si="466"/>
        <v>0</v>
      </c>
      <c r="AZ775" s="287">
        <f t="shared" si="467"/>
        <v>0</v>
      </c>
      <c r="BA775" s="287">
        <f t="shared" si="468"/>
        <v>0</v>
      </c>
      <c r="BB775" s="16"/>
      <c r="BC775" s="287">
        <f t="shared" si="469"/>
        <v>0</v>
      </c>
      <c r="BD775" s="287">
        <f t="shared" si="470"/>
        <v>0</v>
      </c>
      <c r="BE775" s="287">
        <f t="shared" si="471"/>
        <v>0</v>
      </c>
      <c r="BF775" s="287">
        <f t="shared" si="472"/>
        <v>0</v>
      </c>
      <c r="BG775" s="287">
        <f t="shared" si="473"/>
        <v>0</v>
      </c>
      <c r="BH775" s="287">
        <f t="shared" si="474"/>
        <v>0</v>
      </c>
      <c r="BI775" s="287">
        <f t="shared" si="475"/>
        <v>0</v>
      </c>
      <c r="BJ775" s="287">
        <f t="shared" si="476"/>
        <v>0</v>
      </c>
      <c r="BK775" s="287">
        <f t="shared" si="477"/>
        <v>0</v>
      </c>
      <c r="BL775" s="287">
        <f t="shared" si="478"/>
        <v>0</v>
      </c>
      <c r="BM775" s="16"/>
      <c r="BN775" s="287">
        <f t="shared" si="479"/>
        <v>273000</v>
      </c>
      <c r="BO775" s="287">
        <f t="shared" si="480"/>
        <v>0</v>
      </c>
      <c r="BP775" s="432"/>
      <c r="BQ775" s="21"/>
      <c r="BR775" s="21"/>
      <c r="BS775" s="6"/>
      <c r="BT775" s="194">
        <f t="shared" si="497"/>
        <v>273000</v>
      </c>
      <c r="BU775" s="194">
        <f t="shared" si="498"/>
        <v>273000</v>
      </c>
      <c r="BV775" s="194">
        <f t="shared" si="499"/>
        <v>0</v>
      </c>
      <c r="BW775" s="194">
        <f t="shared" si="500"/>
        <v>0</v>
      </c>
      <c r="BX775" s="6"/>
      <c r="BY775" s="6"/>
      <c r="BZ775" s="39">
        <v>762</v>
      </c>
      <c r="CA775" s="39">
        <f t="shared" si="481"/>
        <v>2031</v>
      </c>
      <c r="CB775" s="6"/>
      <c r="CC775" s="39"/>
      <c r="CD775" s="39"/>
      <c r="CE775" s="39"/>
      <c r="CF775" s="39"/>
      <c r="CG775" s="39"/>
      <c r="CH775" s="39"/>
      <c r="CI775" s="39"/>
      <c r="CJ775" s="39"/>
      <c r="CK775" s="39"/>
    </row>
    <row r="776" spans="1:89" s="193" customFormat="1" ht="24">
      <c r="A776" s="357"/>
      <c r="B776" s="21" t="str">
        <f t="shared" si="458"/>
        <v>STW</v>
      </c>
      <c r="C776" s="21"/>
      <c r="D776" s="432"/>
      <c r="E776" s="439" t="s">
        <v>3626</v>
      </c>
      <c r="F776" s="439" t="s">
        <v>4144</v>
      </c>
      <c r="G776" s="273" t="s">
        <v>4519</v>
      </c>
      <c r="H776" s="358" t="s">
        <v>4503</v>
      </c>
      <c r="I776" s="262" t="s">
        <v>3491</v>
      </c>
      <c r="J776" s="262" t="s">
        <v>4205</v>
      </c>
      <c r="K776" s="263">
        <v>150000</v>
      </c>
      <c r="L776" s="263">
        <v>250000</v>
      </c>
      <c r="M776" s="263">
        <v>2000000</v>
      </c>
      <c r="N776" s="263">
        <v>1200000</v>
      </c>
      <c r="O776" s="263">
        <v>0</v>
      </c>
      <c r="P776" s="263">
        <v>0</v>
      </c>
      <c r="Q776" s="263">
        <v>0</v>
      </c>
      <c r="R776" s="263">
        <v>0</v>
      </c>
      <c r="S776" s="263">
        <v>0</v>
      </c>
      <c r="T776" s="263">
        <v>0</v>
      </c>
      <c r="U776" s="263">
        <f t="shared" si="495"/>
        <v>3600000</v>
      </c>
      <c r="V776" s="196" t="str">
        <f t="shared" si="456"/>
        <v>G/LOS/R</v>
      </c>
      <c r="W776" s="196" t="s">
        <v>1168</v>
      </c>
      <c r="X776" s="196" t="str">
        <f t="shared" si="501"/>
        <v>Y</v>
      </c>
      <c r="Y776" s="376">
        <f t="shared" si="502"/>
        <v>3600000</v>
      </c>
      <c r="Z776" s="198"/>
      <c r="AA776" s="376">
        <f t="shared" si="457"/>
        <v>3600000</v>
      </c>
      <c r="AB776" s="196" t="s">
        <v>1166</v>
      </c>
      <c r="AC776" s="196" t="s">
        <v>1168</v>
      </c>
      <c r="AD776" s="275">
        <v>0.4</v>
      </c>
      <c r="AE776" s="275">
        <v>0.1</v>
      </c>
      <c r="AF776" s="275">
        <v>0.5</v>
      </c>
      <c r="AG776" s="442">
        <v>0.4</v>
      </c>
      <c r="AH776" s="442">
        <v>0.4</v>
      </c>
      <c r="AI776" s="377">
        <f t="shared" si="489"/>
        <v>0.4</v>
      </c>
      <c r="AJ776" s="548">
        <v>1</v>
      </c>
      <c r="AK776" s="199">
        <f t="shared" si="496"/>
        <v>0</v>
      </c>
      <c r="AL776" s="376">
        <f t="shared" si="490"/>
        <v>2160000</v>
      </c>
      <c r="AM776" s="376">
        <f t="shared" si="491"/>
        <v>1440000</v>
      </c>
      <c r="AN776" s="376">
        <f t="shared" si="492"/>
        <v>0</v>
      </c>
      <c r="AO776" s="378" t="s">
        <v>3607</v>
      </c>
      <c r="AP776" s="379" t="s">
        <v>5393</v>
      </c>
      <c r="AQ776" s="279"/>
      <c r="AR776" s="287">
        <f t="shared" si="459"/>
        <v>60000</v>
      </c>
      <c r="AS776" s="287">
        <f t="shared" si="460"/>
        <v>100000</v>
      </c>
      <c r="AT776" s="287">
        <f t="shared" si="461"/>
        <v>800000</v>
      </c>
      <c r="AU776" s="287">
        <f t="shared" si="462"/>
        <v>480000</v>
      </c>
      <c r="AV776" s="287">
        <f t="shared" si="463"/>
        <v>0</v>
      </c>
      <c r="AW776" s="287">
        <f t="shared" si="464"/>
        <v>0</v>
      </c>
      <c r="AX776" s="287">
        <f t="shared" si="465"/>
        <v>0</v>
      </c>
      <c r="AY776" s="287">
        <f t="shared" si="466"/>
        <v>0</v>
      </c>
      <c r="AZ776" s="287">
        <f t="shared" si="467"/>
        <v>0</v>
      </c>
      <c r="BA776" s="287">
        <f t="shared" si="468"/>
        <v>0</v>
      </c>
      <c r="BB776" s="16"/>
      <c r="BC776" s="287">
        <f t="shared" si="469"/>
        <v>0</v>
      </c>
      <c r="BD776" s="287">
        <f t="shared" si="470"/>
        <v>0</v>
      </c>
      <c r="BE776" s="287">
        <f t="shared" si="471"/>
        <v>0</v>
      </c>
      <c r="BF776" s="287">
        <f t="shared" si="472"/>
        <v>0</v>
      </c>
      <c r="BG776" s="287">
        <f t="shared" si="473"/>
        <v>0</v>
      </c>
      <c r="BH776" s="287">
        <f t="shared" si="474"/>
        <v>0</v>
      </c>
      <c r="BI776" s="287">
        <f t="shared" si="475"/>
        <v>0</v>
      </c>
      <c r="BJ776" s="287">
        <f t="shared" si="476"/>
        <v>0</v>
      </c>
      <c r="BK776" s="287">
        <f t="shared" si="477"/>
        <v>0</v>
      </c>
      <c r="BL776" s="287">
        <f t="shared" si="478"/>
        <v>0</v>
      </c>
      <c r="BM776" s="16"/>
      <c r="BN776" s="287">
        <f t="shared" si="479"/>
        <v>1440000</v>
      </c>
      <c r="BO776" s="287">
        <f t="shared" si="480"/>
        <v>0</v>
      </c>
      <c r="BP776" s="432"/>
      <c r="BQ776" s="21"/>
      <c r="BR776" s="21"/>
      <c r="BS776" s="6"/>
      <c r="BT776" s="194">
        <f t="shared" si="497"/>
        <v>1440000</v>
      </c>
      <c r="BU776" s="194">
        <f t="shared" si="498"/>
        <v>1440000</v>
      </c>
      <c r="BV776" s="194">
        <f t="shared" si="499"/>
        <v>0</v>
      </c>
      <c r="BW776" s="194">
        <f t="shared" si="500"/>
        <v>0</v>
      </c>
      <c r="BX776" s="6"/>
      <c r="BY776" s="6"/>
      <c r="BZ776" s="39">
        <v>763</v>
      </c>
      <c r="CA776" s="39">
        <f t="shared" si="481"/>
        <v>2031</v>
      </c>
      <c r="CB776" s="6"/>
      <c r="CC776" s="39"/>
      <c r="CD776" s="39"/>
      <c r="CE776" s="39"/>
      <c r="CF776" s="39"/>
      <c r="CG776" s="39"/>
      <c r="CH776" s="39"/>
      <c r="CI776" s="39"/>
      <c r="CJ776" s="39"/>
      <c r="CK776" s="39"/>
    </row>
    <row r="777" spans="1:89" s="193" customFormat="1" ht="24">
      <c r="A777" s="357"/>
      <c r="B777" s="21" t="str">
        <f t="shared" si="458"/>
        <v>STW</v>
      </c>
      <c r="C777" s="21"/>
      <c r="D777" s="432" t="s">
        <v>3933</v>
      </c>
      <c r="E777" s="439" t="s">
        <v>3626</v>
      </c>
      <c r="F777" s="439" t="s">
        <v>3962</v>
      </c>
      <c r="G777" s="273" t="s">
        <v>4535</v>
      </c>
      <c r="H777" s="358" t="s">
        <v>4509</v>
      </c>
      <c r="I777" s="262" t="s">
        <v>3491</v>
      </c>
      <c r="J777" s="262" t="s">
        <v>4190</v>
      </c>
      <c r="K777" s="263">
        <v>183000</v>
      </c>
      <c r="L777" s="263">
        <v>0</v>
      </c>
      <c r="M777" s="263">
        <v>0</v>
      </c>
      <c r="N777" s="263">
        <v>0</v>
      </c>
      <c r="O777" s="263">
        <v>0</v>
      </c>
      <c r="P777" s="263">
        <v>0</v>
      </c>
      <c r="Q777" s="263">
        <v>0</v>
      </c>
      <c r="R777" s="263">
        <v>0</v>
      </c>
      <c r="S777" s="263">
        <v>0</v>
      </c>
      <c r="T777" s="263">
        <v>0</v>
      </c>
      <c r="U777" s="263">
        <f t="shared" si="495"/>
        <v>183000</v>
      </c>
      <c r="V777" s="196" t="str">
        <f t="shared" si="456"/>
        <v>G/LOS/R</v>
      </c>
      <c r="W777" s="196" t="s">
        <v>1168</v>
      </c>
      <c r="X777" s="196" t="str">
        <f t="shared" si="501"/>
        <v>Y</v>
      </c>
      <c r="Y777" s="376">
        <f t="shared" si="502"/>
        <v>183000</v>
      </c>
      <c r="Z777" s="198"/>
      <c r="AA777" s="376">
        <f t="shared" si="457"/>
        <v>183000</v>
      </c>
      <c r="AB777" s="196" t="s">
        <v>1166</v>
      </c>
      <c r="AC777" s="196" t="s">
        <v>1168</v>
      </c>
      <c r="AD777" s="275">
        <v>0.1</v>
      </c>
      <c r="AE777" s="275">
        <v>0.1</v>
      </c>
      <c r="AF777" s="275">
        <v>0.8</v>
      </c>
      <c r="AG777" s="442">
        <v>0.1</v>
      </c>
      <c r="AH777" s="442">
        <v>0.1</v>
      </c>
      <c r="AI777" s="377">
        <f t="shared" si="489"/>
        <v>0.1</v>
      </c>
      <c r="AJ777" s="548">
        <v>1</v>
      </c>
      <c r="AK777" s="203">
        <f t="shared" si="496"/>
        <v>0</v>
      </c>
      <c r="AL777" s="376">
        <f t="shared" si="490"/>
        <v>164700</v>
      </c>
      <c r="AM777" s="376">
        <f t="shared" si="491"/>
        <v>18300</v>
      </c>
      <c r="AN777" s="376">
        <f t="shared" si="492"/>
        <v>0</v>
      </c>
      <c r="AO777" s="378" t="s">
        <v>3607</v>
      </c>
      <c r="AP777" s="379" t="s">
        <v>5394</v>
      </c>
      <c r="AQ777" s="279"/>
      <c r="AR777" s="287">
        <f t="shared" si="459"/>
        <v>18300</v>
      </c>
      <c r="AS777" s="287">
        <f t="shared" si="460"/>
        <v>0</v>
      </c>
      <c r="AT777" s="287">
        <f t="shared" si="461"/>
        <v>0</v>
      </c>
      <c r="AU777" s="287">
        <f t="shared" si="462"/>
        <v>0</v>
      </c>
      <c r="AV777" s="287">
        <f t="shared" si="463"/>
        <v>0</v>
      </c>
      <c r="AW777" s="287">
        <f t="shared" si="464"/>
        <v>0</v>
      </c>
      <c r="AX777" s="287">
        <f t="shared" si="465"/>
        <v>0</v>
      </c>
      <c r="AY777" s="287">
        <f t="shared" si="466"/>
        <v>0</v>
      </c>
      <c r="AZ777" s="287">
        <f t="shared" si="467"/>
        <v>0</v>
      </c>
      <c r="BA777" s="287">
        <f t="shared" si="468"/>
        <v>0</v>
      </c>
      <c r="BB777" s="16"/>
      <c r="BC777" s="287">
        <f t="shared" si="469"/>
        <v>0</v>
      </c>
      <c r="BD777" s="287">
        <f t="shared" si="470"/>
        <v>0</v>
      </c>
      <c r="BE777" s="287">
        <f t="shared" si="471"/>
        <v>0</v>
      </c>
      <c r="BF777" s="287">
        <f t="shared" si="472"/>
        <v>0</v>
      </c>
      <c r="BG777" s="287">
        <f t="shared" si="473"/>
        <v>0</v>
      </c>
      <c r="BH777" s="287">
        <f t="shared" si="474"/>
        <v>0</v>
      </c>
      <c r="BI777" s="287">
        <f t="shared" si="475"/>
        <v>0</v>
      </c>
      <c r="BJ777" s="287">
        <f t="shared" si="476"/>
        <v>0</v>
      </c>
      <c r="BK777" s="287">
        <f t="shared" si="477"/>
        <v>0</v>
      </c>
      <c r="BL777" s="287">
        <f t="shared" si="478"/>
        <v>0</v>
      </c>
      <c r="BM777" s="16"/>
      <c r="BN777" s="287">
        <f t="shared" si="479"/>
        <v>18300</v>
      </c>
      <c r="BO777" s="287">
        <f t="shared" si="480"/>
        <v>0</v>
      </c>
      <c r="BP777" s="432"/>
      <c r="BQ777" s="21"/>
      <c r="BR777" s="21"/>
      <c r="BS777" s="6"/>
      <c r="BT777" s="194">
        <f t="shared" si="497"/>
        <v>18300</v>
      </c>
      <c r="BU777" s="194">
        <f t="shared" si="498"/>
        <v>18300</v>
      </c>
      <c r="BV777" s="194">
        <f t="shared" si="499"/>
        <v>0</v>
      </c>
      <c r="BW777" s="194">
        <f t="shared" si="500"/>
        <v>0</v>
      </c>
      <c r="BX777" s="6"/>
      <c r="BY777" s="6"/>
      <c r="BZ777" s="39">
        <v>764</v>
      </c>
      <c r="CA777" s="39">
        <f t="shared" si="481"/>
        <v>2031</v>
      </c>
      <c r="CB777" s="6"/>
      <c r="CC777" s="39"/>
      <c r="CD777" s="39"/>
      <c r="CE777" s="39"/>
      <c r="CF777" s="39"/>
      <c r="CG777" s="39"/>
      <c r="CH777" s="39"/>
      <c r="CI777" s="39"/>
      <c r="CJ777" s="39"/>
      <c r="CK777" s="39"/>
    </row>
    <row r="778" spans="1:89" s="193" customFormat="1" ht="24">
      <c r="A778" s="357"/>
      <c r="B778" s="21" t="str">
        <f t="shared" si="458"/>
        <v>STW</v>
      </c>
      <c r="C778" s="21"/>
      <c r="D778" s="432"/>
      <c r="E778" s="439" t="s">
        <v>3626</v>
      </c>
      <c r="F778" s="439" t="s">
        <v>4186</v>
      </c>
      <c r="G778" s="273" t="s">
        <v>4187</v>
      </c>
      <c r="H778" s="358" t="s">
        <v>4508</v>
      </c>
      <c r="I778" s="262" t="s">
        <v>3491</v>
      </c>
      <c r="J778" s="262" t="s">
        <v>4199</v>
      </c>
      <c r="K778" s="263">
        <v>14500</v>
      </c>
      <c r="L778" s="263">
        <v>500000</v>
      </c>
      <c r="M778" s="263">
        <v>3250000</v>
      </c>
      <c r="N778" s="263">
        <v>2353500</v>
      </c>
      <c r="O778" s="263">
        <v>0</v>
      </c>
      <c r="P778" s="263">
        <v>0</v>
      </c>
      <c r="Q778" s="263">
        <v>0</v>
      </c>
      <c r="R778" s="263">
        <v>0</v>
      </c>
      <c r="S778" s="263">
        <v>0</v>
      </c>
      <c r="T778" s="263">
        <v>0</v>
      </c>
      <c r="U778" s="263">
        <f t="shared" si="495"/>
        <v>6118000</v>
      </c>
      <c r="V778" s="196" t="str">
        <f t="shared" si="456"/>
        <v>G/LOS/R</v>
      </c>
      <c r="W778" s="196" t="s">
        <v>1168</v>
      </c>
      <c r="X778" s="196" t="str">
        <f t="shared" si="501"/>
        <v>Y</v>
      </c>
      <c r="Y778" s="376">
        <f t="shared" si="502"/>
        <v>6118000</v>
      </c>
      <c r="Z778" s="198"/>
      <c r="AA778" s="376">
        <f t="shared" si="457"/>
        <v>6118000</v>
      </c>
      <c r="AB778" s="196" t="s">
        <v>1166</v>
      </c>
      <c r="AC778" s="196" t="s">
        <v>1168</v>
      </c>
      <c r="AD778" s="275">
        <v>0.1</v>
      </c>
      <c r="AE778" s="275">
        <v>0.1</v>
      </c>
      <c r="AF778" s="275">
        <v>0.8</v>
      </c>
      <c r="AG778" s="442">
        <v>0.1</v>
      </c>
      <c r="AH778" s="442">
        <v>0.1</v>
      </c>
      <c r="AI778" s="377">
        <f t="shared" si="489"/>
        <v>0.1</v>
      </c>
      <c r="AJ778" s="548">
        <v>1</v>
      </c>
      <c r="AK778" s="203">
        <f t="shared" si="496"/>
        <v>0</v>
      </c>
      <c r="AL778" s="376">
        <f t="shared" si="490"/>
        <v>5506200</v>
      </c>
      <c r="AM778" s="376">
        <f t="shared" si="491"/>
        <v>611800</v>
      </c>
      <c r="AN778" s="376">
        <f t="shared" si="492"/>
        <v>0</v>
      </c>
      <c r="AO778" s="378" t="s">
        <v>3607</v>
      </c>
      <c r="AP778" s="379" t="s">
        <v>5401</v>
      </c>
      <c r="AQ778" s="279"/>
      <c r="AR778" s="287">
        <f t="shared" si="459"/>
        <v>1450</v>
      </c>
      <c r="AS778" s="287">
        <f t="shared" si="460"/>
        <v>50000</v>
      </c>
      <c r="AT778" s="287">
        <f t="shared" si="461"/>
        <v>325000</v>
      </c>
      <c r="AU778" s="287">
        <f t="shared" si="462"/>
        <v>235350</v>
      </c>
      <c r="AV778" s="287">
        <f t="shared" si="463"/>
        <v>0</v>
      </c>
      <c r="AW778" s="287">
        <f t="shared" si="464"/>
        <v>0</v>
      </c>
      <c r="AX778" s="287">
        <f t="shared" si="465"/>
        <v>0</v>
      </c>
      <c r="AY778" s="287">
        <f t="shared" si="466"/>
        <v>0</v>
      </c>
      <c r="AZ778" s="287">
        <f t="shared" si="467"/>
        <v>0</v>
      </c>
      <c r="BA778" s="287">
        <f t="shared" si="468"/>
        <v>0</v>
      </c>
      <c r="BB778" s="16"/>
      <c r="BC778" s="287">
        <f t="shared" si="469"/>
        <v>0</v>
      </c>
      <c r="BD778" s="287">
        <f t="shared" si="470"/>
        <v>0</v>
      </c>
      <c r="BE778" s="287">
        <f t="shared" si="471"/>
        <v>0</v>
      </c>
      <c r="BF778" s="287">
        <f t="shared" si="472"/>
        <v>0</v>
      </c>
      <c r="BG778" s="287">
        <f t="shared" si="473"/>
        <v>0</v>
      </c>
      <c r="BH778" s="287">
        <f t="shared" si="474"/>
        <v>0</v>
      </c>
      <c r="BI778" s="287">
        <f t="shared" si="475"/>
        <v>0</v>
      </c>
      <c r="BJ778" s="287">
        <f t="shared" si="476"/>
        <v>0</v>
      </c>
      <c r="BK778" s="287">
        <f t="shared" si="477"/>
        <v>0</v>
      </c>
      <c r="BL778" s="287">
        <f t="shared" si="478"/>
        <v>0</v>
      </c>
      <c r="BM778" s="16"/>
      <c r="BN778" s="287">
        <f t="shared" si="479"/>
        <v>611800</v>
      </c>
      <c r="BO778" s="287">
        <f t="shared" si="480"/>
        <v>0</v>
      </c>
      <c r="BP778" s="432"/>
      <c r="BQ778" s="21"/>
      <c r="BR778" s="21"/>
      <c r="BS778" s="6"/>
      <c r="BT778" s="194">
        <f t="shared" si="497"/>
        <v>611800</v>
      </c>
      <c r="BU778" s="194">
        <f t="shared" si="498"/>
        <v>611800</v>
      </c>
      <c r="BV778" s="194">
        <f t="shared" si="499"/>
        <v>0</v>
      </c>
      <c r="BW778" s="194">
        <f t="shared" si="500"/>
        <v>0</v>
      </c>
      <c r="BX778" s="6"/>
      <c r="BY778" s="6"/>
      <c r="BZ778" s="39">
        <v>765</v>
      </c>
      <c r="CA778" s="39">
        <f t="shared" si="481"/>
        <v>2031</v>
      </c>
      <c r="CB778" s="6"/>
      <c r="CC778" s="39"/>
      <c r="CD778" s="39"/>
      <c r="CE778" s="39"/>
      <c r="CF778" s="39"/>
      <c r="CG778" s="39"/>
      <c r="CH778" s="39"/>
      <c r="CI778" s="39"/>
      <c r="CJ778" s="39"/>
      <c r="CK778" s="39"/>
    </row>
    <row r="779" spans="1:89" s="193" customFormat="1" ht="24">
      <c r="A779" s="357"/>
      <c r="B779" s="21" t="str">
        <f t="shared" si="458"/>
        <v>STW</v>
      </c>
      <c r="C779" s="21"/>
      <c r="D779" s="432" t="s">
        <v>4059</v>
      </c>
      <c r="E779" s="439" t="s">
        <v>3626</v>
      </c>
      <c r="F779" s="439" t="s">
        <v>4058</v>
      </c>
      <c r="G779" s="273" t="s">
        <v>4057</v>
      </c>
      <c r="H779" s="358" t="s">
        <v>4508</v>
      </c>
      <c r="I779" s="262" t="s">
        <v>3491</v>
      </c>
      <c r="J779" s="262" t="s">
        <v>4199</v>
      </c>
      <c r="K779" s="263">
        <v>490000</v>
      </c>
      <c r="L779" s="263">
        <v>1000000</v>
      </c>
      <c r="M779" s="263">
        <v>2300000</v>
      </c>
      <c r="N779" s="263">
        <v>0</v>
      </c>
      <c r="O779" s="263">
        <v>0</v>
      </c>
      <c r="P779" s="263">
        <v>0</v>
      </c>
      <c r="Q779" s="263">
        <v>0</v>
      </c>
      <c r="R779" s="263">
        <v>0</v>
      </c>
      <c r="S779" s="263">
        <v>0</v>
      </c>
      <c r="T779" s="263">
        <v>0</v>
      </c>
      <c r="U779" s="263">
        <f t="shared" si="495"/>
        <v>3790000</v>
      </c>
      <c r="V779" s="196" t="str">
        <f t="shared" ref="V779:V785" si="503">IF(AND(AD779&gt;0,AE779&gt;0,AF779&gt;0),"G/LOS/R",IF(AND(AD779&gt;0,AE779&gt;0),"G/LOS",IF(AND(AD779&gt;0,AF779&gt;0),"G/R",IF(AND(AE779&gt;0,AF779&gt;0),"LOS/R",IF(AD779&gt;0,"G",IF(AE779&gt;0,"LOS",IF(AF779&gt;0,"R","CHECK")))))))</f>
        <v>G/LOS/R</v>
      </c>
      <c r="W779" s="196" t="s">
        <v>1168</v>
      </c>
      <c r="X779" s="196" t="str">
        <f t="shared" si="501"/>
        <v>Y</v>
      </c>
      <c r="Y779" s="376">
        <f t="shared" si="502"/>
        <v>3790000</v>
      </c>
      <c r="Z779" s="198"/>
      <c r="AA779" s="376">
        <f t="shared" ref="AA779:AA785" si="504">Y779-Z779</f>
        <v>3790000</v>
      </c>
      <c r="AB779" s="196" t="s">
        <v>1166</v>
      </c>
      <c r="AC779" s="196" t="s">
        <v>1168</v>
      </c>
      <c r="AD779" s="275">
        <v>0.1</v>
      </c>
      <c r="AE779" s="275">
        <v>0.1</v>
      </c>
      <c r="AF779" s="275">
        <v>0.8</v>
      </c>
      <c r="AG779" s="442">
        <v>0.1</v>
      </c>
      <c r="AH779" s="442">
        <v>0.1</v>
      </c>
      <c r="AI779" s="377">
        <f t="shared" si="489"/>
        <v>0.1</v>
      </c>
      <c r="AJ779" s="548">
        <v>1</v>
      </c>
      <c r="AK779" s="203">
        <f t="shared" si="496"/>
        <v>0</v>
      </c>
      <c r="AL779" s="376">
        <f t="shared" si="490"/>
        <v>3411000</v>
      </c>
      <c r="AM779" s="376">
        <f t="shared" si="491"/>
        <v>379000</v>
      </c>
      <c r="AN779" s="376">
        <f t="shared" si="492"/>
        <v>0</v>
      </c>
      <c r="AO779" s="378" t="s">
        <v>3607</v>
      </c>
      <c r="AP779" s="379" t="s">
        <v>5401</v>
      </c>
      <c r="AQ779" s="279"/>
      <c r="AR779" s="287">
        <f t="shared" si="459"/>
        <v>49000</v>
      </c>
      <c r="AS779" s="287">
        <f t="shared" si="460"/>
        <v>100000</v>
      </c>
      <c r="AT779" s="287">
        <f t="shared" si="461"/>
        <v>230000</v>
      </c>
      <c r="AU779" s="287">
        <f t="shared" si="462"/>
        <v>0</v>
      </c>
      <c r="AV779" s="287">
        <f t="shared" si="463"/>
        <v>0</v>
      </c>
      <c r="AW779" s="287">
        <f t="shared" si="464"/>
        <v>0</v>
      </c>
      <c r="AX779" s="287">
        <f t="shared" si="465"/>
        <v>0</v>
      </c>
      <c r="AY779" s="287">
        <f t="shared" si="466"/>
        <v>0</v>
      </c>
      <c r="AZ779" s="287">
        <f t="shared" si="467"/>
        <v>0</v>
      </c>
      <c r="BA779" s="287">
        <f t="shared" si="468"/>
        <v>0</v>
      </c>
      <c r="BB779" s="16"/>
      <c r="BC779" s="287">
        <f t="shared" si="469"/>
        <v>0</v>
      </c>
      <c r="BD779" s="287">
        <f t="shared" si="470"/>
        <v>0</v>
      </c>
      <c r="BE779" s="287">
        <f t="shared" si="471"/>
        <v>0</v>
      </c>
      <c r="BF779" s="287">
        <f t="shared" si="472"/>
        <v>0</v>
      </c>
      <c r="BG779" s="287">
        <f t="shared" si="473"/>
        <v>0</v>
      </c>
      <c r="BH779" s="287">
        <f t="shared" si="474"/>
        <v>0</v>
      </c>
      <c r="BI779" s="287">
        <f t="shared" si="475"/>
        <v>0</v>
      </c>
      <c r="BJ779" s="287">
        <f t="shared" si="476"/>
        <v>0</v>
      </c>
      <c r="BK779" s="287">
        <f t="shared" si="477"/>
        <v>0</v>
      </c>
      <c r="BL779" s="287">
        <f t="shared" si="478"/>
        <v>0</v>
      </c>
      <c r="BM779" s="16"/>
      <c r="BN779" s="287">
        <f t="shared" si="479"/>
        <v>379000</v>
      </c>
      <c r="BO779" s="287">
        <f t="shared" si="480"/>
        <v>0</v>
      </c>
      <c r="BP779" s="432"/>
      <c r="BQ779" s="21"/>
      <c r="BR779" s="21"/>
      <c r="BS779" s="6"/>
      <c r="BT779" s="194">
        <f t="shared" si="497"/>
        <v>379000</v>
      </c>
      <c r="BU779" s="194">
        <f t="shared" si="498"/>
        <v>379000</v>
      </c>
      <c r="BV779" s="194">
        <f t="shared" si="499"/>
        <v>0</v>
      </c>
      <c r="BW779" s="194">
        <f t="shared" si="500"/>
        <v>0</v>
      </c>
      <c r="BX779" s="6"/>
      <c r="BY779" s="6"/>
      <c r="BZ779" s="39">
        <v>766</v>
      </c>
      <c r="CA779" s="39">
        <f t="shared" si="481"/>
        <v>2031</v>
      </c>
      <c r="CB779" s="6"/>
      <c r="CC779" s="39"/>
      <c r="CD779" s="39"/>
      <c r="CE779" s="39"/>
      <c r="CF779" s="39"/>
      <c r="CG779" s="39"/>
      <c r="CH779" s="39"/>
      <c r="CI779" s="39"/>
      <c r="CJ779" s="39"/>
      <c r="CK779" s="39"/>
    </row>
    <row r="780" spans="1:89" s="193" customFormat="1">
      <c r="A780" s="357"/>
      <c r="B780" s="21" t="str">
        <f t="shared" si="458"/>
        <v>STW</v>
      </c>
      <c r="C780" s="21"/>
      <c r="D780" s="432">
        <v>3101032</v>
      </c>
      <c r="E780" s="439" t="s">
        <v>3626</v>
      </c>
      <c r="F780" s="439" t="s">
        <v>3700</v>
      </c>
      <c r="G780" s="273" t="s">
        <v>4406</v>
      </c>
      <c r="H780" s="358" t="s">
        <v>4499</v>
      </c>
      <c r="I780" s="262" t="s">
        <v>3491</v>
      </c>
      <c r="J780" s="262" t="s">
        <v>3504</v>
      </c>
      <c r="K780" s="263">
        <v>0</v>
      </c>
      <c r="L780" s="263">
        <v>900000</v>
      </c>
      <c r="M780" s="263">
        <v>900000</v>
      </c>
      <c r="N780" s="263">
        <v>1000000</v>
      </c>
      <c r="O780" s="263">
        <v>1000000</v>
      </c>
      <c r="P780" s="263">
        <v>1000000</v>
      </c>
      <c r="Q780" s="263">
        <v>1100000</v>
      </c>
      <c r="R780" s="263">
        <v>1100000</v>
      </c>
      <c r="S780" s="263">
        <v>0</v>
      </c>
      <c r="T780" s="263">
        <v>0</v>
      </c>
      <c r="U780" s="263">
        <f t="shared" si="495"/>
        <v>7000000</v>
      </c>
      <c r="V780" s="196" t="str">
        <f t="shared" si="503"/>
        <v>G</v>
      </c>
      <c r="W780" s="196" t="s">
        <v>1168</v>
      </c>
      <c r="X780" s="196" t="str">
        <f t="shared" si="501"/>
        <v>Y</v>
      </c>
      <c r="Y780" s="376">
        <f t="shared" si="502"/>
        <v>7000000</v>
      </c>
      <c r="Z780" s="198"/>
      <c r="AA780" s="376">
        <f t="shared" si="504"/>
        <v>7000000</v>
      </c>
      <c r="AB780" s="196" t="s">
        <v>1166</v>
      </c>
      <c r="AC780" s="196" t="s">
        <v>1168</v>
      </c>
      <c r="AD780" s="275">
        <v>1</v>
      </c>
      <c r="AE780" s="275">
        <v>0</v>
      </c>
      <c r="AF780" s="275">
        <v>0</v>
      </c>
      <c r="AG780" s="442">
        <v>1</v>
      </c>
      <c r="AH780" s="442">
        <v>1</v>
      </c>
      <c r="AI780" s="377">
        <f t="shared" si="489"/>
        <v>1</v>
      </c>
      <c r="AJ780" s="687">
        <v>0.5</v>
      </c>
      <c r="AK780" s="203">
        <f t="shared" si="496"/>
        <v>0.5</v>
      </c>
      <c r="AL780" s="376">
        <f t="shared" si="490"/>
        <v>0</v>
      </c>
      <c r="AM780" s="376">
        <f t="shared" si="491"/>
        <v>3500000</v>
      </c>
      <c r="AN780" s="376">
        <f t="shared" si="492"/>
        <v>3500000</v>
      </c>
      <c r="AO780" s="378" t="s">
        <v>3607</v>
      </c>
      <c r="AP780" s="379" t="s">
        <v>5426</v>
      </c>
      <c r="AQ780" s="279"/>
      <c r="AR780" s="287">
        <f t="shared" si="459"/>
        <v>0</v>
      </c>
      <c r="AS780" s="287">
        <f t="shared" si="460"/>
        <v>450000</v>
      </c>
      <c r="AT780" s="287">
        <f t="shared" si="461"/>
        <v>450000</v>
      </c>
      <c r="AU780" s="287">
        <f t="shared" si="462"/>
        <v>500000</v>
      </c>
      <c r="AV780" s="287">
        <f t="shared" si="463"/>
        <v>500000</v>
      </c>
      <c r="AW780" s="287">
        <f t="shared" si="464"/>
        <v>500000</v>
      </c>
      <c r="AX780" s="287">
        <f t="shared" si="465"/>
        <v>550000</v>
      </c>
      <c r="AY780" s="287">
        <f t="shared" si="466"/>
        <v>550000</v>
      </c>
      <c r="AZ780" s="287">
        <f t="shared" si="467"/>
        <v>0</v>
      </c>
      <c r="BA780" s="287">
        <f t="shared" si="468"/>
        <v>0</v>
      </c>
      <c r="BB780" s="16"/>
      <c r="BC780" s="287">
        <f t="shared" si="469"/>
        <v>0</v>
      </c>
      <c r="BD780" s="287">
        <f t="shared" si="470"/>
        <v>450000</v>
      </c>
      <c r="BE780" s="287">
        <f t="shared" si="471"/>
        <v>450000</v>
      </c>
      <c r="BF780" s="287">
        <f t="shared" si="472"/>
        <v>500000</v>
      </c>
      <c r="BG780" s="287">
        <f t="shared" si="473"/>
        <v>500000</v>
      </c>
      <c r="BH780" s="287">
        <f t="shared" si="474"/>
        <v>500000</v>
      </c>
      <c r="BI780" s="287">
        <f t="shared" si="475"/>
        <v>550000</v>
      </c>
      <c r="BJ780" s="287">
        <f t="shared" si="476"/>
        <v>550000</v>
      </c>
      <c r="BK780" s="287">
        <f t="shared" si="477"/>
        <v>0</v>
      </c>
      <c r="BL780" s="287">
        <f t="shared" si="478"/>
        <v>0</v>
      </c>
      <c r="BM780" s="16"/>
      <c r="BN780" s="287">
        <f t="shared" si="479"/>
        <v>3500000</v>
      </c>
      <c r="BO780" s="287">
        <f t="shared" si="480"/>
        <v>3500000</v>
      </c>
      <c r="BP780" s="432"/>
      <c r="BQ780" s="21"/>
      <c r="BR780" s="21"/>
      <c r="BS780" s="6"/>
      <c r="BT780" s="194">
        <f t="shared" si="497"/>
        <v>7000000</v>
      </c>
      <c r="BU780" s="194">
        <f t="shared" si="498"/>
        <v>3500000</v>
      </c>
      <c r="BV780" s="194">
        <f t="shared" si="499"/>
        <v>3500000</v>
      </c>
      <c r="BW780" s="194">
        <f t="shared" si="500"/>
        <v>0</v>
      </c>
      <c r="BX780" s="6"/>
      <c r="BY780" s="6"/>
      <c r="BZ780" s="39">
        <v>767</v>
      </c>
      <c r="CA780" s="39">
        <f t="shared" si="481"/>
        <v>2041</v>
      </c>
      <c r="CB780" s="6"/>
      <c r="CC780" s="39"/>
      <c r="CD780" s="39"/>
      <c r="CE780" s="39"/>
      <c r="CF780" s="39"/>
      <c r="CG780" s="39"/>
      <c r="CH780" s="39"/>
      <c r="CI780" s="39"/>
      <c r="CJ780" s="39"/>
      <c r="CK780" s="39"/>
    </row>
    <row r="781" spans="1:89" s="193" customFormat="1" ht="24">
      <c r="A781" s="357"/>
      <c r="B781" s="21" t="str">
        <f t="shared" si="458"/>
        <v>STW</v>
      </c>
      <c r="C781" s="21"/>
      <c r="D781" s="432">
        <v>2310130</v>
      </c>
      <c r="E781" s="439" t="s">
        <v>3626</v>
      </c>
      <c r="F781" s="439" t="s">
        <v>3678</v>
      </c>
      <c r="G781" s="520" t="s">
        <v>2356</v>
      </c>
      <c r="H781" s="500" t="s">
        <v>4541</v>
      </c>
      <c r="I781" s="262" t="s">
        <v>3491</v>
      </c>
      <c r="J781" s="262" t="s">
        <v>3517</v>
      </c>
      <c r="K781" s="263">
        <v>800000</v>
      </c>
      <c r="L781" s="263">
        <v>0</v>
      </c>
      <c r="M781" s="263">
        <v>0</v>
      </c>
      <c r="N781" s="263">
        <v>0</v>
      </c>
      <c r="O781" s="263">
        <v>0</v>
      </c>
      <c r="P781" s="263">
        <v>0</v>
      </c>
      <c r="Q781" s="263">
        <v>0</v>
      </c>
      <c r="R781" s="263">
        <v>0</v>
      </c>
      <c r="S781" s="263">
        <v>0</v>
      </c>
      <c r="T781" s="263">
        <v>0</v>
      </c>
      <c r="U781" s="263">
        <f t="shared" si="495"/>
        <v>800000</v>
      </c>
      <c r="V781" s="196" t="str">
        <f t="shared" si="503"/>
        <v>G</v>
      </c>
      <c r="W781" s="196" t="s">
        <v>1168</v>
      </c>
      <c r="X781" s="196" t="str">
        <f t="shared" si="501"/>
        <v>Y</v>
      </c>
      <c r="Y781" s="376">
        <f t="shared" si="502"/>
        <v>800000</v>
      </c>
      <c r="Z781" s="198"/>
      <c r="AA781" s="376">
        <f t="shared" si="504"/>
        <v>800000</v>
      </c>
      <c r="AB781" s="196" t="s">
        <v>1166</v>
      </c>
      <c r="AC781" s="196" t="s">
        <v>1168</v>
      </c>
      <c r="AD781" s="275">
        <v>1</v>
      </c>
      <c r="AE781" s="275">
        <v>0</v>
      </c>
      <c r="AF781" s="275">
        <v>0</v>
      </c>
      <c r="AG781" s="442">
        <v>1</v>
      </c>
      <c r="AH781" s="442">
        <v>1</v>
      </c>
      <c r="AI781" s="377">
        <f t="shared" si="489"/>
        <v>1</v>
      </c>
      <c r="AJ781" s="548">
        <v>1</v>
      </c>
      <c r="AK781" s="203">
        <f t="shared" si="496"/>
        <v>0</v>
      </c>
      <c r="AL781" s="376">
        <f t="shared" si="490"/>
        <v>0</v>
      </c>
      <c r="AM781" s="376">
        <f t="shared" si="491"/>
        <v>800000</v>
      </c>
      <c r="AN781" s="376">
        <f t="shared" si="492"/>
        <v>0</v>
      </c>
      <c r="AO781" s="378" t="s">
        <v>3607</v>
      </c>
      <c r="AP781" s="379" t="s">
        <v>5403</v>
      </c>
      <c r="AQ781" s="279"/>
      <c r="AR781" s="287">
        <f t="shared" si="459"/>
        <v>800000</v>
      </c>
      <c r="AS781" s="287">
        <f t="shared" si="460"/>
        <v>0</v>
      </c>
      <c r="AT781" s="287">
        <f t="shared" si="461"/>
        <v>0</v>
      </c>
      <c r="AU781" s="287">
        <f t="shared" si="462"/>
        <v>0</v>
      </c>
      <c r="AV781" s="287">
        <f t="shared" si="463"/>
        <v>0</v>
      </c>
      <c r="AW781" s="287">
        <f t="shared" si="464"/>
        <v>0</v>
      </c>
      <c r="AX781" s="287">
        <f t="shared" si="465"/>
        <v>0</v>
      </c>
      <c r="AY781" s="287">
        <f t="shared" si="466"/>
        <v>0</v>
      </c>
      <c r="AZ781" s="287">
        <f t="shared" si="467"/>
        <v>0</v>
      </c>
      <c r="BA781" s="287">
        <f t="shared" si="468"/>
        <v>0</v>
      </c>
      <c r="BB781" s="16"/>
      <c r="BC781" s="287">
        <f t="shared" si="469"/>
        <v>0</v>
      </c>
      <c r="BD781" s="287">
        <f t="shared" si="470"/>
        <v>0</v>
      </c>
      <c r="BE781" s="287">
        <f t="shared" si="471"/>
        <v>0</v>
      </c>
      <c r="BF781" s="287">
        <f t="shared" si="472"/>
        <v>0</v>
      </c>
      <c r="BG781" s="287">
        <f t="shared" si="473"/>
        <v>0</v>
      </c>
      <c r="BH781" s="287">
        <f t="shared" si="474"/>
        <v>0</v>
      </c>
      <c r="BI781" s="287">
        <f t="shared" si="475"/>
        <v>0</v>
      </c>
      <c r="BJ781" s="287">
        <f t="shared" si="476"/>
        <v>0</v>
      </c>
      <c r="BK781" s="287">
        <f t="shared" si="477"/>
        <v>0</v>
      </c>
      <c r="BL781" s="287">
        <f t="shared" si="478"/>
        <v>0</v>
      </c>
      <c r="BM781" s="16"/>
      <c r="BN781" s="287">
        <f t="shared" si="479"/>
        <v>800000</v>
      </c>
      <c r="BO781" s="287">
        <f t="shared" si="480"/>
        <v>0</v>
      </c>
      <c r="BP781" s="432"/>
      <c r="BQ781" s="21"/>
      <c r="BR781" s="21"/>
      <c r="BS781" s="6"/>
      <c r="BT781" s="194">
        <f t="shared" si="497"/>
        <v>800000</v>
      </c>
      <c r="BU781" s="194">
        <f t="shared" si="498"/>
        <v>800000</v>
      </c>
      <c r="BV781" s="194">
        <f t="shared" si="499"/>
        <v>0</v>
      </c>
      <c r="BW781" s="194">
        <f t="shared" si="500"/>
        <v>0</v>
      </c>
      <c r="BX781" s="6"/>
      <c r="BY781" s="6"/>
      <c r="BZ781" s="39">
        <v>768</v>
      </c>
      <c r="CA781" s="39">
        <f t="shared" si="481"/>
        <v>2031</v>
      </c>
      <c r="CB781" s="6"/>
      <c r="CC781" s="39"/>
      <c r="CD781" s="39"/>
      <c r="CE781" s="39"/>
      <c r="CF781" s="39"/>
      <c r="CG781" s="39"/>
      <c r="CH781" s="39"/>
      <c r="CI781" s="39"/>
      <c r="CJ781" s="39"/>
      <c r="CK781" s="39"/>
    </row>
    <row r="782" spans="1:89" s="193" customFormat="1" ht="24">
      <c r="A782" s="357"/>
      <c r="B782" s="21" t="str">
        <f t="shared" ref="B782:B845" si="505">LEFT(AP782,3)</f>
        <v>STW</v>
      </c>
      <c r="C782" s="21"/>
      <c r="D782" s="432" t="s">
        <v>3945</v>
      </c>
      <c r="E782" s="439" t="s">
        <v>3626</v>
      </c>
      <c r="F782" s="439" t="s">
        <v>3944</v>
      </c>
      <c r="G782" s="273" t="s">
        <v>3943</v>
      </c>
      <c r="H782" s="358" t="s">
        <v>4523</v>
      </c>
      <c r="I782" s="262" t="s">
        <v>3491</v>
      </c>
      <c r="J782" s="262" t="s">
        <v>4198</v>
      </c>
      <c r="K782" s="263">
        <v>1275000</v>
      </c>
      <c r="L782" s="263">
        <v>5000</v>
      </c>
      <c r="M782" s="263">
        <v>0</v>
      </c>
      <c r="N782" s="263">
        <v>0</v>
      </c>
      <c r="O782" s="263">
        <v>0</v>
      </c>
      <c r="P782" s="263">
        <v>0</v>
      </c>
      <c r="Q782" s="263">
        <v>0</v>
      </c>
      <c r="R782" s="263">
        <v>0</v>
      </c>
      <c r="S782" s="263">
        <v>0</v>
      </c>
      <c r="T782" s="263">
        <v>0</v>
      </c>
      <c r="U782" s="263">
        <f t="shared" si="495"/>
        <v>1280000</v>
      </c>
      <c r="V782" s="196" t="str">
        <f t="shared" si="503"/>
        <v>G/LOS/R</v>
      </c>
      <c r="W782" s="196" t="s">
        <v>1168</v>
      </c>
      <c r="X782" s="196" t="str">
        <f t="shared" si="501"/>
        <v>Y</v>
      </c>
      <c r="Y782" s="376">
        <f t="shared" si="502"/>
        <v>1280000</v>
      </c>
      <c r="Z782" s="198"/>
      <c r="AA782" s="376">
        <f t="shared" si="504"/>
        <v>1280000</v>
      </c>
      <c r="AB782" s="196" t="s">
        <v>1166</v>
      </c>
      <c r="AC782" s="196" t="s">
        <v>1168</v>
      </c>
      <c r="AD782" s="275">
        <v>0.1</v>
      </c>
      <c r="AE782" s="275">
        <v>0.85000000000000009</v>
      </c>
      <c r="AF782" s="275">
        <v>0.05</v>
      </c>
      <c r="AG782" s="442">
        <v>0.1</v>
      </c>
      <c r="AH782" s="442">
        <v>0.1</v>
      </c>
      <c r="AI782" s="377">
        <f t="shared" si="489"/>
        <v>0.1</v>
      </c>
      <c r="AJ782" s="688">
        <v>1</v>
      </c>
      <c r="AK782" s="203">
        <f t="shared" si="496"/>
        <v>0</v>
      </c>
      <c r="AL782" s="376">
        <f t="shared" si="490"/>
        <v>1152000</v>
      </c>
      <c r="AM782" s="376">
        <f t="shared" si="491"/>
        <v>128000</v>
      </c>
      <c r="AN782" s="376">
        <f t="shared" si="492"/>
        <v>0</v>
      </c>
      <c r="AO782" s="378" t="s">
        <v>3607</v>
      </c>
      <c r="AP782" s="379" t="s">
        <v>5395</v>
      </c>
      <c r="AQ782" s="279"/>
      <c r="AR782" s="287">
        <f t="shared" si="459"/>
        <v>127500</v>
      </c>
      <c r="AS782" s="287">
        <f t="shared" si="460"/>
        <v>500</v>
      </c>
      <c r="AT782" s="287">
        <f t="shared" si="461"/>
        <v>0</v>
      </c>
      <c r="AU782" s="287">
        <f t="shared" si="462"/>
        <v>0</v>
      </c>
      <c r="AV782" s="287">
        <f t="shared" si="463"/>
        <v>0</v>
      </c>
      <c r="AW782" s="287">
        <f t="shared" si="464"/>
        <v>0</v>
      </c>
      <c r="AX782" s="287">
        <f t="shared" si="465"/>
        <v>0</v>
      </c>
      <c r="AY782" s="287">
        <f t="shared" si="466"/>
        <v>0</v>
      </c>
      <c r="AZ782" s="287">
        <f t="shared" si="467"/>
        <v>0</v>
      </c>
      <c r="BA782" s="287">
        <f t="shared" si="468"/>
        <v>0</v>
      </c>
      <c r="BB782" s="16"/>
      <c r="BC782" s="287">
        <f t="shared" si="469"/>
        <v>0</v>
      </c>
      <c r="BD782" s="287">
        <f t="shared" si="470"/>
        <v>0</v>
      </c>
      <c r="BE782" s="287">
        <f t="shared" si="471"/>
        <v>0</v>
      </c>
      <c r="BF782" s="287">
        <f t="shared" si="472"/>
        <v>0</v>
      </c>
      <c r="BG782" s="287">
        <f t="shared" si="473"/>
        <v>0</v>
      </c>
      <c r="BH782" s="287">
        <f t="shared" si="474"/>
        <v>0</v>
      </c>
      <c r="BI782" s="287">
        <f t="shared" si="475"/>
        <v>0</v>
      </c>
      <c r="BJ782" s="287">
        <f t="shared" si="476"/>
        <v>0</v>
      </c>
      <c r="BK782" s="287">
        <f t="shared" si="477"/>
        <v>0</v>
      </c>
      <c r="BL782" s="287">
        <f t="shared" si="478"/>
        <v>0</v>
      </c>
      <c r="BM782" s="16"/>
      <c r="BN782" s="287">
        <f t="shared" si="479"/>
        <v>128000</v>
      </c>
      <c r="BO782" s="287">
        <f t="shared" si="480"/>
        <v>0</v>
      </c>
      <c r="BP782" s="432"/>
      <c r="BQ782" s="21"/>
      <c r="BR782" s="21"/>
      <c r="BS782" s="6"/>
      <c r="BT782" s="194">
        <f t="shared" si="497"/>
        <v>128000</v>
      </c>
      <c r="BU782" s="194">
        <f t="shared" si="498"/>
        <v>128000</v>
      </c>
      <c r="BV782" s="194">
        <f t="shared" si="499"/>
        <v>0</v>
      </c>
      <c r="BW782" s="194">
        <f t="shared" si="500"/>
        <v>0</v>
      </c>
      <c r="BX782" s="6"/>
      <c r="BY782" s="6"/>
      <c r="BZ782" s="39">
        <v>769</v>
      </c>
      <c r="CA782" s="39">
        <f t="shared" si="481"/>
        <v>2031</v>
      </c>
      <c r="CB782" s="6"/>
      <c r="CC782" s="39"/>
      <c r="CD782" s="39"/>
      <c r="CE782" s="39"/>
      <c r="CF782" s="39"/>
      <c r="CG782" s="39"/>
      <c r="CH782" s="39"/>
      <c r="CI782" s="39"/>
      <c r="CJ782" s="39"/>
      <c r="CK782" s="39"/>
    </row>
    <row r="783" spans="1:89" s="193" customFormat="1">
      <c r="A783" s="357"/>
      <c r="B783" s="21" t="str">
        <f t="shared" si="505"/>
        <v>STW</v>
      </c>
      <c r="C783" s="21"/>
      <c r="D783" s="432" t="s">
        <v>3933</v>
      </c>
      <c r="E783" s="439" t="s">
        <v>3626</v>
      </c>
      <c r="F783" s="439" t="s">
        <v>4111</v>
      </c>
      <c r="G783" s="273" t="s">
        <v>4609</v>
      </c>
      <c r="H783" s="358" t="s">
        <v>4517</v>
      </c>
      <c r="I783" s="262" t="s">
        <v>3491</v>
      </c>
      <c r="J783" s="262" t="s">
        <v>4190</v>
      </c>
      <c r="K783" s="263">
        <v>165500</v>
      </c>
      <c r="L783" s="263">
        <v>0</v>
      </c>
      <c r="M783" s="263">
        <v>0</v>
      </c>
      <c r="N783" s="263">
        <v>0</v>
      </c>
      <c r="O783" s="263">
        <v>0</v>
      </c>
      <c r="P783" s="263">
        <v>0</v>
      </c>
      <c r="Q783" s="263">
        <v>0</v>
      </c>
      <c r="R783" s="263">
        <v>0</v>
      </c>
      <c r="S783" s="263">
        <v>0</v>
      </c>
      <c r="T783" s="263">
        <v>0</v>
      </c>
      <c r="U783" s="263">
        <f t="shared" si="495"/>
        <v>165500</v>
      </c>
      <c r="V783" s="196" t="str">
        <f t="shared" si="503"/>
        <v>G/LOS/R</v>
      </c>
      <c r="W783" s="196" t="s">
        <v>1168</v>
      </c>
      <c r="X783" s="196" t="str">
        <f t="shared" si="501"/>
        <v>Y</v>
      </c>
      <c r="Y783" s="376">
        <f t="shared" si="502"/>
        <v>165500</v>
      </c>
      <c r="Z783" s="198"/>
      <c r="AA783" s="376">
        <f t="shared" si="504"/>
        <v>165500</v>
      </c>
      <c r="AB783" s="196" t="s">
        <v>1166</v>
      </c>
      <c r="AC783" s="196" t="s">
        <v>1168</v>
      </c>
      <c r="AD783" s="275">
        <v>0.1</v>
      </c>
      <c r="AE783" s="275">
        <v>0.1</v>
      </c>
      <c r="AF783" s="275">
        <v>0.8</v>
      </c>
      <c r="AG783" s="442">
        <v>0.1</v>
      </c>
      <c r="AH783" s="442">
        <v>0.1</v>
      </c>
      <c r="AI783" s="377">
        <f t="shared" si="489"/>
        <v>0.1</v>
      </c>
      <c r="AJ783" s="548">
        <v>1</v>
      </c>
      <c r="AK783" s="203">
        <f t="shared" si="496"/>
        <v>0</v>
      </c>
      <c r="AL783" s="376">
        <f t="shared" si="490"/>
        <v>148950</v>
      </c>
      <c r="AM783" s="376">
        <f t="shared" si="491"/>
        <v>16550</v>
      </c>
      <c r="AN783" s="376">
        <f t="shared" si="492"/>
        <v>0</v>
      </c>
      <c r="AO783" s="378" t="s">
        <v>3607</v>
      </c>
      <c r="AP783" s="379" t="s">
        <v>5394</v>
      </c>
      <c r="AQ783" s="279"/>
      <c r="AR783" s="287">
        <f t="shared" ref="AR783:AR847" si="506">K783*$AI783*$AJ783</f>
        <v>16550</v>
      </c>
      <c r="AS783" s="287">
        <f t="shared" ref="AS783:AS847" si="507">L783*$AI783*$AJ783</f>
        <v>0</v>
      </c>
      <c r="AT783" s="287">
        <f t="shared" ref="AT783:AT847" si="508">M783*$AI783*$AJ783</f>
        <v>0</v>
      </c>
      <c r="AU783" s="287">
        <f t="shared" ref="AU783:AU847" si="509">N783*$AI783*$AJ783</f>
        <v>0</v>
      </c>
      <c r="AV783" s="287">
        <f t="shared" ref="AV783:AV847" si="510">O783*$AI783*$AJ783</f>
        <v>0</v>
      </c>
      <c r="AW783" s="287">
        <f t="shared" ref="AW783:AW847" si="511">P783*$AI783*$AJ783</f>
        <v>0</v>
      </c>
      <c r="AX783" s="287">
        <f t="shared" ref="AX783:AX847" si="512">Q783*$AI783*$AJ783</f>
        <v>0</v>
      </c>
      <c r="AY783" s="287">
        <f t="shared" ref="AY783:AY847" si="513">R783*$AI783*$AJ783</f>
        <v>0</v>
      </c>
      <c r="AZ783" s="287">
        <f t="shared" ref="AZ783:AZ847" si="514">S783*$AI783*$AJ783</f>
        <v>0</v>
      </c>
      <c r="BA783" s="287">
        <f t="shared" ref="BA783:BA847" si="515">T783*$AI783*$AJ783</f>
        <v>0</v>
      </c>
      <c r="BB783" s="16"/>
      <c r="BC783" s="287">
        <f t="shared" ref="BC783:BC847" si="516">K783*$AI783*$AK783</f>
        <v>0</v>
      </c>
      <c r="BD783" s="287">
        <f t="shared" ref="BD783:BD847" si="517">L783*$AI783*$AK783</f>
        <v>0</v>
      </c>
      <c r="BE783" s="287">
        <f t="shared" ref="BE783:BE847" si="518">M783*$AI783*$AK783</f>
        <v>0</v>
      </c>
      <c r="BF783" s="287">
        <f t="shared" ref="BF783:BF847" si="519">N783*$AI783*$AK783</f>
        <v>0</v>
      </c>
      <c r="BG783" s="287">
        <f t="shared" ref="BG783:BG847" si="520">O783*$AI783*$AK783</f>
        <v>0</v>
      </c>
      <c r="BH783" s="287">
        <f t="shared" ref="BH783:BH847" si="521">P783*$AI783*$AK783</f>
        <v>0</v>
      </c>
      <c r="BI783" s="287">
        <f t="shared" ref="BI783:BI847" si="522">Q783*$AI783*$AK783</f>
        <v>0</v>
      </c>
      <c r="BJ783" s="287">
        <f t="shared" ref="BJ783:BJ847" si="523">R783*$AI783*$AK783</f>
        <v>0</v>
      </c>
      <c r="BK783" s="287">
        <f t="shared" ref="BK783:BK847" si="524">S783*$AI783*$AK783</f>
        <v>0</v>
      </c>
      <c r="BL783" s="287">
        <f t="shared" ref="BL783:BL847" si="525">T783*$AI783*$AK783</f>
        <v>0</v>
      </c>
      <c r="BM783" s="16"/>
      <c r="BN783" s="287">
        <f t="shared" ref="BN783:BN847" si="526">SUM(AR783:BA783)</f>
        <v>16550</v>
      </c>
      <c r="BO783" s="287">
        <f t="shared" ref="BO783:BO847" si="527">SUM(BC783:BL783)</f>
        <v>0</v>
      </c>
      <c r="BP783" s="432"/>
      <c r="BQ783" s="21"/>
      <c r="BR783" s="21"/>
      <c r="BS783" s="6"/>
      <c r="BT783" s="194">
        <f t="shared" si="497"/>
        <v>16550</v>
      </c>
      <c r="BU783" s="194">
        <f t="shared" si="498"/>
        <v>16550</v>
      </c>
      <c r="BV783" s="194">
        <f t="shared" si="499"/>
        <v>0</v>
      </c>
      <c r="BW783" s="194">
        <f t="shared" si="500"/>
        <v>0</v>
      </c>
      <c r="BX783" s="6"/>
      <c r="BY783" s="6"/>
      <c r="BZ783" s="39">
        <v>770</v>
      </c>
      <c r="CA783" s="39">
        <f t="shared" ref="CA783:CA845" si="528">IFERROR(ROUND(IF(AJ783=100%,2031,1/AJ783*10+2021),0),"")</f>
        <v>2031</v>
      </c>
      <c r="CB783" s="6"/>
      <c r="CC783" s="39"/>
      <c r="CD783" s="39"/>
      <c r="CE783" s="39"/>
      <c r="CF783" s="39"/>
      <c r="CG783" s="39"/>
      <c r="CH783" s="39"/>
      <c r="CI783" s="39"/>
      <c r="CJ783" s="39"/>
      <c r="CK783" s="39"/>
    </row>
    <row r="784" spans="1:89" s="541" customFormat="1">
      <c r="A784" s="522"/>
      <c r="B784" s="523" t="str">
        <f t="shared" si="505"/>
        <v>STW</v>
      </c>
      <c r="C784" s="523"/>
      <c r="D784" s="524" t="s">
        <v>3978</v>
      </c>
      <c r="E784" s="525" t="s">
        <v>3626</v>
      </c>
      <c r="F784" s="525" t="s">
        <v>3982</v>
      </c>
      <c r="G784" s="526" t="s">
        <v>3981</v>
      </c>
      <c r="H784" s="526" t="s">
        <v>5337</v>
      </c>
      <c r="I784" s="524" t="s">
        <v>3491</v>
      </c>
      <c r="J784" s="524" t="s">
        <v>3504</v>
      </c>
      <c r="K784" s="528">
        <v>1372675</v>
      </c>
      <c r="L784" s="528">
        <v>0</v>
      </c>
      <c r="M784" s="528">
        <v>0</v>
      </c>
      <c r="N784" s="528">
        <v>0</v>
      </c>
      <c r="O784" s="528">
        <v>0</v>
      </c>
      <c r="P784" s="528">
        <v>0</v>
      </c>
      <c r="Q784" s="528">
        <v>0</v>
      </c>
      <c r="R784" s="528">
        <v>0</v>
      </c>
      <c r="S784" s="528">
        <v>0</v>
      </c>
      <c r="T784" s="528">
        <v>0</v>
      </c>
      <c r="U784" s="617">
        <f t="shared" si="495"/>
        <v>1372675</v>
      </c>
      <c r="V784" s="529" t="str">
        <f t="shared" si="503"/>
        <v>G</v>
      </c>
      <c r="W784" s="529" t="s">
        <v>1168</v>
      </c>
      <c r="X784" s="529" t="str">
        <f t="shared" si="501"/>
        <v>Y</v>
      </c>
      <c r="Y784" s="530">
        <f t="shared" si="502"/>
        <v>1372675</v>
      </c>
      <c r="Z784" s="531"/>
      <c r="AA784" s="530">
        <f t="shared" si="504"/>
        <v>1372675</v>
      </c>
      <c r="AB784" s="529" t="s">
        <v>1166</v>
      </c>
      <c r="AC784" s="529" t="s">
        <v>1168</v>
      </c>
      <c r="AD784" s="532">
        <v>1</v>
      </c>
      <c r="AE784" s="532">
        <v>0</v>
      </c>
      <c r="AF784" s="532">
        <v>0</v>
      </c>
      <c r="AG784" s="533">
        <v>1</v>
      </c>
      <c r="AH784" s="533">
        <v>1</v>
      </c>
      <c r="AI784" s="534">
        <f t="shared" si="489"/>
        <v>1</v>
      </c>
      <c r="AJ784" s="535">
        <v>1</v>
      </c>
      <c r="AK784" s="535">
        <f t="shared" si="496"/>
        <v>0</v>
      </c>
      <c r="AL784" s="530">
        <f t="shared" si="490"/>
        <v>0</v>
      </c>
      <c r="AM784" s="530">
        <f t="shared" si="491"/>
        <v>1372675</v>
      </c>
      <c r="AN784" s="530">
        <f t="shared" si="492"/>
        <v>0</v>
      </c>
      <c r="AO784" s="536" t="s">
        <v>3607</v>
      </c>
      <c r="AP784" s="537" t="s">
        <v>5420</v>
      </c>
      <c r="AQ784" s="538"/>
      <c r="AR784" s="287">
        <f t="shared" si="506"/>
        <v>1372675</v>
      </c>
      <c r="AS784" s="287">
        <f t="shared" si="507"/>
        <v>0</v>
      </c>
      <c r="AT784" s="287">
        <f t="shared" si="508"/>
        <v>0</v>
      </c>
      <c r="AU784" s="287">
        <f t="shared" si="509"/>
        <v>0</v>
      </c>
      <c r="AV784" s="287">
        <f t="shared" si="510"/>
        <v>0</v>
      </c>
      <c r="AW784" s="287">
        <f t="shared" si="511"/>
        <v>0</v>
      </c>
      <c r="AX784" s="287">
        <f t="shared" si="512"/>
        <v>0</v>
      </c>
      <c r="AY784" s="287">
        <f t="shared" si="513"/>
        <v>0</v>
      </c>
      <c r="AZ784" s="287">
        <f t="shared" si="514"/>
        <v>0</v>
      </c>
      <c r="BA784" s="287">
        <f t="shared" si="515"/>
        <v>0</v>
      </c>
      <c r="BB784" s="16"/>
      <c r="BC784" s="287">
        <f t="shared" si="516"/>
        <v>0</v>
      </c>
      <c r="BD784" s="287">
        <f t="shared" si="517"/>
        <v>0</v>
      </c>
      <c r="BE784" s="287">
        <f t="shared" si="518"/>
        <v>0</v>
      </c>
      <c r="BF784" s="287">
        <f t="shared" si="519"/>
        <v>0</v>
      </c>
      <c r="BG784" s="287">
        <f t="shared" si="520"/>
        <v>0</v>
      </c>
      <c r="BH784" s="287">
        <f t="shared" si="521"/>
        <v>0</v>
      </c>
      <c r="BI784" s="287">
        <f t="shared" si="522"/>
        <v>0</v>
      </c>
      <c r="BJ784" s="287">
        <f t="shared" si="523"/>
        <v>0</v>
      </c>
      <c r="BK784" s="287">
        <f t="shared" si="524"/>
        <v>0</v>
      </c>
      <c r="BL784" s="287">
        <f t="shared" si="525"/>
        <v>0</v>
      </c>
      <c r="BM784" s="16"/>
      <c r="BN784" s="287">
        <f t="shared" si="526"/>
        <v>1372675</v>
      </c>
      <c r="BO784" s="287">
        <f t="shared" si="527"/>
        <v>0</v>
      </c>
      <c r="BP784" s="524"/>
      <c r="BQ784" s="523"/>
      <c r="BR784" s="523"/>
      <c r="BS784" s="523"/>
      <c r="BT784" s="539">
        <f t="shared" si="497"/>
        <v>1372675</v>
      </c>
      <c r="BU784" s="539">
        <f t="shared" si="498"/>
        <v>1372675</v>
      </c>
      <c r="BV784" s="539">
        <f t="shared" si="499"/>
        <v>0</v>
      </c>
      <c r="BW784" s="539">
        <f t="shared" si="500"/>
        <v>0</v>
      </c>
      <c r="BX784" s="523"/>
      <c r="BY784" s="523"/>
      <c r="BZ784" s="39">
        <v>771</v>
      </c>
      <c r="CA784" s="39">
        <f t="shared" si="528"/>
        <v>2031</v>
      </c>
      <c r="CB784" s="523"/>
      <c r="CC784" s="540"/>
      <c r="CD784" s="540"/>
      <c r="CE784" s="540"/>
      <c r="CF784" s="540"/>
      <c r="CG784" s="540"/>
      <c r="CH784" s="540"/>
      <c r="CI784" s="540"/>
      <c r="CJ784" s="540"/>
      <c r="CK784" s="540"/>
    </row>
    <row r="785" spans="1:89" s="193" customFormat="1">
      <c r="A785" s="357"/>
      <c r="B785" s="21" t="str">
        <f t="shared" si="505"/>
        <v>STW</v>
      </c>
      <c r="C785" s="21"/>
      <c r="D785" s="432">
        <v>3101115</v>
      </c>
      <c r="E785" s="439" t="s">
        <v>3626</v>
      </c>
      <c r="F785" s="439" t="s">
        <v>3704</v>
      </c>
      <c r="G785" s="273" t="s">
        <v>3346</v>
      </c>
      <c r="H785" s="358" t="s">
        <v>4542</v>
      </c>
      <c r="I785" s="262" t="s">
        <v>3491</v>
      </c>
      <c r="J785" s="262" t="s">
        <v>3512</v>
      </c>
      <c r="K785" s="263">
        <v>699999.96</v>
      </c>
      <c r="L785" s="263">
        <v>0</v>
      </c>
      <c r="M785" s="263">
        <v>0</v>
      </c>
      <c r="N785" s="263">
        <v>2489950</v>
      </c>
      <c r="O785" s="263">
        <v>0</v>
      </c>
      <c r="P785" s="263">
        <v>0</v>
      </c>
      <c r="Q785" s="263">
        <v>0</v>
      </c>
      <c r="R785" s="263">
        <v>0</v>
      </c>
      <c r="S785" s="263">
        <v>0</v>
      </c>
      <c r="T785" s="263">
        <v>0</v>
      </c>
      <c r="U785" s="263">
        <f t="shared" si="495"/>
        <v>3189949.96</v>
      </c>
      <c r="V785" s="196" t="str">
        <f t="shared" si="503"/>
        <v>G</v>
      </c>
      <c r="W785" s="196" t="s">
        <v>1168</v>
      </c>
      <c r="X785" s="196" t="str">
        <f t="shared" si="501"/>
        <v>Y</v>
      </c>
      <c r="Y785" s="376">
        <f t="shared" si="502"/>
        <v>3189949.96</v>
      </c>
      <c r="Z785" s="198"/>
      <c r="AA785" s="376">
        <f t="shared" si="504"/>
        <v>3189949.96</v>
      </c>
      <c r="AB785" s="196" t="s">
        <v>1166</v>
      </c>
      <c r="AC785" s="196" t="s">
        <v>3624</v>
      </c>
      <c r="AD785" s="275">
        <v>1</v>
      </c>
      <c r="AE785" s="275">
        <v>0</v>
      </c>
      <c r="AF785" s="275">
        <v>0</v>
      </c>
      <c r="AG785" s="442">
        <v>1</v>
      </c>
      <c r="AH785" s="442">
        <v>1</v>
      </c>
      <c r="AI785" s="377">
        <f t="shared" si="489"/>
        <v>1</v>
      </c>
      <c r="AJ785" s="548">
        <v>1</v>
      </c>
      <c r="AK785" s="203">
        <f t="shared" si="496"/>
        <v>0</v>
      </c>
      <c r="AL785" s="376">
        <f t="shared" si="490"/>
        <v>0</v>
      </c>
      <c r="AM785" s="376">
        <f t="shared" si="491"/>
        <v>3189949.96</v>
      </c>
      <c r="AN785" s="376">
        <f t="shared" si="492"/>
        <v>0</v>
      </c>
      <c r="AO785" s="378" t="s">
        <v>3607</v>
      </c>
      <c r="AP785" s="379" t="s">
        <v>5402</v>
      </c>
      <c r="AQ785" s="279"/>
      <c r="AR785" s="287">
        <f t="shared" si="506"/>
        <v>699999.96</v>
      </c>
      <c r="AS785" s="287">
        <f t="shared" si="507"/>
        <v>0</v>
      </c>
      <c r="AT785" s="287">
        <f t="shared" si="508"/>
        <v>0</v>
      </c>
      <c r="AU785" s="287">
        <f t="shared" si="509"/>
        <v>2489950</v>
      </c>
      <c r="AV785" s="287">
        <f t="shared" si="510"/>
        <v>0</v>
      </c>
      <c r="AW785" s="287">
        <f t="shared" si="511"/>
        <v>0</v>
      </c>
      <c r="AX785" s="287">
        <f t="shared" si="512"/>
        <v>0</v>
      </c>
      <c r="AY785" s="287">
        <f t="shared" si="513"/>
        <v>0</v>
      </c>
      <c r="AZ785" s="287">
        <f t="shared" si="514"/>
        <v>0</v>
      </c>
      <c r="BA785" s="287">
        <f t="shared" si="515"/>
        <v>0</v>
      </c>
      <c r="BB785" s="16"/>
      <c r="BC785" s="287">
        <f t="shared" si="516"/>
        <v>0</v>
      </c>
      <c r="BD785" s="287">
        <f t="shared" si="517"/>
        <v>0</v>
      </c>
      <c r="BE785" s="287">
        <f t="shared" si="518"/>
        <v>0</v>
      </c>
      <c r="BF785" s="287">
        <f t="shared" si="519"/>
        <v>0</v>
      </c>
      <c r="BG785" s="287">
        <f t="shared" si="520"/>
        <v>0</v>
      </c>
      <c r="BH785" s="287">
        <f t="shared" si="521"/>
        <v>0</v>
      </c>
      <c r="BI785" s="287">
        <f t="shared" si="522"/>
        <v>0</v>
      </c>
      <c r="BJ785" s="287">
        <f t="shared" si="523"/>
        <v>0</v>
      </c>
      <c r="BK785" s="287">
        <f t="shared" si="524"/>
        <v>0</v>
      </c>
      <c r="BL785" s="287">
        <f t="shared" si="525"/>
        <v>0</v>
      </c>
      <c r="BM785" s="16"/>
      <c r="BN785" s="287">
        <f t="shared" si="526"/>
        <v>3189949.96</v>
      </c>
      <c r="BO785" s="287">
        <f t="shared" si="527"/>
        <v>0</v>
      </c>
      <c r="BP785" s="432"/>
      <c r="BQ785" s="21"/>
      <c r="BR785" s="21"/>
      <c r="BS785" s="6"/>
      <c r="BT785" s="194">
        <f t="shared" si="497"/>
        <v>3189949.96</v>
      </c>
      <c r="BU785" s="194">
        <f t="shared" si="498"/>
        <v>3189949.96</v>
      </c>
      <c r="BV785" s="194">
        <f t="shared" si="499"/>
        <v>0</v>
      </c>
      <c r="BW785" s="194">
        <f t="shared" si="500"/>
        <v>0</v>
      </c>
      <c r="BX785" s="6"/>
      <c r="BY785" s="6"/>
      <c r="BZ785" s="39">
        <v>772</v>
      </c>
      <c r="CA785" s="39">
        <f t="shared" si="528"/>
        <v>2031</v>
      </c>
      <c r="CB785" s="6"/>
      <c r="CC785" s="39"/>
      <c r="CD785" s="39"/>
      <c r="CE785" s="39"/>
      <c r="CF785" s="39"/>
      <c r="CG785" s="39"/>
      <c r="CH785" s="39"/>
      <c r="CI785" s="39"/>
      <c r="CJ785" s="39"/>
      <c r="CK785" s="39"/>
    </row>
    <row r="786" spans="1:89" s="558" customFormat="1" ht="22.5" customHeight="1">
      <c r="A786" s="552"/>
      <c r="B786" s="553" t="str">
        <f t="shared" si="505"/>
        <v>STW</v>
      </c>
      <c r="C786" s="553"/>
      <c r="D786" s="554">
        <v>3100806</v>
      </c>
      <c r="E786" s="554"/>
      <c r="F786" s="555" t="s">
        <v>3696</v>
      </c>
      <c r="G786" s="556" t="s">
        <v>5205</v>
      </c>
      <c r="H786" s="557" t="s">
        <v>4503</v>
      </c>
      <c r="I786" s="554" t="s">
        <v>3491</v>
      </c>
      <c r="K786" s="559">
        <v>0</v>
      </c>
      <c r="L786" s="559">
        <v>0</v>
      </c>
      <c r="M786" s="559">
        <v>0</v>
      </c>
      <c r="N786" s="559">
        <v>0</v>
      </c>
      <c r="O786" s="559">
        <v>9227124.9900000002</v>
      </c>
      <c r="P786" s="559">
        <v>15761830.93</v>
      </c>
      <c r="Q786" s="559">
        <v>11530471.310000001</v>
      </c>
      <c r="R786" s="559">
        <v>13879043.859999999</v>
      </c>
      <c r="S786" s="559">
        <v>16576541.300000001</v>
      </c>
      <c r="T786" s="559">
        <v>17676090.57</v>
      </c>
      <c r="U786" s="559">
        <f t="shared" si="495"/>
        <v>84651102.960000008</v>
      </c>
      <c r="V786" s="560" t="s">
        <v>5197</v>
      </c>
      <c r="W786" s="560" t="s">
        <v>1168</v>
      </c>
      <c r="X786" s="560" t="s">
        <v>1166</v>
      </c>
      <c r="Y786" s="561">
        <f>SUM(O786:T786)</f>
        <v>84651102.960000008</v>
      </c>
      <c r="Z786" s="562"/>
      <c r="AA786" s="561">
        <f>Y786-Z786</f>
        <v>84651102.960000008</v>
      </c>
      <c r="AB786" s="560" t="s">
        <v>1166</v>
      </c>
      <c r="AC786" s="560" t="s">
        <v>1168</v>
      </c>
      <c r="AD786" s="563">
        <v>0.3</v>
      </c>
      <c r="AE786" s="563">
        <v>0.65</v>
      </c>
      <c r="AF786" s="563">
        <v>0.05</v>
      </c>
      <c r="AG786" s="564">
        <v>0.3</v>
      </c>
      <c r="AH786" s="564">
        <v>0.3</v>
      </c>
      <c r="AI786" s="565">
        <v>0.3</v>
      </c>
      <c r="AJ786" s="548">
        <v>1</v>
      </c>
      <c r="AK786" s="566">
        <f t="shared" si="496"/>
        <v>0</v>
      </c>
      <c r="AL786" s="561">
        <f>(100%-AI786)*AA786</f>
        <v>59255772.072000004</v>
      </c>
      <c r="AM786" s="561">
        <f>AA786*AI786*AJ786</f>
        <v>25395330.888</v>
      </c>
      <c r="AN786" s="561">
        <f>AA786*AI786*AK786</f>
        <v>0</v>
      </c>
      <c r="AO786" s="567" t="s">
        <v>3607</v>
      </c>
      <c r="AP786" s="568" t="s">
        <v>5419</v>
      </c>
      <c r="AQ786" s="569"/>
      <c r="AR786" s="287">
        <f t="shared" si="506"/>
        <v>0</v>
      </c>
      <c r="AS786" s="287">
        <f t="shared" si="507"/>
        <v>0</v>
      </c>
      <c r="AT786" s="287">
        <f t="shared" si="508"/>
        <v>0</v>
      </c>
      <c r="AU786" s="287">
        <f t="shared" si="509"/>
        <v>0</v>
      </c>
      <c r="AV786" s="287">
        <f t="shared" si="510"/>
        <v>2768137.497</v>
      </c>
      <c r="AW786" s="287">
        <f t="shared" si="511"/>
        <v>4728549.2790000001</v>
      </c>
      <c r="AX786" s="287">
        <f t="shared" si="512"/>
        <v>3459141.3930000002</v>
      </c>
      <c r="AY786" s="287">
        <f t="shared" si="513"/>
        <v>4163713.1579999998</v>
      </c>
      <c r="AZ786" s="287">
        <f t="shared" si="514"/>
        <v>4972962.3899999997</v>
      </c>
      <c r="BA786" s="287">
        <f t="shared" si="515"/>
        <v>5302827.1710000001</v>
      </c>
      <c r="BB786" s="16"/>
      <c r="BC786" s="287">
        <f t="shared" si="516"/>
        <v>0</v>
      </c>
      <c r="BD786" s="287">
        <f t="shared" si="517"/>
        <v>0</v>
      </c>
      <c r="BE786" s="287">
        <f t="shared" si="518"/>
        <v>0</v>
      </c>
      <c r="BF786" s="287">
        <f t="shared" si="519"/>
        <v>0</v>
      </c>
      <c r="BG786" s="287">
        <f t="shared" si="520"/>
        <v>0</v>
      </c>
      <c r="BH786" s="287">
        <f t="shared" si="521"/>
        <v>0</v>
      </c>
      <c r="BI786" s="287">
        <f t="shared" si="522"/>
        <v>0</v>
      </c>
      <c r="BJ786" s="287">
        <f t="shared" si="523"/>
        <v>0</v>
      </c>
      <c r="BK786" s="287">
        <f t="shared" si="524"/>
        <v>0</v>
      </c>
      <c r="BL786" s="287">
        <f t="shared" si="525"/>
        <v>0</v>
      </c>
      <c r="BM786" s="16"/>
      <c r="BN786" s="287">
        <f t="shared" si="526"/>
        <v>25395330.888</v>
      </c>
      <c r="BO786" s="287">
        <f t="shared" si="527"/>
        <v>0</v>
      </c>
      <c r="BP786" s="570"/>
      <c r="BQ786" s="553"/>
      <c r="BR786" s="553"/>
      <c r="BZ786" s="39">
        <v>773</v>
      </c>
      <c r="CA786" s="39">
        <f t="shared" si="528"/>
        <v>2031</v>
      </c>
    </row>
    <row r="787" spans="1:89" s="193" customFormat="1" ht="24">
      <c r="A787" s="357"/>
      <c r="B787" s="21" t="str">
        <f t="shared" si="505"/>
        <v>STW</v>
      </c>
      <c r="C787" s="21"/>
      <c r="D787" s="432" t="s">
        <v>3917</v>
      </c>
      <c r="E787" s="439" t="s">
        <v>3626</v>
      </c>
      <c r="F787" s="439" t="s">
        <v>4094</v>
      </c>
      <c r="G787" s="273" t="s">
        <v>4095</v>
      </c>
      <c r="H787" s="358" t="s">
        <v>4555</v>
      </c>
      <c r="I787" s="262" t="s">
        <v>3491</v>
      </c>
      <c r="J787" s="262" t="s">
        <v>4202</v>
      </c>
      <c r="K787" s="263">
        <v>2015000</v>
      </c>
      <c r="L787" s="263">
        <v>2120000</v>
      </c>
      <c r="M787" s="263">
        <v>0</v>
      </c>
      <c r="N787" s="263">
        <v>0</v>
      </c>
      <c r="O787" s="263">
        <v>0</v>
      </c>
      <c r="P787" s="263">
        <v>0</v>
      </c>
      <c r="Q787" s="263">
        <v>0</v>
      </c>
      <c r="R787" s="263">
        <v>0</v>
      </c>
      <c r="S787" s="263">
        <v>0</v>
      </c>
      <c r="T787" s="263">
        <v>0</v>
      </c>
      <c r="U787" s="263">
        <f t="shared" ref="U787:U792" si="529">SUM(K787:T787)</f>
        <v>4135000</v>
      </c>
      <c r="V787" s="196" t="str">
        <f t="shared" ref="V787:V793" si="530">IF(AND(AD787&gt;0,AE787&gt;0,AF787&gt;0),"G/LOS/R",IF(AND(AD787&gt;0,AE787&gt;0),"G/LOS",IF(AND(AD787&gt;0,AF787&gt;0),"G/R",IF(AND(AE787&gt;0,AF787&gt;0),"LOS/R",IF(AD787&gt;0,"G",IF(AE787&gt;0,"LOS",IF(AF787&gt;0,"R","CHECK")))))))</f>
        <v>G/LOS/R</v>
      </c>
      <c r="W787" s="196" t="s">
        <v>1168</v>
      </c>
      <c r="X787" s="196" t="str">
        <f t="shared" ref="X787:X793" si="531">IF(LEFT(V787,1)="G","Y","N")</f>
        <v>Y</v>
      </c>
      <c r="Y787" s="376">
        <f t="shared" ref="Y787:Y793" si="532">SUM(K787:T787)</f>
        <v>4135000</v>
      </c>
      <c r="Z787" s="198"/>
      <c r="AA787" s="376">
        <f t="shared" ref="AA787:AA793" si="533">Y787-Z787</f>
        <v>4135000</v>
      </c>
      <c r="AB787" s="196" t="s">
        <v>1166</v>
      </c>
      <c r="AC787" s="196" t="s">
        <v>1168</v>
      </c>
      <c r="AD787" s="275">
        <v>0.35</v>
      </c>
      <c r="AE787" s="275">
        <v>0.55000000000000004</v>
      </c>
      <c r="AF787" s="275">
        <v>0.1</v>
      </c>
      <c r="AG787" s="442">
        <v>0.35</v>
      </c>
      <c r="AH787" s="442">
        <v>0.35</v>
      </c>
      <c r="AI787" s="377">
        <f t="shared" ref="AI787:AI800" si="534">(AG787+AH787)/2</f>
        <v>0.35</v>
      </c>
      <c r="AJ787" s="548">
        <v>1</v>
      </c>
      <c r="AK787" s="203">
        <f t="shared" ref="AK787:AK794" si="535">1-AJ787</f>
        <v>0</v>
      </c>
      <c r="AL787" s="376">
        <f t="shared" ref="AL787:AL793" si="536">(100%-AI787)*AA787</f>
        <v>2687750</v>
      </c>
      <c r="AM787" s="376">
        <f t="shared" ref="AM787:AM793" si="537">AA787*AI787*AJ787</f>
        <v>1447250</v>
      </c>
      <c r="AN787" s="376">
        <f t="shared" ref="AN787:AN793" si="538">AA787*AI787*AK787</f>
        <v>0</v>
      </c>
      <c r="AO787" s="378" t="s">
        <v>3607</v>
      </c>
      <c r="AP787" s="379" t="s">
        <v>5417</v>
      </c>
      <c r="AQ787" s="279"/>
      <c r="AR787" s="287">
        <f t="shared" si="506"/>
        <v>705250</v>
      </c>
      <c r="AS787" s="287">
        <f t="shared" si="507"/>
        <v>742000</v>
      </c>
      <c r="AT787" s="287">
        <f t="shared" si="508"/>
        <v>0</v>
      </c>
      <c r="AU787" s="287">
        <f t="shared" si="509"/>
        <v>0</v>
      </c>
      <c r="AV787" s="287">
        <f t="shared" si="510"/>
        <v>0</v>
      </c>
      <c r="AW787" s="287">
        <f t="shared" si="511"/>
        <v>0</v>
      </c>
      <c r="AX787" s="287">
        <f t="shared" si="512"/>
        <v>0</v>
      </c>
      <c r="AY787" s="287">
        <f t="shared" si="513"/>
        <v>0</v>
      </c>
      <c r="AZ787" s="287">
        <f t="shared" si="514"/>
        <v>0</v>
      </c>
      <c r="BA787" s="287">
        <f t="shared" si="515"/>
        <v>0</v>
      </c>
      <c r="BB787" s="16"/>
      <c r="BC787" s="287">
        <f t="shared" si="516"/>
        <v>0</v>
      </c>
      <c r="BD787" s="287">
        <f t="shared" si="517"/>
        <v>0</v>
      </c>
      <c r="BE787" s="287">
        <f t="shared" si="518"/>
        <v>0</v>
      </c>
      <c r="BF787" s="287">
        <f t="shared" si="519"/>
        <v>0</v>
      </c>
      <c r="BG787" s="287">
        <f t="shared" si="520"/>
        <v>0</v>
      </c>
      <c r="BH787" s="287">
        <f t="shared" si="521"/>
        <v>0</v>
      </c>
      <c r="BI787" s="287">
        <f t="shared" si="522"/>
        <v>0</v>
      </c>
      <c r="BJ787" s="287">
        <f t="shared" si="523"/>
        <v>0</v>
      </c>
      <c r="BK787" s="287">
        <f t="shared" si="524"/>
        <v>0</v>
      </c>
      <c r="BL787" s="287">
        <f t="shared" si="525"/>
        <v>0</v>
      </c>
      <c r="BM787" s="16"/>
      <c r="BN787" s="287">
        <f t="shared" si="526"/>
        <v>1447250</v>
      </c>
      <c r="BO787" s="287">
        <f t="shared" si="527"/>
        <v>0</v>
      </c>
      <c r="BP787" s="432"/>
      <c r="BQ787" s="21"/>
      <c r="BR787" s="21"/>
      <c r="BS787" s="6"/>
      <c r="BT787" s="194">
        <f t="shared" ref="BT787:BT793" si="539">+BN787+BO787</f>
        <v>1447250</v>
      </c>
      <c r="BU787" s="194">
        <f t="shared" ref="BU787:BV793" si="540">+AM787</f>
        <v>1447250</v>
      </c>
      <c r="BV787" s="194">
        <f t="shared" si="540"/>
        <v>0</v>
      </c>
      <c r="BW787" s="194">
        <f t="shared" ref="BW787:BW793" si="541">+BT787-BU787-BV787</f>
        <v>0</v>
      </c>
      <c r="BX787" s="6"/>
      <c r="BY787" s="6"/>
      <c r="BZ787" s="39">
        <v>774</v>
      </c>
      <c r="CA787" s="39">
        <f t="shared" si="528"/>
        <v>2031</v>
      </c>
      <c r="CB787" s="6"/>
      <c r="CC787" s="39"/>
      <c r="CD787" s="39"/>
      <c r="CE787" s="39"/>
      <c r="CF787" s="39"/>
      <c r="CG787" s="39"/>
      <c r="CH787" s="39"/>
      <c r="CI787" s="39"/>
      <c r="CJ787" s="39"/>
      <c r="CK787" s="39"/>
    </row>
    <row r="788" spans="1:89" s="541" customFormat="1">
      <c r="A788" s="357"/>
      <c r="B788" s="21" t="str">
        <f t="shared" si="505"/>
        <v>STW</v>
      </c>
      <c r="C788" s="21"/>
      <c r="D788" s="524" t="s">
        <v>3921</v>
      </c>
      <c r="E788" s="525" t="s">
        <v>3626</v>
      </c>
      <c r="F788" s="525" t="s">
        <v>3923</v>
      </c>
      <c r="G788" s="526" t="s">
        <v>3922</v>
      </c>
      <c r="H788" s="527" t="s">
        <v>4501</v>
      </c>
      <c r="I788" s="524" t="s">
        <v>3491</v>
      </c>
      <c r="J788" s="524" t="s">
        <v>3504</v>
      </c>
      <c r="K788" s="528">
        <v>500000</v>
      </c>
      <c r="L788" s="528">
        <v>0</v>
      </c>
      <c r="M788" s="528">
        <v>0</v>
      </c>
      <c r="N788" s="528">
        <v>0</v>
      </c>
      <c r="O788" s="528">
        <v>0</v>
      </c>
      <c r="P788" s="528">
        <v>0</v>
      </c>
      <c r="Q788" s="528">
        <v>0</v>
      </c>
      <c r="R788" s="528">
        <v>0</v>
      </c>
      <c r="S788" s="528">
        <v>0</v>
      </c>
      <c r="T788" s="528">
        <v>0</v>
      </c>
      <c r="U788" s="617">
        <f t="shared" si="529"/>
        <v>500000</v>
      </c>
      <c r="V788" s="196" t="str">
        <f t="shared" si="530"/>
        <v>G/LOS</v>
      </c>
      <c r="W788" s="196" t="s">
        <v>1168</v>
      </c>
      <c r="X788" s="196" t="str">
        <f t="shared" si="531"/>
        <v>Y</v>
      </c>
      <c r="Y788" s="376">
        <f t="shared" si="532"/>
        <v>500000</v>
      </c>
      <c r="Z788" s="198"/>
      <c r="AA788" s="376">
        <f t="shared" si="533"/>
        <v>500000</v>
      </c>
      <c r="AB788" s="196" t="s">
        <v>1166</v>
      </c>
      <c r="AC788" s="196" t="s">
        <v>3624</v>
      </c>
      <c r="AD788" s="275">
        <v>0.8</v>
      </c>
      <c r="AE788" s="275">
        <v>0.2</v>
      </c>
      <c r="AF788" s="275">
        <v>0</v>
      </c>
      <c r="AG788" s="442">
        <v>0.75</v>
      </c>
      <c r="AH788" s="442">
        <v>0.75</v>
      </c>
      <c r="AI788" s="377">
        <f t="shared" si="534"/>
        <v>0.75</v>
      </c>
      <c r="AJ788" s="549">
        <v>1</v>
      </c>
      <c r="AK788" s="203">
        <f t="shared" si="535"/>
        <v>0</v>
      </c>
      <c r="AL788" s="376">
        <f t="shared" si="536"/>
        <v>125000</v>
      </c>
      <c r="AM788" s="376">
        <f t="shared" si="537"/>
        <v>375000</v>
      </c>
      <c r="AN788" s="376">
        <f t="shared" si="538"/>
        <v>0</v>
      </c>
      <c r="AO788" s="378" t="s">
        <v>3608</v>
      </c>
      <c r="AP788" s="379" t="s">
        <v>5420</v>
      </c>
      <c r="AQ788" s="279"/>
      <c r="AR788" s="287">
        <f t="shared" si="506"/>
        <v>375000</v>
      </c>
      <c r="AS788" s="287">
        <f t="shared" si="507"/>
        <v>0</v>
      </c>
      <c r="AT788" s="287">
        <f t="shared" si="508"/>
        <v>0</v>
      </c>
      <c r="AU788" s="287">
        <f t="shared" si="509"/>
        <v>0</v>
      </c>
      <c r="AV788" s="287">
        <f t="shared" si="510"/>
        <v>0</v>
      </c>
      <c r="AW788" s="287">
        <f t="shared" si="511"/>
        <v>0</v>
      </c>
      <c r="AX788" s="287">
        <f t="shared" si="512"/>
        <v>0</v>
      </c>
      <c r="AY788" s="287">
        <f t="shared" si="513"/>
        <v>0</v>
      </c>
      <c r="AZ788" s="287">
        <f t="shared" si="514"/>
        <v>0</v>
      </c>
      <c r="BA788" s="287">
        <f t="shared" si="515"/>
        <v>0</v>
      </c>
      <c r="BB788" s="16"/>
      <c r="BC788" s="287">
        <f t="shared" si="516"/>
        <v>0</v>
      </c>
      <c r="BD788" s="287">
        <f t="shared" si="517"/>
        <v>0</v>
      </c>
      <c r="BE788" s="287">
        <f t="shared" si="518"/>
        <v>0</v>
      </c>
      <c r="BF788" s="287">
        <f t="shared" si="519"/>
        <v>0</v>
      </c>
      <c r="BG788" s="287">
        <f t="shared" si="520"/>
        <v>0</v>
      </c>
      <c r="BH788" s="287">
        <f t="shared" si="521"/>
        <v>0</v>
      </c>
      <c r="BI788" s="287">
        <f t="shared" si="522"/>
        <v>0</v>
      </c>
      <c r="BJ788" s="287">
        <f t="shared" si="523"/>
        <v>0</v>
      </c>
      <c r="BK788" s="287">
        <f t="shared" si="524"/>
        <v>0</v>
      </c>
      <c r="BL788" s="287">
        <f t="shared" si="525"/>
        <v>0</v>
      </c>
      <c r="BM788" s="16"/>
      <c r="BN788" s="287">
        <f t="shared" si="526"/>
        <v>375000</v>
      </c>
      <c r="BO788" s="287">
        <f t="shared" si="527"/>
        <v>0</v>
      </c>
      <c r="BP788" s="432"/>
      <c r="BQ788" s="21"/>
      <c r="BR788" s="21"/>
      <c r="BS788" s="523"/>
      <c r="BT788" s="539">
        <f t="shared" si="539"/>
        <v>375000</v>
      </c>
      <c r="BU788" s="539">
        <f t="shared" si="540"/>
        <v>375000</v>
      </c>
      <c r="BV788" s="539">
        <f t="shared" si="540"/>
        <v>0</v>
      </c>
      <c r="BW788" s="539">
        <f t="shared" si="541"/>
        <v>0</v>
      </c>
      <c r="BX788" s="523"/>
      <c r="BY788" s="523"/>
      <c r="BZ788" s="39">
        <v>775</v>
      </c>
      <c r="CA788" s="39">
        <f t="shared" si="528"/>
        <v>2031</v>
      </c>
      <c r="CB788" s="523"/>
      <c r="CC788" s="540"/>
      <c r="CD788" s="540"/>
      <c r="CE788" s="540"/>
      <c r="CF788" s="540"/>
      <c r="CG788" s="540"/>
      <c r="CH788" s="540"/>
      <c r="CI788" s="540"/>
      <c r="CJ788" s="540"/>
      <c r="CK788" s="540"/>
    </row>
    <row r="789" spans="1:89" s="541" customFormat="1" ht="36">
      <c r="A789" s="357"/>
      <c r="B789" s="21" t="str">
        <f t="shared" si="505"/>
        <v>STW</v>
      </c>
      <c r="C789" s="21"/>
      <c r="D789" s="524" t="s">
        <v>3921</v>
      </c>
      <c r="E789" s="525" t="s">
        <v>3626</v>
      </c>
      <c r="F789" s="525" t="s">
        <v>3920</v>
      </c>
      <c r="G789" s="616" t="s">
        <v>4220</v>
      </c>
      <c r="H789" s="527" t="s">
        <v>4502</v>
      </c>
      <c r="I789" s="524" t="s">
        <v>3491</v>
      </c>
      <c r="J789" s="524" t="s">
        <v>4221</v>
      </c>
      <c r="K789" s="528">
        <v>39000</v>
      </c>
      <c r="L789" s="528">
        <v>0</v>
      </c>
      <c r="M789" s="528">
        <v>0</v>
      </c>
      <c r="N789" s="528">
        <v>0</v>
      </c>
      <c r="O789" s="528">
        <v>0</v>
      </c>
      <c r="P789" s="528">
        <v>0</v>
      </c>
      <c r="Q789" s="528">
        <v>0</v>
      </c>
      <c r="R789" s="528">
        <v>0</v>
      </c>
      <c r="S789" s="528">
        <v>0</v>
      </c>
      <c r="T789" s="528">
        <v>0</v>
      </c>
      <c r="U789" s="617">
        <f t="shared" si="529"/>
        <v>39000</v>
      </c>
      <c r="V789" s="196" t="str">
        <f t="shared" si="530"/>
        <v>G/LOS/R</v>
      </c>
      <c r="W789" s="196" t="s">
        <v>1168</v>
      </c>
      <c r="X789" s="196" t="str">
        <f t="shared" si="531"/>
        <v>Y</v>
      </c>
      <c r="Y789" s="376">
        <f t="shared" si="532"/>
        <v>39000</v>
      </c>
      <c r="Z789" s="598"/>
      <c r="AA789" s="376">
        <f t="shared" si="533"/>
        <v>39000</v>
      </c>
      <c r="AB789" s="196" t="s">
        <v>1166</v>
      </c>
      <c r="AC789" s="196" t="s">
        <v>3624</v>
      </c>
      <c r="AD789" s="275">
        <v>0.51</v>
      </c>
      <c r="AE789" s="275">
        <v>0.22</v>
      </c>
      <c r="AF789" s="275">
        <v>0.27</v>
      </c>
      <c r="AG789" s="442">
        <v>0.23</v>
      </c>
      <c r="AH789" s="442">
        <v>0.51</v>
      </c>
      <c r="AI789" s="377">
        <f t="shared" si="534"/>
        <v>0.37</v>
      </c>
      <c r="AJ789" s="549">
        <v>1</v>
      </c>
      <c r="AK789" s="203">
        <f t="shared" si="535"/>
        <v>0</v>
      </c>
      <c r="AL789" s="376">
        <f t="shared" si="536"/>
        <v>24570</v>
      </c>
      <c r="AM789" s="376">
        <f t="shared" si="537"/>
        <v>14430</v>
      </c>
      <c r="AN789" s="376">
        <f t="shared" si="538"/>
        <v>0</v>
      </c>
      <c r="AO789" s="378" t="s">
        <v>3608</v>
      </c>
      <c r="AP789" s="379" t="s">
        <v>5420</v>
      </c>
      <c r="AQ789" s="279"/>
      <c r="AR789" s="287">
        <f t="shared" si="506"/>
        <v>14430</v>
      </c>
      <c r="AS789" s="287">
        <f t="shared" si="507"/>
        <v>0</v>
      </c>
      <c r="AT789" s="287">
        <f t="shared" si="508"/>
        <v>0</v>
      </c>
      <c r="AU789" s="287">
        <f t="shared" si="509"/>
        <v>0</v>
      </c>
      <c r="AV789" s="287">
        <f t="shared" si="510"/>
        <v>0</v>
      </c>
      <c r="AW789" s="287">
        <f t="shared" si="511"/>
        <v>0</v>
      </c>
      <c r="AX789" s="287">
        <f t="shared" si="512"/>
        <v>0</v>
      </c>
      <c r="AY789" s="287">
        <f t="shared" si="513"/>
        <v>0</v>
      </c>
      <c r="AZ789" s="287">
        <f t="shared" si="514"/>
        <v>0</v>
      </c>
      <c r="BA789" s="287">
        <f t="shared" si="515"/>
        <v>0</v>
      </c>
      <c r="BB789" s="16"/>
      <c r="BC789" s="287">
        <f t="shared" si="516"/>
        <v>0</v>
      </c>
      <c r="BD789" s="287">
        <f t="shared" si="517"/>
        <v>0</v>
      </c>
      <c r="BE789" s="287">
        <f t="shared" si="518"/>
        <v>0</v>
      </c>
      <c r="BF789" s="287">
        <f t="shared" si="519"/>
        <v>0</v>
      </c>
      <c r="BG789" s="287">
        <f t="shared" si="520"/>
        <v>0</v>
      </c>
      <c r="BH789" s="287">
        <f t="shared" si="521"/>
        <v>0</v>
      </c>
      <c r="BI789" s="287">
        <f t="shared" si="522"/>
        <v>0</v>
      </c>
      <c r="BJ789" s="287">
        <f t="shared" si="523"/>
        <v>0</v>
      </c>
      <c r="BK789" s="287">
        <f t="shared" si="524"/>
        <v>0</v>
      </c>
      <c r="BL789" s="287">
        <f t="shared" si="525"/>
        <v>0</v>
      </c>
      <c r="BM789" s="16"/>
      <c r="BN789" s="287">
        <f t="shared" si="526"/>
        <v>14430</v>
      </c>
      <c r="BO789" s="287">
        <f t="shared" si="527"/>
        <v>0</v>
      </c>
      <c r="BP789" s="432"/>
      <c r="BQ789" s="21"/>
      <c r="BR789" s="21"/>
      <c r="BS789" s="523"/>
      <c r="BT789" s="539">
        <f t="shared" si="539"/>
        <v>14430</v>
      </c>
      <c r="BU789" s="539">
        <f t="shared" si="540"/>
        <v>14430</v>
      </c>
      <c r="BV789" s="539">
        <f t="shared" si="540"/>
        <v>0</v>
      </c>
      <c r="BW789" s="539">
        <f t="shared" si="541"/>
        <v>0</v>
      </c>
      <c r="BX789" s="523"/>
      <c r="BY789" s="523"/>
      <c r="BZ789" s="39">
        <v>776</v>
      </c>
      <c r="CA789" s="39">
        <f t="shared" si="528"/>
        <v>2031</v>
      </c>
      <c r="CB789" s="523"/>
      <c r="CC789" s="540"/>
      <c r="CD789" s="540"/>
      <c r="CE789" s="540"/>
      <c r="CF789" s="540"/>
      <c r="CG789" s="540"/>
      <c r="CH789" s="540"/>
      <c r="CI789" s="540"/>
      <c r="CJ789" s="540"/>
      <c r="CK789" s="540"/>
    </row>
    <row r="790" spans="1:89" s="541" customFormat="1" ht="36">
      <c r="A790" s="357"/>
      <c r="B790" s="21" t="str">
        <f t="shared" si="505"/>
        <v>STW</v>
      </c>
      <c r="C790" s="21"/>
      <c r="D790" s="524" t="s">
        <v>4068</v>
      </c>
      <c r="E790" s="525" t="s">
        <v>3626</v>
      </c>
      <c r="F790" s="525" t="s">
        <v>4069</v>
      </c>
      <c r="G790" s="616" t="s">
        <v>4218</v>
      </c>
      <c r="H790" s="527" t="s">
        <v>4502</v>
      </c>
      <c r="I790" s="524" t="s">
        <v>3491</v>
      </c>
      <c r="J790" s="524" t="s">
        <v>4221</v>
      </c>
      <c r="K790" s="528">
        <v>900000</v>
      </c>
      <c r="L790" s="528">
        <v>900000</v>
      </c>
      <c r="M790" s="528">
        <v>900000</v>
      </c>
      <c r="N790" s="528">
        <v>0</v>
      </c>
      <c r="O790" s="528">
        <v>0</v>
      </c>
      <c r="P790" s="528">
        <v>0</v>
      </c>
      <c r="Q790" s="528">
        <v>0</v>
      </c>
      <c r="R790" s="528">
        <v>0</v>
      </c>
      <c r="S790" s="528">
        <v>0</v>
      </c>
      <c r="T790" s="528">
        <v>0</v>
      </c>
      <c r="U790" s="617">
        <f t="shared" si="529"/>
        <v>2700000</v>
      </c>
      <c r="V790" s="196" t="str">
        <f t="shared" si="530"/>
        <v>G/LOS/R</v>
      </c>
      <c r="W790" s="196" t="s">
        <v>1168</v>
      </c>
      <c r="X790" s="196" t="str">
        <f t="shared" si="531"/>
        <v>Y</v>
      </c>
      <c r="Y790" s="376">
        <f t="shared" si="532"/>
        <v>2700000</v>
      </c>
      <c r="Z790" s="598"/>
      <c r="AA790" s="376">
        <f t="shared" si="533"/>
        <v>2700000</v>
      </c>
      <c r="AB790" s="196" t="s">
        <v>1166</v>
      </c>
      <c r="AC790" s="196" t="s">
        <v>3624</v>
      </c>
      <c r="AD790" s="275">
        <v>0.51</v>
      </c>
      <c r="AE790" s="275">
        <v>0.22</v>
      </c>
      <c r="AF790" s="275">
        <v>0.27</v>
      </c>
      <c r="AG790" s="442">
        <v>0.23</v>
      </c>
      <c r="AH790" s="442">
        <v>0.51</v>
      </c>
      <c r="AI790" s="377">
        <f t="shared" si="534"/>
        <v>0.37</v>
      </c>
      <c r="AJ790" s="549">
        <v>1</v>
      </c>
      <c r="AK790" s="203">
        <f t="shared" si="535"/>
        <v>0</v>
      </c>
      <c r="AL790" s="376">
        <f t="shared" si="536"/>
        <v>1701000</v>
      </c>
      <c r="AM790" s="376">
        <f t="shared" si="537"/>
        <v>999000</v>
      </c>
      <c r="AN790" s="376">
        <f t="shared" si="538"/>
        <v>0</v>
      </c>
      <c r="AO790" s="378" t="s">
        <v>3608</v>
      </c>
      <c r="AP790" s="379" t="s">
        <v>5420</v>
      </c>
      <c r="AQ790" s="279"/>
      <c r="AR790" s="287">
        <f t="shared" si="506"/>
        <v>333000</v>
      </c>
      <c r="AS790" s="287">
        <f t="shared" si="507"/>
        <v>333000</v>
      </c>
      <c r="AT790" s="287">
        <f t="shared" si="508"/>
        <v>333000</v>
      </c>
      <c r="AU790" s="287">
        <f t="shared" si="509"/>
        <v>0</v>
      </c>
      <c r="AV790" s="287">
        <f t="shared" si="510"/>
        <v>0</v>
      </c>
      <c r="AW790" s="287">
        <f t="shared" si="511"/>
        <v>0</v>
      </c>
      <c r="AX790" s="287">
        <f t="shared" si="512"/>
        <v>0</v>
      </c>
      <c r="AY790" s="287">
        <f t="shared" si="513"/>
        <v>0</v>
      </c>
      <c r="AZ790" s="287">
        <f t="shared" si="514"/>
        <v>0</v>
      </c>
      <c r="BA790" s="287">
        <f t="shared" si="515"/>
        <v>0</v>
      </c>
      <c r="BB790" s="16"/>
      <c r="BC790" s="287">
        <f t="shared" si="516"/>
        <v>0</v>
      </c>
      <c r="BD790" s="287">
        <f t="shared" si="517"/>
        <v>0</v>
      </c>
      <c r="BE790" s="287">
        <f t="shared" si="518"/>
        <v>0</v>
      </c>
      <c r="BF790" s="287">
        <f t="shared" si="519"/>
        <v>0</v>
      </c>
      <c r="BG790" s="287">
        <f t="shared" si="520"/>
        <v>0</v>
      </c>
      <c r="BH790" s="287">
        <f t="shared" si="521"/>
        <v>0</v>
      </c>
      <c r="BI790" s="287">
        <f t="shared" si="522"/>
        <v>0</v>
      </c>
      <c r="BJ790" s="287">
        <f t="shared" si="523"/>
        <v>0</v>
      </c>
      <c r="BK790" s="287">
        <f t="shared" si="524"/>
        <v>0</v>
      </c>
      <c r="BL790" s="287">
        <f t="shared" si="525"/>
        <v>0</v>
      </c>
      <c r="BM790" s="16"/>
      <c r="BN790" s="287">
        <f t="shared" si="526"/>
        <v>999000</v>
      </c>
      <c r="BO790" s="287">
        <f t="shared" si="527"/>
        <v>0</v>
      </c>
      <c r="BP790" s="432"/>
      <c r="BQ790" s="21"/>
      <c r="BR790" s="21"/>
      <c r="BS790" s="523"/>
      <c r="BT790" s="539">
        <f t="shared" si="539"/>
        <v>999000</v>
      </c>
      <c r="BU790" s="539">
        <f t="shared" si="540"/>
        <v>999000</v>
      </c>
      <c r="BV790" s="539">
        <f t="shared" si="540"/>
        <v>0</v>
      </c>
      <c r="BW790" s="539">
        <f t="shared" si="541"/>
        <v>0</v>
      </c>
      <c r="BX790" s="523"/>
      <c r="BY790" s="523"/>
      <c r="BZ790" s="39">
        <v>777</v>
      </c>
      <c r="CA790" s="39">
        <f t="shared" si="528"/>
        <v>2031</v>
      </c>
      <c r="CB790" s="523"/>
      <c r="CC790" s="540"/>
      <c r="CD790" s="540"/>
      <c r="CE790" s="540"/>
      <c r="CF790" s="540"/>
      <c r="CG790" s="540"/>
      <c r="CH790" s="540"/>
      <c r="CI790" s="540"/>
      <c r="CJ790" s="540"/>
      <c r="CK790" s="540"/>
    </row>
    <row r="791" spans="1:89" s="541" customFormat="1" ht="36">
      <c r="A791" s="357"/>
      <c r="B791" s="21" t="str">
        <f t="shared" si="505"/>
        <v>STW</v>
      </c>
      <c r="C791" s="21"/>
      <c r="D791" s="524" t="s">
        <v>4070</v>
      </c>
      <c r="E791" s="525" t="s">
        <v>3626</v>
      </c>
      <c r="F791" s="525" t="s">
        <v>4071</v>
      </c>
      <c r="G791" s="616" t="s">
        <v>4219</v>
      </c>
      <c r="H791" s="527" t="s">
        <v>4502</v>
      </c>
      <c r="I791" s="524" t="s">
        <v>3491</v>
      </c>
      <c r="J791" s="524" t="s">
        <v>4221</v>
      </c>
      <c r="K791" s="528">
        <v>2688000</v>
      </c>
      <c r="L791" s="528">
        <v>2670000</v>
      </c>
      <c r="M791" s="528">
        <v>2955000</v>
      </c>
      <c r="N791" s="528">
        <v>0</v>
      </c>
      <c r="O791" s="528">
        <v>0</v>
      </c>
      <c r="P791" s="528">
        <v>0</v>
      </c>
      <c r="Q791" s="528">
        <v>0</v>
      </c>
      <c r="R791" s="528">
        <v>0</v>
      </c>
      <c r="S791" s="528">
        <v>0</v>
      </c>
      <c r="T791" s="528">
        <v>0</v>
      </c>
      <c r="U791" s="617">
        <f t="shared" si="529"/>
        <v>8313000</v>
      </c>
      <c r="V791" s="196" t="str">
        <f t="shared" si="530"/>
        <v>G/LOS/R</v>
      </c>
      <c r="W791" s="196" t="s">
        <v>1168</v>
      </c>
      <c r="X791" s="196" t="str">
        <f t="shared" si="531"/>
        <v>Y</v>
      </c>
      <c r="Y791" s="376">
        <f t="shared" si="532"/>
        <v>8313000</v>
      </c>
      <c r="Z791" s="598"/>
      <c r="AA791" s="376">
        <f t="shared" si="533"/>
        <v>8313000</v>
      </c>
      <c r="AB791" s="196" t="s">
        <v>1166</v>
      </c>
      <c r="AC791" s="196" t="s">
        <v>3624</v>
      </c>
      <c r="AD791" s="275">
        <v>0.51</v>
      </c>
      <c r="AE791" s="275">
        <v>0.22</v>
      </c>
      <c r="AF791" s="275">
        <v>0.27</v>
      </c>
      <c r="AG791" s="442">
        <v>0.23</v>
      </c>
      <c r="AH791" s="442">
        <v>0.51</v>
      </c>
      <c r="AI791" s="377">
        <f t="shared" si="534"/>
        <v>0.37</v>
      </c>
      <c r="AJ791" s="549">
        <v>1</v>
      </c>
      <c r="AK791" s="203">
        <f t="shared" si="535"/>
        <v>0</v>
      </c>
      <c r="AL791" s="376">
        <f t="shared" si="536"/>
        <v>5237190</v>
      </c>
      <c r="AM791" s="376">
        <f t="shared" si="537"/>
        <v>3075810</v>
      </c>
      <c r="AN791" s="376">
        <f t="shared" si="538"/>
        <v>0</v>
      </c>
      <c r="AO791" s="378" t="s">
        <v>3608</v>
      </c>
      <c r="AP791" s="379" t="s">
        <v>5420</v>
      </c>
      <c r="AQ791" s="279"/>
      <c r="AR791" s="287">
        <f t="shared" si="506"/>
        <v>994560</v>
      </c>
      <c r="AS791" s="287">
        <f t="shared" si="507"/>
        <v>987900</v>
      </c>
      <c r="AT791" s="287">
        <f t="shared" si="508"/>
        <v>1093350</v>
      </c>
      <c r="AU791" s="287">
        <f t="shared" si="509"/>
        <v>0</v>
      </c>
      <c r="AV791" s="287">
        <f t="shared" si="510"/>
        <v>0</v>
      </c>
      <c r="AW791" s="287">
        <f t="shared" si="511"/>
        <v>0</v>
      </c>
      <c r="AX791" s="287">
        <f t="shared" si="512"/>
        <v>0</v>
      </c>
      <c r="AY791" s="287">
        <f t="shared" si="513"/>
        <v>0</v>
      </c>
      <c r="AZ791" s="287">
        <f t="shared" si="514"/>
        <v>0</v>
      </c>
      <c r="BA791" s="287">
        <f t="shared" si="515"/>
        <v>0</v>
      </c>
      <c r="BB791" s="16"/>
      <c r="BC791" s="287">
        <f t="shared" si="516"/>
        <v>0</v>
      </c>
      <c r="BD791" s="287">
        <f t="shared" si="517"/>
        <v>0</v>
      </c>
      <c r="BE791" s="287">
        <f t="shared" si="518"/>
        <v>0</v>
      </c>
      <c r="BF791" s="287">
        <f t="shared" si="519"/>
        <v>0</v>
      </c>
      <c r="BG791" s="287">
        <f t="shared" si="520"/>
        <v>0</v>
      </c>
      <c r="BH791" s="287">
        <f t="shared" si="521"/>
        <v>0</v>
      </c>
      <c r="BI791" s="287">
        <f t="shared" si="522"/>
        <v>0</v>
      </c>
      <c r="BJ791" s="287">
        <f t="shared" si="523"/>
        <v>0</v>
      </c>
      <c r="BK791" s="287">
        <f t="shared" si="524"/>
        <v>0</v>
      </c>
      <c r="BL791" s="287">
        <f t="shared" si="525"/>
        <v>0</v>
      </c>
      <c r="BM791" s="16"/>
      <c r="BN791" s="287">
        <f t="shared" si="526"/>
        <v>3075810</v>
      </c>
      <c r="BO791" s="287">
        <f t="shared" si="527"/>
        <v>0</v>
      </c>
      <c r="BP791" s="432"/>
      <c r="BQ791" s="21"/>
      <c r="BR791" s="21"/>
      <c r="BS791" s="523"/>
      <c r="BT791" s="539">
        <f t="shared" si="539"/>
        <v>3075810</v>
      </c>
      <c r="BU791" s="539">
        <f t="shared" si="540"/>
        <v>3075810</v>
      </c>
      <c r="BV791" s="539">
        <f t="shared" si="540"/>
        <v>0</v>
      </c>
      <c r="BW791" s="539">
        <f t="shared" si="541"/>
        <v>0</v>
      </c>
      <c r="BX791" s="523"/>
      <c r="BY791" s="523"/>
      <c r="BZ791" s="39">
        <v>778</v>
      </c>
      <c r="CA791" s="39">
        <f t="shared" si="528"/>
        <v>2031</v>
      </c>
      <c r="CB791" s="523"/>
      <c r="CC791" s="540"/>
      <c r="CD791" s="540"/>
      <c r="CE791" s="540"/>
      <c r="CF791" s="540"/>
      <c r="CG791" s="540"/>
      <c r="CH791" s="540"/>
      <c r="CI791" s="540"/>
      <c r="CJ791" s="540"/>
      <c r="CK791" s="540"/>
    </row>
    <row r="792" spans="1:89" s="541" customFormat="1" ht="36">
      <c r="A792" s="357"/>
      <c r="B792" s="21" t="str">
        <f t="shared" si="505"/>
        <v>STW</v>
      </c>
      <c r="C792" s="21"/>
      <c r="D792" s="524" t="s">
        <v>4061</v>
      </c>
      <c r="E792" s="525" t="s">
        <v>3626</v>
      </c>
      <c r="F792" s="525" t="s">
        <v>4062</v>
      </c>
      <c r="G792" s="616" t="s">
        <v>4217</v>
      </c>
      <c r="H792" s="527" t="s">
        <v>4502</v>
      </c>
      <c r="I792" s="524" t="s">
        <v>3491</v>
      </c>
      <c r="J792" s="524" t="s">
        <v>4221</v>
      </c>
      <c r="K792" s="528">
        <v>2040000</v>
      </c>
      <c r="L792" s="528">
        <v>500000</v>
      </c>
      <c r="M792" s="528">
        <v>500000</v>
      </c>
      <c r="N792" s="528">
        <v>0</v>
      </c>
      <c r="O792" s="528">
        <v>0</v>
      </c>
      <c r="P792" s="528">
        <v>0</v>
      </c>
      <c r="Q792" s="528">
        <v>0</v>
      </c>
      <c r="R792" s="528">
        <v>0</v>
      </c>
      <c r="S792" s="528">
        <v>0</v>
      </c>
      <c r="T792" s="528">
        <v>0</v>
      </c>
      <c r="U792" s="617">
        <f t="shared" si="529"/>
        <v>3040000</v>
      </c>
      <c r="V792" s="196" t="str">
        <f t="shared" si="530"/>
        <v>G/LOS/R</v>
      </c>
      <c r="W792" s="196" t="s">
        <v>1168</v>
      </c>
      <c r="X792" s="196" t="str">
        <f t="shared" si="531"/>
        <v>Y</v>
      </c>
      <c r="Y792" s="376">
        <f t="shared" si="532"/>
        <v>3040000</v>
      </c>
      <c r="Z792" s="598"/>
      <c r="AA792" s="376">
        <f t="shared" si="533"/>
        <v>3040000</v>
      </c>
      <c r="AB792" s="196" t="s">
        <v>1166</v>
      </c>
      <c r="AC792" s="196" t="s">
        <v>3624</v>
      </c>
      <c r="AD792" s="275">
        <v>0.51</v>
      </c>
      <c r="AE792" s="275">
        <v>0.22</v>
      </c>
      <c r="AF792" s="275">
        <v>0.27</v>
      </c>
      <c r="AG792" s="442">
        <v>0.23</v>
      </c>
      <c r="AH792" s="442">
        <v>0.51</v>
      </c>
      <c r="AI792" s="377">
        <f t="shared" si="534"/>
        <v>0.37</v>
      </c>
      <c r="AJ792" s="549">
        <v>1</v>
      </c>
      <c r="AK792" s="203">
        <f t="shared" si="535"/>
        <v>0</v>
      </c>
      <c r="AL792" s="376">
        <f t="shared" si="536"/>
        <v>1915200</v>
      </c>
      <c r="AM792" s="376">
        <f t="shared" si="537"/>
        <v>1124800</v>
      </c>
      <c r="AN792" s="376">
        <f t="shared" si="538"/>
        <v>0</v>
      </c>
      <c r="AO792" s="378" t="s">
        <v>3608</v>
      </c>
      <c r="AP792" s="379" t="s">
        <v>5420</v>
      </c>
      <c r="AQ792" s="279"/>
      <c r="AR792" s="287">
        <f t="shared" si="506"/>
        <v>754800</v>
      </c>
      <c r="AS792" s="287">
        <f t="shared" si="507"/>
        <v>185000</v>
      </c>
      <c r="AT792" s="287">
        <f t="shared" si="508"/>
        <v>185000</v>
      </c>
      <c r="AU792" s="287">
        <f t="shared" si="509"/>
        <v>0</v>
      </c>
      <c r="AV792" s="287">
        <f t="shared" si="510"/>
        <v>0</v>
      </c>
      <c r="AW792" s="287">
        <f t="shared" si="511"/>
        <v>0</v>
      </c>
      <c r="AX792" s="287">
        <f t="shared" si="512"/>
        <v>0</v>
      </c>
      <c r="AY792" s="287">
        <f t="shared" si="513"/>
        <v>0</v>
      </c>
      <c r="AZ792" s="287">
        <f t="shared" si="514"/>
        <v>0</v>
      </c>
      <c r="BA792" s="287">
        <f t="shared" si="515"/>
        <v>0</v>
      </c>
      <c r="BB792" s="16"/>
      <c r="BC792" s="287">
        <f t="shared" si="516"/>
        <v>0</v>
      </c>
      <c r="BD792" s="287">
        <f t="shared" si="517"/>
        <v>0</v>
      </c>
      <c r="BE792" s="287">
        <f t="shared" si="518"/>
        <v>0</v>
      </c>
      <c r="BF792" s="287">
        <f t="shared" si="519"/>
        <v>0</v>
      </c>
      <c r="BG792" s="287">
        <f t="shared" si="520"/>
        <v>0</v>
      </c>
      <c r="BH792" s="287">
        <f t="shared" si="521"/>
        <v>0</v>
      </c>
      <c r="BI792" s="287">
        <f t="shared" si="522"/>
        <v>0</v>
      </c>
      <c r="BJ792" s="287">
        <f t="shared" si="523"/>
        <v>0</v>
      </c>
      <c r="BK792" s="287">
        <f t="shared" si="524"/>
        <v>0</v>
      </c>
      <c r="BL792" s="287">
        <f t="shared" si="525"/>
        <v>0</v>
      </c>
      <c r="BM792" s="16"/>
      <c r="BN792" s="287">
        <f t="shared" si="526"/>
        <v>1124800</v>
      </c>
      <c r="BO792" s="287">
        <f t="shared" si="527"/>
        <v>0</v>
      </c>
      <c r="BP792" s="432"/>
      <c r="BQ792" s="21"/>
      <c r="BR792" s="21"/>
      <c r="BS792" s="523"/>
      <c r="BT792" s="539">
        <f t="shared" si="539"/>
        <v>1124800</v>
      </c>
      <c r="BU792" s="539">
        <f t="shared" si="540"/>
        <v>1124800</v>
      </c>
      <c r="BV792" s="539">
        <f t="shared" si="540"/>
        <v>0</v>
      </c>
      <c r="BW792" s="539">
        <f t="shared" si="541"/>
        <v>0</v>
      </c>
      <c r="BX792" s="523"/>
      <c r="BY792" s="523"/>
      <c r="BZ792" s="39">
        <v>779</v>
      </c>
      <c r="CA792" s="39">
        <f t="shared" si="528"/>
        <v>2031</v>
      </c>
      <c r="CB792" s="523"/>
      <c r="CC792" s="540"/>
      <c r="CD792" s="540"/>
      <c r="CE792" s="540"/>
      <c r="CF792" s="540"/>
      <c r="CG792" s="540"/>
      <c r="CH792" s="540"/>
      <c r="CI792" s="540"/>
      <c r="CJ792" s="540"/>
      <c r="CK792" s="540"/>
    </row>
    <row r="793" spans="1:89" s="581" customFormat="1" ht="36">
      <c r="A793" s="552"/>
      <c r="B793" s="553" t="str">
        <f t="shared" si="505"/>
        <v>STW</v>
      </c>
      <c r="C793" s="553"/>
      <c r="D793" s="570" t="s">
        <v>4038</v>
      </c>
      <c r="E793" s="576" t="s">
        <v>3626</v>
      </c>
      <c r="F793" s="576" t="s">
        <v>4037</v>
      </c>
      <c r="G793" s="616" t="s">
        <v>4216</v>
      </c>
      <c r="H793" s="577" t="s">
        <v>4502</v>
      </c>
      <c r="I793" s="570" t="s">
        <v>3491</v>
      </c>
      <c r="J793" s="570" t="s">
        <v>4221</v>
      </c>
      <c r="K793" s="578">
        <v>0</v>
      </c>
      <c r="L793" s="578">
        <v>0</v>
      </c>
      <c r="M793" s="578">
        <v>0</v>
      </c>
      <c r="N793" s="578">
        <v>0</v>
      </c>
      <c r="O793" s="578">
        <v>8585307.5</v>
      </c>
      <c r="P793" s="578">
        <v>1300000</v>
      </c>
      <c r="Q793" s="578">
        <v>1200000</v>
      </c>
      <c r="R793" s="578">
        <v>0</v>
      </c>
      <c r="S793" s="578">
        <v>0</v>
      </c>
      <c r="T793" s="578">
        <v>0</v>
      </c>
      <c r="U793" s="617">
        <f>SUM(O793:T793)</f>
        <v>11085307.5</v>
      </c>
      <c r="V793" s="560" t="str">
        <f t="shared" si="530"/>
        <v>G/LOS/R</v>
      </c>
      <c r="W793" s="560" t="s">
        <v>1168</v>
      </c>
      <c r="X793" s="560" t="str">
        <f t="shared" si="531"/>
        <v>Y</v>
      </c>
      <c r="Y793" s="376">
        <f t="shared" si="532"/>
        <v>11085307.5</v>
      </c>
      <c r="Z793" s="598"/>
      <c r="AA793" s="376">
        <f t="shared" si="533"/>
        <v>11085307.5</v>
      </c>
      <c r="AB793" s="560" t="s">
        <v>1166</v>
      </c>
      <c r="AC793" s="560" t="s">
        <v>3624</v>
      </c>
      <c r="AD793" s="275">
        <v>0.51</v>
      </c>
      <c r="AE793" s="275">
        <v>0.22</v>
      </c>
      <c r="AF793" s="275">
        <v>0.27</v>
      </c>
      <c r="AG793" s="442">
        <v>0.23</v>
      </c>
      <c r="AH793" s="442">
        <v>0.51</v>
      </c>
      <c r="AI793" s="689">
        <f t="shared" si="534"/>
        <v>0.37</v>
      </c>
      <c r="AJ793" s="548">
        <v>1</v>
      </c>
      <c r="AK793" s="566">
        <f t="shared" si="535"/>
        <v>0</v>
      </c>
      <c r="AL793" s="561">
        <f t="shared" si="536"/>
        <v>6983743.7249999996</v>
      </c>
      <c r="AM793" s="561">
        <f t="shared" si="537"/>
        <v>4101563.7749999999</v>
      </c>
      <c r="AN793" s="561">
        <f t="shared" si="538"/>
        <v>0</v>
      </c>
      <c r="AO793" s="567" t="s">
        <v>3608</v>
      </c>
      <c r="AP793" s="568" t="s">
        <v>5420</v>
      </c>
      <c r="AQ793" s="569"/>
      <c r="AR793" s="287">
        <f t="shared" si="506"/>
        <v>0</v>
      </c>
      <c r="AS793" s="287">
        <f t="shared" si="507"/>
        <v>0</v>
      </c>
      <c r="AT793" s="287">
        <f t="shared" si="508"/>
        <v>0</v>
      </c>
      <c r="AU793" s="287">
        <f t="shared" si="509"/>
        <v>0</v>
      </c>
      <c r="AV793" s="287">
        <f t="shared" si="510"/>
        <v>3176563.7749999999</v>
      </c>
      <c r="AW793" s="287">
        <f t="shared" si="511"/>
        <v>481000</v>
      </c>
      <c r="AX793" s="287">
        <f t="shared" si="512"/>
        <v>444000</v>
      </c>
      <c r="AY793" s="287">
        <f t="shared" si="513"/>
        <v>0</v>
      </c>
      <c r="AZ793" s="287">
        <f t="shared" si="514"/>
        <v>0</v>
      </c>
      <c r="BA793" s="287">
        <f t="shared" si="515"/>
        <v>0</v>
      </c>
      <c r="BB793" s="16"/>
      <c r="BC793" s="287">
        <f t="shared" si="516"/>
        <v>0</v>
      </c>
      <c r="BD793" s="287">
        <f t="shared" si="517"/>
        <v>0</v>
      </c>
      <c r="BE793" s="287">
        <f t="shared" si="518"/>
        <v>0</v>
      </c>
      <c r="BF793" s="287">
        <f t="shared" si="519"/>
        <v>0</v>
      </c>
      <c r="BG793" s="287">
        <f t="shared" si="520"/>
        <v>0</v>
      </c>
      <c r="BH793" s="287">
        <f t="shared" si="521"/>
        <v>0</v>
      </c>
      <c r="BI793" s="287">
        <f t="shared" si="522"/>
        <v>0</v>
      </c>
      <c r="BJ793" s="287">
        <f t="shared" si="523"/>
        <v>0</v>
      </c>
      <c r="BK793" s="287">
        <f t="shared" si="524"/>
        <v>0</v>
      </c>
      <c r="BL793" s="287">
        <f t="shared" si="525"/>
        <v>0</v>
      </c>
      <c r="BM793" s="16"/>
      <c r="BN793" s="287">
        <f t="shared" si="526"/>
        <v>4101563.7749999999</v>
      </c>
      <c r="BO793" s="287">
        <f t="shared" si="527"/>
        <v>0</v>
      </c>
      <c r="BP793" s="570"/>
      <c r="BQ793" s="553"/>
      <c r="BR793" s="553"/>
      <c r="BS793" s="553"/>
      <c r="BT793" s="579">
        <f t="shared" si="539"/>
        <v>4101563.7749999999</v>
      </c>
      <c r="BU793" s="579">
        <f t="shared" si="540"/>
        <v>4101563.7749999999</v>
      </c>
      <c r="BV793" s="579">
        <f t="shared" si="540"/>
        <v>0</v>
      </c>
      <c r="BW793" s="579">
        <f t="shared" si="541"/>
        <v>0</v>
      </c>
      <c r="BX793" s="553"/>
      <c r="BY793" s="553"/>
      <c r="BZ793" s="39">
        <v>780</v>
      </c>
      <c r="CA793" s="39">
        <f t="shared" si="528"/>
        <v>2031</v>
      </c>
      <c r="CB793" s="553"/>
      <c r="CC793" s="580"/>
      <c r="CD793" s="580"/>
      <c r="CE793" s="580"/>
      <c r="CF793" s="580"/>
      <c r="CG793" s="580"/>
      <c r="CH793" s="580"/>
      <c r="CI793" s="580"/>
      <c r="CJ793" s="580"/>
      <c r="CK793" s="580"/>
    </row>
    <row r="794" spans="1:89" s="558" customFormat="1" ht="22.5" customHeight="1">
      <c r="A794" s="552"/>
      <c r="B794" s="553" t="str">
        <f t="shared" si="505"/>
        <v>STW</v>
      </c>
      <c r="C794" s="553"/>
      <c r="D794" s="554">
        <v>3100806</v>
      </c>
      <c r="E794" s="554"/>
      <c r="F794" s="555" t="s">
        <v>3696</v>
      </c>
      <c r="G794" s="615" t="s">
        <v>5288</v>
      </c>
      <c r="H794" s="557" t="s">
        <v>4502</v>
      </c>
      <c r="I794" s="554" t="s">
        <v>3491</v>
      </c>
      <c r="K794" s="559">
        <v>0</v>
      </c>
      <c r="L794" s="559">
        <v>0</v>
      </c>
      <c r="M794" s="559">
        <v>0</v>
      </c>
      <c r="N794" s="559">
        <v>0</v>
      </c>
      <c r="O794" s="559">
        <v>8638584</v>
      </c>
      <c r="P794" s="559">
        <v>10331075.33</v>
      </c>
      <c r="Q794" s="559">
        <v>10606905.33</v>
      </c>
      <c r="R794" s="559">
        <v>10790376.77</v>
      </c>
      <c r="S794" s="559">
        <v>9544184.3100000005</v>
      </c>
      <c r="T794" s="559">
        <v>9735067.9900000002</v>
      </c>
      <c r="U794" s="618">
        <f>SUM(K794:T794)</f>
        <v>59646193.729999997</v>
      </c>
      <c r="V794" s="560" t="s">
        <v>5197</v>
      </c>
      <c r="W794" s="560" t="s">
        <v>1168</v>
      </c>
      <c r="X794" s="560" t="s">
        <v>1166</v>
      </c>
      <c r="Y794" s="376">
        <f t="shared" ref="Y794:Y806" si="542">SUM(K794:T794)</f>
        <v>59646193.729999997</v>
      </c>
      <c r="Z794" s="598"/>
      <c r="AA794" s="376">
        <f t="shared" ref="AA794:AA806" si="543">Y794-Z794</f>
        <v>59646193.729999997</v>
      </c>
      <c r="AB794" s="560" t="s">
        <v>1166</v>
      </c>
      <c r="AC794" s="560" t="s">
        <v>1168</v>
      </c>
      <c r="AD794" s="275">
        <v>0.51</v>
      </c>
      <c r="AE794" s="275">
        <v>0.22</v>
      </c>
      <c r="AF794" s="275">
        <v>0.27</v>
      </c>
      <c r="AG794" s="442">
        <v>0.23</v>
      </c>
      <c r="AH794" s="442">
        <v>0.51</v>
      </c>
      <c r="AI794" s="689">
        <f t="shared" si="534"/>
        <v>0.37</v>
      </c>
      <c r="AJ794" s="548">
        <v>1</v>
      </c>
      <c r="AK794" s="566">
        <f t="shared" si="535"/>
        <v>0</v>
      </c>
      <c r="AL794" s="561">
        <f>(100%-AI794)*AA794</f>
        <v>37577102.049899995</v>
      </c>
      <c r="AM794" s="561">
        <f>AA794*AI794*AJ794</f>
        <v>22069091.680099998</v>
      </c>
      <c r="AN794" s="561">
        <f>AA794*AI794*AK794</f>
        <v>0</v>
      </c>
      <c r="AO794" s="567" t="s">
        <v>3607</v>
      </c>
      <c r="AP794" s="568" t="s">
        <v>5420</v>
      </c>
      <c r="AQ794" s="569"/>
      <c r="AR794" s="287">
        <f t="shared" si="506"/>
        <v>0</v>
      </c>
      <c r="AS794" s="287">
        <f t="shared" si="507"/>
        <v>0</v>
      </c>
      <c r="AT794" s="287">
        <f t="shared" si="508"/>
        <v>0</v>
      </c>
      <c r="AU794" s="287">
        <f t="shared" si="509"/>
        <v>0</v>
      </c>
      <c r="AV794" s="287">
        <f t="shared" si="510"/>
        <v>3196276.08</v>
      </c>
      <c r="AW794" s="287">
        <f t="shared" si="511"/>
        <v>3822497.8720999998</v>
      </c>
      <c r="AX794" s="287">
        <f t="shared" si="512"/>
        <v>3924554.9720999999</v>
      </c>
      <c r="AY794" s="287">
        <f t="shared" si="513"/>
        <v>3992439.4049</v>
      </c>
      <c r="AZ794" s="287">
        <f t="shared" si="514"/>
        <v>3531348.1947000003</v>
      </c>
      <c r="BA794" s="287">
        <f t="shared" si="515"/>
        <v>3601975.1562999999</v>
      </c>
      <c r="BB794" s="16"/>
      <c r="BC794" s="287">
        <f t="shared" si="516"/>
        <v>0</v>
      </c>
      <c r="BD794" s="287">
        <f t="shared" si="517"/>
        <v>0</v>
      </c>
      <c r="BE794" s="287">
        <f t="shared" si="518"/>
        <v>0</v>
      </c>
      <c r="BF794" s="287">
        <f t="shared" si="519"/>
        <v>0</v>
      </c>
      <c r="BG794" s="287">
        <f t="shared" si="520"/>
        <v>0</v>
      </c>
      <c r="BH794" s="287">
        <f t="shared" si="521"/>
        <v>0</v>
      </c>
      <c r="BI794" s="287">
        <f t="shared" si="522"/>
        <v>0</v>
      </c>
      <c r="BJ794" s="287">
        <f t="shared" si="523"/>
        <v>0</v>
      </c>
      <c r="BK794" s="287">
        <f t="shared" si="524"/>
        <v>0</v>
      </c>
      <c r="BL794" s="287">
        <f t="shared" si="525"/>
        <v>0</v>
      </c>
      <c r="BM794" s="16"/>
      <c r="BN794" s="287">
        <f t="shared" si="526"/>
        <v>22069091.680099998</v>
      </c>
      <c r="BO794" s="287">
        <f t="shared" si="527"/>
        <v>0</v>
      </c>
      <c r="BP794" s="570"/>
      <c r="BQ794" s="553"/>
      <c r="BR794" s="553"/>
      <c r="BZ794" s="39">
        <v>781</v>
      </c>
      <c r="CA794" s="39">
        <f t="shared" si="528"/>
        <v>2031</v>
      </c>
    </row>
    <row r="795" spans="1:89" s="558" customFormat="1" ht="22.5" customHeight="1">
      <c r="A795" s="552"/>
      <c r="B795" s="553" t="str">
        <f t="shared" si="505"/>
        <v>STW</v>
      </c>
      <c r="C795" s="553"/>
      <c r="D795" s="554">
        <v>3100806</v>
      </c>
      <c r="E795" s="554"/>
      <c r="F795" s="555" t="s">
        <v>3696</v>
      </c>
      <c r="G795" s="615" t="s">
        <v>5287</v>
      </c>
      <c r="H795" s="557" t="s">
        <v>4502</v>
      </c>
      <c r="I795" s="554" t="s">
        <v>3491</v>
      </c>
      <c r="K795" s="559">
        <v>314894</v>
      </c>
      <c r="L795" s="559">
        <v>750000</v>
      </c>
      <c r="M795" s="559">
        <v>750000</v>
      </c>
      <c r="N795" s="559">
        <v>0</v>
      </c>
      <c r="O795" s="559">
        <v>0</v>
      </c>
      <c r="P795" s="559">
        <v>0</v>
      </c>
      <c r="Q795" s="559">
        <v>0</v>
      </c>
      <c r="R795" s="559">
        <v>0</v>
      </c>
      <c r="S795" s="559">
        <v>0</v>
      </c>
      <c r="T795" s="559">
        <v>0</v>
      </c>
      <c r="U795" s="618">
        <f t="shared" ref="U795:U806" si="544">SUM(K795:T795)</f>
        <v>1814894</v>
      </c>
      <c r="V795" s="560" t="s">
        <v>5197</v>
      </c>
      <c r="W795" s="560" t="s">
        <v>1168</v>
      </c>
      <c r="X795" s="560" t="s">
        <v>1166</v>
      </c>
      <c r="Y795" s="376">
        <f t="shared" si="542"/>
        <v>1814894</v>
      </c>
      <c r="Z795" s="598"/>
      <c r="AA795" s="376">
        <f t="shared" si="543"/>
        <v>1814894</v>
      </c>
      <c r="AB795" s="560" t="s">
        <v>1166</v>
      </c>
      <c r="AC795" s="560" t="s">
        <v>1168</v>
      </c>
      <c r="AD795" s="275">
        <v>0.51</v>
      </c>
      <c r="AE795" s="275">
        <v>0.22</v>
      </c>
      <c r="AF795" s="275">
        <v>0.27</v>
      </c>
      <c r="AG795" s="442">
        <v>0.23</v>
      </c>
      <c r="AH795" s="442">
        <v>0.51</v>
      </c>
      <c r="AI795" s="689">
        <f t="shared" si="534"/>
        <v>0.37</v>
      </c>
      <c r="AJ795" s="548">
        <v>1</v>
      </c>
      <c r="AK795" s="566">
        <f t="shared" ref="AK795:AK806" si="545">1-AJ795</f>
        <v>0</v>
      </c>
      <c r="AL795" s="561">
        <f t="shared" ref="AL795:AL806" si="546">(100%-AI795)*AA795</f>
        <v>1143383.22</v>
      </c>
      <c r="AM795" s="561">
        <f t="shared" ref="AM795:AM806" si="547">AA795*AI795*AJ795</f>
        <v>671510.78</v>
      </c>
      <c r="AN795" s="561">
        <f t="shared" ref="AN795:AN806" si="548">AA795*AI795*AK795</f>
        <v>0</v>
      </c>
      <c r="AO795" s="567" t="s">
        <v>3607</v>
      </c>
      <c r="AP795" s="568" t="s">
        <v>5420</v>
      </c>
      <c r="AQ795" s="569"/>
      <c r="AR795" s="287">
        <f t="shared" si="506"/>
        <v>116510.78</v>
      </c>
      <c r="AS795" s="287">
        <f t="shared" si="507"/>
        <v>277500</v>
      </c>
      <c r="AT795" s="287">
        <f t="shared" si="508"/>
        <v>277500</v>
      </c>
      <c r="AU795" s="287">
        <f t="shared" si="509"/>
        <v>0</v>
      </c>
      <c r="AV795" s="287">
        <f t="shared" si="510"/>
        <v>0</v>
      </c>
      <c r="AW795" s="287">
        <f t="shared" si="511"/>
        <v>0</v>
      </c>
      <c r="AX795" s="287">
        <f t="shared" si="512"/>
        <v>0</v>
      </c>
      <c r="AY795" s="287">
        <f t="shared" si="513"/>
        <v>0</v>
      </c>
      <c r="AZ795" s="287">
        <f t="shared" si="514"/>
        <v>0</v>
      </c>
      <c r="BA795" s="287">
        <f t="shared" si="515"/>
        <v>0</v>
      </c>
      <c r="BB795" s="16"/>
      <c r="BC795" s="287">
        <f t="shared" si="516"/>
        <v>0</v>
      </c>
      <c r="BD795" s="287">
        <f t="shared" si="517"/>
        <v>0</v>
      </c>
      <c r="BE795" s="287">
        <f t="shared" si="518"/>
        <v>0</v>
      </c>
      <c r="BF795" s="287">
        <f t="shared" si="519"/>
        <v>0</v>
      </c>
      <c r="BG795" s="287">
        <f t="shared" si="520"/>
        <v>0</v>
      </c>
      <c r="BH795" s="287">
        <f t="shared" si="521"/>
        <v>0</v>
      </c>
      <c r="BI795" s="287">
        <f t="shared" si="522"/>
        <v>0</v>
      </c>
      <c r="BJ795" s="287">
        <f t="shared" si="523"/>
        <v>0</v>
      </c>
      <c r="BK795" s="287">
        <f t="shared" si="524"/>
        <v>0</v>
      </c>
      <c r="BL795" s="287">
        <f t="shared" si="525"/>
        <v>0</v>
      </c>
      <c r="BM795" s="16"/>
      <c r="BN795" s="287">
        <f t="shared" si="526"/>
        <v>671510.78</v>
      </c>
      <c r="BO795" s="287">
        <f t="shared" si="527"/>
        <v>0</v>
      </c>
      <c r="BP795" s="570"/>
      <c r="BQ795" s="553"/>
      <c r="BR795" s="553"/>
      <c r="BZ795" s="39">
        <v>782</v>
      </c>
      <c r="CA795" s="39">
        <f t="shared" si="528"/>
        <v>2031</v>
      </c>
    </row>
    <row r="796" spans="1:89" s="558" customFormat="1" ht="22.5" customHeight="1">
      <c r="A796" s="552"/>
      <c r="B796" s="553" t="str">
        <f t="shared" si="505"/>
        <v>STW</v>
      </c>
      <c r="C796" s="553"/>
      <c r="D796" s="554">
        <v>3100806</v>
      </c>
      <c r="E796" s="554"/>
      <c r="F796" s="555" t="s">
        <v>3696</v>
      </c>
      <c r="G796" s="615" t="s">
        <v>4214</v>
      </c>
      <c r="H796" s="557" t="s">
        <v>4502</v>
      </c>
      <c r="I796" s="554" t="s">
        <v>3491</v>
      </c>
      <c r="K796" s="559">
        <v>260300</v>
      </c>
      <c r="L796" s="559">
        <v>100000</v>
      </c>
      <c r="M796" s="559">
        <v>100000</v>
      </c>
      <c r="N796" s="559">
        <v>0</v>
      </c>
      <c r="O796" s="559">
        <v>0</v>
      </c>
      <c r="P796" s="559">
        <v>0</v>
      </c>
      <c r="Q796" s="559">
        <v>0</v>
      </c>
      <c r="R796" s="559">
        <v>0</v>
      </c>
      <c r="S796" s="559">
        <v>0</v>
      </c>
      <c r="T796" s="559">
        <v>0</v>
      </c>
      <c r="U796" s="618">
        <f t="shared" si="544"/>
        <v>460300</v>
      </c>
      <c r="V796" s="560" t="s">
        <v>5197</v>
      </c>
      <c r="W796" s="560" t="s">
        <v>1168</v>
      </c>
      <c r="X796" s="560" t="s">
        <v>1166</v>
      </c>
      <c r="Y796" s="376">
        <f t="shared" si="542"/>
        <v>460300</v>
      </c>
      <c r="Z796" s="598"/>
      <c r="AA796" s="376">
        <f t="shared" si="543"/>
        <v>460300</v>
      </c>
      <c r="AB796" s="560" t="s">
        <v>1166</v>
      </c>
      <c r="AC796" s="560" t="s">
        <v>1168</v>
      </c>
      <c r="AD796" s="275">
        <v>0.51</v>
      </c>
      <c r="AE796" s="275">
        <v>0.22</v>
      </c>
      <c r="AF796" s="275">
        <v>0.27</v>
      </c>
      <c r="AG796" s="442">
        <v>0.23</v>
      </c>
      <c r="AH796" s="442">
        <v>0.51</v>
      </c>
      <c r="AI796" s="689">
        <f t="shared" si="534"/>
        <v>0.37</v>
      </c>
      <c r="AJ796" s="548">
        <v>1</v>
      </c>
      <c r="AK796" s="566">
        <f t="shared" si="545"/>
        <v>0</v>
      </c>
      <c r="AL796" s="561">
        <f t="shared" si="546"/>
        <v>289989</v>
      </c>
      <c r="AM796" s="561">
        <f t="shared" si="547"/>
        <v>170311</v>
      </c>
      <c r="AN796" s="561">
        <f t="shared" si="548"/>
        <v>0</v>
      </c>
      <c r="AO796" s="567" t="s">
        <v>3607</v>
      </c>
      <c r="AP796" s="568" t="s">
        <v>5420</v>
      </c>
      <c r="AQ796" s="569"/>
      <c r="AR796" s="287">
        <f t="shared" si="506"/>
        <v>96311</v>
      </c>
      <c r="AS796" s="287">
        <f t="shared" si="507"/>
        <v>37000</v>
      </c>
      <c r="AT796" s="287">
        <f t="shared" si="508"/>
        <v>37000</v>
      </c>
      <c r="AU796" s="287">
        <f t="shared" si="509"/>
        <v>0</v>
      </c>
      <c r="AV796" s="287">
        <f t="shared" si="510"/>
        <v>0</v>
      </c>
      <c r="AW796" s="287">
        <f t="shared" si="511"/>
        <v>0</v>
      </c>
      <c r="AX796" s="287">
        <f t="shared" si="512"/>
        <v>0</v>
      </c>
      <c r="AY796" s="287">
        <f t="shared" si="513"/>
        <v>0</v>
      </c>
      <c r="AZ796" s="287">
        <f t="shared" si="514"/>
        <v>0</v>
      </c>
      <c r="BA796" s="287">
        <f t="shared" si="515"/>
        <v>0</v>
      </c>
      <c r="BB796" s="16"/>
      <c r="BC796" s="287">
        <f t="shared" si="516"/>
        <v>0</v>
      </c>
      <c r="BD796" s="287">
        <f t="shared" si="517"/>
        <v>0</v>
      </c>
      <c r="BE796" s="287">
        <f t="shared" si="518"/>
        <v>0</v>
      </c>
      <c r="BF796" s="287">
        <f t="shared" si="519"/>
        <v>0</v>
      </c>
      <c r="BG796" s="287">
        <f t="shared" si="520"/>
        <v>0</v>
      </c>
      <c r="BH796" s="287">
        <f t="shared" si="521"/>
        <v>0</v>
      </c>
      <c r="BI796" s="287">
        <f t="shared" si="522"/>
        <v>0</v>
      </c>
      <c r="BJ796" s="287">
        <f t="shared" si="523"/>
        <v>0</v>
      </c>
      <c r="BK796" s="287">
        <f t="shared" si="524"/>
        <v>0</v>
      </c>
      <c r="BL796" s="287">
        <f t="shared" si="525"/>
        <v>0</v>
      </c>
      <c r="BM796" s="16"/>
      <c r="BN796" s="287">
        <f t="shared" si="526"/>
        <v>170311</v>
      </c>
      <c r="BO796" s="287">
        <f t="shared" si="527"/>
        <v>0</v>
      </c>
      <c r="BP796" s="570"/>
      <c r="BQ796" s="553"/>
      <c r="BR796" s="553"/>
      <c r="BZ796" s="39">
        <v>783</v>
      </c>
      <c r="CA796" s="39">
        <f t="shared" si="528"/>
        <v>2031</v>
      </c>
    </row>
    <row r="797" spans="1:89" s="558" customFormat="1" ht="22.5" customHeight="1">
      <c r="A797" s="552"/>
      <c r="B797" s="553" t="str">
        <f t="shared" si="505"/>
        <v>STW</v>
      </c>
      <c r="C797" s="553"/>
      <c r="D797" s="554">
        <v>3100806</v>
      </c>
      <c r="E797" s="554"/>
      <c r="F797" s="555" t="s">
        <v>3696</v>
      </c>
      <c r="G797" s="615" t="s">
        <v>5202</v>
      </c>
      <c r="H797" s="557" t="s">
        <v>4502</v>
      </c>
      <c r="I797" s="554" t="s">
        <v>3491</v>
      </c>
      <c r="K797" s="559">
        <v>193000</v>
      </c>
      <c r="L797" s="559">
        <v>250000</v>
      </c>
      <c r="M797" s="559">
        <v>250000</v>
      </c>
      <c r="N797" s="559">
        <v>0</v>
      </c>
      <c r="O797" s="559">
        <v>0</v>
      </c>
      <c r="P797" s="559">
        <v>0</v>
      </c>
      <c r="Q797" s="559">
        <v>0</v>
      </c>
      <c r="R797" s="559">
        <v>0</v>
      </c>
      <c r="S797" s="559">
        <v>0</v>
      </c>
      <c r="T797" s="559">
        <v>0</v>
      </c>
      <c r="U797" s="618">
        <f t="shared" si="544"/>
        <v>693000</v>
      </c>
      <c r="V797" s="560" t="s">
        <v>5197</v>
      </c>
      <c r="W797" s="560" t="s">
        <v>1168</v>
      </c>
      <c r="X797" s="560" t="s">
        <v>1166</v>
      </c>
      <c r="Y797" s="376">
        <f t="shared" si="542"/>
        <v>693000</v>
      </c>
      <c r="Z797" s="598"/>
      <c r="AA797" s="376">
        <f t="shared" si="543"/>
        <v>693000</v>
      </c>
      <c r="AB797" s="560" t="s">
        <v>1166</v>
      </c>
      <c r="AC797" s="560" t="s">
        <v>1168</v>
      </c>
      <c r="AD797" s="275">
        <v>0.51</v>
      </c>
      <c r="AE797" s="275">
        <v>0.22</v>
      </c>
      <c r="AF797" s="275">
        <v>0.27</v>
      </c>
      <c r="AG797" s="442">
        <v>0.23</v>
      </c>
      <c r="AH797" s="442">
        <v>0.51</v>
      </c>
      <c r="AI797" s="689">
        <f t="shared" si="534"/>
        <v>0.37</v>
      </c>
      <c r="AJ797" s="548">
        <v>1</v>
      </c>
      <c r="AK797" s="566">
        <f t="shared" si="545"/>
        <v>0</v>
      </c>
      <c r="AL797" s="561">
        <f t="shared" si="546"/>
        <v>436590</v>
      </c>
      <c r="AM797" s="561">
        <f t="shared" si="547"/>
        <v>256410</v>
      </c>
      <c r="AN797" s="561">
        <f t="shared" si="548"/>
        <v>0</v>
      </c>
      <c r="AO797" s="567" t="s">
        <v>3607</v>
      </c>
      <c r="AP797" s="568" t="s">
        <v>5420</v>
      </c>
      <c r="AQ797" s="569"/>
      <c r="AR797" s="287">
        <f t="shared" si="506"/>
        <v>71410</v>
      </c>
      <c r="AS797" s="287">
        <f t="shared" si="507"/>
        <v>92500</v>
      </c>
      <c r="AT797" s="287">
        <f t="shared" si="508"/>
        <v>92500</v>
      </c>
      <c r="AU797" s="287">
        <f t="shared" si="509"/>
        <v>0</v>
      </c>
      <c r="AV797" s="287">
        <f t="shared" si="510"/>
        <v>0</v>
      </c>
      <c r="AW797" s="287">
        <f t="shared" si="511"/>
        <v>0</v>
      </c>
      <c r="AX797" s="287">
        <f t="shared" si="512"/>
        <v>0</v>
      </c>
      <c r="AY797" s="287">
        <f t="shared" si="513"/>
        <v>0</v>
      </c>
      <c r="AZ797" s="287">
        <f t="shared" si="514"/>
        <v>0</v>
      </c>
      <c r="BA797" s="287">
        <f t="shared" si="515"/>
        <v>0</v>
      </c>
      <c r="BB797" s="16"/>
      <c r="BC797" s="287">
        <f t="shared" si="516"/>
        <v>0</v>
      </c>
      <c r="BD797" s="287">
        <f t="shared" si="517"/>
        <v>0</v>
      </c>
      <c r="BE797" s="287">
        <f t="shared" si="518"/>
        <v>0</v>
      </c>
      <c r="BF797" s="287">
        <f t="shared" si="519"/>
        <v>0</v>
      </c>
      <c r="BG797" s="287">
        <f t="shared" si="520"/>
        <v>0</v>
      </c>
      <c r="BH797" s="287">
        <f t="shared" si="521"/>
        <v>0</v>
      </c>
      <c r="BI797" s="287">
        <f t="shared" si="522"/>
        <v>0</v>
      </c>
      <c r="BJ797" s="287">
        <f t="shared" si="523"/>
        <v>0</v>
      </c>
      <c r="BK797" s="287">
        <f t="shared" si="524"/>
        <v>0</v>
      </c>
      <c r="BL797" s="287">
        <f t="shared" si="525"/>
        <v>0</v>
      </c>
      <c r="BM797" s="16"/>
      <c r="BN797" s="287">
        <f t="shared" si="526"/>
        <v>256410</v>
      </c>
      <c r="BO797" s="287">
        <f t="shared" si="527"/>
        <v>0</v>
      </c>
      <c r="BP797" s="570"/>
      <c r="BQ797" s="553"/>
      <c r="BR797" s="553"/>
      <c r="BZ797" s="39">
        <v>784</v>
      </c>
      <c r="CA797" s="39">
        <f t="shared" si="528"/>
        <v>2031</v>
      </c>
    </row>
    <row r="798" spans="1:89" s="558" customFormat="1" ht="22.5" customHeight="1">
      <c r="A798" s="552"/>
      <c r="B798" s="553" t="str">
        <f t="shared" si="505"/>
        <v>STW</v>
      </c>
      <c r="C798" s="553"/>
      <c r="D798" s="554">
        <v>3100806</v>
      </c>
      <c r="E798" s="554"/>
      <c r="F798" s="555" t="s">
        <v>3696</v>
      </c>
      <c r="G798" s="615" t="s">
        <v>4213</v>
      </c>
      <c r="H798" s="557" t="s">
        <v>4502</v>
      </c>
      <c r="I798" s="554" t="s">
        <v>3491</v>
      </c>
      <c r="K798" s="559">
        <v>523135</v>
      </c>
      <c r="L798" s="559">
        <v>500000</v>
      </c>
      <c r="M798" s="559">
        <v>500000</v>
      </c>
      <c r="N798" s="559">
        <v>0</v>
      </c>
      <c r="O798" s="559">
        <v>0</v>
      </c>
      <c r="P798" s="559">
        <v>0</v>
      </c>
      <c r="Q798" s="559">
        <v>0</v>
      </c>
      <c r="R798" s="559">
        <v>0</v>
      </c>
      <c r="S798" s="559">
        <v>0</v>
      </c>
      <c r="T798" s="559">
        <v>0</v>
      </c>
      <c r="U798" s="618">
        <f t="shared" si="544"/>
        <v>1523135</v>
      </c>
      <c r="V798" s="560" t="s">
        <v>5197</v>
      </c>
      <c r="W798" s="560" t="s">
        <v>1168</v>
      </c>
      <c r="X798" s="560" t="s">
        <v>1166</v>
      </c>
      <c r="Y798" s="376">
        <f t="shared" si="542"/>
        <v>1523135</v>
      </c>
      <c r="Z798" s="598"/>
      <c r="AA798" s="376">
        <f t="shared" si="543"/>
        <v>1523135</v>
      </c>
      <c r="AB798" s="560" t="s">
        <v>1166</v>
      </c>
      <c r="AC798" s="560" t="s">
        <v>1168</v>
      </c>
      <c r="AD798" s="275">
        <v>0.51</v>
      </c>
      <c r="AE798" s="275">
        <v>0.22</v>
      </c>
      <c r="AF798" s="275">
        <v>0.27</v>
      </c>
      <c r="AG798" s="442">
        <v>0.23</v>
      </c>
      <c r="AH798" s="442">
        <v>0.51</v>
      </c>
      <c r="AI798" s="689">
        <f t="shared" si="534"/>
        <v>0.37</v>
      </c>
      <c r="AJ798" s="548">
        <v>1</v>
      </c>
      <c r="AK798" s="566">
        <f t="shared" si="545"/>
        <v>0</v>
      </c>
      <c r="AL798" s="561">
        <f t="shared" si="546"/>
        <v>959575.05</v>
      </c>
      <c r="AM798" s="561">
        <f t="shared" si="547"/>
        <v>563559.94999999995</v>
      </c>
      <c r="AN798" s="561">
        <f t="shared" si="548"/>
        <v>0</v>
      </c>
      <c r="AO798" s="567" t="s">
        <v>3607</v>
      </c>
      <c r="AP798" s="568" t="s">
        <v>5420</v>
      </c>
      <c r="AQ798" s="569"/>
      <c r="AR798" s="287">
        <f t="shared" si="506"/>
        <v>193559.95</v>
      </c>
      <c r="AS798" s="287">
        <f t="shared" si="507"/>
        <v>185000</v>
      </c>
      <c r="AT798" s="287">
        <f t="shared" si="508"/>
        <v>185000</v>
      </c>
      <c r="AU798" s="287">
        <f t="shared" si="509"/>
        <v>0</v>
      </c>
      <c r="AV798" s="287">
        <f t="shared" si="510"/>
        <v>0</v>
      </c>
      <c r="AW798" s="287">
        <f t="shared" si="511"/>
        <v>0</v>
      </c>
      <c r="AX798" s="287">
        <f t="shared" si="512"/>
        <v>0</v>
      </c>
      <c r="AY798" s="287">
        <f t="shared" si="513"/>
        <v>0</v>
      </c>
      <c r="AZ798" s="287">
        <f t="shared" si="514"/>
        <v>0</v>
      </c>
      <c r="BA798" s="287">
        <f t="shared" si="515"/>
        <v>0</v>
      </c>
      <c r="BB798" s="16"/>
      <c r="BC798" s="287">
        <f t="shared" si="516"/>
        <v>0</v>
      </c>
      <c r="BD798" s="287">
        <f t="shared" si="517"/>
        <v>0</v>
      </c>
      <c r="BE798" s="287">
        <f t="shared" si="518"/>
        <v>0</v>
      </c>
      <c r="BF798" s="287">
        <f t="shared" si="519"/>
        <v>0</v>
      </c>
      <c r="BG798" s="287">
        <f t="shared" si="520"/>
        <v>0</v>
      </c>
      <c r="BH798" s="287">
        <f t="shared" si="521"/>
        <v>0</v>
      </c>
      <c r="BI798" s="287">
        <f t="shared" si="522"/>
        <v>0</v>
      </c>
      <c r="BJ798" s="287">
        <f t="shared" si="523"/>
        <v>0</v>
      </c>
      <c r="BK798" s="287">
        <f t="shared" si="524"/>
        <v>0</v>
      </c>
      <c r="BL798" s="287">
        <f t="shared" si="525"/>
        <v>0</v>
      </c>
      <c r="BM798" s="16"/>
      <c r="BN798" s="287">
        <f t="shared" si="526"/>
        <v>563559.94999999995</v>
      </c>
      <c r="BO798" s="287">
        <f t="shared" si="527"/>
        <v>0</v>
      </c>
      <c r="BP798" s="570"/>
      <c r="BQ798" s="553"/>
      <c r="BR798" s="553"/>
      <c r="BZ798" s="39">
        <v>785</v>
      </c>
      <c r="CA798" s="39">
        <f t="shared" si="528"/>
        <v>2031</v>
      </c>
    </row>
    <row r="799" spans="1:89" s="558" customFormat="1" ht="22.5" customHeight="1">
      <c r="A799" s="552"/>
      <c r="B799" s="553" t="str">
        <f t="shared" si="505"/>
        <v>STW</v>
      </c>
      <c r="C799" s="553"/>
      <c r="D799" s="554">
        <v>3100806</v>
      </c>
      <c r="E799" s="554"/>
      <c r="F799" s="555" t="s">
        <v>3696</v>
      </c>
      <c r="G799" s="615" t="s">
        <v>5367</v>
      </c>
      <c r="H799" s="557" t="s">
        <v>4502</v>
      </c>
      <c r="I799" s="554" t="s">
        <v>3491</v>
      </c>
      <c r="K799" s="559">
        <v>0</v>
      </c>
      <c r="L799" s="559">
        <v>50000</v>
      </c>
      <c r="M799" s="559">
        <v>50000</v>
      </c>
      <c r="N799" s="559">
        <v>0</v>
      </c>
      <c r="O799" s="559">
        <v>0</v>
      </c>
      <c r="P799" s="559">
        <v>0</v>
      </c>
      <c r="Q799" s="559">
        <v>0</v>
      </c>
      <c r="R799" s="559">
        <v>0</v>
      </c>
      <c r="S799" s="559">
        <v>0</v>
      </c>
      <c r="T799" s="559">
        <v>0</v>
      </c>
      <c r="U799" s="618">
        <f t="shared" si="544"/>
        <v>100000</v>
      </c>
      <c r="V799" s="560" t="s">
        <v>5197</v>
      </c>
      <c r="W799" s="560" t="s">
        <v>1168</v>
      </c>
      <c r="X799" s="560" t="s">
        <v>1166</v>
      </c>
      <c r="Y799" s="376">
        <f t="shared" si="542"/>
        <v>100000</v>
      </c>
      <c r="Z799" s="598"/>
      <c r="AA799" s="376">
        <f t="shared" si="543"/>
        <v>100000</v>
      </c>
      <c r="AB799" s="560" t="s">
        <v>1166</v>
      </c>
      <c r="AC799" s="560" t="s">
        <v>1168</v>
      </c>
      <c r="AD799" s="275">
        <v>0.51</v>
      </c>
      <c r="AE799" s="275">
        <v>0.22</v>
      </c>
      <c r="AF799" s="275">
        <v>0.27</v>
      </c>
      <c r="AG799" s="442">
        <v>0.23</v>
      </c>
      <c r="AH799" s="442">
        <v>0.51</v>
      </c>
      <c r="AI799" s="689">
        <f t="shared" si="534"/>
        <v>0.37</v>
      </c>
      <c r="AJ799" s="548">
        <v>1</v>
      </c>
      <c r="AK799" s="566">
        <f t="shared" si="545"/>
        <v>0</v>
      </c>
      <c r="AL799" s="561">
        <f t="shared" si="546"/>
        <v>63000</v>
      </c>
      <c r="AM799" s="561">
        <f t="shared" si="547"/>
        <v>37000</v>
      </c>
      <c r="AN799" s="561">
        <f t="shared" si="548"/>
        <v>0</v>
      </c>
      <c r="AO799" s="567" t="s">
        <v>3607</v>
      </c>
      <c r="AP799" s="568" t="s">
        <v>5420</v>
      </c>
      <c r="AQ799" s="569"/>
      <c r="AR799" s="287">
        <f t="shared" si="506"/>
        <v>0</v>
      </c>
      <c r="AS799" s="287">
        <f t="shared" si="507"/>
        <v>18500</v>
      </c>
      <c r="AT799" s="287">
        <f t="shared" si="508"/>
        <v>18500</v>
      </c>
      <c r="AU799" s="287">
        <f t="shared" si="509"/>
        <v>0</v>
      </c>
      <c r="AV799" s="287">
        <f t="shared" si="510"/>
        <v>0</v>
      </c>
      <c r="AW799" s="287">
        <f t="shared" si="511"/>
        <v>0</v>
      </c>
      <c r="AX799" s="287">
        <f t="shared" si="512"/>
        <v>0</v>
      </c>
      <c r="AY799" s="287">
        <f t="shared" si="513"/>
        <v>0</v>
      </c>
      <c r="AZ799" s="287">
        <f t="shared" si="514"/>
        <v>0</v>
      </c>
      <c r="BA799" s="287">
        <f t="shared" si="515"/>
        <v>0</v>
      </c>
      <c r="BB799" s="16"/>
      <c r="BC799" s="287">
        <f t="shared" si="516"/>
        <v>0</v>
      </c>
      <c r="BD799" s="287">
        <f t="shared" si="517"/>
        <v>0</v>
      </c>
      <c r="BE799" s="287">
        <f t="shared" si="518"/>
        <v>0</v>
      </c>
      <c r="BF799" s="287">
        <f t="shared" si="519"/>
        <v>0</v>
      </c>
      <c r="BG799" s="287">
        <f t="shared" si="520"/>
        <v>0</v>
      </c>
      <c r="BH799" s="287">
        <f t="shared" si="521"/>
        <v>0</v>
      </c>
      <c r="BI799" s="287">
        <f t="shared" si="522"/>
        <v>0</v>
      </c>
      <c r="BJ799" s="287">
        <f t="shared" si="523"/>
        <v>0</v>
      </c>
      <c r="BK799" s="287">
        <f t="shared" si="524"/>
        <v>0</v>
      </c>
      <c r="BL799" s="287">
        <f t="shared" si="525"/>
        <v>0</v>
      </c>
      <c r="BM799" s="16"/>
      <c r="BN799" s="287">
        <f t="shared" si="526"/>
        <v>37000</v>
      </c>
      <c r="BO799" s="287">
        <f t="shared" si="527"/>
        <v>0</v>
      </c>
      <c r="BP799" s="570"/>
      <c r="BQ799" s="553"/>
      <c r="BR799" s="553"/>
      <c r="BZ799" s="39">
        <v>786</v>
      </c>
      <c r="CA799" s="39">
        <f t="shared" si="528"/>
        <v>2031</v>
      </c>
    </row>
    <row r="800" spans="1:89" s="558" customFormat="1" ht="22.5" customHeight="1">
      <c r="A800" s="552"/>
      <c r="B800" s="553" t="str">
        <f t="shared" si="505"/>
        <v>STW</v>
      </c>
      <c r="C800" s="553"/>
      <c r="D800" s="554">
        <v>3100806</v>
      </c>
      <c r="E800" s="554"/>
      <c r="F800" s="555" t="s">
        <v>3696</v>
      </c>
      <c r="G800" s="615" t="s">
        <v>5201</v>
      </c>
      <c r="H800" s="557" t="s">
        <v>4502</v>
      </c>
      <c r="I800" s="554" t="s">
        <v>3491</v>
      </c>
      <c r="K800" s="559">
        <v>1961665</v>
      </c>
      <c r="L800" s="559">
        <v>1000000</v>
      </c>
      <c r="M800" s="559">
        <v>1000000</v>
      </c>
      <c r="N800" s="559">
        <v>0</v>
      </c>
      <c r="O800" s="559">
        <v>0</v>
      </c>
      <c r="P800" s="559">
        <v>0</v>
      </c>
      <c r="Q800" s="559">
        <v>0</v>
      </c>
      <c r="R800" s="559">
        <v>0</v>
      </c>
      <c r="S800" s="559">
        <v>0</v>
      </c>
      <c r="T800" s="559">
        <v>0</v>
      </c>
      <c r="U800" s="618">
        <f t="shared" si="544"/>
        <v>3961665</v>
      </c>
      <c r="V800" s="560" t="s">
        <v>5197</v>
      </c>
      <c r="W800" s="560" t="s">
        <v>1168</v>
      </c>
      <c r="X800" s="560" t="s">
        <v>1166</v>
      </c>
      <c r="Y800" s="376">
        <f t="shared" si="542"/>
        <v>3961665</v>
      </c>
      <c r="Z800" s="598"/>
      <c r="AA800" s="376">
        <f t="shared" si="543"/>
        <v>3961665</v>
      </c>
      <c r="AB800" s="560" t="s">
        <v>1166</v>
      </c>
      <c r="AC800" s="560" t="s">
        <v>1168</v>
      </c>
      <c r="AD800" s="275">
        <v>0.51</v>
      </c>
      <c r="AE800" s="275">
        <v>0.22</v>
      </c>
      <c r="AF800" s="275">
        <v>0.27</v>
      </c>
      <c r="AG800" s="442">
        <v>0.23</v>
      </c>
      <c r="AH800" s="442">
        <v>0.51</v>
      </c>
      <c r="AI800" s="689">
        <f t="shared" si="534"/>
        <v>0.37</v>
      </c>
      <c r="AJ800" s="548">
        <v>1</v>
      </c>
      <c r="AK800" s="566">
        <f t="shared" si="545"/>
        <v>0</v>
      </c>
      <c r="AL800" s="561">
        <f t="shared" si="546"/>
        <v>2495848.9500000002</v>
      </c>
      <c r="AM800" s="561">
        <f t="shared" si="547"/>
        <v>1465816.05</v>
      </c>
      <c r="AN800" s="561">
        <f t="shared" si="548"/>
        <v>0</v>
      </c>
      <c r="AO800" s="567" t="s">
        <v>3607</v>
      </c>
      <c r="AP800" s="568" t="s">
        <v>5420</v>
      </c>
      <c r="AQ800" s="569"/>
      <c r="AR800" s="287">
        <f t="shared" si="506"/>
        <v>725816.05</v>
      </c>
      <c r="AS800" s="287">
        <f t="shared" si="507"/>
        <v>370000</v>
      </c>
      <c r="AT800" s="287">
        <f t="shared" si="508"/>
        <v>370000</v>
      </c>
      <c r="AU800" s="287">
        <f t="shared" si="509"/>
        <v>0</v>
      </c>
      <c r="AV800" s="287">
        <f t="shared" si="510"/>
        <v>0</v>
      </c>
      <c r="AW800" s="287">
        <f t="shared" si="511"/>
        <v>0</v>
      </c>
      <c r="AX800" s="287">
        <f t="shared" si="512"/>
        <v>0</v>
      </c>
      <c r="AY800" s="287">
        <f t="shared" si="513"/>
        <v>0</v>
      </c>
      <c r="AZ800" s="287">
        <f t="shared" si="514"/>
        <v>0</v>
      </c>
      <c r="BA800" s="287">
        <f t="shared" si="515"/>
        <v>0</v>
      </c>
      <c r="BB800" s="16"/>
      <c r="BC800" s="287">
        <f t="shared" si="516"/>
        <v>0</v>
      </c>
      <c r="BD800" s="287">
        <f t="shared" si="517"/>
        <v>0</v>
      </c>
      <c r="BE800" s="287">
        <f t="shared" si="518"/>
        <v>0</v>
      </c>
      <c r="BF800" s="287">
        <f t="shared" si="519"/>
        <v>0</v>
      </c>
      <c r="BG800" s="287">
        <f t="shared" si="520"/>
        <v>0</v>
      </c>
      <c r="BH800" s="287">
        <f t="shared" si="521"/>
        <v>0</v>
      </c>
      <c r="BI800" s="287">
        <f t="shared" si="522"/>
        <v>0</v>
      </c>
      <c r="BJ800" s="287">
        <f t="shared" si="523"/>
        <v>0</v>
      </c>
      <c r="BK800" s="287">
        <f t="shared" si="524"/>
        <v>0</v>
      </c>
      <c r="BL800" s="287">
        <f t="shared" si="525"/>
        <v>0</v>
      </c>
      <c r="BM800" s="16"/>
      <c r="BN800" s="287">
        <f t="shared" si="526"/>
        <v>1465816.05</v>
      </c>
      <c r="BO800" s="287">
        <f t="shared" si="527"/>
        <v>0</v>
      </c>
      <c r="BP800" s="570"/>
      <c r="BQ800" s="553"/>
      <c r="BR800" s="553"/>
      <c r="BZ800" s="39">
        <v>787</v>
      </c>
      <c r="CA800" s="39">
        <f t="shared" si="528"/>
        <v>2031</v>
      </c>
    </row>
    <row r="801" spans="1:89" s="558" customFormat="1" ht="72">
      <c r="A801" s="552"/>
      <c r="B801" s="553" t="str">
        <f t="shared" si="505"/>
        <v>STW</v>
      </c>
      <c r="C801" s="553"/>
      <c r="D801" s="554">
        <v>3100806</v>
      </c>
      <c r="E801" s="554"/>
      <c r="F801" s="555" t="s">
        <v>3696</v>
      </c>
      <c r="G801" s="556" t="s">
        <v>5282</v>
      </c>
      <c r="H801" s="545" t="s">
        <v>5284</v>
      </c>
      <c r="I801" s="554" t="s">
        <v>3491</v>
      </c>
      <c r="K801" s="559">
        <v>2590982.04</v>
      </c>
      <c r="L801" s="559">
        <v>1062302</v>
      </c>
      <c r="M801" s="559">
        <v>0</v>
      </c>
      <c r="N801" s="559">
        <v>0</v>
      </c>
      <c r="O801" s="559">
        <v>0</v>
      </c>
      <c r="P801" s="559">
        <v>0</v>
      </c>
      <c r="Q801" s="559">
        <v>0</v>
      </c>
      <c r="R801" s="559">
        <v>0</v>
      </c>
      <c r="S801" s="559">
        <v>0</v>
      </c>
      <c r="T801" s="559">
        <v>0</v>
      </c>
      <c r="U801" s="559">
        <f t="shared" si="544"/>
        <v>3653284.04</v>
      </c>
      <c r="V801" s="560" t="s">
        <v>5197</v>
      </c>
      <c r="W801" s="560" t="s">
        <v>1168</v>
      </c>
      <c r="X801" s="560" t="s">
        <v>1166</v>
      </c>
      <c r="Y801" s="376">
        <f t="shared" si="542"/>
        <v>3653284.04</v>
      </c>
      <c r="Z801" s="562"/>
      <c r="AA801" s="376">
        <f t="shared" si="543"/>
        <v>3653284.04</v>
      </c>
      <c r="AB801" s="560" t="s">
        <v>1166</v>
      </c>
      <c r="AC801" s="560" t="s">
        <v>1168</v>
      </c>
      <c r="AD801" s="599">
        <v>0.94999999999999984</v>
      </c>
      <c r="AE801" s="599">
        <v>0.05</v>
      </c>
      <c r="AF801" s="599">
        <v>0</v>
      </c>
      <c r="AG801" s="600">
        <v>0.95</v>
      </c>
      <c r="AH801" s="600">
        <v>0.95</v>
      </c>
      <c r="AI801" s="601">
        <f t="shared" ref="AI801:AI806" si="549">(AG801+AH801)/2</f>
        <v>0.95</v>
      </c>
      <c r="AJ801" s="548">
        <v>1</v>
      </c>
      <c r="AK801" s="566">
        <f t="shared" si="545"/>
        <v>0</v>
      </c>
      <c r="AL801" s="561">
        <f t="shared" si="546"/>
        <v>182664.20200000016</v>
      </c>
      <c r="AM801" s="561">
        <f t="shared" si="547"/>
        <v>3470619.838</v>
      </c>
      <c r="AN801" s="561">
        <f t="shared" si="548"/>
        <v>0</v>
      </c>
      <c r="AO801" s="567" t="s">
        <v>3607</v>
      </c>
      <c r="AP801" s="568" t="s">
        <v>5402</v>
      </c>
      <c r="AQ801" s="569"/>
      <c r="AR801" s="287">
        <f t="shared" si="506"/>
        <v>2461432.9380000001</v>
      </c>
      <c r="AS801" s="287">
        <f t="shared" si="507"/>
        <v>1009186.8999999999</v>
      </c>
      <c r="AT801" s="287">
        <f t="shared" si="508"/>
        <v>0</v>
      </c>
      <c r="AU801" s="287">
        <f t="shared" si="509"/>
        <v>0</v>
      </c>
      <c r="AV801" s="287">
        <f t="shared" si="510"/>
        <v>0</v>
      </c>
      <c r="AW801" s="287">
        <f t="shared" si="511"/>
        <v>0</v>
      </c>
      <c r="AX801" s="287">
        <f t="shared" si="512"/>
        <v>0</v>
      </c>
      <c r="AY801" s="287">
        <f t="shared" si="513"/>
        <v>0</v>
      </c>
      <c r="AZ801" s="287">
        <f t="shared" si="514"/>
        <v>0</v>
      </c>
      <c r="BA801" s="287">
        <f t="shared" si="515"/>
        <v>0</v>
      </c>
      <c r="BB801" s="16"/>
      <c r="BC801" s="287">
        <f t="shared" si="516"/>
        <v>0</v>
      </c>
      <c r="BD801" s="287">
        <f t="shared" si="517"/>
        <v>0</v>
      </c>
      <c r="BE801" s="287">
        <f t="shared" si="518"/>
        <v>0</v>
      </c>
      <c r="BF801" s="287">
        <f t="shared" si="519"/>
        <v>0</v>
      </c>
      <c r="BG801" s="287">
        <f t="shared" si="520"/>
        <v>0</v>
      </c>
      <c r="BH801" s="287">
        <f t="shared" si="521"/>
        <v>0</v>
      </c>
      <c r="BI801" s="287">
        <f t="shared" si="522"/>
        <v>0</v>
      </c>
      <c r="BJ801" s="287">
        <f t="shared" si="523"/>
        <v>0</v>
      </c>
      <c r="BK801" s="287">
        <f t="shared" si="524"/>
        <v>0</v>
      </c>
      <c r="BL801" s="287">
        <f t="shared" si="525"/>
        <v>0</v>
      </c>
      <c r="BM801" s="16"/>
      <c r="BN801" s="287">
        <f t="shared" si="526"/>
        <v>3470619.838</v>
      </c>
      <c r="BO801" s="287">
        <f t="shared" si="527"/>
        <v>0</v>
      </c>
      <c r="BP801" s="570"/>
      <c r="BQ801" s="553"/>
      <c r="BR801" s="553"/>
      <c r="BZ801" s="39">
        <v>788</v>
      </c>
      <c r="CA801" s="39">
        <f t="shared" si="528"/>
        <v>2031</v>
      </c>
    </row>
    <row r="802" spans="1:89" s="558" customFormat="1" ht="72">
      <c r="A802" s="552"/>
      <c r="B802" s="553" t="str">
        <f t="shared" si="505"/>
        <v>STW</v>
      </c>
      <c r="C802" s="553"/>
      <c r="D802" s="554"/>
      <c r="E802" s="554"/>
      <c r="F802" s="602" t="s">
        <v>5286</v>
      </c>
      <c r="G802" s="603" t="s">
        <v>2371</v>
      </c>
      <c r="H802" s="545" t="s">
        <v>5284</v>
      </c>
      <c r="I802" s="604" t="s">
        <v>3491</v>
      </c>
      <c r="J802" s="604" t="s">
        <v>3504</v>
      </c>
      <c r="K802" s="605">
        <v>4663766.04</v>
      </c>
      <c r="L802" s="605">
        <v>0</v>
      </c>
      <c r="M802" s="605">
        <v>0</v>
      </c>
      <c r="N802" s="605">
        <v>0</v>
      </c>
      <c r="O802" s="605">
        <v>0</v>
      </c>
      <c r="P802" s="605">
        <v>0</v>
      </c>
      <c r="Q802" s="605">
        <v>0</v>
      </c>
      <c r="R802" s="605">
        <v>0</v>
      </c>
      <c r="S802" s="605">
        <v>0</v>
      </c>
      <c r="T802" s="605">
        <v>0</v>
      </c>
      <c r="U802" s="605">
        <f t="shared" si="544"/>
        <v>4663766.04</v>
      </c>
      <c r="V802" s="606" t="str">
        <f>IF(AND(AD802&gt;0,AE802&gt;0,AF802&gt;0),"G/LOS/R",IF(AND(AD802&gt;0,AE802&gt;0),"G/LOS",IF(AND(AD802&gt;0,AF802&gt;0),"G/R",IF(AND(AE802&gt;0,AF802&gt;0),"LOS/R",IF(AD802&gt;0,"G",IF(AE802&gt;0,"LOS",IF(AF802&gt;0,"R","CHECK")))))))</f>
        <v>G/LOS/R</v>
      </c>
      <c r="W802" s="606" t="s">
        <v>1168</v>
      </c>
      <c r="X802" s="606" t="str">
        <f>IF(LEFT(V802,1)="G","Y","N")</f>
        <v>Y</v>
      </c>
      <c r="Y802" s="607">
        <f t="shared" si="542"/>
        <v>4663766.04</v>
      </c>
      <c r="Z802" s="608"/>
      <c r="AA802" s="607">
        <f t="shared" si="543"/>
        <v>4663766.04</v>
      </c>
      <c r="AB802" s="606" t="s">
        <v>1166</v>
      </c>
      <c r="AC802" s="606" t="s">
        <v>3624</v>
      </c>
      <c r="AD802" s="599">
        <v>0.6</v>
      </c>
      <c r="AE802" s="599">
        <v>0.3</v>
      </c>
      <c r="AF802" s="599">
        <v>0.1</v>
      </c>
      <c r="AG802" s="600">
        <v>0.6</v>
      </c>
      <c r="AH802" s="600">
        <v>0.6</v>
      </c>
      <c r="AI802" s="601">
        <f t="shared" si="549"/>
        <v>0.6</v>
      </c>
      <c r="AJ802" s="609">
        <v>1</v>
      </c>
      <c r="AK802" s="609">
        <f>1-AJ802</f>
        <v>0</v>
      </c>
      <c r="AL802" s="607">
        <f t="shared" si="546"/>
        <v>1865506.4160000002</v>
      </c>
      <c r="AM802" s="607">
        <f t="shared" si="547"/>
        <v>2798259.6239999998</v>
      </c>
      <c r="AN802" s="607">
        <f t="shared" si="548"/>
        <v>0</v>
      </c>
      <c r="AO802" s="610" t="s">
        <v>3607</v>
      </c>
      <c r="AP802" s="611" t="s">
        <v>5421</v>
      </c>
      <c r="AQ802" s="612"/>
      <c r="AR802" s="287">
        <f t="shared" si="506"/>
        <v>2798259.6239999998</v>
      </c>
      <c r="AS802" s="287">
        <f t="shared" si="507"/>
        <v>0</v>
      </c>
      <c r="AT802" s="287">
        <f t="shared" si="508"/>
        <v>0</v>
      </c>
      <c r="AU802" s="287">
        <f t="shared" si="509"/>
        <v>0</v>
      </c>
      <c r="AV802" s="287">
        <f t="shared" si="510"/>
        <v>0</v>
      </c>
      <c r="AW802" s="287">
        <f t="shared" si="511"/>
        <v>0</v>
      </c>
      <c r="AX802" s="287">
        <f t="shared" si="512"/>
        <v>0</v>
      </c>
      <c r="AY802" s="287">
        <f t="shared" si="513"/>
        <v>0</v>
      </c>
      <c r="AZ802" s="287">
        <f t="shared" si="514"/>
        <v>0</v>
      </c>
      <c r="BA802" s="287">
        <f t="shared" si="515"/>
        <v>0</v>
      </c>
      <c r="BB802" s="16"/>
      <c r="BC802" s="287">
        <f t="shared" si="516"/>
        <v>0</v>
      </c>
      <c r="BD802" s="287">
        <f t="shared" si="517"/>
        <v>0</v>
      </c>
      <c r="BE802" s="287">
        <f t="shared" si="518"/>
        <v>0</v>
      </c>
      <c r="BF802" s="287">
        <f t="shared" si="519"/>
        <v>0</v>
      </c>
      <c r="BG802" s="287">
        <f t="shared" si="520"/>
        <v>0</v>
      </c>
      <c r="BH802" s="287">
        <f t="shared" si="521"/>
        <v>0</v>
      </c>
      <c r="BI802" s="287">
        <f t="shared" si="522"/>
        <v>0</v>
      </c>
      <c r="BJ802" s="287">
        <f t="shared" si="523"/>
        <v>0</v>
      </c>
      <c r="BK802" s="287">
        <f t="shared" si="524"/>
        <v>0</v>
      </c>
      <c r="BL802" s="287">
        <f t="shared" si="525"/>
        <v>0</v>
      </c>
      <c r="BM802" s="16"/>
      <c r="BN802" s="287">
        <f t="shared" si="526"/>
        <v>2798259.6239999998</v>
      </c>
      <c r="BO802" s="287">
        <f t="shared" si="527"/>
        <v>0</v>
      </c>
      <c r="BP802" s="604"/>
      <c r="BQ802" s="613"/>
      <c r="BR802" s="613"/>
      <c r="BS802" s="613"/>
      <c r="BT802" s="614"/>
      <c r="BU802" s="614"/>
      <c r="BV802" s="614"/>
      <c r="BW802" s="614"/>
      <c r="BX802" s="613"/>
      <c r="BY802" s="613"/>
      <c r="BZ802" s="39">
        <v>789</v>
      </c>
      <c r="CA802" s="39">
        <f t="shared" si="528"/>
        <v>2031</v>
      </c>
    </row>
    <row r="803" spans="1:89" s="558" customFormat="1" ht="72">
      <c r="A803" s="552"/>
      <c r="B803" s="553" t="str">
        <f t="shared" si="505"/>
        <v>STW</v>
      </c>
      <c r="C803" s="553"/>
      <c r="D803" s="554">
        <v>3100806</v>
      </c>
      <c r="E803" s="554"/>
      <c r="F803" s="555" t="s">
        <v>3696</v>
      </c>
      <c r="G803" s="556" t="s">
        <v>5283</v>
      </c>
      <c r="H803" s="545" t="s">
        <v>5284</v>
      </c>
      <c r="I803" s="554" t="s">
        <v>3491</v>
      </c>
      <c r="K803" s="559">
        <v>0</v>
      </c>
      <c r="L803" s="559">
        <v>5842663</v>
      </c>
      <c r="M803" s="559">
        <v>0</v>
      </c>
      <c r="N803" s="559">
        <v>0</v>
      </c>
      <c r="O803" s="559">
        <v>5759057</v>
      </c>
      <c r="P803" s="559">
        <v>0</v>
      </c>
      <c r="Q803" s="559">
        <v>0</v>
      </c>
      <c r="R803" s="559">
        <v>0</v>
      </c>
      <c r="S803" s="559">
        <v>0</v>
      </c>
      <c r="T803" s="559">
        <v>0</v>
      </c>
      <c r="U803" s="559">
        <f t="shared" si="544"/>
        <v>11601720</v>
      </c>
      <c r="V803" s="560" t="s">
        <v>5197</v>
      </c>
      <c r="W803" s="560" t="s">
        <v>1168</v>
      </c>
      <c r="X803" s="560" t="s">
        <v>1166</v>
      </c>
      <c r="Y803" s="376">
        <f t="shared" si="542"/>
        <v>11601720</v>
      </c>
      <c r="Z803" s="562"/>
      <c r="AA803" s="376">
        <f t="shared" si="543"/>
        <v>11601720</v>
      </c>
      <c r="AB803" s="560" t="s">
        <v>1166</v>
      </c>
      <c r="AC803" s="560" t="s">
        <v>1168</v>
      </c>
      <c r="AD803" s="599">
        <v>0.9</v>
      </c>
      <c r="AE803" s="599">
        <v>0.05</v>
      </c>
      <c r="AF803" s="599">
        <v>0.05</v>
      </c>
      <c r="AG803" s="600">
        <v>0.9</v>
      </c>
      <c r="AH803" s="600">
        <v>0.9</v>
      </c>
      <c r="AI803" s="601">
        <f t="shared" si="549"/>
        <v>0.9</v>
      </c>
      <c r="AJ803" s="548">
        <v>1</v>
      </c>
      <c r="AK803" s="566">
        <f t="shared" si="545"/>
        <v>0</v>
      </c>
      <c r="AL803" s="561">
        <f t="shared" si="546"/>
        <v>1160171.9999999998</v>
      </c>
      <c r="AM803" s="561">
        <f t="shared" si="547"/>
        <v>10441548</v>
      </c>
      <c r="AN803" s="561">
        <f t="shared" si="548"/>
        <v>0</v>
      </c>
      <c r="AO803" s="567" t="s">
        <v>3607</v>
      </c>
      <c r="AP803" s="568" t="s">
        <v>5396</v>
      </c>
      <c r="AQ803" s="569"/>
      <c r="AR803" s="287">
        <f t="shared" si="506"/>
        <v>0</v>
      </c>
      <c r="AS803" s="287">
        <f t="shared" si="507"/>
        <v>5258396.7</v>
      </c>
      <c r="AT803" s="287">
        <f t="shared" si="508"/>
        <v>0</v>
      </c>
      <c r="AU803" s="287">
        <f t="shared" si="509"/>
        <v>0</v>
      </c>
      <c r="AV803" s="287">
        <f t="shared" si="510"/>
        <v>5183151.3</v>
      </c>
      <c r="AW803" s="287">
        <f t="shared" si="511"/>
        <v>0</v>
      </c>
      <c r="AX803" s="287">
        <f t="shared" si="512"/>
        <v>0</v>
      </c>
      <c r="AY803" s="287">
        <f t="shared" si="513"/>
        <v>0</v>
      </c>
      <c r="AZ803" s="287">
        <f t="shared" si="514"/>
        <v>0</v>
      </c>
      <c r="BA803" s="287">
        <f t="shared" si="515"/>
        <v>0</v>
      </c>
      <c r="BB803" s="16"/>
      <c r="BC803" s="287">
        <f t="shared" si="516"/>
        <v>0</v>
      </c>
      <c r="BD803" s="287">
        <f t="shared" si="517"/>
        <v>0</v>
      </c>
      <c r="BE803" s="287">
        <f t="shared" si="518"/>
        <v>0</v>
      </c>
      <c r="BF803" s="287">
        <f t="shared" si="519"/>
        <v>0</v>
      </c>
      <c r="BG803" s="287">
        <f t="shared" si="520"/>
        <v>0</v>
      </c>
      <c r="BH803" s="287">
        <f t="shared" si="521"/>
        <v>0</v>
      </c>
      <c r="BI803" s="287">
        <f t="shared" si="522"/>
        <v>0</v>
      </c>
      <c r="BJ803" s="287">
        <f t="shared" si="523"/>
        <v>0</v>
      </c>
      <c r="BK803" s="287">
        <f t="shared" si="524"/>
        <v>0</v>
      </c>
      <c r="BL803" s="287">
        <f t="shared" si="525"/>
        <v>0</v>
      </c>
      <c r="BM803" s="16"/>
      <c r="BN803" s="287">
        <f t="shared" si="526"/>
        <v>10441548</v>
      </c>
      <c r="BO803" s="287">
        <f t="shared" si="527"/>
        <v>0</v>
      </c>
      <c r="BP803" s="570"/>
      <c r="BQ803" s="553"/>
      <c r="BR803" s="553"/>
      <c r="BZ803" s="39">
        <v>790</v>
      </c>
      <c r="CA803" s="39">
        <f t="shared" si="528"/>
        <v>2031</v>
      </c>
    </row>
    <row r="804" spans="1:89" s="558" customFormat="1" ht="36">
      <c r="A804" s="552"/>
      <c r="B804" s="553" t="str">
        <f t="shared" si="505"/>
        <v>STW</v>
      </c>
      <c r="C804" s="553"/>
      <c r="D804" s="554">
        <v>3100806</v>
      </c>
      <c r="E804" s="554"/>
      <c r="F804" s="576" t="s">
        <v>4060</v>
      </c>
      <c r="G804" s="615" t="s">
        <v>4215</v>
      </c>
      <c r="H804" s="557" t="s">
        <v>4502</v>
      </c>
      <c r="I804" s="554" t="s">
        <v>3491</v>
      </c>
      <c r="K804" s="559">
        <v>40000</v>
      </c>
      <c r="L804" s="559">
        <v>1500000</v>
      </c>
      <c r="M804" s="559">
        <v>1500000</v>
      </c>
      <c r="N804" s="559">
        <v>0</v>
      </c>
      <c r="O804" s="559">
        <v>0</v>
      </c>
      <c r="P804" s="559">
        <v>0</v>
      </c>
      <c r="Q804" s="559">
        <v>0</v>
      </c>
      <c r="R804" s="559">
        <v>0</v>
      </c>
      <c r="S804" s="559">
        <v>0</v>
      </c>
      <c r="T804" s="559">
        <v>0</v>
      </c>
      <c r="U804" s="618">
        <f t="shared" si="544"/>
        <v>3040000</v>
      </c>
      <c r="V804" s="560" t="s">
        <v>5197</v>
      </c>
      <c r="W804" s="560" t="s">
        <v>1168</v>
      </c>
      <c r="X804" s="560" t="s">
        <v>1166</v>
      </c>
      <c r="Y804" s="376">
        <f t="shared" si="542"/>
        <v>3040000</v>
      </c>
      <c r="Z804" s="562"/>
      <c r="AA804" s="376">
        <f t="shared" si="543"/>
        <v>3040000</v>
      </c>
      <c r="AB804" s="560" t="s">
        <v>1166</v>
      </c>
      <c r="AC804" s="560" t="s">
        <v>1168</v>
      </c>
      <c r="AD804" s="275">
        <v>0.51</v>
      </c>
      <c r="AE804" s="275">
        <v>0.22</v>
      </c>
      <c r="AF804" s="275">
        <v>0.27</v>
      </c>
      <c r="AG804" s="442">
        <v>0.23</v>
      </c>
      <c r="AH804" s="442">
        <v>0.51</v>
      </c>
      <c r="AI804" s="689">
        <f t="shared" si="549"/>
        <v>0.37</v>
      </c>
      <c r="AJ804" s="548">
        <v>1</v>
      </c>
      <c r="AK804" s="566">
        <f t="shared" si="545"/>
        <v>0</v>
      </c>
      <c r="AL804" s="561">
        <f t="shared" si="546"/>
        <v>1915200</v>
      </c>
      <c r="AM804" s="561">
        <f t="shared" si="547"/>
        <v>1124800</v>
      </c>
      <c r="AN804" s="561">
        <f t="shared" si="548"/>
        <v>0</v>
      </c>
      <c r="AO804" s="567" t="s">
        <v>3607</v>
      </c>
      <c r="AP804" s="568" t="s">
        <v>5420</v>
      </c>
      <c r="AQ804" s="569"/>
      <c r="AR804" s="287">
        <f t="shared" si="506"/>
        <v>14800</v>
      </c>
      <c r="AS804" s="287">
        <f t="shared" si="507"/>
        <v>555000</v>
      </c>
      <c r="AT804" s="287">
        <f t="shared" si="508"/>
        <v>555000</v>
      </c>
      <c r="AU804" s="287">
        <f t="shared" si="509"/>
        <v>0</v>
      </c>
      <c r="AV804" s="287">
        <f t="shared" si="510"/>
        <v>0</v>
      </c>
      <c r="AW804" s="287">
        <f t="shared" si="511"/>
        <v>0</v>
      </c>
      <c r="AX804" s="287">
        <f t="shared" si="512"/>
        <v>0</v>
      </c>
      <c r="AY804" s="287">
        <f t="shared" si="513"/>
        <v>0</v>
      </c>
      <c r="AZ804" s="287">
        <f t="shared" si="514"/>
        <v>0</v>
      </c>
      <c r="BA804" s="287">
        <f t="shared" si="515"/>
        <v>0</v>
      </c>
      <c r="BB804" s="16"/>
      <c r="BC804" s="287">
        <f t="shared" si="516"/>
        <v>0</v>
      </c>
      <c r="BD804" s="287">
        <f t="shared" si="517"/>
        <v>0</v>
      </c>
      <c r="BE804" s="287">
        <f t="shared" si="518"/>
        <v>0</v>
      </c>
      <c r="BF804" s="287">
        <f t="shared" si="519"/>
        <v>0</v>
      </c>
      <c r="BG804" s="287">
        <f t="shared" si="520"/>
        <v>0</v>
      </c>
      <c r="BH804" s="287">
        <f t="shared" si="521"/>
        <v>0</v>
      </c>
      <c r="BI804" s="287">
        <f t="shared" si="522"/>
        <v>0</v>
      </c>
      <c r="BJ804" s="287">
        <f t="shared" si="523"/>
        <v>0</v>
      </c>
      <c r="BK804" s="287">
        <f t="shared" si="524"/>
        <v>0</v>
      </c>
      <c r="BL804" s="287">
        <f t="shared" si="525"/>
        <v>0</v>
      </c>
      <c r="BM804" s="16"/>
      <c r="BN804" s="287">
        <f t="shared" si="526"/>
        <v>1124800</v>
      </c>
      <c r="BO804" s="287">
        <f t="shared" si="527"/>
        <v>0</v>
      </c>
      <c r="BP804" s="570"/>
      <c r="BQ804" s="553"/>
      <c r="BR804" s="553"/>
      <c r="BZ804" s="39">
        <v>791</v>
      </c>
      <c r="CA804" s="39">
        <f t="shared" si="528"/>
        <v>2031</v>
      </c>
    </row>
    <row r="805" spans="1:89" s="558" customFormat="1" ht="36">
      <c r="A805" s="552"/>
      <c r="B805" s="553" t="str">
        <f t="shared" si="505"/>
        <v>STW</v>
      </c>
      <c r="C805" s="553"/>
      <c r="D805" s="554">
        <v>3100806</v>
      </c>
      <c r="E805" s="554"/>
      <c r="F805" s="576" t="s">
        <v>4039</v>
      </c>
      <c r="G805" s="615" t="s">
        <v>5199</v>
      </c>
      <c r="H805" s="557" t="s">
        <v>4502</v>
      </c>
      <c r="I805" s="554" t="s">
        <v>3491</v>
      </c>
      <c r="K805" s="559">
        <v>1337272.25</v>
      </c>
      <c r="L805" s="559">
        <v>1000000</v>
      </c>
      <c r="M805" s="559">
        <v>1000000</v>
      </c>
      <c r="N805" s="559">
        <v>0</v>
      </c>
      <c r="O805" s="559">
        <v>0</v>
      </c>
      <c r="P805" s="559">
        <v>0</v>
      </c>
      <c r="Q805" s="559">
        <v>0</v>
      </c>
      <c r="R805" s="559">
        <v>0</v>
      </c>
      <c r="S805" s="559">
        <v>0</v>
      </c>
      <c r="T805" s="559">
        <v>0</v>
      </c>
      <c r="U805" s="618">
        <f t="shared" si="544"/>
        <v>3337272.25</v>
      </c>
      <c r="V805" s="560" t="s">
        <v>5197</v>
      </c>
      <c r="W805" s="560" t="s">
        <v>1168</v>
      </c>
      <c r="X805" s="560" t="s">
        <v>1166</v>
      </c>
      <c r="Y805" s="376">
        <f t="shared" si="542"/>
        <v>3337272.25</v>
      </c>
      <c r="Z805" s="562"/>
      <c r="AA805" s="376">
        <f t="shared" si="543"/>
        <v>3337272.25</v>
      </c>
      <c r="AB805" s="560" t="s">
        <v>1166</v>
      </c>
      <c r="AC805" s="560" t="s">
        <v>1168</v>
      </c>
      <c r="AD805" s="275">
        <v>0.51</v>
      </c>
      <c r="AE805" s="275">
        <v>0.22</v>
      </c>
      <c r="AF805" s="275">
        <v>0.27</v>
      </c>
      <c r="AG805" s="442">
        <v>0.23</v>
      </c>
      <c r="AH805" s="442">
        <v>0.51</v>
      </c>
      <c r="AI805" s="689">
        <f t="shared" si="549"/>
        <v>0.37</v>
      </c>
      <c r="AJ805" s="548">
        <v>1</v>
      </c>
      <c r="AK805" s="566">
        <f t="shared" si="545"/>
        <v>0</v>
      </c>
      <c r="AL805" s="561">
        <f t="shared" si="546"/>
        <v>2102481.5175000001</v>
      </c>
      <c r="AM805" s="561">
        <f t="shared" si="547"/>
        <v>1234790.7324999999</v>
      </c>
      <c r="AN805" s="561">
        <f t="shared" si="548"/>
        <v>0</v>
      </c>
      <c r="AO805" s="567" t="s">
        <v>3607</v>
      </c>
      <c r="AP805" s="568" t="s">
        <v>5420</v>
      </c>
      <c r="AQ805" s="569"/>
      <c r="AR805" s="287">
        <f t="shared" si="506"/>
        <v>494790.73249999998</v>
      </c>
      <c r="AS805" s="287">
        <f t="shared" si="507"/>
        <v>370000</v>
      </c>
      <c r="AT805" s="287">
        <f t="shared" si="508"/>
        <v>370000</v>
      </c>
      <c r="AU805" s="287">
        <f t="shared" si="509"/>
        <v>0</v>
      </c>
      <c r="AV805" s="287">
        <f t="shared" si="510"/>
        <v>0</v>
      </c>
      <c r="AW805" s="287">
        <f t="shared" si="511"/>
        <v>0</v>
      </c>
      <c r="AX805" s="287">
        <f t="shared" si="512"/>
        <v>0</v>
      </c>
      <c r="AY805" s="287">
        <f t="shared" si="513"/>
        <v>0</v>
      </c>
      <c r="AZ805" s="287">
        <f t="shared" si="514"/>
        <v>0</v>
      </c>
      <c r="BA805" s="287">
        <f t="shared" si="515"/>
        <v>0</v>
      </c>
      <c r="BB805" s="16"/>
      <c r="BC805" s="287">
        <f t="shared" si="516"/>
        <v>0</v>
      </c>
      <c r="BD805" s="287">
        <f t="shared" si="517"/>
        <v>0</v>
      </c>
      <c r="BE805" s="287">
        <f t="shared" si="518"/>
        <v>0</v>
      </c>
      <c r="BF805" s="287">
        <f t="shared" si="519"/>
        <v>0</v>
      </c>
      <c r="BG805" s="287">
        <f t="shared" si="520"/>
        <v>0</v>
      </c>
      <c r="BH805" s="287">
        <f t="shared" si="521"/>
        <v>0</v>
      </c>
      <c r="BI805" s="287">
        <f t="shared" si="522"/>
        <v>0</v>
      </c>
      <c r="BJ805" s="287">
        <f t="shared" si="523"/>
        <v>0</v>
      </c>
      <c r="BK805" s="287">
        <f t="shared" si="524"/>
        <v>0</v>
      </c>
      <c r="BL805" s="287">
        <f t="shared" si="525"/>
        <v>0</v>
      </c>
      <c r="BM805" s="16"/>
      <c r="BN805" s="287">
        <f t="shared" si="526"/>
        <v>1234790.7324999999</v>
      </c>
      <c r="BO805" s="287">
        <f t="shared" si="527"/>
        <v>0</v>
      </c>
      <c r="BP805" s="570"/>
      <c r="BQ805" s="553"/>
      <c r="BR805" s="553"/>
      <c r="BZ805" s="39">
        <v>792</v>
      </c>
      <c r="CA805" s="39">
        <f t="shared" si="528"/>
        <v>2031</v>
      </c>
    </row>
    <row r="806" spans="1:89" s="558" customFormat="1" ht="36">
      <c r="A806" s="552"/>
      <c r="B806" s="553" t="str">
        <f t="shared" si="505"/>
        <v>STW</v>
      </c>
      <c r="C806" s="553"/>
      <c r="D806" s="554">
        <v>3100806</v>
      </c>
      <c r="E806" s="554"/>
      <c r="F806" s="555" t="s">
        <v>3696</v>
      </c>
      <c r="G806" s="615" t="s">
        <v>5200</v>
      </c>
      <c r="H806" s="557" t="s">
        <v>4502</v>
      </c>
      <c r="I806" s="554" t="s">
        <v>3491</v>
      </c>
      <c r="K806" s="559">
        <v>50000</v>
      </c>
      <c r="L806" s="559">
        <v>50000</v>
      </c>
      <c r="M806" s="559">
        <v>50000</v>
      </c>
      <c r="N806" s="559">
        <v>0</v>
      </c>
      <c r="O806" s="559">
        <v>0</v>
      </c>
      <c r="P806" s="559">
        <v>0</v>
      </c>
      <c r="Q806" s="559">
        <v>0</v>
      </c>
      <c r="R806" s="559">
        <v>0</v>
      </c>
      <c r="S806" s="559">
        <v>0</v>
      </c>
      <c r="T806" s="559">
        <v>0</v>
      </c>
      <c r="U806" s="618">
        <f t="shared" si="544"/>
        <v>150000</v>
      </c>
      <c r="V806" s="560" t="s">
        <v>5197</v>
      </c>
      <c r="W806" s="560" t="s">
        <v>1168</v>
      </c>
      <c r="X806" s="560" t="s">
        <v>1166</v>
      </c>
      <c r="Y806" s="376">
        <f t="shared" si="542"/>
        <v>150000</v>
      </c>
      <c r="Z806" s="562"/>
      <c r="AA806" s="376">
        <f t="shared" si="543"/>
        <v>150000</v>
      </c>
      <c r="AB806" s="560" t="s">
        <v>1166</v>
      </c>
      <c r="AC806" s="560" t="s">
        <v>1168</v>
      </c>
      <c r="AD806" s="275">
        <v>0.51</v>
      </c>
      <c r="AE806" s="275">
        <v>0.22</v>
      </c>
      <c r="AF806" s="275">
        <v>0.27</v>
      </c>
      <c r="AG806" s="442">
        <v>0.23</v>
      </c>
      <c r="AH806" s="442">
        <v>0.51</v>
      </c>
      <c r="AI806" s="689">
        <f t="shared" si="549"/>
        <v>0.37</v>
      </c>
      <c r="AJ806" s="548">
        <v>1</v>
      </c>
      <c r="AK806" s="566">
        <f t="shared" si="545"/>
        <v>0</v>
      </c>
      <c r="AL806" s="561">
        <f t="shared" si="546"/>
        <v>94500</v>
      </c>
      <c r="AM806" s="561">
        <f t="shared" si="547"/>
        <v>55500</v>
      </c>
      <c r="AN806" s="561">
        <f t="shared" si="548"/>
        <v>0</v>
      </c>
      <c r="AO806" s="567" t="s">
        <v>3607</v>
      </c>
      <c r="AP806" s="568" t="s">
        <v>5420</v>
      </c>
      <c r="AQ806" s="569"/>
      <c r="AR806" s="287">
        <f t="shared" si="506"/>
        <v>18500</v>
      </c>
      <c r="AS806" s="287">
        <f t="shared" si="507"/>
        <v>18500</v>
      </c>
      <c r="AT806" s="287">
        <f t="shared" si="508"/>
        <v>18500</v>
      </c>
      <c r="AU806" s="287">
        <f t="shared" si="509"/>
        <v>0</v>
      </c>
      <c r="AV806" s="287">
        <f t="shared" si="510"/>
        <v>0</v>
      </c>
      <c r="AW806" s="287">
        <f t="shared" si="511"/>
        <v>0</v>
      </c>
      <c r="AX806" s="287">
        <f t="shared" si="512"/>
        <v>0</v>
      </c>
      <c r="AY806" s="287">
        <f t="shared" si="513"/>
        <v>0</v>
      </c>
      <c r="AZ806" s="287">
        <f t="shared" si="514"/>
        <v>0</v>
      </c>
      <c r="BA806" s="287">
        <f t="shared" si="515"/>
        <v>0</v>
      </c>
      <c r="BB806" s="16"/>
      <c r="BC806" s="287">
        <f t="shared" si="516"/>
        <v>0</v>
      </c>
      <c r="BD806" s="287">
        <f t="shared" si="517"/>
        <v>0</v>
      </c>
      <c r="BE806" s="287">
        <f t="shared" si="518"/>
        <v>0</v>
      </c>
      <c r="BF806" s="287">
        <f t="shared" si="519"/>
        <v>0</v>
      </c>
      <c r="BG806" s="287">
        <f t="shared" si="520"/>
        <v>0</v>
      </c>
      <c r="BH806" s="287">
        <f t="shared" si="521"/>
        <v>0</v>
      </c>
      <c r="BI806" s="287">
        <f t="shared" si="522"/>
        <v>0</v>
      </c>
      <c r="BJ806" s="287">
        <f t="shared" si="523"/>
        <v>0</v>
      </c>
      <c r="BK806" s="287">
        <f t="shared" si="524"/>
        <v>0</v>
      </c>
      <c r="BL806" s="287">
        <f t="shared" si="525"/>
        <v>0</v>
      </c>
      <c r="BM806" s="16"/>
      <c r="BN806" s="287">
        <f t="shared" si="526"/>
        <v>55500</v>
      </c>
      <c r="BO806" s="287">
        <f t="shared" si="527"/>
        <v>0</v>
      </c>
      <c r="BP806" s="570"/>
      <c r="BQ806" s="553"/>
      <c r="BR806" s="553"/>
      <c r="BZ806" s="39">
        <v>793</v>
      </c>
      <c r="CA806" s="39">
        <f t="shared" si="528"/>
        <v>2031</v>
      </c>
    </row>
    <row r="807" spans="1:89" s="558" customFormat="1" ht="24">
      <c r="A807" s="552"/>
      <c r="B807" s="553" t="str">
        <f t="shared" si="505"/>
        <v>STW</v>
      </c>
      <c r="C807" s="553"/>
      <c r="D807" s="554">
        <v>3101032</v>
      </c>
      <c r="E807" s="554"/>
      <c r="F807" s="555" t="s">
        <v>3698</v>
      </c>
      <c r="G807" s="556" t="s">
        <v>5204</v>
      </c>
      <c r="H807" s="557" t="s">
        <v>4504</v>
      </c>
      <c r="I807" s="554" t="s">
        <v>3491</v>
      </c>
      <c r="K807" s="559">
        <v>0</v>
      </c>
      <c r="L807" s="559">
        <v>0</v>
      </c>
      <c r="M807" s="559">
        <v>0</v>
      </c>
      <c r="N807" s="559">
        <v>0</v>
      </c>
      <c r="O807" s="559">
        <v>2435227.9999999991</v>
      </c>
      <c r="P807" s="559">
        <v>4019246.9999999977</v>
      </c>
      <c r="Q807" s="559">
        <v>2613972.9999999995</v>
      </c>
      <c r="R807" s="559">
        <v>2666252.459999999</v>
      </c>
      <c r="S807" s="559">
        <v>2719577.5099999988</v>
      </c>
      <c r="T807" s="559">
        <v>2773969.0599999991</v>
      </c>
      <c r="U807" s="559">
        <f>SUM(K807:T807)</f>
        <v>17228247.029999994</v>
      </c>
      <c r="V807" s="560" t="s">
        <v>5197</v>
      </c>
      <c r="W807" s="560" t="s">
        <v>1168</v>
      </c>
      <c r="X807" s="560" t="s">
        <v>1166</v>
      </c>
      <c r="Y807" s="561">
        <f>SUM(K807:T807)</f>
        <v>17228247.029999994</v>
      </c>
      <c r="Z807" s="562"/>
      <c r="AA807" s="561">
        <f>Y807-Z807</f>
        <v>17228247.029999994</v>
      </c>
      <c r="AB807" s="571" t="s">
        <v>1166</v>
      </c>
      <c r="AC807" s="571" t="s">
        <v>1168</v>
      </c>
      <c r="AD807" s="572">
        <v>0.05</v>
      </c>
      <c r="AE807" s="572">
        <v>0.9</v>
      </c>
      <c r="AF807" s="572">
        <v>0.05</v>
      </c>
      <c r="AG807" s="573">
        <v>0.05</v>
      </c>
      <c r="AH807" s="573">
        <v>0.05</v>
      </c>
      <c r="AI807" s="574">
        <v>0.05</v>
      </c>
      <c r="AJ807" s="548">
        <v>1</v>
      </c>
      <c r="AK807" s="566">
        <f>1-AJ807</f>
        <v>0</v>
      </c>
      <c r="AL807" s="561">
        <f>(100%-AI807)*AA807</f>
        <v>16366834.678499993</v>
      </c>
      <c r="AM807" s="561">
        <f>AA807*AI807*AJ807</f>
        <v>861412.35149999976</v>
      </c>
      <c r="AN807" s="561">
        <f>AA807*AI807*AK807</f>
        <v>0</v>
      </c>
      <c r="AO807" s="567" t="s">
        <v>3607</v>
      </c>
      <c r="AP807" s="568" t="s">
        <v>5419</v>
      </c>
      <c r="AQ807" s="569"/>
      <c r="AR807" s="287">
        <f t="shared" si="506"/>
        <v>0</v>
      </c>
      <c r="AS807" s="287">
        <f t="shared" si="507"/>
        <v>0</v>
      </c>
      <c r="AT807" s="287">
        <f t="shared" si="508"/>
        <v>0</v>
      </c>
      <c r="AU807" s="287">
        <f t="shared" si="509"/>
        <v>0</v>
      </c>
      <c r="AV807" s="287">
        <f t="shared" si="510"/>
        <v>121761.39999999997</v>
      </c>
      <c r="AW807" s="287">
        <f t="shared" si="511"/>
        <v>200962.34999999989</v>
      </c>
      <c r="AX807" s="287">
        <f t="shared" si="512"/>
        <v>130698.64999999998</v>
      </c>
      <c r="AY807" s="287">
        <f t="shared" si="513"/>
        <v>133312.62299999996</v>
      </c>
      <c r="AZ807" s="287">
        <f t="shared" si="514"/>
        <v>135978.87549999994</v>
      </c>
      <c r="BA807" s="287">
        <f t="shared" si="515"/>
        <v>138698.45299999995</v>
      </c>
      <c r="BB807" s="16"/>
      <c r="BC807" s="287">
        <f t="shared" si="516"/>
        <v>0</v>
      </c>
      <c r="BD807" s="287">
        <f t="shared" si="517"/>
        <v>0</v>
      </c>
      <c r="BE807" s="287">
        <f t="shared" si="518"/>
        <v>0</v>
      </c>
      <c r="BF807" s="287">
        <f t="shared" si="519"/>
        <v>0</v>
      </c>
      <c r="BG807" s="287">
        <f t="shared" si="520"/>
        <v>0</v>
      </c>
      <c r="BH807" s="287">
        <f t="shared" si="521"/>
        <v>0</v>
      </c>
      <c r="BI807" s="287">
        <f t="shared" si="522"/>
        <v>0</v>
      </c>
      <c r="BJ807" s="287">
        <f t="shared" si="523"/>
        <v>0</v>
      </c>
      <c r="BK807" s="287">
        <f t="shared" si="524"/>
        <v>0</v>
      </c>
      <c r="BL807" s="287">
        <f t="shared" si="525"/>
        <v>0</v>
      </c>
      <c r="BM807" s="16"/>
      <c r="BN807" s="287">
        <f t="shared" si="526"/>
        <v>861412.35149999976</v>
      </c>
      <c r="BO807" s="287">
        <f t="shared" si="527"/>
        <v>0</v>
      </c>
      <c r="BP807" s="570"/>
      <c r="BQ807" s="553"/>
      <c r="BR807" s="553"/>
      <c r="BZ807" s="39">
        <v>794</v>
      </c>
      <c r="CA807" s="39">
        <f t="shared" si="528"/>
        <v>2031</v>
      </c>
    </row>
    <row r="808" spans="1:89" s="193" customFormat="1" ht="24">
      <c r="A808" s="357"/>
      <c r="B808" s="21" t="str">
        <f t="shared" si="505"/>
        <v>STW</v>
      </c>
      <c r="C808" s="21"/>
      <c r="D808" s="432">
        <v>3101072</v>
      </c>
      <c r="E808" s="439" t="s">
        <v>3626</v>
      </c>
      <c r="F808" s="439" t="s">
        <v>3701</v>
      </c>
      <c r="G808" s="273" t="s">
        <v>4540</v>
      </c>
      <c r="H808" s="358" t="s">
        <v>4539</v>
      </c>
      <c r="I808" s="262" t="s">
        <v>3491</v>
      </c>
      <c r="J808" s="262" t="s">
        <v>3525</v>
      </c>
      <c r="K808" s="263">
        <v>2371289.04</v>
      </c>
      <c r="L808" s="263">
        <v>1238800</v>
      </c>
      <c r="M808" s="263">
        <v>1293899</v>
      </c>
      <c r="N808" s="263">
        <v>1349000</v>
      </c>
      <c r="O808" s="263">
        <v>0</v>
      </c>
      <c r="P808" s="263">
        <v>3000000</v>
      </c>
      <c r="Q808" s="263">
        <v>0</v>
      </c>
      <c r="R808" s="263">
        <v>0</v>
      </c>
      <c r="S808" s="263">
        <v>0</v>
      </c>
      <c r="T808" s="263">
        <v>0</v>
      </c>
      <c r="U808" s="263">
        <f>SUM(K808:T808)</f>
        <v>9252988.0399999991</v>
      </c>
      <c r="V808" s="196" t="str">
        <f>IF(AND(AD808&gt;0,AE808&gt;0,AF808&gt;0),"G/LOS/R",IF(AND(AD808&gt;0,AE808&gt;0),"G/LOS",IF(AND(AD808&gt;0,AF808&gt;0),"G/R",IF(AND(AE808&gt;0,AF808&gt;0),"LOS/R",IF(AD808&gt;0,"G",IF(AE808&gt;0,"LOS",IF(AF808&gt;0,"R","CHECK")))))))</f>
        <v>G</v>
      </c>
      <c r="W808" s="196" t="s">
        <v>1168</v>
      </c>
      <c r="X808" s="196" t="str">
        <f>IF(LEFT(V808,1)="G","Y","N")</f>
        <v>Y</v>
      </c>
      <c r="Y808" s="376">
        <f>SUM(K808:T808)</f>
        <v>9252988.0399999991</v>
      </c>
      <c r="Z808" s="198"/>
      <c r="AA808" s="376">
        <f>Y808-Z808</f>
        <v>9252988.0399999991</v>
      </c>
      <c r="AB808" s="196" t="s">
        <v>1166</v>
      </c>
      <c r="AC808" s="196" t="s">
        <v>3624</v>
      </c>
      <c r="AD808" s="275">
        <v>1</v>
      </c>
      <c r="AE808" s="275">
        <v>0</v>
      </c>
      <c r="AF808" s="275">
        <v>0</v>
      </c>
      <c r="AG808" s="442">
        <v>1</v>
      </c>
      <c r="AH808" s="442">
        <v>1</v>
      </c>
      <c r="AI808" s="377">
        <f>(AG808+AH808)/2</f>
        <v>1</v>
      </c>
      <c r="AJ808" s="548">
        <v>1</v>
      </c>
      <c r="AK808" s="203">
        <f>1-AJ808</f>
        <v>0</v>
      </c>
      <c r="AL808" s="376">
        <f>(100%-AI808)*AA808</f>
        <v>0</v>
      </c>
      <c r="AM808" s="376">
        <f>AA808*AI808*AJ808</f>
        <v>9252988.0399999991</v>
      </c>
      <c r="AN808" s="376">
        <f>AA808*AI808*AK808</f>
        <v>0</v>
      </c>
      <c r="AO808" s="378" t="s">
        <v>3607</v>
      </c>
      <c r="AP808" s="379" t="s">
        <v>5406</v>
      </c>
      <c r="AQ808" s="279"/>
      <c r="AR808" s="287">
        <f t="shared" si="506"/>
        <v>2371289.04</v>
      </c>
      <c r="AS808" s="287">
        <f t="shared" si="507"/>
        <v>1238800</v>
      </c>
      <c r="AT808" s="287">
        <f t="shared" si="508"/>
        <v>1293899</v>
      </c>
      <c r="AU808" s="287">
        <f t="shared" si="509"/>
        <v>1349000</v>
      </c>
      <c r="AV808" s="287">
        <f t="shared" si="510"/>
        <v>0</v>
      </c>
      <c r="AW808" s="287">
        <f t="shared" si="511"/>
        <v>3000000</v>
      </c>
      <c r="AX808" s="287">
        <f t="shared" si="512"/>
        <v>0</v>
      </c>
      <c r="AY808" s="287">
        <f t="shared" si="513"/>
        <v>0</v>
      </c>
      <c r="AZ808" s="287">
        <f t="shared" si="514"/>
        <v>0</v>
      </c>
      <c r="BA808" s="287">
        <f t="shared" si="515"/>
        <v>0</v>
      </c>
      <c r="BB808" s="16"/>
      <c r="BC808" s="287">
        <f t="shared" si="516"/>
        <v>0</v>
      </c>
      <c r="BD808" s="287">
        <f t="shared" si="517"/>
        <v>0</v>
      </c>
      <c r="BE808" s="287">
        <f t="shared" si="518"/>
        <v>0</v>
      </c>
      <c r="BF808" s="287">
        <f t="shared" si="519"/>
        <v>0</v>
      </c>
      <c r="BG808" s="287">
        <f t="shared" si="520"/>
        <v>0</v>
      </c>
      <c r="BH808" s="287">
        <f t="shared" si="521"/>
        <v>0</v>
      </c>
      <c r="BI808" s="287">
        <f t="shared" si="522"/>
        <v>0</v>
      </c>
      <c r="BJ808" s="287">
        <f t="shared" si="523"/>
        <v>0</v>
      </c>
      <c r="BK808" s="287">
        <f t="shared" si="524"/>
        <v>0</v>
      </c>
      <c r="BL808" s="287">
        <f t="shared" si="525"/>
        <v>0</v>
      </c>
      <c r="BM808" s="16"/>
      <c r="BN808" s="287">
        <f t="shared" si="526"/>
        <v>9252988.0399999991</v>
      </c>
      <c r="BO808" s="287">
        <f t="shared" si="527"/>
        <v>0</v>
      </c>
      <c r="BP808" s="432"/>
      <c r="BQ808" s="21"/>
      <c r="BR808" s="21"/>
      <c r="BS808" s="6"/>
      <c r="BT808" s="194">
        <f>+BN808+BO808</f>
        <v>9252988.0399999991</v>
      </c>
      <c r="BU808" s="194">
        <f>+AM808</f>
        <v>9252988.0399999991</v>
      </c>
      <c r="BV808" s="194">
        <f>+AN808</f>
        <v>0</v>
      </c>
      <c r="BW808" s="194">
        <f>+BT808-BU808-BV808</f>
        <v>0</v>
      </c>
      <c r="BX808" s="6"/>
      <c r="BY808" s="6"/>
      <c r="BZ808" s="39">
        <v>795</v>
      </c>
      <c r="CA808" s="39">
        <f t="shared" si="528"/>
        <v>2031</v>
      </c>
      <c r="CB808" s="6"/>
      <c r="CC808" s="39"/>
      <c r="CD808" s="39"/>
      <c r="CE808" s="39"/>
      <c r="CF808" s="39"/>
      <c r="CG808" s="39"/>
      <c r="CH808" s="39"/>
      <c r="CI808" s="39"/>
      <c r="CJ808" s="39"/>
      <c r="CK808" s="39"/>
    </row>
    <row r="809" spans="1:89" s="542" customFormat="1" ht="32.25" customHeight="1">
      <c r="A809" s="357"/>
      <c r="B809" s="21" t="str">
        <f t="shared" si="505"/>
        <v>STW</v>
      </c>
      <c r="C809" s="21"/>
      <c r="D809" s="543">
        <v>3100806</v>
      </c>
      <c r="E809" s="543"/>
      <c r="F809" s="544" t="s">
        <v>3696</v>
      </c>
      <c r="G809" s="547" t="s">
        <v>5285</v>
      </c>
      <c r="H809" s="545" t="s">
        <v>5284</v>
      </c>
      <c r="I809" s="543" t="s">
        <v>3491</v>
      </c>
      <c r="K809" s="546">
        <v>0</v>
      </c>
      <c r="L809" s="546">
        <v>0</v>
      </c>
      <c r="M809" s="546">
        <v>3378759</v>
      </c>
      <c r="N809" s="546">
        <v>2294668</v>
      </c>
      <c r="O809" s="546">
        <v>3184757</v>
      </c>
      <c r="P809" s="546">
        <v>3280300</v>
      </c>
      <c r="Q809" s="546"/>
      <c r="R809" s="546"/>
      <c r="S809" s="546"/>
      <c r="T809" s="546"/>
      <c r="U809" s="263">
        <f>SUM(K809:T809)</f>
        <v>12138484</v>
      </c>
      <c r="V809" s="196" t="s">
        <v>5197</v>
      </c>
      <c r="W809" s="196" t="s">
        <v>1168</v>
      </c>
      <c r="X809" s="196" t="s">
        <v>1166</v>
      </c>
      <c r="Y809" s="376">
        <f>SUM(K809:T809)</f>
        <v>12138484</v>
      </c>
      <c r="Z809" s="198"/>
      <c r="AA809" s="376">
        <f>Y809-Z809</f>
        <v>12138484</v>
      </c>
      <c r="AB809" s="196" t="s">
        <v>1166</v>
      </c>
      <c r="AC809" s="196" t="s">
        <v>1168</v>
      </c>
      <c r="AD809" s="599">
        <v>0.8</v>
      </c>
      <c r="AE809" s="599">
        <v>0.15</v>
      </c>
      <c r="AF809" s="599">
        <v>0.05</v>
      </c>
      <c r="AG809" s="600">
        <v>0.8</v>
      </c>
      <c r="AH809" s="600">
        <v>0.8</v>
      </c>
      <c r="AI809" s="377">
        <f>(AG809+AH809)/2</f>
        <v>0.8</v>
      </c>
      <c r="AJ809" s="548">
        <v>1</v>
      </c>
      <c r="AK809" s="203">
        <f>1-AJ809</f>
        <v>0</v>
      </c>
      <c r="AL809" s="376">
        <f>(100%-AI809)*AA809</f>
        <v>2427696.7999999993</v>
      </c>
      <c r="AM809" s="376">
        <f>AA809*AI809*AJ809</f>
        <v>9710787.2000000011</v>
      </c>
      <c r="AN809" s="376">
        <f>AA809*AI809*AK809</f>
        <v>0</v>
      </c>
      <c r="AO809" s="378" t="s">
        <v>3607</v>
      </c>
      <c r="AP809" s="379" t="s">
        <v>5417</v>
      </c>
      <c r="AQ809" s="279"/>
      <c r="AR809" s="287">
        <f t="shared" si="506"/>
        <v>0</v>
      </c>
      <c r="AS809" s="287">
        <f t="shared" si="507"/>
        <v>0</v>
      </c>
      <c r="AT809" s="287">
        <f t="shared" si="508"/>
        <v>2703007.2</v>
      </c>
      <c r="AU809" s="287">
        <f t="shared" si="509"/>
        <v>1835734.4000000001</v>
      </c>
      <c r="AV809" s="287">
        <f t="shared" si="510"/>
        <v>2547805.6</v>
      </c>
      <c r="AW809" s="287">
        <f t="shared" si="511"/>
        <v>2624240</v>
      </c>
      <c r="AX809" s="287">
        <f t="shared" si="512"/>
        <v>0</v>
      </c>
      <c r="AY809" s="287">
        <f t="shared" si="513"/>
        <v>0</v>
      </c>
      <c r="AZ809" s="287">
        <f t="shared" si="514"/>
        <v>0</v>
      </c>
      <c r="BA809" s="287">
        <f t="shared" si="515"/>
        <v>0</v>
      </c>
      <c r="BB809" s="16"/>
      <c r="BC809" s="287">
        <f t="shared" si="516"/>
        <v>0</v>
      </c>
      <c r="BD809" s="287">
        <f t="shared" si="517"/>
        <v>0</v>
      </c>
      <c r="BE809" s="287">
        <f t="shared" si="518"/>
        <v>0</v>
      </c>
      <c r="BF809" s="287">
        <f t="shared" si="519"/>
        <v>0</v>
      </c>
      <c r="BG809" s="287">
        <f t="shared" si="520"/>
        <v>0</v>
      </c>
      <c r="BH809" s="287">
        <f t="shared" si="521"/>
        <v>0</v>
      </c>
      <c r="BI809" s="287">
        <f t="shared" si="522"/>
        <v>0</v>
      </c>
      <c r="BJ809" s="287">
        <f t="shared" si="523"/>
        <v>0</v>
      </c>
      <c r="BK809" s="287">
        <f t="shared" si="524"/>
        <v>0</v>
      </c>
      <c r="BL809" s="287">
        <f t="shared" si="525"/>
        <v>0</v>
      </c>
      <c r="BM809" s="16"/>
      <c r="BN809" s="287">
        <f t="shared" si="526"/>
        <v>9710787.2000000011</v>
      </c>
      <c r="BO809" s="287">
        <f t="shared" si="527"/>
        <v>0</v>
      </c>
      <c r="BP809" s="432"/>
      <c r="BQ809" s="21"/>
      <c r="BR809" s="21"/>
      <c r="BZ809" s="39">
        <v>796</v>
      </c>
      <c r="CA809" s="39">
        <f t="shared" si="528"/>
        <v>2031</v>
      </c>
    </row>
    <row r="810" spans="1:89" s="558" customFormat="1" ht="26.25" customHeight="1">
      <c r="A810" s="552"/>
      <c r="B810" s="553" t="str">
        <f t="shared" si="505"/>
        <v>STW</v>
      </c>
      <c r="C810" s="553"/>
      <c r="D810" s="554">
        <v>3101002</v>
      </c>
      <c r="E810" s="554"/>
      <c r="F810" s="555" t="s">
        <v>3697</v>
      </c>
      <c r="G810" s="556" t="s">
        <v>5203</v>
      </c>
      <c r="H810" s="582" t="s">
        <v>5198</v>
      </c>
      <c r="I810" s="554" t="s">
        <v>3491</v>
      </c>
      <c r="K810" s="559">
        <v>0</v>
      </c>
      <c r="L810" s="559">
        <v>0</v>
      </c>
      <c r="M810" s="559">
        <v>0</v>
      </c>
      <c r="N810" s="559">
        <v>11051188.999999998</v>
      </c>
      <c r="O810" s="559">
        <v>28275789.432841789</v>
      </c>
      <c r="P810" s="559">
        <v>16360671.75378906</v>
      </c>
      <c r="Q810" s="559">
        <v>14510691.953789055</v>
      </c>
      <c r="R810" s="559">
        <v>14096981.103789054</v>
      </c>
      <c r="S810" s="559">
        <v>25040623.641420897</v>
      </c>
      <c r="T810" s="559">
        <v>25307259.530473631</v>
      </c>
      <c r="U810" s="559">
        <f>SUM(K810:T810)</f>
        <v>134643206.41610348</v>
      </c>
      <c r="V810" s="571" t="s">
        <v>5197</v>
      </c>
      <c r="W810" s="571" t="s">
        <v>1168</v>
      </c>
      <c r="X810" s="571" t="s">
        <v>1166</v>
      </c>
      <c r="Y810" s="561">
        <f>SUM(K810:T810)</f>
        <v>134643206.41610348</v>
      </c>
      <c r="Z810" s="562"/>
      <c r="AA810" s="561">
        <f>Y810-Z810</f>
        <v>134643206.41610348</v>
      </c>
      <c r="AB810" s="560" t="s">
        <v>1166</v>
      </c>
      <c r="AC810" s="560" t="s">
        <v>1168</v>
      </c>
      <c r="AD810" s="572">
        <v>0.9</v>
      </c>
      <c r="AE810" s="572">
        <v>0.05</v>
      </c>
      <c r="AF810" s="572">
        <v>0.05</v>
      </c>
      <c r="AG810" s="573">
        <v>0.9</v>
      </c>
      <c r="AH810" s="573">
        <v>0.9</v>
      </c>
      <c r="AI810" s="565">
        <f>(AG810+AH810)/2</f>
        <v>0.9</v>
      </c>
      <c r="AJ810" s="548">
        <v>1</v>
      </c>
      <c r="AK810" s="566">
        <f>1-AJ810</f>
        <v>0</v>
      </c>
      <c r="AL810" s="561">
        <f>(100%-AI810)*AA810</f>
        <v>13464320.641610345</v>
      </c>
      <c r="AM810" s="561">
        <f>AA810*AI810*AJ810</f>
        <v>121178885.77449314</v>
      </c>
      <c r="AN810" s="561">
        <f>AA810*AI810*AK810</f>
        <v>0</v>
      </c>
      <c r="AO810" s="567" t="s">
        <v>3607</v>
      </c>
      <c r="AP810" s="575" t="s">
        <v>5419</v>
      </c>
      <c r="AQ810" s="583"/>
      <c r="AR810" s="287">
        <f t="shared" si="506"/>
        <v>0</v>
      </c>
      <c r="AS810" s="287">
        <f t="shared" si="507"/>
        <v>0</v>
      </c>
      <c r="AT810" s="287">
        <f t="shared" si="508"/>
        <v>0</v>
      </c>
      <c r="AU810" s="287">
        <f t="shared" si="509"/>
        <v>9946070.0999999978</v>
      </c>
      <c r="AV810" s="287">
        <f t="shared" si="510"/>
        <v>25448210.489557609</v>
      </c>
      <c r="AW810" s="287">
        <f t="shared" si="511"/>
        <v>14724604.578410154</v>
      </c>
      <c r="AX810" s="287">
        <f t="shared" si="512"/>
        <v>13059622.75841015</v>
      </c>
      <c r="AY810" s="287">
        <f t="shared" si="513"/>
        <v>12687282.99341015</v>
      </c>
      <c r="AZ810" s="287">
        <f t="shared" si="514"/>
        <v>22536561.277278807</v>
      </c>
      <c r="BA810" s="287">
        <f t="shared" si="515"/>
        <v>22776533.57742627</v>
      </c>
      <c r="BB810" s="16"/>
      <c r="BC810" s="287">
        <f t="shared" si="516"/>
        <v>0</v>
      </c>
      <c r="BD810" s="287">
        <f t="shared" si="517"/>
        <v>0</v>
      </c>
      <c r="BE810" s="287">
        <f t="shared" si="518"/>
        <v>0</v>
      </c>
      <c r="BF810" s="287">
        <f t="shared" si="519"/>
        <v>0</v>
      </c>
      <c r="BG810" s="287">
        <f t="shared" si="520"/>
        <v>0</v>
      </c>
      <c r="BH810" s="287">
        <f t="shared" si="521"/>
        <v>0</v>
      </c>
      <c r="BI810" s="287">
        <f t="shared" si="522"/>
        <v>0</v>
      </c>
      <c r="BJ810" s="287">
        <f t="shared" si="523"/>
        <v>0</v>
      </c>
      <c r="BK810" s="287">
        <f t="shared" si="524"/>
        <v>0</v>
      </c>
      <c r="BL810" s="287">
        <f t="shared" si="525"/>
        <v>0</v>
      </c>
      <c r="BM810" s="16"/>
      <c r="BN810" s="287">
        <f t="shared" si="526"/>
        <v>121178885.77449314</v>
      </c>
      <c r="BO810" s="287">
        <f t="shared" si="527"/>
        <v>0</v>
      </c>
      <c r="BP810" s="570"/>
      <c r="BQ810" s="553"/>
      <c r="BR810" s="553"/>
      <c r="BZ810" s="39">
        <v>797</v>
      </c>
      <c r="CA810" s="39">
        <f t="shared" si="528"/>
        <v>2031</v>
      </c>
    </row>
    <row r="811" spans="1:89" s="193" customFormat="1" ht="36">
      <c r="A811" s="357"/>
      <c r="B811" s="21" t="str">
        <f t="shared" si="505"/>
        <v>STW</v>
      </c>
      <c r="C811" s="21"/>
      <c r="D811" s="432" t="s">
        <v>3953</v>
      </c>
      <c r="E811" s="439" t="s">
        <v>3626</v>
      </c>
      <c r="F811" s="439" t="s">
        <v>3952</v>
      </c>
      <c r="G811" s="273" t="s">
        <v>4568</v>
      </c>
      <c r="H811" s="358" t="s">
        <v>4569</v>
      </c>
      <c r="I811" s="262" t="s">
        <v>3491</v>
      </c>
      <c r="J811" s="262" t="s">
        <v>4190</v>
      </c>
      <c r="K811" s="263">
        <v>666000</v>
      </c>
      <c r="L811" s="263">
        <v>3825000</v>
      </c>
      <c r="M811" s="263">
        <v>0</v>
      </c>
      <c r="N811" s="263">
        <v>0</v>
      </c>
      <c r="O811" s="263">
        <v>0</v>
      </c>
      <c r="P811" s="263">
        <v>0</v>
      </c>
      <c r="Q811" s="263">
        <v>0</v>
      </c>
      <c r="R811" s="263">
        <v>0</v>
      </c>
      <c r="S811" s="263">
        <v>0</v>
      </c>
      <c r="T811" s="263">
        <v>0</v>
      </c>
      <c r="U811" s="263">
        <f t="shared" ref="U811:U847" si="550">SUM(K811:T811)</f>
        <v>4491000</v>
      </c>
      <c r="V811" s="196" t="str">
        <f t="shared" ref="V811:V831" si="551">IF(AND(AD811&gt;0,AE811&gt;0,AF811&gt;0),"G/LOS/R",IF(AND(AD811&gt;0,AE811&gt;0),"G/LOS",IF(AND(AD811&gt;0,AF811&gt;0),"G/R",IF(AND(AE811&gt;0,AF811&gt;0),"LOS/R",IF(AD811&gt;0,"G",IF(AE811&gt;0,"LOS",IF(AF811&gt;0,"R","CHECK")))))))</f>
        <v>G/LOS</v>
      </c>
      <c r="W811" s="196" t="s">
        <v>1168</v>
      </c>
      <c r="X811" s="196" t="str">
        <f t="shared" ref="X811:X831" si="552">IF(LEFT(V811,1)="G","Y","N")</f>
        <v>Y</v>
      </c>
      <c r="Y811" s="376">
        <f t="shared" ref="Y811:Y831" si="553">SUM(K811:T811)</f>
        <v>4491000</v>
      </c>
      <c r="Z811" s="198"/>
      <c r="AA811" s="376">
        <f t="shared" ref="AA811:AA831" si="554">Y811-Z811</f>
        <v>4491000</v>
      </c>
      <c r="AB811" s="196" t="s">
        <v>1166</v>
      </c>
      <c r="AC811" s="196" t="s">
        <v>1168</v>
      </c>
      <c r="AD811" s="519">
        <v>0.83</v>
      </c>
      <c r="AE811" s="275">
        <v>0.17</v>
      </c>
      <c r="AF811" s="275">
        <v>0</v>
      </c>
      <c r="AG811" s="442">
        <v>0.83</v>
      </c>
      <c r="AH811" s="442">
        <v>0.83</v>
      </c>
      <c r="AI811" s="377">
        <f t="shared" ref="AI811:AI847" si="555">(AG811+AH811)/2</f>
        <v>0.83</v>
      </c>
      <c r="AJ811" s="548">
        <v>1</v>
      </c>
      <c r="AK811" s="203">
        <f t="shared" ref="AK811:AK831" si="556">1-AJ811</f>
        <v>0</v>
      </c>
      <c r="AL811" s="376">
        <f t="shared" ref="AL811:AL831" si="557">(100%-AI811)*AA811</f>
        <v>763470.00000000023</v>
      </c>
      <c r="AM811" s="376">
        <f t="shared" ref="AM811:AM831" si="558">AA811*AI811*AJ811</f>
        <v>3727530</v>
      </c>
      <c r="AN811" s="376">
        <f t="shared" ref="AN811:AN831" si="559">AA811*AI811*AK811</f>
        <v>0</v>
      </c>
      <c r="AO811" s="378" t="s">
        <v>3607</v>
      </c>
      <c r="AP811" s="379" t="s">
        <v>5394</v>
      </c>
      <c r="AQ811" s="279"/>
      <c r="AR811" s="287">
        <f t="shared" si="506"/>
        <v>552780</v>
      </c>
      <c r="AS811" s="287">
        <f t="shared" si="507"/>
        <v>3174750</v>
      </c>
      <c r="AT811" s="287">
        <f t="shared" si="508"/>
        <v>0</v>
      </c>
      <c r="AU811" s="287">
        <f t="shared" si="509"/>
        <v>0</v>
      </c>
      <c r="AV811" s="287">
        <f t="shared" si="510"/>
        <v>0</v>
      </c>
      <c r="AW811" s="287">
        <f t="shared" si="511"/>
        <v>0</v>
      </c>
      <c r="AX811" s="287">
        <f t="shared" si="512"/>
        <v>0</v>
      </c>
      <c r="AY811" s="287">
        <f t="shared" si="513"/>
        <v>0</v>
      </c>
      <c r="AZ811" s="287">
        <f t="shared" si="514"/>
        <v>0</v>
      </c>
      <c r="BA811" s="287">
        <f t="shared" si="515"/>
        <v>0</v>
      </c>
      <c r="BB811" s="16"/>
      <c r="BC811" s="287">
        <f t="shared" si="516"/>
        <v>0</v>
      </c>
      <c r="BD811" s="287">
        <f t="shared" si="517"/>
        <v>0</v>
      </c>
      <c r="BE811" s="287">
        <f t="shared" si="518"/>
        <v>0</v>
      </c>
      <c r="BF811" s="287">
        <f t="shared" si="519"/>
        <v>0</v>
      </c>
      <c r="BG811" s="287">
        <f t="shared" si="520"/>
        <v>0</v>
      </c>
      <c r="BH811" s="287">
        <f t="shared" si="521"/>
        <v>0</v>
      </c>
      <c r="BI811" s="287">
        <f t="shared" si="522"/>
        <v>0</v>
      </c>
      <c r="BJ811" s="287">
        <f t="shared" si="523"/>
        <v>0</v>
      </c>
      <c r="BK811" s="287">
        <f t="shared" si="524"/>
        <v>0</v>
      </c>
      <c r="BL811" s="287">
        <f t="shared" si="525"/>
        <v>0</v>
      </c>
      <c r="BM811" s="16"/>
      <c r="BN811" s="287">
        <f t="shared" si="526"/>
        <v>3727530</v>
      </c>
      <c r="BO811" s="287">
        <f t="shared" si="527"/>
        <v>0</v>
      </c>
      <c r="BP811" s="432"/>
      <c r="BQ811" s="21"/>
      <c r="BR811" s="21"/>
      <c r="BS811" s="6"/>
      <c r="BT811" s="194">
        <f t="shared" ref="BT811:BT831" si="560">+BN811+BO811</f>
        <v>3727530</v>
      </c>
      <c r="BU811" s="194">
        <f t="shared" ref="BU811:BU831" si="561">+AM811</f>
        <v>3727530</v>
      </c>
      <c r="BV811" s="194">
        <f t="shared" ref="BV811:BV831" si="562">+AN811</f>
        <v>0</v>
      </c>
      <c r="BW811" s="194">
        <f t="shared" ref="BW811:BW831" si="563">+BT811-BU811-BV811</f>
        <v>0</v>
      </c>
      <c r="BX811" s="6"/>
      <c r="BY811" s="6"/>
      <c r="BZ811" s="39">
        <v>798</v>
      </c>
      <c r="CA811" s="39">
        <f t="shared" si="528"/>
        <v>2031</v>
      </c>
      <c r="CB811" s="6"/>
      <c r="CC811" s="39"/>
      <c r="CD811" s="39"/>
      <c r="CE811" s="39"/>
      <c r="CF811" s="39"/>
      <c r="CG811" s="39"/>
      <c r="CH811" s="39"/>
      <c r="CI811" s="39"/>
      <c r="CJ811" s="39"/>
      <c r="CK811" s="39"/>
    </row>
    <row r="812" spans="1:89" s="193" customFormat="1" ht="24">
      <c r="A812" s="357"/>
      <c r="B812" s="21" t="str">
        <f t="shared" si="505"/>
        <v>STW</v>
      </c>
      <c r="C812" s="21"/>
      <c r="D812" s="432" t="s">
        <v>3931</v>
      </c>
      <c r="E812" s="439" t="s">
        <v>3626</v>
      </c>
      <c r="F812" s="439" t="s">
        <v>3930</v>
      </c>
      <c r="G812" s="273" t="s">
        <v>3929</v>
      </c>
      <c r="H812" s="358" t="s">
        <v>4552</v>
      </c>
      <c r="I812" s="262" t="s">
        <v>3491</v>
      </c>
      <c r="J812" s="262" t="s">
        <v>4221</v>
      </c>
      <c r="K812" s="263">
        <v>1500000</v>
      </c>
      <c r="L812" s="263">
        <v>1500000</v>
      </c>
      <c r="M812" s="263">
        <v>1500000</v>
      </c>
      <c r="N812" s="263">
        <v>0</v>
      </c>
      <c r="O812" s="263">
        <v>0</v>
      </c>
      <c r="P812" s="263">
        <v>0</v>
      </c>
      <c r="Q812" s="263">
        <v>0</v>
      </c>
      <c r="R812" s="263">
        <v>0</v>
      </c>
      <c r="S812" s="263">
        <v>0</v>
      </c>
      <c r="T812" s="263">
        <v>0</v>
      </c>
      <c r="U812" s="617">
        <f t="shared" si="550"/>
        <v>4500000</v>
      </c>
      <c r="V812" s="196" t="str">
        <f t="shared" si="551"/>
        <v>G</v>
      </c>
      <c r="W812" s="196" t="s">
        <v>1168</v>
      </c>
      <c r="X812" s="196" t="str">
        <f t="shared" si="552"/>
        <v>Y</v>
      </c>
      <c r="Y812" s="376">
        <f t="shared" si="553"/>
        <v>4500000</v>
      </c>
      <c r="Z812" s="198"/>
      <c r="AA812" s="376">
        <f t="shared" si="554"/>
        <v>4500000</v>
      </c>
      <c r="AB812" s="196" t="s">
        <v>1166</v>
      </c>
      <c r="AC812" s="196" t="s">
        <v>3624</v>
      </c>
      <c r="AD812" s="275">
        <v>1</v>
      </c>
      <c r="AE812" s="275">
        <v>0</v>
      </c>
      <c r="AF812" s="275">
        <v>0</v>
      </c>
      <c r="AG812" s="442">
        <v>1</v>
      </c>
      <c r="AH812" s="442">
        <v>1</v>
      </c>
      <c r="AI812" s="377">
        <f t="shared" si="555"/>
        <v>1</v>
      </c>
      <c r="AJ812" s="548">
        <v>1</v>
      </c>
      <c r="AK812" s="203">
        <f t="shared" si="556"/>
        <v>0</v>
      </c>
      <c r="AL812" s="376">
        <f t="shared" si="557"/>
        <v>0</v>
      </c>
      <c r="AM812" s="376">
        <f t="shared" si="558"/>
        <v>4500000</v>
      </c>
      <c r="AN812" s="376">
        <f t="shared" si="559"/>
        <v>0</v>
      </c>
      <c r="AO812" s="378" t="s">
        <v>3608</v>
      </c>
      <c r="AP812" s="379" t="s">
        <v>5420</v>
      </c>
      <c r="AQ812" s="279"/>
      <c r="AR812" s="287">
        <f t="shared" si="506"/>
        <v>1500000</v>
      </c>
      <c r="AS812" s="287">
        <f t="shared" si="507"/>
        <v>1500000</v>
      </c>
      <c r="AT812" s="287">
        <f t="shared" si="508"/>
        <v>1500000</v>
      </c>
      <c r="AU812" s="287">
        <f t="shared" si="509"/>
        <v>0</v>
      </c>
      <c r="AV812" s="287">
        <f t="shared" si="510"/>
        <v>0</v>
      </c>
      <c r="AW812" s="287">
        <f t="shared" si="511"/>
        <v>0</v>
      </c>
      <c r="AX812" s="287">
        <f t="shared" si="512"/>
        <v>0</v>
      </c>
      <c r="AY812" s="287">
        <f t="shared" si="513"/>
        <v>0</v>
      </c>
      <c r="AZ812" s="287">
        <f t="shared" si="514"/>
        <v>0</v>
      </c>
      <c r="BA812" s="287">
        <f t="shared" si="515"/>
        <v>0</v>
      </c>
      <c r="BB812" s="16"/>
      <c r="BC812" s="287">
        <f t="shared" si="516"/>
        <v>0</v>
      </c>
      <c r="BD812" s="287">
        <f t="shared" si="517"/>
        <v>0</v>
      </c>
      <c r="BE812" s="287">
        <f t="shared" si="518"/>
        <v>0</v>
      </c>
      <c r="BF812" s="287">
        <f t="shared" si="519"/>
        <v>0</v>
      </c>
      <c r="BG812" s="287">
        <f t="shared" si="520"/>
        <v>0</v>
      </c>
      <c r="BH812" s="287">
        <f t="shared" si="521"/>
        <v>0</v>
      </c>
      <c r="BI812" s="287">
        <f t="shared" si="522"/>
        <v>0</v>
      </c>
      <c r="BJ812" s="287">
        <f t="shared" si="523"/>
        <v>0</v>
      </c>
      <c r="BK812" s="287">
        <f t="shared" si="524"/>
        <v>0</v>
      </c>
      <c r="BL812" s="287">
        <f t="shared" si="525"/>
        <v>0</v>
      </c>
      <c r="BM812" s="16"/>
      <c r="BN812" s="287">
        <f t="shared" si="526"/>
        <v>4500000</v>
      </c>
      <c r="BO812" s="287">
        <f t="shared" si="527"/>
        <v>0</v>
      </c>
      <c r="BP812" s="432"/>
      <c r="BQ812" s="21"/>
      <c r="BR812" s="21"/>
      <c r="BS812" s="6"/>
      <c r="BT812" s="194">
        <f t="shared" si="560"/>
        <v>4500000</v>
      </c>
      <c r="BU812" s="194">
        <f t="shared" si="561"/>
        <v>4500000</v>
      </c>
      <c r="BV812" s="194">
        <f t="shared" si="562"/>
        <v>0</v>
      </c>
      <c r="BW812" s="194">
        <f t="shared" si="563"/>
        <v>0</v>
      </c>
      <c r="BX812" s="6"/>
      <c r="BY812" s="6"/>
      <c r="BZ812" s="39">
        <v>799</v>
      </c>
      <c r="CA812" s="39">
        <f t="shared" si="528"/>
        <v>2031</v>
      </c>
      <c r="CB812" s="6"/>
      <c r="CC812" s="39"/>
      <c r="CD812" s="39"/>
      <c r="CE812" s="39"/>
      <c r="CF812" s="39"/>
      <c r="CG812" s="39"/>
      <c r="CH812" s="39"/>
      <c r="CI812" s="39"/>
      <c r="CJ812" s="39"/>
      <c r="CK812" s="39"/>
    </row>
    <row r="813" spans="1:89" s="193" customFormat="1" ht="12.5">
      <c r="A813" s="357"/>
      <c r="B813" s="21" t="str">
        <f t="shared" si="505"/>
        <v>STW</v>
      </c>
      <c r="C813" s="21"/>
      <c r="D813" s="432" t="s">
        <v>4072</v>
      </c>
      <c r="E813" s="439" t="s">
        <v>3626</v>
      </c>
      <c r="F813" s="439" t="s">
        <v>4073</v>
      </c>
      <c r="G813" s="273" t="s">
        <v>4074</v>
      </c>
      <c r="H813" s="358" t="s">
        <v>4553</v>
      </c>
      <c r="I813" s="262" t="s">
        <v>3491</v>
      </c>
      <c r="J813" s="262" t="s">
        <v>4075</v>
      </c>
      <c r="K813" s="263">
        <v>6004236</v>
      </c>
      <c r="L813" s="263">
        <v>6648120</v>
      </c>
      <c r="M813" s="263">
        <v>0</v>
      </c>
      <c r="N813" s="263">
        <v>0</v>
      </c>
      <c r="O813" s="263">
        <v>0</v>
      </c>
      <c r="P813" s="263">
        <v>0</v>
      </c>
      <c r="Q813" s="263">
        <v>0</v>
      </c>
      <c r="R813" s="263">
        <v>0</v>
      </c>
      <c r="S813" s="263">
        <v>0</v>
      </c>
      <c r="T813" s="263">
        <v>0</v>
      </c>
      <c r="U813" s="263">
        <f t="shared" si="550"/>
        <v>12652356</v>
      </c>
      <c r="V813" s="196" t="str">
        <f t="shared" si="551"/>
        <v>G</v>
      </c>
      <c r="W813" s="196" t="s">
        <v>1168</v>
      </c>
      <c r="X813" s="196" t="str">
        <f t="shared" si="552"/>
        <v>Y</v>
      </c>
      <c r="Y813" s="376">
        <f t="shared" si="553"/>
        <v>12652356</v>
      </c>
      <c r="Z813" s="198"/>
      <c r="AA813" s="376">
        <f t="shared" si="554"/>
        <v>12652356</v>
      </c>
      <c r="AB813" s="196" t="s">
        <v>1166</v>
      </c>
      <c r="AC813" s="196" t="s">
        <v>3624</v>
      </c>
      <c r="AD813" s="519">
        <v>0.9</v>
      </c>
      <c r="AE813" s="275">
        <v>0</v>
      </c>
      <c r="AF813" s="275">
        <v>0</v>
      </c>
      <c r="AG813" s="442">
        <v>0.8</v>
      </c>
      <c r="AH813" s="442">
        <v>1</v>
      </c>
      <c r="AI813" s="377">
        <f t="shared" si="555"/>
        <v>0.9</v>
      </c>
      <c r="AJ813" s="687">
        <v>0.67</v>
      </c>
      <c r="AK813" s="203">
        <f t="shared" si="556"/>
        <v>0.32999999999999996</v>
      </c>
      <c r="AL813" s="376">
        <f t="shared" si="557"/>
        <v>1265235.5999999996</v>
      </c>
      <c r="AM813" s="376">
        <f t="shared" si="558"/>
        <v>7629370.6680000005</v>
      </c>
      <c r="AN813" s="376">
        <f t="shared" si="559"/>
        <v>3757749.7319999998</v>
      </c>
      <c r="AO813" s="378" t="s">
        <v>3608</v>
      </c>
      <c r="AP813" s="379" t="s">
        <v>5409</v>
      </c>
      <c r="AQ813" s="279"/>
      <c r="AR813" s="287">
        <f t="shared" si="506"/>
        <v>3620554.3080000007</v>
      </c>
      <c r="AS813" s="287">
        <f t="shared" si="507"/>
        <v>4008816.3600000003</v>
      </c>
      <c r="AT813" s="287">
        <f t="shared" si="508"/>
        <v>0</v>
      </c>
      <c r="AU813" s="287">
        <f t="shared" si="509"/>
        <v>0</v>
      </c>
      <c r="AV813" s="287">
        <f t="shared" si="510"/>
        <v>0</v>
      </c>
      <c r="AW813" s="287">
        <f t="shared" si="511"/>
        <v>0</v>
      </c>
      <c r="AX813" s="287">
        <f t="shared" si="512"/>
        <v>0</v>
      </c>
      <c r="AY813" s="287">
        <f t="shared" si="513"/>
        <v>0</v>
      </c>
      <c r="AZ813" s="287">
        <f t="shared" si="514"/>
        <v>0</v>
      </c>
      <c r="BA813" s="287">
        <f t="shared" si="515"/>
        <v>0</v>
      </c>
      <c r="BB813" s="16"/>
      <c r="BC813" s="287">
        <f t="shared" si="516"/>
        <v>1783258.0919999999</v>
      </c>
      <c r="BD813" s="287">
        <f t="shared" si="517"/>
        <v>1974491.6399999997</v>
      </c>
      <c r="BE813" s="287">
        <f t="shared" si="518"/>
        <v>0</v>
      </c>
      <c r="BF813" s="287">
        <f t="shared" si="519"/>
        <v>0</v>
      </c>
      <c r="BG813" s="287">
        <f t="shared" si="520"/>
        <v>0</v>
      </c>
      <c r="BH813" s="287">
        <f t="shared" si="521"/>
        <v>0</v>
      </c>
      <c r="BI813" s="287">
        <f t="shared" si="522"/>
        <v>0</v>
      </c>
      <c r="BJ813" s="287">
        <f t="shared" si="523"/>
        <v>0</v>
      </c>
      <c r="BK813" s="287">
        <f t="shared" si="524"/>
        <v>0</v>
      </c>
      <c r="BL813" s="287">
        <f t="shared" si="525"/>
        <v>0</v>
      </c>
      <c r="BM813" s="16"/>
      <c r="BN813" s="287">
        <f t="shared" si="526"/>
        <v>7629370.6680000015</v>
      </c>
      <c r="BO813" s="287">
        <f t="shared" si="527"/>
        <v>3757749.7319999998</v>
      </c>
      <c r="BP813" s="432"/>
      <c r="BQ813" s="21"/>
      <c r="BR813" s="21"/>
      <c r="BS813" s="6"/>
      <c r="BT813" s="194">
        <f t="shared" si="560"/>
        <v>11387120.400000002</v>
      </c>
      <c r="BU813" s="194">
        <f t="shared" si="561"/>
        <v>7629370.6680000005</v>
      </c>
      <c r="BV813" s="194">
        <f t="shared" si="562"/>
        <v>3757749.7319999998</v>
      </c>
      <c r="BW813" s="194">
        <f t="shared" si="563"/>
        <v>0</v>
      </c>
      <c r="BX813" s="6"/>
      <c r="BY813" s="6"/>
      <c r="BZ813" s="39">
        <v>800</v>
      </c>
      <c r="CA813" s="39">
        <f t="shared" si="528"/>
        <v>2036</v>
      </c>
      <c r="CB813" s="6"/>
      <c r="CC813" s="39"/>
      <c r="CD813" s="39"/>
      <c r="CE813" s="39"/>
      <c r="CF813" s="39"/>
      <c r="CG813" s="39"/>
      <c r="CH813" s="39"/>
      <c r="CI813" s="39"/>
      <c r="CJ813" s="39"/>
      <c r="CK813" s="39"/>
    </row>
    <row r="814" spans="1:89" s="193" customFormat="1" ht="24">
      <c r="A814" s="357"/>
      <c r="B814" s="21" t="str">
        <f t="shared" si="505"/>
        <v>STW</v>
      </c>
      <c r="C814" s="21"/>
      <c r="D814" s="432" t="s">
        <v>4096</v>
      </c>
      <c r="E814" s="439" t="s">
        <v>3626</v>
      </c>
      <c r="F814" s="439" t="s">
        <v>4097</v>
      </c>
      <c r="G814" s="273" t="s">
        <v>4098</v>
      </c>
      <c r="H814" s="358" t="s">
        <v>4564</v>
      </c>
      <c r="I814" s="262" t="s">
        <v>3491</v>
      </c>
      <c r="J814" s="262" t="s">
        <v>4195</v>
      </c>
      <c r="K814" s="263">
        <v>5561000</v>
      </c>
      <c r="L814" s="263">
        <v>5070000</v>
      </c>
      <c r="M814" s="263">
        <v>0</v>
      </c>
      <c r="N814" s="263">
        <v>0</v>
      </c>
      <c r="O814" s="263">
        <v>0</v>
      </c>
      <c r="P814" s="263">
        <v>0</v>
      </c>
      <c r="Q814" s="263">
        <v>0</v>
      </c>
      <c r="R814" s="263">
        <v>0</v>
      </c>
      <c r="S814" s="263">
        <v>0</v>
      </c>
      <c r="T814" s="263">
        <v>0</v>
      </c>
      <c r="U814" s="263">
        <f t="shared" si="550"/>
        <v>10631000</v>
      </c>
      <c r="V814" s="196" t="str">
        <f t="shared" si="551"/>
        <v>G/LOS</v>
      </c>
      <c r="W814" s="196" t="s">
        <v>1168</v>
      </c>
      <c r="X814" s="196" t="str">
        <f t="shared" si="552"/>
        <v>Y</v>
      </c>
      <c r="Y814" s="376">
        <f t="shared" si="553"/>
        <v>10631000</v>
      </c>
      <c r="Z814" s="198"/>
      <c r="AA814" s="376">
        <f t="shared" si="554"/>
        <v>10631000</v>
      </c>
      <c r="AB814" s="196" t="s">
        <v>1166</v>
      </c>
      <c r="AC814" s="196" t="s">
        <v>3624</v>
      </c>
      <c r="AD814" s="519">
        <v>0.9</v>
      </c>
      <c r="AE814" s="275">
        <v>0.1</v>
      </c>
      <c r="AF814" s="275">
        <v>0</v>
      </c>
      <c r="AG814" s="442">
        <v>0.8</v>
      </c>
      <c r="AH814" s="442">
        <v>1</v>
      </c>
      <c r="AI814" s="377">
        <f t="shared" si="555"/>
        <v>0.9</v>
      </c>
      <c r="AJ814" s="687">
        <v>0.67</v>
      </c>
      <c r="AK814" s="203">
        <f t="shared" si="556"/>
        <v>0.32999999999999996</v>
      </c>
      <c r="AL814" s="376">
        <f t="shared" si="557"/>
        <v>1063099.9999999998</v>
      </c>
      <c r="AM814" s="376">
        <f t="shared" si="558"/>
        <v>6410493</v>
      </c>
      <c r="AN814" s="376">
        <f t="shared" si="559"/>
        <v>3157406.9999999995</v>
      </c>
      <c r="AO814" s="378" t="s">
        <v>3607</v>
      </c>
      <c r="AP814" s="379" t="s">
        <v>5416</v>
      </c>
      <c r="AQ814" s="279"/>
      <c r="AR814" s="287">
        <f t="shared" si="506"/>
        <v>3353283</v>
      </c>
      <c r="AS814" s="287">
        <f t="shared" si="507"/>
        <v>3057210</v>
      </c>
      <c r="AT814" s="287">
        <f t="shared" si="508"/>
        <v>0</v>
      </c>
      <c r="AU814" s="287">
        <f t="shared" si="509"/>
        <v>0</v>
      </c>
      <c r="AV814" s="287">
        <f t="shared" si="510"/>
        <v>0</v>
      </c>
      <c r="AW814" s="287">
        <f t="shared" si="511"/>
        <v>0</v>
      </c>
      <c r="AX814" s="287">
        <f t="shared" si="512"/>
        <v>0</v>
      </c>
      <c r="AY814" s="287">
        <f t="shared" si="513"/>
        <v>0</v>
      </c>
      <c r="AZ814" s="287">
        <f t="shared" si="514"/>
        <v>0</v>
      </c>
      <c r="BA814" s="287">
        <f t="shared" si="515"/>
        <v>0</v>
      </c>
      <c r="BB814" s="16"/>
      <c r="BC814" s="287">
        <f t="shared" si="516"/>
        <v>1651616.9999999998</v>
      </c>
      <c r="BD814" s="287">
        <f t="shared" si="517"/>
        <v>1505789.9999999998</v>
      </c>
      <c r="BE814" s="287">
        <f t="shared" si="518"/>
        <v>0</v>
      </c>
      <c r="BF814" s="287">
        <f t="shared" si="519"/>
        <v>0</v>
      </c>
      <c r="BG814" s="287">
        <f t="shared" si="520"/>
        <v>0</v>
      </c>
      <c r="BH814" s="287">
        <f t="shared" si="521"/>
        <v>0</v>
      </c>
      <c r="BI814" s="287">
        <f t="shared" si="522"/>
        <v>0</v>
      </c>
      <c r="BJ814" s="287">
        <f t="shared" si="523"/>
        <v>0</v>
      </c>
      <c r="BK814" s="287">
        <f t="shared" si="524"/>
        <v>0</v>
      </c>
      <c r="BL814" s="287">
        <f t="shared" si="525"/>
        <v>0</v>
      </c>
      <c r="BM814" s="16"/>
      <c r="BN814" s="287">
        <f t="shared" si="526"/>
        <v>6410493</v>
      </c>
      <c r="BO814" s="287">
        <f t="shared" si="527"/>
        <v>3157406.9999999995</v>
      </c>
      <c r="BP814" s="432"/>
      <c r="BQ814" s="21"/>
      <c r="BR814" s="21"/>
      <c r="BS814" s="6"/>
      <c r="BT814" s="194">
        <f t="shared" si="560"/>
        <v>9567900</v>
      </c>
      <c r="BU814" s="194">
        <f t="shared" si="561"/>
        <v>6410493</v>
      </c>
      <c r="BV814" s="194">
        <f t="shared" si="562"/>
        <v>3157406.9999999995</v>
      </c>
      <c r="BW814" s="194">
        <f t="shared" si="563"/>
        <v>0</v>
      </c>
      <c r="BX814" s="6"/>
      <c r="BY814" s="6"/>
      <c r="BZ814" s="39">
        <v>801</v>
      </c>
      <c r="CA814" s="39">
        <f t="shared" si="528"/>
        <v>2036</v>
      </c>
      <c r="CB814" s="6"/>
      <c r="CC814" s="39"/>
      <c r="CD814" s="39"/>
      <c r="CE814" s="39"/>
      <c r="CF814" s="39"/>
      <c r="CG814" s="39"/>
      <c r="CH814" s="39"/>
      <c r="CI814" s="39"/>
      <c r="CJ814" s="39"/>
      <c r="CK814" s="39"/>
    </row>
    <row r="815" spans="1:89" s="193" customFormat="1" ht="24">
      <c r="A815" s="357"/>
      <c r="B815" s="21" t="str">
        <f t="shared" si="505"/>
        <v>STW</v>
      </c>
      <c r="C815" s="21"/>
      <c r="D815" s="432" t="s">
        <v>3967</v>
      </c>
      <c r="E815" s="439" t="s">
        <v>3626</v>
      </c>
      <c r="F815" s="439" t="s">
        <v>3966</v>
      </c>
      <c r="G815" s="273" t="s">
        <v>3965</v>
      </c>
      <c r="H815" s="358" t="s">
        <v>4572</v>
      </c>
      <c r="I815" s="262" t="s">
        <v>3491</v>
      </c>
      <c r="J815" s="262" t="s">
        <v>4193</v>
      </c>
      <c r="K815" s="263">
        <v>2930000</v>
      </c>
      <c r="L815" s="263">
        <v>0</v>
      </c>
      <c r="M815" s="263">
        <v>0</v>
      </c>
      <c r="N815" s="263">
        <v>0</v>
      </c>
      <c r="O815" s="263">
        <v>0</v>
      </c>
      <c r="P815" s="263">
        <v>0</v>
      </c>
      <c r="Q815" s="263">
        <v>0</v>
      </c>
      <c r="R815" s="263">
        <v>0</v>
      </c>
      <c r="S815" s="263">
        <v>0</v>
      </c>
      <c r="T815" s="263">
        <v>0</v>
      </c>
      <c r="U815" s="263">
        <f t="shared" si="550"/>
        <v>2930000</v>
      </c>
      <c r="V815" s="196" t="str">
        <f t="shared" si="551"/>
        <v>G/LOS</v>
      </c>
      <c r="W815" s="196" t="s">
        <v>1168</v>
      </c>
      <c r="X815" s="196" t="str">
        <f t="shared" si="552"/>
        <v>Y</v>
      </c>
      <c r="Y815" s="376">
        <f t="shared" si="553"/>
        <v>2930000</v>
      </c>
      <c r="Z815" s="198"/>
      <c r="AA815" s="376">
        <f t="shared" si="554"/>
        <v>2930000</v>
      </c>
      <c r="AB815" s="196" t="s">
        <v>1166</v>
      </c>
      <c r="AC815" s="196" t="s">
        <v>1168</v>
      </c>
      <c r="AD815" s="519">
        <v>0.85</v>
      </c>
      <c r="AE815" s="275">
        <v>0.15</v>
      </c>
      <c r="AF815" s="275">
        <v>0</v>
      </c>
      <c r="AG815" s="442">
        <v>0.85</v>
      </c>
      <c r="AH815" s="442">
        <v>0.85</v>
      </c>
      <c r="AI815" s="377">
        <f t="shared" si="555"/>
        <v>0.85</v>
      </c>
      <c r="AJ815" s="548">
        <v>1</v>
      </c>
      <c r="AK815" s="203">
        <f t="shared" si="556"/>
        <v>0</v>
      </c>
      <c r="AL815" s="376">
        <f t="shared" si="557"/>
        <v>439500.00000000006</v>
      </c>
      <c r="AM815" s="376">
        <f t="shared" si="558"/>
        <v>2490500</v>
      </c>
      <c r="AN815" s="376">
        <f t="shared" si="559"/>
        <v>0</v>
      </c>
      <c r="AO815" s="378" t="s">
        <v>3607</v>
      </c>
      <c r="AP815" s="379" t="s">
        <v>5422</v>
      </c>
      <c r="AQ815" s="279"/>
      <c r="AR815" s="287">
        <f t="shared" si="506"/>
        <v>2490500</v>
      </c>
      <c r="AS815" s="287">
        <f t="shared" si="507"/>
        <v>0</v>
      </c>
      <c r="AT815" s="287">
        <f t="shared" si="508"/>
        <v>0</v>
      </c>
      <c r="AU815" s="287">
        <f t="shared" si="509"/>
        <v>0</v>
      </c>
      <c r="AV815" s="287">
        <f t="shared" si="510"/>
        <v>0</v>
      </c>
      <c r="AW815" s="287">
        <f t="shared" si="511"/>
        <v>0</v>
      </c>
      <c r="AX815" s="287">
        <f t="shared" si="512"/>
        <v>0</v>
      </c>
      <c r="AY815" s="287">
        <f t="shared" si="513"/>
        <v>0</v>
      </c>
      <c r="AZ815" s="287">
        <f t="shared" si="514"/>
        <v>0</v>
      </c>
      <c r="BA815" s="287">
        <f t="shared" si="515"/>
        <v>0</v>
      </c>
      <c r="BB815" s="16"/>
      <c r="BC815" s="287">
        <f t="shared" si="516"/>
        <v>0</v>
      </c>
      <c r="BD815" s="287">
        <f t="shared" si="517"/>
        <v>0</v>
      </c>
      <c r="BE815" s="287">
        <f t="shared" si="518"/>
        <v>0</v>
      </c>
      <c r="BF815" s="287">
        <f t="shared" si="519"/>
        <v>0</v>
      </c>
      <c r="BG815" s="287">
        <f t="shared" si="520"/>
        <v>0</v>
      </c>
      <c r="BH815" s="287">
        <f t="shared" si="521"/>
        <v>0</v>
      </c>
      <c r="BI815" s="287">
        <f t="shared" si="522"/>
        <v>0</v>
      </c>
      <c r="BJ815" s="287">
        <f t="shared" si="523"/>
        <v>0</v>
      </c>
      <c r="BK815" s="287">
        <f t="shared" si="524"/>
        <v>0</v>
      </c>
      <c r="BL815" s="287">
        <f t="shared" si="525"/>
        <v>0</v>
      </c>
      <c r="BM815" s="16"/>
      <c r="BN815" s="287">
        <f t="shared" si="526"/>
        <v>2490500</v>
      </c>
      <c r="BO815" s="287">
        <f t="shared" si="527"/>
        <v>0</v>
      </c>
      <c r="BP815" s="432"/>
      <c r="BQ815" s="21"/>
      <c r="BR815" s="21"/>
      <c r="BS815" s="6"/>
      <c r="BT815" s="194">
        <f t="shared" si="560"/>
        <v>2490500</v>
      </c>
      <c r="BU815" s="194">
        <f t="shared" si="561"/>
        <v>2490500</v>
      </c>
      <c r="BV815" s="194">
        <f t="shared" si="562"/>
        <v>0</v>
      </c>
      <c r="BW815" s="194">
        <f t="shared" si="563"/>
        <v>0</v>
      </c>
      <c r="BX815" s="6"/>
      <c r="BY815" s="6"/>
      <c r="BZ815" s="39">
        <v>802</v>
      </c>
      <c r="CA815" s="39">
        <f t="shared" si="528"/>
        <v>2031</v>
      </c>
      <c r="CB815" s="6"/>
      <c r="CC815" s="39"/>
      <c r="CD815" s="39"/>
      <c r="CE815" s="39"/>
      <c r="CF815" s="39"/>
      <c r="CG815" s="39"/>
      <c r="CH815" s="39"/>
      <c r="CI815" s="39"/>
      <c r="CJ815" s="39"/>
      <c r="CK815" s="39"/>
    </row>
    <row r="816" spans="1:89" s="193" customFormat="1" ht="24">
      <c r="A816" s="357"/>
      <c r="B816" s="21" t="str">
        <f t="shared" si="505"/>
        <v>STW</v>
      </c>
      <c r="C816" s="21"/>
      <c r="D816" s="432"/>
      <c r="E816" s="439" t="s">
        <v>3626</v>
      </c>
      <c r="F816" s="439"/>
      <c r="G816" s="273" t="s">
        <v>4225</v>
      </c>
      <c r="H816" s="358" t="s">
        <v>4550</v>
      </c>
      <c r="I816" s="262" t="s">
        <v>3491</v>
      </c>
      <c r="J816" s="262" t="s">
        <v>4193</v>
      </c>
      <c r="K816" s="263">
        <v>240504.0965864452</v>
      </c>
      <c r="L816" s="263">
        <v>481008.1931728904</v>
      </c>
      <c r="M816" s="263">
        <v>481008.1931728904</v>
      </c>
      <c r="N816" s="263">
        <v>721512.28975933557</v>
      </c>
      <c r="O816" s="263">
        <v>721512.28975933557</v>
      </c>
      <c r="P816" s="263">
        <v>962016.3863457808</v>
      </c>
      <c r="Q816" s="263">
        <v>962016.3863457808</v>
      </c>
      <c r="R816" s="263">
        <v>962016.3863457808</v>
      </c>
      <c r="S816" s="263">
        <v>360756.14487966779</v>
      </c>
      <c r="T816" s="263">
        <v>120252.0482932226</v>
      </c>
      <c r="U816" s="263">
        <f t="shared" si="550"/>
        <v>6012602.4146611299</v>
      </c>
      <c r="V816" s="196" t="str">
        <f t="shared" si="551"/>
        <v>G/R</v>
      </c>
      <c r="W816" s="196" t="s">
        <v>1168</v>
      </c>
      <c r="X816" s="196" t="str">
        <f t="shared" si="552"/>
        <v>Y</v>
      </c>
      <c r="Y816" s="376">
        <f t="shared" si="553"/>
        <v>6012602.4146611299</v>
      </c>
      <c r="Z816" s="198"/>
      <c r="AA816" s="376">
        <f t="shared" si="554"/>
        <v>6012602.4146611299</v>
      </c>
      <c r="AB816" s="196" t="s">
        <v>1166</v>
      </c>
      <c r="AC816" s="196" t="s">
        <v>1168</v>
      </c>
      <c r="AD816" s="519">
        <v>0.83</v>
      </c>
      <c r="AE816" s="275">
        <v>0</v>
      </c>
      <c r="AF816" s="275">
        <v>0.17</v>
      </c>
      <c r="AG816" s="442">
        <v>0.83</v>
      </c>
      <c r="AH816" s="442">
        <v>0.83</v>
      </c>
      <c r="AI816" s="377">
        <f t="shared" si="555"/>
        <v>0.83</v>
      </c>
      <c r="AJ816" s="548">
        <v>1</v>
      </c>
      <c r="AK816" s="203">
        <f t="shared" si="556"/>
        <v>0</v>
      </c>
      <c r="AL816" s="376">
        <f t="shared" si="557"/>
        <v>1022142.4104923924</v>
      </c>
      <c r="AM816" s="376">
        <f t="shared" si="558"/>
        <v>4990460.0041687377</v>
      </c>
      <c r="AN816" s="376">
        <f t="shared" si="559"/>
        <v>0</v>
      </c>
      <c r="AO816" s="378" t="s">
        <v>3607</v>
      </c>
      <c r="AP816" s="379" t="s">
        <v>5422</v>
      </c>
      <c r="AQ816" s="279"/>
      <c r="AR816" s="287">
        <f t="shared" si="506"/>
        <v>199618.40016674952</v>
      </c>
      <c r="AS816" s="287">
        <f t="shared" si="507"/>
        <v>399236.80033349904</v>
      </c>
      <c r="AT816" s="287">
        <f t="shared" si="508"/>
        <v>399236.80033349904</v>
      </c>
      <c r="AU816" s="287">
        <f t="shared" si="509"/>
        <v>598855.20050024847</v>
      </c>
      <c r="AV816" s="287">
        <f t="shared" si="510"/>
        <v>598855.20050024847</v>
      </c>
      <c r="AW816" s="287">
        <f t="shared" si="511"/>
        <v>798473.60066699807</v>
      </c>
      <c r="AX816" s="287">
        <f t="shared" si="512"/>
        <v>798473.60066699807</v>
      </c>
      <c r="AY816" s="287">
        <f t="shared" si="513"/>
        <v>798473.60066699807</v>
      </c>
      <c r="AZ816" s="287">
        <f t="shared" si="514"/>
        <v>299427.60025012423</v>
      </c>
      <c r="BA816" s="287">
        <f t="shared" si="515"/>
        <v>99809.200083374759</v>
      </c>
      <c r="BB816" s="16"/>
      <c r="BC816" s="287">
        <f t="shared" si="516"/>
        <v>0</v>
      </c>
      <c r="BD816" s="287">
        <f t="shared" si="517"/>
        <v>0</v>
      </c>
      <c r="BE816" s="287">
        <f t="shared" si="518"/>
        <v>0</v>
      </c>
      <c r="BF816" s="287">
        <f t="shared" si="519"/>
        <v>0</v>
      </c>
      <c r="BG816" s="287">
        <f t="shared" si="520"/>
        <v>0</v>
      </c>
      <c r="BH816" s="287">
        <f t="shared" si="521"/>
        <v>0</v>
      </c>
      <c r="BI816" s="287">
        <f t="shared" si="522"/>
        <v>0</v>
      </c>
      <c r="BJ816" s="287">
        <f t="shared" si="523"/>
        <v>0</v>
      </c>
      <c r="BK816" s="287">
        <f t="shared" si="524"/>
        <v>0</v>
      </c>
      <c r="BL816" s="287">
        <f t="shared" si="525"/>
        <v>0</v>
      </c>
      <c r="BM816" s="16"/>
      <c r="BN816" s="287">
        <f t="shared" si="526"/>
        <v>4990460.0041687377</v>
      </c>
      <c r="BO816" s="287">
        <f t="shared" si="527"/>
        <v>0</v>
      </c>
      <c r="BP816" s="432"/>
      <c r="BQ816" s="21"/>
      <c r="BR816" s="21"/>
      <c r="BS816" s="6"/>
      <c r="BT816" s="194">
        <f t="shared" si="560"/>
        <v>4990460.0041687377</v>
      </c>
      <c r="BU816" s="194">
        <f t="shared" si="561"/>
        <v>4990460.0041687377</v>
      </c>
      <c r="BV816" s="194">
        <f t="shared" si="562"/>
        <v>0</v>
      </c>
      <c r="BW816" s="194">
        <f t="shared" si="563"/>
        <v>0</v>
      </c>
      <c r="BX816" s="6"/>
      <c r="BY816" s="6"/>
      <c r="BZ816" s="39">
        <v>803</v>
      </c>
      <c r="CA816" s="39">
        <f t="shared" si="528"/>
        <v>2031</v>
      </c>
      <c r="CB816" s="6"/>
      <c r="CC816" s="39"/>
      <c r="CD816" s="39"/>
      <c r="CE816" s="39"/>
      <c r="CF816" s="39"/>
      <c r="CG816" s="39"/>
      <c r="CH816" s="39"/>
      <c r="CI816" s="39"/>
      <c r="CJ816" s="39"/>
      <c r="CK816" s="39"/>
    </row>
    <row r="817" spans="1:89" s="193" customFormat="1" ht="24">
      <c r="A817" s="357"/>
      <c r="B817" s="21" t="str">
        <f t="shared" si="505"/>
        <v>STW</v>
      </c>
      <c r="C817" s="21"/>
      <c r="D817" s="432" t="s">
        <v>4089</v>
      </c>
      <c r="E817" s="439" t="s">
        <v>3626</v>
      </c>
      <c r="F817" s="439" t="s">
        <v>4090</v>
      </c>
      <c r="G817" s="273" t="s">
        <v>4091</v>
      </c>
      <c r="H817" s="358" t="s">
        <v>4559</v>
      </c>
      <c r="I817" s="262" t="s">
        <v>3491</v>
      </c>
      <c r="J817" s="262" t="s">
        <v>4201</v>
      </c>
      <c r="K817" s="263">
        <v>4720000</v>
      </c>
      <c r="L817" s="263">
        <v>3110000</v>
      </c>
      <c r="M817" s="263">
        <v>0</v>
      </c>
      <c r="N817" s="263">
        <v>0</v>
      </c>
      <c r="O817" s="263">
        <v>0</v>
      </c>
      <c r="P817" s="263">
        <v>0</v>
      </c>
      <c r="Q817" s="263">
        <v>0</v>
      </c>
      <c r="R817" s="263">
        <v>0</v>
      </c>
      <c r="S817" s="263">
        <v>0</v>
      </c>
      <c r="T817" s="263">
        <v>0</v>
      </c>
      <c r="U817" s="263">
        <f t="shared" si="550"/>
        <v>7830000</v>
      </c>
      <c r="V817" s="196" t="str">
        <f t="shared" si="551"/>
        <v>G/LOS</v>
      </c>
      <c r="W817" s="196" t="s">
        <v>1168</v>
      </c>
      <c r="X817" s="196" t="str">
        <f t="shared" si="552"/>
        <v>Y</v>
      </c>
      <c r="Y817" s="376">
        <f t="shared" si="553"/>
        <v>7830000</v>
      </c>
      <c r="Z817" s="198"/>
      <c r="AA817" s="376">
        <f t="shared" si="554"/>
        <v>7830000</v>
      </c>
      <c r="AB817" s="196" t="s">
        <v>1166</v>
      </c>
      <c r="AC817" s="196" t="s">
        <v>1168</v>
      </c>
      <c r="AD817" s="519">
        <v>0.83</v>
      </c>
      <c r="AE817" s="275">
        <v>0.17</v>
      </c>
      <c r="AF817" s="275">
        <v>0</v>
      </c>
      <c r="AG817" s="442">
        <v>0.83</v>
      </c>
      <c r="AH817" s="442">
        <v>0.83</v>
      </c>
      <c r="AI817" s="377">
        <f t="shared" si="555"/>
        <v>0.83</v>
      </c>
      <c r="AJ817" s="548">
        <v>1</v>
      </c>
      <c r="AK817" s="203">
        <f t="shared" si="556"/>
        <v>0</v>
      </c>
      <c r="AL817" s="376">
        <f t="shared" si="557"/>
        <v>1331100.0000000002</v>
      </c>
      <c r="AM817" s="376">
        <f t="shared" si="558"/>
        <v>6498900</v>
      </c>
      <c r="AN817" s="376">
        <f t="shared" si="559"/>
        <v>0</v>
      </c>
      <c r="AO817" s="378" t="s">
        <v>3607</v>
      </c>
      <c r="AP817" s="379" t="s">
        <v>5403</v>
      </c>
      <c r="AQ817" s="279"/>
      <c r="AR817" s="287">
        <f t="shared" si="506"/>
        <v>3917600</v>
      </c>
      <c r="AS817" s="287">
        <f t="shared" si="507"/>
        <v>2581300</v>
      </c>
      <c r="AT817" s="287">
        <f t="shared" si="508"/>
        <v>0</v>
      </c>
      <c r="AU817" s="287">
        <f t="shared" si="509"/>
        <v>0</v>
      </c>
      <c r="AV817" s="287">
        <f t="shared" si="510"/>
        <v>0</v>
      </c>
      <c r="AW817" s="287">
        <f t="shared" si="511"/>
        <v>0</v>
      </c>
      <c r="AX817" s="287">
        <f t="shared" si="512"/>
        <v>0</v>
      </c>
      <c r="AY817" s="287">
        <f t="shared" si="513"/>
        <v>0</v>
      </c>
      <c r="AZ817" s="287">
        <f t="shared" si="514"/>
        <v>0</v>
      </c>
      <c r="BA817" s="287">
        <f t="shared" si="515"/>
        <v>0</v>
      </c>
      <c r="BB817" s="16"/>
      <c r="BC817" s="287">
        <f t="shared" si="516"/>
        <v>0</v>
      </c>
      <c r="BD817" s="287">
        <f t="shared" si="517"/>
        <v>0</v>
      </c>
      <c r="BE817" s="287">
        <f t="shared" si="518"/>
        <v>0</v>
      </c>
      <c r="BF817" s="287">
        <f t="shared" si="519"/>
        <v>0</v>
      </c>
      <c r="BG817" s="287">
        <f t="shared" si="520"/>
        <v>0</v>
      </c>
      <c r="BH817" s="287">
        <f t="shared" si="521"/>
        <v>0</v>
      </c>
      <c r="BI817" s="287">
        <f t="shared" si="522"/>
        <v>0</v>
      </c>
      <c r="BJ817" s="287">
        <f t="shared" si="523"/>
        <v>0</v>
      </c>
      <c r="BK817" s="287">
        <f t="shared" si="524"/>
        <v>0</v>
      </c>
      <c r="BL817" s="287">
        <f t="shared" si="525"/>
        <v>0</v>
      </c>
      <c r="BM817" s="16"/>
      <c r="BN817" s="287">
        <f t="shared" si="526"/>
        <v>6498900</v>
      </c>
      <c r="BO817" s="287">
        <f t="shared" si="527"/>
        <v>0</v>
      </c>
      <c r="BP817" s="432"/>
      <c r="BQ817" s="21"/>
      <c r="BR817" s="21"/>
      <c r="BS817" s="6"/>
      <c r="BT817" s="194">
        <f t="shared" si="560"/>
        <v>6498900</v>
      </c>
      <c r="BU817" s="194">
        <f t="shared" si="561"/>
        <v>6498900</v>
      </c>
      <c r="BV817" s="194">
        <f t="shared" si="562"/>
        <v>0</v>
      </c>
      <c r="BW817" s="194">
        <f t="shared" si="563"/>
        <v>0</v>
      </c>
      <c r="BX817" s="6"/>
      <c r="BY817" s="6"/>
      <c r="BZ817" s="39">
        <v>804</v>
      </c>
      <c r="CA817" s="39">
        <f t="shared" si="528"/>
        <v>2031</v>
      </c>
      <c r="CB817" s="6"/>
      <c r="CC817" s="39"/>
      <c r="CD817" s="39"/>
      <c r="CE817" s="39"/>
      <c r="CF817" s="39"/>
      <c r="CG817" s="39"/>
      <c r="CH817" s="39"/>
      <c r="CI817" s="39"/>
      <c r="CJ817" s="39"/>
      <c r="CK817" s="39"/>
    </row>
    <row r="818" spans="1:89" s="193" customFormat="1" ht="24">
      <c r="A818" s="357"/>
      <c r="B818" s="21" t="str">
        <f t="shared" si="505"/>
        <v>STW</v>
      </c>
      <c r="C818" s="21"/>
      <c r="D818" s="432"/>
      <c r="E818" s="439" t="s">
        <v>3626</v>
      </c>
      <c r="F818" s="439" t="s">
        <v>4138</v>
      </c>
      <c r="G818" s="273" t="s">
        <v>4139</v>
      </c>
      <c r="H818" s="358" t="s">
        <v>4545</v>
      </c>
      <c r="I818" s="262" t="s">
        <v>3491</v>
      </c>
      <c r="J818" s="262" t="s">
        <v>4205</v>
      </c>
      <c r="K818" s="263">
        <v>362000</v>
      </c>
      <c r="L818" s="263">
        <v>906000</v>
      </c>
      <c r="M818" s="263">
        <v>4211000</v>
      </c>
      <c r="N818" s="263">
        <v>0</v>
      </c>
      <c r="O818" s="263">
        <v>0</v>
      </c>
      <c r="P818" s="263">
        <v>0</v>
      </c>
      <c r="Q818" s="263">
        <v>0</v>
      </c>
      <c r="R818" s="263">
        <v>0</v>
      </c>
      <c r="S818" s="263">
        <v>0</v>
      </c>
      <c r="T818" s="263">
        <v>0</v>
      </c>
      <c r="U818" s="263">
        <f t="shared" si="550"/>
        <v>5479000</v>
      </c>
      <c r="V818" s="196" t="str">
        <f t="shared" si="551"/>
        <v>G/R</v>
      </c>
      <c r="W818" s="196" t="s">
        <v>1168</v>
      </c>
      <c r="X818" s="196" t="str">
        <f t="shared" si="552"/>
        <v>Y</v>
      </c>
      <c r="Y818" s="376">
        <f t="shared" si="553"/>
        <v>5479000</v>
      </c>
      <c r="Z818" s="198"/>
      <c r="AA818" s="376">
        <f t="shared" si="554"/>
        <v>5479000</v>
      </c>
      <c r="AB818" s="196" t="s">
        <v>1166</v>
      </c>
      <c r="AC818" s="196" t="s">
        <v>1168</v>
      </c>
      <c r="AD818" s="445">
        <v>0.83</v>
      </c>
      <c r="AE818" s="275">
        <v>0</v>
      </c>
      <c r="AF818" s="275">
        <v>0.17</v>
      </c>
      <c r="AG818" s="442">
        <v>0.83</v>
      </c>
      <c r="AH818" s="442">
        <v>0.83</v>
      </c>
      <c r="AI818" s="377">
        <f t="shared" si="555"/>
        <v>0.83</v>
      </c>
      <c r="AJ818" s="548">
        <v>1</v>
      </c>
      <c r="AK818" s="199">
        <f t="shared" si="556"/>
        <v>0</v>
      </c>
      <c r="AL818" s="376">
        <f t="shared" si="557"/>
        <v>931430.00000000023</v>
      </c>
      <c r="AM818" s="376">
        <f t="shared" si="558"/>
        <v>4547570</v>
      </c>
      <c r="AN818" s="376">
        <f t="shared" si="559"/>
        <v>0</v>
      </c>
      <c r="AO818" s="378" t="s">
        <v>3607</v>
      </c>
      <c r="AP818" s="379" t="s">
        <v>5393</v>
      </c>
      <c r="AQ818" s="279"/>
      <c r="AR818" s="287">
        <f t="shared" si="506"/>
        <v>300460</v>
      </c>
      <c r="AS818" s="287">
        <f t="shared" si="507"/>
        <v>751980</v>
      </c>
      <c r="AT818" s="287">
        <f t="shared" si="508"/>
        <v>3495130</v>
      </c>
      <c r="AU818" s="287">
        <f t="shared" si="509"/>
        <v>0</v>
      </c>
      <c r="AV818" s="287">
        <f t="shared" si="510"/>
        <v>0</v>
      </c>
      <c r="AW818" s="287">
        <f t="shared" si="511"/>
        <v>0</v>
      </c>
      <c r="AX818" s="287">
        <f t="shared" si="512"/>
        <v>0</v>
      </c>
      <c r="AY818" s="287">
        <f t="shared" si="513"/>
        <v>0</v>
      </c>
      <c r="AZ818" s="287">
        <f t="shared" si="514"/>
        <v>0</v>
      </c>
      <c r="BA818" s="287">
        <f t="shared" si="515"/>
        <v>0</v>
      </c>
      <c r="BB818" s="16"/>
      <c r="BC818" s="287">
        <f t="shared" si="516"/>
        <v>0</v>
      </c>
      <c r="BD818" s="287">
        <f t="shared" si="517"/>
        <v>0</v>
      </c>
      <c r="BE818" s="287">
        <f t="shared" si="518"/>
        <v>0</v>
      </c>
      <c r="BF818" s="287">
        <f t="shared" si="519"/>
        <v>0</v>
      </c>
      <c r="BG818" s="287">
        <f t="shared" si="520"/>
        <v>0</v>
      </c>
      <c r="BH818" s="287">
        <f t="shared" si="521"/>
        <v>0</v>
      </c>
      <c r="BI818" s="287">
        <f t="shared" si="522"/>
        <v>0</v>
      </c>
      <c r="BJ818" s="287">
        <f t="shared" si="523"/>
        <v>0</v>
      </c>
      <c r="BK818" s="287">
        <f t="shared" si="524"/>
        <v>0</v>
      </c>
      <c r="BL818" s="287">
        <f t="shared" si="525"/>
        <v>0</v>
      </c>
      <c r="BM818" s="16"/>
      <c r="BN818" s="287">
        <f t="shared" si="526"/>
        <v>4547570</v>
      </c>
      <c r="BO818" s="287">
        <f t="shared" si="527"/>
        <v>0</v>
      </c>
      <c r="BP818" s="432"/>
      <c r="BQ818" s="21"/>
      <c r="BR818" s="21"/>
      <c r="BS818" s="6"/>
      <c r="BT818" s="194">
        <f t="shared" si="560"/>
        <v>4547570</v>
      </c>
      <c r="BU818" s="194">
        <f t="shared" si="561"/>
        <v>4547570</v>
      </c>
      <c r="BV818" s="194">
        <f t="shared" si="562"/>
        <v>0</v>
      </c>
      <c r="BW818" s="194">
        <f t="shared" si="563"/>
        <v>0</v>
      </c>
      <c r="BX818" s="6"/>
      <c r="BY818" s="6"/>
      <c r="BZ818" s="39">
        <v>805</v>
      </c>
      <c r="CA818" s="39">
        <f t="shared" si="528"/>
        <v>2031</v>
      </c>
      <c r="CB818" s="6"/>
      <c r="CC818" s="39"/>
      <c r="CD818" s="39"/>
      <c r="CE818" s="39"/>
      <c r="CF818" s="39"/>
      <c r="CG818" s="39"/>
      <c r="CH818" s="39"/>
      <c r="CI818" s="39"/>
      <c r="CJ818" s="39"/>
      <c r="CK818" s="39"/>
    </row>
    <row r="819" spans="1:89" s="193" customFormat="1">
      <c r="A819" s="357"/>
      <c r="B819" s="21" t="str">
        <f t="shared" si="505"/>
        <v>STW</v>
      </c>
      <c r="C819" s="21"/>
      <c r="D819" s="432"/>
      <c r="E819" s="439" t="s">
        <v>3626</v>
      </c>
      <c r="F819" s="439" t="s">
        <v>4022</v>
      </c>
      <c r="G819" s="273" t="s">
        <v>4529</v>
      </c>
      <c r="H819" s="358" t="s">
        <v>4528</v>
      </c>
      <c r="I819" s="262" t="s">
        <v>3491</v>
      </c>
      <c r="J819" s="262" t="s">
        <v>4190</v>
      </c>
      <c r="K819" s="263">
        <v>38000</v>
      </c>
      <c r="L819" s="263">
        <v>660000</v>
      </c>
      <c r="M819" s="263">
        <v>0</v>
      </c>
      <c r="N819" s="263">
        <v>0</v>
      </c>
      <c r="O819" s="263">
        <v>0</v>
      </c>
      <c r="P819" s="263">
        <v>0</v>
      </c>
      <c r="Q819" s="263">
        <v>0</v>
      </c>
      <c r="R819" s="263">
        <v>0</v>
      </c>
      <c r="S819" s="263">
        <v>0</v>
      </c>
      <c r="T819" s="263">
        <v>0</v>
      </c>
      <c r="U819" s="263">
        <f t="shared" si="550"/>
        <v>698000</v>
      </c>
      <c r="V819" s="196" t="str">
        <f t="shared" si="551"/>
        <v>G/LOS/R</v>
      </c>
      <c r="W819" s="196" t="s">
        <v>1168</v>
      </c>
      <c r="X819" s="196" t="str">
        <f t="shared" si="552"/>
        <v>Y</v>
      </c>
      <c r="Y819" s="376">
        <f t="shared" si="553"/>
        <v>698000</v>
      </c>
      <c r="Z819" s="198"/>
      <c r="AA819" s="376">
        <f t="shared" si="554"/>
        <v>698000</v>
      </c>
      <c r="AB819" s="196" t="s">
        <v>1166</v>
      </c>
      <c r="AC819" s="196" t="s">
        <v>1168</v>
      </c>
      <c r="AD819" s="275">
        <v>0.1</v>
      </c>
      <c r="AE819" s="275">
        <v>0.1</v>
      </c>
      <c r="AF819" s="275">
        <v>0.8</v>
      </c>
      <c r="AG819" s="442">
        <v>0.1</v>
      </c>
      <c r="AH819" s="442">
        <v>0.1</v>
      </c>
      <c r="AI819" s="377">
        <f t="shared" si="555"/>
        <v>0.1</v>
      </c>
      <c r="AJ819" s="548">
        <v>1</v>
      </c>
      <c r="AK819" s="203">
        <f t="shared" si="556"/>
        <v>0</v>
      </c>
      <c r="AL819" s="376">
        <f t="shared" si="557"/>
        <v>628200</v>
      </c>
      <c r="AM819" s="376">
        <f t="shared" si="558"/>
        <v>69800</v>
      </c>
      <c r="AN819" s="376">
        <f t="shared" si="559"/>
        <v>0</v>
      </c>
      <c r="AO819" s="378" t="s">
        <v>3607</v>
      </c>
      <c r="AP819" s="379" t="s">
        <v>5394</v>
      </c>
      <c r="AQ819" s="279"/>
      <c r="AR819" s="287">
        <f t="shared" si="506"/>
        <v>3800</v>
      </c>
      <c r="AS819" s="287">
        <f t="shared" si="507"/>
        <v>66000</v>
      </c>
      <c r="AT819" s="287">
        <f t="shared" si="508"/>
        <v>0</v>
      </c>
      <c r="AU819" s="287">
        <f t="shared" si="509"/>
        <v>0</v>
      </c>
      <c r="AV819" s="287">
        <f t="shared" si="510"/>
        <v>0</v>
      </c>
      <c r="AW819" s="287">
        <f t="shared" si="511"/>
        <v>0</v>
      </c>
      <c r="AX819" s="287">
        <f t="shared" si="512"/>
        <v>0</v>
      </c>
      <c r="AY819" s="287">
        <f t="shared" si="513"/>
        <v>0</v>
      </c>
      <c r="AZ819" s="287">
        <f t="shared" si="514"/>
        <v>0</v>
      </c>
      <c r="BA819" s="287">
        <f t="shared" si="515"/>
        <v>0</v>
      </c>
      <c r="BB819" s="16"/>
      <c r="BC819" s="287">
        <f t="shared" si="516"/>
        <v>0</v>
      </c>
      <c r="BD819" s="287">
        <f t="shared" si="517"/>
        <v>0</v>
      </c>
      <c r="BE819" s="287">
        <f t="shared" si="518"/>
        <v>0</v>
      </c>
      <c r="BF819" s="287">
        <f t="shared" si="519"/>
        <v>0</v>
      </c>
      <c r="BG819" s="287">
        <f t="shared" si="520"/>
        <v>0</v>
      </c>
      <c r="BH819" s="287">
        <f t="shared" si="521"/>
        <v>0</v>
      </c>
      <c r="BI819" s="287">
        <f t="shared" si="522"/>
        <v>0</v>
      </c>
      <c r="BJ819" s="287">
        <f t="shared" si="523"/>
        <v>0</v>
      </c>
      <c r="BK819" s="287">
        <f t="shared" si="524"/>
        <v>0</v>
      </c>
      <c r="BL819" s="287">
        <f t="shared" si="525"/>
        <v>0</v>
      </c>
      <c r="BM819" s="16"/>
      <c r="BN819" s="287">
        <f t="shared" si="526"/>
        <v>69800</v>
      </c>
      <c r="BO819" s="287">
        <f t="shared" si="527"/>
        <v>0</v>
      </c>
      <c r="BP819" s="432"/>
      <c r="BQ819" s="21"/>
      <c r="BR819" s="21"/>
      <c r="BS819" s="6"/>
      <c r="BT819" s="194">
        <f t="shared" si="560"/>
        <v>69800</v>
      </c>
      <c r="BU819" s="194">
        <f t="shared" si="561"/>
        <v>69800</v>
      </c>
      <c r="BV819" s="194">
        <f t="shared" si="562"/>
        <v>0</v>
      </c>
      <c r="BW819" s="194">
        <f t="shared" si="563"/>
        <v>0</v>
      </c>
      <c r="BX819" s="6"/>
      <c r="BY819" s="6"/>
      <c r="BZ819" s="39">
        <v>806</v>
      </c>
      <c r="CA819" s="39">
        <f t="shared" si="528"/>
        <v>2031</v>
      </c>
      <c r="CB819" s="6"/>
      <c r="CC819" s="39"/>
      <c r="CD819" s="39"/>
      <c r="CE819" s="39"/>
      <c r="CF819" s="39"/>
      <c r="CG819" s="39"/>
      <c r="CH819" s="39"/>
      <c r="CI819" s="39"/>
      <c r="CJ819" s="39"/>
      <c r="CK819" s="39"/>
    </row>
    <row r="820" spans="1:89" s="193" customFormat="1" ht="12.5">
      <c r="A820" s="357"/>
      <c r="B820" s="21" t="str">
        <f t="shared" si="505"/>
        <v>STW</v>
      </c>
      <c r="C820" s="21"/>
      <c r="D820" s="432"/>
      <c r="E820" s="439" t="s">
        <v>3626</v>
      </c>
      <c r="F820" s="439" t="s">
        <v>4155</v>
      </c>
      <c r="G820" s="273" t="s">
        <v>4156</v>
      </c>
      <c r="H820" s="358" t="s">
        <v>4517</v>
      </c>
      <c r="I820" s="262" t="s">
        <v>3491</v>
      </c>
      <c r="J820" s="262" t="s">
        <v>4198</v>
      </c>
      <c r="K820" s="263">
        <v>60000</v>
      </c>
      <c r="L820" s="263">
        <v>120000</v>
      </c>
      <c r="M820" s="263">
        <v>1000000</v>
      </c>
      <c r="N820" s="263">
        <v>1420000</v>
      </c>
      <c r="O820" s="263">
        <v>0</v>
      </c>
      <c r="P820" s="263">
        <v>0</v>
      </c>
      <c r="Q820" s="263">
        <v>0</v>
      </c>
      <c r="R820" s="263">
        <v>0</v>
      </c>
      <c r="S820" s="263">
        <v>0</v>
      </c>
      <c r="T820" s="263">
        <v>0</v>
      </c>
      <c r="U820" s="263">
        <f t="shared" si="550"/>
        <v>2600000</v>
      </c>
      <c r="V820" s="196" t="str">
        <f t="shared" si="551"/>
        <v>G</v>
      </c>
      <c r="W820" s="196" t="s">
        <v>1168</v>
      </c>
      <c r="X820" s="196" t="str">
        <f t="shared" si="552"/>
        <v>Y</v>
      </c>
      <c r="Y820" s="376">
        <f t="shared" si="553"/>
        <v>2600000</v>
      </c>
      <c r="Z820" s="198"/>
      <c r="AA820" s="376">
        <f t="shared" si="554"/>
        <v>2600000</v>
      </c>
      <c r="AB820" s="196" t="s">
        <v>1166</v>
      </c>
      <c r="AC820" s="196" t="s">
        <v>1168</v>
      </c>
      <c r="AD820" s="445">
        <v>0.83</v>
      </c>
      <c r="AE820" s="275">
        <v>0</v>
      </c>
      <c r="AF820" s="275">
        <v>0</v>
      </c>
      <c r="AG820" s="442">
        <v>0.83</v>
      </c>
      <c r="AH820" s="442">
        <v>0.83</v>
      </c>
      <c r="AI820" s="377">
        <f t="shared" si="555"/>
        <v>0.83</v>
      </c>
      <c r="AJ820" s="548">
        <v>1</v>
      </c>
      <c r="AK820" s="203">
        <f t="shared" si="556"/>
        <v>0</v>
      </c>
      <c r="AL820" s="376">
        <f t="shared" si="557"/>
        <v>442000.00000000012</v>
      </c>
      <c r="AM820" s="376">
        <f t="shared" si="558"/>
        <v>2158000</v>
      </c>
      <c r="AN820" s="376">
        <f t="shared" si="559"/>
        <v>0</v>
      </c>
      <c r="AO820" s="378" t="s">
        <v>3607</v>
      </c>
      <c r="AP820" s="379" t="s">
        <v>5395</v>
      </c>
      <c r="AQ820" s="279"/>
      <c r="AR820" s="287">
        <f t="shared" si="506"/>
        <v>49800</v>
      </c>
      <c r="AS820" s="287">
        <f t="shared" si="507"/>
        <v>99600</v>
      </c>
      <c r="AT820" s="287">
        <f t="shared" si="508"/>
        <v>830000</v>
      </c>
      <c r="AU820" s="287">
        <f t="shared" si="509"/>
        <v>1178600</v>
      </c>
      <c r="AV820" s="287">
        <f t="shared" si="510"/>
        <v>0</v>
      </c>
      <c r="AW820" s="287">
        <f t="shared" si="511"/>
        <v>0</v>
      </c>
      <c r="AX820" s="287">
        <f t="shared" si="512"/>
        <v>0</v>
      </c>
      <c r="AY820" s="287">
        <f t="shared" si="513"/>
        <v>0</v>
      </c>
      <c r="AZ820" s="287">
        <f t="shared" si="514"/>
        <v>0</v>
      </c>
      <c r="BA820" s="287">
        <f t="shared" si="515"/>
        <v>0</v>
      </c>
      <c r="BB820" s="16"/>
      <c r="BC820" s="287">
        <f t="shared" si="516"/>
        <v>0</v>
      </c>
      <c r="BD820" s="287">
        <f t="shared" si="517"/>
        <v>0</v>
      </c>
      <c r="BE820" s="287">
        <f t="shared" si="518"/>
        <v>0</v>
      </c>
      <c r="BF820" s="287">
        <f t="shared" si="519"/>
        <v>0</v>
      </c>
      <c r="BG820" s="287">
        <f t="shared" si="520"/>
        <v>0</v>
      </c>
      <c r="BH820" s="287">
        <f t="shared" si="521"/>
        <v>0</v>
      </c>
      <c r="BI820" s="287">
        <f t="shared" si="522"/>
        <v>0</v>
      </c>
      <c r="BJ820" s="287">
        <f t="shared" si="523"/>
        <v>0</v>
      </c>
      <c r="BK820" s="287">
        <f t="shared" si="524"/>
        <v>0</v>
      </c>
      <c r="BL820" s="287">
        <f t="shared" si="525"/>
        <v>0</v>
      </c>
      <c r="BM820" s="16"/>
      <c r="BN820" s="287">
        <f t="shared" si="526"/>
        <v>2158000</v>
      </c>
      <c r="BO820" s="287">
        <f t="shared" si="527"/>
        <v>0</v>
      </c>
      <c r="BP820" s="432"/>
      <c r="BQ820" s="21"/>
      <c r="BR820" s="21"/>
      <c r="BS820" s="6"/>
      <c r="BT820" s="194">
        <f t="shared" si="560"/>
        <v>2158000</v>
      </c>
      <c r="BU820" s="194">
        <f t="shared" si="561"/>
        <v>2158000</v>
      </c>
      <c r="BV820" s="194">
        <f t="shared" si="562"/>
        <v>0</v>
      </c>
      <c r="BW820" s="194">
        <f t="shared" si="563"/>
        <v>0</v>
      </c>
      <c r="BX820" s="6"/>
      <c r="BY820" s="6"/>
      <c r="BZ820" s="39">
        <v>807</v>
      </c>
      <c r="CA820" s="39">
        <f t="shared" si="528"/>
        <v>2031</v>
      </c>
      <c r="CB820" s="6"/>
      <c r="CC820" s="39"/>
      <c r="CD820" s="39"/>
      <c r="CE820" s="39"/>
      <c r="CF820" s="39"/>
      <c r="CG820" s="39"/>
      <c r="CH820" s="39"/>
      <c r="CI820" s="39"/>
      <c r="CJ820" s="39"/>
      <c r="CK820" s="39"/>
    </row>
    <row r="821" spans="1:89" s="193" customFormat="1" ht="48">
      <c r="A821" s="357"/>
      <c r="B821" s="21" t="str">
        <f t="shared" si="505"/>
        <v>STW</v>
      </c>
      <c r="C821" s="21"/>
      <c r="D821" s="432" t="s">
        <v>3961</v>
      </c>
      <c r="E821" s="439" t="s">
        <v>3626</v>
      </c>
      <c r="F821" s="439" t="s">
        <v>3969</v>
      </c>
      <c r="G821" s="273" t="s">
        <v>3968</v>
      </c>
      <c r="H821" s="358" t="s">
        <v>5196</v>
      </c>
      <c r="I821" s="262" t="s">
        <v>3491</v>
      </c>
      <c r="J821" s="262" t="s">
        <v>4200</v>
      </c>
      <c r="K821" s="263">
        <v>795000</v>
      </c>
      <c r="L821" s="263">
        <v>4230000</v>
      </c>
      <c r="M821" s="263">
        <v>0</v>
      </c>
      <c r="N821" s="263">
        <v>0</v>
      </c>
      <c r="O821" s="263">
        <v>0</v>
      </c>
      <c r="P821" s="263">
        <v>0</v>
      </c>
      <c r="Q821" s="263">
        <v>0</v>
      </c>
      <c r="R821" s="263">
        <v>0</v>
      </c>
      <c r="S821" s="263">
        <v>0</v>
      </c>
      <c r="T821" s="263">
        <v>0</v>
      </c>
      <c r="U821" s="263">
        <f t="shared" si="550"/>
        <v>5025000</v>
      </c>
      <c r="V821" s="196" t="str">
        <f t="shared" si="551"/>
        <v>G/LOS</v>
      </c>
      <c r="W821" s="196" t="s">
        <v>1168</v>
      </c>
      <c r="X821" s="196" t="str">
        <f t="shared" si="552"/>
        <v>Y</v>
      </c>
      <c r="Y821" s="376">
        <f t="shared" si="553"/>
        <v>5025000</v>
      </c>
      <c r="Z821" s="198"/>
      <c r="AA821" s="376">
        <f t="shared" si="554"/>
        <v>5025000</v>
      </c>
      <c r="AB821" s="196" t="s">
        <v>1166</v>
      </c>
      <c r="AC821" s="196" t="s">
        <v>3624</v>
      </c>
      <c r="AD821" s="275">
        <v>0.7</v>
      </c>
      <c r="AE821" s="275">
        <v>0.3</v>
      </c>
      <c r="AF821" s="275">
        <v>0</v>
      </c>
      <c r="AG821" s="442">
        <v>0.3</v>
      </c>
      <c r="AH821" s="442">
        <v>1</v>
      </c>
      <c r="AI821" s="377">
        <f t="shared" si="555"/>
        <v>0.65</v>
      </c>
      <c r="AJ821" s="688">
        <v>1</v>
      </c>
      <c r="AK821" s="203">
        <f t="shared" si="556"/>
        <v>0</v>
      </c>
      <c r="AL821" s="376">
        <f t="shared" si="557"/>
        <v>1758750</v>
      </c>
      <c r="AM821" s="376">
        <f t="shared" si="558"/>
        <v>3266250</v>
      </c>
      <c r="AN821" s="376">
        <f t="shared" si="559"/>
        <v>0</v>
      </c>
      <c r="AO821" s="378" t="s">
        <v>3607</v>
      </c>
      <c r="AP821" s="379" t="s">
        <v>5400</v>
      </c>
      <c r="AQ821" s="279"/>
      <c r="AR821" s="287">
        <f t="shared" si="506"/>
        <v>516750</v>
      </c>
      <c r="AS821" s="287">
        <f t="shared" si="507"/>
        <v>2749500</v>
      </c>
      <c r="AT821" s="287">
        <f t="shared" si="508"/>
        <v>0</v>
      </c>
      <c r="AU821" s="287">
        <f t="shared" si="509"/>
        <v>0</v>
      </c>
      <c r="AV821" s="287">
        <f t="shared" si="510"/>
        <v>0</v>
      </c>
      <c r="AW821" s="287">
        <f t="shared" si="511"/>
        <v>0</v>
      </c>
      <c r="AX821" s="287">
        <f t="shared" si="512"/>
        <v>0</v>
      </c>
      <c r="AY821" s="287">
        <f t="shared" si="513"/>
        <v>0</v>
      </c>
      <c r="AZ821" s="287">
        <f t="shared" si="514"/>
        <v>0</v>
      </c>
      <c r="BA821" s="287">
        <f t="shared" si="515"/>
        <v>0</v>
      </c>
      <c r="BB821" s="16"/>
      <c r="BC821" s="287">
        <f t="shared" si="516"/>
        <v>0</v>
      </c>
      <c r="BD821" s="287">
        <f t="shared" si="517"/>
        <v>0</v>
      </c>
      <c r="BE821" s="287">
        <f t="shared" si="518"/>
        <v>0</v>
      </c>
      <c r="BF821" s="287">
        <f t="shared" si="519"/>
        <v>0</v>
      </c>
      <c r="BG821" s="287">
        <f t="shared" si="520"/>
        <v>0</v>
      </c>
      <c r="BH821" s="287">
        <f t="shared" si="521"/>
        <v>0</v>
      </c>
      <c r="BI821" s="287">
        <f t="shared" si="522"/>
        <v>0</v>
      </c>
      <c r="BJ821" s="287">
        <f t="shared" si="523"/>
        <v>0</v>
      </c>
      <c r="BK821" s="287">
        <f t="shared" si="524"/>
        <v>0</v>
      </c>
      <c r="BL821" s="287">
        <f t="shared" si="525"/>
        <v>0</v>
      </c>
      <c r="BM821" s="16"/>
      <c r="BN821" s="287">
        <f t="shared" si="526"/>
        <v>3266250</v>
      </c>
      <c r="BO821" s="287">
        <f t="shared" si="527"/>
        <v>0</v>
      </c>
      <c r="BP821" s="432"/>
      <c r="BQ821" s="21"/>
      <c r="BR821" s="21"/>
      <c r="BS821" s="6"/>
      <c r="BT821" s="194">
        <f t="shared" si="560"/>
        <v>3266250</v>
      </c>
      <c r="BU821" s="194">
        <f t="shared" si="561"/>
        <v>3266250</v>
      </c>
      <c r="BV821" s="194">
        <f t="shared" si="562"/>
        <v>0</v>
      </c>
      <c r="BW821" s="194">
        <f t="shared" si="563"/>
        <v>0</v>
      </c>
      <c r="BX821" s="6"/>
      <c r="BY821" s="6"/>
      <c r="BZ821" s="39">
        <v>808</v>
      </c>
      <c r="CA821" s="39">
        <f t="shared" si="528"/>
        <v>2031</v>
      </c>
      <c r="CB821" s="6"/>
      <c r="CC821" s="39"/>
      <c r="CD821" s="39"/>
      <c r="CE821" s="39"/>
      <c r="CF821" s="39"/>
      <c r="CG821" s="39"/>
      <c r="CH821" s="39"/>
      <c r="CI821" s="39"/>
      <c r="CJ821" s="39"/>
      <c r="CK821" s="39"/>
    </row>
    <row r="822" spans="1:89" s="193" customFormat="1" ht="24">
      <c r="A822" s="357"/>
      <c r="B822" s="21" t="str">
        <f t="shared" si="505"/>
        <v>STW</v>
      </c>
      <c r="C822" s="21"/>
      <c r="D822" s="432" t="s">
        <v>3972</v>
      </c>
      <c r="E822" s="439" t="s">
        <v>3626</v>
      </c>
      <c r="F822" s="439" t="s">
        <v>3980</v>
      </c>
      <c r="G822" s="273" t="s">
        <v>4612</v>
      </c>
      <c r="H822" s="358" t="s">
        <v>4611</v>
      </c>
      <c r="I822" s="262" t="s">
        <v>3491</v>
      </c>
      <c r="J822" s="262" t="s">
        <v>4190</v>
      </c>
      <c r="K822" s="263">
        <v>856000</v>
      </c>
      <c r="L822" s="263">
        <v>0</v>
      </c>
      <c r="M822" s="263">
        <v>0</v>
      </c>
      <c r="N822" s="263">
        <v>0</v>
      </c>
      <c r="O822" s="263">
        <v>0</v>
      </c>
      <c r="P822" s="263">
        <v>0</v>
      </c>
      <c r="Q822" s="263">
        <v>0</v>
      </c>
      <c r="R822" s="263">
        <v>0</v>
      </c>
      <c r="S822" s="263">
        <v>0</v>
      </c>
      <c r="T822" s="263">
        <v>0</v>
      </c>
      <c r="U822" s="263">
        <f t="shared" si="550"/>
        <v>856000</v>
      </c>
      <c r="V822" s="196" t="str">
        <f t="shared" si="551"/>
        <v>G/LOS/R</v>
      </c>
      <c r="W822" s="196" t="s">
        <v>1168</v>
      </c>
      <c r="X822" s="196" t="str">
        <f t="shared" si="552"/>
        <v>Y</v>
      </c>
      <c r="Y822" s="376">
        <f t="shared" si="553"/>
        <v>856000</v>
      </c>
      <c r="Z822" s="198"/>
      <c r="AA822" s="376">
        <f t="shared" si="554"/>
        <v>856000</v>
      </c>
      <c r="AB822" s="196" t="s">
        <v>1166</v>
      </c>
      <c r="AC822" s="196" t="s">
        <v>1168</v>
      </c>
      <c r="AD822" s="275">
        <v>0.1</v>
      </c>
      <c r="AE822" s="275">
        <v>0.1</v>
      </c>
      <c r="AF822" s="275">
        <v>0.8</v>
      </c>
      <c r="AG822" s="442">
        <v>0.1</v>
      </c>
      <c r="AH822" s="442">
        <v>0.1</v>
      </c>
      <c r="AI822" s="377">
        <f t="shared" si="555"/>
        <v>0.1</v>
      </c>
      <c r="AJ822" s="548">
        <v>1</v>
      </c>
      <c r="AK822" s="203">
        <f t="shared" si="556"/>
        <v>0</v>
      </c>
      <c r="AL822" s="376">
        <f t="shared" si="557"/>
        <v>770400</v>
      </c>
      <c r="AM822" s="376">
        <f t="shared" si="558"/>
        <v>85600</v>
      </c>
      <c r="AN822" s="376">
        <f t="shared" si="559"/>
        <v>0</v>
      </c>
      <c r="AO822" s="378" t="s">
        <v>3607</v>
      </c>
      <c r="AP822" s="379" t="s">
        <v>5394</v>
      </c>
      <c r="AQ822" s="279"/>
      <c r="AR822" s="287">
        <f t="shared" si="506"/>
        <v>85600</v>
      </c>
      <c r="AS822" s="287">
        <f t="shared" si="507"/>
        <v>0</v>
      </c>
      <c r="AT822" s="287">
        <f t="shared" si="508"/>
        <v>0</v>
      </c>
      <c r="AU822" s="287">
        <f t="shared" si="509"/>
        <v>0</v>
      </c>
      <c r="AV822" s="287">
        <f t="shared" si="510"/>
        <v>0</v>
      </c>
      <c r="AW822" s="287">
        <f t="shared" si="511"/>
        <v>0</v>
      </c>
      <c r="AX822" s="287">
        <f t="shared" si="512"/>
        <v>0</v>
      </c>
      <c r="AY822" s="287">
        <f t="shared" si="513"/>
        <v>0</v>
      </c>
      <c r="AZ822" s="287">
        <f t="shared" si="514"/>
        <v>0</v>
      </c>
      <c r="BA822" s="287">
        <f t="shared" si="515"/>
        <v>0</v>
      </c>
      <c r="BB822" s="16"/>
      <c r="BC822" s="287">
        <f t="shared" si="516"/>
        <v>0</v>
      </c>
      <c r="BD822" s="287">
        <f t="shared" si="517"/>
        <v>0</v>
      </c>
      <c r="BE822" s="287">
        <f t="shared" si="518"/>
        <v>0</v>
      </c>
      <c r="BF822" s="287">
        <f t="shared" si="519"/>
        <v>0</v>
      </c>
      <c r="BG822" s="287">
        <f t="shared" si="520"/>
        <v>0</v>
      </c>
      <c r="BH822" s="287">
        <f t="shared" si="521"/>
        <v>0</v>
      </c>
      <c r="BI822" s="287">
        <f t="shared" si="522"/>
        <v>0</v>
      </c>
      <c r="BJ822" s="287">
        <f t="shared" si="523"/>
        <v>0</v>
      </c>
      <c r="BK822" s="287">
        <f t="shared" si="524"/>
        <v>0</v>
      </c>
      <c r="BL822" s="287">
        <f t="shared" si="525"/>
        <v>0</v>
      </c>
      <c r="BM822" s="16"/>
      <c r="BN822" s="287">
        <f t="shared" si="526"/>
        <v>85600</v>
      </c>
      <c r="BO822" s="287">
        <f t="shared" si="527"/>
        <v>0</v>
      </c>
      <c r="BP822" s="432"/>
      <c r="BQ822" s="21"/>
      <c r="BR822" s="21"/>
      <c r="BS822" s="6"/>
      <c r="BT822" s="194">
        <f t="shared" si="560"/>
        <v>85600</v>
      </c>
      <c r="BU822" s="194">
        <f t="shared" si="561"/>
        <v>85600</v>
      </c>
      <c r="BV822" s="194">
        <f t="shared" si="562"/>
        <v>0</v>
      </c>
      <c r="BW822" s="194">
        <f t="shared" si="563"/>
        <v>0</v>
      </c>
      <c r="BX822" s="6"/>
      <c r="BY822" s="6"/>
      <c r="BZ822" s="39">
        <v>809</v>
      </c>
      <c r="CA822" s="39">
        <f t="shared" si="528"/>
        <v>2031</v>
      </c>
      <c r="CB822" s="6"/>
      <c r="CC822" s="39"/>
      <c r="CD822" s="39"/>
      <c r="CE822" s="39"/>
      <c r="CF822" s="39"/>
      <c r="CG822" s="39"/>
      <c r="CH822" s="39"/>
      <c r="CI822" s="39"/>
      <c r="CJ822" s="39"/>
      <c r="CK822" s="39"/>
    </row>
    <row r="823" spans="1:89" s="193" customFormat="1">
      <c r="A823" s="357"/>
      <c r="B823" s="21" t="str">
        <f t="shared" si="505"/>
        <v>STW</v>
      </c>
      <c r="C823" s="21"/>
      <c r="D823" s="432"/>
      <c r="E823" s="439" t="s">
        <v>3626</v>
      </c>
      <c r="F823" s="439" t="s">
        <v>4047</v>
      </c>
      <c r="G823" s="273" t="s">
        <v>4538</v>
      </c>
      <c r="H823" s="358" t="s">
        <v>4517</v>
      </c>
      <c r="I823" s="262" t="s">
        <v>3491</v>
      </c>
      <c r="J823" s="262" t="s">
        <v>4201</v>
      </c>
      <c r="K823" s="263">
        <v>192000</v>
      </c>
      <c r="L823" s="263">
        <v>3020000</v>
      </c>
      <c r="M823" s="263">
        <v>3150000</v>
      </c>
      <c r="N823" s="263">
        <v>0</v>
      </c>
      <c r="O823" s="263">
        <v>0</v>
      </c>
      <c r="P823" s="263">
        <v>0</v>
      </c>
      <c r="Q823" s="263">
        <v>0</v>
      </c>
      <c r="R823" s="263">
        <v>0</v>
      </c>
      <c r="S823" s="263">
        <v>0</v>
      </c>
      <c r="T823" s="263">
        <v>0</v>
      </c>
      <c r="U823" s="263">
        <f t="shared" si="550"/>
        <v>6362000</v>
      </c>
      <c r="V823" s="196" t="str">
        <f t="shared" si="551"/>
        <v>G/R</v>
      </c>
      <c r="W823" s="196" t="s">
        <v>1168</v>
      </c>
      <c r="X823" s="196" t="str">
        <f t="shared" si="552"/>
        <v>Y</v>
      </c>
      <c r="Y823" s="376">
        <f t="shared" si="553"/>
        <v>6362000</v>
      </c>
      <c r="Z823" s="198"/>
      <c r="AA823" s="376">
        <f t="shared" si="554"/>
        <v>6362000</v>
      </c>
      <c r="AB823" s="196" t="s">
        <v>1166</v>
      </c>
      <c r="AC823" s="196" t="s">
        <v>1168</v>
      </c>
      <c r="AD823" s="275">
        <v>0.4</v>
      </c>
      <c r="AE823" s="275">
        <v>0</v>
      </c>
      <c r="AF823" s="275">
        <v>0.6</v>
      </c>
      <c r="AG823" s="442">
        <v>0.4</v>
      </c>
      <c r="AH823" s="442">
        <v>0.4</v>
      </c>
      <c r="AI823" s="377">
        <f t="shared" si="555"/>
        <v>0.4</v>
      </c>
      <c r="AJ823" s="548">
        <v>1</v>
      </c>
      <c r="AK823" s="203">
        <f t="shared" si="556"/>
        <v>0</v>
      </c>
      <c r="AL823" s="376">
        <f t="shared" si="557"/>
        <v>3817200</v>
      </c>
      <c r="AM823" s="376">
        <f t="shared" si="558"/>
        <v>2544800</v>
      </c>
      <c r="AN823" s="376">
        <f t="shared" si="559"/>
        <v>0</v>
      </c>
      <c r="AO823" s="378" t="s">
        <v>3607</v>
      </c>
      <c r="AP823" s="379" t="s">
        <v>5403</v>
      </c>
      <c r="AQ823" s="279"/>
      <c r="AR823" s="287">
        <f t="shared" si="506"/>
        <v>76800</v>
      </c>
      <c r="AS823" s="287">
        <f t="shared" si="507"/>
        <v>1208000</v>
      </c>
      <c r="AT823" s="287">
        <f t="shared" si="508"/>
        <v>1260000</v>
      </c>
      <c r="AU823" s="287">
        <f t="shared" si="509"/>
        <v>0</v>
      </c>
      <c r="AV823" s="287">
        <f t="shared" si="510"/>
        <v>0</v>
      </c>
      <c r="AW823" s="287">
        <f t="shared" si="511"/>
        <v>0</v>
      </c>
      <c r="AX823" s="287">
        <f t="shared" si="512"/>
        <v>0</v>
      </c>
      <c r="AY823" s="287">
        <f t="shared" si="513"/>
        <v>0</v>
      </c>
      <c r="AZ823" s="287">
        <f t="shared" si="514"/>
        <v>0</v>
      </c>
      <c r="BA823" s="287">
        <f t="shared" si="515"/>
        <v>0</v>
      </c>
      <c r="BB823" s="16"/>
      <c r="BC823" s="287">
        <f t="shared" si="516"/>
        <v>0</v>
      </c>
      <c r="BD823" s="287">
        <f t="shared" si="517"/>
        <v>0</v>
      </c>
      <c r="BE823" s="287">
        <f t="shared" si="518"/>
        <v>0</v>
      </c>
      <c r="BF823" s="287">
        <f t="shared" si="519"/>
        <v>0</v>
      </c>
      <c r="BG823" s="287">
        <f t="shared" si="520"/>
        <v>0</v>
      </c>
      <c r="BH823" s="287">
        <f t="shared" si="521"/>
        <v>0</v>
      </c>
      <c r="BI823" s="287">
        <f t="shared" si="522"/>
        <v>0</v>
      </c>
      <c r="BJ823" s="287">
        <f t="shared" si="523"/>
        <v>0</v>
      </c>
      <c r="BK823" s="287">
        <f t="shared" si="524"/>
        <v>0</v>
      </c>
      <c r="BL823" s="287">
        <f t="shared" si="525"/>
        <v>0</v>
      </c>
      <c r="BM823" s="16"/>
      <c r="BN823" s="287">
        <f t="shared" si="526"/>
        <v>2544800</v>
      </c>
      <c r="BO823" s="287">
        <f t="shared" si="527"/>
        <v>0</v>
      </c>
      <c r="BP823" s="432"/>
      <c r="BQ823" s="21"/>
      <c r="BR823" s="21"/>
      <c r="BS823" s="6"/>
      <c r="BT823" s="194">
        <f t="shared" si="560"/>
        <v>2544800</v>
      </c>
      <c r="BU823" s="194">
        <f t="shared" si="561"/>
        <v>2544800</v>
      </c>
      <c r="BV823" s="194">
        <f t="shared" si="562"/>
        <v>0</v>
      </c>
      <c r="BW823" s="194">
        <f t="shared" si="563"/>
        <v>0</v>
      </c>
      <c r="BX823" s="6"/>
      <c r="BY823" s="6"/>
      <c r="BZ823" s="39">
        <v>810</v>
      </c>
      <c r="CA823" s="39">
        <f t="shared" si="528"/>
        <v>2031</v>
      </c>
      <c r="CB823" s="6"/>
      <c r="CC823" s="39"/>
      <c r="CD823" s="39"/>
      <c r="CE823" s="39"/>
      <c r="CF823" s="39"/>
      <c r="CG823" s="39"/>
      <c r="CH823" s="39"/>
      <c r="CI823" s="39"/>
      <c r="CJ823" s="39"/>
      <c r="CK823" s="39"/>
    </row>
    <row r="824" spans="1:89" s="193" customFormat="1">
      <c r="A824" s="357"/>
      <c r="B824" s="21" t="str">
        <f t="shared" si="505"/>
        <v>STW</v>
      </c>
      <c r="C824" s="21"/>
      <c r="D824" s="432" t="s">
        <v>3933</v>
      </c>
      <c r="E824" s="439" t="s">
        <v>3626</v>
      </c>
      <c r="F824" s="439" t="s">
        <v>3954</v>
      </c>
      <c r="G824" s="273" t="s">
        <v>4591</v>
      </c>
      <c r="H824" s="358" t="s">
        <v>4517</v>
      </c>
      <c r="I824" s="262" t="s">
        <v>3491</v>
      </c>
      <c r="J824" s="262" t="s">
        <v>4190</v>
      </c>
      <c r="K824" s="263">
        <v>124000</v>
      </c>
      <c r="L824" s="263">
        <v>0</v>
      </c>
      <c r="M824" s="263">
        <v>0</v>
      </c>
      <c r="N824" s="263">
        <v>0</v>
      </c>
      <c r="O824" s="263">
        <v>0</v>
      </c>
      <c r="P824" s="263">
        <v>0</v>
      </c>
      <c r="Q824" s="263">
        <v>0</v>
      </c>
      <c r="R824" s="263">
        <v>0</v>
      </c>
      <c r="S824" s="263">
        <v>0</v>
      </c>
      <c r="T824" s="263">
        <v>0</v>
      </c>
      <c r="U824" s="263">
        <f t="shared" si="550"/>
        <v>124000</v>
      </c>
      <c r="V824" s="196" t="str">
        <f t="shared" si="551"/>
        <v>G/LOS/R</v>
      </c>
      <c r="W824" s="196" t="s">
        <v>1168</v>
      </c>
      <c r="X824" s="196" t="str">
        <f t="shared" si="552"/>
        <v>Y</v>
      </c>
      <c r="Y824" s="376">
        <f t="shared" si="553"/>
        <v>124000</v>
      </c>
      <c r="Z824" s="198"/>
      <c r="AA824" s="376">
        <f t="shared" si="554"/>
        <v>124000</v>
      </c>
      <c r="AB824" s="196" t="s">
        <v>1166</v>
      </c>
      <c r="AC824" s="196" t="s">
        <v>1168</v>
      </c>
      <c r="AD824" s="275">
        <v>0.1</v>
      </c>
      <c r="AE824" s="275">
        <v>0.1</v>
      </c>
      <c r="AF824" s="275">
        <v>0.8</v>
      </c>
      <c r="AG824" s="442">
        <v>0.1</v>
      </c>
      <c r="AH824" s="442">
        <v>0.1</v>
      </c>
      <c r="AI824" s="377">
        <f t="shared" si="555"/>
        <v>0.1</v>
      </c>
      <c r="AJ824" s="548">
        <v>1</v>
      </c>
      <c r="AK824" s="203">
        <f t="shared" si="556"/>
        <v>0</v>
      </c>
      <c r="AL824" s="376">
        <f t="shared" si="557"/>
        <v>111600</v>
      </c>
      <c r="AM824" s="376">
        <f t="shared" si="558"/>
        <v>12400</v>
      </c>
      <c r="AN824" s="376">
        <f t="shared" si="559"/>
        <v>0</v>
      </c>
      <c r="AO824" s="378" t="s">
        <v>3607</v>
      </c>
      <c r="AP824" s="379" t="s">
        <v>5394</v>
      </c>
      <c r="AQ824" s="279"/>
      <c r="AR824" s="287">
        <f t="shared" si="506"/>
        <v>12400</v>
      </c>
      <c r="AS824" s="287">
        <f t="shared" si="507"/>
        <v>0</v>
      </c>
      <c r="AT824" s="287">
        <f t="shared" si="508"/>
        <v>0</v>
      </c>
      <c r="AU824" s="287">
        <f t="shared" si="509"/>
        <v>0</v>
      </c>
      <c r="AV824" s="287">
        <f t="shared" si="510"/>
        <v>0</v>
      </c>
      <c r="AW824" s="287">
        <f t="shared" si="511"/>
        <v>0</v>
      </c>
      <c r="AX824" s="287">
        <f t="shared" si="512"/>
        <v>0</v>
      </c>
      <c r="AY824" s="287">
        <f t="shared" si="513"/>
        <v>0</v>
      </c>
      <c r="AZ824" s="287">
        <f t="shared" si="514"/>
        <v>0</v>
      </c>
      <c r="BA824" s="287">
        <f t="shared" si="515"/>
        <v>0</v>
      </c>
      <c r="BB824" s="16"/>
      <c r="BC824" s="287">
        <f t="shared" si="516"/>
        <v>0</v>
      </c>
      <c r="BD824" s="287">
        <f t="shared" si="517"/>
        <v>0</v>
      </c>
      <c r="BE824" s="287">
        <f t="shared" si="518"/>
        <v>0</v>
      </c>
      <c r="BF824" s="287">
        <f t="shared" si="519"/>
        <v>0</v>
      </c>
      <c r="BG824" s="287">
        <f t="shared" si="520"/>
        <v>0</v>
      </c>
      <c r="BH824" s="287">
        <f t="shared" si="521"/>
        <v>0</v>
      </c>
      <c r="BI824" s="287">
        <f t="shared" si="522"/>
        <v>0</v>
      </c>
      <c r="BJ824" s="287">
        <f t="shared" si="523"/>
        <v>0</v>
      </c>
      <c r="BK824" s="287">
        <f t="shared" si="524"/>
        <v>0</v>
      </c>
      <c r="BL824" s="287">
        <f t="shared" si="525"/>
        <v>0</v>
      </c>
      <c r="BM824" s="16"/>
      <c r="BN824" s="287">
        <f t="shared" si="526"/>
        <v>12400</v>
      </c>
      <c r="BO824" s="287">
        <f t="shared" si="527"/>
        <v>0</v>
      </c>
      <c r="BP824" s="432"/>
      <c r="BQ824" s="21"/>
      <c r="BR824" s="21"/>
      <c r="BS824" s="6"/>
      <c r="BT824" s="194">
        <f t="shared" si="560"/>
        <v>12400</v>
      </c>
      <c r="BU824" s="194">
        <f t="shared" si="561"/>
        <v>12400</v>
      </c>
      <c r="BV824" s="194">
        <f t="shared" si="562"/>
        <v>0</v>
      </c>
      <c r="BW824" s="194">
        <f t="shared" si="563"/>
        <v>0</v>
      </c>
      <c r="BX824" s="6"/>
      <c r="BY824" s="6"/>
      <c r="BZ824" s="39">
        <v>811</v>
      </c>
      <c r="CA824" s="39">
        <f t="shared" si="528"/>
        <v>2031</v>
      </c>
      <c r="CB824" s="6"/>
      <c r="CC824" s="39"/>
      <c r="CD824" s="39"/>
      <c r="CE824" s="39"/>
      <c r="CF824" s="39"/>
      <c r="CG824" s="39"/>
      <c r="CH824" s="39"/>
      <c r="CI824" s="39"/>
      <c r="CJ824" s="39"/>
      <c r="CK824" s="39"/>
    </row>
    <row r="825" spans="1:89" s="193" customFormat="1">
      <c r="A825" s="357"/>
      <c r="B825" s="21" t="str">
        <f t="shared" si="505"/>
        <v>STW</v>
      </c>
      <c r="C825" s="21"/>
      <c r="D825" s="432" t="s">
        <v>3933</v>
      </c>
      <c r="E825" s="439" t="s">
        <v>3626</v>
      </c>
      <c r="F825" s="439" t="s">
        <v>4114</v>
      </c>
      <c r="G825" s="273" t="s">
        <v>4115</v>
      </c>
      <c r="H825" s="358" t="s">
        <v>4597</v>
      </c>
      <c r="I825" s="262" t="s">
        <v>3491</v>
      </c>
      <c r="J825" s="262" t="s">
        <v>4205</v>
      </c>
      <c r="K825" s="263">
        <v>713000</v>
      </c>
      <c r="L825" s="263">
        <v>1000000</v>
      </c>
      <c r="M825" s="263">
        <v>8625000</v>
      </c>
      <c r="N825" s="263">
        <v>6500000</v>
      </c>
      <c r="O825" s="263">
        <v>0</v>
      </c>
      <c r="P825" s="263">
        <v>0</v>
      </c>
      <c r="Q825" s="263">
        <v>0</v>
      </c>
      <c r="R825" s="263">
        <v>0</v>
      </c>
      <c r="S825" s="263">
        <v>0</v>
      </c>
      <c r="T825" s="263">
        <v>0</v>
      </c>
      <c r="U825" s="263">
        <f t="shared" si="550"/>
        <v>16838000</v>
      </c>
      <c r="V825" s="196" t="str">
        <f t="shared" si="551"/>
        <v>G/LOS/R</v>
      </c>
      <c r="W825" s="196" t="s">
        <v>1168</v>
      </c>
      <c r="X825" s="196" t="str">
        <f t="shared" si="552"/>
        <v>Y</v>
      </c>
      <c r="Y825" s="376">
        <f t="shared" si="553"/>
        <v>16838000</v>
      </c>
      <c r="Z825" s="198"/>
      <c r="AA825" s="376">
        <f t="shared" si="554"/>
        <v>16838000</v>
      </c>
      <c r="AB825" s="196" t="s">
        <v>1166</v>
      </c>
      <c r="AC825" s="196" t="s">
        <v>1168</v>
      </c>
      <c r="AD825" s="275">
        <v>0.35</v>
      </c>
      <c r="AE825" s="275">
        <v>0.25</v>
      </c>
      <c r="AF825" s="275">
        <v>0.4</v>
      </c>
      <c r="AG825" s="442">
        <v>0.35</v>
      </c>
      <c r="AH825" s="442">
        <v>0.35</v>
      </c>
      <c r="AI825" s="377">
        <f t="shared" si="555"/>
        <v>0.35</v>
      </c>
      <c r="AJ825" s="548">
        <v>1</v>
      </c>
      <c r="AK825" s="199">
        <f t="shared" si="556"/>
        <v>0</v>
      </c>
      <c r="AL825" s="376">
        <f t="shared" si="557"/>
        <v>10944700</v>
      </c>
      <c r="AM825" s="376">
        <f t="shared" si="558"/>
        <v>5893300</v>
      </c>
      <c r="AN825" s="376">
        <f t="shared" si="559"/>
        <v>0</v>
      </c>
      <c r="AO825" s="378" t="s">
        <v>3607</v>
      </c>
      <c r="AP825" s="379" t="s">
        <v>5393</v>
      </c>
      <c r="AQ825" s="279"/>
      <c r="AR825" s="287">
        <f t="shared" si="506"/>
        <v>249549.99999999997</v>
      </c>
      <c r="AS825" s="287">
        <f t="shared" si="507"/>
        <v>350000</v>
      </c>
      <c r="AT825" s="287">
        <f t="shared" si="508"/>
        <v>3018750</v>
      </c>
      <c r="AU825" s="287">
        <f t="shared" si="509"/>
        <v>2275000</v>
      </c>
      <c r="AV825" s="287">
        <f t="shared" si="510"/>
        <v>0</v>
      </c>
      <c r="AW825" s="287">
        <f t="shared" si="511"/>
        <v>0</v>
      </c>
      <c r="AX825" s="287">
        <f t="shared" si="512"/>
        <v>0</v>
      </c>
      <c r="AY825" s="287">
        <f t="shared" si="513"/>
        <v>0</v>
      </c>
      <c r="AZ825" s="287">
        <f t="shared" si="514"/>
        <v>0</v>
      </c>
      <c r="BA825" s="287">
        <f t="shared" si="515"/>
        <v>0</v>
      </c>
      <c r="BB825" s="16"/>
      <c r="BC825" s="287">
        <f t="shared" si="516"/>
        <v>0</v>
      </c>
      <c r="BD825" s="287">
        <f t="shared" si="517"/>
        <v>0</v>
      </c>
      <c r="BE825" s="287">
        <f t="shared" si="518"/>
        <v>0</v>
      </c>
      <c r="BF825" s="287">
        <f t="shared" si="519"/>
        <v>0</v>
      </c>
      <c r="BG825" s="287">
        <f t="shared" si="520"/>
        <v>0</v>
      </c>
      <c r="BH825" s="287">
        <f t="shared" si="521"/>
        <v>0</v>
      </c>
      <c r="BI825" s="287">
        <f t="shared" si="522"/>
        <v>0</v>
      </c>
      <c r="BJ825" s="287">
        <f t="shared" si="523"/>
        <v>0</v>
      </c>
      <c r="BK825" s="287">
        <f t="shared" si="524"/>
        <v>0</v>
      </c>
      <c r="BL825" s="287">
        <f t="shared" si="525"/>
        <v>0</v>
      </c>
      <c r="BM825" s="16"/>
      <c r="BN825" s="287">
        <f t="shared" si="526"/>
        <v>5893300</v>
      </c>
      <c r="BO825" s="287">
        <f t="shared" si="527"/>
        <v>0</v>
      </c>
      <c r="BP825" s="432"/>
      <c r="BQ825" s="21"/>
      <c r="BR825" s="21"/>
      <c r="BS825" s="6"/>
      <c r="BT825" s="194">
        <f t="shared" si="560"/>
        <v>5893300</v>
      </c>
      <c r="BU825" s="194">
        <f t="shared" si="561"/>
        <v>5893300</v>
      </c>
      <c r="BV825" s="194">
        <f t="shared" si="562"/>
        <v>0</v>
      </c>
      <c r="BW825" s="194">
        <f t="shared" si="563"/>
        <v>0</v>
      </c>
      <c r="BX825" s="6"/>
      <c r="BY825" s="6"/>
      <c r="BZ825" s="39">
        <v>812</v>
      </c>
      <c r="CA825" s="39">
        <f t="shared" si="528"/>
        <v>2031</v>
      </c>
      <c r="CB825" s="6"/>
      <c r="CC825" s="39"/>
      <c r="CD825" s="39"/>
      <c r="CE825" s="39"/>
      <c r="CF825" s="39"/>
      <c r="CG825" s="39"/>
      <c r="CH825" s="39"/>
      <c r="CI825" s="39"/>
      <c r="CJ825" s="39"/>
      <c r="CK825" s="39"/>
    </row>
    <row r="826" spans="1:89" s="193" customFormat="1" ht="24">
      <c r="A826" s="357"/>
      <c r="B826" s="21" t="str">
        <f t="shared" si="505"/>
        <v>STW</v>
      </c>
      <c r="C826" s="21"/>
      <c r="D826" s="432"/>
      <c r="E826" s="439" t="s">
        <v>3626</v>
      </c>
      <c r="F826" s="439" t="s">
        <v>4142</v>
      </c>
      <c r="G826" s="273" t="s">
        <v>4143</v>
      </c>
      <c r="H826" s="358" t="s">
        <v>4577</v>
      </c>
      <c r="I826" s="262" t="s">
        <v>3491</v>
      </c>
      <c r="J826" s="262" t="s">
        <v>4202</v>
      </c>
      <c r="K826" s="263">
        <v>57000</v>
      </c>
      <c r="L826" s="263">
        <v>1160000</v>
      </c>
      <c r="M826" s="263">
        <v>0</v>
      </c>
      <c r="N826" s="263">
        <v>0</v>
      </c>
      <c r="O826" s="263">
        <v>0</v>
      </c>
      <c r="P826" s="263">
        <v>0</v>
      </c>
      <c r="Q826" s="263">
        <v>0</v>
      </c>
      <c r="R826" s="263">
        <v>0</v>
      </c>
      <c r="S826" s="263">
        <v>0</v>
      </c>
      <c r="T826" s="263">
        <v>0</v>
      </c>
      <c r="U826" s="263">
        <f t="shared" si="550"/>
        <v>1217000</v>
      </c>
      <c r="V826" s="196" t="str">
        <f t="shared" si="551"/>
        <v>G/LOS/R</v>
      </c>
      <c r="W826" s="196" t="s">
        <v>1168</v>
      </c>
      <c r="X826" s="196" t="str">
        <f t="shared" si="552"/>
        <v>Y</v>
      </c>
      <c r="Y826" s="376">
        <f t="shared" si="553"/>
        <v>1217000</v>
      </c>
      <c r="Z826" s="198"/>
      <c r="AA826" s="376">
        <f t="shared" si="554"/>
        <v>1217000</v>
      </c>
      <c r="AB826" s="196" t="s">
        <v>1166</v>
      </c>
      <c r="AC826" s="196" t="s">
        <v>1168</v>
      </c>
      <c r="AD826" s="275">
        <v>0.15</v>
      </c>
      <c r="AE826" s="275">
        <v>0.55000000000000004</v>
      </c>
      <c r="AF826" s="275">
        <v>0.3</v>
      </c>
      <c r="AG826" s="442">
        <v>0.15</v>
      </c>
      <c r="AH826" s="442">
        <v>0.15</v>
      </c>
      <c r="AI826" s="377">
        <f t="shared" si="555"/>
        <v>0.15</v>
      </c>
      <c r="AJ826" s="548">
        <v>1</v>
      </c>
      <c r="AK826" s="203">
        <f t="shared" si="556"/>
        <v>0</v>
      </c>
      <c r="AL826" s="376">
        <f t="shared" si="557"/>
        <v>1034450</v>
      </c>
      <c r="AM826" s="376">
        <f t="shared" si="558"/>
        <v>182550</v>
      </c>
      <c r="AN826" s="376">
        <f t="shared" si="559"/>
        <v>0</v>
      </c>
      <c r="AO826" s="378" t="s">
        <v>3607</v>
      </c>
      <c r="AP826" s="379" t="s">
        <v>5417</v>
      </c>
      <c r="AQ826" s="279"/>
      <c r="AR826" s="287">
        <f t="shared" si="506"/>
        <v>8550</v>
      </c>
      <c r="AS826" s="287">
        <f t="shared" si="507"/>
        <v>174000</v>
      </c>
      <c r="AT826" s="287">
        <f t="shared" si="508"/>
        <v>0</v>
      </c>
      <c r="AU826" s="287">
        <f t="shared" si="509"/>
        <v>0</v>
      </c>
      <c r="AV826" s="287">
        <f t="shared" si="510"/>
        <v>0</v>
      </c>
      <c r="AW826" s="287">
        <f t="shared" si="511"/>
        <v>0</v>
      </c>
      <c r="AX826" s="287">
        <f t="shared" si="512"/>
        <v>0</v>
      </c>
      <c r="AY826" s="287">
        <f t="shared" si="513"/>
        <v>0</v>
      </c>
      <c r="AZ826" s="287">
        <f t="shared" si="514"/>
        <v>0</v>
      </c>
      <c r="BA826" s="287">
        <f t="shared" si="515"/>
        <v>0</v>
      </c>
      <c r="BB826" s="16"/>
      <c r="BC826" s="287">
        <f t="shared" si="516"/>
        <v>0</v>
      </c>
      <c r="BD826" s="287">
        <f t="shared" si="517"/>
        <v>0</v>
      </c>
      <c r="BE826" s="287">
        <f t="shared" si="518"/>
        <v>0</v>
      </c>
      <c r="BF826" s="287">
        <f t="shared" si="519"/>
        <v>0</v>
      </c>
      <c r="BG826" s="287">
        <f t="shared" si="520"/>
        <v>0</v>
      </c>
      <c r="BH826" s="287">
        <f t="shared" si="521"/>
        <v>0</v>
      </c>
      <c r="BI826" s="287">
        <f t="shared" si="522"/>
        <v>0</v>
      </c>
      <c r="BJ826" s="287">
        <f t="shared" si="523"/>
        <v>0</v>
      </c>
      <c r="BK826" s="287">
        <f t="shared" si="524"/>
        <v>0</v>
      </c>
      <c r="BL826" s="287">
        <f t="shared" si="525"/>
        <v>0</v>
      </c>
      <c r="BM826" s="16"/>
      <c r="BN826" s="287">
        <f t="shared" si="526"/>
        <v>182550</v>
      </c>
      <c r="BO826" s="287">
        <f t="shared" si="527"/>
        <v>0</v>
      </c>
      <c r="BP826" s="432"/>
      <c r="BQ826" s="21"/>
      <c r="BR826" s="21"/>
      <c r="BS826" s="6"/>
      <c r="BT826" s="194">
        <f t="shared" si="560"/>
        <v>182550</v>
      </c>
      <c r="BU826" s="194">
        <f t="shared" si="561"/>
        <v>182550</v>
      </c>
      <c r="BV826" s="194">
        <f t="shared" si="562"/>
        <v>0</v>
      </c>
      <c r="BW826" s="194">
        <f t="shared" si="563"/>
        <v>0</v>
      </c>
      <c r="BX826" s="6"/>
      <c r="BY826" s="6"/>
      <c r="BZ826" s="39">
        <v>813</v>
      </c>
      <c r="CA826" s="39">
        <f t="shared" si="528"/>
        <v>2031</v>
      </c>
      <c r="CB826" s="6"/>
      <c r="CC826" s="39"/>
      <c r="CD826" s="39"/>
      <c r="CE826" s="39"/>
      <c r="CF826" s="39"/>
      <c r="CG826" s="39"/>
      <c r="CH826" s="39"/>
      <c r="CI826" s="39"/>
      <c r="CJ826" s="39"/>
      <c r="CK826" s="39"/>
    </row>
    <row r="827" spans="1:89" s="193" customFormat="1" ht="36">
      <c r="A827" s="357"/>
      <c r="B827" s="21" t="str">
        <f t="shared" si="505"/>
        <v>STW</v>
      </c>
      <c r="C827" s="21"/>
      <c r="D827" s="432"/>
      <c r="E827" s="439" t="s">
        <v>3626</v>
      </c>
      <c r="F827" s="439" t="s">
        <v>3949</v>
      </c>
      <c r="G827" s="273" t="s">
        <v>3948</v>
      </c>
      <c r="H827" s="358" t="s">
        <v>4585</v>
      </c>
      <c r="I827" s="262" t="s">
        <v>3491</v>
      </c>
      <c r="J827" s="262" t="s">
        <v>4201</v>
      </c>
      <c r="K827" s="263">
        <v>310000</v>
      </c>
      <c r="L827" s="263">
        <v>700000</v>
      </c>
      <c r="M827" s="263">
        <v>480000</v>
      </c>
      <c r="N827" s="263">
        <v>5170000</v>
      </c>
      <c r="O827" s="263">
        <v>5000000</v>
      </c>
      <c r="P827" s="263">
        <v>4800000</v>
      </c>
      <c r="Q827" s="263">
        <v>0</v>
      </c>
      <c r="R827" s="263">
        <v>0</v>
      </c>
      <c r="S827" s="263">
        <v>0</v>
      </c>
      <c r="T827" s="263">
        <v>0</v>
      </c>
      <c r="U827" s="263">
        <f t="shared" si="550"/>
        <v>16460000</v>
      </c>
      <c r="V827" s="196" t="str">
        <f t="shared" si="551"/>
        <v>G/LOS/R</v>
      </c>
      <c r="W827" s="196" t="s">
        <v>1168</v>
      </c>
      <c r="X827" s="196" t="str">
        <f t="shared" si="552"/>
        <v>Y</v>
      </c>
      <c r="Y827" s="376">
        <f t="shared" si="553"/>
        <v>16460000</v>
      </c>
      <c r="Z827" s="198"/>
      <c r="AA827" s="376">
        <f t="shared" si="554"/>
        <v>16460000</v>
      </c>
      <c r="AB827" s="196" t="s">
        <v>1166</v>
      </c>
      <c r="AC827" s="196" t="s">
        <v>1168</v>
      </c>
      <c r="AD827" s="519">
        <v>0.5</v>
      </c>
      <c r="AE827" s="275">
        <v>0.1</v>
      </c>
      <c r="AF827" s="275">
        <v>0.4</v>
      </c>
      <c r="AG827" s="442">
        <v>0.5</v>
      </c>
      <c r="AH827" s="442">
        <v>0.5</v>
      </c>
      <c r="AI827" s="377">
        <f t="shared" si="555"/>
        <v>0.5</v>
      </c>
      <c r="AJ827" s="548">
        <v>1</v>
      </c>
      <c r="AK827" s="203">
        <f t="shared" si="556"/>
        <v>0</v>
      </c>
      <c r="AL827" s="376">
        <f t="shared" si="557"/>
        <v>8230000</v>
      </c>
      <c r="AM827" s="376">
        <f t="shared" si="558"/>
        <v>8230000</v>
      </c>
      <c r="AN827" s="376">
        <f t="shared" si="559"/>
        <v>0</v>
      </c>
      <c r="AO827" s="378" t="s">
        <v>3607</v>
      </c>
      <c r="AP827" s="379" t="s">
        <v>5403</v>
      </c>
      <c r="AQ827" s="279"/>
      <c r="AR827" s="287">
        <f t="shared" si="506"/>
        <v>155000</v>
      </c>
      <c r="AS827" s="287">
        <f t="shared" si="507"/>
        <v>350000</v>
      </c>
      <c r="AT827" s="287">
        <f t="shared" si="508"/>
        <v>240000</v>
      </c>
      <c r="AU827" s="287">
        <f t="shared" si="509"/>
        <v>2585000</v>
      </c>
      <c r="AV827" s="287">
        <f t="shared" si="510"/>
        <v>2500000</v>
      </c>
      <c r="AW827" s="287">
        <f t="shared" si="511"/>
        <v>2400000</v>
      </c>
      <c r="AX827" s="287">
        <f t="shared" si="512"/>
        <v>0</v>
      </c>
      <c r="AY827" s="287">
        <f t="shared" si="513"/>
        <v>0</v>
      </c>
      <c r="AZ827" s="287">
        <f t="shared" si="514"/>
        <v>0</v>
      </c>
      <c r="BA827" s="287">
        <f t="shared" si="515"/>
        <v>0</v>
      </c>
      <c r="BB827" s="16"/>
      <c r="BC827" s="287">
        <f t="shared" si="516"/>
        <v>0</v>
      </c>
      <c r="BD827" s="287">
        <f t="shared" si="517"/>
        <v>0</v>
      </c>
      <c r="BE827" s="287">
        <f t="shared" si="518"/>
        <v>0</v>
      </c>
      <c r="BF827" s="287">
        <f t="shared" si="519"/>
        <v>0</v>
      </c>
      <c r="BG827" s="287">
        <f t="shared" si="520"/>
        <v>0</v>
      </c>
      <c r="BH827" s="287">
        <f t="shared" si="521"/>
        <v>0</v>
      </c>
      <c r="BI827" s="287">
        <f t="shared" si="522"/>
        <v>0</v>
      </c>
      <c r="BJ827" s="287">
        <f t="shared" si="523"/>
        <v>0</v>
      </c>
      <c r="BK827" s="287">
        <f t="shared" si="524"/>
        <v>0</v>
      </c>
      <c r="BL827" s="287">
        <f t="shared" si="525"/>
        <v>0</v>
      </c>
      <c r="BM827" s="16"/>
      <c r="BN827" s="287">
        <f t="shared" si="526"/>
        <v>8230000</v>
      </c>
      <c r="BO827" s="287">
        <f t="shared" si="527"/>
        <v>0</v>
      </c>
      <c r="BP827" s="432"/>
      <c r="BQ827" s="21"/>
      <c r="BR827" s="21"/>
      <c r="BS827" s="6"/>
      <c r="BT827" s="194">
        <f t="shared" si="560"/>
        <v>8230000</v>
      </c>
      <c r="BU827" s="194">
        <f t="shared" si="561"/>
        <v>8230000</v>
      </c>
      <c r="BV827" s="194">
        <f t="shared" si="562"/>
        <v>0</v>
      </c>
      <c r="BW827" s="194">
        <f t="shared" si="563"/>
        <v>0</v>
      </c>
      <c r="BX827" s="6"/>
      <c r="BY827" s="6"/>
      <c r="BZ827" s="39">
        <v>814</v>
      </c>
      <c r="CA827" s="39">
        <f t="shared" si="528"/>
        <v>2031</v>
      </c>
      <c r="CB827" s="6"/>
      <c r="CC827" s="39"/>
      <c r="CD827" s="39"/>
      <c r="CE827" s="39"/>
      <c r="CF827" s="39"/>
      <c r="CG827" s="39"/>
      <c r="CH827" s="39"/>
      <c r="CI827" s="39"/>
      <c r="CJ827" s="39"/>
      <c r="CK827" s="39"/>
    </row>
    <row r="828" spans="1:89" s="193" customFormat="1" ht="24">
      <c r="A828" s="357"/>
      <c r="B828" s="21" t="str">
        <f t="shared" si="505"/>
        <v>STW</v>
      </c>
      <c r="C828" s="21"/>
      <c r="D828" s="432" t="s">
        <v>3919</v>
      </c>
      <c r="E828" s="439" t="s">
        <v>3626</v>
      </c>
      <c r="F828" s="439" t="s">
        <v>3918</v>
      </c>
      <c r="G828" s="273" t="s">
        <v>4589</v>
      </c>
      <c r="H828" s="358" t="s">
        <v>4587</v>
      </c>
      <c r="I828" s="262" t="s">
        <v>3491</v>
      </c>
      <c r="J828" s="262" t="s">
        <v>4195</v>
      </c>
      <c r="K828" s="263">
        <v>17400</v>
      </c>
      <c r="L828" s="263">
        <v>9000</v>
      </c>
      <c r="M828" s="263">
        <v>0</v>
      </c>
      <c r="N828" s="263">
        <v>0</v>
      </c>
      <c r="O828" s="263">
        <v>0</v>
      </c>
      <c r="P828" s="263">
        <v>0</v>
      </c>
      <c r="Q828" s="263">
        <v>0</v>
      </c>
      <c r="R828" s="263">
        <v>0</v>
      </c>
      <c r="S828" s="263">
        <v>0</v>
      </c>
      <c r="T828" s="263">
        <v>0</v>
      </c>
      <c r="U828" s="263">
        <f t="shared" si="550"/>
        <v>26400</v>
      </c>
      <c r="V828" s="196" t="str">
        <f t="shared" si="551"/>
        <v>G/LOS/R</v>
      </c>
      <c r="W828" s="196" t="s">
        <v>1168</v>
      </c>
      <c r="X828" s="196" t="str">
        <f t="shared" si="552"/>
        <v>Y</v>
      </c>
      <c r="Y828" s="376">
        <f t="shared" si="553"/>
        <v>26400</v>
      </c>
      <c r="Z828" s="198"/>
      <c r="AA828" s="376">
        <f t="shared" si="554"/>
        <v>26400</v>
      </c>
      <c r="AB828" s="196" t="s">
        <v>1166</v>
      </c>
      <c r="AC828" s="196" t="s">
        <v>1168</v>
      </c>
      <c r="AD828" s="275">
        <v>0.1</v>
      </c>
      <c r="AE828" s="275">
        <v>0.1</v>
      </c>
      <c r="AF828" s="275">
        <v>0.8</v>
      </c>
      <c r="AG828" s="442">
        <v>0.1</v>
      </c>
      <c r="AH828" s="442">
        <v>0.1</v>
      </c>
      <c r="AI828" s="377">
        <f t="shared" si="555"/>
        <v>0.1</v>
      </c>
      <c r="AJ828" s="548">
        <v>1</v>
      </c>
      <c r="AK828" s="203">
        <f t="shared" si="556"/>
        <v>0</v>
      </c>
      <c r="AL828" s="376">
        <f t="shared" si="557"/>
        <v>23760</v>
      </c>
      <c r="AM828" s="376">
        <f t="shared" si="558"/>
        <v>2640</v>
      </c>
      <c r="AN828" s="376">
        <f t="shared" si="559"/>
        <v>0</v>
      </c>
      <c r="AO828" s="378" t="s">
        <v>3607</v>
      </c>
      <c r="AP828" s="379" t="s">
        <v>5416</v>
      </c>
      <c r="AQ828" s="279"/>
      <c r="AR828" s="287">
        <f t="shared" si="506"/>
        <v>1740</v>
      </c>
      <c r="AS828" s="287">
        <f t="shared" si="507"/>
        <v>900</v>
      </c>
      <c r="AT828" s="287">
        <f t="shared" si="508"/>
        <v>0</v>
      </c>
      <c r="AU828" s="287">
        <f t="shared" si="509"/>
        <v>0</v>
      </c>
      <c r="AV828" s="287">
        <f t="shared" si="510"/>
        <v>0</v>
      </c>
      <c r="AW828" s="287">
        <f t="shared" si="511"/>
        <v>0</v>
      </c>
      <c r="AX828" s="287">
        <f t="shared" si="512"/>
        <v>0</v>
      </c>
      <c r="AY828" s="287">
        <f t="shared" si="513"/>
        <v>0</v>
      </c>
      <c r="AZ828" s="287">
        <f t="shared" si="514"/>
        <v>0</v>
      </c>
      <c r="BA828" s="287">
        <f t="shared" si="515"/>
        <v>0</v>
      </c>
      <c r="BB828" s="16"/>
      <c r="BC828" s="287">
        <f t="shared" si="516"/>
        <v>0</v>
      </c>
      <c r="BD828" s="287">
        <f t="shared" si="517"/>
        <v>0</v>
      </c>
      <c r="BE828" s="287">
        <f t="shared" si="518"/>
        <v>0</v>
      </c>
      <c r="BF828" s="287">
        <f t="shared" si="519"/>
        <v>0</v>
      </c>
      <c r="BG828" s="287">
        <f t="shared" si="520"/>
        <v>0</v>
      </c>
      <c r="BH828" s="287">
        <f t="shared" si="521"/>
        <v>0</v>
      </c>
      <c r="BI828" s="287">
        <f t="shared" si="522"/>
        <v>0</v>
      </c>
      <c r="BJ828" s="287">
        <f t="shared" si="523"/>
        <v>0</v>
      </c>
      <c r="BK828" s="287">
        <f t="shared" si="524"/>
        <v>0</v>
      </c>
      <c r="BL828" s="287">
        <f t="shared" si="525"/>
        <v>0</v>
      </c>
      <c r="BM828" s="16"/>
      <c r="BN828" s="287">
        <f t="shared" si="526"/>
        <v>2640</v>
      </c>
      <c r="BO828" s="287">
        <f t="shared" si="527"/>
        <v>0</v>
      </c>
      <c r="BP828" s="432"/>
      <c r="BQ828" s="21"/>
      <c r="BR828" s="21"/>
      <c r="BS828" s="6"/>
      <c r="BT828" s="194">
        <f t="shared" si="560"/>
        <v>2640</v>
      </c>
      <c r="BU828" s="194">
        <f t="shared" si="561"/>
        <v>2640</v>
      </c>
      <c r="BV828" s="194">
        <f t="shared" si="562"/>
        <v>0</v>
      </c>
      <c r="BW828" s="194">
        <f t="shared" si="563"/>
        <v>0</v>
      </c>
      <c r="BX828" s="6"/>
      <c r="BY828" s="6"/>
      <c r="BZ828" s="39">
        <v>815</v>
      </c>
      <c r="CA828" s="39">
        <f t="shared" si="528"/>
        <v>2031</v>
      </c>
      <c r="CB828" s="6"/>
      <c r="CC828" s="39"/>
      <c r="CD828" s="39"/>
      <c r="CE828" s="39"/>
      <c r="CF828" s="39"/>
      <c r="CG828" s="39"/>
      <c r="CH828" s="39"/>
      <c r="CI828" s="39"/>
      <c r="CJ828" s="39"/>
      <c r="CK828" s="39"/>
    </row>
    <row r="829" spans="1:89" s="193" customFormat="1" ht="24">
      <c r="A829" s="357"/>
      <c r="B829" s="21" t="str">
        <f t="shared" si="505"/>
        <v>STW</v>
      </c>
      <c r="C829" s="21"/>
      <c r="D829" s="432" t="s">
        <v>3919</v>
      </c>
      <c r="E829" s="439" t="s">
        <v>3626</v>
      </c>
      <c r="F829" s="439" t="s">
        <v>3918</v>
      </c>
      <c r="G829" s="273" t="s">
        <v>4588</v>
      </c>
      <c r="H829" s="358" t="s">
        <v>4587</v>
      </c>
      <c r="I829" s="262" t="s">
        <v>3491</v>
      </c>
      <c r="J829" s="262" t="s">
        <v>4206</v>
      </c>
      <c r="K829" s="263">
        <v>127600</v>
      </c>
      <c r="L829" s="263">
        <v>66000</v>
      </c>
      <c r="M829" s="263">
        <v>0</v>
      </c>
      <c r="N829" s="263">
        <v>0</v>
      </c>
      <c r="O829" s="263">
        <v>0</v>
      </c>
      <c r="P829" s="263">
        <v>0</v>
      </c>
      <c r="Q829" s="263">
        <v>0</v>
      </c>
      <c r="R829" s="263">
        <v>0</v>
      </c>
      <c r="S829" s="263">
        <v>0</v>
      </c>
      <c r="T829" s="263">
        <v>0</v>
      </c>
      <c r="U829" s="263">
        <f t="shared" si="550"/>
        <v>193600</v>
      </c>
      <c r="V829" s="196" t="str">
        <f t="shared" si="551"/>
        <v>G/LOS/R</v>
      </c>
      <c r="W829" s="196" t="s">
        <v>1168</v>
      </c>
      <c r="X829" s="196" t="str">
        <f t="shared" si="552"/>
        <v>Y</v>
      </c>
      <c r="Y829" s="376">
        <f t="shared" si="553"/>
        <v>193600</v>
      </c>
      <c r="Z829" s="198"/>
      <c r="AA829" s="376">
        <f t="shared" si="554"/>
        <v>193600</v>
      </c>
      <c r="AB829" s="196" t="s">
        <v>1166</v>
      </c>
      <c r="AC829" s="196" t="s">
        <v>1168</v>
      </c>
      <c r="AD829" s="275">
        <v>0.1</v>
      </c>
      <c r="AE829" s="275">
        <v>0.1</v>
      </c>
      <c r="AF829" s="275">
        <v>0.8</v>
      </c>
      <c r="AG829" s="442">
        <v>0.1</v>
      </c>
      <c r="AH829" s="442">
        <v>0.1</v>
      </c>
      <c r="AI829" s="377">
        <f t="shared" si="555"/>
        <v>0.1</v>
      </c>
      <c r="AJ829" s="548">
        <v>1</v>
      </c>
      <c r="AK829" s="203">
        <f t="shared" si="556"/>
        <v>0</v>
      </c>
      <c r="AL829" s="376">
        <f t="shared" si="557"/>
        <v>174240</v>
      </c>
      <c r="AM829" s="376">
        <f t="shared" si="558"/>
        <v>19360</v>
      </c>
      <c r="AN829" s="376">
        <f t="shared" si="559"/>
        <v>0</v>
      </c>
      <c r="AO829" s="378" t="s">
        <v>3607</v>
      </c>
      <c r="AP829" s="379" t="s">
        <v>5408</v>
      </c>
      <c r="AQ829" s="279"/>
      <c r="AR829" s="287">
        <f t="shared" si="506"/>
        <v>12760</v>
      </c>
      <c r="AS829" s="287">
        <f t="shared" si="507"/>
        <v>6600</v>
      </c>
      <c r="AT829" s="287">
        <f t="shared" si="508"/>
        <v>0</v>
      </c>
      <c r="AU829" s="287">
        <f t="shared" si="509"/>
        <v>0</v>
      </c>
      <c r="AV829" s="287">
        <f t="shared" si="510"/>
        <v>0</v>
      </c>
      <c r="AW829" s="287">
        <f t="shared" si="511"/>
        <v>0</v>
      </c>
      <c r="AX829" s="287">
        <f t="shared" si="512"/>
        <v>0</v>
      </c>
      <c r="AY829" s="287">
        <f t="shared" si="513"/>
        <v>0</v>
      </c>
      <c r="AZ829" s="287">
        <f t="shared" si="514"/>
        <v>0</v>
      </c>
      <c r="BA829" s="287">
        <f t="shared" si="515"/>
        <v>0</v>
      </c>
      <c r="BB829" s="16"/>
      <c r="BC829" s="287">
        <f t="shared" si="516"/>
        <v>0</v>
      </c>
      <c r="BD829" s="287">
        <f t="shared" si="517"/>
        <v>0</v>
      </c>
      <c r="BE829" s="287">
        <f t="shared" si="518"/>
        <v>0</v>
      </c>
      <c r="BF829" s="287">
        <f t="shared" si="519"/>
        <v>0</v>
      </c>
      <c r="BG829" s="287">
        <f t="shared" si="520"/>
        <v>0</v>
      </c>
      <c r="BH829" s="287">
        <f t="shared" si="521"/>
        <v>0</v>
      </c>
      <c r="BI829" s="287">
        <f t="shared" si="522"/>
        <v>0</v>
      </c>
      <c r="BJ829" s="287">
        <f t="shared" si="523"/>
        <v>0</v>
      </c>
      <c r="BK829" s="287">
        <f t="shared" si="524"/>
        <v>0</v>
      </c>
      <c r="BL829" s="287">
        <f t="shared" si="525"/>
        <v>0</v>
      </c>
      <c r="BM829" s="16"/>
      <c r="BN829" s="287">
        <f t="shared" si="526"/>
        <v>19360</v>
      </c>
      <c r="BO829" s="287">
        <f t="shared" si="527"/>
        <v>0</v>
      </c>
      <c r="BP829" s="432"/>
      <c r="BQ829" s="21"/>
      <c r="BR829" s="21"/>
      <c r="BS829" s="6"/>
      <c r="BT829" s="194">
        <f t="shared" si="560"/>
        <v>19360</v>
      </c>
      <c r="BU829" s="194">
        <f t="shared" si="561"/>
        <v>19360</v>
      </c>
      <c r="BV829" s="194">
        <f t="shared" si="562"/>
        <v>0</v>
      </c>
      <c r="BW829" s="194">
        <f t="shared" si="563"/>
        <v>0</v>
      </c>
      <c r="BX829" s="6"/>
      <c r="BY829" s="6"/>
      <c r="BZ829" s="39">
        <v>816</v>
      </c>
      <c r="CA829" s="39">
        <f t="shared" si="528"/>
        <v>2031</v>
      </c>
      <c r="CB829" s="6"/>
      <c r="CC829" s="39"/>
      <c r="CD829" s="39"/>
      <c r="CE829" s="39"/>
      <c r="CF829" s="39"/>
      <c r="CG829" s="39"/>
      <c r="CH829" s="39"/>
      <c r="CI829" s="39"/>
      <c r="CJ829" s="39"/>
      <c r="CK829" s="39"/>
    </row>
    <row r="830" spans="1:89" s="193" customFormat="1" ht="48">
      <c r="A830" s="357"/>
      <c r="B830" s="21" t="str">
        <f t="shared" si="505"/>
        <v>STW</v>
      </c>
      <c r="C830" s="21"/>
      <c r="D830" s="432" t="s">
        <v>3978</v>
      </c>
      <c r="E830" s="439" t="s">
        <v>3626</v>
      </c>
      <c r="F830" s="439" t="s">
        <v>4049</v>
      </c>
      <c r="G830" s="273" t="s">
        <v>4048</v>
      </c>
      <c r="H830" s="358" t="s">
        <v>4595</v>
      </c>
      <c r="I830" s="262" t="s">
        <v>3491</v>
      </c>
      <c r="J830" s="262" t="s">
        <v>4199</v>
      </c>
      <c r="K830" s="263">
        <v>1373000</v>
      </c>
      <c r="L830" s="263">
        <v>759000</v>
      </c>
      <c r="M830" s="263">
        <v>0</v>
      </c>
      <c r="N830" s="263">
        <v>0</v>
      </c>
      <c r="O830" s="263">
        <v>0</v>
      </c>
      <c r="P830" s="263">
        <v>0</v>
      </c>
      <c r="Q830" s="263">
        <v>0</v>
      </c>
      <c r="R830" s="263">
        <v>0</v>
      </c>
      <c r="S830" s="263">
        <v>0</v>
      </c>
      <c r="T830" s="263">
        <v>0</v>
      </c>
      <c r="U830" s="263">
        <f t="shared" si="550"/>
        <v>2132000</v>
      </c>
      <c r="V830" s="196" t="str">
        <f t="shared" si="551"/>
        <v>G/LOS</v>
      </c>
      <c r="W830" s="196" t="s">
        <v>1168</v>
      </c>
      <c r="X830" s="196" t="str">
        <f t="shared" si="552"/>
        <v>Y</v>
      </c>
      <c r="Y830" s="376">
        <f t="shared" si="553"/>
        <v>2132000</v>
      </c>
      <c r="Z830" s="198"/>
      <c r="AA830" s="376">
        <f t="shared" si="554"/>
        <v>2132000</v>
      </c>
      <c r="AB830" s="196" t="s">
        <v>1166</v>
      </c>
      <c r="AC830" s="196" t="s">
        <v>3624</v>
      </c>
      <c r="AD830" s="445">
        <v>0.9</v>
      </c>
      <c r="AE830" s="275">
        <f>1-AD830</f>
        <v>9.9999999999999978E-2</v>
      </c>
      <c r="AF830" s="275">
        <v>0</v>
      </c>
      <c r="AG830" s="442">
        <v>0.9</v>
      </c>
      <c r="AH830" s="442">
        <v>0.9</v>
      </c>
      <c r="AI830" s="377">
        <f t="shared" si="555"/>
        <v>0.9</v>
      </c>
      <c r="AJ830" s="548">
        <v>1</v>
      </c>
      <c r="AK830" s="203">
        <f t="shared" si="556"/>
        <v>0</v>
      </c>
      <c r="AL830" s="376">
        <f t="shared" si="557"/>
        <v>213199.99999999994</v>
      </c>
      <c r="AM830" s="376">
        <f t="shared" si="558"/>
        <v>1918800</v>
      </c>
      <c r="AN830" s="376">
        <f t="shared" si="559"/>
        <v>0</v>
      </c>
      <c r="AO830" s="378" t="s">
        <v>3607</v>
      </c>
      <c r="AP830" s="379" t="s">
        <v>5401</v>
      </c>
      <c r="AQ830" s="279"/>
      <c r="AR830" s="287">
        <f t="shared" si="506"/>
        <v>1235700</v>
      </c>
      <c r="AS830" s="287">
        <f t="shared" si="507"/>
        <v>683100</v>
      </c>
      <c r="AT830" s="287">
        <f t="shared" si="508"/>
        <v>0</v>
      </c>
      <c r="AU830" s="287">
        <f t="shared" si="509"/>
        <v>0</v>
      </c>
      <c r="AV830" s="287">
        <f t="shared" si="510"/>
        <v>0</v>
      </c>
      <c r="AW830" s="287">
        <f t="shared" si="511"/>
        <v>0</v>
      </c>
      <c r="AX830" s="287">
        <f t="shared" si="512"/>
        <v>0</v>
      </c>
      <c r="AY830" s="287">
        <f t="shared" si="513"/>
        <v>0</v>
      </c>
      <c r="AZ830" s="287">
        <f t="shared" si="514"/>
        <v>0</v>
      </c>
      <c r="BA830" s="287">
        <f t="shared" si="515"/>
        <v>0</v>
      </c>
      <c r="BB830" s="16"/>
      <c r="BC830" s="287">
        <f t="shared" si="516"/>
        <v>0</v>
      </c>
      <c r="BD830" s="287">
        <f t="shared" si="517"/>
        <v>0</v>
      </c>
      <c r="BE830" s="287">
        <f t="shared" si="518"/>
        <v>0</v>
      </c>
      <c r="BF830" s="287">
        <f t="shared" si="519"/>
        <v>0</v>
      </c>
      <c r="BG830" s="287">
        <f t="shared" si="520"/>
        <v>0</v>
      </c>
      <c r="BH830" s="287">
        <f t="shared" si="521"/>
        <v>0</v>
      </c>
      <c r="BI830" s="287">
        <f t="shared" si="522"/>
        <v>0</v>
      </c>
      <c r="BJ830" s="287">
        <f t="shared" si="523"/>
        <v>0</v>
      </c>
      <c r="BK830" s="287">
        <f t="shared" si="524"/>
        <v>0</v>
      </c>
      <c r="BL830" s="287">
        <f t="shared" si="525"/>
        <v>0</v>
      </c>
      <c r="BM830" s="16"/>
      <c r="BN830" s="287">
        <f t="shared" si="526"/>
        <v>1918800</v>
      </c>
      <c r="BO830" s="287">
        <f t="shared" si="527"/>
        <v>0</v>
      </c>
      <c r="BP830" s="432"/>
      <c r="BQ830" s="21"/>
      <c r="BR830" s="21"/>
      <c r="BS830" s="6"/>
      <c r="BT830" s="194">
        <f t="shared" si="560"/>
        <v>1918800</v>
      </c>
      <c r="BU830" s="194">
        <f t="shared" si="561"/>
        <v>1918800</v>
      </c>
      <c r="BV830" s="194">
        <f t="shared" si="562"/>
        <v>0</v>
      </c>
      <c r="BW830" s="194">
        <f t="shared" si="563"/>
        <v>0</v>
      </c>
      <c r="BX830" s="6"/>
      <c r="BY830" s="6"/>
      <c r="BZ830" s="39">
        <v>817</v>
      </c>
      <c r="CA830" s="39">
        <f t="shared" si="528"/>
        <v>2031</v>
      </c>
      <c r="CB830" s="6"/>
      <c r="CC830" s="39"/>
      <c r="CD830" s="39"/>
      <c r="CE830" s="39"/>
      <c r="CF830" s="39"/>
      <c r="CG830" s="39"/>
      <c r="CH830" s="39"/>
      <c r="CI830" s="39"/>
      <c r="CJ830" s="39"/>
      <c r="CK830" s="39"/>
    </row>
    <row r="831" spans="1:89" s="193" customFormat="1">
      <c r="A831" s="357"/>
      <c r="B831" s="21" t="str">
        <f t="shared" si="505"/>
        <v>STW</v>
      </c>
      <c r="C831" s="21"/>
      <c r="D831" s="432" t="s">
        <v>3933</v>
      </c>
      <c r="E831" s="439" t="s">
        <v>3626</v>
      </c>
      <c r="F831" s="439" t="s">
        <v>4108</v>
      </c>
      <c r="G831" s="273" t="s">
        <v>4527</v>
      </c>
      <c r="H831" s="358" t="s">
        <v>4517</v>
      </c>
      <c r="I831" s="262" t="s">
        <v>3491</v>
      </c>
      <c r="J831" s="262" t="s">
        <v>4201</v>
      </c>
      <c r="K831" s="263">
        <v>170000</v>
      </c>
      <c r="L831" s="263">
        <v>540000</v>
      </c>
      <c r="M831" s="263">
        <v>0</v>
      </c>
      <c r="N831" s="263">
        <v>0</v>
      </c>
      <c r="O831" s="263">
        <v>0</v>
      </c>
      <c r="P831" s="263">
        <v>0</v>
      </c>
      <c r="Q831" s="263">
        <v>0</v>
      </c>
      <c r="R831" s="263">
        <v>0</v>
      </c>
      <c r="S831" s="263">
        <v>0</v>
      </c>
      <c r="T831" s="263">
        <v>0</v>
      </c>
      <c r="U831" s="263">
        <f t="shared" si="550"/>
        <v>710000</v>
      </c>
      <c r="V831" s="196" t="str">
        <f t="shared" si="551"/>
        <v>G/LOS/R</v>
      </c>
      <c r="W831" s="196" t="s">
        <v>1168</v>
      </c>
      <c r="X831" s="196" t="str">
        <f t="shared" si="552"/>
        <v>Y</v>
      </c>
      <c r="Y831" s="376">
        <f t="shared" si="553"/>
        <v>710000</v>
      </c>
      <c r="Z831" s="198"/>
      <c r="AA831" s="376">
        <f t="shared" si="554"/>
        <v>710000</v>
      </c>
      <c r="AB831" s="196" t="s">
        <v>1166</v>
      </c>
      <c r="AC831" s="196" t="s">
        <v>1168</v>
      </c>
      <c r="AD831" s="275">
        <v>0.1</v>
      </c>
      <c r="AE831" s="275">
        <v>0.1</v>
      </c>
      <c r="AF831" s="275">
        <v>0.8</v>
      </c>
      <c r="AG831" s="442">
        <v>0.1</v>
      </c>
      <c r="AH831" s="442">
        <v>0.1</v>
      </c>
      <c r="AI831" s="377">
        <f t="shared" si="555"/>
        <v>0.1</v>
      </c>
      <c r="AJ831" s="548">
        <v>1</v>
      </c>
      <c r="AK831" s="203">
        <f t="shared" si="556"/>
        <v>0</v>
      </c>
      <c r="AL831" s="376">
        <f t="shared" si="557"/>
        <v>639000</v>
      </c>
      <c r="AM831" s="376">
        <f t="shared" si="558"/>
        <v>71000</v>
      </c>
      <c r="AN831" s="376">
        <f t="shared" si="559"/>
        <v>0</v>
      </c>
      <c r="AO831" s="378" t="s">
        <v>3607</v>
      </c>
      <c r="AP831" s="379" t="s">
        <v>5403</v>
      </c>
      <c r="AQ831" s="279"/>
      <c r="AR831" s="287">
        <f t="shared" si="506"/>
        <v>17000</v>
      </c>
      <c r="AS831" s="287">
        <f t="shared" si="507"/>
        <v>54000</v>
      </c>
      <c r="AT831" s="287">
        <f t="shared" si="508"/>
        <v>0</v>
      </c>
      <c r="AU831" s="287">
        <f t="shared" si="509"/>
        <v>0</v>
      </c>
      <c r="AV831" s="287">
        <f t="shared" si="510"/>
        <v>0</v>
      </c>
      <c r="AW831" s="287">
        <f t="shared" si="511"/>
        <v>0</v>
      </c>
      <c r="AX831" s="287">
        <f t="shared" si="512"/>
        <v>0</v>
      </c>
      <c r="AY831" s="287">
        <f t="shared" si="513"/>
        <v>0</v>
      </c>
      <c r="AZ831" s="287">
        <f t="shared" si="514"/>
        <v>0</v>
      </c>
      <c r="BA831" s="287">
        <f t="shared" si="515"/>
        <v>0</v>
      </c>
      <c r="BB831" s="16"/>
      <c r="BC831" s="287">
        <f t="shared" si="516"/>
        <v>0</v>
      </c>
      <c r="BD831" s="287">
        <f t="shared" si="517"/>
        <v>0</v>
      </c>
      <c r="BE831" s="287">
        <f t="shared" si="518"/>
        <v>0</v>
      </c>
      <c r="BF831" s="287">
        <f t="shared" si="519"/>
        <v>0</v>
      </c>
      <c r="BG831" s="287">
        <f t="shared" si="520"/>
        <v>0</v>
      </c>
      <c r="BH831" s="287">
        <f t="shared" si="521"/>
        <v>0</v>
      </c>
      <c r="BI831" s="287">
        <f t="shared" si="522"/>
        <v>0</v>
      </c>
      <c r="BJ831" s="287">
        <f t="shared" si="523"/>
        <v>0</v>
      </c>
      <c r="BK831" s="287">
        <f t="shared" si="524"/>
        <v>0</v>
      </c>
      <c r="BL831" s="287">
        <f t="shared" si="525"/>
        <v>0</v>
      </c>
      <c r="BM831" s="16"/>
      <c r="BN831" s="287">
        <f t="shared" si="526"/>
        <v>71000</v>
      </c>
      <c r="BO831" s="287">
        <f t="shared" si="527"/>
        <v>0</v>
      </c>
      <c r="BP831" s="432"/>
      <c r="BQ831" s="21"/>
      <c r="BR831" s="21"/>
      <c r="BS831" s="6"/>
      <c r="BT831" s="194">
        <f t="shared" si="560"/>
        <v>71000</v>
      </c>
      <c r="BU831" s="194">
        <f t="shared" si="561"/>
        <v>71000</v>
      </c>
      <c r="BV831" s="194">
        <f t="shared" si="562"/>
        <v>0</v>
      </c>
      <c r="BW831" s="194">
        <f t="shared" si="563"/>
        <v>0</v>
      </c>
      <c r="BX831" s="6"/>
      <c r="BY831" s="6"/>
      <c r="BZ831" s="39">
        <v>818</v>
      </c>
      <c r="CA831" s="39">
        <f t="shared" si="528"/>
        <v>2031</v>
      </c>
      <c r="CB831" s="6"/>
      <c r="CC831" s="39"/>
      <c r="CD831" s="39"/>
      <c r="CE831" s="39"/>
      <c r="CF831" s="39"/>
      <c r="CG831" s="39"/>
      <c r="CH831" s="39"/>
      <c r="CI831" s="39"/>
      <c r="CJ831" s="39"/>
      <c r="CK831" s="39"/>
    </row>
    <row r="832" spans="1:89" s="193" customFormat="1">
      <c r="A832" s="357"/>
      <c r="B832" s="706" t="str">
        <f t="shared" si="505"/>
        <v xml:space="preserve">CI </v>
      </c>
      <c r="C832" s="706"/>
      <c r="D832" s="707" t="s">
        <v>1088</v>
      </c>
      <c r="E832" s="708"/>
      <c r="F832" s="708"/>
      <c r="G832" s="596" t="s">
        <v>5376</v>
      </c>
      <c r="H832" s="709"/>
      <c r="I832" s="707"/>
      <c r="J832" s="707"/>
      <c r="K832" s="710">
        <f>-K16</f>
        <v>-3024</v>
      </c>
      <c r="L832" s="710">
        <f t="shared" ref="L832:T832" si="564">-L16</f>
        <v>-50000</v>
      </c>
      <c r="M832" s="710">
        <f t="shared" si="564"/>
        <v>-2000000</v>
      </c>
      <c r="N832" s="710">
        <f t="shared" si="564"/>
        <v>-10000000</v>
      </c>
      <c r="O832" s="710">
        <f t="shared" si="564"/>
        <v>-18002570</v>
      </c>
      <c r="P832" s="710">
        <f t="shared" si="564"/>
        <v>-5000000</v>
      </c>
      <c r="Q832" s="710">
        <f t="shared" si="564"/>
        <v>0</v>
      </c>
      <c r="R832" s="710">
        <f t="shared" si="564"/>
        <v>0</v>
      </c>
      <c r="S832" s="710">
        <f t="shared" si="564"/>
        <v>0</v>
      </c>
      <c r="T832" s="710">
        <f t="shared" si="564"/>
        <v>0</v>
      </c>
      <c r="U832" s="710">
        <f t="shared" si="550"/>
        <v>-35055594</v>
      </c>
      <c r="V832" s="711"/>
      <c r="W832" s="711"/>
      <c r="X832" s="711"/>
      <c r="Y832" s="712">
        <f t="shared" ref="Y832:Y847" si="565">SUM(K832:T832)</f>
        <v>-35055594</v>
      </c>
      <c r="Z832" s="713"/>
      <c r="AA832" s="712">
        <f t="shared" ref="AA832:AA847" si="566">Y832-Z832</f>
        <v>-35055594</v>
      </c>
      <c r="AB832" s="711"/>
      <c r="AC832" s="711"/>
      <c r="AD832" s="714"/>
      <c r="AE832" s="714"/>
      <c r="AF832" s="714"/>
      <c r="AG832" s="715">
        <v>0.25</v>
      </c>
      <c r="AH832" s="715">
        <v>0.25</v>
      </c>
      <c r="AI832" s="716">
        <f t="shared" si="555"/>
        <v>0.25</v>
      </c>
      <c r="AJ832" s="717">
        <v>1</v>
      </c>
      <c r="AK832" s="717">
        <f t="shared" ref="AK832:AK847" si="567">1-AJ832</f>
        <v>0</v>
      </c>
      <c r="AL832" s="712">
        <f t="shared" ref="AL832:AL847" si="568">(100%-AI832)*AA832</f>
        <v>-26291695.5</v>
      </c>
      <c r="AM832" s="712">
        <f t="shared" ref="AM832:AM847" si="569">AA832*AI832*AJ832</f>
        <v>-8763898.5</v>
      </c>
      <c r="AN832" s="712">
        <f t="shared" ref="AN832:AN847" si="570">AA832*AI832*AK832</f>
        <v>0</v>
      </c>
      <c r="AO832" s="718"/>
      <c r="AP832" s="719" t="s">
        <v>2851</v>
      </c>
      <c r="AQ832" s="279"/>
      <c r="AR832" s="287">
        <f t="shared" ref="AR832:AR845" si="571">K832*$AI832*$AJ832</f>
        <v>-756</v>
      </c>
      <c r="AS832" s="287">
        <f t="shared" ref="AS832:AS845" si="572">L832*$AI832*$AJ832</f>
        <v>-12500</v>
      </c>
      <c r="AT832" s="287">
        <f t="shared" ref="AT832:AT845" si="573">M832*$AI832*$AJ832</f>
        <v>-500000</v>
      </c>
      <c r="AU832" s="287">
        <f t="shared" ref="AU832:AU845" si="574">N832*$AI832*$AJ832</f>
        <v>-2500000</v>
      </c>
      <c r="AV832" s="287">
        <f t="shared" ref="AV832:AV845" si="575">O832*$AI832*$AJ832</f>
        <v>-4500642.5</v>
      </c>
      <c r="AW832" s="287">
        <f t="shared" ref="AW832:AW845" si="576">P832*$AI832*$AJ832</f>
        <v>-1250000</v>
      </c>
      <c r="AX832" s="287">
        <f t="shared" ref="AX832:AX845" si="577">Q832*$AI832*$AJ832</f>
        <v>0</v>
      </c>
      <c r="AY832" s="287">
        <f t="shared" ref="AY832:AY845" si="578">R832*$AI832*$AJ832</f>
        <v>0</v>
      </c>
      <c r="AZ832" s="287">
        <f t="shared" ref="AZ832:AZ845" si="579">S832*$AI832*$AJ832</f>
        <v>0</v>
      </c>
      <c r="BA832" s="287">
        <f t="shared" ref="BA832:BA845" si="580">T832*$AI832*$AJ832</f>
        <v>0</v>
      </c>
      <c r="BB832" s="16"/>
      <c r="BC832" s="287">
        <f t="shared" ref="BC832:BC845" si="581">K832*$AI832*$AK832</f>
        <v>0</v>
      </c>
      <c r="BD832" s="287">
        <f t="shared" ref="BD832:BD845" si="582">L832*$AI832*$AK832</f>
        <v>0</v>
      </c>
      <c r="BE832" s="287">
        <f t="shared" ref="BE832:BE845" si="583">M832*$AI832*$AK832</f>
        <v>0</v>
      </c>
      <c r="BF832" s="287">
        <f t="shared" ref="BF832:BF845" si="584">N832*$AI832*$AK832</f>
        <v>0</v>
      </c>
      <c r="BG832" s="287">
        <f t="shared" ref="BG832:BG845" si="585">O832*$AI832*$AK832</f>
        <v>0</v>
      </c>
      <c r="BH832" s="287">
        <f t="shared" ref="BH832:BH845" si="586">P832*$AI832*$AK832</f>
        <v>0</v>
      </c>
      <c r="BI832" s="287">
        <f t="shared" ref="BI832:BI845" si="587">Q832*$AI832*$AK832</f>
        <v>0</v>
      </c>
      <c r="BJ832" s="287">
        <f t="shared" ref="BJ832:BJ845" si="588">R832*$AI832*$AK832</f>
        <v>0</v>
      </c>
      <c r="BK832" s="287">
        <f t="shared" ref="BK832:BK845" si="589">S832*$AI832*$AK832</f>
        <v>0</v>
      </c>
      <c r="BL832" s="287">
        <f t="shared" ref="BL832:BL845" si="590">T832*$AI832*$AK832</f>
        <v>0</v>
      </c>
      <c r="BM832" s="16"/>
      <c r="BN832" s="287">
        <f t="shared" ref="BN832:BN845" si="591">SUM(AR832:BA832)</f>
        <v>-8763898.5</v>
      </c>
      <c r="BO832" s="287">
        <f t="shared" ref="BO832:BO845" si="592">SUM(BC832:BL832)</f>
        <v>0</v>
      </c>
      <c r="BP832" s="432"/>
      <c r="BQ832" s="21"/>
      <c r="BR832" s="21"/>
      <c r="BS832" s="6"/>
      <c r="BT832" s="194"/>
      <c r="BU832" s="194"/>
      <c r="BV832" s="194"/>
      <c r="BW832" s="194"/>
      <c r="BX832" s="6"/>
      <c r="BY832" s="6"/>
      <c r="BZ832" s="39"/>
      <c r="CA832" s="39">
        <f t="shared" si="528"/>
        <v>2031</v>
      </c>
      <c r="CB832" s="6"/>
      <c r="CC832" s="39"/>
      <c r="CD832" s="39"/>
      <c r="CE832" s="39"/>
      <c r="CF832" s="39"/>
      <c r="CG832" s="39"/>
      <c r="CH832" s="39"/>
      <c r="CI832" s="39"/>
      <c r="CJ832" s="39"/>
      <c r="CK832" s="39"/>
    </row>
    <row r="833" spans="1:89" s="193" customFormat="1">
      <c r="A833" s="357"/>
      <c r="B833" s="706" t="str">
        <f t="shared" si="505"/>
        <v xml:space="preserve">CI </v>
      </c>
      <c r="C833" s="706"/>
      <c r="D833" s="707" t="s">
        <v>5372</v>
      </c>
      <c r="E833" s="708"/>
      <c r="F833" s="708"/>
      <c r="G833" s="596" t="s">
        <v>5377</v>
      </c>
      <c r="H833" s="709"/>
      <c r="I833" s="707"/>
      <c r="J833" s="707"/>
      <c r="K833" s="710">
        <v>1544833</v>
      </c>
      <c r="L833" s="710">
        <v>0</v>
      </c>
      <c r="M833" s="710">
        <v>0</v>
      </c>
      <c r="N833" s="710">
        <v>0</v>
      </c>
      <c r="O833" s="710"/>
      <c r="P833" s="710"/>
      <c r="Q833" s="710"/>
      <c r="R833" s="710"/>
      <c r="S833" s="710"/>
      <c r="T833" s="710"/>
      <c r="U833" s="710">
        <f t="shared" si="550"/>
        <v>1544833</v>
      </c>
      <c r="V833" s="711"/>
      <c r="W833" s="711"/>
      <c r="X833" s="711"/>
      <c r="Y833" s="712">
        <f t="shared" si="565"/>
        <v>1544833</v>
      </c>
      <c r="Z833" s="713"/>
      <c r="AA833" s="712">
        <f t="shared" si="566"/>
        <v>1544833</v>
      </c>
      <c r="AB833" s="711"/>
      <c r="AC833" s="711"/>
      <c r="AD833" s="714"/>
      <c r="AE833" s="714"/>
      <c r="AF833" s="714"/>
      <c r="AG833" s="715">
        <v>0.54</v>
      </c>
      <c r="AH833" s="715">
        <v>0.54</v>
      </c>
      <c r="AI833" s="725">
        <v>0.52038764060581288</v>
      </c>
      <c r="AJ833" s="717">
        <f>10/(2058-2018)</f>
        <v>0.25</v>
      </c>
      <c r="AK833" s="717">
        <f t="shared" si="567"/>
        <v>0.75</v>
      </c>
      <c r="AL833" s="712">
        <f t="shared" si="568"/>
        <v>740921.00000000023</v>
      </c>
      <c r="AM833" s="712">
        <f t="shared" si="569"/>
        <v>200977.99999999994</v>
      </c>
      <c r="AN833" s="712">
        <f t="shared" si="570"/>
        <v>602933.99999999977</v>
      </c>
      <c r="AO833" s="718"/>
      <c r="AP833" s="719" t="s">
        <v>2858</v>
      </c>
      <c r="AQ833" s="279"/>
      <c r="AR833" s="287">
        <f t="shared" si="571"/>
        <v>200977.99999999994</v>
      </c>
      <c r="AS833" s="287">
        <f t="shared" si="572"/>
        <v>0</v>
      </c>
      <c r="AT833" s="287">
        <f t="shared" si="573"/>
        <v>0</v>
      </c>
      <c r="AU833" s="287">
        <f t="shared" si="574"/>
        <v>0</v>
      </c>
      <c r="AV833" s="287">
        <f t="shared" si="575"/>
        <v>0</v>
      </c>
      <c r="AW833" s="287">
        <f t="shared" si="576"/>
        <v>0</v>
      </c>
      <c r="AX833" s="287">
        <f t="shared" si="577"/>
        <v>0</v>
      </c>
      <c r="AY833" s="287">
        <f t="shared" si="578"/>
        <v>0</v>
      </c>
      <c r="AZ833" s="287">
        <f t="shared" si="579"/>
        <v>0</v>
      </c>
      <c r="BA833" s="287">
        <f t="shared" si="580"/>
        <v>0</v>
      </c>
      <c r="BB833" s="16"/>
      <c r="BC833" s="287">
        <f t="shared" si="581"/>
        <v>602933.99999999977</v>
      </c>
      <c r="BD833" s="287">
        <f t="shared" si="582"/>
        <v>0</v>
      </c>
      <c r="BE833" s="287">
        <f t="shared" si="583"/>
        <v>0</v>
      </c>
      <c r="BF833" s="287">
        <f t="shared" si="584"/>
        <v>0</v>
      </c>
      <c r="BG833" s="287">
        <f t="shared" si="585"/>
        <v>0</v>
      </c>
      <c r="BH833" s="287">
        <f t="shared" si="586"/>
        <v>0</v>
      </c>
      <c r="BI833" s="287">
        <f t="shared" si="587"/>
        <v>0</v>
      </c>
      <c r="BJ833" s="287">
        <f t="shared" si="588"/>
        <v>0</v>
      </c>
      <c r="BK833" s="287">
        <f t="shared" si="589"/>
        <v>0</v>
      </c>
      <c r="BL833" s="287">
        <f t="shared" si="590"/>
        <v>0</v>
      </c>
      <c r="BM833" s="16"/>
      <c r="BN833" s="287">
        <f t="shared" si="591"/>
        <v>200977.99999999994</v>
      </c>
      <c r="BO833" s="287">
        <f t="shared" si="592"/>
        <v>602933.99999999977</v>
      </c>
      <c r="BP833" s="432"/>
      <c r="BQ833" s="21"/>
      <c r="BR833" s="21"/>
      <c r="BS833" s="6"/>
      <c r="BT833" s="194"/>
      <c r="BU833" s="194"/>
      <c r="BV833" s="194"/>
      <c r="BW833" s="194"/>
      <c r="BX833" s="6"/>
      <c r="BY833" s="6"/>
      <c r="BZ833" s="39"/>
      <c r="CA833" s="39">
        <f t="shared" si="528"/>
        <v>2061</v>
      </c>
      <c r="CB833" s="6"/>
      <c r="CC833" s="39"/>
      <c r="CD833" s="39"/>
      <c r="CE833" s="39"/>
      <c r="CF833" s="39"/>
      <c r="CG833" s="39"/>
      <c r="CH833" s="39"/>
      <c r="CI833" s="39"/>
      <c r="CJ833" s="39"/>
      <c r="CK833" s="39"/>
    </row>
    <row r="834" spans="1:89" s="193" customFormat="1">
      <c r="A834" s="357"/>
      <c r="B834" s="706"/>
      <c r="C834" s="706"/>
      <c r="D834" s="707" t="s">
        <v>5372</v>
      </c>
      <c r="E834" s="708"/>
      <c r="F834" s="708"/>
      <c r="G834" s="596" t="s">
        <v>5378</v>
      </c>
      <c r="H834" s="709"/>
      <c r="I834" s="707"/>
      <c r="J834" s="707"/>
      <c r="K834" s="710">
        <v>791384</v>
      </c>
      <c r="L834" s="710">
        <v>0</v>
      </c>
      <c r="M834" s="710">
        <v>0</v>
      </c>
      <c r="N834" s="710">
        <v>0</v>
      </c>
      <c r="O834" s="710"/>
      <c r="P834" s="710"/>
      <c r="Q834" s="710"/>
      <c r="R834" s="710"/>
      <c r="S834" s="710"/>
      <c r="T834" s="710"/>
      <c r="U834" s="710">
        <f t="shared" si="550"/>
        <v>791384</v>
      </c>
      <c r="V834" s="711"/>
      <c r="W834" s="711"/>
      <c r="X834" s="711"/>
      <c r="Y834" s="712">
        <f t="shared" si="565"/>
        <v>791384</v>
      </c>
      <c r="Z834" s="713"/>
      <c r="AA834" s="712">
        <f t="shared" si="566"/>
        <v>791384</v>
      </c>
      <c r="AB834" s="711"/>
      <c r="AC834" s="711"/>
      <c r="AD834" s="714"/>
      <c r="AE834" s="714"/>
      <c r="AF834" s="714"/>
      <c r="AG834" s="715">
        <v>0.54</v>
      </c>
      <c r="AH834" s="715">
        <v>0.54</v>
      </c>
      <c r="AI834" s="725">
        <v>0.4874915338192331</v>
      </c>
      <c r="AJ834" s="717">
        <f>10/(2058-2018)</f>
        <v>0.25</v>
      </c>
      <c r="AK834" s="717">
        <f t="shared" si="567"/>
        <v>0.75</v>
      </c>
      <c r="AL834" s="712">
        <f t="shared" si="568"/>
        <v>405591</v>
      </c>
      <c r="AM834" s="712">
        <f t="shared" si="569"/>
        <v>96448.249999999985</v>
      </c>
      <c r="AN834" s="712">
        <f t="shared" si="570"/>
        <v>289344.74999999994</v>
      </c>
      <c r="AO834" s="718"/>
      <c r="AP834" s="719" t="s">
        <v>2858</v>
      </c>
      <c r="AQ834" s="279"/>
      <c r="AR834" s="287">
        <f t="shared" si="571"/>
        <v>96448.249999999985</v>
      </c>
      <c r="AS834" s="287">
        <f t="shared" si="572"/>
        <v>0</v>
      </c>
      <c r="AT834" s="287">
        <f t="shared" si="573"/>
        <v>0</v>
      </c>
      <c r="AU834" s="287">
        <f t="shared" si="574"/>
        <v>0</v>
      </c>
      <c r="AV834" s="287">
        <f t="shared" si="575"/>
        <v>0</v>
      </c>
      <c r="AW834" s="287">
        <f t="shared" si="576"/>
        <v>0</v>
      </c>
      <c r="AX834" s="287">
        <f t="shared" si="577"/>
        <v>0</v>
      </c>
      <c r="AY834" s="287">
        <f t="shared" si="578"/>
        <v>0</v>
      </c>
      <c r="AZ834" s="287">
        <f t="shared" si="579"/>
        <v>0</v>
      </c>
      <c r="BA834" s="287">
        <f t="shared" si="580"/>
        <v>0</v>
      </c>
      <c r="BB834" s="16"/>
      <c r="BC834" s="287">
        <f t="shared" si="581"/>
        <v>289344.74999999994</v>
      </c>
      <c r="BD834" s="287">
        <f t="shared" si="582"/>
        <v>0</v>
      </c>
      <c r="BE834" s="287">
        <f t="shared" si="583"/>
        <v>0</v>
      </c>
      <c r="BF834" s="287">
        <f t="shared" si="584"/>
        <v>0</v>
      </c>
      <c r="BG834" s="287">
        <f t="shared" si="585"/>
        <v>0</v>
      </c>
      <c r="BH834" s="287">
        <f t="shared" si="586"/>
        <v>0</v>
      </c>
      <c r="BI834" s="287">
        <f t="shared" si="587"/>
        <v>0</v>
      </c>
      <c r="BJ834" s="287">
        <f t="shared" si="588"/>
        <v>0</v>
      </c>
      <c r="BK834" s="287">
        <f t="shared" si="589"/>
        <v>0</v>
      </c>
      <c r="BL834" s="287">
        <f t="shared" si="590"/>
        <v>0</v>
      </c>
      <c r="BM834" s="16"/>
      <c r="BN834" s="287">
        <f t="shared" si="591"/>
        <v>96448.249999999985</v>
      </c>
      <c r="BO834" s="287">
        <f t="shared" si="592"/>
        <v>289344.74999999994</v>
      </c>
      <c r="BP834" s="432"/>
      <c r="BQ834" s="21"/>
      <c r="BR834" s="21"/>
      <c r="BS834" s="6"/>
      <c r="BT834" s="194"/>
      <c r="BU834" s="194"/>
      <c r="BV834" s="194"/>
      <c r="BW834" s="194"/>
      <c r="BX834" s="6"/>
      <c r="BY834" s="6"/>
      <c r="BZ834" s="39"/>
      <c r="CA834" s="39">
        <f t="shared" si="528"/>
        <v>2061</v>
      </c>
      <c r="CB834" s="6"/>
      <c r="CC834" s="39"/>
      <c r="CD834" s="39"/>
      <c r="CE834" s="39"/>
      <c r="CF834" s="39"/>
      <c r="CG834" s="39"/>
      <c r="CH834" s="39"/>
      <c r="CI834" s="39"/>
      <c r="CJ834" s="39"/>
      <c r="CK834" s="39"/>
    </row>
    <row r="835" spans="1:89" s="193" customFormat="1">
      <c r="A835" s="357"/>
      <c r="B835" s="706"/>
      <c r="C835" s="706"/>
      <c r="D835" s="707" t="s">
        <v>1088</v>
      </c>
      <c r="E835" s="708"/>
      <c r="F835" s="708"/>
      <c r="G835" s="596" t="s">
        <v>5376</v>
      </c>
      <c r="H835" s="709"/>
      <c r="I835" s="707"/>
      <c r="J835" s="707"/>
      <c r="K835" s="710">
        <v>156350</v>
      </c>
      <c r="L835" s="710">
        <v>2040000</v>
      </c>
      <c r="M835" s="710">
        <v>10000000</v>
      </c>
      <c r="N835" s="710">
        <v>18002570</v>
      </c>
      <c r="O835" s="710">
        <v>5000000</v>
      </c>
      <c r="P835" s="710"/>
      <c r="Q835" s="710"/>
      <c r="R835" s="710"/>
      <c r="S835" s="710"/>
      <c r="T835" s="710"/>
      <c r="U835" s="710">
        <f t="shared" si="550"/>
        <v>35198920</v>
      </c>
      <c r="V835" s="711"/>
      <c r="W835" s="711"/>
      <c r="X835" s="711"/>
      <c r="Y835" s="712">
        <f t="shared" si="565"/>
        <v>35198920</v>
      </c>
      <c r="Z835" s="713"/>
      <c r="AA835" s="712">
        <f t="shared" si="566"/>
        <v>35198920</v>
      </c>
      <c r="AB835" s="711"/>
      <c r="AC835" s="711"/>
      <c r="AD835" s="714"/>
      <c r="AE835" s="714"/>
      <c r="AF835" s="714"/>
      <c r="AG835" s="715">
        <v>0.36</v>
      </c>
      <c r="AH835" s="715">
        <v>0.36</v>
      </c>
      <c r="AI835" s="725">
        <v>0.34602402573715291</v>
      </c>
      <c r="AJ835" s="717">
        <v>1</v>
      </c>
      <c r="AK835" s="717">
        <f t="shared" si="567"/>
        <v>0</v>
      </c>
      <c r="AL835" s="712">
        <f t="shared" si="568"/>
        <v>23019248.000000011</v>
      </c>
      <c r="AM835" s="712">
        <f t="shared" si="569"/>
        <v>12179671.999999987</v>
      </c>
      <c r="AN835" s="712">
        <f t="shared" si="570"/>
        <v>0</v>
      </c>
      <c r="AO835" s="718"/>
      <c r="AP835" s="719" t="s">
        <v>2851</v>
      </c>
      <c r="AQ835" s="279"/>
      <c r="AR835" s="287">
        <f t="shared" si="571"/>
        <v>54100.856424003854</v>
      </c>
      <c r="AS835" s="287">
        <f t="shared" si="572"/>
        <v>705889.01250379195</v>
      </c>
      <c r="AT835" s="287">
        <f t="shared" si="573"/>
        <v>3460240.257371529</v>
      </c>
      <c r="AU835" s="287">
        <f t="shared" si="574"/>
        <v>6229321.7450148966</v>
      </c>
      <c r="AV835" s="287">
        <f t="shared" si="575"/>
        <v>1730120.1286857645</v>
      </c>
      <c r="AW835" s="287">
        <f t="shared" si="576"/>
        <v>0</v>
      </c>
      <c r="AX835" s="287">
        <f t="shared" si="577"/>
        <v>0</v>
      </c>
      <c r="AY835" s="287">
        <f t="shared" si="578"/>
        <v>0</v>
      </c>
      <c r="AZ835" s="287">
        <f t="shared" si="579"/>
        <v>0</v>
      </c>
      <c r="BA835" s="287">
        <f t="shared" si="580"/>
        <v>0</v>
      </c>
      <c r="BB835" s="16"/>
      <c r="BC835" s="287">
        <f t="shared" si="581"/>
        <v>0</v>
      </c>
      <c r="BD835" s="287">
        <f t="shared" si="582"/>
        <v>0</v>
      </c>
      <c r="BE835" s="287">
        <f t="shared" si="583"/>
        <v>0</v>
      </c>
      <c r="BF835" s="287">
        <f t="shared" si="584"/>
        <v>0</v>
      </c>
      <c r="BG835" s="287">
        <f t="shared" si="585"/>
        <v>0</v>
      </c>
      <c r="BH835" s="287">
        <f t="shared" si="586"/>
        <v>0</v>
      </c>
      <c r="BI835" s="287">
        <f t="shared" si="587"/>
        <v>0</v>
      </c>
      <c r="BJ835" s="287">
        <f t="shared" si="588"/>
        <v>0</v>
      </c>
      <c r="BK835" s="287">
        <f t="shared" si="589"/>
        <v>0</v>
      </c>
      <c r="BL835" s="287">
        <f t="shared" si="590"/>
        <v>0</v>
      </c>
      <c r="BM835" s="16"/>
      <c r="BN835" s="287">
        <f t="shared" si="591"/>
        <v>12179671.999999985</v>
      </c>
      <c r="BO835" s="287">
        <f t="shared" si="592"/>
        <v>0</v>
      </c>
      <c r="BP835" s="432"/>
      <c r="BQ835" s="21"/>
      <c r="BR835" s="21"/>
      <c r="BS835" s="6"/>
      <c r="BT835" s="194"/>
      <c r="BU835" s="194"/>
      <c r="BV835" s="194"/>
      <c r="BW835" s="194"/>
      <c r="BX835" s="6"/>
      <c r="BY835" s="6"/>
      <c r="BZ835" s="39"/>
      <c r="CA835" s="39">
        <f t="shared" si="528"/>
        <v>2031</v>
      </c>
      <c r="CB835" s="6"/>
      <c r="CC835" s="39"/>
      <c r="CD835" s="39"/>
      <c r="CE835" s="39"/>
      <c r="CF835" s="39"/>
      <c r="CG835" s="39"/>
      <c r="CH835" s="39"/>
      <c r="CI835" s="39"/>
      <c r="CJ835" s="39"/>
      <c r="CK835" s="39"/>
    </row>
    <row r="836" spans="1:89" s="193" customFormat="1">
      <c r="A836" s="357"/>
      <c r="B836" s="706"/>
      <c r="C836" s="706"/>
      <c r="D836" s="707"/>
      <c r="E836" s="708"/>
      <c r="F836" s="708"/>
      <c r="G836" s="596"/>
      <c r="H836" s="709"/>
      <c r="I836" s="707"/>
      <c r="J836" s="707"/>
      <c r="K836" s="710">
        <v>0</v>
      </c>
      <c r="L836" s="710">
        <v>0</v>
      </c>
      <c r="M836" s="710">
        <v>0</v>
      </c>
      <c r="N836" s="710">
        <v>0</v>
      </c>
      <c r="O836" s="710"/>
      <c r="P836" s="710"/>
      <c r="Q836" s="710"/>
      <c r="R836" s="710"/>
      <c r="S836" s="710"/>
      <c r="T836" s="710"/>
      <c r="U836" s="710">
        <f t="shared" si="550"/>
        <v>0</v>
      </c>
      <c r="V836" s="711"/>
      <c r="W836" s="711"/>
      <c r="X836" s="711"/>
      <c r="Y836" s="712">
        <f t="shared" si="565"/>
        <v>0</v>
      </c>
      <c r="Z836" s="713"/>
      <c r="AA836" s="712">
        <f t="shared" si="566"/>
        <v>0</v>
      </c>
      <c r="AB836" s="711"/>
      <c r="AC836" s="711"/>
      <c r="AD836" s="714"/>
      <c r="AE836" s="714"/>
      <c r="AF836" s="714"/>
      <c r="AG836" s="715"/>
      <c r="AH836" s="715"/>
      <c r="AI836" s="716">
        <v>0</v>
      </c>
      <c r="AJ836" s="717"/>
      <c r="AK836" s="717">
        <f t="shared" si="567"/>
        <v>1</v>
      </c>
      <c r="AL836" s="712">
        <f t="shared" si="568"/>
        <v>0</v>
      </c>
      <c r="AM836" s="712">
        <f t="shared" si="569"/>
        <v>0</v>
      </c>
      <c r="AN836" s="712">
        <f t="shared" si="570"/>
        <v>0</v>
      </c>
      <c r="AO836" s="718"/>
      <c r="AP836" s="719"/>
      <c r="AQ836" s="279"/>
      <c r="AR836" s="287">
        <f t="shared" si="571"/>
        <v>0</v>
      </c>
      <c r="AS836" s="287">
        <f t="shared" si="572"/>
        <v>0</v>
      </c>
      <c r="AT836" s="287">
        <f t="shared" si="573"/>
        <v>0</v>
      </c>
      <c r="AU836" s="287">
        <f t="shared" si="574"/>
        <v>0</v>
      </c>
      <c r="AV836" s="287">
        <f t="shared" si="575"/>
        <v>0</v>
      </c>
      <c r="AW836" s="287">
        <f t="shared" si="576"/>
        <v>0</v>
      </c>
      <c r="AX836" s="287">
        <f t="shared" si="577"/>
        <v>0</v>
      </c>
      <c r="AY836" s="287">
        <f t="shared" si="578"/>
        <v>0</v>
      </c>
      <c r="AZ836" s="287">
        <f t="shared" si="579"/>
        <v>0</v>
      </c>
      <c r="BA836" s="287">
        <f t="shared" si="580"/>
        <v>0</v>
      </c>
      <c r="BB836" s="16"/>
      <c r="BC836" s="287">
        <f t="shared" si="581"/>
        <v>0</v>
      </c>
      <c r="BD836" s="287">
        <f t="shared" si="582"/>
        <v>0</v>
      </c>
      <c r="BE836" s="287">
        <f t="shared" si="583"/>
        <v>0</v>
      </c>
      <c r="BF836" s="287">
        <f t="shared" si="584"/>
        <v>0</v>
      </c>
      <c r="BG836" s="287">
        <f t="shared" si="585"/>
        <v>0</v>
      </c>
      <c r="BH836" s="287">
        <f t="shared" si="586"/>
        <v>0</v>
      </c>
      <c r="BI836" s="287">
        <f t="shared" si="587"/>
        <v>0</v>
      </c>
      <c r="BJ836" s="287">
        <f t="shared" si="588"/>
        <v>0</v>
      </c>
      <c r="BK836" s="287">
        <f t="shared" si="589"/>
        <v>0</v>
      </c>
      <c r="BL836" s="287">
        <f t="shared" si="590"/>
        <v>0</v>
      </c>
      <c r="BM836" s="16"/>
      <c r="BN836" s="287">
        <f t="shared" si="591"/>
        <v>0</v>
      </c>
      <c r="BO836" s="287">
        <f t="shared" si="592"/>
        <v>0</v>
      </c>
      <c r="BP836" s="432"/>
      <c r="BQ836" s="21"/>
      <c r="BR836" s="21"/>
      <c r="BS836" s="6"/>
      <c r="BT836" s="194"/>
      <c r="BU836" s="194"/>
      <c r="BV836" s="194"/>
      <c r="BW836" s="194"/>
      <c r="BX836" s="6"/>
      <c r="BY836" s="6"/>
      <c r="BZ836" s="39"/>
      <c r="CA836" s="39" t="str">
        <f t="shared" si="528"/>
        <v/>
      </c>
      <c r="CB836" s="6"/>
      <c r="CC836" s="39"/>
      <c r="CD836" s="39"/>
      <c r="CE836" s="39"/>
      <c r="CF836" s="39"/>
      <c r="CG836" s="39"/>
      <c r="CH836" s="39"/>
      <c r="CI836" s="39"/>
      <c r="CJ836" s="39"/>
      <c r="CK836" s="39"/>
    </row>
    <row r="837" spans="1:89" s="193" customFormat="1">
      <c r="A837" s="357"/>
      <c r="B837" s="706"/>
      <c r="C837" s="706"/>
      <c r="D837" s="707" t="s">
        <v>5373</v>
      </c>
      <c r="E837" s="708"/>
      <c r="F837" s="708"/>
      <c r="G837" s="596" t="s">
        <v>5379</v>
      </c>
      <c r="H837" s="709"/>
      <c r="I837" s="707"/>
      <c r="J837" s="707"/>
      <c r="K837" s="710">
        <v>249929.98</v>
      </c>
      <c r="L837" s="710">
        <v>3050000</v>
      </c>
      <c r="M837" s="710">
        <v>17784346</v>
      </c>
      <c r="N837" s="710">
        <v>0</v>
      </c>
      <c r="O837" s="710"/>
      <c r="P837" s="710"/>
      <c r="Q837" s="710"/>
      <c r="R837" s="710"/>
      <c r="S837" s="710"/>
      <c r="T837" s="710"/>
      <c r="U837" s="710">
        <f t="shared" si="550"/>
        <v>21084275.98</v>
      </c>
      <c r="V837" s="711"/>
      <c r="W837" s="711"/>
      <c r="X837" s="711"/>
      <c r="Y837" s="712">
        <f t="shared" si="565"/>
        <v>21084275.98</v>
      </c>
      <c r="Z837" s="713"/>
      <c r="AA837" s="712">
        <f t="shared" si="566"/>
        <v>21084275.98</v>
      </c>
      <c r="AB837" s="711"/>
      <c r="AC837" s="711"/>
      <c r="AD837" s="714"/>
      <c r="AE837" s="714"/>
      <c r="AF837" s="714"/>
      <c r="AG837" s="715">
        <v>0.75</v>
      </c>
      <c r="AH837" s="715">
        <v>0.75</v>
      </c>
      <c r="AI837" s="725">
        <v>0.66568892350459541</v>
      </c>
      <c r="AJ837" s="717">
        <f>10/(2031-2018)</f>
        <v>0.76923076923076927</v>
      </c>
      <c r="AK837" s="717">
        <f t="shared" si="567"/>
        <v>0.23076923076923073</v>
      </c>
      <c r="AL837" s="712">
        <f t="shared" si="568"/>
        <v>7048707.0000000019</v>
      </c>
      <c r="AM837" s="712">
        <f t="shared" si="569"/>
        <v>10796591.523076922</v>
      </c>
      <c r="AN837" s="712">
        <f t="shared" si="570"/>
        <v>3238977.456923076</v>
      </c>
      <c r="AO837" s="718"/>
      <c r="AP837" s="719" t="s">
        <v>2859</v>
      </c>
      <c r="AQ837" s="279"/>
      <c r="AR837" s="287">
        <f t="shared" si="571"/>
        <v>127981.24564440391</v>
      </c>
      <c r="AS837" s="287">
        <f t="shared" si="572"/>
        <v>1561808.62822232</v>
      </c>
      <c r="AT837" s="287">
        <f t="shared" si="573"/>
        <v>9106801.6492101979</v>
      </c>
      <c r="AU837" s="287">
        <f t="shared" si="574"/>
        <v>0</v>
      </c>
      <c r="AV837" s="287">
        <f t="shared" si="575"/>
        <v>0</v>
      </c>
      <c r="AW837" s="287">
        <f t="shared" si="576"/>
        <v>0</v>
      </c>
      <c r="AX837" s="287">
        <f t="shared" si="577"/>
        <v>0</v>
      </c>
      <c r="AY837" s="287">
        <f t="shared" si="578"/>
        <v>0</v>
      </c>
      <c r="AZ837" s="287">
        <f t="shared" si="579"/>
        <v>0</v>
      </c>
      <c r="BA837" s="287">
        <f t="shared" si="580"/>
        <v>0</v>
      </c>
      <c r="BB837" s="16"/>
      <c r="BC837" s="287">
        <f t="shared" si="581"/>
        <v>38394.373693321162</v>
      </c>
      <c r="BD837" s="287">
        <f t="shared" si="582"/>
        <v>468542.58846669592</v>
      </c>
      <c r="BE837" s="287">
        <f t="shared" si="583"/>
        <v>2732040.4947630591</v>
      </c>
      <c r="BF837" s="287">
        <f t="shared" si="584"/>
        <v>0</v>
      </c>
      <c r="BG837" s="287">
        <f t="shared" si="585"/>
        <v>0</v>
      </c>
      <c r="BH837" s="287">
        <f t="shared" si="586"/>
        <v>0</v>
      </c>
      <c r="BI837" s="287">
        <f t="shared" si="587"/>
        <v>0</v>
      </c>
      <c r="BJ837" s="287">
        <f t="shared" si="588"/>
        <v>0</v>
      </c>
      <c r="BK837" s="287">
        <f t="shared" si="589"/>
        <v>0</v>
      </c>
      <c r="BL837" s="287">
        <f t="shared" si="590"/>
        <v>0</v>
      </c>
      <c r="BM837" s="16"/>
      <c r="BN837" s="287">
        <f t="shared" si="591"/>
        <v>10796591.523076922</v>
      </c>
      <c r="BO837" s="287">
        <f t="shared" si="592"/>
        <v>3238977.456923076</v>
      </c>
      <c r="BP837" s="432"/>
      <c r="BQ837" s="21"/>
      <c r="BR837" s="21"/>
      <c r="BS837" s="6"/>
      <c r="BT837" s="194"/>
      <c r="BU837" s="194"/>
      <c r="BV837" s="194"/>
      <c r="BW837" s="194"/>
      <c r="BX837" s="6"/>
      <c r="BY837" s="6"/>
      <c r="BZ837" s="39"/>
      <c r="CA837" s="39">
        <f t="shared" si="528"/>
        <v>2034</v>
      </c>
      <c r="CB837" s="6"/>
      <c r="CC837" s="39"/>
      <c r="CD837" s="39"/>
      <c r="CE837" s="39"/>
      <c r="CF837" s="39"/>
      <c r="CG837" s="39"/>
      <c r="CH837" s="39"/>
      <c r="CI837" s="39"/>
      <c r="CJ837" s="39"/>
      <c r="CK837" s="39"/>
    </row>
    <row r="838" spans="1:89" s="193" customFormat="1">
      <c r="A838" s="357"/>
      <c r="B838" s="706"/>
      <c r="C838" s="706"/>
      <c r="D838" s="707" t="s">
        <v>993</v>
      </c>
      <c r="E838" s="708"/>
      <c r="F838" s="708"/>
      <c r="G838" s="596" t="s">
        <v>5380</v>
      </c>
      <c r="H838" s="709"/>
      <c r="I838" s="707"/>
      <c r="J838" s="707"/>
      <c r="K838" s="710">
        <f>-K17</f>
        <v>-1500000</v>
      </c>
      <c r="L838" s="710">
        <f t="shared" ref="L838:T838" si="593">-L17</f>
        <v>-1296525</v>
      </c>
      <c r="M838" s="710">
        <f t="shared" si="593"/>
        <v>0</v>
      </c>
      <c r="N838" s="710">
        <f t="shared" si="593"/>
        <v>0</v>
      </c>
      <c r="O838" s="710">
        <f t="shared" si="593"/>
        <v>0</v>
      </c>
      <c r="P838" s="710">
        <f t="shared" si="593"/>
        <v>0</v>
      </c>
      <c r="Q838" s="710">
        <f t="shared" si="593"/>
        <v>0</v>
      </c>
      <c r="R838" s="710">
        <f t="shared" si="593"/>
        <v>0</v>
      </c>
      <c r="S838" s="710">
        <f t="shared" si="593"/>
        <v>0</v>
      </c>
      <c r="T838" s="710">
        <f t="shared" si="593"/>
        <v>0</v>
      </c>
      <c r="U838" s="710">
        <f t="shared" si="550"/>
        <v>-2796525</v>
      </c>
      <c r="V838" s="711"/>
      <c r="W838" s="711"/>
      <c r="X838" s="711"/>
      <c r="Y838" s="712">
        <f t="shared" si="565"/>
        <v>-2796525</v>
      </c>
      <c r="Z838" s="713"/>
      <c r="AA838" s="712">
        <f t="shared" si="566"/>
        <v>-2796525</v>
      </c>
      <c r="AB838" s="711"/>
      <c r="AC838" s="711"/>
      <c r="AD838" s="714"/>
      <c r="AE838" s="714"/>
      <c r="AF838" s="714"/>
      <c r="AG838" s="715">
        <v>0.12</v>
      </c>
      <c r="AH838" s="715">
        <v>0.12</v>
      </c>
      <c r="AI838" s="716">
        <f t="shared" si="555"/>
        <v>0.12</v>
      </c>
      <c r="AJ838" s="717">
        <v>1</v>
      </c>
      <c r="AK838" s="717">
        <f t="shared" si="567"/>
        <v>0</v>
      </c>
      <c r="AL838" s="712">
        <f t="shared" si="568"/>
        <v>-2460942</v>
      </c>
      <c r="AM838" s="712">
        <f t="shared" si="569"/>
        <v>-335583</v>
      </c>
      <c r="AN838" s="712">
        <f t="shared" si="570"/>
        <v>0</v>
      </c>
      <c r="AO838" s="718"/>
      <c r="AP838" s="719" t="s">
        <v>2852</v>
      </c>
      <c r="AQ838" s="279"/>
      <c r="AR838" s="287">
        <f t="shared" si="571"/>
        <v>-180000</v>
      </c>
      <c r="AS838" s="287">
        <f t="shared" si="572"/>
        <v>-155583</v>
      </c>
      <c r="AT838" s="287">
        <f t="shared" si="573"/>
        <v>0</v>
      </c>
      <c r="AU838" s="287">
        <f t="shared" si="574"/>
        <v>0</v>
      </c>
      <c r="AV838" s="287">
        <f t="shared" si="575"/>
        <v>0</v>
      </c>
      <c r="AW838" s="287">
        <f t="shared" si="576"/>
        <v>0</v>
      </c>
      <c r="AX838" s="287">
        <f t="shared" si="577"/>
        <v>0</v>
      </c>
      <c r="AY838" s="287">
        <f t="shared" si="578"/>
        <v>0</v>
      </c>
      <c r="AZ838" s="287">
        <f t="shared" si="579"/>
        <v>0</v>
      </c>
      <c r="BA838" s="287">
        <f t="shared" si="580"/>
        <v>0</v>
      </c>
      <c r="BB838" s="16"/>
      <c r="BC838" s="287">
        <f t="shared" si="581"/>
        <v>0</v>
      </c>
      <c r="BD838" s="287">
        <f t="shared" si="582"/>
        <v>0</v>
      </c>
      <c r="BE838" s="287">
        <f t="shared" si="583"/>
        <v>0</v>
      </c>
      <c r="BF838" s="287">
        <f t="shared" si="584"/>
        <v>0</v>
      </c>
      <c r="BG838" s="287">
        <f t="shared" si="585"/>
        <v>0</v>
      </c>
      <c r="BH838" s="287">
        <f t="shared" si="586"/>
        <v>0</v>
      </c>
      <c r="BI838" s="287">
        <f t="shared" si="587"/>
        <v>0</v>
      </c>
      <c r="BJ838" s="287">
        <f t="shared" si="588"/>
        <v>0</v>
      </c>
      <c r="BK838" s="287">
        <f t="shared" si="589"/>
        <v>0</v>
      </c>
      <c r="BL838" s="287">
        <f t="shared" si="590"/>
        <v>0</v>
      </c>
      <c r="BM838" s="16"/>
      <c r="BN838" s="287">
        <f t="shared" si="591"/>
        <v>-335583</v>
      </c>
      <c r="BO838" s="287">
        <f t="shared" si="592"/>
        <v>0</v>
      </c>
      <c r="BP838" s="432"/>
      <c r="BQ838" s="21"/>
      <c r="BR838" s="21"/>
      <c r="BS838" s="6"/>
      <c r="BT838" s="194"/>
      <c r="BU838" s="194"/>
      <c r="BV838" s="194"/>
      <c r="BW838" s="194"/>
      <c r="BX838" s="6"/>
      <c r="BY838" s="6"/>
      <c r="BZ838" s="39"/>
      <c r="CA838" s="39">
        <f t="shared" si="528"/>
        <v>2031</v>
      </c>
      <c r="CB838" s="6"/>
      <c r="CC838" s="39"/>
      <c r="CD838" s="39"/>
      <c r="CE838" s="39"/>
      <c r="CF838" s="39"/>
      <c r="CG838" s="39"/>
      <c r="CH838" s="39"/>
      <c r="CI838" s="39"/>
      <c r="CJ838" s="39"/>
      <c r="CK838" s="39"/>
    </row>
    <row r="839" spans="1:89" s="193" customFormat="1">
      <c r="A839" s="357"/>
      <c r="B839" s="706"/>
      <c r="C839" s="706"/>
      <c r="D839" s="707" t="s">
        <v>5374</v>
      </c>
      <c r="E839" s="708"/>
      <c r="F839" s="708"/>
      <c r="G839" s="596" t="s">
        <v>5381</v>
      </c>
      <c r="H839" s="709"/>
      <c r="I839" s="707"/>
      <c r="J839" s="707"/>
      <c r="K839" s="710">
        <v>350000</v>
      </c>
      <c r="L839" s="710">
        <v>500000</v>
      </c>
      <c r="M839" s="710">
        <v>18000000</v>
      </c>
      <c r="N839" s="710">
        <v>1000000</v>
      </c>
      <c r="O839" s="710">
        <v>1000000</v>
      </c>
      <c r="P839" s="710">
        <v>3000000</v>
      </c>
      <c r="Q839" s="710">
        <v>15000000</v>
      </c>
      <c r="R839" s="710">
        <v>25000000</v>
      </c>
      <c r="S839" s="710">
        <v>35150000</v>
      </c>
      <c r="T839" s="710">
        <v>5000000</v>
      </c>
      <c r="U839" s="710">
        <f t="shared" si="550"/>
        <v>104000000</v>
      </c>
      <c r="V839" s="711"/>
      <c r="W839" s="711"/>
      <c r="X839" s="711"/>
      <c r="Y839" s="712">
        <f t="shared" si="565"/>
        <v>104000000</v>
      </c>
      <c r="Z839" s="713"/>
      <c r="AA839" s="712">
        <f t="shared" si="566"/>
        <v>104000000</v>
      </c>
      <c r="AB839" s="711"/>
      <c r="AC839" s="711"/>
      <c r="AD839" s="714"/>
      <c r="AE839" s="714"/>
      <c r="AF839" s="714"/>
      <c r="AG839" s="715">
        <v>0.35</v>
      </c>
      <c r="AH839" s="715">
        <v>0.35</v>
      </c>
      <c r="AI839" s="725">
        <v>0.33140363461538458</v>
      </c>
      <c r="AJ839" s="717">
        <f>10/(2043-2018)</f>
        <v>0.4</v>
      </c>
      <c r="AK839" s="717">
        <f t="shared" si="567"/>
        <v>0.6</v>
      </c>
      <c r="AL839" s="712">
        <f t="shared" si="568"/>
        <v>69534022</v>
      </c>
      <c r="AM839" s="712">
        <f t="shared" si="569"/>
        <v>13786391.199999997</v>
      </c>
      <c r="AN839" s="712">
        <f t="shared" si="570"/>
        <v>20679586.799999993</v>
      </c>
      <c r="AO839" s="718"/>
      <c r="AP839" s="719" t="s">
        <v>2858</v>
      </c>
      <c r="AQ839" s="279"/>
      <c r="AR839" s="287">
        <f t="shared" si="571"/>
        <v>46396.508846153847</v>
      </c>
      <c r="AS839" s="287">
        <f t="shared" si="572"/>
        <v>66280.726923076916</v>
      </c>
      <c r="AT839" s="287">
        <f t="shared" si="573"/>
        <v>2386106.1692307689</v>
      </c>
      <c r="AU839" s="287">
        <f t="shared" si="574"/>
        <v>132561.45384615383</v>
      </c>
      <c r="AV839" s="287">
        <f t="shared" si="575"/>
        <v>132561.45384615383</v>
      </c>
      <c r="AW839" s="287">
        <f t="shared" si="576"/>
        <v>397684.36153846153</v>
      </c>
      <c r="AX839" s="287">
        <f t="shared" si="577"/>
        <v>1988421.8076923077</v>
      </c>
      <c r="AY839" s="287">
        <f t="shared" si="578"/>
        <v>3314036.346153846</v>
      </c>
      <c r="AZ839" s="287">
        <f t="shared" si="579"/>
        <v>4659535.1026923079</v>
      </c>
      <c r="BA839" s="287">
        <f t="shared" si="580"/>
        <v>662807.26923076925</v>
      </c>
      <c r="BB839" s="16"/>
      <c r="BC839" s="287">
        <f t="shared" si="581"/>
        <v>69594.763269230767</v>
      </c>
      <c r="BD839" s="287">
        <f t="shared" si="582"/>
        <v>99421.090384615367</v>
      </c>
      <c r="BE839" s="287">
        <f t="shared" si="583"/>
        <v>3579159.2538461532</v>
      </c>
      <c r="BF839" s="287">
        <f t="shared" si="584"/>
        <v>198842.18076923073</v>
      </c>
      <c r="BG839" s="287">
        <f t="shared" si="585"/>
        <v>198842.18076923073</v>
      </c>
      <c r="BH839" s="287">
        <f t="shared" si="586"/>
        <v>596526.54230769223</v>
      </c>
      <c r="BI839" s="287">
        <f t="shared" si="587"/>
        <v>2982632.7115384615</v>
      </c>
      <c r="BJ839" s="287">
        <f t="shared" si="588"/>
        <v>4971054.5192307681</v>
      </c>
      <c r="BK839" s="287">
        <f t="shared" si="589"/>
        <v>6989302.6540384609</v>
      </c>
      <c r="BL839" s="287">
        <f t="shared" si="590"/>
        <v>994210.90384615376</v>
      </c>
      <c r="BM839" s="16"/>
      <c r="BN839" s="287">
        <f t="shared" si="591"/>
        <v>13786391.199999999</v>
      </c>
      <c r="BO839" s="287">
        <f t="shared" si="592"/>
        <v>20679586.799999997</v>
      </c>
      <c r="BP839" s="432"/>
      <c r="BQ839" s="21"/>
      <c r="BR839" s="21"/>
      <c r="BS839" s="6"/>
      <c r="BT839" s="194"/>
      <c r="BU839" s="194"/>
      <c r="BV839" s="194"/>
      <c r="BW839" s="194"/>
      <c r="BX839" s="6"/>
      <c r="BY839" s="6"/>
      <c r="BZ839" s="39"/>
      <c r="CA839" s="39">
        <f t="shared" si="528"/>
        <v>2046</v>
      </c>
      <c r="CB839" s="6"/>
      <c r="CC839" s="39"/>
      <c r="CD839" s="39"/>
      <c r="CE839" s="39"/>
      <c r="CF839" s="39"/>
      <c r="CG839" s="39"/>
      <c r="CH839" s="39"/>
      <c r="CI839" s="39"/>
      <c r="CJ839" s="39"/>
      <c r="CK839" s="39"/>
    </row>
    <row r="840" spans="1:89" s="193" customFormat="1">
      <c r="A840" s="357"/>
      <c r="B840" s="706"/>
      <c r="C840" s="706"/>
      <c r="D840" s="707" t="s">
        <v>1117</v>
      </c>
      <c r="E840" s="708"/>
      <c r="F840" s="708"/>
      <c r="G840" s="596" t="s">
        <v>5392</v>
      </c>
      <c r="H840" s="709"/>
      <c r="I840" s="707"/>
      <c r="J840" s="707"/>
      <c r="K840" s="710">
        <f>-K31</f>
        <v>-15901097</v>
      </c>
      <c r="L840" s="710">
        <f t="shared" ref="L840:T840" si="594">-L31</f>
        <v>0</v>
      </c>
      <c r="M840" s="710">
        <f t="shared" si="594"/>
        <v>0</v>
      </c>
      <c r="N840" s="710">
        <f t="shared" si="594"/>
        <v>0</v>
      </c>
      <c r="O840" s="710">
        <f t="shared" si="594"/>
        <v>0</v>
      </c>
      <c r="P840" s="710">
        <f t="shared" si="594"/>
        <v>0</v>
      </c>
      <c r="Q840" s="710">
        <f t="shared" si="594"/>
        <v>0</v>
      </c>
      <c r="R840" s="710">
        <f t="shared" si="594"/>
        <v>0</v>
      </c>
      <c r="S840" s="710">
        <f t="shared" si="594"/>
        <v>0</v>
      </c>
      <c r="T840" s="710">
        <f t="shared" si="594"/>
        <v>0</v>
      </c>
      <c r="U840" s="710">
        <f t="shared" si="550"/>
        <v>-15901097</v>
      </c>
      <c r="V840" s="711"/>
      <c r="W840" s="711"/>
      <c r="X840" s="711"/>
      <c r="Y840" s="712">
        <f t="shared" si="565"/>
        <v>-15901097</v>
      </c>
      <c r="Z840" s="713"/>
      <c r="AA840" s="712">
        <f t="shared" si="566"/>
        <v>-15901097</v>
      </c>
      <c r="AB840" s="711"/>
      <c r="AC840" s="711"/>
      <c r="AD840" s="714"/>
      <c r="AE840" s="714"/>
      <c r="AF840" s="714"/>
      <c r="AG840" s="715">
        <v>0.5</v>
      </c>
      <c r="AH840" s="715">
        <v>0.8</v>
      </c>
      <c r="AI840" s="716">
        <f t="shared" si="555"/>
        <v>0.65</v>
      </c>
      <c r="AJ840" s="717">
        <v>1</v>
      </c>
      <c r="AK840" s="717">
        <f t="shared" si="567"/>
        <v>0</v>
      </c>
      <c r="AL840" s="712">
        <f t="shared" si="568"/>
        <v>-5565383.9499999993</v>
      </c>
      <c r="AM840" s="712">
        <f t="shared" si="569"/>
        <v>-10335713.050000001</v>
      </c>
      <c r="AN840" s="712">
        <f t="shared" si="570"/>
        <v>0</v>
      </c>
      <c r="AO840" s="718"/>
      <c r="AP840" s="719" t="s">
        <v>2848</v>
      </c>
      <c r="AQ840" s="279"/>
      <c r="AR840" s="287">
        <f t="shared" si="571"/>
        <v>-10335713.050000001</v>
      </c>
      <c r="AS840" s="287">
        <f t="shared" si="572"/>
        <v>0</v>
      </c>
      <c r="AT840" s="287">
        <f t="shared" si="573"/>
        <v>0</v>
      </c>
      <c r="AU840" s="287">
        <f t="shared" si="574"/>
        <v>0</v>
      </c>
      <c r="AV840" s="287">
        <f t="shared" si="575"/>
        <v>0</v>
      </c>
      <c r="AW840" s="287">
        <f t="shared" si="576"/>
        <v>0</v>
      </c>
      <c r="AX840" s="287">
        <f t="shared" si="577"/>
        <v>0</v>
      </c>
      <c r="AY840" s="287">
        <f t="shared" si="578"/>
        <v>0</v>
      </c>
      <c r="AZ840" s="287">
        <f t="shared" si="579"/>
        <v>0</v>
      </c>
      <c r="BA840" s="287">
        <f t="shared" si="580"/>
        <v>0</v>
      </c>
      <c r="BB840" s="16"/>
      <c r="BC840" s="287">
        <f t="shared" si="581"/>
        <v>0</v>
      </c>
      <c r="BD840" s="287">
        <f t="shared" si="582"/>
        <v>0</v>
      </c>
      <c r="BE840" s="287">
        <f t="shared" si="583"/>
        <v>0</v>
      </c>
      <c r="BF840" s="287">
        <f t="shared" si="584"/>
        <v>0</v>
      </c>
      <c r="BG840" s="287">
        <f t="shared" si="585"/>
        <v>0</v>
      </c>
      <c r="BH840" s="287">
        <f t="shared" si="586"/>
        <v>0</v>
      </c>
      <c r="BI840" s="287">
        <f t="shared" si="587"/>
        <v>0</v>
      </c>
      <c r="BJ840" s="287">
        <f t="shared" si="588"/>
        <v>0</v>
      </c>
      <c r="BK840" s="287">
        <f t="shared" si="589"/>
        <v>0</v>
      </c>
      <c r="BL840" s="287">
        <f t="shared" si="590"/>
        <v>0</v>
      </c>
      <c r="BM840" s="16"/>
      <c r="BN840" s="287">
        <f t="shared" si="591"/>
        <v>-10335713.050000001</v>
      </c>
      <c r="BO840" s="287">
        <f t="shared" si="592"/>
        <v>0</v>
      </c>
      <c r="BP840" s="432"/>
      <c r="BQ840" s="21"/>
      <c r="BR840" s="21"/>
      <c r="BS840" s="6"/>
      <c r="BT840" s="194"/>
      <c r="BU840" s="194"/>
      <c r="BV840" s="194"/>
      <c r="BW840" s="194"/>
      <c r="BX840" s="6"/>
      <c r="BY840" s="6"/>
      <c r="BZ840" s="39"/>
      <c r="CA840" s="39">
        <f t="shared" si="528"/>
        <v>2031</v>
      </c>
      <c r="CB840" s="6"/>
      <c r="CC840" s="39"/>
      <c r="CD840" s="39"/>
      <c r="CE840" s="39"/>
      <c r="CF840" s="39"/>
      <c r="CG840" s="39"/>
      <c r="CH840" s="39"/>
      <c r="CI840" s="39"/>
      <c r="CJ840" s="39"/>
      <c r="CK840" s="39"/>
    </row>
    <row r="841" spans="1:89" s="193" customFormat="1">
      <c r="A841" s="357"/>
      <c r="B841" s="706"/>
      <c r="C841" s="706"/>
      <c r="D841" s="707" t="s">
        <v>1117</v>
      </c>
      <c r="E841" s="708"/>
      <c r="F841" s="708"/>
      <c r="G841" s="596" t="s">
        <v>5392</v>
      </c>
      <c r="H841" s="709"/>
      <c r="I841" s="707"/>
      <c r="J841" s="707"/>
      <c r="K841" s="710">
        <f>-K840</f>
        <v>15901097</v>
      </c>
      <c r="L841" s="710">
        <v>0</v>
      </c>
      <c r="M841" s="710">
        <v>0</v>
      </c>
      <c r="N841" s="710">
        <v>0</v>
      </c>
      <c r="O841" s="710"/>
      <c r="P841" s="710"/>
      <c r="Q841" s="710"/>
      <c r="R841" s="710"/>
      <c r="S841" s="710"/>
      <c r="T841" s="710"/>
      <c r="U841" s="710">
        <f t="shared" si="550"/>
        <v>15901097</v>
      </c>
      <c r="V841" s="711"/>
      <c r="W841" s="711"/>
      <c r="X841" s="711"/>
      <c r="Y841" s="712">
        <f t="shared" si="565"/>
        <v>15901097</v>
      </c>
      <c r="Z841" s="713"/>
      <c r="AA841" s="712">
        <f t="shared" si="566"/>
        <v>15901097</v>
      </c>
      <c r="AB841" s="711"/>
      <c r="AC841" s="711"/>
      <c r="AD841" s="714"/>
      <c r="AE841" s="714"/>
      <c r="AF841" s="714"/>
      <c r="AG841" s="715">
        <v>0.9</v>
      </c>
      <c r="AH841" s="715">
        <v>0.9</v>
      </c>
      <c r="AI841" s="716">
        <f t="shared" si="555"/>
        <v>0.9</v>
      </c>
      <c r="AJ841" s="717">
        <v>1</v>
      </c>
      <c r="AK841" s="717">
        <f t="shared" si="567"/>
        <v>0</v>
      </c>
      <c r="AL841" s="712">
        <f t="shared" si="568"/>
        <v>1590109.6999999997</v>
      </c>
      <c r="AM841" s="712">
        <f t="shared" si="569"/>
        <v>14310987.300000001</v>
      </c>
      <c r="AN841" s="712">
        <f t="shared" si="570"/>
        <v>0</v>
      </c>
      <c r="AO841" s="718"/>
      <c r="AP841" s="719" t="s">
        <v>2848</v>
      </c>
      <c r="AQ841" s="279"/>
      <c r="AR841" s="287">
        <f t="shared" si="571"/>
        <v>14310987.300000001</v>
      </c>
      <c r="AS841" s="287">
        <f t="shared" si="572"/>
        <v>0</v>
      </c>
      <c r="AT841" s="287">
        <f t="shared" si="573"/>
        <v>0</v>
      </c>
      <c r="AU841" s="287">
        <f t="shared" si="574"/>
        <v>0</v>
      </c>
      <c r="AV841" s="287">
        <f t="shared" si="575"/>
        <v>0</v>
      </c>
      <c r="AW841" s="287">
        <f t="shared" si="576"/>
        <v>0</v>
      </c>
      <c r="AX841" s="287">
        <f t="shared" si="577"/>
        <v>0</v>
      </c>
      <c r="AY841" s="287">
        <f t="shared" si="578"/>
        <v>0</v>
      </c>
      <c r="AZ841" s="287">
        <f t="shared" si="579"/>
        <v>0</v>
      </c>
      <c r="BA841" s="287">
        <f t="shared" si="580"/>
        <v>0</v>
      </c>
      <c r="BB841" s="16"/>
      <c r="BC841" s="287">
        <f t="shared" si="581"/>
        <v>0</v>
      </c>
      <c r="BD841" s="287">
        <f t="shared" si="582"/>
        <v>0</v>
      </c>
      <c r="BE841" s="287">
        <f t="shared" si="583"/>
        <v>0</v>
      </c>
      <c r="BF841" s="287">
        <f t="shared" si="584"/>
        <v>0</v>
      </c>
      <c r="BG841" s="287">
        <f t="shared" si="585"/>
        <v>0</v>
      </c>
      <c r="BH841" s="287">
        <f t="shared" si="586"/>
        <v>0</v>
      </c>
      <c r="BI841" s="287">
        <f t="shared" si="587"/>
        <v>0</v>
      </c>
      <c r="BJ841" s="287">
        <f t="shared" si="588"/>
        <v>0</v>
      </c>
      <c r="BK841" s="287">
        <f t="shared" si="589"/>
        <v>0</v>
      </c>
      <c r="BL841" s="287">
        <f t="shared" si="590"/>
        <v>0</v>
      </c>
      <c r="BM841" s="16"/>
      <c r="BN841" s="287">
        <f t="shared" si="591"/>
        <v>14310987.300000001</v>
      </c>
      <c r="BO841" s="287">
        <f t="shared" si="592"/>
        <v>0</v>
      </c>
      <c r="BP841" s="432"/>
      <c r="BQ841" s="21"/>
      <c r="BR841" s="21"/>
      <c r="BS841" s="6"/>
      <c r="BT841" s="194"/>
      <c r="BU841" s="194"/>
      <c r="BV841" s="194"/>
      <c r="BW841" s="194"/>
      <c r="BX841" s="6"/>
      <c r="BY841" s="6"/>
      <c r="BZ841" s="39"/>
      <c r="CA841" s="39">
        <f t="shared" si="528"/>
        <v>2031</v>
      </c>
      <c r="CB841" s="6"/>
      <c r="CC841" s="39"/>
      <c r="CD841" s="39"/>
      <c r="CE841" s="39"/>
      <c r="CF841" s="39"/>
      <c r="CG841" s="39"/>
      <c r="CH841" s="39"/>
      <c r="CI841" s="39"/>
      <c r="CJ841" s="39"/>
      <c r="CK841" s="39"/>
    </row>
    <row r="842" spans="1:89" s="193" customFormat="1">
      <c r="A842" s="357"/>
      <c r="B842" s="706"/>
      <c r="C842" s="706"/>
      <c r="D842" s="707" t="s">
        <v>1625</v>
      </c>
      <c r="E842" s="708"/>
      <c r="F842" s="708"/>
      <c r="G842" s="596" t="s">
        <v>5382</v>
      </c>
      <c r="H842" s="709"/>
      <c r="I842" s="707"/>
      <c r="J842" s="707"/>
      <c r="K842" s="710">
        <v>0</v>
      </c>
      <c r="L842" s="710">
        <v>100000</v>
      </c>
      <c r="M842" s="710">
        <v>1100000</v>
      </c>
      <c r="N842" s="710">
        <v>5000000</v>
      </c>
      <c r="O842" s="710">
        <v>8000000</v>
      </c>
      <c r="P842" s="710">
        <v>10449939</v>
      </c>
      <c r="Q842" s="710">
        <v>20000000</v>
      </c>
      <c r="R842" s="710">
        <v>3300000</v>
      </c>
      <c r="S842" s="710"/>
      <c r="T842" s="710"/>
      <c r="U842" s="710">
        <f t="shared" si="550"/>
        <v>47949939</v>
      </c>
      <c r="V842" s="711"/>
      <c r="W842" s="711"/>
      <c r="X842" s="711"/>
      <c r="Y842" s="712">
        <f t="shared" si="565"/>
        <v>47949939</v>
      </c>
      <c r="Z842" s="713"/>
      <c r="AA842" s="712">
        <f t="shared" si="566"/>
        <v>47949939</v>
      </c>
      <c r="AB842" s="711"/>
      <c r="AC842" s="711"/>
      <c r="AD842" s="714"/>
      <c r="AE842" s="714"/>
      <c r="AF842" s="714"/>
      <c r="AG842" s="715">
        <v>0.38</v>
      </c>
      <c r="AH842" s="715">
        <v>0.38</v>
      </c>
      <c r="AI842" s="716">
        <v>0.37009917781125851</v>
      </c>
      <c r="AJ842" s="717">
        <f>10/(2046-2018)</f>
        <v>0.35714285714285715</v>
      </c>
      <c r="AK842" s="717">
        <f t="shared" si="567"/>
        <v>0.64285714285714279</v>
      </c>
      <c r="AL842" s="712">
        <f t="shared" si="568"/>
        <v>30203706</v>
      </c>
      <c r="AM842" s="712">
        <f t="shared" si="569"/>
        <v>6337940.3571428573</v>
      </c>
      <c r="AN842" s="712">
        <f t="shared" si="570"/>
        <v>11408292.642857142</v>
      </c>
      <c r="AO842" s="718"/>
      <c r="AP842" s="719" t="s">
        <v>2851</v>
      </c>
      <c r="AQ842" s="279"/>
      <c r="AR842" s="287">
        <f t="shared" si="571"/>
        <v>0</v>
      </c>
      <c r="AS842" s="287">
        <f t="shared" si="572"/>
        <v>13217.827778973518</v>
      </c>
      <c r="AT842" s="287">
        <f t="shared" si="573"/>
        <v>145396.10556870871</v>
      </c>
      <c r="AU842" s="287">
        <f t="shared" si="574"/>
        <v>660891.38894867594</v>
      </c>
      <c r="AV842" s="287">
        <f t="shared" si="575"/>
        <v>1057426.2223178816</v>
      </c>
      <c r="AW842" s="287">
        <f t="shared" si="576"/>
        <v>1381254.9400277876</v>
      </c>
      <c r="AX842" s="287">
        <f t="shared" si="577"/>
        <v>2643565.5557947038</v>
      </c>
      <c r="AY842" s="287">
        <f t="shared" si="578"/>
        <v>436188.31670612615</v>
      </c>
      <c r="AZ842" s="287">
        <f t="shared" si="579"/>
        <v>0</v>
      </c>
      <c r="BA842" s="287">
        <f t="shared" si="580"/>
        <v>0</v>
      </c>
      <c r="BB842" s="16"/>
      <c r="BC842" s="287">
        <f t="shared" si="581"/>
        <v>0</v>
      </c>
      <c r="BD842" s="287">
        <f t="shared" si="582"/>
        <v>23792.09000215233</v>
      </c>
      <c r="BE842" s="287">
        <f t="shared" si="583"/>
        <v>261712.99002367564</v>
      </c>
      <c r="BF842" s="287">
        <f t="shared" si="584"/>
        <v>1189604.5001076167</v>
      </c>
      <c r="BG842" s="287">
        <f t="shared" si="585"/>
        <v>1903367.2001721866</v>
      </c>
      <c r="BH842" s="287">
        <f t="shared" si="586"/>
        <v>2486258.8920500171</v>
      </c>
      <c r="BI842" s="287">
        <f t="shared" si="587"/>
        <v>4758418.0004304666</v>
      </c>
      <c r="BJ842" s="287">
        <f t="shared" si="588"/>
        <v>785138.97007102694</v>
      </c>
      <c r="BK842" s="287">
        <f t="shared" si="589"/>
        <v>0</v>
      </c>
      <c r="BL842" s="287">
        <f t="shared" si="590"/>
        <v>0</v>
      </c>
      <c r="BM842" s="16"/>
      <c r="BN842" s="287">
        <f t="shared" si="591"/>
        <v>6337940.3571428582</v>
      </c>
      <c r="BO842" s="287">
        <f t="shared" si="592"/>
        <v>11408292.642857142</v>
      </c>
      <c r="BP842" s="432"/>
      <c r="BQ842" s="21"/>
      <c r="BR842" s="21"/>
      <c r="BS842" s="6"/>
      <c r="BT842" s="194"/>
      <c r="BU842" s="194"/>
      <c r="BV842" s="194"/>
      <c r="BW842" s="194"/>
      <c r="BX842" s="6"/>
      <c r="BY842" s="6"/>
      <c r="BZ842" s="39"/>
      <c r="CA842" s="39">
        <f t="shared" si="528"/>
        <v>2049</v>
      </c>
      <c r="CB842" s="6"/>
      <c r="CC842" s="39"/>
      <c r="CD842" s="39"/>
      <c r="CE842" s="39"/>
      <c r="CF842" s="39"/>
      <c r="CG842" s="39"/>
      <c r="CH842" s="39"/>
      <c r="CI842" s="39"/>
      <c r="CJ842" s="39"/>
      <c r="CK842" s="39"/>
    </row>
    <row r="843" spans="1:89" s="193" customFormat="1">
      <c r="A843" s="357"/>
      <c r="B843" s="706"/>
      <c r="C843" s="706"/>
      <c r="D843" s="707" t="s">
        <v>1638</v>
      </c>
      <c r="E843" s="708"/>
      <c r="F843" s="708"/>
      <c r="G843" s="596" t="s">
        <v>5383</v>
      </c>
      <c r="H843" s="709"/>
      <c r="I843" s="707"/>
      <c r="J843" s="707"/>
      <c r="K843" s="710">
        <v>0</v>
      </c>
      <c r="L843" s="710">
        <v>0</v>
      </c>
      <c r="M843" s="710">
        <v>0</v>
      </c>
      <c r="N843" s="710">
        <v>0</v>
      </c>
      <c r="O843" s="710"/>
      <c r="P843" s="710"/>
      <c r="Q843" s="710"/>
      <c r="R843" s="710"/>
      <c r="S843" s="710"/>
      <c r="T843" s="710"/>
      <c r="U843" s="710">
        <f t="shared" si="550"/>
        <v>0</v>
      </c>
      <c r="V843" s="711"/>
      <c r="W843" s="711"/>
      <c r="X843" s="711"/>
      <c r="Y843" s="712">
        <f t="shared" si="565"/>
        <v>0</v>
      </c>
      <c r="Z843" s="713"/>
      <c r="AA843" s="712">
        <f t="shared" si="566"/>
        <v>0</v>
      </c>
      <c r="AB843" s="711"/>
      <c r="AC843" s="711"/>
      <c r="AD843" s="714"/>
      <c r="AE843" s="714"/>
      <c r="AF843" s="714"/>
      <c r="AG843" s="715">
        <v>0.5</v>
      </c>
      <c r="AH843" s="715">
        <v>0.5</v>
      </c>
      <c r="AI843" s="716">
        <f t="shared" si="555"/>
        <v>0.5</v>
      </c>
      <c r="AJ843" s="717">
        <f>10/(2058-2018)</f>
        <v>0.25</v>
      </c>
      <c r="AK843" s="717">
        <f t="shared" si="567"/>
        <v>0.75</v>
      </c>
      <c r="AL843" s="712">
        <v>-26709</v>
      </c>
      <c r="AM843" s="712">
        <f t="shared" si="569"/>
        <v>0</v>
      </c>
      <c r="AN843" s="712">
        <f t="shared" si="570"/>
        <v>0</v>
      </c>
      <c r="AO843" s="718"/>
      <c r="AP843" s="719" t="s">
        <v>2858</v>
      </c>
      <c r="AQ843" s="279"/>
      <c r="AR843" s="287">
        <f t="shared" si="571"/>
        <v>0</v>
      </c>
      <c r="AS843" s="287">
        <f t="shared" si="572"/>
        <v>0</v>
      </c>
      <c r="AT843" s="287">
        <f t="shared" si="573"/>
        <v>0</v>
      </c>
      <c r="AU843" s="287">
        <f t="shared" si="574"/>
        <v>0</v>
      </c>
      <c r="AV843" s="287">
        <f t="shared" si="575"/>
        <v>0</v>
      </c>
      <c r="AW843" s="287">
        <f t="shared" si="576"/>
        <v>0</v>
      </c>
      <c r="AX843" s="287">
        <f t="shared" si="577"/>
        <v>0</v>
      </c>
      <c r="AY843" s="287">
        <f t="shared" si="578"/>
        <v>0</v>
      </c>
      <c r="AZ843" s="287">
        <f t="shared" si="579"/>
        <v>0</v>
      </c>
      <c r="BA843" s="287">
        <f t="shared" si="580"/>
        <v>0</v>
      </c>
      <c r="BB843" s="16"/>
      <c r="BC843" s="287">
        <f t="shared" si="581"/>
        <v>0</v>
      </c>
      <c r="BD843" s="287">
        <f t="shared" si="582"/>
        <v>0</v>
      </c>
      <c r="BE843" s="287">
        <f t="shared" si="583"/>
        <v>0</v>
      </c>
      <c r="BF843" s="287">
        <f t="shared" si="584"/>
        <v>0</v>
      </c>
      <c r="BG843" s="287">
        <f t="shared" si="585"/>
        <v>0</v>
      </c>
      <c r="BH843" s="287">
        <f t="shared" si="586"/>
        <v>0</v>
      </c>
      <c r="BI843" s="287">
        <f t="shared" si="587"/>
        <v>0</v>
      </c>
      <c r="BJ843" s="287">
        <f t="shared" si="588"/>
        <v>0</v>
      </c>
      <c r="BK843" s="287">
        <f t="shared" si="589"/>
        <v>0</v>
      </c>
      <c r="BL843" s="287">
        <f t="shared" si="590"/>
        <v>0</v>
      </c>
      <c r="BM843" s="16"/>
      <c r="BN843" s="287">
        <f t="shared" si="591"/>
        <v>0</v>
      </c>
      <c r="BO843" s="287">
        <f t="shared" si="592"/>
        <v>0</v>
      </c>
      <c r="BP843" s="432"/>
      <c r="BQ843" s="21"/>
      <c r="BR843" s="21"/>
      <c r="BS843" s="6"/>
      <c r="BT843" s="194"/>
      <c r="BU843" s="194"/>
      <c r="BV843" s="194"/>
      <c r="BW843" s="194"/>
      <c r="BX843" s="6"/>
      <c r="BY843" s="6"/>
      <c r="BZ843" s="39"/>
      <c r="CA843" s="39">
        <f t="shared" si="528"/>
        <v>2061</v>
      </c>
      <c r="CB843" s="6"/>
      <c r="CC843" s="39"/>
      <c r="CD843" s="39"/>
      <c r="CE843" s="39"/>
      <c r="CF843" s="39"/>
      <c r="CG843" s="39"/>
      <c r="CH843" s="39"/>
      <c r="CI843" s="39"/>
      <c r="CJ843" s="39"/>
      <c r="CK843" s="39"/>
    </row>
    <row r="844" spans="1:89" s="193" customFormat="1">
      <c r="A844" s="357"/>
      <c r="B844" s="706"/>
      <c r="C844" s="706"/>
      <c r="D844" s="707" t="s">
        <v>5375</v>
      </c>
      <c r="E844" s="708"/>
      <c r="F844" s="708"/>
      <c r="G844" s="596" t="s">
        <v>5384</v>
      </c>
      <c r="H844" s="709"/>
      <c r="I844" s="707"/>
      <c r="J844" s="707"/>
      <c r="K844" s="710">
        <v>306556</v>
      </c>
      <c r="L844" s="710">
        <v>0</v>
      </c>
      <c r="M844" s="710">
        <v>0</v>
      </c>
      <c r="N844" s="710">
        <v>0</v>
      </c>
      <c r="O844" s="710"/>
      <c r="P844" s="710"/>
      <c r="Q844" s="710"/>
      <c r="R844" s="710"/>
      <c r="S844" s="710"/>
      <c r="T844" s="710"/>
      <c r="U844" s="710">
        <f t="shared" si="550"/>
        <v>306556</v>
      </c>
      <c r="V844" s="711"/>
      <c r="W844" s="711"/>
      <c r="X844" s="711"/>
      <c r="Y844" s="712">
        <f t="shared" si="565"/>
        <v>306556</v>
      </c>
      <c r="Z844" s="713"/>
      <c r="AA844" s="712">
        <f t="shared" si="566"/>
        <v>306556</v>
      </c>
      <c r="AB844" s="711"/>
      <c r="AC844" s="711"/>
      <c r="AD844" s="714"/>
      <c r="AE844" s="714"/>
      <c r="AF844" s="714"/>
      <c r="AG844" s="715">
        <v>0.25</v>
      </c>
      <c r="AH844" s="715">
        <v>0.25</v>
      </c>
      <c r="AI844" s="725">
        <v>0.10488458878638823</v>
      </c>
      <c r="AJ844" s="717">
        <f>10/(2058-2018)</f>
        <v>0.25</v>
      </c>
      <c r="AK844" s="717">
        <f t="shared" si="567"/>
        <v>0.75</v>
      </c>
      <c r="AL844" s="712">
        <f t="shared" si="568"/>
        <v>274402.99999999994</v>
      </c>
      <c r="AM844" s="712">
        <f t="shared" si="569"/>
        <v>8038.2500000000082</v>
      </c>
      <c r="AN844" s="712">
        <f t="shared" si="570"/>
        <v>24114.750000000025</v>
      </c>
      <c r="AO844" s="718"/>
      <c r="AP844" s="719" t="s">
        <v>2860</v>
      </c>
      <c r="AQ844" s="279"/>
      <c r="AR844" s="287">
        <f t="shared" si="571"/>
        <v>8038.2500000000082</v>
      </c>
      <c r="AS844" s="287">
        <f t="shared" si="572"/>
        <v>0</v>
      </c>
      <c r="AT844" s="287">
        <f t="shared" si="573"/>
        <v>0</v>
      </c>
      <c r="AU844" s="287">
        <f t="shared" si="574"/>
        <v>0</v>
      </c>
      <c r="AV844" s="287">
        <f t="shared" si="575"/>
        <v>0</v>
      </c>
      <c r="AW844" s="287">
        <f t="shared" si="576"/>
        <v>0</v>
      </c>
      <c r="AX844" s="287">
        <f t="shared" si="577"/>
        <v>0</v>
      </c>
      <c r="AY844" s="287">
        <f t="shared" si="578"/>
        <v>0</v>
      </c>
      <c r="AZ844" s="287">
        <f t="shared" si="579"/>
        <v>0</v>
      </c>
      <c r="BA844" s="287">
        <f t="shared" si="580"/>
        <v>0</v>
      </c>
      <c r="BB844" s="16"/>
      <c r="BC844" s="287">
        <f t="shared" si="581"/>
        <v>24114.750000000025</v>
      </c>
      <c r="BD844" s="287">
        <f t="shared" si="582"/>
        <v>0</v>
      </c>
      <c r="BE844" s="287">
        <f t="shared" si="583"/>
        <v>0</v>
      </c>
      <c r="BF844" s="287">
        <f t="shared" si="584"/>
        <v>0</v>
      </c>
      <c r="BG844" s="287">
        <f t="shared" si="585"/>
        <v>0</v>
      </c>
      <c r="BH844" s="287">
        <f t="shared" si="586"/>
        <v>0</v>
      </c>
      <c r="BI844" s="287">
        <f t="shared" si="587"/>
        <v>0</v>
      </c>
      <c r="BJ844" s="287">
        <f t="shared" si="588"/>
        <v>0</v>
      </c>
      <c r="BK844" s="287">
        <f t="shared" si="589"/>
        <v>0</v>
      </c>
      <c r="BL844" s="287">
        <f t="shared" si="590"/>
        <v>0</v>
      </c>
      <c r="BM844" s="16"/>
      <c r="BN844" s="287">
        <f t="shared" si="591"/>
        <v>8038.2500000000082</v>
      </c>
      <c r="BO844" s="287">
        <f t="shared" si="592"/>
        <v>24114.750000000025</v>
      </c>
      <c r="BP844" s="432"/>
      <c r="BQ844" s="21"/>
      <c r="BR844" s="21"/>
      <c r="BS844" s="6"/>
      <c r="BT844" s="194"/>
      <c r="BU844" s="194"/>
      <c r="BV844" s="194"/>
      <c r="BW844" s="194"/>
      <c r="BX844" s="6"/>
      <c r="BY844" s="6"/>
      <c r="BZ844" s="39"/>
      <c r="CA844" s="39">
        <f t="shared" si="528"/>
        <v>2061</v>
      </c>
      <c r="CB844" s="6"/>
      <c r="CC844" s="39"/>
      <c r="CD844" s="39"/>
      <c r="CE844" s="39"/>
      <c r="CF844" s="39"/>
      <c r="CG844" s="39"/>
      <c r="CH844" s="39"/>
      <c r="CI844" s="39"/>
      <c r="CJ844" s="39"/>
      <c r="CK844" s="39"/>
    </row>
    <row r="845" spans="1:89" s="193" customFormat="1" ht="13">
      <c r="A845"/>
      <c r="B845" s="706" t="str">
        <f t="shared" si="505"/>
        <v xml:space="preserve">CI </v>
      </c>
      <c r="C845" s="706"/>
      <c r="D845" s="707" t="s">
        <v>993</v>
      </c>
      <c r="E845" s="708"/>
      <c r="F845" s="708"/>
      <c r="G845" s="596" t="s">
        <v>5380</v>
      </c>
      <c r="H845" s="709"/>
      <c r="I845" s="707"/>
      <c r="J845" s="707"/>
      <c r="K845" s="710">
        <v>170190</v>
      </c>
      <c r="L845" s="710">
        <v>2696525</v>
      </c>
      <c r="M845" s="710">
        <v>0</v>
      </c>
      <c r="N845" s="710">
        <v>0</v>
      </c>
      <c r="O845" s="710">
        <v>0</v>
      </c>
      <c r="P845" s="710">
        <v>0</v>
      </c>
      <c r="Q845" s="710">
        <v>0</v>
      </c>
      <c r="R845" s="710">
        <v>0</v>
      </c>
      <c r="S845" s="710">
        <v>0</v>
      </c>
      <c r="T845" s="710">
        <v>0</v>
      </c>
      <c r="U845" s="710">
        <f t="shared" ref="U845" si="595">SUM(K845:T845)</f>
        <v>2866715</v>
      </c>
      <c r="V845" s="711"/>
      <c r="W845" s="711"/>
      <c r="X845" s="711"/>
      <c r="Y845" s="712">
        <f t="shared" ref="Y845" si="596">SUM(K845:T845)</f>
        <v>2866715</v>
      </c>
      <c r="Z845" s="713"/>
      <c r="AA845" s="712">
        <f t="shared" ref="AA845" si="597">Y845-Z845</f>
        <v>2866715</v>
      </c>
      <c r="AB845" s="711"/>
      <c r="AC845" s="711"/>
      <c r="AD845" s="714"/>
      <c r="AE845" s="714"/>
      <c r="AF845" s="714"/>
      <c r="AG845" s="715">
        <v>0.17</v>
      </c>
      <c r="AH845" s="715">
        <v>0.17</v>
      </c>
      <c r="AI845" s="725">
        <v>6.8736166657655251E-2</v>
      </c>
      <c r="AJ845" s="717">
        <v>1</v>
      </c>
      <c r="AK845" s="717">
        <f t="shared" ref="AK845" si="598">1-AJ845</f>
        <v>0</v>
      </c>
      <c r="AL845" s="712">
        <f t="shared" ref="AL845" si="599">(100%-AI845)*AA845</f>
        <v>2669668</v>
      </c>
      <c r="AM845" s="712">
        <f t="shared" ref="AM845" si="600">AA845*AI845*AJ845</f>
        <v>197047.00000000017</v>
      </c>
      <c r="AN845" s="712">
        <f t="shared" ref="AN845" si="601">AA845*AI845*AK845</f>
        <v>0</v>
      </c>
      <c r="AO845" s="723"/>
      <c r="AP845" s="719" t="s">
        <v>2852</v>
      </c>
      <c r="AQ845" s="86"/>
      <c r="AR845" s="287">
        <f t="shared" si="571"/>
        <v>11698.208203466347</v>
      </c>
      <c r="AS845" s="287">
        <f t="shared" si="572"/>
        <v>185348.79179653383</v>
      </c>
      <c r="AT845" s="287">
        <f t="shared" si="573"/>
        <v>0</v>
      </c>
      <c r="AU845" s="287">
        <f t="shared" si="574"/>
        <v>0</v>
      </c>
      <c r="AV845" s="287">
        <f t="shared" si="575"/>
        <v>0</v>
      </c>
      <c r="AW845" s="287">
        <f t="shared" si="576"/>
        <v>0</v>
      </c>
      <c r="AX845" s="287">
        <f t="shared" si="577"/>
        <v>0</v>
      </c>
      <c r="AY845" s="287">
        <f t="shared" si="578"/>
        <v>0</v>
      </c>
      <c r="AZ845" s="287">
        <f t="shared" si="579"/>
        <v>0</v>
      </c>
      <c r="BA845" s="287">
        <f t="shared" si="580"/>
        <v>0</v>
      </c>
      <c r="BB845" s="16"/>
      <c r="BC845" s="287">
        <f t="shared" si="581"/>
        <v>0</v>
      </c>
      <c r="BD845" s="287">
        <f t="shared" si="582"/>
        <v>0</v>
      </c>
      <c r="BE845" s="287">
        <f t="shared" si="583"/>
        <v>0</v>
      </c>
      <c r="BF845" s="287">
        <f t="shared" si="584"/>
        <v>0</v>
      </c>
      <c r="BG845" s="287">
        <f t="shared" si="585"/>
        <v>0</v>
      </c>
      <c r="BH845" s="287">
        <f t="shared" si="586"/>
        <v>0</v>
      </c>
      <c r="BI845" s="287">
        <f t="shared" si="587"/>
        <v>0</v>
      </c>
      <c r="BJ845" s="287">
        <f t="shared" si="588"/>
        <v>0</v>
      </c>
      <c r="BK845" s="287">
        <f t="shared" si="589"/>
        <v>0</v>
      </c>
      <c r="BL845" s="287">
        <f t="shared" si="590"/>
        <v>0</v>
      </c>
      <c r="BM845" s="16"/>
      <c r="BN845" s="287">
        <f t="shared" si="591"/>
        <v>197047.00000000017</v>
      </c>
      <c r="BO845" s="287">
        <f t="shared" si="592"/>
        <v>0</v>
      </c>
      <c r="BP845" s="432"/>
      <c r="BQ845" s="21"/>
      <c r="BR845" s="21"/>
      <c r="BS845" s="39"/>
      <c r="BT845" s="39"/>
      <c r="BU845" s="39"/>
      <c r="BV845" s="39"/>
      <c r="BW845" s="39"/>
      <c r="BX845" s="39"/>
      <c r="BY845" s="39"/>
      <c r="BZ845" s="39"/>
      <c r="CA845" s="39">
        <f t="shared" si="528"/>
        <v>2031</v>
      </c>
      <c r="CB845" s="39"/>
      <c r="CC845" s="39"/>
      <c r="CD845" s="39"/>
      <c r="CE845" s="39"/>
      <c r="CF845" s="39"/>
      <c r="CG845" s="39"/>
      <c r="CH845" s="39"/>
      <c r="CI845" s="39"/>
      <c r="CJ845" s="39"/>
      <c r="CK845" s="39"/>
    </row>
    <row r="846" spans="1:89" s="193" customFormat="1" ht="13">
      <c r="A846"/>
      <c r="B846" s="706" t="str">
        <f>LEFT(AP846,3)</f>
        <v/>
      </c>
      <c r="C846" s="706"/>
      <c r="D846" s="707"/>
      <c r="E846" s="708"/>
      <c r="F846" s="708"/>
      <c r="G846" s="596"/>
      <c r="H846" s="709"/>
      <c r="I846" s="707"/>
      <c r="J846" s="707"/>
      <c r="K846" s="710"/>
      <c r="L846" s="710"/>
      <c r="M846" s="710"/>
      <c r="N846" s="710"/>
      <c r="O846" s="710"/>
      <c r="P846" s="710"/>
      <c r="Q846" s="710"/>
      <c r="R846" s="710"/>
      <c r="S846" s="710"/>
      <c r="T846" s="710"/>
      <c r="U846" s="710">
        <f t="shared" si="550"/>
        <v>0</v>
      </c>
      <c r="V846" s="711"/>
      <c r="W846" s="711"/>
      <c r="X846" s="711"/>
      <c r="Y846" s="720">
        <f t="shared" si="565"/>
        <v>0</v>
      </c>
      <c r="Z846" s="713"/>
      <c r="AA846" s="720">
        <f t="shared" si="566"/>
        <v>0</v>
      </c>
      <c r="AB846" s="711"/>
      <c r="AC846" s="711"/>
      <c r="AD846" s="714"/>
      <c r="AE846" s="714"/>
      <c r="AF846" s="714"/>
      <c r="AG846" s="715"/>
      <c r="AH846" s="715"/>
      <c r="AI846" s="721">
        <f t="shared" si="555"/>
        <v>0</v>
      </c>
      <c r="AJ846" s="717"/>
      <c r="AK846" s="722">
        <f t="shared" si="567"/>
        <v>1</v>
      </c>
      <c r="AL846" s="720">
        <f t="shared" si="568"/>
        <v>0</v>
      </c>
      <c r="AM846" s="720">
        <f t="shared" si="569"/>
        <v>0</v>
      </c>
      <c r="AN846" s="720">
        <f t="shared" si="570"/>
        <v>0</v>
      </c>
      <c r="AO846" s="723"/>
      <c r="AP846" s="724"/>
      <c r="AQ846" s="86"/>
      <c r="AR846" s="287">
        <f t="shared" si="506"/>
        <v>0</v>
      </c>
      <c r="AS846" s="287">
        <f t="shared" si="507"/>
        <v>0</v>
      </c>
      <c r="AT846" s="287">
        <f t="shared" si="508"/>
        <v>0</v>
      </c>
      <c r="AU846" s="287">
        <f t="shared" si="509"/>
        <v>0</v>
      </c>
      <c r="AV846" s="287">
        <f t="shared" si="510"/>
        <v>0</v>
      </c>
      <c r="AW846" s="287">
        <f t="shared" si="511"/>
        <v>0</v>
      </c>
      <c r="AX846" s="287">
        <f t="shared" si="512"/>
        <v>0</v>
      </c>
      <c r="AY846" s="287">
        <f t="shared" si="513"/>
        <v>0</v>
      </c>
      <c r="AZ846" s="287">
        <f t="shared" si="514"/>
        <v>0</v>
      </c>
      <c r="BA846" s="287">
        <f t="shared" si="515"/>
        <v>0</v>
      </c>
      <c r="BB846" s="16"/>
      <c r="BC846" s="287">
        <f t="shared" si="516"/>
        <v>0</v>
      </c>
      <c r="BD846" s="287">
        <f t="shared" si="517"/>
        <v>0</v>
      </c>
      <c r="BE846" s="287">
        <f t="shared" si="518"/>
        <v>0</v>
      </c>
      <c r="BF846" s="287">
        <f t="shared" si="519"/>
        <v>0</v>
      </c>
      <c r="BG846" s="287">
        <f t="shared" si="520"/>
        <v>0</v>
      </c>
      <c r="BH846" s="287">
        <f t="shared" si="521"/>
        <v>0</v>
      </c>
      <c r="BI846" s="287">
        <f t="shared" si="522"/>
        <v>0</v>
      </c>
      <c r="BJ846" s="287">
        <f t="shared" si="523"/>
        <v>0</v>
      </c>
      <c r="BK846" s="287">
        <f t="shared" si="524"/>
        <v>0</v>
      </c>
      <c r="BL846" s="287">
        <f t="shared" si="525"/>
        <v>0</v>
      </c>
      <c r="BM846" s="16"/>
      <c r="BN846" s="287">
        <f t="shared" si="526"/>
        <v>0</v>
      </c>
      <c r="BO846" s="287">
        <f t="shared" si="527"/>
        <v>0</v>
      </c>
      <c r="BP846" s="432"/>
      <c r="BQ846" s="21"/>
      <c r="BR846" s="21"/>
      <c r="BS846" s="39"/>
      <c r="BT846" s="39"/>
      <c r="BU846" s="39"/>
      <c r="BV846" s="39"/>
      <c r="BW846" s="39"/>
      <c r="BX846" s="39"/>
      <c r="BY846" s="39"/>
      <c r="BZ846" s="39"/>
      <c r="CA846" s="39"/>
      <c r="CB846" s="39"/>
      <c r="CC846" s="39"/>
      <c r="CD846" s="39"/>
      <c r="CE846" s="39"/>
      <c r="CF846" s="39"/>
      <c r="CG846" s="39"/>
      <c r="CH846" s="39"/>
      <c r="CI846" s="39"/>
      <c r="CJ846" s="39"/>
      <c r="CK846" s="39"/>
    </row>
    <row r="847" spans="1:89" s="193" customFormat="1">
      <c r="A847" s="195"/>
      <c r="B847" s="706" t="str">
        <f>LEFT(AP847,3)</f>
        <v/>
      </c>
      <c r="C847" s="706"/>
      <c r="D847" s="707"/>
      <c r="E847" s="708"/>
      <c r="F847" s="708"/>
      <c r="G847" s="596"/>
      <c r="H847" s="709"/>
      <c r="I847" s="707"/>
      <c r="J847" s="707"/>
      <c r="K847" s="710"/>
      <c r="L847" s="710"/>
      <c r="M847" s="710"/>
      <c r="N847" s="710"/>
      <c r="O847" s="710"/>
      <c r="P847" s="710"/>
      <c r="Q847" s="710"/>
      <c r="R847" s="710"/>
      <c r="S847" s="710"/>
      <c r="T847" s="710"/>
      <c r="U847" s="710">
        <f t="shared" si="550"/>
        <v>0</v>
      </c>
      <c r="V847" s="711"/>
      <c r="W847" s="711"/>
      <c r="X847" s="711"/>
      <c r="Y847" s="720">
        <f t="shared" si="565"/>
        <v>0</v>
      </c>
      <c r="Z847" s="713"/>
      <c r="AA847" s="720">
        <f t="shared" si="566"/>
        <v>0</v>
      </c>
      <c r="AB847" s="711"/>
      <c r="AC847" s="711"/>
      <c r="AD847" s="714"/>
      <c r="AE847" s="714"/>
      <c r="AF847" s="714"/>
      <c r="AG847" s="715"/>
      <c r="AH847" s="715"/>
      <c r="AI847" s="721">
        <f t="shared" si="555"/>
        <v>0</v>
      </c>
      <c r="AJ847" s="717"/>
      <c r="AK847" s="722">
        <f t="shared" si="567"/>
        <v>1</v>
      </c>
      <c r="AL847" s="720">
        <f t="shared" si="568"/>
        <v>0</v>
      </c>
      <c r="AM847" s="720">
        <f t="shared" si="569"/>
        <v>0</v>
      </c>
      <c r="AN847" s="720">
        <f t="shared" si="570"/>
        <v>0</v>
      </c>
      <c r="AO847" s="723"/>
      <c r="AP847" s="724"/>
      <c r="AQ847" s="86"/>
      <c r="AR847" s="287">
        <f t="shared" si="506"/>
        <v>0</v>
      </c>
      <c r="AS847" s="287">
        <f t="shared" si="507"/>
        <v>0</v>
      </c>
      <c r="AT847" s="287">
        <f t="shared" si="508"/>
        <v>0</v>
      </c>
      <c r="AU847" s="287">
        <f t="shared" si="509"/>
        <v>0</v>
      </c>
      <c r="AV847" s="287">
        <f t="shared" si="510"/>
        <v>0</v>
      </c>
      <c r="AW847" s="287">
        <f t="shared" si="511"/>
        <v>0</v>
      </c>
      <c r="AX847" s="287">
        <f t="shared" si="512"/>
        <v>0</v>
      </c>
      <c r="AY847" s="287">
        <f t="shared" si="513"/>
        <v>0</v>
      </c>
      <c r="AZ847" s="287">
        <f t="shared" si="514"/>
        <v>0</v>
      </c>
      <c r="BA847" s="287">
        <f t="shared" si="515"/>
        <v>0</v>
      </c>
      <c r="BB847" s="16"/>
      <c r="BC847" s="287">
        <f t="shared" si="516"/>
        <v>0</v>
      </c>
      <c r="BD847" s="287">
        <f t="shared" si="517"/>
        <v>0</v>
      </c>
      <c r="BE847" s="287">
        <f t="shared" si="518"/>
        <v>0</v>
      </c>
      <c r="BF847" s="287">
        <f t="shared" si="519"/>
        <v>0</v>
      </c>
      <c r="BG847" s="287">
        <f t="shared" si="520"/>
        <v>0</v>
      </c>
      <c r="BH847" s="287">
        <f t="shared" si="521"/>
        <v>0</v>
      </c>
      <c r="BI847" s="287">
        <f t="shared" si="522"/>
        <v>0</v>
      </c>
      <c r="BJ847" s="287">
        <f t="shared" si="523"/>
        <v>0</v>
      </c>
      <c r="BK847" s="287">
        <f t="shared" si="524"/>
        <v>0</v>
      </c>
      <c r="BL847" s="287">
        <f t="shared" si="525"/>
        <v>0</v>
      </c>
      <c r="BM847" s="16"/>
      <c r="BN847" s="287">
        <f t="shared" si="526"/>
        <v>0</v>
      </c>
      <c r="BO847" s="287">
        <f t="shared" si="527"/>
        <v>0</v>
      </c>
      <c r="BP847" s="432"/>
      <c r="BQ847" s="21"/>
      <c r="BR847" s="21"/>
      <c r="BS847" s="39" t="e">
        <v>#VALUE!</v>
      </c>
      <c r="BT847" s="39"/>
      <c r="BU847" s="39"/>
      <c r="BV847" s="39"/>
      <c r="BW847" s="39"/>
      <c r="BX847" s="39"/>
      <c r="BY847" s="39"/>
      <c r="BZ847" s="39"/>
      <c r="CA847" s="39"/>
      <c r="CB847" s="39"/>
      <c r="CC847" s="39"/>
      <c r="CD847" s="39"/>
      <c r="CE847" s="39"/>
      <c r="CF847" s="39"/>
      <c r="CG847" s="39"/>
      <c r="CH847" s="39"/>
      <c r="CI847" s="39"/>
      <c r="CJ847" s="39"/>
      <c r="CK847" s="39"/>
    </row>
    <row r="848" spans="1:89" s="5" customFormat="1">
      <c r="A848" s="8" t="s">
        <v>2259</v>
      </c>
      <c r="B848" s="21" t="s">
        <v>2259</v>
      </c>
      <c r="C848" s="21"/>
      <c r="D848" s="429"/>
      <c r="E848" s="146"/>
      <c r="F848" s="146"/>
      <c r="G848" s="4"/>
      <c r="H848" s="359"/>
      <c r="I848" s="4"/>
      <c r="J848" s="3" t="s">
        <v>1032</v>
      </c>
      <c r="K848" s="2">
        <f t="shared" ref="K848:U848" si="602">SUBTOTAL(9,K14:K847)</f>
        <v>2744505855.6500683</v>
      </c>
      <c r="L848" s="2">
        <f t="shared" si="602"/>
        <v>2514369587.0020504</v>
      </c>
      <c r="M848" s="2">
        <f t="shared" si="602"/>
        <v>2600307555.3760371</v>
      </c>
      <c r="N848" s="2">
        <f t="shared" si="602"/>
        <v>2461533237.8503218</v>
      </c>
      <c r="O848" s="2">
        <f t="shared" si="602"/>
        <v>2373442321.4536905</v>
      </c>
      <c r="P848" s="2">
        <f t="shared" si="602"/>
        <v>2601896464.5215883</v>
      </c>
      <c r="Q848" s="2">
        <f t="shared" si="602"/>
        <v>2660469849.2595458</v>
      </c>
      <c r="R848" s="2">
        <f t="shared" si="602"/>
        <v>2189852111.3748016</v>
      </c>
      <c r="S848" s="2">
        <f t="shared" si="602"/>
        <v>2415440826.1279631</v>
      </c>
      <c r="T848" s="2">
        <f t="shared" si="602"/>
        <v>2417292127.9866848</v>
      </c>
      <c r="U848" s="2">
        <f t="shared" si="602"/>
        <v>24978705019.952747</v>
      </c>
      <c r="V848" s="5" t="s">
        <v>933</v>
      </c>
      <c r="W848" s="136" t="s">
        <v>933</v>
      </c>
      <c r="X848" s="136"/>
      <c r="Y848" s="137">
        <f>SUBTOTAL(9,Y14:Y847)</f>
        <v>21098369027.620544</v>
      </c>
      <c r="Z848" s="136" t="s">
        <v>933</v>
      </c>
      <c r="AA848" s="137">
        <f>SUBTOTAL(9,AA14:AA847)</f>
        <v>21098369027.620544</v>
      </c>
      <c r="AB848" s="136" t="s">
        <v>933</v>
      </c>
      <c r="AC848" s="138"/>
      <c r="AD848" s="136"/>
      <c r="AE848" s="136"/>
      <c r="AF848" s="136"/>
      <c r="AG848" s="5" t="s">
        <v>933</v>
      </c>
      <c r="AH848" s="5" t="s">
        <v>933</v>
      </c>
      <c r="AI848" s="5" t="s">
        <v>933</v>
      </c>
      <c r="AJ848" s="5" t="s">
        <v>933</v>
      </c>
      <c r="AK848" s="5" t="s">
        <v>933</v>
      </c>
      <c r="AL848" s="2">
        <f>SUBTOTAL(9,AL14:AL847)</f>
        <v>17763593816.508049</v>
      </c>
      <c r="AM848" s="2">
        <f>SUBTOTAL(9,AM14:AM847)</f>
        <v>2150904524.3601213</v>
      </c>
      <c r="AN848" s="2">
        <f>SUBTOTAL(9,AN14:AN847)</f>
        <v>1183771977.7523792</v>
      </c>
      <c r="AO848" s="2"/>
      <c r="AP848" s="2"/>
      <c r="AQ848" s="2"/>
      <c r="AR848" s="2">
        <f>SUBTOTAL(9,AR153:AR847)</f>
        <v>206264278.25580409</v>
      </c>
      <c r="AS848" s="2">
        <f>SUBTOTAL(9,AS153:AS847)</f>
        <v>234630538.68098187</v>
      </c>
      <c r="AT848" s="2">
        <f>SUBTOTAL(9,AT153:AT847)</f>
        <v>242100185.27088431</v>
      </c>
      <c r="AU848" s="2">
        <f t="shared" ref="AU848:BA848" si="603">SUBTOTAL(9,AU14:AU847)</f>
        <v>215136650.14022076</v>
      </c>
      <c r="AV848" s="2">
        <f t="shared" si="603"/>
        <v>222562945.21624845</v>
      </c>
      <c r="AW848" s="2">
        <f t="shared" si="603"/>
        <v>232444118.7643033</v>
      </c>
      <c r="AX848" s="2">
        <f t="shared" si="603"/>
        <v>203466043.58437794</v>
      </c>
      <c r="AY848" s="2">
        <f t="shared" si="603"/>
        <v>164627509.72562414</v>
      </c>
      <c r="AZ848" s="2">
        <f t="shared" si="603"/>
        <v>202019646.26072827</v>
      </c>
      <c r="BA848" s="2">
        <f t="shared" si="603"/>
        <v>205948836.02614748</v>
      </c>
      <c r="BB848" s="6"/>
      <c r="BC848" s="2">
        <f t="shared" ref="BC848:BL848" si="604">SUBTOTAL(9,BC14:BC847)</f>
        <v>118648058.64368123</v>
      </c>
      <c r="BD848" s="2">
        <f t="shared" si="604"/>
        <v>126598916.66227679</v>
      </c>
      <c r="BE848" s="2">
        <f t="shared" si="604"/>
        <v>165310534.84557831</v>
      </c>
      <c r="BF848" s="2">
        <f t="shared" si="604"/>
        <v>155241490.5701451</v>
      </c>
      <c r="BG848" s="2">
        <f t="shared" si="604"/>
        <v>157609746.8833164</v>
      </c>
      <c r="BH848" s="2">
        <f t="shared" si="604"/>
        <v>122947588.37923959</v>
      </c>
      <c r="BI848" s="2">
        <f t="shared" si="604"/>
        <v>104656269.57277472</v>
      </c>
      <c r="BJ848" s="2">
        <f t="shared" si="604"/>
        <v>60097584.433326557</v>
      </c>
      <c r="BK848" s="2">
        <f t="shared" si="604"/>
        <v>79480622.766252041</v>
      </c>
      <c r="BL848" s="2">
        <f t="shared" si="604"/>
        <v>93181164.995789289</v>
      </c>
      <c r="BM848" s="2"/>
      <c r="BN848" s="2">
        <f>SUBTOTAL(9,BN14:BN847)</f>
        <v>2150904524.3601213</v>
      </c>
      <c r="BO848" s="2">
        <f>SUBTOTAL(9,BO14:BO847)</f>
        <v>1183771977.7523792</v>
      </c>
      <c r="BP848" s="145"/>
      <c r="BQ848" s="21"/>
      <c r="BR848" s="21"/>
      <c r="BS848" s="6"/>
      <c r="BT848" s="382">
        <f>SUBTOTAL(9,BT$14:BT$847)</f>
        <v>3051690218.5139089</v>
      </c>
      <c r="BU848" s="382">
        <f>SUBTOTAL(9,BU$14:BU$847)</f>
        <v>2940694615.4746752</v>
      </c>
      <c r="BV848" s="382">
        <f>SUBTOTAL(9,BV$14:BV$847)</f>
        <v>1563929961.1142986</v>
      </c>
      <c r="BW848" s="382">
        <f>SUBTOTAL(9,BW$14:BW$847)</f>
        <v>5.0931703299283981E-9</v>
      </c>
      <c r="BX848" s="6"/>
      <c r="BY848" s="6"/>
      <c r="BZ848" s="6"/>
      <c r="CA848" s="6"/>
      <c r="CB848" s="6"/>
      <c r="CC848" s="6"/>
      <c r="CD848" s="6"/>
      <c r="CE848" s="6"/>
      <c r="CF848" s="6"/>
      <c r="CG848" s="6"/>
      <c r="CH848" s="6"/>
      <c r="CI848" s="6"/>
      <c r="CJ848" s="6"/>
      <c r="CK848" s="6"/>
    </row>
    <row r="849" spans="1:77">
      <c r="A849" s="8" t="s">
        <v>2259</v>
      </c>
      <c r="B849" s="21" t="s">
        <v>2259</v>
      </c>
      <c r="C849" s="21"/>
      <c r="D849" s="145"/>
      <c r="E849" s="435"/>
      <c r="F849" s="435"/>
      <c r="G849" s="21"/>
      <c r="H849" s="15"/>
      <c r="I849" s="21"/>
      <c r="J849" s="21"/>
      <c r="K849" s="88">
        <f t="shared" ref="K849:U849" si="605">SUM(K14:K847)</f>
        <v>2744505855.6500683</v>
      </c>
      <c r="L849" s="88">
        <f t="shared" si="605"/>
        <v>2514369587.0020504</v>
      </c>
      <c r="M849" s="88">
        <f t="shared" si="605"/>
        <v>2600307555.3760371</v>
      </c>
      <c r="N849" s="88">
        <f t="shared" si="605"/>
        <v>2461533237.8503218</v>
      </c>
      <c r="O849" s="88">
        <f t="shared" si="605"/>
        <v>2373442321.4536905</v>
      </c>
      <c r="P849" s="88">
        <f t="shared" si="605"/>
        <v>2601896464.5215883</v>
      </c>
      <c r="Q849" s="88">
        <f t="shared" si="605"/>
        <v>2660469849.2595458</v>
      </c>
      <c r="R849" s="88">
        <f t="shared" si="605"/>
        <v>2189852111.3748016</v>
      </c>
      <c r="S849" s="88">
        <f t="shared" si="605"/>
        <v>2415440826.1279631</v>
      </c>
      <c r="T849" s="88">
        <f t="shared" si="605"/>
        <v>2417292127.9866848</v>
      </c>
      <c r="U849" s="88">
        <f t="shared" si="605"/>
        <v>24978705019.952747</v>
      </c>
      <c r="V849" s="21"/>
      <c r="W849" s="126"/>
      <c r="X849" s="126"/>
      <c r="Y849" s="139">
        <f>SUM(Y14:Y847)</f>
        <v>21098369027.620544</v>
      </c>
      <c r="Z849" s="126"/>
      <c r="AA849" s="139">
        <f>SUM(AA14:AA847)</f>
        <v>21098369027.620544</v>
      </c>
      <c r="AB849" s="126"/>
      <c r="AC849" s="126"/>
      <c r="AD849" s="126"/>
      <c r="AE849" s="126"/>
      <c r="AF849" s="126"/>
      <c r="AG849" s="21"/>
      <c r="AH849" s="21"/>
      <c r="AI849" s="21"/>
      <c r="AJ849" s="21"/>
      <c r="AK849" s="21"/>
      <c r="AL849" s="88">
        <f>SUM(AL14:AL847)</f>
        <v>17763593816.508049</v>
      </c>
      <c r="AM849" s="88">
        <f>SUM(AM14:AM847)</f>
        <v>2150904524.3601213</v>
      </c>
      <c r="AN849" s="88">
        <f>SUM(AN14:AN847)</f>
        <v>1183771977.7523792</v>
      </c>
      <c r="AO849" s="21"/>
      <c r="AP849" s="21"/>
      <c r="AQ849" s="21"/>
      <c r="AR849" s="88">
        <f>SUM(AR153:AR847)</f>
        <v>206264278.25580409</v>
      </c>
      <c r="AS849" s="88">
        <f>SUM(AS153:AS847)</f>
        <v>234630538.68098187</v>
      </c>
      <c r="AT849" s="88">
        <f>SUM(AT153:AT847)</f>
        <v>242100185.27088431</v>
      </c>
      <c r="AU849" s="88">
        <f t="shared" ref="AU849:BA849" si="606">SUM(AU14:AU847)</f>
        <v>215136650.14022076</v>
      </c>
      <c r="AV849" s="88">
        <f t="shared" si="606"/>
        <v>222562945.21624845</v>
      </c>
      <c r="AW849" s="88">
        <f t="shared" si="606"/>
        <v>232444118.7643033</v>
      </c>
      <c r="AX849" s="88">
        <f t="shared" si="606"/>
        <v>203466043.58437794</v>
      </c>
      <c r="AY849" s="88">
        <f t="shared" si="606"/>
        <v>164627509.72562414</v>
      </c>
      <c r="AZ849" s="88">
        <f t="shared" si="606"/>
        <v>202019646.26072827</v>
      </c>
      <c r="BA849" s="88">
        <f t="shared" si="606"/>
        <v>205948836.02614748</v>
      </c>
      <c r="BB849" s="21"/>
      <c r="BC849" s="88">
        <f t="shared" ref="BC849:BL849" si="607">SUM(BC14:BC847)</f>
        <v>118648058.64368123</v>
      </c>
      <c r="BD849" s="88">
        <f t="shared" si="607"/>
        <v>126598916.66227679</v>
      </c>
      <c r="BE849" s="88">
        <f t="shared" si="607"/>
        <v>165310534.84557831</v>
      </c>
      <c r="BF849" s="88">
        <f t="shared" si="607"/>
        <v>155241490.5701451</v>
      </c>
      <c r="BG849" s="88">
        <f t="shared" si="607"/>
        <v>157609746.8833164</v>
      </c>
      <c r="BH849" s="88">
        <f t="shared" si="607"/>
        <v>122947588.37923959</v>
      </c>
      <c r="BI849" s="88">
        <f t="shared" si="607"/>
        <v>104656269.57277472</v>
      </c>
      <c r="BJ849" s="88">
        <f t="shared" si="607"/>
        <v>60097584.433326557</v>
      </c>
      <c r="BK849" s="88">
        <f t="shared" si="607"/>
        <v>79480622.766252041</v>
      </c>
      <c r="BL849" s="88">
        <f t="shared" si="607"/>
        <v>93181164.995789289</v>
      </c>
      <c r="BM849" s="88"/>
      <c r="BN849" s="88">
        <f>SUM(BN14:BN847)</f>
        <v>2150904524.3601213</v>
      </c>
      <c r="BO849" s="88">
        <f>SUM(BO14:BO847)</f>
        <v>1183771977.7523792</v>
      </c>
      <c r="BP849" s="145"/>
      <c r="BQ849" s="21"/>
      <c r="BR849" s="21"/>
      <c r="BY849" s="6"/>
    </row>
    <row r="850" spans="1:77">
      <c r="A850" s="8" t="s">
        <v>2259</v>
      </c>
      <c r="B850" s="21"/>
      <c r="C850" s="21"/>
      <c r="D850" s="21"/>
      <c r="E850" s="282"/>
      <c r="F850" s="282"/>
      <c r="G850" s="21"/>
      <c r="H850" s="15"/>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145"/>
      <c r="BQ850" s="21"/>
      <c r="BR850" s="21"/>
      <c r="BY850" s="6"/>
    </row>
    <row r="851" spans="1:77">
      <c r="A851" s="8" t="s">
        <v>2259</v>
      </c>
      <c r="B851" s="21"/>
      <c r="C851" s="21"/>
      <c r="D851" s="21"/>
      <c r="E851" s="282"/>
      <c r="F851" s="282"/>
      <c r="G851" s="21"/>
      <c r="H851" s="15"/>
      <c r="I851" s="21"/>
      <c r="J851" s="21"/>
      <c r="K851" s="88"/>
      <c r="L851" s="88"/>
      <c r="M851" s="88"/>
      <c r="N851" s="88"/>
      <c r="O851" s="88"/>
      <c r="P851" s="88"/>
      <c r="Q851" s="88"/>
      <c r="R851" s="88"/>
      <c r="S851" s="88"/>
      <c r="T851" s="88"/>
      <c r="U851" s="88"/>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145"/>
      <c r="BQ851" s="21"/>
      <c r="BR851" s="21"/>
      <c r="BY851" s="6"/>
    </row>
    <row r="852" spans="1:77">
      <c r="A852" s="8" t="s">
        <v>2259</v>
      </c>
      <c r="B852" s="21"/>
      <c r="C852" s="21"/>
      <c r="D852" s="21"/>
      <c r="E852" s="282"/>
      <c r="F852" s="282"/>
      <c r="G852" s="21"/>
      <c r="H852" s="15"/>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17">
        <f>AM244+AM245</f>
        <v>0</v>
      </c>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145"/>
      <c r="BQ852" s="21"/>
      <c r="BR852" s="21"/>
      <c r="BY852" s="6"/>
    </row>
    <row r="853" spans="1:77">
      <c r="A853" s="8" t="s">
        <v>2259</v>
      </c>
      <c r="B853" s="21"/>
      <c r="C853" s="21"/>
      <c r="D853" s="21"/>
      <c r="E853" s="282"/>
      <c r="F853" s="282"/>
      <c r="G853" s="21"/>
      <c r="H853" s="15"/>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145"/>
      <c r="BQ853" s="21"/>
      <c r="BR853" s="21"/>
      <c r="BY853" s="6"/>
    </row>
    <row r="854" spans="1:77">
      <c r="A854" s="8" t="s">
        <v>2259</v>
      </c>
      <c r="B854" s="21"/>
      <c r="C854" s="21"/>
      <c r="D854" s="21"/>
      <c r="E854" s="282"/>
      <c r="F854" s="282"/>
      <c r="G854" s="21"/>
      <c r="H854" s="15"/>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145"/>
      <c r="BQ854" s="21"/>
      <c r="BR854" s="21"/>
      <c r="BY854" s="6"/>
    </row>
    <row r="855" spans="1:77">
      <c r="B855" s="21"/>
      <c r="C855" s="21"/>
      <c r="D855" s="21"/>
      <c r="E855" s="282"/>
      <c r="F855" s="282"/>
      <c r="G855" s="21"/>
      <c r="H855" s="15"/>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145"/>
      <c r="BQ855" s="21"/>
      <c r="BR855" s="21"/>
      <c r="BS855" s="456"/>
      <c r="BT855" s="145"/>
      <c r="BU855" s="145"/>
      <c r="BV855" s="145"/>
      <c r="BW855" s="145"/>
      <c r="BX855" s="145"/>
    </row>
    <row r="856" spans="1:77" ht="12.5">
      <c r="K856" s="67">
        <f t="shared" ref="K856:U856" si="608">SUBTOTAL(9,K14:K32)</f>
        <v>21882637.84</v>
      </c>
      <c r="L856" s="67">
        <f t="shared" si="608"/>
        <v>5576525</v>
      </c>
      <c r="M856" s="67">
        <f t="shared" si="608"/>
        <v>15887196</v>
      </c>
      <c r="N856" s="67">
        <f t="shared" si="608"/>
        <v>16507069</v>
      </c>
      <c r="O856" s="67">
        <f t="shared" si="608"/>
        <v>22852570</v>
      </c>
      <c r="P856" s="67">
        <f t="shared" si="608"/>
        <v>7000000</v>
      </c>
      <c r="Q856" s="67">
        <f t="shared" si="608"/>
        <v>0</v>
      </c>
      <c r="R856" s="67">
        <f t="shared" si="608"/>
        <v>0</v>
      </c>
      <c r="S856" s="67">
        <f t="shared" si="608"/>
        <v>0</v>
      </c>
      <c r="T856" s="67">
        <f t="shared" si="608"/>
        <v>0</v>
      </c>
      <c r="U856" s="67">
        <f t="shared" si="608"/>
        <v>89705997.840000004</v>
      </c>
      <c r="V856" s="2"/>
      <c r="W856" s="2"/>
      <c r="X856" s="2"/>
      <c r="Y856" s="2"/>
      <c r="Z856" s="2"/>
      <c r="AA856" s="2"/>
      <c r="AB856" s="2"/>
      <c r="AC856" s="2"/>
      <c r="AD856" s="2"/>
      <c r="AE856" s="2"/>
      <c r="AF856" s="2"/>
      <c r="AG856" s="2"/>
      <c r="AP856" s="2"/>
      <c r="AQ856" s="2"/>
      <c r="AR856" s="2"/>
      <c r="AS856" s="383"/>
      <c r="AT856" s="383"/>
      <c r="AV856" s="2"/>
      <c r="AW856" s="2"/>
      <c r="AX856" s="2"/>
      <c r="AY856" s="2"/>
      <c r="AZ856" s="2"/>
      <c r="BA856" s="2"/>
      <c r="BB856" s="2"/>
      <c r="BC856" s="2"/>
      <c r="BD856" s="2"/>
      <c r="BE856" s="2"/>
      <c r="BF856" s="67"/>
      <c r="BG856" s="2"/>
      <c r="BH856" s="2"/>
      <c r="BI856" s="2"/>
      <c r="BJ856" s="2"/>
      <c r="BK856" s="2"/>
      <c r="BL856" s="2"/>
      <c r="BM856" s="2"/>
      <c r="BN856" s="2"/>
      <c r="BO856" s="2"/>
      <c r="BP856" s="2"/>
      <c r="BR856" s="2"/>
      <c r="BS856" s="2"/>
    </row>
    <row r="857" spans="1:77" ht="12.5">
      <c r="J857" s="6"/>
      <c r="K857" s="6"/>
      <c r="O857" s="291"/>
      <c r="P857" s="291"/>
      <c r="Q857" s="291"/>
      <c r="R857" s="291"/>
      <c r="S857" s="291"/>
      <c r="T857" s="291"/>
      <c r="U857" s="7">
        <v>35000000</v>
      </c>
      <c r="AC857" s="142"/>
      <c r="AG857" s="143"/>
      <c r="AP857" s="67"/>
      <c r="AS857" s="383"/>
      <c r="AT857" s="383"/>
      <c r="AV857" s="67"/>
      <c r="AW857" s="67"/>
      <c r="AX857" s="67"/>
      <c r="AY857" s="67"/>
      <c r="AZ857" s="67"/>
      <c r="BA857" s="67"/>
      <c r="BB857" s="67"/>
      <c r="BC857" s="71"/>
      <c r="BD857" s="67"/>
      <c r="BE857" s="67"/>
      <c r="BF857" s="67"/>
    </row>
    <row r="858" spans="1:77" ht="12.5">
      <c r="J858" s="6"/>
      <c r="K858" s="6"/>
      <c r="M858" s="291"/>
      <c r="U858" s="7">
        <f>U856-U857</f>
        <v>54705997.840000004</v>
      </c>
      <c r="AC858" s="142"/>
      <c r="AG858" s="143"/>
      <c r="AL858" s="296">
        <f>SUBTOTAL(9,AL14:AL855)</f>
        <v>35527187633.016098</v>
      </c>
      <c r="AM858" s="296">
        <f>SUBTOTAL(9,AM14:AM855)</f>
        <v>4301809048.7202425</v>
      </c>
      <c r="AN858" s="296">
        <f>SUBTOTAL(9,AN14:AN855)</f>
        <v>2367543955.5047584</v>
      </c>
      <c r="AP858" s="67"/>
      <c r="AS858" s="383"/>
      <c r="AT858" s="383"/>
      <c r="AV858" s="67"/>
      <c r="AW858" s="67"/>
      <c r="AX858" s="67"/>
      <c r="AY858" s="67"/>
      <c r="AZ858" s="67"/>
      <c r="BA858" s="67"/>
      <c r="BB858" s="67"/>
      <c r="BC858" s="71"/>
      <c r="BD858" s="67"/>
      <c r="BE858" s="67"/>
      <c r="BF858" s="67"/>
    </row>
    <row r="859" spans="1:77" ht="12.5">
      <c r="J859" s="6"/>
      <c r="K859" s="6"/>
      <c r="U859" s="7">
        <f>U858*0.96</f>
        <v>52517757.926399998</v>
      </c>
      <c r="AC859" s="142"/>
      <c r="AG859" s="143"/>
      <c r="AM859" s="272"/>
      <c r="AN859" s="466">
        <f>AM858+AN858</f>
        <v>6669353004.2250004</v>
      </c>
      <c r="AP859" s="67"/>
      <c r="AR859" s="2">
        <f>+AN849-D939</f>
        <v>36243250.39977932</v>
      </c>
      <c r="AS859" s="383"/>
      <c r="AT859" s="383"/>
      <c r="AV859" s="67"/>
      <c r="AW859" s="67"/>
      <c r="AX859" s="67"/>
      <c r="AY859" s="67"/>
      <c r="AZ859" s="67"/>
      <c r="BA859" s="67"/>
      <c r="BB859" s="67"/>
      <c r="BC859" s="71"/>
      <c r="BD859" s="67"/>
      <c r="BE859" s="67"/>
      <c r="BF859" s="67"/>
    </row>
    <row r="860" spans="1:77" ht="12.5">
      <c r="A860" s="362"/>
      <c r="B860" s="206"/>
      <c r="C860" s="5" t="s">
        <v>2509</v>
      </c>
      <c r="D860" s="5" t="s">
        <v>2510</v>
      </c>
      <c r="E860" s="283"/>
      <c r="F860" s="283"/>
      <c r="J860" s="6"/>
      <c r="K860" s="6"/>
      <c r="U860" s="7"/>
      <c r="AC860" s="142"/>
      <c r="AG860" s="143"/>
      <c r="AN860" s="68"/>
      <c r="AO860" s="68"/>
      <c r="AP860" s="67"/>
      <c r="AS860" s="383"/>
      <c r="AT860" s="383"/>
      <c r="AV860" s="67"/>
      <c r="AW860" s="67"/>
      <c r="AX860" s="67"/>
      <c r="AY860" s="67"/>
      <c r="AZ860" s="67"/>
      <c r="BA860" s="67"/>
      <c r="BB860" s="67"/>
      <c r="BC860" s="71"/>
      <c r="BD860" s="67"/>
      <c r="BE860" s="67"/>
      <c r="BF860" s="67"/>
    </row>
    <row r="861" spans="1:77" ht="12.5">
      <c r="A861" s="380" t="s">
        <v>2628</v>
      </c>
      <c r="B861" s="362" t="s">
        <v>2508</v>
      </c>
      <c r="C861" s="89">
        <f>SUMIFS(AM$14:AM$831,$B$14:$B$831,$A861,$A$14:$A$831,$B861)</f>
        <v>0</v>
      </c>
      <c r="D861" s="89">
        <f>SUMIFS(AN$14:AN$831,$B$14:$B$831,$A861,$A$14:$A$831,$B861)</f>
        <v>0</v>
      </c>
      <c r="E861" s="285"/>
      <c r="F861" s="285"/>
      <c r="G861" s="89"/>
      <c r="H861" s="360"/>
      <c r="I861" s="89"/>
      <c r="J861" s="6"/>
      <c r="K861" s="292"/>
      <c r="L861" s="292"/>
      <c r="M861" s="292"/>
      <c r="N861" s="292"/>
      <c r="O861" s="292"/>
      <c r="P861" s="292"/>
      <c r="Q861" s="292"/>
      <c r="R861" s="292"/>
      <c r="S861" s="292"/>
      <c r="T861" s="292"/>
      <c r="U861" s="7"/>
      <c r="AC861" s="142"/>
      <c r="AG861" s="143"/>
      <c r="AP861" s="67"/>
      <c r="AS861" s="383"/>
      <c r="AT861" s="383"/>
      <c r="AV861" s="67"/>
      <c r="AW861" s="67"/>
      <c r="AX861" s="67"/>
      <c r="AY861" s="67"/>
      <c r="AZ861" s="67"/>
      <c r="BA861" s="67"/>
      <c r="BB861" s="67"/>
      <c r="BC861" s="71"/>
      <c r="BD861" s="67"/>
      <c r="BE861" s="67"/>
      <c r="BF861" s="67"/>
    </row>
    <row r="862" spans="1:77" ht="12.5">
      <c r="A862" s="380" t="s">
        <v>2628</v>
      </c>
      <c r="B862" s="362" t="s">
        <v>2505</v>
      </c>
      <c r="C862" s="89">
        <f t="shared" ref="C862:C891" si="609">SUMIFS(AM$14:AM$831,$B$14:$B$831,$A862,$A$14:$A$831,$B862)</f>
        <v>0</v>
      </c>
      <c r="D862" s="89">
        <f t="shared" ref="D862:D924" si="610">SUMIFS(AN$14:AN$831,$B$14:$B$831,$A862,$A$14:$A$831,$B862)</f>
        <v>0</v>
      </c>
      <c r="E862" s="285"/>
      <c r="F862" s="285"/>
      <c r="G862" s="89"/>
      <c r="H862" s="360"/>
      <c r="I862" s="89"/>
      <c r="J862" s="6"/>
      <c r="K862" s="6"/>
      <c r="O862" s="7"/>
      <c r="P862" s="7"/>
      <c r="Q862" s="7"/>
      <c r="R862" s="7"/>
      <c r="S862" s="7"/>
      <c r="T862" s="7"/>
      <c r="U862" s="7"/>
      <c r="AC862" s="142"/>
      <c r="AG862" s="143"/>
      <c r="AL862" s="194">
        <f>AA92</f>
        <v>437476342.87</v>
      </c>
      <c r="AM862" s="194">
        <f>AM92+AN92</f>
        <v>0</v>
      </c>
      <c r="AN862" s="68">
        <f>AM93+AN93</f>
        <v>0</v>
      </c>
      <c r="AO862" s="68"/>
      <c r="AP862" s="67"/>
      <c r="AS862" s="383"/>
      <c r="AT862" s="383"/>
      <c r="AV862" s="67"/>
      <c r="AW862" s="67"/>
      <c r="AX862" s="67"/>
      <c r="AY862" s="67"/>
      <c r="AZ862" s="67"/>
      <c r="BA862" s="67"/>
      <c r="BB862" s="67"/>
      <c r="BC862" s="71"/>
      <c r="BD862" s="67"/>
      <c r="BE862" s="67"/>
      <c r="BF862" s="67"/>
    </row>
    <row r="863" spans="1:77" ht="14.5">
      <c r="A863" s="380" t="s">
        <v>2628</v>
      </c>
      <c r="B863" s="362" t="s">
        <v>2504</v>
      </c>
      <c r="C863" s="89">
        <f t="shared" si="609"/>
        <v>0</v>
      </c>
      <c r="D863" s="89">
        <f t="shared" si="610"/>
        <v>0</v>
      </c>
      <c r="E863" s="285"/>
      <c r="F863" s="285"/>
      <c r="G863" s="89"/>
      <c r="H863" s="360"/>
      <c r="I863" s="89"/>
      <c r="J863" s="6"/>
      <c r="K863" s="291"/>
      <c r="L863" s="291"/>
      <c r="M863" s="291"/>
      <c r="N863" s="291"/>
      <c r="O863" s="291"/>
      <c r="P863" s="291"/>
      <c r="Q863" s="291"/>
      <c r="R863" s="291"/>
      <c r="S863" s="291"/>
      <c r="T863" s="291"/>
      <c r="U863" s="265"/>
      <c r="AC863" s="142"/>
      <c r="AG863" s="143"/>
      <c r="AM863" s="351">
        <f>AM862+AN862</f>
        <v>0</v>
      </c>
      <c r="AP863" s="67"/>
      <c r="AS863" s="383"/>
      <c r="AT863" s="383"/>
      <c r="AV863" s="67"/>
      <c r="AW863" s="67"/>
      <c r="AX863" s="67"/>
      <c r="AY863" s="67"/>
      <c r="AZ863" s="67"/>
      <c r="BA863" s="67"/>
      <c r="BB863" s="67"/>
      <c r="BC863" s="71"/>
      <c r="BD863" s="67"/>
      <c r="BE863" s="67"/>
      <c r="BF863" s="67"/>
    </row>
    <row r="864" spans="1:77" ht="14.5">
      <c r="A864" s="380" t="s">
        <v>2628</v>
      </c>
      <c r="B864" s="362" t="s">
        <v>2507</v>
      </c>
      <c r="C864" s="89">
        <f t="shared" si="609"/>
        <v>824250</v>
      </c>
      <c r="D864" s="89">
        <f t="shared" si="610"/>
        <v>0</v>
      </c>
      <c r="E864" s="285"/>
      <c r="F864" s="285"/>
      <c r="G864" s="89"/>
      <c r="H864" s="360"/>
      <c r="I864" s="89"/>
      <c r="J864" s="6"/>
      <c r="K864" s="6"/>
      <c r="M864" s="5"/>
      <c r="O864" s="293"/>
      <c r="P864" s="291"/>
      <c r="Q864" s="291"/>
      <c r="R864" s="291"/>
      <c r="S864" s="291"/>
      <c r="T864" s="291"/>
      <c r="U864" s="265"/>
      <c r="AC864" s="142"/>
      <c r="AG864" s="143"/>
      <c r="AM864" s="351">
        <f>AM863/AL862</f>
        <v>0</v>
      </c>
      <c r="AP864" s="67"/>
      <c r="AS864" s="383"/>
      <c r="AT864" s="383"/>
      <c r="AV864" s="67"/>
      <c r="AW864" s="67"/>
      <c r="AX864" s="67"/>
      <c r="AY864" s="67"/>
      <c r="AZ864" s="67"/>
      <c r="BA864" s="67"/>
      <c r="BB864" s="67"/>
      <c r="BC864" s="71"/>
      <c r="BD864" s="67"/>
      <c r="BE864" s="67"/>
      <c r="BF864" s="67"/>
    </row>
    <row r="865" spans="1:58" ht="14.5">
      <c r="A865" s="380" t="s">
        <v>2628</v>
      </c>
      <c r="B865" s="362" t="s">
        <v>2502</v>
      </c>
      <c r="C865" s="89">
        <f t="shared" si="609"/>
        <v>3671957</v>
      </c>
      <c r="D865" s="89">
        <f t="shared" si="610"/>
        <v>0</v>
      </c>
      <c r="E865" s="285"/>
      <c r="F865" s="285"/>
      <c r="G865" s="89"/>
      <c r="H865" s="360"/>
      <c r="I865" s="89"/>
      <c r="J865" s="6"/>
      <c r="K865" s="6"/>
      <c r="O865" s="294"/>
      <c r="P865" s="291"/>
      <c r="Q865" s="291"/>
      <c r="R865" s="291"/>
      <c r="S865" s="291"/>
      <c r="T865" s="291"/>
      <c r="U865" s="682"/>
      <c r="AC865" s="142"/>
      <c r="AG865" s="143"/>
      <c r="AP865" s="67"/>
      <c r="AS865" s="383"/>
      <c r="AT865" s="383"/>
      <c r="AV865" s="67"/>
      <c r="AW865" s="67"/>
      <c r="AX865" s="67"/>
      <c r="AY865" s="67"/>
      <c r="AZ865" s="67"/>
      <c r="BA865" s="67"/>
      <c r="BB865" s="67"/>
      <c r="BC865" s="71"/>
      <c r="BD865" s="67"/>
      <c r="BE865" s="67"/>
      <c r="BF865" s="67"/>
    </row>
    <row r="866" spans="1:58" ht="14.5">
      <c r="A866" s="380" t="s">
        <v>2628</v>
      </c>
      <c r="B866" s="362" t="s">
        <v>2506</v>
      </c>
      <c r="C866" s="89">
        <f t="shared" si="609"/>
        <v>3484397.8448000001</v>
      </c>
      <c r="D866" s="89">
        <f t="shared" si="610"/>
        <v>0</v>
      </c>
      <c r="E866" s="285"/>
      <c r="F866" s="285"/>
      <c r="G866" s="89"/>
      <c r="H866" s="360"/>
      <c r="I866" s="89"/>
      <c r="J866" s="6"/>
      <c r="K866" s="6"/>
      <c r="O866" s="7"/>
      <c r="P866" s="7"/>
      <c r="Q866" s="7"/>
      <c r="R866" s="7"/>
      <c r="S866" s="7"/>
      <c r="T866" s="7"/>
      <c r="U866" s="265"/>
      <c r="AC866" s="142"/>
      <c r="AG866" s="143"/>
      <c r="AP866" s="67"/>
      <c r="AS866" s="383"/>
      <c r="AT866" s="383"/>
      <c r="AV866" s="67"/>
      <c r="AW866" s="67"/>
      <c r="AX866" s="67"/>
      <c r="AY866" s="67"/>
      <c r="AZ866" s="67"/>
      <c r="BA866" s="67"/>
      <c r="BB866" s="67"/>
      <c r="BC866" s="71"/>
      <c r="BD866" s="67"/>
      <c r="BE866" s="67"/>
      <c r="BF866" s="67"/>
    </row>
    <row r="867" spans="1:58" ht="14.5">
      <c r="A867" s="380" t="s">
        <v>2628</v>
      </c>
      <c r="B867" s="362" t="s">
        <v>2503</v>
      </c>
      <c r="C867" s="89">
        <f t="shared" si="609"/>
        <v>28698301.59</v>
      </c>
      <c r="D867" s="89">
        <f t="shared" si="610"/>
        <v>0</v>
      </c>
      <c r="E867" s="285"/>
      <c r="F867" s="285"/>
      <c r="G867" s="89"/>
      <c r="H867" s="360"/>
      <c r="I867" s="89"/>
      <c r="O867" s="7"/>
      <c r="P867" s="7"/>
      <c r="Q867" s="7"/>
      <c r="R867" s="7"/>
      <c r="S867" s="7"/>
      <c r="T867" s="7"/>
      <c r="U867" s="265"/>
      <c r="AC867" s="142"/>
      <c r="AG867" s="143"/>
      <c r="AP867" s="67"/>
      <c r="AS867" s="383"/>
      <c r="AT867" s="383"/>
      <c r="AV867" s="67"/>
      <c r="AW867" s="67"/>
      <c r="AX867" s="67"/>
      <c r="AY867" s="67"/>
      <c r="AZ867" s="67"/>
      <c r="BA867" s="67"/>
      <c r="BB867" s="67"/>
      <c r="BC867" s="71"/>
      <c r="BD867" s="67"/>
      <c r="BE867" s="67"/>
      <c r="BF867" s="67"/>
    </row>
    <row r="868" spans="1:58" ht="14.5">
      <c r="A868" s="380" t="s">
        <v>2628</v>
      </c>
      <c r="B868" s="380" t="s">
        <v>2259</v>
      </c>
      <c r="C868" s="89">
        <f t="shared" si="609"/>
        <v>0</v>
      </c>
      <c r="D868" s="89">
        <f t="shared" si="610"/>
        <v>0</v>
      </c>
      <c r="E868" s="285"/>
      <c r="F868" s="285"/>
      <c r="G868" s="89"/>
      <c r="H868" s="360"/>
      <c r="I868" s="89"/>
      <c r="K868" s="295"/>
      <c r="L868" s="295"/>
      <c r="M868" s="295"/>
      <c r="N868" s="295"/>
      <c r="O868" s="295"/>
      <c r="P868" s="295"/>
      <c r="Q868" s="295"/>
      <c r="R868" s="295"/>
      <c r="S868" s="295"/>
      <c r="T868" s="295"/>
      <c r="U868" s="265"/>
      <c r="AC868" s="142"/>
      <c r="AG868" s="143"/>
      <c r="AN868" s="68"/>
      <c r="AO868" s="68"/>
      <c r="AP868" s="67"/>
      <c r="AS868" s="383"/>
      <c r="AT868" s="383"/>
      <c r="AV868" s="67"/>
      <c r="AW868" s="67"/>
      <c r="AX868" s="67"/>
      <c r="AY868" s="67"/>
      <c r="AZ868" s="67"/>
      <c r="BA868" s="67"/>
      <c r="BB868" s="67"/>
      <c r="BC868" s="71"/>
      <c r="BD868" s="67"/>
      <c r="BE868" s="67"/>
      <c r="BF868" s="67"/>
    </row>
    <row r="869" spans="1:58" ht="14.5">
      <c r="A869" s="380" t="s">
        <v>2266</v>
      </c>
      <c r="B869" s="362" t="s">
        <v>2508</v>
      </c>
      <c r="C869" s="89">
        <f t="shared" si="609"/>
        <v>0</v>
      </c>
      <c r="D869" s="89">
        <f t="shared" si="610"/>
        <v>0</v>
      </c>
      <c r="E869" s="285"/>
      <c r="F869" s="285"/>
      <c r="G869" s="89"/>
      <c r="H869" s="360"/>
      <c r="I869" s="89"/>
      <c r="K869" s="295"/>
      <c r="L869" s="295"/>
      <c r="M869" s="295"/>
      <c r="N869" s="295"/>
      <c r="O869" s="295"/>
      <c r="P869" s="295"/>
      <c r="Q869" s="295"/>
      <c r="R869" s="295"/>
      <c r="S869" s="295"/>
      <c r="T869" s="295"/>
      <c r="U869" s="265"/>
      <c r="AC869" s="142"/>
      <c r="AG869" s="143"/>
      <c r="AP869" s="67"/>
      <c r="AS869" s="383"/>
      <c r="AT869" s="383"/>
      <c r="AV869" s="67"/>
      <c r="AW869" s="67"/>
      <c r="AX869" s="67"/>
      <c r="AY869" s="67"/>
      <c r="AZ869" s="67"/>
      <c r="BA869" s="67"/>
      <c r="BB869" s="67"/>
      <c r="BC869" s="71"/>
      <c r="BD869" s="67"/>
      <c r="BE869" s="67"/>
      <c r="BF869" s="67"/>
    </row>
    <row r="870" spans="1:58" ht="12.5">
      <c r="A870" s="362" t="s">
        <v>2266</v>
      </c>
      <c r="B870" s="362" t="s">
        <v>2505</v>
      </c>
      <c r="C870" s="89">
        <f t="shared" si="609"/>
        <v>0</v>
      </c>
      <c r="D870" s="89">
        <f t="shared" si="610"/>
        <v>0</v>
      </c>
      <c r="E870" s="285"/>
      <c r="F870" s="285"/>
      <c r="G870" s="89"/>
      <c r="H870" s="360"/>
      <c r="I870" s="89"/>
      <c r="K870" s="295"/>
      <c r="L870" s="295"/>
      <c r="M870" s="295"/>
      <c r="N870" s="295"/>
      <c r="O870" s="295"/>
      <c r="P870" s="295"/>
      <c r="Q870" s="295"/>
      <c r="R870" s="295"/>
      <c r="S870" s="295"/>
      <c r="T870" s="295"/>
      <c r="U870" s="2"/>
      <c r="AC870" s="142"/>
      <c r="AG870" s="143"/>
      <c r="AN870" s="68"/>
      <c r="AO870" s="68"/>
      <c r="AP870" s="67"/>
      <c r="AS870" s="383"/>
      <c r="AT870" s="383"/>
      <c r="AV870" s="67"/>
      <c r="AW870" s="67"/>
      <c r="AX870" s="67"/>
      <c r="AY870" s="67"/>
      <c r="AZ870" s="67"/>
      <c r="BA870" s="67"/>
      <c r="BB870" s="67"/>
      <c r="BC870" s="71"/>
      <c r="BD870" s="67"/>
      <c r="BE870" s="67"/>
      <c r="BF870" s="67"/>
    </row>
    <row r="871" spans="1:58" ht="12.5">
      <c r="A871" s="362" t="s">
        <v>2266</v>
      </c>
      <c r="B871" s="362" t="s">
        <v>2504</v>
      </c>
      <c r="C871" s="89">
        <f t="shared" si="609"/>
        <v>0</v>
      </c>
      <c r="D871" s="89">
        <f t="shared" si="610"/>
        <v>0</v>
      </c>
      <c r="E871" s="285"/>
      <c r="F871" s="285"/>
      <c r="G871" s="89"/>
      <c r="H871" s="360"/>
      <c r="I871" s="89"/>
      <c r="K871" s="295"/>
      <c r="L871" s="295"/>
      <c r="M871" s="295"/>
      <c r="N871" s="295"/>
      <c r="O871" s="295"/>
      <c r="P871" s="295"/>
      <c r="Q871" s="295"/>
      <c r="R871" s="295"/>
      <c r="S871" s="295"/>
      <c r="T871" s="295"/>
      <c r="U871" s="2"/>
      <c r="AC871" s="142"/>
      <c r="AG871" s="143"/>
      <c r="AP871" s="67"/>
      <c r="AS871" s="383"/>
      <c r="AT871" s="383"/>
      <c r="AV871" s="67"/>
      <c r="AW871" s="67"/>
      <c r="AX871" s="67"/>
      <c r="AY871" s="67"/>
      <c r="AZ871" s="67"/>
      <c r="BA871" s="67"/>
      <c r="BB871" s="67"/>
      <c r="BC871" s="71"/>
      <c r="BD871" s="67"/>
      <c r="BE871" s="67"/>
      <c r="BF871" s="67"/>
    </row>
    <row r="872" spans="1:58" ht="12.5">
      <c r="A872" s="362" t="s">
        <v>2266</v>
      </c>
      <c r="B872" s="362" t="s">
        <v>2507</v>
      </c>
      <c r="C872" s="89">
        <f t="shared" si="609"/>
        <v>353860873.50999999</v>
      </c>
      <c r="D872" s="89">
        <f t="shared" si="610"/>
        <v>0</v>
      </c>
      <c r="E872" s="285"/>
      <c r="F872" s="285"/>
      <c r="G872" s="89"/>
      <c r="H872" s="360"/>
      <c r="I872" s="89"/>
      <c r="K872" s="6"/>
      <c r="AC872" s="142"/>
      <c r="AG872" s="143"/>
      <c r="AP872" s="67"/>
      <c r="AS872" s="383"/>
      <c r="AT872" s="383"/>
      <c r="AV872" s="67"/>
      <c r="AW872" s="67"/>
      <c r="AX872" s="67"/>
      <c r="AY872" s="67"/>
      <c r="AZ872" s="67"/>
      <c r="BA872" s="67"/>
      <c r="BB872" s="67"/>
      <c r="BC872" s="71"/>
      <c r="BD872" s="67"/>
      <c r="BE872" s="67"/>
      <c r="BF872" s="67"/>
    </row>
    <row r="873" spans="1:58" ht="12.5">
      <c r="A873" s="362" t="s">
        <v>2266</v>
      </c>
      <c r="B873" s="362" t="s">
        <v>2502</v>
      </c>
      <c r="C873" s="89">
        <f t="shared" si="609"/>
        <v>56757776.590000004</v>
      </c>
      <c r="D873" s="89">
        <f t="shared" si="610"/>
        <v>0</v>
      </c>
      <c r="E873" s="285"/>
      <c r="F873" s="285"/>
      <c r="G873" s="89"/>
      <c r="H873" s="360"/>
      <c r="I873" s="89"/>
      <c r="K873" s="295"/>
      <c r="L873" s="295"/>
      <c r="M873" s="295"/>
      <c r="N873" s="295"/>
      <c r="O873" s="295"/>
      <c r="P873" s="295"/>
      <c r="Q873" s="295"/>
      <c r="R873" s="295"/>
      <c r="S873" s="295"/>
      <c r="T873" s="295"/>
      <c r="AC873" s="142"/>
      <c r="AG873" s="143"/>
      <c r="AP873" s="67"/>
      <c r="AS873" s="67"/>
      <c r="AT873" s="67"/>
      <c r="AV873" s="71"/>
      <c r="AW873" s="71"/>
      <c r="AX873" s="71"/>
      <c r="AY873" s="71"/>
      <c r="AZ873" s="71"/>
      <c r="BA873" s="71"/>
      <c r="BB873" s="71"/>
      <c r="BC873" s="71"/>
      <c r="BD873" s="67"/>
      <c r="BE873" s="67"/>
      <c r="BF873" s="67"/>
    </row>
    <row r="874" spans="1:58" ht="12.5">
      <c r="A874" s="362" t="s">
        <v>2266</v>
      </c>
      <c r="B874" s="362" t="s">
        <v>2506</v>
      </c>
      <c r="C874" s="89">
        <f t="shared" si="609"/>
        <v>0</v>
      </c>
      <c r="D874" s="89">
        <f t="shared" si="610"/>
        <v>0</v>
      </c>
      <c r="E874" s="285"/>
      <c r="F874" s="285"/>
      <c r="G874" s="89"/>
      <c r="H874" s="360"/>
      <c r="I874" s="89"/>
      <c r="K874" s="6"/>
      <c r="AC874" s="142"/>
      <c r="AG874" s="143"/>
      <c r="AP874" s="67"/>
      <c r="AS874" s="67"/>
      <c r="AT874" s="67"/>
      <c r="AV874" s="67"/>
      <c r="AW874" s="67"/>
      <c r="AX874" s="67"/>
      <c r="AY874" s="67"/>
      <c r="AZ874" s="67"/>
      <c r="BA874" s="67"/>
      <c r="BB874" s="67"/>
      <c r="BC874" s="67"/>
      <c r="BD874" s="67"/>
      <c r="BE874" s="67"/>
      <c r="BF874" s="67"/>
    </row>
    <row r="875" spans="1:58" ht="12.5">
      <c r="A875" s="362" t="s">
        <v>2266</v>
      </c>
      <c r="B875" s="362" t="s">
        <v>2503</v>
      </c>
      <c r="C875" s="89">
        <f t="shared" si="609"/>
        <v>13642500</v>
      </c>
      <c r="D875" s="89">
        <f t="shared" si="610"/>
        <v>0</v>
      </c>
      <c r="E875" s="285"/>
      <c r="F875" s="285"/>
      <c r="G875" s="89"/>
      <c r="H875" s="360"/>
      <c r="I875" s="89"/>
      <c r="AC875" s="142"/>
      <c r="AG875" s="143"/>
      <c r="AP875" s="67"/>
      <c r="AS875" s="67"/>
      <c r="AT875" s="67"/>
      <c r="AV875" s="67"/>
      <c r="AW875" s="67"/>
      <c r="AX875" s="67"/>
      <c r="AY875" s="67"/>
      <c r="AZ875" s="67"/>
      <c r="BA875" s="67"/>
      <c r="BB875" s="67"/>
      <c r="BC875" s="67"/>
      <c r="BD875" s="67"/>
      <c r="BE875" s="67"/>
      <c r="BF875" s="67"/>
    </row>
    <row r="876" spans="1:58" ht="12.5">
      <c r="A876" s="362" t="s">
        <v>2266</v>
      </c>
      <c r="B876" s="362" t="s">
        <v>2259</v>
      </c>
      <c r="C876" s="89">
        <f t="shared" si="609"/>
        <v>0</v>
      </c>
      <c r="D876" s="89">
        <f t="shared" si="610"/>
        <v>0</v>
      </c>
      <c r="E876" s="285"/>
      <c r="F876" s="285"/>
      <c r="G876" s="596" t="s">
        <v>5376</v>
      </c>
      <c r="H876" s="360"/>
      <c r="I876" s="89"/>
      <c r="AC876" s="142"/>
      <c r="AG876" s="143"/>
      <c r="AM876" s="194">
        <f>SUMIF($G$832:$G$845,$G876,$AM$832:$AM$845)</f>
        <v>3415773.499999987</v>
      </c>
      <c r="AN876" s="194">
        <f>SUMIF(Historic_capex_list!$F$507:$F$519,$G876,Historic_capex_list!$P$507:$P$519)</f>
        <v>2676326.5827714922</v>
      </c>
      <c r="AO876" s="194">
        <f>+AN876+AM876</f>
        <v>6092100.0827714792</v>
      </c>
      <c r="AP876" s="67"/>
      <c r="AS876" s="67"/>
      <c r="AT876" s="67"/>
      <c r="AV876" s="67"/>
      <c r="AW876" s="67"/>
      <c r="AX876" s="67"/>
      <c r="AY876" s="67"/>
      <c r="AZ876" s="67"/>
      <c r="BA876" s="67"/>
      <c r="BB876" s="67"/>
      <c r="BC876" s="67"/>
      <c r="BD876" s="67"/>
      <c r="BE876" s="67"/>
      <c r="BF876" s="67"/>
    </row>
    <row r="877" spans="1:58" ht="12.5">
      <c r="A877" s="362" t="s">
        <v>465</v>
      </c>
      <c r="B877" s="362" t="s">
        <v>2508</v>
      </c>
      <c r="C877" s="89">
        <f t="shared" si="609"/>
        <v>0</v>
      </c>
      <c r="D877" s="89">
        <f t="shared" si="610"/>
        <v>0</v>
      </c>
      <c r="E877" s="285"/>
      <c r="F877" s="285"/>
      <c r="G877" s="596" t="s">
        <v>5377</v>
      </c>
      <c r="H877" s="360"/>
      <c r="I877" s="89"/>
      <c r="J877" s="6"/>
      <c r="K877" s="6"/>
      <c r="AC877" s="142"/>
      <c r="AG877" s="143"/>
      <c r="AM877" s="194">
        <f t="shared" ref="AM877:AM890" si="611">SUMIF($G$832:$G$845,$G877,$AM$832:$AM$845)</f>
        <v>200977.99999999994</v>
      </c>
      <c r="AN877" s="194">
        <f>SUMIF(Historic_capex_list!$F$507:$F$519,$G877,Historic_capex_list!$P$507:$P$519)</f>
        <v>9869.8675370666206</v>
      </c>
      <c r="AO877" s="194">
        <f t="shared" ref="AO877:AO890" si="612">+AN877+AM877</f>
        <v>210847.86753706657</v>
      </c>
      <c r="AP877" s="67"/>
      <c r="AS877" s="67"/>
      <c r="AT877" s="67"/>
      <c r="AV877" s="67"/>
      <c r="AW877" s="67"/>
      <c r="AX877" s="67"/>
      <c r="AY877" s="67"/>
      <c r="AZ877" s="67"/>
      <c r="BA877" s="67"/>
      <c r="BB877" s="67"/>
      <c r="BC877" s="67"/>
      <c r="BD877" s="67"/>
      <c r="BE877" s="67"/>
      <c r="BF877" s="67"/>
    </row>
    <row r="878" spans="1:58" ht="12.5">
      <c r="A878" s="362" t="s">
        <v>465</v>
      </c>
      <c r="B878" s="362" t="s">
        <v>2505</v>
      </c>
      <c r="C878" s="89">
        <f t="shared" si="609"/>
        <v>0</v>
      </c>
      <c r="D878" s="89">
        <f t="shared" si="610"/>
        <v>0</v>
      </c>
      <c r="E878" s="285"/>
      <c r="F878" s="285"/>
      <c r="G878" s="596" t="s">
        <v>5378</v>
      </c>
      <c r="H878" s="360"/>
      <c r="I878" s="89"/>
      <c r="J878" s="6"/>
      <c r="K878" s="6"/>
      <c r="AC878" s="142"/>
      <c r="AG878" s="143"/>
      <c r="AM878" s="194">
        <f t="shared" si="611"/>
        <v>96448.249999999985</v>
      </c>
      <c r="AN878" s="194">
        <f>SUMIF(Historic_capex_list!$F$507:$F$519,$G878,Historic_capex_list!$P$507:$P$519)</f>
        <v>192735.6031193751</v>
      </c>
      <c r="AO878" s="194">
        <f t="shared" si="612"/>
        <v>289183.85311937507</v>
      </c>
      <c r="AP878" s="67"/>
      <c r="AS878" s="67"/>
      <c r="AT878" s="67"/>
      <c r="AV878" s="67"/>
      <c r="AW878" s="67"/>
      <c r="AX878" s="67"/>
      <c r="AY878" s="67"/>
      <c r="AZ878" s="67"/>
      <c r="BA878" s="67"/>
      <c r="BB878" s="67"/>
      <c r="BC878" s="67"/>
      <c r="BD878" s="67"/>
      <c r="BE878" s="67"/>
      <c r="BF878" s="67"/>
    </row>
    <row r="879" spans="1:58" ht="12.5">
      <c r="A879" s="362" t="s">
        <v>465</v>
      </c>
      <c r="B879" s="362" t="s">
        <v>2504</v>
      </c>
      <c r="C879" s="89">
        <f t="shared" si="609"/>
        <v>0</v>
      </c>
      <c r="D879" s="89">
        <f t="shared" si="610"/>
        <v>0</v>
      </c>
      <c r="E879" s="285"/>
      <c r="F879" s="285"/>
      <c r="G879" s="596"/>
      <c r="H879" s="360"/>
      <c r="I879" s="89"/>
      <c r="J879" s="6"/>
      <c r="K879" s="6"/>
      <c r="P879" s="291"/>
      <c r="AC879" s="142"/>
      <c r="AG879" s="143"/>
      <c r="AM879" s="194">
        <f t="shared" si="611"/>
        <v>0</v>
      </c>
      <c r="AN879" s="194">
        <f>SUMIF(Historic_capex_list!$F$507:$F$519,$G879,Historic_capex_list!$P$507:$P$519)</f>
        <v>0</v>
      </c>
      <c r="AO879" s="194">
        <f t="shared" si="612"/>
        <v>0</v>
      </c>
      <c r="AP879" s="67"/>
      <c r="AS879" s="67"/>
      <c r="AT879" s="67"/>
      <c r="AV879" s="67"/>
      <c r="AW879" s="67"/>
      <c r="AX879" s="67"/>
      <c r="AY879" s="67"/>
      <c r="AZ879" s="67"/>
      <c r="BA879" s="67"/>
      <c r="BB879" s="67"/>
      <c r="BC879" s="67"/>
      <c r="BD879" s="67"/>
      <c r="BE879" s="67"/>
      <c r="BF879" s="67"/>
    </row>
    <row r="880" spans="1:58" ht="12.5">
      <c r="A880" s="362" t="s">
        <v>465</v>
      </c>
      <c r="B880" s="362" t="s">
        <v>2507</v>
      </c>
      <c r="C880" s="89">
        <f t="shared" si="609"/>
        <v>214151785.13572815</v>
      </c>
      <c r="D880" s="89">
        <f t="shared" si="610"/>
        <v>198283535.13572815</v>
      </c>
      <c r="E880" s="285"/>
      <c r="F880" s="285"/>
      <c r="G880" s="596"/>
      <c r="H880" s="360"/>
      <c r="I880" s="89"/>
      <c r="J880" s="6"/>
      <c r="K880" s="6"/>
      <c r="AC880" s="142"/>
      <c r="AG880" s="143"/>
      <c r="AM880" s="194">
        <f t="shared" si="611"/>
        <v>0</v>
      </c>
      <c r="AN880" s="194">
        <f>SUMIF(Historic_capex_list!$F$507:$F$519,$G880,Historic_capex_list!$P$507:$P$519)</f>
        <v>0</v>
      </c>
      <c r="AO880" s="194">
        <f t="shared" si="612"/>
        <v>0</v>
      </c>
      <c r="AP880" s="67"/>
    </row>
    <row r="881" spans="1:42" ht="12.5">
      <c r="A881" s="362" t="s">
        <v>465</v>
      </c>
      <c r="B881" s="362" t="s">
        <v>2502</v>
      </c>
      <c r="C881" s="89">
        <f t="shared" si="609"/>
        <v>129353125</v>
      </c>
      <c r="D881" s="89">
        <f t="shared" si="610"/>
        <v>129353125</v>
      </c>
      <c r="E881" s="285"/>
      <c r="F881" s="285"/>
      <c r="G881" s="596" t="s">
        <v>5379</v>
      </c>
      <c r="H881" s="360"/>
      <c r="I881" s="89"/>
      <c r="J881" s="6"/>
      <c r="K881" s="6"/>
      <c r="AC881" s="142"/>
      <c r="AG881" s="143"/>
      <c r="AM881" s="194">
        <f t="shared" si="611"/>
        <v>10796591.523076922</v>
      </c>
      <c r="AN881" s="194">
        <f>SUMIF(Historic_capex_list!$F$507:$F$519,$G881,Historic_capex_list!$P$507:$P$519)</f>
        <v>-936045.8087110481</v>
      </c>
      <c r="AO881" s="194">
        <f t="shared" si="612"/>
        <v>9860545.7143658735</v>
      </c>
      <c r="AP881" s="67"/>
    </row>
    <row r="882" spans="1:42" ht="12.5">
      <c r="A882" s="362" t="s">
        <v>465</v>
      </c>
      <c r="B882" s="362" t="s">
        <v>2506</v>
      </c>
      <c r="C882" s="89">
        <f t="shared" si="609"/>
        <v>0</v>
      </c>
      <c r="D882" s="89">
        <f t="shared" si="610"/>
        <v>0</v>
      </c>
      <c r="E882" s="285"/>
      <c r="F882" s="285"/>
      <c r="G882" s="596" t="s">
        <v>5380</v>
      </c>
      <c r="H882" s="360"/>
      <c r="I882" s="89"/>
      <c r="J882" s="6"/>
      <c r="K882" s="6"/>
      <c r="AC882" s="142"/>
      <c r="AG882" s="143"/>
      <c r="AM882" s="194">
        <f t="shared" si="611"/>
        <v>-138535.99999999983</v>
      </c>
      <c r="AN882" s="194">
        <f>SUMIF(Historic_capex_list!$F$507:$F$519,$G882,Historic_capex_list!$P$507:$P$519)</f>
        <v>3463857.3474632287</v>
      </c>
      <c r="AO882" s="194">
        <f t="shared" si="612"/>
        <v>3325321.3474632287</v>
      </c>
      <c r="AP882" s="67"/>
    </row>
    <row r="883" spans="1:42" ht="12.5">
      <c r="A883" s="362" t="s">
        <v>465</v>
      </c>
      <c r="B883" s="362" t="s">
        <v>2503</v>
      </c>
      <c r="C883" s="89">
        <f t="shared" si="609"/>
        <v>0</v>
      </c>
      <c r="D883" s="89">
        <f t="shared" si="610"/>
        <v>0</v>
      </c>
      <c r="E883" s="285"/>
      <c r="F883" s="285"/>
      <c r="G883" s="596" t="s">
        <v>5381</v>
      </c>
      <c r="H883" s="360"/>
      <c r="I883" s="89"/>
      <c r="J883" s="6"/>
      <c r="K883" s="6"/>
      <c r="AC883" s="142"/>
      <c r="AG883" s="143"/>
      <c r="AM883" s="194">
        <f t="shared" si="611"/>
        <v>13786391.199999997</v>
      </c>
      <c r="AN883" s="194">
        <f>SUMIF(Historic_capex_list!$F$507:$F$519,$G883,Historic_capex_list!$P$507:$P$519)</f>
        <v>-617219.62380325247</v>
      </c>
      <c r="AO883" s="194">
        <f t="shared" si="612"/>
        <v>13169171.576196745</v>
      </c>
      <c r="AP883" s="67"/>
    </row>
    <row r="884" spans="1:42" ht="12.5">
      <c r="A884" s="362" t="s">
        <v>465</v>
      </c>
      <c r="B884" s="362" t="s">
        <v>2259</v>
      </c>
      <c r="C884" s="89">
        <f t="shared" si="609"/>
        <v>0</v>
      </c>
      <c r="D884" s="89">
        <f t="shared" si="610"/>
        <v>0</v>
      </c>
      <c r="E884" s="285"/>
      <c r="F884" s="285"/>
      <c r="G884" s="596" t="s">
        <v>5392</v>
      </c>
      <c r="H884" s="360"/>
      <c r="I884" s="89"/>
      <c r="J884" s="6"/>
      <c r="K884" s="6"/>
      <c r="AC884" s="142"/>
      <c r="AG884" s="143"/>
      <c r="AM884" s="194">
        <f t="shared" si="611"/>
        <v>3975274.25</v>
      </c>
      <c r="AN884" s="194">
        <f>SUMIF(Historic_capex_list!$F$507:$F$519,$G884,Historic_capex_list!$P$507:$P$519)</f>
        <v>0</v>
      </c>
      <c r="AO884" s="194">
        <f t="shared" si="612"/>
        <v>3975274.25</v>
      </c>
      <c r="AP884" s="67"/>
    </row>
    <row r="885" spans="1:42" ht="12.5">
      <c r="A885" s="362" t="s">
        <v>460</v>
      </c>
      <c r="B885" s="362" t="s">
        <v>2508</v>
      </c>
      <c r="C885" s="89">
        <f t="shared" si="609"/>
        <v>0</v>
      </c>
      <c r="D885" s="89">
        <f>SUMIFS(AN$14:AN$831,$B$14:$B$831,$A885,$A$14:$A$831,$B885)</f>
        <v>0</v>
      </c>
      <c r="E885" s="285"/>
      <c r="F885" s="285"/>
      <c r="G885" s="596"/>
      <c r="H885" s="360"/>
      <c r="I885" s="89"/>
      <c r="J885" s="6"/>
      <c r="K885" s="6"/>
      <c r="AC885" s="142"/>
      <c r="AG885" s="143"/>
      <c r="AM885" s="194">
        <f t="shared" si="611"/>
        <v>0</v>
      </c>
      <c r="AN885" s="194">
        <f>SUMIF(Historic_capex_list!$F$507:$F$519,$G885,Historic_capex_list!$P$507:$P$519)</f>
        <v>0</v>
      </c>
      <c r="AO885" s="194">
        <f t="shared" si="612"/>
        <v>0</v>
      </c>
      <c r="AP885" s="67"/>
    </row>
    <row r="886" spans="1:42" ht="12.5">
      <c r="A886" s="362" t="s">
        <v>460</v>
      </c>
      <c r="B886" s="362" t="s">
        <v>2505</v>
      </c>
      <c r="C886" s="89">
        <f t="shared" si="609"/>
        <v>0</v>
      </c>
      <c r="D886" s="89">
        <f t="shared" si="610"/>
        <v>0</v>
      </c>
      <c r="E886" s="285"/>
      <c r="F886" s="285"/>
      <c r="G886" s="596" t="s">
        <v>5382</v>
      </c>
      <c r="H886" s="360"/>
      <c r="I886" s="89"/>
      <c r="J886" s="6"/>
      <c r="K886" s="6"/>
      <c r="AC886" s="142"/>
      <c r="AG886" s="143"/>
      <c r="AM886" s="194">
        <f t="shared" si="611"/>
        <v>6337940.3571428573</v>
      </c>
      <c r="AN886" s="194">
        <f>SUMIF(Historic_capex_list!$F$507:$F$519,$G886,Historic_capex_list!$P$507:$P$519)</f>
        <v>-153594.93560283733</v>
      </c>
      <c r="AO886" s="194">
        <f t="shared" si="612"/>
        <v>6184345.42154002</v>
      </c>
      <c r="AP886" s="67"/>
    </row>
    <row r="887" spans="1:42" ht="12.5">
      <c r="A887" s="362" t="s">
        <v>460</v>
      </c>
      <c r="B887" s="362" t="s">
        <v>2504</v>
      </c>
      <c r="C887" s="89">
        <f t="shared" si="609"/>
        <v>0</v>
      </c>
      <c r="D887" s="89">
        <f t="shared" si="610"/>
        <v>0</v>
      </c>
      <c r="E887" s="285"/>
      <c r="F887" s="285"/>
      <c r="G887" s="596" t="s">
        <v>5383</v>
      </c>
      <c r="H887" s="360"/>
      <c r="I887" s="89"/>
      <c r="J887" s="6"/>
      <c r="K887" s="6"/>
      <c r="AC887" s="142"/>
      <c r="AG887" s="143"/>
      <c r="AM887" s="194">
        <f t="shared" si="611"/>
        <v>0</v>
      </c>
      <c r="AN887" s="194">
        <f>SUMIF(Historic_capex_list!$F$507:$F$519,$G887,Historic_capex_list!$P$507:$P$519)</f>
        <v>192550.19205468753</v>
      </c>
      <c r="AO887" s="194">
        <f t="shared" si="612"/>
        <v>192550.19205468753</v>
      </c>
      <c r="AP887" s="67"/>
    </row>
    <row r="888" spans="1:42" ht="12.5">
      <c r="A888" s="362" t="s">
        <v>460</v>
      </c>
      <c r="B888" s="362" t="s">
        <v>2507</v>
      </c>
      <c r="C888" s="89">
        <f t="shared" si="609"/>
        <v>0</v>
      </c>
      <c r="D888" s="89">
        <f t="shared" si="610"/>
        <v>0</v>
      </c>
      <c r="E888" s="285"/>
      <c r="F888" s="285"/>
      <c r="G888" s="596" t="s">
        <v>5384</v>
      </c>
      <c r="H888" s="360"/>
      <c r="I888" s="89"/>
      <c r="J888" s="6"/>
      <c r="K888" s="6"/>
      <c r="AC888" s="142"/>
      <c r="AG888" s="143"/>
      <c r="AM888" s="194">
        <f t="shared" si="611"/>
        <v>8038.2500000000082</v>
      </c>
      <c r="AN888" s="194">
        <f>SUMIF(Historic_capex_list!$F$507:$F$519,$G888,Historic_capex_list!$P$507:$P$519)</f>
        <v>181774.93772048914</v>
      </c>
      <c r="AO888" s="194">
        <f t="shared" si="612"/>
        <v>189813.18772048914</v>
      </c>
      <c r="AP888" s="67"/>
    </row>
    <row r="889" spans="1:42" ht="12.5">
      <c r="A889" s="362" t="s">
        <v>460</v>
      </c>
      <c r="B889" s="362" t="s">
        <v>2502</v>
      </c>
      <c r="C889" s="89">
        <f t="shared" si="609"/>
        <v>0</v>
      </c>
      <c r="D889" s="89">
        <f t="shared" si="610"/>
        <v>0</v>
      </c>
      <c r="E889" s="285"/>
      <c r="F889" s="285"/>
      <c r="G889" s="596" t="s">
        <v>5380</v>
      </c>
      <c r="H889" s="360"/>
      <c r="I889" s="89"/>
      <c r="J889" s="6"/>
      <c r="K889" s="6"/>
      <c r="AC889" s="142"/>
      <c r="AG889" s="143"/>
      <c r="AM889" s="194">
        <f t="shared" si="611"/>
        <v>-138535.99999999983</v>
      </c>
      <c r="AN889" s="194">
        <f>SUMIF(Historic_capex_list!$F$507:$F$519,$G889,Historic_capex_list!$P$507:$P$519)</f>
        <v>3463857.3474632287</v>
      </c>
      <c r="AO889" s="194">
        <f t="shared" si="612"/>
        <v>3325321.3474632287</v>
      </c>
      <c r="AP889" s="67"/>
    </row>
    <row r="890" spans="1:42" ht="12.5">
      <c r="A890" s="362" t="s">
        <v>460</v>
      </c>
      <c r="B890" s="362" t="s">
        <v>2506</v>
      </c>
      <c r="C890" s="89">
        <f t="shared" si="609"/>
        <v>0</v>
      </c>
      <c r="D890" s="89">
        <f t="shared" si="610"/>
        <v>0</v>
      </c>
      <c r="E890" s="285"/>
      <c r="F890" s="285"/>
      <c r="G890" s="89"/>
      <c r="H890" s="360"/>
      <c r="I890" s="89"/>
      <c r="J890" s="6"/>
      <c r="K890" s="6"/>
      <c r="AC890" s="142"/>
      <c r="AG890" s="143"/>
      <c r="AM890" s="194">
        <f t="shared" si="611"/>
        <v>0</v>
      </c>
      <c r="AN890" s="194">
        <f>SUMIF(Historic_capex_list!$F$507:$F$519,$G890,Historic_capex_list!$P$507:$P$519)</f>
        <v>0</v>
      </c>
      <c r="AO890" s="194">
        <f t="shared" si="612"/>
        <v>0</v>
      </c>
      <c r="AP890" s="67"/>
    </row>
    <row r="891" spans="1:42" ht="12.5">
      <c r="A891" s="362" t="s">
        <v>460</v>
      </c>
      <c r="B891" s="362" t="s">
        <v>2503</v>
      </c>
      <c r="C891" s="89">
        <f t="shared" si="609"/>
        <v>0</v>
      </c>
      <c r="D891" s="89">
        <f t="shared" si="610"/>
        <v>0</v>
      </c>
      <c r="E891" s="285"/>
      <c r="F891" s="285"/>
      <c r="G891" s="89"/>
      <c r="H891" s="360"/>
      <c r="I891" s="89"/>
      <c r="J891" s="6"/>
      <c r="K891" s="6"/>
      <c r="AC891" s="142"/>
      <c r="AG891" s="143"/>
      <c r="AM891" s="194"/>
      <c r="AN891" s="194"/>
      <c r="AO891" s="194"/>
      <c r="AP891" s="67"/>
    </row>
    <row r="892" spans="1:42" ht="12.5">
      <c r="A892" s="362" t="s">
        <v>460</v>
      </c>
      <c r="B892" s="380" t="s">
        <v>2259</v>
      </c>
      <c r="C892" s="89">
        <f>SUMIF($B$14:$B$831,$A892,AM$14:AM$831)</f>
        <v>518718909.41353238</v>
      </c>
      <c r="D892" s="89">
        <f>SUMIF($B$14:$B$831,$A892,AN$14:AN$831)</f>
        <v>533010845.06896883</v>
      </c>
      <c r="E892" s="285"/>
      <c r="F892" s="285"/>
      <c r="G892" s="89"/>
      <c r="H892" s="360"/>
      <c r="I892" s="89"/>
      <c r="J892" s="6"/>
      <c r="K892" s="6"/>
      <c r="AC892" s="142"/>
      <c r="AG892" s="143"/>
      <c r="AM892" s="194"/>
      <c r="AN892" s="194"/>
      <c r="AO892" s="194"/>
      <c r="AP892" s="67"/>
    </row>
    <row r="893" spans="1:42" ht="12.5">
      <c r="A893" s="362" t="s">
        <v>466</v>
      </c>
      <c r="B893" s="362" t="s">
        <v>2508</v>
      </c>
      <c r="C893" s="89">
        <f t="shared" ref="C893:C923" si="613">SUMIFS(AM$14:AM$831,$B$14:$B$831,$A893,$A$14:$A$831,$B893)</f>
        <v>0</v>
      </c>
      <c r="D893" s="89">
        <f t="shared" si="610"/>
        <v>0</v>
      </c>
      <c r="E893" s="285"/>
      <c r="F893" s="285"/>
      <c r="G893" s="89"/>
      <c r="H893" s="360"/>
      <c r="I893" s="89"/>
      <c r="J893" s="6"/>
      <c r="K893" s="6"/>
      <c r="AC893" s="142"/>
      <c r="AG893" s="143"/>
      <c r="AM893" s="194"/>
      <c r="AN893" s="194"/>
      <c r="AO893" s="194"/>
      <c r="AP893" s="67"/>
    </row>
    <row r="894" spans="1:42" ht="12.5">
      <c r="A894" s="362" t="s">
        <v>466</v>
      </c>
      <c r="B894" s="362" t="s">
        <v>2505</v>
      </c>
      <c r="C894" s="89">
        <f t="shared" si="613"/>
        <v>0</v>
      </c>
      <c r="D894" s="89">
        <f t="shared" si="610"/>
        <v>0</v>
      </c>
      <c r="E894" s="285"/>
      <c r="F894" s="285"/>
      <c r="G894" s="89"/>
      <c r="H894" s="360"/>
      <c r="I894" s="89"/>
      <c r="J894" s="6"/>
      <c r="K894" s="6"/>
      <c r="AC894" s="142"/>
      <c r="AG894" s="143"/>
      <c r="AM894" s="194"/>
      <c r="AN894" s="194"/>
      <c r="AO894" s="194"/>
      <c r="AP894" s="67"/>
    </row>
    <row r="895" spans="1:42" ht="12.5">
      <c r="A895" s="362" t="s">
        <v>466</v>
      </c>
      <c r="B895" s="362" t="s">
        <v>2504</v>
      </c>
      <c r="C895" s="89">
        <f t="shared" si="613"/>
        <v>0</v>
      </c>
      <c r="D895" s="89">
        <f t="shared" si="610"/>
        <v>0</v>
      </c>
      <c r="E895" s="285"/>
      <c r="F895" s="285"/>
      <c r="G895" s="89"/>
      <c r="H895" s="360"/>
      <c r="I895" s="89"/>
      <c r="J895" s="6"/>
      <c r="K895" s="6"/>
      <c r="AC895" s="142"/>
      <c r="AG895" s="143"/>
      <c r="AM895" s="194"/>
      <c r="AN895" s="194"/>
      <c r="AO895" s="194"/>
      <c r="AP895" s="67"/>
    </row>
    <row r="896" spans="1:42" ht="12.5">
      <c r="A896" s="362" t="s">
        <v>466</v>
      </c>
      <c r="B896" s="362" t="s">
        <v>2507</v>
      </c>
      <c r="C896" s="89">
        <f t="shared" si="613"/>
        <v>0</v>
      </c>
      <c r="D896" s="89">
        <f t="shared" si="610"/>
        <v>0</v>
      </c>
      <c r="E896" s="285"/>
      <c r="F896" s="285"/>
      <c r="G896" s="89"/>
      <c r="H896" s="360"/>
      <c r="I896" s="89"/>
      <c r="J896" s="6"/>
      <c r="K896" s="6"/>
      <c r="AC896" s="142"/>
      <c r="AG896" s="143"/>
      <c r="AM896" s="194"/>
      <c r="AN896" s="194"/>
      <c r="AO896" s="194"/>
      <c r="AP896" s="67"/>
    </row>
    <row r="897" spans="1:42" ht="12.5">
      <c r="A897" s="362" t="s">
        <v>466</v>
      </c>
      <c r="B897" s="362" t="s">
        <v>2502</v>
      </c>
      <c r="C897" s="89">
        <f t="shared" si="613"/>
        <v>0</v>
      </c>
      <c r="D897" s="89">
        <f t="shared" si="610"/>
        <v>0</v>
      </c>
      <c r="E897" s="285"/>
      <c r="F897" s="285"/>
      <c r="G897" s="89"/>
      <c r="H897" s="360"/>
      <c r="I897" s="89"/>
      <c r="J897" s="6"/>
      <c r="K897" s="6"/>
      <c r="AG897" s="143"/>
      <c r="AM897" s="194"/>
      <c r="AN897" s="194"/>
      <c r="AO897" s="194"/>
      <c r="AP897" s="67"/>
    </row>
    <row r="898" spans="1:42" ht="12.5">
      <c r="A898" s="362" t="s">
        <v>466</v>
      </c>
      <c r="B898" s="362" t="s">
        <v>2506</v>
      </c>
      <c r="C898" s="89">
        <f t="shared" si="613"/>
        <v>0</v>
      </c>
      <c r="D898" s="89">
        <f t="shared" si="610"/>
        <v>0</v>
      </c>
      <c r="E898" s="285"/>
      <c r="F898" s="285"/>
      <c r="G898" s="89"/>
      <c r="H898" s="360"/>
      <c r="I898" s="89"/>
      <c r="J898" s="6"/>
      <c r="K898" s="6"/>
      <c r="AC898" s="143"/>
      <c r="AD898" s="143"/>
      <c r="AE898" s="143"/>
      <c r="AF898" s="143"/>
      <c r="AG898" s="143"/>
      <c r="AH898" s="143"/>
      <c r="AI898" s="143"/>
      <c r="AJ898" s="68"/>
      <c r="AK898" s="68"/>
      <c r="AL898" s="68"/>
      <c r="AM898" s="194"/>
      <c r="AN898" s="194"/>
      <c r="AO898" s="194"/>
      <c r="AP898" s="68"/>
    </row>
    <row r="899" spans="1:42" ht="12.5">
      <c r="A899" s="362" t="s">
        <v>466</v>
      </c>
      <c r="B899" s="362" t="s">
        <v>2503</v>
      </c>
      <c r="C899" s="89">
        <f t="shared" si="613"/>
        <v>0</v>
      </c>
      <c r="D899" s="89">
        <f t="shared" si="610"/>
        <v>0</v>
      </c>
      <c r="E899" s="285"/>
      <c r="F899" s="285"/>
      <c r="G899" s="89"/>
      <c r="H899" s="360"/>
      <c r="I899" s="89"/>
      <c r="AM899" s="194"/>
      <c r="AN899" s="194"/>
      <c r="AO899" s="194"/>
    </row>
    <row r="900" spans="1:42" ht="12.5">
      <c r="A900" s="362" t="s">
        <v>466</v>
      </c>
      <c r="B900" s="380" t="s">
        <v>2259</v>
      </c>
      <c r="C900" s="89">
        <f>SUMIF($B$14:$B$831,$A900,AM$14:AM$831)</f>
        <v>420529916.2100426</v>
      </c>
      <c r="D900" s="89">
        <f>SUMIF($B$14:$B$831,$A900,AN$14:AN$831)</f>
        <v>14507237.581999999</v>
      </c>
      <c r="E900" s="285"/>
      <c r="F900" s="285"/>
      <c r="G900" s="89"/>
      <c r="H900" s="360"/>
      <c r="I900" s="89"/>
      <c r="J900" s="6"/>
      <c r="K900" s="6"/>
      <c r="AC900" s="143"/>
      <c r="AM900" s="194"/>
      <c r="AN900" s="194"/>
      <c r="AO900" s="194"/>
    </row>
    <row r="901" spans="1:42" ht="12.5">
      <c r="A901" s="362" t="s">
        <v>461</v>
      </c>
      <c r="B901" s="362" t="s">
        <v>2508</v>
      </c>
      <c r="C901" s="89">
        <f t="shared" si="613"/>
        <v>0</v>
      </c>
      <c r="D901" s="89">
        <f t="shared" si="610"/>
        <v>0</v>
      </c>
      <c r="E901" s="285"/>
      <c r="F901" s="285"/>
      <c r="G901" s="89"/>
      <c r="H901" s="360"/>
      <c r="I901" s="89"/>
      <c r="AM901" s="194"/>
      <c r="AN901" s="194"/>
      <c r="AO901" s="194"/>
    </row>
    <row r="902" spans="1:42" ht="12.5">
      <c r="A902" s="362" t="s">
        <v>461</v>
      </c>
      <c r="B902" s="362" t="s">
        <v>2505</v>
      </c>
      <c r="C902" s="89">
        <f t="shared" si="613"/>
        <v>0</v>
      </c>
      <c r="D902" s="89">
        <f t="shared" si="610"/>
        <v>0</v>
      </c>
      <c r="E902" s="285"/>
      <c r="F902" s="285"/>
      <c r="G902" s="89"/>
      <c r="H902" s="360"/>
      <c r="I902" s="89"/>
      <c r="AM902" s="194"/>
      <c r="AN902" s="194"/>
      <c r="AO902" s="194"/>
    </row>
    <row r="903" spans="1:42" ht="12.5">
      <c r="A903" s="362" t="s">
        <v>461</v>
      </c>
      <c r="B903" s="362" t="s">
        <v>2504</v>
      </c>
      <c r="C903" s="89">
        <f t="shared" si="613"/>
        <v>0</v>
      </c>
      <c r="D903" s="89">
        <f t="shared" si="610"/>
        <v>0</v>
      </c>
      <c r="E903" s="285"/>
      <c r="F903" s="285"/>
      <c r="G903" s="89"/>
      <c r="H903" s="360"/>
      <c r="I903" s="89"/>
      <c r="AM903" s="194"/>
      <c r="AN903" s="194"/>
      <c r="AO903" s="194"/>
    </row>
    <row r="904" spans="1:42" ht="12.5">
      <c r="A904" s="362" t="s">
        <v>461</v>
      </c>
      <c r="B904" s="362" t="s">
        <v>2507</v>
      </c>
      <c r="C904" s="89">
        <f t="shared" si="613"/>
        <v>0</v>
      </c>
      <c r="D904" s="89">
        <f t="shared" si="610"/>
        <v>0</v>
      </c>
      <c r="E904" s="285"/>
      <c r="F904" s="285"/>
      <c r="G904" s="89"/>
      <c r="H904" s="360"/>
      <c r="I904" s="89"/>
      <c r="AM904" s="194"/>
      <c r="AN904" s="194"/>
      <c r="AO904" s="194"/>
    </row>
    <row r="905" spans="1:42" ht="12.5">
      <c r="A905" s="362" t="s">
        <v>461</v>
      </c>
      <c r="B905" s="362" t="s">
        <v>2502</v>
      </c>
      <c r="C905" s="89">
        <f t="shared" si="613"/>
        <v>0</v>
      </c>
      <c r="D905" s="89">
        <f t="shared" si="610"/>
        <v>0</v>
      </c>
      <c r="E905" s="285"/>
      <c r="F905" s="285"/>
      <c r="G905" s="89"/>
      <c r="H905" s="360"/>
      <c r="I905" s="89"/>
      <c r="AM905" s="194"/>
      <c r="AN905" s="194"/>
      <c r="AO905" s="194"/>
    </row>
    <row r="906" spans="1:42" ht="12.5">
      <c r="A906" s="362" t="s">
        <v>461</v>
      </c>
      <c r="B906" s="362" t="s">
        <v>2506</v>
      </c>
      <c r="C906" s="89">
        <f t="shared" si="613"/>
        <v>0</v>
      </c>
      <c r="D906" s="89">
        <f t="shared" si="610"/>
        <v>0</v>
      </c>
      <c r="E906" s="285"/>
      <c r="F906" s="285"/>
      <c r="G906" s="89"/>
      <c r="H906" s="360"/>
      <c r="I906" s="89"/>
      <c r="AM906" s="194"/>
      <c r="AN906" s="194"/>
      <c r="AO906" s="194"/>
    </row>
    <row r="907" spans="1:42" ht="12.5">
      <c r="A907" s="362" t="s">
        <v>461</v>
      </c>
      <c r="B907" s="362" t="s">
        <v>2503</v>
      </c>
      <c r="C907" s="89">
        <f t="shared" si="613"/>
        <v>0</v>
      </c>
      <c r="D907" s="89">
        <f t="shared" si="610"/>
        <v>0</v>
      </c>
      <c r="E907" s="285"/>
      <c r="F907" s="285"/>
      <c r="G907" s="89"/>
      <c r="H907" s="360"/>
      <c r="I907" s="89"/>
      <c r="AM907" s="194"/>
      <c r="AN907" s="194"/>
      <c r="AO907" s="194"/>
    </row>
    <row r="908" spans="1:42" ht="12.5">
      <c r="A908" s="362" t="s">
        <v>461</v>
      </c>
      <c r="B908" s="380" t="s">
        <v>2259</v>
      </c>
      <c r="C908" s="89">
        <f>SUMIF($B$14:$B$831,$A908,AM$14:AM$831)</f>
        <v>368731832.73579776</v>
      </c>
      <c r="D908" s="89">
        <f>SUMIF($B$14:$B$831,$A908,AN$14:AN$831)</f>
        <v>272373984.56590289</v>
      </c>
      <c r="E908" s="285"/>
      <c r="F908" s="285"/>
      <c r="G908" s="89"/>
      <c r="H908" s="360"/>
      <c r="I908" s="89"/>
      <c r="AM908" s="194"/>
      <c r="AN908" s="194"/>
      <c r="AO908" s="194"/>
    </row>
    <row r="909" spans="1:42" ht="12.5">
      <c r="B909" s="362" t="s">
        <v>2508</v>
      </c>
      <c r="C909" s="89">
        <f t="shared" si="613"/>
        <v>0</v>
      </c>
      <c r="D909" s="89">
        <f t="shared" si="610"/>
        <v>0</v>
      </c>
      <c r="E909" s="285"/>
      <c r="F909" s="285"/>
      <c r="G909" s="89"/>
      <c r="H909" s="360"/>
      <c r="I909" s="89"/>
      <c r="AM909" s="194"/>
      <c r="AN909" s="194"/>
      <c r="AO909" s="194"/>
    </row>
    <row r="910" spans="1:42" ht="12.5">
      <c r="B910" s="362" t="s">
        <v>2505</v>
      </c>
      <c r="C910" s="89">
        <f t="shared" si="613"/>
        <v>0</v>
      </c>
      <c r="D910" s="89">
        <f t="shared" si="610"/>
        <v>0</v>
      </c>
      <c r="E910" s="285"/>
      <c r="F910" s="285"/>
      <c r="G910" s="89"/>
      <c r="H910" s="360"/>
      <c r="I910" s="89"/>
      <c r="AM910" s="194"/>
      <c r="AN910" s="194"/>
      <c r="AO910" s="194"/>
    </row>
    <row r="911" spans="1:42" ht="12.5">
      <c r="B911" s="362" t="s">
        <v>2504</v>
      </c>
      <c r="C911" s="89">
        <f t="shared" si="613"/>
        <v>0</v>
      </c>
      <c r="D911" s="89">
        <f t="shared" si="610"/>
        <v>0</v>
      </c>
      <c r="E911" s="285"/>
      <c r="F911" s="285"/>
      <c r="G911" s="89"/>
      <c r="H911" s="360"/>
      <c r="I911" s="89"/>
      <c r="AM911" s="194"/>
      <c r="AN911" s="194"/>
      <c r="AO911" s="194"/>
    </row>
    <row r="912" spans="1:42" ht="12.5">
      <c r="B912" s="362" t="s">
        <v>2507</v>
      </c>
      <c r="C912" s="89">
        <f t="shared" si="613"/>
        <v>0</v>
      </c>
      <c r="D912" s="89">
        <f t="shared" si="610"/>
        <v>0</v>
      </c>
      <c r="E912" s="285"/>
      <c r="F912" s="285"/>
      <c r="G912" s="89"/>
      <c r="H912" s="360"/>
      <c r="I912" s="89"/>
      <c r="AM912" s="194"/>
      <c r="AN912" s="194"/>
      <c r="AO912" s="194"/>
    </row>
    <row r="913" spans="1:41" ht="12.5">
      <c r="B913" s="362" t="s">
        <v>2502</v>
      </c>
      <c r="C913" s="89">
        <f t="shared" si="613"/>
        <v>0</v>
      </c>
      <c r="D913" s="89">
        <f t="shared" si="610"/>
        <v>0</v>
      </c>
      <c r="E913" s="285"/>
      <c r="F913" s="285"/>
      <c r="G913" s="89"/>
      <c r="H913" s="360"/>
      <c r="I913" s="89"/>
      <c r="AM913" s="194"/>
      <c r="AN913" s="194"/>
      <c r="AO913" s="194"/>
    </row>
    <row r="914" spans="1:41" ht="12.5">
      <c r="B914" s="362" t="s">
        <v>2506</v>
      </c>
      <c r="C914" s="89">
        <f t="shared" si="613"/>
        <v>0</v>
      </c>
      <c r="D914" s="89">
        <f t="shared" si="610"/>
        <v>0</v>
      </c>
      <c r="E914" s="285"/>
      <c r="F914" s="285"/>
      <c r="G914" s="89"/>
      <c r="H914" s="360"/>
      <c r="I914" s="89"/>
      <c r="AM914" s="194"/>
      <c r="AN914" s="194"/>
      <c r="AO914" s="194"/>
    </row>
    <row r="915" spans="1:41" ht="12.5">
      <c r="B915" s="362" t="s">
        <v>2503</v>
      </c>
      <c r="C915" s="89">
        <f t="shared" si="613"/>
        <v>0</v>
      </c>
      <c r="D915" s="89">
        <f t="shared" si="610"/>
        <v>0</v>
      </c>
      <c r="E915" s="285"/>
      <c r="F915" s="285"/>
      <c r="G915" s="89"/>
      <c r="H915" s="360"/>
      <c r="I915" s="89"/>
      <c r="AM915" s="194"/>
      <c r="AN915" s="194"/>
      <c r="AO915" s="194"/>
    </row>
    <row r="916" spans="1:41" ht="12.5">
      <c r="B916" s="362" t="s">
        <v>2259</v>
      </c>
      <c r="C916" s="89">
        <f t="shared" si="613"/>
        <v>0</v>
      </c>
      <c r="D916" s="89">
        <f t="shared" si="610"/>
        <v>0</v>
      </c>
      <c r="E916" s="285"/>
      <c r="F916" s="285"/>
      <c r="G916" s="89"/>
      <c r="H916" s="360"/>
      <c r="I916" s="89"/>
      <c r="AM916" s="194"/>
      <c r="AN916" s="194"/>
      <c r="AO916" s="194"/>
    </row>
    <row r="917" spans="1:41" ht="12.5">
      <c r="A917" s="6" t="s">
        <v>2259</v>
      </c>
      <c r="B917" s="362" t="s">
        <v>2508</v>
      </c>
      <c r="C917" s="89">
        <f t="shared" si="613"/>
        <v>0</v>
      </c>
      <c r="D917" s="89">
        <f t="shared" si="610"/>
        <v>0</v>
      </c>
      <c r="E917" s="285"/>
      <c r="F917" s="285"/>
      <c r="G917" s="89"/>
      <c r="H917" s="360"/>
      <c r="I917" s="89"/>
      <c r="AM917" s="194"/>
      <c r="AN917" s="194"/>
      <c r="AO917" s="194"/>
    </row>
    <row r="918" spans="1:41" ht="12.5">
      <c r="A918" s="6" t="s">
        <v>2259</v>
      </c>
      <c r="B918" s="362" t="s">
        <v>2505</v>
      </c>
      <c r="C918" s="89">
        <f t="shared" si="613"/>
        <v>0</v>
      </c>
      <c r="D918" s="89">
        <f t="shared" si="610"/>
        <v>0</v>
      </c>
      <c r="E918" s="285"/>
      <c r="F918" s="285"/>
      <c r="G918" s="89"/>
      <c r="H918" s="360"/>
      <c r="I918" s="89"/>
      <c r="AM918" s="194"/>
      <c r="AN918" s="194"/>
      <c r="AO918" s="194"/>
    </row>
    <row r="919" spans="1:41" ht="12.5">
      <c r="A919" s="6" t="s">
        <v>2259</v>
      </c>
      <c r="B919" s="362" t="s">
        <v>2504</v>
      </c>
      <c r="C919" s="89">
        <f t="shared" si="613"/>
        <v>0</v>
      </c>
      <c r="D919" s="89">
        <f t="shared" si="610"/>
        <v>0</v>
      </c>
      <c r="E919" s="285"/>
      <c r="F919" s="285"/>
      <c r="G919" s="89"/>
      <c r="H919" s="360"/>
      <c r="I919" s="89"/>
      <c r="AM919" s="194"/>
      <c r="AN919" s="194"/>
      <c r="AO919" s="194"/>
    </row>
    <row r="920" spans="1:41" ht="12.5">
      <c r="A920" s="6" t="s">
        <v>2259</v>
      </c>
      <c r="B920" s="362" t="s">
        <v>2507</v>
      </c>
      <c r="C920" s="89">
        <f t="shared" si="613"/>
        <v>0</v>
      </c>
      <c r="D920" s="89">
        <f t="shared" si="610"/>
        <v>0</v>
      </c>
      <c r="E920" s="285"/>
      <c r="F920" s="285"/>
      <c r="G920" s="89"/>
      <c r="H920" s="360"/>
      <c r="I920" s="89"/>
      <c r="AM920" s="194"/>
      <c r="AN920" s="194"/>
      <c r="AO920" s="194"/>
    </row>
    <row r="921" spans="1:41" ht="12.5">
      <c r="A921" s="6" t="s">
        <v>2259</v>
      </c>
      <c r="B921" s="362" t="s">
        <v>2502</v>
      </c>
      <c r="C921" s="89">
        <f t="shared" si="613"/>
        <v>0</v>
      </c>
      <c r="D921" s="89">
        <f t="shared" si="610"/>
        <v>0</v>
      </c>
      <c r="E921" s="285"/>
      <c r="F921" s="285"/>
      <c r="G921" s="89"/>
      <c r="H921" s="360"/>
      <c r="I921" s="89"/>
      <c r="AM921" s="194"/>
      <c r="AN921" s="194"/>
      <c r="AO921" s="194"/>
    </row>
    <row r="922" spans="1:41" ht="12.5">
      <c r="A922" s="6" t="s">
        <v>2259</v>
      </c>
      <c r="B922" s="362" t="s">
        <v>2506</v>
      </c>
      <c r="C922" s="89">
        <f t="shared" si="613"/>
        <v>0</v>
      </c>
      <c r="D922" s="89">
        <f t="shared" si="610"/>
        <v>0</v>
      </c>
      <c r="E922" s="285"/>
      <c r="F922" s="285"/>
      <c r="G922" s="89"/>
      <c r="H922" s="360"/>
      <c r="I922" s="89"/>
      <c r="AM922" s="194"/>
      <c r="AN922" s="194"/>
      <c r="AO922" s="194"/>
    </row>
    <row r="923" spans="1:41" ht="12.5">
      <c r="A923" s="6" t="s">
        <v>2259</v>
      </c>
      <c r="B923" s="362" t="s">
        <v>2503</v>
      </c>
      <c r="C923" s="89">
        <f t="shared" si="613"/>
        <v>0</v>
      </c>
      <c r="D923" s="89">
        <f t="shared" si="610"/>
        <v>0</v>
      </c>
      <c r="E923" s="285"/>
      <c r="F923" s="285"/>
      <c r="G923" s="89"/>
      <c r="H923" s="360"/>
      <c r="I923" s="89"/>
      <c r="AM923" s="194"/>
      <c r="AN923" s="194"/>
      <c r="AO923" s="194"/>
    </row>
    <row r="924" spans="1:41" ht="12.5">
      <c r="A924" s="6" t="s">
        <v>2259</v>
      </c>
      <c r="B924" s="362" t="s">
        <v>2259</v>
      </c>
      <c r="C924" s="89">
        <f>SUMIFS(AM$14:AM$153,$B$14:$B$153,$A924,$A$14:$A$153,$B924)</f>
        <v>0</v>
      </c>
      <c r="D924" s="89">
        <f t="shared" si="610"/>
        <v>0</v>
      </c>
      <c r="E924" s="285"/>
      <c r="F924" s="285"/>
      <c r="G924" s="89"/>
      <c r="H924" s="360"/>
      <c r="I924" s="89"/>
      <c r="AM924" s="194"/>
      <c r="AN924" s="194"/>
      <c r="AO924" s="194"/>
    </row>
    <row r="925" spans="1:41" ht="12.5">
      <c r="A925" s="6" t="s">
        <v>2259</v>
      </c>
      <c r="B925" s="362"/>
      <c r="C925" s="89"/>
      <c r="D925" s="89"/>
      <c r="E925" s="285"/>
      <c r="F925" s="285"/>
      <c r="G925" s="89"/>
      <c r="H925" s="360"/>
      <c r="I925" s="89"/>
      <c r="AM925" s="194"/>
      <c r="AN925" s="194"/>
      <c r="AO925" s="194"/>
    </row>
    <row r="926" spans="1:41">
      <c r="C926" s="90">
        <f>SUM(C861:C925)</f>
        <v>2112425625.029901</v>
      </c>
      <c r="D926" s="90">
        <f>SUM(D861:D925)</f>
        <v>1147528727.3525999</v>
      </c>
      <c r="E926" s="286"/>
      <c r="F926" s="286"/>
      <c r="G926" s="90"/>
      <c r="H926" s="361"/>
      <c r="I926" s="90"/>
      <c r="AM926" s="194"/>
      <c r="AN926" s="194"/>
      <c r="AO926" s="194"/>
    </row>
    <row r="927" spans="1:41">
      <c r="C927" s="89"/>
      <c r="D927" s="89"/>
      <c r="E927" s="285"/>
      <c r="F927" s="285"/>
      <c r="G927" s="89"/>
      <c r="H927" s="360"/>
      <c r="I927" s="89"/>
      <c r="AM927" s="194"/>
      <c r="AN927" s="194"/>
      <c r="AO927" s="194"/>
    </row>
    <row r="928" spans="1:41">
      <c r="C928" s="89"/>
      <c r="D928" s="89"/>
      <c r="E928" s="285"/>
      <c r="F928" s="285"/>
      <c r="G928" s="89"/>
      <c r="H928" s="360"/>
      <c r="I928" s="89"/>
      <c r="AM928" s="194"/>
      <c r="AN928" s="194"/>
      <c r="AO928" s="194"/>
    </row>
    <row r="929" spans="2:41">
      <c r="C929" s="89"/>
      <c r="D929" s="89"/>
      <c r="E929" s="285"/>
      <c r="F929" s="285"/>
      <c r="G929" s="89"/>
      <c r="H929" s="360"/>
      <c r="I929" s="89"/>
      <c r="AM929" s="194"/>
      <c r="AN929" s="194"/>
      <c r="AO929" s="194"/>
    </row>
    <row r="930" spans="2:41" ht="12.5">
      <c r="B930" s="362" t="s">
        <v>2508</v>
      </c>
      <c r="C930" s="89">
        <f>SUMIF($B$861:$B$924,$B930,C$861:C$924)</f>
        <v>0</v>
      </c>
      <c r="D930" s="89">
        <f t="shared" ref="D930:D937" si="614">SUMIF($B$861:$B$924,$B930,D$861:D$924)</f>
        <v>0</v>
      </c>
      <c r="E930" s="285"/>
      <c r="F930" s="285"/>
      <c r="G930" s="89"/>
      <c r="H930" s="360"/>
      <c r="I930" s="89"/>
      <c r="AM930" s="194"/>
      <c r="AN930" s="194"/>
      <c r="AO930" s="194"/>
    </row>
    <row r="931" spans="2:41" ht="12.5">
      <c r="B931" s="362" t="s">
        <v>2505</v>
      </c>
      <c r="C931" s="89">
        <f t="shared" ref="C931:C936" si="615">SUMIF($B$861:$B$924,$B931,C$861:C$924)</f>
        <v>0</v>
      </c>
      <c r="D931" s="89">
        <f t="shared" si="614"/>
        <v>0</v>
      </c>
      <c r="E931" s="285"/>
      <c r="F931" s="285"/>
      <c r="G931" s="89"/>
      <c r="H931" s="360"/>
      <c r="I931" s="89"/>
      <c r="AM931" s="194"/>
      <c r="AN931" s="194"/>
      <c r="AO931" s="194"/>
    </row>
    <row r="932" spans="2:41" ht="12.5">
      <c r="B932" s="362" t="s">
        <v>2504</v>
      </c>
      <c r="C932" s="89">
        <f t="shared" si="615"/>
        <v>0</v>
      </c>
      <c r="D932" s="89">
        <f t="shared" si="614"/>
        <v>0</v>
      </c>
      <c r="E932" s="285"/>
      <c r="F932" s="285"/>
      <c r="G932" s="89"/>
      <c r="H932" s="360"/>
      <c r="I932" s="89"/>
      <c r="AM932" s="194"/>
      <c r="AN932" s="194"/>
      <c r="AO932" s="194"/>
    </row>
    <row r="933" spans="2:41" ht="12.5">
      <c r="B933" s="362" t="s">
        <v>2507</v>
      </c>
      <c r="C933" s="89">
        <f t="shared" si="615"/>
        <v>568836908.64572811</v>
      </c>
      <c r="D933" s="89">
        <f t="shared" si="614"/>
        <v>198283535.13572815</v>
      </c>
      <c r="E933" s="285"/>
      <c r="F933" s="285"/>
      <c r="G933" s="89"/>
      <c r="H933" s="360"/>
      <c r="I933" s="89"/>
      <c r="AM933" s="194"/>
      <c r="AN933" s="194"/>
      <c r="AO933" s="194"/>
    </row>
    <row r="934" spans="2:41" ht="12.5">
      <c r="B934" s="362" t="s">
        <v>2502</v>
      </c>
      <c r="C934" s="89">
        <f t="shared" si="615"/>
        <v>189782858.59</v>
      </c>
      <c r="D934" s="89">
        <f t="shared" si="614"/>
        <v>129353125</v>
      </c>
      <c r="E934" s="285"/>
      <c r="F934" s="285"/>
      <c r="G934" s="89"/>
      <c r="H934" s="360"/>
      <c r="I934" s="89"/>
      <c r="AM934" s="194"/>
      <c r="AN934" s="194"/>
      <c r="AO934" s="194"/>
    </row>
    <row r="935" spans="2:41" ht="12.5">
      <c r="B935" s="362" t="s">
        <v>2506</v>
      </c>
      <c r="C935" s="89">
        <f t="shared" si="615"/>
        <v>3484397.8448000001</v>
      </c>
      <c r="D935" s="89">
        <f t="shared" si="614"/>
        <v>0</v>
      </c>
      <c r="E935" s="285"/>
      <c r="F935" s="285"/>
      <c r="G935" s="89"/>
      <c r="H935" s="360"/>
      <c r="I935" s="89"/>
      <c r="AM935" s="194"/>
      <c r="AN935" s="194"/>
      <c r="AO935" s="194"/>
    </row>
    <row r="936" spans="2:41" ht="12.5">
      <c r="B936" s="362" t="s">
        <v>2503</v>
      </c>
      <c r="C936" s="89">
        <f t="shared" si="615"/>
        <v>42340801.590000004</v>
      </c>
      <c r="D936" s="89">
        <f t="shared" si="614"/>
        <v>0</v>
      </c>
      <c r="E936" s="285"/>
      <c r="F936" s="285"/>
      <c r="G936" s="89"/>
      <c r="H936" s="360"/>
      <c r="I936" s="89"/>
      <c r="AM936" s="194"/>
      <c r="AN936" s="194"/>
      <c r="AO936" s="194"/>
    </row>
    <row r="937" spans="2:41" ht="12.5">
      <c r="B937" s="362" t="s">
        <v>2259</v>
      </c>
      <c r="C937" s="89">
        <f>SUMIF($B$861:$B$924,$B937,C$861:C$924)</f>
        <v>1307980658.3593726</v>
      </c>
      <c r="D937" s="89">
        <f t="shared" si="614"/>
        <v>819892067.21687174</v>
      </c>
      <c r="E937" s="285"/>
      <c r="F937" s="285"/>
      <c r="G937" s="89"/>
      <c r="H937" s="360"/>
      <c r="I937" s="89"/>
      <c r="AM937" s="194"/>
      <c r="AN937" s="194"/>
      <c r="AO937" s="194"/>
    </row>
    <row r="938" spans="2:41" ht="12.5">
      <c r="B938" s="362"/>
      <c r="C938" s="89"/>
      <c r="D938" s="89"/>
      <c r="E938" s="285"/>
      <c r="F938" s="285"/>
      <c r="G938" s="89"/>
      <c r="H938" s="360"/>
      <c r="I938" s="89"/>
      <c r="AM938" s="194"/>
      <c r="AN938" s="194"/>
      <c r="AO938" s="194"/>
    </row>
    <row r="939" spans="2:41">
      <c r="C939" s="90">
        <f>SUM(C930:C937)</f>
        <v>2112425625.0299008</v>
      </c>
      <c r="D939" s="90">
        <f>SUM(D930:D937)</f>
        <v>1147528727.3525999</v>
      </c>
      <c r="E939" s="286"/>
      <c r="F939" s="286"/>
      <c r="G939" s="89"/>
      <c r="H939" s="360"/>
      <c r="I939" s="89"/>
      <c r="AM939" s="194"/>
      <c r="AN939" s="194"/>
      <c r="AO939" s="194"/>
    </row>
    <row r="940" spans="2:41">
      <c r="C940" s="89"/>
      <c r="D940" s="89"/>
      <c r="E940" s="285"/>
      <c r="F940" s="285"/>
      <c r="G940" s="89"/>
      <c r="H940" s="360"/>
      <c r="I940" s="89"/>
      <c r="AM940" s="194"/>
      <c r="AN940" s="194"/>
      <c r="AO940" s="194"/>
    </row>
    <row r="941" spans="2:41">
      <c r="C941" s="89"/>
      <c r="D941" s="89"/>
      <c r="E941" s="285"/>
      <c r="F941" s="285"/>
      <c r="G941" s="89"/>
      <c r="H941" s="360"/>
      <c r="I941" s="89"/>
      <c r="AM941" s="194"/>
      <c r="AN941" s="194"/>
      <c r="AO941" s="194"/>
    </row>
    <row r="942" spans="2:41">
      <c r="C942" s="89"/>
      <c r="D942" s="89"/>
      <c r="E942" s="285"/>
      <c r="F942" s="285"/>
      <c r="G942" s="89"/>
      <c r="H942" s="360"/>
      <c r="I942" s="89"/>
    </row>
    <row r="943" spans="2:41">
      <c r="C943" s="89"/>
      <c r="D943" s="89"/>
      <c r="E943" s="285"/>
      <c r="F943" s="285"/>
      <c r="G943" s="89"/>
      <c r="H943" s="360"/>
      <c r="I943" s="89"/>
    </row>
    <row r="944" spans="2:41">
      <c r="C944" s="89"/>
      <c r="D944" s="89"/>
      <c r="E944" s="285"/>
      <c r="F944" s="285"/>
      <c r="G944" s="89"/>
      <c r="H944" s="360"/>
      <c r="I944" s="89"/>
    </row>
    <row r="945" spans="3:9">
      <c r="C945" s="89"/>
      <c r="D945" s="89"/>
      <c r="E945" s="285"/>
      <c r="F945" s="285"/>
      <c r="G945" s="89"/>
      <c r="H945" s="360"/>
      <c r="I945" s="89"/>
    </row>
    <row r="946" spans="3:9">
      <c r="C946" s="89"/>
      <c r="D946" s="89"/>
      <c r="E946" s="285"/>
      <c r="F946" s="285"/>
      <c r="G946" s="89"/>
      <c r="H946" s="360"/>
      <c r="I946" s="89"/>
    </row>
    <row r="947" spans="3:9">
      <c r="C947" s="89"/>
      <c r="D947" s="89"/>
      <c r="E947" s="285"/>
      <c r="F947" s="285"/>
      <c r="G947" s="89"/>
      <c r="H947" s="360"/>
      <c r="I947" s="89"/>
    </row>
    <row r="948" spans="3:9">
      <c r="C948" s="89"/>
      <c r="D948" s="89"/>
      <c r="E948" s="285"/>
      <c r="F948" s="285"/>
      <c r="G948" s="89"/>
      <c r="H948" s="360"/>
      <c r="I948" s="89"/>
    </row>
    <row r="949" spans="3:9">
      <c r="C949" s="89"/>
      <c r="D949" s="89"/>
      <c r="E949" s="285"/>
      <c r="F949" s="285"/>
      <c r="G949" s="89"/>
      <c r="H949" s="360"/>
      <c r="I949" s="89"/>
    </row>
    <row r="950" spans="3:9">
      <c r="C950" s="89"/>
      <c r="D950" s="89"/>
      <c r="E950" s="285"/>
      <c r="F950" s="285"/>
      <c r="G950" s="89"/>
      <c r="H950" s="360"/>
      <c r="I950" s="89"/>
    </row>
    <row r="951" spans="3:9">
      <c r="C951" s="89"/>
      <c r="D951" s="89"/>
      <c r="E951" s="285"/>
      <c r="F951" s="285"/>
      <c r="G951" s="89"/>
      <c r="H951" s="360"/>
      <c r="I951" s="89"/>
    </row>
    <row r="952" spans="3:9">
      <c r="C952" s="89"/>
      <c r="D952" s="89"/>
      <c r="E952" s="285"/>
      <c r="F952" s="285"/>
      <c r="G952" s="89"/>
      <c r="H952" s="360"/>
      <c r="I952" s="89"/>
    </row>
    <row r="953" spans="3:9">
      <c r="C953" s="89"/>
      <c r="D953" s="89"/>
      <c r="E953" s="285"/>
      <c r="F953" s="285"/>
      <c r="G953" s="89"/>
      <c r="H953" s="360"/>
      <c r="I953" s="89"/>
    </row>
    <row r="1307" spans="3:35">
      <c r="C1307" s="6" t="s">
        <v>2259</v>
      </c>
      <c r="J1307" s="6"/>
      <c r="K1307" s="6"/>
      <c r="AI1307" s="140"/>
    </row>
  </sheetData>
  <autoFilter ref="A13:BZ854" xr:uid="{9B751026-0C8D-4E6A-AACB-B3E42EC2D36F}"/>
  <sortState xmlns:xlrd2="http://schemas.microsoft.com/office/spreadsheetml/2017/richdata2" ref="O874:P879">
    <sortCondition ref="O874:O879"/>
  </sortState>
  <customSheetViews>
    <customSheetView guid="{A2EDE129-9A82-414C-9545-4AA6BCAEFA13}" scale="70" filter="1" showAutoFilter="1" hiddenRows="1" hiddenColumns="1" topLeftCell="CG1">
      <pane ySplit="1106" topLeftCell="A1152" activePane="bottomLeft" state="frozen"/>
      <selection pane="bottomLeft" activeCell="CO176" sqref="CO176"/>
      <pageMargins left="0.7" right="0.7" top="0.75" bottom="0.75" header="0.3" footer="0.3"/>
      <pageSetup paperSize="9" orientation="portrait" r:id="rId1"/>
      <autoFilter ref="B1:DB1" xr:uid="{B45B7D3C-ED8B-4346-A685-E021DA257780}">
        <filterColumn colId="0">
          <filters>
            <filter val="CSF"/>
          </filters>
        </filterColumn>
        <filterColumn colId="81">
          <filters>
            <filter val="Y"/>
          </filters>
        </filterColumn>
      </autoFilter>
    </customSheetView>
    <customSheetView guid="{5F7BCE1B-36F3-447A-8DD9-E51BEFF3AFBA}" scale="80" showPageBreaks="1" fitToPage="1" filter="1" showAutoFilter="1" hiddenRows="1" hiddenColumns="1">
      <pane ySplit="1159" topLeftCell="A1193" activePane="bottomLeft" state="frozen"/>
      <selection pane="bottomLeft" sqref="A1:IV65536"/>
      <pageMargins left="0.18" right="0.22" top="0.75" bottom="0.75" header="0.3" footer="0.3"/>
      <pageSetup paperSize="8" scale="11" orientation="landscape" r:id="rId2"/>
      <autoFilter ref="B1:DB1" xr:uid="{98AB4489-78CD-4CBF-A4CB-A10CA417FF3C}">
        <filterColumn colId="0">
          <filters blank="1"/>
        </filterColumn>
      </autoFilter>
    </customSheetView>
    <customSheetView guid="{4CB5074A-E16B-4E31-B838-49EE3EE7DA09}" scale="85" topLeftCell="CG1">
      <pane ySplit="8" topLeftCell="A1225" activePane="bottomLeft" state="frozen"/>
      <selection pane="bottomLeft" activeCell="CG1226" sqref="CG1226"/>
      <pageMargins left="0.7" right="0.7" top="0.75" bottom="0.75" header="0.3" footer="0.3"/>
      <pageSetup paperSize="9" orientation="portrait" r:id="rId3"/>
    </customSheetView>
    <customSheetView guid="{D2344B6A-7DBB-4B88-A6B8-4C4D8D984BE2}" showAutoFilter="1" hiddenColumns="1" showRuler="0" topLeftCell="BT1">
      <pane ySplit="8" topLeftCell="A9" activePane="bottomLeft" state="frozen"/>
      <selection pane="bottomLeft" activeCell="CF6" sqref="CF6"/>
      <pageMargins left="0.7" right="0.7" top="0.75" bottom="0.75" header="0.3" footer="0.3"/>
      <pageSetup paperSize="9" orientation="portrait" r:id="rId4"/>
      <headerFooter alignWithMargins="0"/>
      <autoFilter ref="B1:EH1" xr:uid="{B501D173-3D17-42C9-8164-6D217DAC94D0}"/>
    </customSheetView>
    <customSheetView guid="{BFB4608D-4945-446C-9A8C-C4729DADE1CC}" scale="80" fitToPage="1" filter="1" showAutoFilter="1" hiddenRows="1" hiddenColumns="1">
      <pane xSplit="4" ySplit="1141" topLeftCell="I1143" activePane="bottomRight" state="frozen"/>
      <selection pane="bottomRight" activeCell="C1108" sqref="C1108:C1140"/>
      <pageMargins left="0.18" right="0.22" top="0.75" bottom="0.75" header="0.3" footer="0.3"/>
      <pageSetup paperSize="8" scale="20" orientation="landscape" r:id="rId5"/>
      <autoFilter ref="B1:DB1" xr:uid="{EE5C499B-B858-4ED5-999E-E356A25F4F27}">
        <filterColumn colId="0">
          <filters blank="1"/>
        </filterColumn>
      </autoFilter>
    </customSheetView>
    <customSheetView guid="{1DB52CAD-403B-4256-97F4-977FD85A83D4}" showPageBreaks="1" fitToPage="1" filter="1" showAutoFilter="1" hiddenRows="1" hiddenColumns="1" showRuler="0">
      <pane xSplit="4" ySplit="1106" topLeftCell="CJ1108" activePane="bottomRight" state="frozen"/>
      <selection pane="bottomRight" activeCell="CM1108" sqref="CM1108"/>
      <pageMargins left="0.18" right="0.22" top="0.75" bottom="0.75" header="0.3" footer="0.3"/>
      <pageSetup paperSize="8" scale="20" orientation="landscape" r:id="rId6"/>
      <headerFooter alignWithMargins="0"/>
      <autoFilter ref="B1:DB1" xr:uid="{418B086E-3C0E-4537-8EB4-F0EAAA93521A}">
        <filterColumn colId="8">
          <filters>
            <filter val="Transport"/>
          </filters>
        </filterColumn>
      </autoFilter>
    </customSheetView>
  </customSheetViews>
  <mergeCells count="1">
    <mergeCell ref="AO10:AQ10"/>
  </mergeCells>
  <phoneticPr fontId="7" type="noConversion"/>
  <pageMargins left="0.19685039370078741" right="0.19685039370078741" top="0.78740157480314965" bottom="0.78740157480314965" header="0.31496062992125984" footer="0.31496062992125984"/>
  <pageSetup paperSize="8" scale="55" orientation="landscape" r:id="rId7"/>
  <headerFooter>
    <oddHeader>&amp;L&amp;"Calibri,Regular"&amp;24Auckland Council Development Contributions Cost Allocation Model</oddHeader>
    <oddFooter>&amp;LPrint date: &amp;D&amp;CDocument: &amp;F / &amp;A&amp;RPage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221"/>
  <sheetViews>
    <sheetView workbookViewId="0"/>
  </sheetViews>
  <sheetFormatPr defaultRowHeight="12.5"/>
  <cols>
    <col min="1" max="1" width="15.453125" customWidth="1"/>
    <col min="2" max="2" width="17.54296875" customWidth="1"/>
    <col min="3" max="3" width="10.54296875" customWidth="1"/>
    <col min="4" max="4" width="10.54296875" style="23" customWidth="1"/>
    <col min="5" max="5" width="10.54296875" customWidth="1"/>
    <col min="6" max="6" width="10.54296875" style="23" customWidth="1"/>
    <col min="7" max="49" width="10.54296875" customWidth="1"/>
  </cols>
  <sheetData>
    <row r="1" spans="1:2">
      <c r="A1" s="24" t="s">
        <v>1275</v>
      </c>
      <c r="B1" t="s">
        <v>1276</v>
      </c>
    </row>
    <row r="2" spans="1:2">
      <c r="A2" s="24" t="s">
        <v>1056</v>
      </c>
      <c r="B2" t="s">
        <v>1277</v>
      </c>
    </row>
    <row r="3" spans="1:2">
      <c r="A3" s="24" t="s">
        <v>1059</v>
      </c>
      <c r="B3" t="s">
        <v>1277</v>
      </c>
    </row>
    <row r="4" spans="1:2">
      <c r="A4" s="24" t="s">
        <v>1054</v>
      </c>
      <c r="B4" t="s">
        <v>1278</v>
      </c>
    </row>
    <row r="5" spans="1:2">
      <c r="A5" s="24" t="s">
        <v>1279</v>
      </c>
      <c r="B5" t="s">
        <v>1280</v>
      </c>
    </row>
    <row r="6" spans="1:2">
      <c r="A6" s="24" t="s">
        <v>1583</v>
      </c>
      <c r="B6" t="s">
        <v>1281</v>
      </c>
    </row>
    <row r="7" spans="1:2">
      <c r="A7" s="24" t="s">
        <v>1282</v>
      </c>
      <c r="B7" t="s">
        <v>1278</v>
      </c>
    </row>
    <row r="8" spans="1:2">
      <c r="A8" s="24" t="s">
        <v>43</v>
      </c>
      <c r="B8" t="s">
        <v>1278</v>
      </c>
    </row>
    <row r="9" spans="1:2">
      <c r="A9" s="24" t="s">
        <v>1283</v>
      </c>
      <c r="B9" t="s">
        <v>1278</v>
      </c>
    </row>
    <row r="10" spans="1:2">
      <c r="A10" s="24" t="s">
        <v>1054</v>
      </c>
      <c r="B10" t="s">
        <v>1278</v>
      </c>
    </row>
    <row r="11" spans="1:2">
      <c r="A11" s="24" t="s">
        <v>1054</v>
      </c>
      <c r="B11" t="s">
        <v>1278</v>
      </c>
    </row>
    <row r="12" spans="1:2">
      <c r="A12" s="24" t="s">
        <v>875</v>
      </c>
      <c r="B12" t="s">
        <v>1284</v>
      </c>
    </row>
    <row r="13" spans="1:2">
      <c r="A13" s="24" t="s">
        <v>1054</v>
      </c>
      <c r="B13" t="s">
        <v>1278</v>
      </c>
    </row>
    <row r="14" spans="1:2">
      <c r="A14" s="24" t="s">
        <v>1285</v>
      </c>
      <c r="B14" t="s">
        <v>1286</v>
      </c>
    </row>
    <row r="15" spans="1:2">
      <c r="A15" s="24" t="s">
        <v>522</v>
      </c>
      <c r="B15" t="s">
        <v>1278</v>
      </c>
    </row>
    <row r="16" spans="1:2">
      <c r="A16" s="24" t="s">
        <v>1287</v>
      </c>
      <c r="B16" t="s">
        <v>1277</v>
      </c>
    </row>
    <row r="17" spans="1:2">
      <c r="A17" s="24" t="s">
        <v>1069</v>
      </c>
      <c r="B17" t="s">
        <v>1278</v>
      </c>
    </row>
    <row r="18" spans="1:2">
      <c r="A18" s="24" t="s">
        <v>1054</v>
      </c>
      <c r="B18" t="s">
        <v>1278</v>
      </c>
    </row>
    <row r="19" spans="1:2">
      <c r="A19" s="24" t="s">
        <v>1132</v>
      </c>
      <c r="B19" t="s">
        <v>1288</v>
      </c>
    </row>
    <row r="20" spans="1:2">
      <c r="A20" s="24" t="s">
        <v>1134</v>
      </c>
      <c r="B20" t="s">
        <v>1289</v>
      </c>
    </row>
    <row r="21" spans="1:2">
      <c r="A21" s="24" t="s">
        <v>1219</v>
      </c>
      <c r="B21" t="s">
        <v>1290</v>
      </c>
    </row>
    <row r="22" spans="1:2">
      <c r="A22" s="24" t="s">
        <v>927</v>
      </c>
      <c r="B22" t="s">
        <v>1278</v>
      </c>
    </row>
    <row r="23" spans="1:2">
      <c r="A23" s="24" t="s">
        <v>1603</v>
      </c>
      <c r="B23" t="s">
        <v>1291</v>
      </c>
    </row>
    <row r="24" spans="1:2">
      <c r="A24" s="24" t="s">
        <v>1604</v>
      </c>
      <c r="B24" t="s">
        <v>1292</v>
      </c>
    </row>
    <row r="25" spans="1:2">
      <c r="A25" s="24" t="s">
        <v>1625</v>
      </c>
      <c r="B25" t="s">
        <v>1293</v>
      </c>
    </row>
    <row r="26" spans="1:2">
      <c r="A26" s="24" t="s">
        <v>1294</v>
      </c>
      <c r="B26" t="s">
        <v>1286</v>
      </c>
    </row>
    <row r="27" spans="1:2">
      <c r="A27" s="24" t="s">
        <v>1294</v>
      </c>
      <c r="B27" t="s">
        <v>1286</v>
      </c>
    </row>
    <row r="28" spans="1:2">
      <c r="A28" s="24" t="s">
        <v>1295</v>
      </c>
      <c r="B28" t="s">
        <v>1278</v>
      </c>
    </row>
    <row r="29" spans="1:2">
      <c r="A29" s="24" t="s">
        <v>1161</v>
      </c>
      <c r="B29" t="s">
        <v>1278</v>
      </c>
    </row>
    <row r="30" spans="1:2">
      <c r="A30" s="24" t="s">
        <v>1054</v>
      </c>
      <c r="B30" t="s">
        <v>1278</v>
      </c>
    </row>
    <row r="31" spans="1:2">
      <c r="A31" s="24" t="s">
        <v>937</v>
      </c>
      <c r="B31" t="s">
        <v>1296</v>
      </c>
    </row>
    <row r="32" spans="1:2">
      <c r="A32" s="24" t="s">
        <v>1218</v>
      </c>
      <c r="B32" t="s">
        <v>1297</v>
      </c>
    </row>
    <row r="33" spans="1:2">
      <c r="A33" s="24" t="s">
        <v>1602</v>
      </c>
      <c r="B33" t="s">
        <v>1298</v>
      </c>
    </row>
    <row r="34" spans="1:2">
      <c r="A34" s="24" t="s">
        <v>1299</v>
      </c>
      <c r="B34" t="s">
        <v>1278</v>
      </c>
    </row>
    <row r="35" spans="1:2">
      <c r="A35" s="24" t="s">
        <v>1054</v>
      </c>
      <c r="B35" t="s">
        <v>1278</v>
      </c>
    </row>
    <row r="36" spans="1:2">
      <c r="A36" s="24" t="s">
        <v>1127</v>
      </c>
      <c r="B36" t="s">
        <v>1300</v>
      </c>
    </row>
    <row r="37" spans="1:2">
      <c r="A37" s="24" t="s">
        <v>1301</v>
      </c>
      <c r="B37" t="s">
        <v>1302</v>
      </c>
    </row>
    <row r="38" spans="1:2">
      <c r="A38" s="24" t="s">
        <v>1153</v>
      </c>
      <c r="B38" t="s">
        <v>1303</v>
      </c>
    </row>
    <row r="39" spans="1:2">
      <c r="A39" s="24" t="s">
        <v>86</v>
      </c>
      <c r="B39" t="s">
        <v>1304</v>
      </c>
    </row>
    <row r="40" spans="1:2">
      <c r="A40" s="24" t="s">
        <v>1609</v>
      </c>
      <c r="B40" t="s">
        <v>1305</v>
      </c>
    </row>
    <row r="41" spans="1:2">
      <c r="A41" s="24" t="s">
        <v>1038</v>
      </c>
      <c r="B41" t="s">
        <v>1306</v>
      </c>
    </row>
    <row r="42" spans="1:2">
      <c r="A42" s="24" t="s">
        <v>513</v>
      </c>
      <c r="B42" t="s">
        <v>1307</v>
      </c>
    </row>
    <row r="43" spans="1:2">
      <c r="A43" s="24" t="s">
        <v>1637</v>
      </c>
      <c r="B43" t="s">
        <v>1308</v>
      </c>
    </row>
    <row r="44" spans="1:2">
      <c r="A44" s="24" t="s">
        <v>1054</v>
      </c>
      <c r="B44" t="s">
        <v>1278</v>
      </c>
    </row>
    <row r="45" spans="1:2">
      <c r="A45" s="24" t="s">
        <v>1117</v>
      </c>
      <c r="B45" t="s">
        <v>1309</v>
      </c>
    </row>
    <row r="46" spans="1:2">
      <c r="A46" s="24" t="s">
        <v>1071</v>
      </c>
      <c r="B46" t="s">
        <v>1278</v>
      </c>
    </row>
    <row r="47" spans="1:2">
      <c r="A47" s="24" t="s">
        <v>1054</v>
      </c>
      <c r="B47" t="s">
        <v>1278</v>
      </c>
    </row>
    <row r="48" spans="1:2">
      <c r="A48" s="24" t="s">
        <v>494</v>
      </c>
      <c r="B48" t="s">
        <v>1310</v>
      </c>
    </row>
    <row r="49" spans="1:2">
      <c r="A49" s="24" t="s">
        <v>1126</v>
      </c>
      <c r="B49" t="s">
        <v>1311</v>
      </c>
    </row>
    <row r="50" spans="1:2">
      <c r="A50" s="24" t="s">
        <v>1312</v>
      </c>
      <c r="B50" t="s">
        <v>1313</v>
      </c>
    </row>
    <row r="51" spans="1:2">
      <c r="A51" s="24" t="s">
        <v>888</v>
      </c>
      <c r="B51" t="s">
        <v>1314</v>
      </c>
    </row>
    <row r="52" spans="1:2">
      <c r="A52" s="24" t="s">
        <v>1315</v>
      </c>
      <c r="B52" t="s">
        <v>1316</v>
      </c>
    </row>
    <row r="53" spans="1:2">
      <c r="A53" s="24" t="s">
        <v>1600</v>
      </c>
      <c r="B53" t="s">
        <v>1317</v>
      </c>
    </row>
    <row r="54" spans="1:2">
      <c r="A54" s="24" t="s">
        <v>495</v>
      </c>
      <c r="B54" t="s">
        <v>1318</v>
      </c>
    </row>
    <row r="55" spans="1:2">
      <c r="A55" s="24" t="s">
        <v>1130</v>
      </c>
      <c r="B55" t="s">
        <v>1319</v>
      </c>
    </row>
    <row r="56" spans="1:2">
      <c r="A56" s="24" t="s">
        <v>1643</v>
      </c>
      <c r="B56" t="s">
        <v>1320</v>
      </c>
    </row>
    <row r="57" spans="1:2">
      <c r="A57" s="24" t="s">
        <v>1618</v>
      </c>
      <c r="B57" t="s">
        <v>1321</v>
      </c>
    </row>
    <row r="58" spans="1:2">
      <c r="A58" s="24" t="s">
        <v>1322</v>
      </c>
      <c r="B58" t="s">
        <v>1323</v>
      </c>
    </row>
    <row r="59" spans="1:2">
      <c r="A59" s="24" t="s">
        <v>994</v>
      </c>
      <c r="B59" t="s">
        <v>1277</v>
      </c>
    </row>
    <row r="60" spans="1:2">
      <c r="A60" s="24" t="s">
        <v>505</v>
      </c>
      <c r="B60" t="s">
        <v>1324</v>
      </c>
    </row>
    <row r="61" spans="1:2">
      <c r="A61" s="24" t="s">
        <v>477</v>
      </c>
      <c r="B61" t="s">
        <v>1325</v>
      </c>
    </row>
    <row r="62" spans="1:2">
      <c r="A62" s="24" t="s">
        <v>1048</v>
      </c>
      <c r="B62" t="s">
        <v>1326</v>
      </c>
    </row>
    <row r="63" spans="1:2">
      <c r="A63" s="24" t="s">
        <v>1149</v>
      </c>
      <c r="B63" t="s">
        <v>1327</v>
      </c>
    </row>
    <row r="64" spans="1:2">
      <c r="A64" s="24" t="s">
        <v>1043</v>
      </c>
      <c r="B64" t="s">
        <v>1278</v>
      </c>
    </row>
    <row r="65" spans="1:2">
      <c r="A65" s="24" t="s">
        <v>870</v>
      </c>
      <c r="B65" t="s">
        <v>1328</v>
      </c>
    </row>
    <row r="66" spans="1:2">
      <c r="A66" s="24" t="s">
        <v>870</v>
      </c>
      <c r="B66" t="s">
        <v>1328</v>
      </c>
    </row>
    <row r="67" spans="1:2">
      <c r="A67" s="24" t="s">
        <v>870</v>
      </c>
      <c r="B67" t="s">
        <v>1328</v>
      </c>
    </row>
    <row r="68" spans="1:2">
      <c r="A68" s="24" t="s">
        <v>870</v>
      </c>
      <c r="B68" t="s">
        <v>1328</v>
      </c>
    </row>
    <row r="69" spans="1:2">
      <c r="A69" s="24" t="s">
        <v>870</v>
      </c>
      <c r="B69" t="s">
        <v>1328</v>
      </c>
    </row>
    <row r="70" spans="1:2">
      <c r="A70" s="24" t="s">
        <v>870</v>
      </c>
      <c r="B70" t="s">
        <v>1328</v>
      </c>
    </row>
    <row r="71" spans="1:2">
      <c r="A71" s="24" t="s">
        <v>870</v>
      </c>
      <c r="B71" t="s">
        <v>1328</v>
      </c>
    </row>
    <row r="72" spans="1:2">
      <c r="A72" s="24" t="s">
        <v>88</v>
      </c>
      <c r="B72" t="s">
        <v>1329</v>
      </c>
    </row>
    <row r="73" spans="1:2">
      <c r="A73" s="24" t="s">
        <v>1647</v>
      </c>
      <c r="B73" t="s">
        <v>1330</v>
      </c>
    </row>
    <row r="74" spans="1:2">
      <c r="A74" s="24" t="s">
        <v>1601</v>
      </c>
      <c r="B74" t="s">
        <v>1331</v>
      </c>
    </row>
    <row r="75" spans="1:2">
      <c r="A75" s="24" t="s">
        <v>507</v>
      </c>
      <c r="B75" t="s">
        <v>1332</v>
      </c>
    </row>
    <row r="76" spans="1:2">
      <c r="A76" s="24" t="s">
        <v>1333</v>
      </c>
      <c r="B76" t="s">
        <v>1334</v>
      </c>
    </row>
    <row r="77" spans="1:2">
      <c r="A77" s="24" t="s">
        <v>2</v>
      </c>
      <c r="B77" t="s">
        <v>1335</v>
      </c>
    </row>
    <row r="78" spans="1:2">
      <c r="A78" s="24" t="s">
        <v>935</v>
      </c>
      <c r="B78" t="s">
        <v>1336</v>
      </c>
    </row>
    <row r="79" spans="1:2">
      <c r="A79" s="24" t="s">
        <v>1337</v>
      </c>
      <c r="B79" t="s">
        <v>1338</v>
      </c>
    </row>
    <row r="80" spans="1:2">
      <c r="A80" s="24" t="s">
        <v>67</v>
      </c>
      <c r="B80" t="s">
        <v>1339</v>
      </c>
    </row>
    <row r="81" spans="1:2">
      <c r="A81" s="24" t="s">
        <v>1193</v>
      </c>
      <c r="B81" t="s">
        <v>1340</v>
      </c>
    </row>
    <row r="82" spans="1:2">
      <c r="A82" s="24" t="s">
        <v>1021</v>
      </c>
      <c r="B82" t="s">
        <v>1341</v>
      </c>
    </row>
    <row r="83" spans="1:2">
      <c r="A83" s="24" t="s">
        <v>1043</v>
      </c>
      <c r="B83" t="s">
        <v>1278</v>
      </c>
    </row>
    <row r="84" spans="1:2">
      <c r="A84" s="24" t="s">
        <v>1342</v>
      </c>
      <c r="B84" t="s">
        <v>1286</v>
      </c>
    </row>
    <row r="85" spans="1:2">
      <c r="A85" s="24" t="s">
        <v>1037</v>
      </c>
      <c r="B85" t="s">
        <v>1343</v>
      </c>
    </row>
    <row r="86" spans="1:2">
      <c r="A86" s="24" t="s">
        <v>1123</v>
      </c>
      <c r="B86" t="s">
        <v>1344</v>
      </c>
    </row>
    <row r="87" spans="1:2">
      <c r="A87" s="24" t="s">
        <v>1182</v>
      </c>
      <c r="B87" t="s">
        <v>1345</v>
      </c>
    </row>
    <row r="88" spans="1:2">
      <c r="A88" s="24" t="s">
        <v>1122</v>
      </c>
      <c r="B88" t="s">
        <v>1346</v>
      </c>
    </row>
    <row r="89" spans="1:2">
      <c r="A89" s="24" t="s">
        <v>1347</v>
      </c>
      <c r="B89" t="s">
        <v>1348</v>
      </c>
    </row>
    <row r="90" spans="1:2">
      <c r="A90" s="24" t="s">
        <v>1215</v>
      </c>
      <c r="B90" t="s">
        <v>1349</v>
      </c>
    </row>
    <row r="91" spans="1:2">
      <c r="A91" s="24" t="s">
        <v>1043</v>
      </c>
      <c r="B91" t="s">
        <v>1278</v>
      </c>
    </row>
    <row r="92" spans="1:2">
      <c r="A92" s="24" t="s">
        <v>1197</v>
      </c>
      <c r="B92" t="s">
        <v>1350</v>
      </c>
    </row>
    <row r="93" spans="1:2">
      <c r="A93" s="24" t="s">
        <v>1629</v>
      </c>
      <c r="B93" t="s">
        <v>1351</v>
      </c>
    </row>
    <row r="94" spans="1:2">
      <c r="A94" s="24" t="s">
        <v>1212</v>
      </c>
      <c r="B94" t="s">
        <v>1352</v>
      </c>
    </row>
    <row r="95" spans="1:2">
      <c r="A95" s="24" t="s">
        <v>1151</v>
      </c>
      <c r="B95" t="s">
        <v>1353</v>
      </c>
    </row>
    <row r="96" spans="1:2">
      <c r="A96" s="24" t="s">
        <v>925</v>
      </c>
      <c r="B96" t="s">
        <v>1354</v>
      </c>
    </row>
    <row r="97" spans="1:2">
      <c r="A97" s="24" t="s">
        <v>1355</v>
      </c>
      <c r="B97" t="s">
        <v>1356</v>
      </c>
    </row>
    <row r="98" spans="1:2">
      <c r="A98" s="24" t="s">
        <v>870</v>
      </c>
      <c r="B98" t="s">
        <v>1328</v>
      </c>
    </row>
    <row r="99" spans="1:2">
      <c r="A99" s="24" t="s">
        <v>870</v>
      </c>
      <c r="B99" t="s">
        <v>1328</v>
      </c>
    </row>
    <row r="100" spans="1:2">
      <c r="A100" s="24" t="s">
        <v>1070</v>
      </c>
      <c r="B100" t="s">
        <v>1278</v>
      </c>
    </row>
    <row r="101" spans="1:2">
      <c r="A101" s="24" t="s">
        <v>1152</v>
      </c>
      <c r="B101" t="s">
        <v>1357</v>
      </c>
    </row>
    <row r="102" spans="1:2">
      <c r="A102" s="24" t="s">
        <v>511</v>
      </c>
      <c r="B102" t="s">
        <v>1358</v>
      </c>
    </row>
    <row r="103" spans="1:2">
      <c r="A103" s="24" t="s">
        <v>1192</v>
      </c>
      <c r="B103" t="s">
        <v>1359</v>
      </c>
    </row>
    <row r="104" spans="1:2">
      <c r="A104" s="24" t="s">
        <v>1172</v>
      </c>
      <c r="B104" t="s">
        <v>1360</v>
      </c>
    </row>
    <row r="105" spans="1:2">
      <c r="A105" s="24" t="s">
        <v>1361</v>
      </c>
      <c r="B105" t="s">
        <v>1362</v>
      </c>
    </row>
    <row r="106" spans="1:2">
      <c r="A106" s="24" t="s">
        <v>409</v>
      </c>
      <c r="B106" t="s">
        <v>1363</v>
      </c>
    </row>
    <row r="107" spans="1:2">
      <c r="A107" s="24" t="s">
        <v>1183</v>
      </c>
      <c r="B107" t="s">
        <v>1364</v>
      </c>
    </row>
    <row r="108" spans="1:2">
      <c r="A108" s="24" t="s">
        <v>878</v>
      </c>
      <c r="B108" t="s">
        <v>1365</v>
      </c>
    </row>
    <row r="109" spans="1:2">
      <c r="A109" s="24" t="s">
        <v>877</v>
      </c>
      <c r="B109" t="s">
        <v>1366</v>
      </c>
    </row>
    <row r="110" spans="1:2">
      <c r="A110" s="24" t="s">
        <v>433</v>
      </c>
      <c r="B110" t="s">
        <v>1367</v>
      </c>
    </row>
    <row r="111" spans="1:2">
      <c r="A111" s="24" t="s">
        <v>15</v>
      </c>
      <c r="B111" t="s">
        <v>1368</v>
      </c>
    </row>
    <row r="112" spans="1:2">
      <c r="A112" s="24" t="s">
        <v>1198</v>
      </c>
      <c r="B112" t="s">
        <v>1369</v>
      </c>
    </row>
    <row r="113" spans="1:2">
      <c r="A113" s="24" t="s">
        <v>1043</v>
      </c>
      <c r="B113" t="s">
        <v>1278</v>
      </c>
    </row>
    <row r="114" spans="1:2">
      <c r="A114" s="24" t="s">
        <v>89</v>
      </c>
      <c r="B114" t="s">
        <v>1370</v>
      </c>
    </row>
    <row r="115" spans="1:2">
      <c r="A115" s="24" t="s">
        <v>1636</v>
      </c>
      <c r="B115" t="s">
        <v>1371</v>
      </c>
    </row>
    <row r="116" spans="1:2">
      <c r="A116" s="24" t="s">
        <v>87</v>
      </c>
      <c r="B116" t="s">
        <v>1372</v>
      </c>
    </row>
    <row r="117" spans="1:2">
      <c r="A117" s="24" t="s">
        <v>1214</v>
      </c>
      <c r="B117" t="s">
        <v>1373</v>
      </c>
    </row>
    <row r="118" spans="1:2">
      <c r="A118" s="24" t="s">
        <v>1638</v>
      </c>
      <c r="B118" t="s">
        <v>1374</v>
      </c>
    </row>
    <row r="119" spans="1:2">
      <c r="A119" s="24" t="s">
        <v>1213</v>
      </c>
      <c r="B119" t="s">
        <v>1375</v>
      </c>
    </row>
    <row r="120" spans="1:2">
      <c r="A120" s="24" t="s">
        <v>1376</v>
      </c>
      <c r="B120" t="s">
        <v>1377</v>
      </c>
    </row>
    <row r="121" spans="1:2">
      <c r="A121" s="24" t="s">
        <v>982</v>
      </c>
      <c r="B121" t="s">
        <v>1378</v>
      </c>
    </row>
    <row r="122" spans="1:2">
      <c r="A122" s="24" t="s">
        <v>1188</v>
      </c>
      <c r="B122" t="s">
        <v>1379</v>
      </c>
    </row>
    <row r="123" spans="1:2">
      <c r="A123" s="24" t="s">
        <v>1016</v>
      </c>
      <c r="B123" t="s">
        <v>1380</v>
      </c>
    </row>
    <row r="124" spans="1:2">
      <c r="A124" s="24" t="s">
        <v>1054</v>
      </c>
      <c r="B124" t="s">
        <v>1278</v>
      </c>
    </row>
    <row r="125" spans="1:2">
      <c r="A125" s="24" t="s">
        <v>1381</v>
      </c>
      <c r="B125" t="s">
        <v>1382</v>
      </c>
    </row>
    <row r="126" spans="1:2">
      <c r="A126" s="24" t="s">
        <v>1260</v>
      </c>
      <c r="B126" t="s">
        <v>1383</v>
      </c>
    </row>
    <row r="127" spans="1:2">
      <c r="A127" s="24" t="s">
        <v>1217</v>
      </c>
      <c r="B127" t="s">
        <v>1384</v>
      </c>
    </row>
    <row r="128" spans="1:2">
      <c r="A128" s="24" t="s">
        <v>1034</v>
      </c>
      <c r="B128" t="s">
        <v>1385</v>
      </c>
    </row>
    <row r="129" spans="1:2">
      <c r="A129" s="24" t="s">
        <v>1386</v>
      </c>
      <c r="B129" t="s">
        <v>1387</v>
      </c>
    </row>
    <row r="130" spans="1:2">
      <c r="A130" s="24" t="s">
        <v>408</v>
      </c>
      <c r="B130" t="s">
        <v>1388</v>
      </c>
    </row>
    <row r="131" spans="1:2">
      <c r="A131" s="24" t="s">
        <v>969</v>
      </c>
      <c r="B131" t="s">
        <v>1389</v>
      </c>
    </row>
    <row r="132" spans="1:2">
      <c r="A132" s="24" t="s">
        <v>1259</v>
      </c>
      <c r="B132" t="s">
        <v>1390</v>
      </c>
    </row>
    <row r="133" spans="1:2">
      <c r="A133" s="24" t="s">
        <v>63</v>
      </c>
      <c r="B133" t="s">
        <v>1391</v>
      </c>
    </row>
    <row r="134" spans="1:2">
      <c r="A134" s="24" t="s">
        <v>1392</v>
      </c>
      <c r="B134" t="s">
        <v>1393</v>
      </c>
    </row>
    <row r="135" spans="1:2">
      <c r="A135" s="24" t="s">
        <v>938</v>
      </c>
      <c r="B135" t="s">
        <v>1394</v>
      </c>
    </row>
    <row r="136" spans="1:2">
      <c r="A136" s="24" t="s">
        <v>965</v>
      </c>
      <c r="B136" t="s">
        <v>1395</v>
      </c>
    </row>
    <row r="137" spans="1:2">
      <c r="A137" s="24" t="s">
        <v>431</v>
      </c>
      <c r="B137" t="s">
        <v>1396</v>
      </c>
    </row>
    <row r="138" spans="1:2">
      <c r="A138" s="24" t="s">
        <v>1397</v>
      </c>
      <c r="B138" t="s">
        <v>1398</v>
      </c>
    </row>
    <row r="139" spans="1:2">
      <c r="A139" s="24" t="s">
        <v>7</v>
      </c>
      <c r="B139" t="s">
        <v>1399</v>
      </c>
    </row>
    <row r="140" spans="1:2">
      <c r="A140" s="24" t="s">
        <v>1189</v>
      </c>
      <c r="B140" t="s">
        <v>1400</v>
      </c>
    </row>
    <row r="141" spans="1:2">
      <c r="A141" s="24" t="s">
        <v>984</v>
      </c>
      <c r="B141" t="s">
        <v>1401</v>
      </c>
    </row>
    <row r="142" spans="1:2">
      <c r="A142" s="24" t="s">
        <v>1402</v>
      </c>
      <c r="B142" t="s">
        <v>1393</v>
      </c>
    </row>
    <row r="143" spans="1:2">
      <c r="A143" s="24" t="s">
        <v>53</v>
      </c>
      <c r="B143" t="s">
        <v>1403</v>
      </c>
    </row>
    <row r="144" spans="1:2">
      <c r="A144" s="24" t="s">
        <v>898</v>
      </c>
      <c r="B144" t="s">
        <v>1404</v>
      </c>
    </row>
    <row r="145" spans="1:2">
      <c r="A145" s="24" t="s">
        <v>1228</v>
      </c>
      <c r="B145" t="s">
        <v>1405</v>
      </c>
    </row>
    <row r="146" spans="1:2">
      <c r="A146" s="24" t="s">
        <v>29</v>
      </c>
      <c r="B146" t="s">
        <v>1406</v>
      </c>
    </row>
    <row r="147" spans="1:2">
      <c r="A147" s="24" t="s">
        <v>1088</v>
      </c>
      <c r="B147" t="s">
        <v>1407</v>
      </c>
    </row>
    <row r="148" spans="1:2">
      <c r="A148" s="24" t="s">
        <v>405</v>
      </c>
      <c r="B148" t="s">
        <v>1408</v>
      </c>
    </row>
    <row r="149" spans="1:2">
      <c r="A149" s="24" t="s">
        <v>966</v>
      </c>
      <c r="B149" t="s">
        <v>1409</v>
      </c>
    </row>
    <row r="150" spans="1:2">
      <c r="A150" s="24" t="s">
        <v>1195</v>
      </c>
      <c r="B150" t="s">
        <v>1410</v>
      </c>
    </row>
    <row r="151" spans="1:2">
      <c r="A151" s="24" t="s">
        <v>983</v>
      </c>
      <c r="B151" t="s">
        <v>1411</v>
      </c>
    </row>
    <row r="152" spans="1:2">
      <c r="A152" s="24" t="s">
        <v>412</v>
      </c>
      <c r="B152" t="s">
        <v>1412</v>
      </c>
    </row>
    <row r="153" spans="1:2">
      <c r="A153" s="24" t="s">
        <v>432</v>
      </c>
      <c r="B153" t="s">
        <v>1413</v>
      </c>
    </row>
    <row r="154" spans="1:2">
      <c r="A154" s="24" t="s">
        <v>420</v>
      </c>
      <c r="B154" t="s">
        <v>1414</v>
      </c>
    </row>
    <row r="155" spans="1:2">
      <c r="A155" s="24" t="s">
        <v>879</v>
      </c>
      <c r="B155" t="s">
        <v>1415</v>
      </c>
    </row>
    <row r="156" spans="1:2">
      <c r="A156" s="24" t="s">
        <v>1416</v>
      </c>
      <c r="B156" t="s">
        <v>1417</v>
      </c>
    </row>
    <row r="157" spans="1:2">
      <c r="A157" s="24" t="s">
        <v>1418</v>
      </c>
      <c r="B157" t="s">
        <v>1419</v>
      </c>
    </row>
    <row r="158" spans="1:2">
      <c r="A158" s="24" t="s">
        <v>930</v>
      </c>
      <c r="B158" t="s">
        <v>1420</v>
      </c>
    </row>
    <row r="159" spans="1:2">
      <c r="A159" s="24" t="s">
        <v>873</v>
      </c>
      <c r="B159" t="s">
        <v>1421</v>
      </c>
    </row>
    <row r="160" spans="1:2">
      <c r="A160" s="24" t="s">
        <v>403</v>
      </c>
      <c r="B160" t="s">
        <v>1422</v>
      </c>
    </row>
    <row r="161" spans="1:2">
      <c r="A161" s="24" t="s">
        <v>421</v>
      </c>
      <c r="B161" t="s">
        <v>1423</v>
      </c>
    </row>
    <row r="162" spans="1:2">
      <c r="A162" s="24" t="s">
        <v>1623</v>
      </c>
      <c r="B162" t="s">
        <v>1424</v>
      </c>
    </row>
    <row r="163" spans="1:2">
      <c r="A163" s="24" t="s">
        <v>1425</v>
      </c>
      <c r="B163" t="s">
        <v>1426</v>
      </c>
    </row>
    <row r="164" spans="1:2">
      <c r="A164" s="24" t="s">
        <v>968</v>
      </c>
      <c r="B164" t="s">
        <v>1427</v>
      </c>
    </row>
    <row r="165" spans="1:2">
      <c r="A165" s="24" t="s">
        <v>407</v>
      </c>
      <c r="B165" t="s">
        <v>1428</v>
      </c>
    </row>
    <row r="166" spans="1:2">
      <c r="A166" s="24" t="s">
        <v>1184</v>
      </c>
      <c r="B166" t="s">
        <v>1429</v>
      </c>
    </row>
    <row r="167" spans="1:2">
      <c r="A167" s="24" t="s">
        <v>972</v>
      </c>
      <c r="B167" t="s">
        <v>1430</v>
      </c>
    </row>
    <row r="168" spans="1:2">
      <c r="A168" s="24" t="s">
        <v>974</v>
      </c>
      <c r="B168" t="s">
        <v>1431</v>
      </c>
    </row>
    <row r="169" spans="1:2">
      <c r="A169" s="24" t="s">
        <v>1432</v>
      </c>
      <c r="B169" t="s">
        <v>1433</v>
      </c>
    </row>
    <row r="170" spans="1:2">
      <c r="A170" s="24" t="s">
        <v>1434</v>
      </c>
      <c r="B170" t="s">
        <v>1435</v>
      </c>
    </row>
    <row r="171" spans="1:2">
      <c r="A171" s="24" t="s">
        <v>897</v>
      </c>
      <c r="B171" t="s">
        <v>1436</v>
      </c>
    </row>
    <row r="172" spans="1:2">
      <c r="A172" s="24" t="s">
        <v>924</v>
      </c>
      <c r="B172" t="s">
        <v>1437</v>
      </c>
    </row>
    <row r="173" spans="1:2">
      <c r="A173" s="24" t="s">
        <v>1438</v>
      </c>
      <c r="B173" t="s">
        <v>1439</v>
      </c>
    </row>
    <row r="174" spans="1:2">
      <c r="A174" s="24" t="s">
        <v>940</v>
      </c>
      <c r="B174" t="s">
        <v>1440</v>
      </c>
    </row>
    <row r="175" spans="1:2">
      <c r="A175" s="24" t="s">
        <v>1441</v>
      </c>
      <c r="B175" t="s">
        <v>1442</v>
      </c>
    </row>
    <row r="176" spans="1:2">
      <c r="A176" s="24" t="s">
        <v>1443</v>
      </c>
      <c r="B176" t="s">
        <v>1444</v>
      </c>
    </row>
    <row r="177" spans="1:2">
      <c r="A177" s="24" t="s">
        <v>934</v>
      </c>
      <c r="B177" t="s">
        <v>1445</v>
      </c>
    </row>
    <row r="178" spans="1:2">
      <c r="A178" s="24" t="s">
        <v>1446</v>
      </c>
      <c r="B178" t="s">
        <v>1447</v>
      </c>
    </row>
    <row r="179" spans="1:2">
      <c r="A179" s="24" t="s">
        <v>1129</v>
      </c>
      <c r="B179" t="s">
        <v>1448</v>
      </c>
    </row>
    <row r="180" spans="1:2">
      <c r="A180" s="24" t="s">
        <v>411</v>
      </c>
      <c r="B180" t="s">
        <v>1449</v>
      </c>
    </row>
    <row r="181" spans="1:2">
      <c r="A181" s="24" t="s">
        <v>1450</v>
      </c>
      <c r="B181" t="s">
        <v>1451</v>
      </c>
    </row>
    <row r="182" spans="1:2">
      <c r="A182" s="24" t="s">
        <v>876</v>
      </c>
      <c r="B182" t="s">
        <v>1452</v>
      </c>
    </row>
    <row r="183" spans="1:2">
      <c r="A183" s="24" t="s">
        <v>985</v>
      </c>
      <c r="B183" t="s">
        <v>1453</v>
      </c>
    </row>
    <row r="184" spans="1:2">
      <c r="A184" s="24" t="s">
        <v>926</v>
      </c>
      <c r="B184" t="s">
        <v>1454</v>
      </c>
    </row>
    <row r="185" spans="1:2">
      <c r="A185" s="24" t="s">
        <v>509</v>
      </c>
      <c r="B185" t="s">
        <v>1455</v>
      </c>
    </row>
    <row r="186" spans="1:2">
      <c r="A186" s="24" t="s">
        <v>406</v>
      </c>
      <c r="B186" t="s">
        <v>1456</v>
      </c>
    </row>
    <row r="187" spans="1:2">
      <c r="A187" s="24" t="s">
        <v>510</v>
      </c>
      <c r="B187" t="s">
        <v>1457</v>
      </c>
    </row>
    <row r="188" spans="1:2">
      <c r="A188" s="24" t="s">
        <v>1020</v>
      </c>
      <c r="B188" t="s">
        <v>1278</v>
      </c>
    </row>
    <row r="189" spans="1:2">
      <c r="A189" s="24" t="s">
        <v>1008</v>
      </c>
      <c r="B189" t="s">
        <v>1458</v>
      </c>
    </row>
    <row r="190" spans="1:2">
      <c r="A190" s="24" t="s">
        <v>1173</v>
      </c>
      <c r="B190" t="s">
        <v>1459</v>
      </c>
    </row>
    <row r="191" spans="1:2">
      <c r="A191" s="24" t="s">
        <v>404</v>
      </c>
      <c r="B191" t="s">
        <v>1460</v>
      </c>
    </row>
    <row r="192" spans="1:2">
      <c r="A192" s="24" t="s">
        <v>1261</v>
      </c>
      <c r="B192" t="s">
        <v>1461</v>
      </c>
    </row>
    <row r="193" spans="1:2">
      <c r="A193" s="24" t="s">
        <v>1262</v>
      </c>
      <c r="B193" t="s">
        <v>1461</v>
      </c>
    </row>
    <row r="194" spans="1:2">
      <c r="A194" s="24" t="s">
        <v>9</v>
      </c>
      <c r="B194" t="s">
        <v>1462</v>
      </c>
    </row>
    <row r="195" spans="1:2">
      <c r="A195" s="24" t="s">
        <v>493</v>
      </c>
      <c r="B195" t="s">
        <v>1463</v>
      </c>
    </row>
    <row r="196" spans="1:2">
      <c r="A196" s="24" t="s">
        <v>402</v>
      </c>
      <c r="B196" t="s">
        <v>1464</v>
      </c>
    </row>
    <row r="197" spans="1:2">
      <c r="A197" s="24" t="s">
        <v>973</v>
      </c>
      <c r="B197" t="s">
        <v>1465</v>
      </c>
    </row>
    <row r="198" spans="1:2">
      <c r="A198" s="24" t="s">
        <v>1466</v>
      </c>
      <c r="B198" t="s">
        <v>1467</v>
      </c>
    </row>
    <row r="199" spans="1:2">
      <c r="A199" s="24" t="s">
        <v>977</v>
      </c>
      <c r="B199" t="s">
        <v>1468</v>
      </c>
    </row>
    <row r="200" spans="1:2">
      <c r="A200" s="24" t="s">
        <v>1107</v>
      </c>
      <c r="B200" t="s">
        <v>1469</v>
      </c>
    </row>
    <row r="201" spans="1:2">
      <c r="A201" s="24" t="s">
        <v>980</v>
      </c>
      <c r="B201" t="s">
        <v>1470</v>
      </c>
    </row>
    <row r="202" spans="1:2">
      <c r="A202" s="24" t="s">
        <v>987</v>
      </c>
      <c r="B202" t="s">
        <v>1471</v>
      </c>
    </row>
    <row r="203" spans="1:2">
      <c r="A203" s="24" t="s">
        <v>979</v>
      </c>
      <c r="B203" t="s">
        <v>1472</v>
      </c>
    </row>
    <row r="204" spans="1:2">
      <c r="A204" s="24" t="s">
        <v>1473</v>
      </c>
      <c r="B204" t="s">
        <v>1474</v>
      </c>
    </row>
    <row r="205" spans="1:2">
      <c r="A205" s="24" t="s">
        <v>1475</v>
      </c>
      <c r="B205" t="s">
        <v>1474</v>
      </c>
    </row>
    <row r="206" spans="1:2">
      <c r="A206" s="24" t="s">
        <v>1476</v>
      </c>
      <c r="B206" t="s">
        <v>1477</v>
      </c>
    </row>
    <row r="207" spans="1:2">
      <c r="A207" s="24" t="s">
        <v>976</v>
      </c>
      <c r="B207" t="s">
        <v>1478</v>
      </c>
    </row>
    <row r="208" spans="1:2">
      <c r="A208" s="24" t="s">
        <v>986</v>
      </c>
      <c r="B208" t="s">
        <v>1479</v>
      </c>
    </row>
    <row r="209" spans="1:2">
      <c r="A209" s="24" t="s">
        <v>413</v>
      </c>
      <c r="B209" t="s">
        <v>1480</v>
      </c>
    </row>
    <row r="210" spans="1:2">
      <c r="A210" s="24" t="s">
        <v>1481</v>
      </c>
      <c r="B210" t="s">
        <v>1482</v>
      </c>
    </row>
    <row r="211" spans="1:2">
      <c r="A211" s="24" t="s">
        <v>1196</v>
      </c>
      <c r="B211" t="s">
        <v>1483</v>
      </c>
    </row>
    <row r="212" spans="1:2">
      <c r="A212" s="24" t="s">
        <v>939</v>
      </c>
      <c r="B212" t="s">
        <v>1484</v>
      </c>
    </row>
    <row r="213" spans="1:2">
      <c r="A213" s="24" t="s">
        <v>981</v>
      </c>
      <c r="B213" t="s">
        <v>1485</v>
      </c>
    </row>
    <row r="214" spans="1:2">
      <c r="A214" s="24" t="s">
        <v>989</v>
      </c>
      <c r="B214" t="s">
        <v>1486</v>
      </c>
    </row>
    <row r="215" spans="1:2">
      <c r="A215" s="24" t="s">
        <v>1226</v>
      </c>
      <c r="B215" t="s">
        <v>1487</v>
      </c>
    </row>
    <row r="216" spans="1:2">
      <c r="A216" s="24" t="s">
        <v>1227</v>
      </c>
      <c r="B216" t="s">
        <v>1488</v>
      </c>
    </row>
    <row r="217" spans="1:2">
      <c r="A217" s="24" t="s">
        <v>941</v>
      </c>
      <c r="B217" t="s">
        <v>1489</v>
      </c>
    </row>
    <row r="218" spans="1:2">
      <c r="A218" s="24" t="s">
        <v>1118</v>
      </c>
      <c r="B218" t="s">
        <v>1490</v>
      </c>
    </row>
    <row r="219" spans="1:2">
      <c r="A219" s="24" t="s">
        <v>1119</v>
      </c>
      <c r="B219" t="s">
        <v>1491</v>
      </c>
    </row>
    <row r="220" spans="1:2">
      <c r="A220" s="24" t="s">
        <v>415</v>
      </c>
      <c r="B220" t="s">
        <v>1492</v>
      </c>
    </row>
    <row r="221" spans="1:2">
      <c r="A221" s="24" t="s">
        <v>468</v>
      </c>
      <c r="B221" t="s">
        <v>1493</v>
      </c>
    </row>
    <row r="222" spans="1:2">
      <c r="A222" s="24" t="s">
        <v>416</v>
      </c>
      <c r="B222" t="s">
        <v>1494</v>
      </c>
    </row>
    <row r="223" spans="1:2">
      <c r="A223" s="24" t="s">
        <v>1605</v>
      </c>
      <c r="B223" t="s">
        <v>1495</v>
      </c>
    </row>
    <row r="224" spans="1:2">
      <c r="A224" s="24" t="s">
        <v>978</v>
      </c>
      <c r="B224" t="s">
        <v>1496</v>
      </c>
    </row>
    <row r="225" spans="1:2">
      <c r="A225" s="24" t="s">
        <v>1011</v>
      </c>
      <c r="B225" t="s">
        <v>1497</v>
      </c>
    </row>
    <row r="226" spans="1:2">
      <c r="A226" s="24" t="s">
        <v>1263</v>
      </c>
      <c r="B226" t="s">
        <v>1498</v>
      </c>
    </row>
    <row r="227" spans="1:2">
      <c r="A227" s="24" t="s">
        <v>6</v>
      </c>
      <c r="B227" t="s">
        <v>1499</v>
      </c>
    </row>
    <row r="228" spans="1:2">
      <c r="A228" s="24" t="s">
        <v>414</v>
      </c>
      <c r="B228" t="s">
        <v>1500</v>
      </c>
    </row>
    <row r="229" spans="1:2">
      <c r="A229" s="24" t="s">
        <v>410</v>
      </c>
      <c r="B229" t="s">
        <v>1501</v>
      </c>
    </row>
    <row r="230" spans="1:2">
      <c r="A230" s="24" t="s">
        <v>54</v>
      </c>
      <c r="B230" t="s">
        <v>1502</v>
      </c>
    </row>
    <row r="231" spans="1:2">
      <c r="A231" s="24" t="s">
        <v>1013</v>
      </c>
      <c r="B231" t="s">
        <v>1503</v>
      </c>
    </row>
    <row r="232" spans="1:2">
      <c r="A232" s="24" t="s">
        <v>1264</v>
      </c>
      <c r="B232" t="s">
        <v>1498</v>
      </c>
    </row>
    <row r="233" spans="1:2">
      <c r="A233" s="24" t="s">
        <v>1504</v>
      </c>
      <c r="B233" t="s">
        <v>1505</v>
      </c>
    </row>
    <row r="234" spans="1:2">
      <c r="A234" s="24" t="s">
        <v>75</v>
      </c>
      <c r="B234" t="s">
        <v>1506</v>
      </c>
    </row>
    <row r="235" spans="1:2">
      <c r="A235" s="24" t="s">
        <v>975</v>
      </c>
      <c r="B235" t="s">
        <v>1507</v>
      </c>
    </row>
    <row r="236" spans="1:2">
      <c r="A236" s="24" t="s">
        <v>1177</v>
      </c>
      <c r="B236" t="s">
        <v>1508</v>
      </c>
    </row>
    <row r="237" spans="1:2">
      <c r="A237" s="24" t="s">
        <v>1179</v>
      </c>
      <c r="B237" t="s">
        <v>1509</v>
      </c>
    </row>
    <row r="238" spans="1:2">
      <c r="A238" s="24" t="s">
        <v>48</v>
      </c>
      <c r="B238" t="s">
        <v>1510</v>
      </c>
    </row>
    <row r="239" spans="1:2">
      <c r="A239" s="24" t="s">
        <v>61</v>
      </c>
      <c r="B239" t="s">
        <v>1511</v>
      </c>
    </row>
    <row r="240" spans="1:2">
      <c r="A240" s="24" t="s">
        <v>68</v>
      </c>
      <c r="B240" t="s">
        <v>1512</v>
      </c>
    </row>
    <row r="241" spans="1:2">
      <c r="A241" s="24" t="s">
        <v>1185</v>
      </c>
      <c r="B241" t="s">
        <v>1513</v>
      </c>
    </row>
    <row r="242" spans="1:2">
      <c r="A242" s="24" t="s">
        <v>434</v>
      </c>
      <c r="B242" t="s">
        <v>1514</v>
      </c>
    </row>
    <row r="243" spans="1:2">
      <c r="A243" s="24" t="s">
        <v>1009</v>
      </c>
      <c r="B243" t="s">
        <v>1515</v>
      </c>
    </row>
    <row r="244" spans="1:2">
      <c r="A244" s="24" t="s">
        <v>74</v>
      </c>
      <c r="B244" t="s">
        <v>1516</v>
      </c>
    </row>
    <row r="245" spans="1:2">
      <c r="A245" s="24" t="s">
        <v>1265</v>
      </c>
      <c r="B245" t="s">
        <v>1517</v>
      </c>
    </row>
    <row r="246" spans="1:2">
      <c r="A246" s="24" t="s">
        <v>1010</v>
      </c>
      <c r="B246" t="s">
        <v>1518</v>
      </c>
    </row>
    <row r="247" spans="1:2">
      <c r="A247" s="24" t="s">
        <v>1007</v>
      </c>
      <c r="B247" t="s">
        <v>1519</v>
      </c>
    </row>
    <row r="248" spans="1:2">
      <c r="A248" s="24" t="s">
        <v>868</v>
      </c>
      <c r="B248" t="s">
        <v>1520</v>
      </c>
    </row>
    <row r="249" spans="1:2">
      <c r="A249" s="24" t="s">
        <v>1169</v>
      </c>
      <c r="B249" t="s">
        <v>1521</v>
      </c>
    </row>
    <row r="250" spans="1:2">
      <c r="A250" s="24" t="s">
        <v>1017</v>
      </c>
      <c r="B250" t="s">
        <v>1522</v>
      </c>
    </row>
    <row r="251" spans="1:2">
      <c r="A251" s="24" t="s">
        <v>1194</v>
      </c>
      <c r="B251" t="s">
        <v>1523</v>
      </c>
    </row>
    <row r="252" spans="1:2">
      <c r="A252" s="24" t="s">
        <v>1524</v>
      </c>
      <c r="B252" t="s">
        <v>1525</v>
      </c>
    </row>
    <row r="253" spans="1:2">
      <c r="A253" s="24" t="s">
        <v>10</v>
      </c>
      <c r="B253" t="s">
        <v>1526</v>
      </c>
    </row>
    <row r="254" spans="1:2">
      <c r="A254" s="24" t="s">
        <v>418</v>
      </c>
      <c r="B254" t="s">
        <v>1527</v>
      </c>
    </row>
    <row r="255" spans="1:2">
      <c r="A255" s="24" t="s">
        <v>11</v>
      </c>
      <c r="B255" t="s">
        <v>1528</v>
      </c>
    </row>
    <row r="256" spans="1:2">
      <c r="A256" s="24" t="s">
        <v>17</v>
      </c>
      <c r="B256" t="s">
        <v>1529</v>
      </c>
    </row>
    <row r="257" spans="1:2">
      <c r="A257" s="24" t="s">
        <v>26</v>
      </c>
      <c r="B257" t="s">
        <v>1530</v>
      </c>
    </row>
    <row r="258" spans="1:2">
      <c r="A258" s="24" t="s">
        <v>417</v>
      </c>
      <c r="B258" t="s">
        <v>1531</v>
      </c>
    </row>
    <row r="259" spans="1:2">
      <c r="A259" s="24" t="s">
        <v>58</v>
      </c>
      <c r="B259" t="s">
        <v>1532</v>
      </c>
    </row>
    <row r="260" spans="1:2">
      <c r="A260" s="24" t="s">
        <v>988</v>
      </c>
      <c r="B260" t="s">
        <v>1533</v>
      </c>
    </row>
    <row r="261" spans="1:2">
      <c r="A261" s="24" t="s">
        <v>1033</v>
      </c>
      <c r="B261" t="s">
        <v>1534</v>
      </c>
    </row>
    <row r="262" spans="1:2">
      <c r="A262" s="24" t="s">
        <v>419</v>
      </c>
      <c r="B262" t="s">
        <v>1535</v>
      </c>
    </row>
    <row r="263" spans="1:2">
      <c r="A263" s="24" t="s">
        <v>932</v>
      </c>
      <c r="B263" t="s">
        <v>1536</v>
      </c>
    </row>
    <row r="264" spans="1:2">
      <c r="A264" s="24" t="s">
        <v>47</v>
      </c>
      <c r="B264" t="s">
        <v>1537</v>
      </c>
    </row>
    <row r="265" spans="1:2">
      <c r="A265" s="24" t="s">
        <v>1141</v>
      </c>
      <c r="B265" t="s">
        <v>1538</v>
      </c>
    </row>
    <row r="266" spans="1:2">
      <c r="A266" s="24" t="s">
        <v>13</v>
      </c>
      <c r="B266" t="s">
        <v>1539</v>
      </c>
    </row>
    <row r="267" spans="1:2">
      <c r="A267" s="24" t="s">
        <v>1137</v>
      </c>
      <c r="B267" t="s">
        <v>1540</v>
      </c>
    </row>
    <row r="268" spans="1:2">
      <c r="A268" s="24" t="s">
        <v>1541</v>
      </c>
      <c r="B268" t="s">
        <v>1542</v>
      </c>
    </row>
    <row r="269" spans="1:2">
      <c r="A269" s="24" t="s">
        <v>1599</v>
      </c>
      <c r="B269" t="s">
        <v>1543</v>
      </c>
    </row>
    <row r="270" spans="1:2">
      <c r="A270" s="24" t="s">
        <v>22</v>
      </c>
      <c r="B270" t="s">
        <v>1544</v>
      </c>
    </row>
    <row r="271" spans="1:2">
      <c r="A271" s="24" t="s">
        <v>55</v>
      </c>
      <c r="B271" t="s">
        <v>1545</v>
      </c>
    </row>
    <row r="272" spans="1:2">
      <c r="A272" s="24" t="s">
        <v>30</v>
      </c>
      <c r="B272" t="s">
        <v>1546</v>
      </c>
    </row>
    <row r="273" spans="1:2">
      <c r="A273" s="24" t="s">
        <v>1266</v>
      </c>
      <c r="B273" t="s">
        <v>1547</v>
      </c>
    </row>
    <row r="274" spans="1:2">
      <c r="A274" s="24" t="s">
        <v>1267</v>
      </c>
      <c r="B274" t="s">
        <v>1547</v>
      </c>
    </row>
    <row r="275" spans="1:2">
      <c r="A275" s="24" t="s">
        <v>8</v>
      </c>
      <c r="B275" t="s">
        <v>1548</v>
      </c>
    </row>
    <row r="276" spans="1:2">
      <c r="A276" s="24" t="s">
        <v>28</v>
      </c>
      <c r="B276" t="s">
        <v>1549</v>
      </c>
    </row>
    <row r="277" spans="1:2">
      <c r="A277" s="24" t="s">
        <v>31</v>
      </c>
      <c r="B277" t="s">
        <v>1550</v>
      </c>
    </row>
    <row r="278" spans="1:2">
      <c r="A278" s="24" t="s">
        <v>33</v>
      </c>
      <c r="B278" t="s">
        <v>1551</v>
      </c>
    </row>
    <row r="279" spans="1:2">
      <c r="A279" s="24" t="s">
        <v>1552</v>
      </c>
      <c r="B279" t="s">
        <v>1553</v>
      </c>
    </row>
    <row r="280" spans="1:2">
      <c r="A280" s="24" t="s">
        <v>1251</v>
      </c>
      <c r="B280" t="s">
        <v>1554</v>
      </c>
    </row>
    <row r="281" spans="1:2">
      <c r="A281" s="24" t="s">
        <v>32</v>
      </c>
      <c r="B281" t="s">
        <v>102</v>
      </c>
    </row>
    <row r="282" spans="1:2">
      <c r="A282" s="24" t="s">
        <v>52</v>
      </c>
      <c r="B282" t="s">
        <v>103</v>
      </c>
    </row>
    <row r="283" spans="1:2">
      <c r="A283" s="24" t="s">
        <v>5</v>
      </c>
      <c r="B283" t="s">
        <v>104</v>
      </c>
    </row>
    <row r="284" spans="1:2">
      <c r="A284" s="24" t="s">
        <v>14</v>
      </c>
      <c r="B284" t="s">
        <v>105</v>
      </c>
    </row>
    <row r="285" spans="1:2">
      <c r="A285" s="24" t="s">
        <v>919</v>
      </c>
      <c r="B285" t="s">
        <v>1278</v>
      </c>
    </row>
    <row r="286" spans="1:2">
      <c r="A286" s="24" t="s">
        <v>1295</v>
      </c>
      <c r="B286" t="s">
        <v>1278</v>
      </c>
    </row>
    <row r="287" spans="1:2">
      <c r="A287" s="24" t="s">
        <v>106</v>
      </c>
      <c r="B287" t="s">
        <v>107</v>
      </c>
    </row>
    <row r="288" spans="1:2">
      <c r="A288" s="24" t="s">
        <v>1044</v>
      </c>
      <c r="B288" t="s">
        <v>108</v>
      </c>
    </row>
    <row r="289" spans="1:2">
      <c r="A289" s="24" t="s">
        <v>1044</v>
      </c>
      <c r="B289" t="s">
        <v>108</v>
      </c>
    </row>
    <row r="290" spans="1:2">
      <c r="A290" s="24" t="s">
        <v>1045</v>
      </c>
      <c r="B290" t="s">
        <v>109</v>
      </c>
    </row>
    <row r="291" spans="1:2">
      <c r="A291" s="24" t="s">
        <v>1046</v>
      </c>
      <c r="B291" t="s">
        <v>110</v>
      </c>
    </row>
    <row r="292" spans="1:2">
      <c r="A292" s="24" t="s">
        <v>1047</v>
      </c>
      <c r="B292" t="s">
        <v>111</v>
      </c>
    </row>
    <row r="293" spans="1:2">
      <c r="A293" s="24" t="s">
        <v>1049</v>
      </c>
      <c r="B293" t="s">
        <v>112</v>
      </c>
    </row>
    <row r="294" spans="1:2">
      <c r="A294" s="24" t="s">
        <v>113</v>
      </c>
      <c r="B294" t="s">
        <v>114</v>
      </c>
    </row>
    <row r="295" spans="1:2">
      <c r="A295" s="24" t="s">
        <v>1050</v>
      </c>
      <c r="B295" t="s">
        <v>115</v>
      </c>
    </row>
    <row r="296" spans="1:2">
      <c r="A296" s="24" t="s">
        <v>1051</v>
      </c>
      <c r="B296" t="s">
        <v>116</v>
      </c>
    </row>
    <row r="297" spans="1:2">
      <c r="A297" s="24" t="s">
        <v>1052</v>
      </c>
      <c r="B297" t="s">
        <v>117</v>
      </c>
    </row>
    <row r="298" spans="1:2">
      <c r="A298" s="24" t="s">
        <v>1053</v>
      </c>
      <c r="B298" t="s">
        <v>118</v>
      </c>
    </row>
    <row r="299" spans="1:2">
      <c r="A299" s="24" t="s">
        <v>859</v>
      </c>
      <c r="B299" t="s">
        <v>119</v>
      </c>
    </row>
    <row r="300" spans="1:2">
      <c r="A300" s="24" t="s">
        <v>860</v>
      </c>
      <c r="B300" t="s">
        <v>120</v>
      </c>
    </row>
    <row r="301" spans="1:2">
      <c r="A301" s="24" t="s">
        <v>861</v>
      </c>
      <c r="B301" t="s">
        <v>121</v>
      </c>
    </row>
    <row r="302" spans="1:2">
      <c r="A302" s="24" t="s">
        <v>862</v>
      </c>
      <c r="B302" t="s">
        <v>122</v>
      </c>
    </row>
    <row r="303" spans="1:2">
      <c r="A303" s="24" t="s">
        <v>863</v>
      </c>
      <c r="B303" t="s">
        <v>123</v>
      </c>
    </row>
    <row r="304" spans="1:2">
      <c r="A304" s="24" t="s">
        <v>124</v>
      </c>
      <c r="B304" t="s">
        <v>125</v>
      </c>
    </row>
    <row r="305" spans="1:2">
      <c r="A305" s="24" t="s">
        <v>864</v>
      </c>
      <c r="B305" t="s">
        <v>126</v>
      </c>
    </row>
    <row r="306" spans="1:2">
      <c r="A306" s="24" t="s">
        <v>865</v>
      </c>
      <c r="B306" t="s">
        <v>127</v>
      </c>
    </row>
    <row r="307" spans="1:2">
      <c r="A307" s="24" t="s">
        <v>866</v>
      </c>
      <c r="B307" t="s">
        <v>128</v>
      </c>
    </row>
    <row r="308" spans="1:2">
      <c r="A308" s="24" t="s">
        <v>867</v>
      </c>
      <c r="B308" t="s">
        <v>129</v>
      </c>
    </row>
    <row r="309" spans="1:2">
      <c r="A309" s="24" t="s">
        <v>869</v>
      </c>
      <c r="B309" t="s">
        <v>130</v>
      </c>
    </row>
    <row r="310" spans="1:2">
      <c r="A310" s="24" t="s">
        <v>131</v>
      </c>
      <c r="B310" t="s">
        <v>132</v>
      </c>
    </row>
    <row r="311" spans="1:2">
      <c r="A311" s="24" t="s">
        <v>133</v>
      </c>
      <c r="B311" t="s">
        <v>134</v>
      </c>
    </row>
    <row r="312" spans="1:2">
      <c r="A312" s="24" t="s">
        <v>135</v>
      </c>
      <c r="B312" t="s">
        <v>136</v>
      </c>
    </row>
    <row r="313" spans="1:2">
      <c r="A313" s="24" t="s">
        <v>137</v>
      </c>
      <c r="B313" t="s">
        <v>138</v>
      </c>
    </row>
    <row r="314" spans="1:2">
      <c r="A314" s="24" t="s">
        <v>139</v>
      </c>
      <c r="B314" t="s">
        <v>140</v>
      </c>
    </row>
    <row r="315" spans="1:2">
      <c r="A315" s="24" t="s">
        <v>1072</v>
      </c>
      <c r="B315" t="s">
        <v>141</v>
      </c>
    </row>
    <row r="316" spans="1:2">
      <c r="A316" s="24" t="s">
        <v>1072</v>
      </c>
      <c r="B316" t="s">
        <v>141</v>
      </c>
    </row>
    <row r="317" spans="1:2">
      <c r="A317" s="24" t="s">
        <v>1073</v>
      </c>
      <c r="B317" t="s">
        <v>142</v>
      </c>
    </row>
    <row r="318" spans="1:2">
      <c r="A318" s="24" t="s">
        <v>1073</v>
      </c>
      <c r="B318" t="s">
        <v>142</v>
      </c>
    </row>
    <row r="319" spans="1:2">
      <c r="A319" s="24" t="s">
        <v>1074</v>
      </c>
      <c r="B319" t="s">
        <v>143</v>
      </c>
    </row>
    <row r="320" spans="1:2">
      <c r="A320" s="24" t="s">
        <v>1074</v>
      </c>
      <c r="B320" t="s">
        <v>143</v>
      </c>
    </row>
    <row r="321" spans="1:2">
      <c r="A321" s="24" t="s">
        <v>1075</v>
      </c>
      <c r="B321" t="s">
        <v>144</v>
      </c>
    </row>
    <row r="322" spans="1:2">
      <c r="A322" s="24" t="s">
        <v>145</v>
      </c>
      <c r="B322" t="s">
        <v>1278</v>
      </c>
    </row>
    <row r="323" spans="1:2">
      <c r="A323" s="24" t="s">
        <v>145</v>
      </c>
      <c r="B323" t="s">
        <v>1278</v>
      </c>
    </row>
    <row r="324" spans="1:2">
      <c r="A324" s="24" t="s">
        <v>145</v>
      </c>
      <c r="B324" t="s">
        <v>1278</v>
      </c>
    </row>
    <row r="325" spans="1:2">
      <c r="A325" s="24" t="s">
        <v>145</v>
      </c>
      <c r="B325" t="s">
        <v>1278</v>
      </c>
    </row>
    <row r="326" spans="1:2">
      <c r="A326" s="24" t="s">
        <v>145</v>
      </c>
      <c r="B326" t="s">
        <v>1278</v>
      </c>
    </row>
    <row r="327" spans="1:2">
      <c r="A327" s="24" t="s">
        <v>145</v>
      </c>
      <c r="B327" t="s">
        <v>1278</v>
      </c>
    </row>
    <row r="328" spans="1:2">
      <c r="A328" s="24" t="s">
        <v>145</v>
      </c>
      <c r="B328" t="s">
        <v>1278</v>
      </c>
    </row>
    <row r="329" spans="1:2">
      <c r="A329" s="24" t="s">
        <v>145</v>
      </c>
      <c r="B329" t="s">
        <v>1278</v>
      </c>
    </row>
    <row r="330" spans="1:2">
      <c r="A330" s="24" t="s">
        <v>145</v>
      </c>
      <c r="B330" t="s">
        <v>1278</v>
      </c>
    </row>
    <row r="331" spans="1:2">
      <c r="A331" s="24" t="s">
        <v>145</v>
      </c>
      <c r="B331" t="s">
        <v>1278</v>
      </c>
    </row>
    <row r="332" spans="1:2">
      <c r="A332" s="24" t="s">
        <v>145</v>
      </c>
      <c r="B332" t="s">
        <v>1278</v>
      </c>
    </row>
    <row r="333" spans="1:2">
      <c r="A333" s="24" t="s">
        <v>145</v>
      </c>
      <c r="B333" t="s">
        <v>1278</v>
      </c>
    </row>
    <row r="334" spans="1:2">
      <c r="A334" s="24" t="s">
        <v>145</v>
      </c>
      <c r="B334" t="s">
        <v>1278</v>
      </c>
    </row>
    <row r="335" spans="1:2">
      <c r="A335" s="24" t="s">
        <v>145</v>
      </c>
      <c r="B335" t="s">
        <v>1278</v>
      </c>
    </row>
    <row r="336" spans="1:2">
      <c r="A336" s="24" t="s">
        <v>145</v>
      </c>
      <c r="B336" t="s">
        <v>1278</v>
      </c>
    </row>
    <row r="337" spans="1:2">
      <c r="A337" s="24" t="s">
        <v>145</v>
      </c>
      <c r="B337" t="s">
        <v>1278</v>
      </c>
    </row>
    <row r="338" spans="1:2">
      <c r="A338" s="24" t="s">
        <v>145</v>
      </c>
      <c r="B338" t="s">
        <v>1278</v>
      </c>
    </row>
    <row r="339" spans="1:2">
      <c r="A339" s="24" t="s">
        <v>145</v>
      </c>
      <c r="B339" t="s">
        <v>1278</v>
      </c>
    </row>
    <row r="340" spans="1:2">
      <c r="A340" s="24" t="s">
        <v>145</v>
      </c>
      <c r="B340" t="s">
        <v>1278</v>
      </c>
    </row>
    <row r="341" spans="1:2">
      <c r="A341" s="24" t="s">
        <v>145</v>
      </c>
      <c r="B341" t="s">
        <v>1278</v>
      </c>
    </row>
    <row r="342" spans="1:2">
      <c r="A342" s="24" t="s">
        <v>145</v>
      </c>
      <c r="B342" t="s">
        <v>1278</v>
      </c>
    </row>
    <row r="343" spans="1:2">
      <c r="A343" s="24" t="s">
        <v>1076</v>
      </c>
      <c r="B343" t="s">
        <v>146</v>
      </c>
    </row>
    <row r="344" spans="1:2">
      <c r="A344" s="24" t="s">
        <v>1077</v>
      </c>
      <c r="B344" t="s">
        <v>147</v>
      </c>
    </row>
    <row r="345" spans="1:2">
      <c r="A345" s="24" t="s">
        <v>1078</v>
      </c>
      <c r="B345" t="s">
        <v>148</v>
      </c>
    </row>
    <row r="346" spans="1:2">
      <c r="A346" s="24" t="s">
        <v>1079</v>
      </c>
      <c r="B346" t="s">
        <v>149</v>
      </c>
    </row>
    <row r="347" spans="1:2">
      <c r="A347" s="24" t="s">
        <v>1080</v>
      </c>
      <c r="B347" t="s">
        <v>150</v>
      </c>
    </row>
    <row r="348" spans="1:2">
      <c r="A348" s="24" t="s">
        <v>1081</v>
      </c>
      <c r="B348" t="s">
        <v>151</v>
      </c>
    </row>
    <row r="349" spans="1:2">
      <c r="A349" s="24" t="s">
        <v>1082</v>
      </c>
      <c r="B349" t="s">
        <v>152</v>
      </c>
    </row>
    <row r="350" spans="1:2">
      <c r="A350" s="24" t="s">
        <v>1083</v>
      </c>
      <c r="B350" t="s">
        <v>153</v>
      </c>
    </row>
    <row r="351" spans="1:2">
      <c r="A351" s="24" t="s">
        <v>1084</v>
      </c>
      <c r="B351" t="s">
        <v>154</v>
      </c>
    </row>
    <row r="352" spans="1:2">
      <c r="A352" s="24" t="s">
        <v>1085</v>
      </c>
      <c r="B352" t="s">
        <v>155</v>
      </c>
    </row>
    <row r="353" spans="1:2">
      <c r="A353" s="24" t="s">
        <v>1086</v>
      </c>
      <c r="B353" t="s">
        <v>156</v>
      </c>
    </row>
    <row r="354" spans="1:2">
      <c r="A354" s="24" t="s">
        <v>1087</v>
      </c>
      <c r="B354" t="s">
        <v>157</v>
      </c>
    </row>
    <row r="355" spans="1:2">
      <c r="A355" s="24" t="s">
        <v>1089</v>
      </c>
      <c r="B355" t="s">
        <v>158</v>
      </c>
    </row>
    <row r="356" spans="1:2">
      <c r="A356" s="24" t="s">
        <v>1090</v>
      </c>
      <c r="B356" t="s">
        <v>159</v>
      </c>
    </row>
    <row r="357" spans="1:2">
      <c r="A357" s="24" t="s">
        <v>1091</v>
      </c>
      <c r="B357" t="s">
        <v>160</v>
      </c>
    </row>
    <row r="358" spans="1:2">
      <c r="A358" s="24" t="s">
        <v>1092</v>
      </c>
      <c r="B358" t="s">
        <v>161</v>
      </c>
    </row>
    <row r="359" spans="1:2">
      <c r="A359" s="24" t="s">
        <v>1093</v>
      </c>
      <c r="B359" t="s">
        <v>162</v>
      </c>
    </row>
    <row r="360" spans="1:2">
      <c r="A360" s="24" t="s">
        <v>1094</v>
      </c>
      <c r="B360" t="s">
        <v>163</v>
      </c>
    </row>
    <row r="361" spans="1:2">
      <c r="A361" s="24" t="s">
        <v>1095</v>
      </c>
      <c r="B361" t="s">
        <v>164</v>
      </c>
    </row>
    <row r="362" spans="1:2">
      <c r="A362" s="24" t="s">
        <v>1096</v>
      </c>
      <c r="B362" t="s">
        <v>165</v>
      </c>
    </row>
    <row r="363" spans="1:2">
      <c r="A363" s="24" t="s">
        <v>166</v>
      </c>
      <c r="B363" t="s">
        <v>167</v>
      </c>
    </row>
    <row r="364" spans="1:2">
      <c r="A364" s="24" t="s">
        <v>1097</v>
      </c>
      <c r="B364" t="s">
        <v>168</v>
      </c>
    </row>
    <row r="365" spans="1:2">
      <c r="A365" s="24" t="s">
        <v>1098</v>
      </c>
      <c r="B365" t="s">
        <v>169</v>
      </c>
    </row>
    <row r="366" spans="1:2">
      <c r="A366" s="24" t="s">
        <v>1099</v>
      </c>
      <c r="B366" t="s">
        <v>170</v>
      </c>
    </row>
    <row r="367" spans="1:2">
      <c r="A367" s="24" t="s">
        <v>171</v>
      </c>
      <c r="B367" t="s">
        <v>172</v>
      </c>
    </row>
    <row r="368" spans="1:2">
      <c r="A368" s="24" t="s">
        <v>1100</v>
      </c>
      <c r="B368" t="s">
        <v>173</v>
      </c>
    </row>
    <row r="369" spans="1:2">
      <c r="A369" s="24" t="s">
        <v>1101</v>
      </c>
      <c r="B369" t="s">
        <v>174</v>
      </c>
    </row>
    <row r="370" spans="1:2">
      <c r="A370" s="24" t="s">
        <v>1102</v>
      </c>
      <c r="B370" t="s">
        <v>175</v>
      </c>
    </row>
    <row r="371" spans="1:2">
      <c r="A371" s="24" t="s">
        <v>176</v>
      </c>
      <c r="B371" t="s">
        <v>177</v>
      </c>
    </row>
    <row r="372" spans="1:2">
      <c r="A372" s="24" t="s">
        <v>1103</v>
      </c>
      <c r="B372" t="s">
        <v>178</v>
      </c>
    </row>
    <row r="373" spans="1:2">
      <c r="A373" s="24" t="s">
        <v>179</v>
      </c>
      <c r="B373" t="s">
        <v>180</v>
      </c>
    </row>
    <row r="374" spans="1:2">
      <c r="A374" s="24" t="s">
        <v>1104</v>
      </c>
      <c r="B374" t="s">
        <v>181</v>
      </c>
    </row>
    <row r="375" spans="1:2">
      <c r="A375" s="24" t="s">
        <v>1105</v>
      </c>
      <c r="B375" t="s">
        <v>182</v>
      </c>
    </row>
    <row r="376" spans="1:2">
      <c r="A376" s="24" t="s">
        <v>1106</v>
      </c>
      <c r="B376" t="s">
        <v>183</v>
      </c>
    </row>
    <row r="377" spans="1:2">
      <c r="A377" s="24" t="s">
        <v>184</v>
      </c>
      <c r="B377" t="s">
        <v>185</v>
      </c>
    </row>
    <row r="378" spans="1:2">
      <c r="A378" s="24" t="s">
        <v>1108</v>
      </c>
      <c r="B378" t="s">
        <v>186</v>
      </c>
    </row>
    <row r="379" spans="1:2">
      <c r="A379" s="24" t="s">
        <v>1109</v>
      </c>
      <c r="B379" t="s">
        <v>187</v>
      </c>
    </row>
    <row r="380" spans="1:2">
      <c r="A380" s="24" t="s">
        <v>1110</v>
      </c>
      <c r="B380" t="s">
        <v>188</v>
      </c>
    </row>
    <row r="381" spans="1:2">
      <c r="A381" s="24" t="s">
        <v>1111</v>
      </c>
      <c r="B381" t="s">
        <v>189</v>
      </c>
    </row>
    <row r="382" spans="1:2">
      <c r="A382" s="24" t="s">
        <v>1112</v>
      </c>
      <c r="B382" t="s">
        <v>190</v>
      </c>
    </row>
    <row r="383" spans="1:2">
      <c r="A383" s="24" t="s">
        <v>1113</v>
      </c>
      <c r="B383" t="s">
        <v>191</v>
      </c>
    </row>
    <row r="384" spans="1:2">
      <c r="A384" s="24" t="s">
        <v>1114</v>
      </c>
      <c r="B384" t="s">
        <v>192</v>
      </c>
    </row>
    <row r="385" spans="1:2">
      <c r="A385" s="24" t="s">
        <v>1115</v>
      </c>
      <c r="B385" t="s">
        <v>193</v>
      </c>
    </row>
    <row r="386" spans="1:2">
      <c r="A386" s="24" t="s">
        <v>1116</v>
      </c>
      <c r="B386" t="s">
        <v>194</v>
      </c>
    </row>
    <row r="387" spans="1:2">
      <c r="A387" s="24" t="s">
        <v>1120</v>
      </c>
      <c r="B387" t="s">
        <v>195</v>
      </c>
    </row>
    <row r="388" spans="1:2">
      <c r="A388" s="24" t="s">
        <v>1121</v>
      </c>
      <c r="B388" t="s">
        <v>196</v>
      </c>
    </row>
    <row r="389" spans="1:2">
      <c r="A389" s="24" t="s">
        <v>435</v>
      </c>
      <c r="B389" t="s">
        <v>197</v>
      </c>
    </row>
    <row r="390" spans="1:2">
      <c r="A390" s="24" t="s">
        <v>436</v>
      </c>
      <c r="B390" t="s">
        <v>198</v>
      </c>
    </row>
    <row r="391" spans="1:2">
      <c r="A391" s="24" t="s">
        <v>199</v>
      </c>
      <c r="B391" t="s">
        <v>200</v>
      </c>
    </row>
    <row r="392" spans="1:2">
      <c r="A392" s="24" t="s">
        <v>437</v>
      </c>
      <c r="B392" t="s">
        <v>201</v>
      </c>
    </row>
    <row r="393" spans="1:2">
      <c r="A393" s="24" t="s">
        <v>438</v>
      </c>
      <c r="B393" t="s">
        <v>202</v>
      </c>
    </row>
    <row r="394" spans="1:2">
      <c r="A394" s="24" t="s">
        <v>439</v>
      </c>
      <c r="B394" t="s">
        <v>203</v>
      </c>
    </row>
    <row r="395" spans="1:2">
      <c r="A395" s="24" t="s">
        <v>204</v>
      </c>
      <c r="B395" t="s">
        <v>205</v>
      </c>
    </row>
    <row r="396" spans="1:2">
      <c r="A396" s="24" t="s">
        <v>206</v>
      </c>
      <c r="B396" t="s">
        <v>207</v>
      </c>
    </row>
    <row r="397" spans="1:2">
      <c r="A397" s="24" t="s">
        <v>440</v>
      </c>
      <c r="B397" t="s">
        <v>208</v>
      </c>
    </row>
    <row r="398" spans="1:2">
      <c r="A398" s="24" t="s">
        <v>441</v>
      </c>
      <c r="B398" t="s">
        <v>209</v>
      </c>
    </row>
    <row r="399" spans="1:2">
      <c r="A399" s="24" t="s">
        <v>442</v>
      </c>
      <c r="B399" t="s">
        <v>210</v>
      </c>
    </row>
    <row r="400" spans="1:2">
      <c r="A400" s="24" t="s">
        <v>443</v>
      </c>
      <c r="B400" t="s">
        <v>211</v>
      </c>
    </row>
    <row r="401" spans="1:2">
      <c r="A401" s="24" t="s">
        <v>444</v>
      </c>
      <c r="B401" t="s">
        <v>212</v>
      </c>
    </row>
    <row r="402" spans="1:2">
      <c r="A402" s="24" t="s">
        <v>445</v>
      </c>
      <c r="B402" t="s">
        <v>213</v>
      </c>
    </row>
    <row r="403" spans="1:2">
      <c r="A403" s="24" t="s">
        <v>446</v>
      </c>
      <c r="B403" t="s">
        <v>214</v>
      </c>
    </row>
    <row r="404" spans="1:2">
      <c r="A404" s="24" t="s">
        <v>447</v>
      </c>
      <c r="B404" t="s">
        <v>215</v>
      </c>
    </row>
    <row r="405" spans="1:2">
      <c r="A405" s="24" t="s">
        <v>448</v>
      </c>
      <c r="B405" t="s">
        <v>216</v>
      </c>
    </row>
    <row r="406" spans="1:2">
      <c r="A406" s="24" t="s">
        <v>449</v>
      </c>
      <c r="B406" t="s">
        <v>217</v>
      </c>
    </row>
    <row r="407" spans="1:2">
      <c r="A407" s="24" t="s">
        <v>450</v>
      </c>
      <c r="B407" t="s">
        <v>218</v>
      </c>
    </row>
    <row r="408" spans="1:2">
      <c r="A408" s="24" t="s">
        <v>451</v>
      </c>
      <c r="B408" t="s">
        <v>219</v>
      </c>
    </row>
    <row r="409" spans="1:2">
      <c r="A409" s="24" t="s">
        <v>452</v>
      </c>
      <c r="B409" t="s">
        <v>220</v>
      </c>
    </row>
    <row r="410" spans="1:2">
      <c r="A410" s="24" t="s">
        <v>221</v>
      </c>
      <c r="B410" t="s">
        <v>222</v>
      </c>
    </row>
    <row r="411" spans="1:2">
      <c r="A411" s="24" t="s">
        <v>453</v>
      </c>
      <c r="B411" t="s">
        <v>223</v>
      </c>
    </row>
    <row r="412" spans="1:2">
      <c r="A412" s="24" t="s">
        <v>454</v>
      </c>
      <c r="B412" t="s">
        <v>224</v>
      </c>
    </row>
    <row r="413" spans="1:2">
      <c r="A413" s="24" t="s">
        <v>454</v>
      </c>
      <c r="B413" t="s">
        <v>224</v>
      </c>
    </row>
    <row r="414" spans="1:2">
      <c r="A414" s="24" t="s">
        <v>455</v>
      </c>
      <c r="B414" t="s">
        <v>225</v>
      </c>
    </row>
    <row r="415" spans="1:2">
      <c r="A415" s="24" t="s">
        <v>456</v>
      </c>
      <c r="B415" t="s">
        <v>226</v>
      </c>
    </row>
    <row r="416" spans="1:2">
      <c r="A416" s="24" t="s">
        <v>1578</v>
      </c>
      <c r="B416" t="s">
        <v>227</v>
      </c>
    </row>
    <row r="417" spans="1:2">
      <c r="A417" s="24" t="s">
        <v>228</v>
      </c>
      <c r="B417" t="s">
        <v>229</v>
      </c>
    </row>
    <row r="418" spans="1:2">
      <c r="A418" s="24" t="s">
        <v>228</v>
      </c>
      <c r="B418" t="s">
        <v>229</v>
      </c>
    </row>
    <row r="419" spans="1:2">
      <c r="A419" s="24" t="s">
        <v>1579</v>
      </c>
      <c r="B419" t="s">
        <v>230</v>
      </c>
    </row>
    <row r="420" spans="1:2">
      <c r="A420" s="24" t="s">
        <v>231</v>
      </c>
      <c r="B420" t="s">
        <v>232</v>
      </c>
    </row>
    <row r="421" spans="1:2">
      <c r="A421" s="24" t="s">
        <v>1580</v>
      </c>
      <c r="B421" t="s">
        <v>233</v>
      </c>
    </row>
    <row r="422" spans="1:2">
      <c r="A422" s="24" t="s">
        <v>1580</v>
      </c>
      <c r="B422" t="s">
        <v>233</v>
      </c>
    </row>
    <row r="423" spans="1:2">
      <c r="A423" s="24" t="s">
        <v>1581</v>
      </c>
      <c r="B423" t="s">
        <v>234</v>
      </c>
    </row>
    <row r="424" spans="1:2">
      <c r="A424" s="24" t="s">
        <v>1060</v>
      </c>
      <c r="B424" t="s">
        <v>235</v>
      </c>
    </row>
    <row r="425" spans="1:2">
      <c r="A425" s="24" t="s">
        <v>1061</v>
      </c>
      <c r="B425" t="s">
        <v>236</v>
      </c>
    </row>
    <row r="426" spans="1:2">
      <c r="A426" s="24" t="s">
        <v>1062</v>
      </c>
      <c r="B426" t="s">
        <v>237</v>
      </c>
    </row>
    <row r="427" spans="1:2">
      <c r="A427" s="24" t="s">
        <v>1063</v>
      </c>
      <c r="B427" t="s">
        <v>238</v>
      </c>
    </row>
    <row r="428" spans="1:2">
      <c r="A428" s="24" t="s">
        <v>1064</v>
      </c>
      <c r="B428" t="s">
        <v>239</v>
      </c>
    </row>
    <row r="429" spans="1:2">
      <c r="A429" s="24" t="s">
        <v>1065</v>
      </c>
      <c r="B429" t="s">
        <v>240</v>
      </c>
    </row>
    <row r="430" spans="1:2">
      <c r="A430" s="24" t="s">
        <v>241</v>
      </c>
      <c r="B430" t="s">
        <v>242</v>
      </c>
    </row>
    <row r="431" spans="1:2">
      <c r="A431" s="24" t="s">
        <v>243</v>
      </c>
      <c r="B431" t="s">
        <v>244</v>
      </c>
    </row>
    <row r="432" spans="1:2">
      <c r="A432" s="24" t="s">
        <v>71</v>
      </c>
      <c r="B432" t="s">
        <v>245</v>
      </c>
    </row>
    <row r="433" spans="1:2">
      <c r="A433" s="24" t="s">
        <v>71</v>
      </c>
      <c r="B433" t="s">
        <v>245</v>
      </c>
    </row>
    <row r="434" spans="1:2">
      <c r="A434" s="24" t="s">
        <v>72</v>
      </c>
      <c r="B434" t="s">
        <v>246</v>
      </c>
    </row>
    <row r="435" spans="1:2">
      <c r="A435" s="24" t="s">
        <v>72</v>
      </c>
      <c r="B435" t="s">
        <v>246</v>
      </c>
    </row>
    <row r="436" spans="1:2">
      <c r="A436" s="24" t="s">
        <v>247</v>
      </c>
      <c r="B436" t="s">
        <v>248</v>
      </c>
    </row>
    <row r="437" spans="1:2">
      <c r="A437" s="24" t="s">
        <v>73</v>
      </c>
      <c r="B437" t="s">
        <v>249</v>
      </c>
    </row>
    <row r="438" spans="1:2">
      <c r="A438" s="24" t="s">
        <v>76</v>
      </c>
      <c r="B438" t="s">
        <v>250</v>
      </c>
    </row>
    <row r="439" spans="1:2">
      <c r="A439" s="24" t="s">
        <v>77</v>
      </c>
      <c r="B439" t="s">
        <v>251</v>
      </c>
    </row>
    <row r="440" spans="1:2">
      <c r="A440" s="24" t="s">
        <v>77</v>
      </c>
      <c r="B440" t="s">
        <v>251</v>
      </c>
    </row>
    <row r="441" spans="1:2">
      <c r="A441" s="24" t="s">
        <v>77</v>
      </c>
      <c r="B441" t="s">
        <v>251</v>
      </c>
    </row>
    <row r="442" spans="1:2">
      <c r="A442" s="24" t="s">
        <v>77</v>
      </c>
      <c r="B442" t="s">
        <v>251</v>
      </c>
    </row>
    <row r="443" spans="1:2">
      <c r="A443" s="24" t="s">
        <v>78</v>
      </c>
      <c r="B443" t="s">
        <v>252</v>
      </c>
    </row>
    <row r="444" spans="1:2">
      <c r="A444" s="24" t="s">
        <v>253</v>
      </c>
      <c r="B444" t="s">
        <v>254</v>
      </c>
    </row>
    <row r="445" spans="1:2">
      <c r="A445" s="24" t="s">
        <v>79</v>
      </c>
      <c r="B445" t="s">
        <v>252</v>
      </c>
    </row>
    <row r="446" spans="1:2">
      <c r="A446" s="24" t="s">
        <v>467</v>
      </c>
      <c r="B446" t="s">
        <v>252</v>
      </c>
    </row>
    <row r="447" spans="1:2">
      <c r="A447" s="24" t="s">
        <v>469</v>
      </c>
      <c r="B447" t="s">
        <v>255</v>
      </c>
    </row>
    <row r="448" spans="1:2">
      <c r="A448" s="24" t="s">
        <v>470</v>
      </c>
      <c r="B448" t="s">
        <v>252</v>
      </c>
    </row>
    <row r="449" spans="1:2">
      <c r="A449" s="24" t="s">
        <v>471</v>
      </c>
      <c r="B449" t="s">
        <v>256</v>
      </c>
    </row>
    <row r="450" spans="1:2">
      <c r="A450" s="24" t="s">
        <v>472</v>
      </c>
      <c r="B450" t="s">
        <v>252</v>
      </c>
    </row>
    <row r="451" spans="1:2">
      <c r="A451" s="24" t="s">
        <v>473</v>
      </c>
      <c r="B451" t="s">
        <v>252</v>
      </c>
    </row>
    <row r="452" spans="1:2">
      <c r="A452" s="24" t="s">
        <v>474</v>
      </c>
      <c r="B452" t="s">
        <v>252</v>
      </c>
    </row>
    <row r="453" spans="1:2">
      <c r="A453" s="24" t="s">
        <v>475</v>
      </c>
      <c r="B453" t="s">
        <v>257</v>
      </c>
    </row>
    <row r="454" spans="1:2">
      <c r="A454" s="24" t="s">
        <v>476</v>
      </c>
      <c r="B454" t="s">
        <v>258</v>
      </c>
    </row>
    <row r="455" spans="1:2">
      <c r="A455" s="24" t="s">
        <v>478</v>
      </c>
      <c r="B455" t="s">
        <v>259</v>
      </c>
    </row>
    <row r="456" spans="1:2">
      <c r="A456" s="24" t="s">
        <v>479</v>
      </c>
      <c r="B456" t="s">
        <v>260</v>
      </c>
    </row>
    <row r="457" spans="1:2">
      <c r="A457" s="24" t="s">
        <v>480</v>
      </c>
      <c r="B457" t="s">
        <v>261</v>
      </c>
    </row>
    <row r="458" spans="1:2">
      <c r="A458" s="24" t="s">
        <v>480</v>
      </c>
      <c r="B458" t="s">
        <v>261</v>
      </c>
    </row>
    <row r="459" spans="1:2">
      <c r="A459" s="24" t="s">
        <v>481</v>
      </c>
      <c r="B459" t="s">
        <v>262</v>
      </c>
    </row>
    <row r="460" spans="1:2">
      <c r="A460" s="24" t="s">
        <v>482</v>
      </c>
      <c r="B460" t="s">
        <v>263</v>
      </c>
    </row>
    <row r="461" spans="1:2">
      <c r="A461" s="24" t="s">
        <v>483</v>
      </c>
      <c r="B461" t="s">
        <v>264</v>
      </c>
    </row>
    <row r="462" spans="1:2">
      <c r="A462" s="24" t="s">
        <v>484</v>
      </c>
      <c r="B462" t="s">
        <v>265</v>
      </c>
    </row>
    <row r="463" spans="1:2">
      <c r="A463" s="24" t="s">
        <v>485</v>
      </c>
      <c r="B463" t="s">
        <v>266</v>
      </c>
    </row>
    <row r="464" spans="1:2">
      <c r="A464" s="24" t="s">
        <v>267</v>
      </c>
      <c r="B464" t="s">
        <v>268</v>
      </c>
    </row>
    <row r="465" spans="1:2">
      <c r="A465" s="24" t="s">
        <v>486</v>
      </c>
      <c r="B465" t="s">
        <v>269</v>
      </c>
    </row>
    <row r="466" spans="1:2">
      <c r="A466" s="24" t="s">
        <v>487</v>
      </c>
      <c r="B466" t="s">
        <v>270</v>
      </c>
    </row>
    <row r="467" spans="1:2">
      <c r="A467" s="24" t="s">
        <v>488</v>
      </c>
      <c r="B467" t="s">
        <v>271</v>
      </c>
    </row>
    <row r="468" spans="1:2">
      <c r="A468" s="24" t="s">
        <v>272</v>
      </c>
      <c r="B468" t="s">
        <v>273</v>
      </c>
    </row>
    <row r="469" spans="1:2">
      <c r="A469" s="24" t="s">
        <v>489</v>
      </c>
      <c r="B469" t="s">
        <v>274</v>
      </c>
    </row>
    <row r="470" spans="1:2">
      <c r="A470" s="24" t="s">
        <v>490</v>
      </c>
      <c r="B470" t="s">
        <v>275</v>
      </c>
    </row>
    <row r="471" spans="1:2">
      <c r="A471" s="24" t="s">
        <v>491</v>
      </c>
      <c r="B471" t="s">
        <v>276</v>
      </c>
    </row>
    <row r="472" spans="1:2">
      <c r="A472" s="24" t="s">
        <v>492</v>
      </c>
      <c r="B472" t="s">
        <v>277</v>
      </c>
    </row>
    <row r="473" spans="1:2">
      <c r="A473" s="24" t="s">
        <v>496</v>
      </c>
      <c r="B473" t="s">
        <v>278</v>
      </c>
    </row>
    <row r="474" spans="1:2">
      <c r="A474" s="24" t="s">
        <v>497</v>
      </c>
      <c r="B474" t="s">
        <v>279</v>
      </c>
    </row>
    <row r="475" spans="1:2">
      <c r="A475" s="24" t="s">
        <v>498</v>
      </c>
      <c r="B475" t="s">
        <v>280</v>
      </c>
    </row>
    <row r="476" spans="1:2">
      <c r="A476" s="24" t="s">
        <v>499</v>
      </c>
      <c r="B476" t="s">
        <v>281</v>
      </c>
    </row>
    <row r="477" spans="1:2">
      <c r="A477" s="24" t="s">
        <v>500</v>
      </c>
      <c r="B477" t="s">
        <v>282</v>
      </c>
    </row>
    <row r="478" spans="1:2">
      <c r="A478" s="24" t="s">
        <v>501</v>
      </c>
      <c r="B478" t="s">
        <v>283</v>
      </c>
    </row>
    <row r="479" spans="1:2">
      <c r="A479" s="24" t="s">
        <v>502</v>
      </c>
      <c r="B479" t="s">
        <v>252</v>
      </c>
    </row>
    <row r="480" spans="1:2">
      <c r="A480" s="24" t="s">
        <v>503</v>
      </c>
      <c r="B480" t="s">
        <v>284</v>
      </c>
    </row>
    <row r="481" spans="1:2">
      <c r="A481" s="24" t="s">
        <v>504</v>
      </c>
      <c r="B481" t="s">
        <v>285</v>
      </c>
    </row>
    <row r="482" spans="1:2">
      <c r="A482" s="24" t="s">
        <v>506</v>
      </c>
      <c r="B482" t="s">
        <v>286</v>
      </c>
    </row>
    <row r="483" spans="1:2">
      <c r="A483" s="24" t="s">
        <v>508</v>
      </c>
      <c r="B483" t="s">
        <v>287</v>
      </c>
    </row>
    <row r="484" spans="1:2">
      <c r="A484" s="24" t="s">
        <v>512</v>
      </c>
      <c r="B484" t="s">
        <v>288</v>
      </c>
    </row>
    <row r="485" spans="1:2">
      <c r="A485" s="24" t="s">
        <v>514</v>
      </c>
      <c r="B485" t="s">
        <v>289</v>
      </c>
    </row>
    <row r="486" spans="1:2">
      <c r="A486" s="24" t="s">
        <v>515</v>
      </c>
      <c r="B486" t="s">
        <v>290</v>
      </c>
    </row>
    <row r="487" spans="1:2">
      <c r="A487" s="24" t="s">
        <v>516</v>
      </c>
      <c r="B487" t="s">
        <v>291</v>
      </c>
    </row>
    <row r="488" spans="1:2">
      <c r="A488" s="24" t="s">
        <v>990</v>
      </c>
      <c r="B488" t="s">
        <v>292</v>
      </c>
    </row>
    <row r="489" spans="1:2">
      <c r="A489" s="24" t="s">
        <v>991</v>
      </c>
      <c r="B489" t="s">
        <v>293</v>
      </c>
    </row>
    <row r="490" spans="1:2">
      <c r="A490" s="24" t="s">
        <v>992</v>
      </c>
      <c r="B490" t="s">
        <v>294</v>
      </c>
    </row>
    <row r="491" spans="1:2">
      <c r="A491" s="24" t="s">
        <v>457</v>
      </c>
      <c r="B491" t="s">
        <v>295</v>
      </c>
    </row>
    <row r="492" spans="1:2">
      <c r="A492" s="24" t="s">
        <v>457</v>
      </c>
      <c r="B492" t="s">
        <v>295</v>
      </c>
    </row>
    <row r="493" spans="1:2">
      <c r="A493" s="24" t="s">
        <v>458</v>
      </c>
      <c r="B493" t="s">
        <v>296</v>
      </c>
    </row>
    <row r="494" spans="1:2">
      <c r="A494" s="24" t="s">
        <v>297</v>
      </c>
      <c r="B494" t="s">
        <v>298</v>
      </c>
    </row>
    <row r="495" spans="1:2">
      <c r="A495" s="24" t="s">
        <v>459</v>
      </c>
      <c r="B495" t="s">
        <v>299</v>
      </c>
    </row>
    <row r="496" spans="1:2">
      <c r="A496" s="24" t="s">
        <v>854</v>
      </c>
      <c r="B496" t="s">
        <v>300</v>
      </c>
    </row>
    <row r="497" spans="1:2">
      <c r="A497" s="24" t="s">
        <v>1229</v>
      </c>
      <c r="B497" t="s">
        <v>301</v>
      </c>
    </row>
    <row r="498" spans="1:2">
      <c r="A498" s="24" t="s">
        <v>1230</v>
      </c>
      <c r="B498" t="s">
        <v>302</v>
      </c>
    </row>
    <row r="499" spans="1:2">
      <c r="A499" s="24" t="s">
        <v>1231</v>
      </c>
      <c r="B499" t="s">
        <v>303</v>
      </c>
    </row>
    <row r="500" spans="1:2">
      <c r="A500" s="24" t="s">
        <v>1232</v>
      </c>
      <c r="B500" t="s">
        <v>304</v>
      </c>
    </row>
    <row r="501" spans="1:2">
      <c r="A501" s="24" t="s">
        <v>1233</v>
      </c>
      <c r="B501" t="s">
        <v>305</v>
      </c>
    </row>
    <row r="502" spans="1:2">
      <c r="A502" s="24" t="s">
        <v>306</v>
      </c>
      <c r="B502" t="s">
        <v>307</v>
      </c>
    </row>
    <row r="503" spans="1:2">
      <c r="A503" s="24" t="s">
        <v>1234</v>
      </c>
      <c r="B503" t="s">
        <v>308</v>
      </c>
    </row>
    <row r="504" spans="1:2">
      <c r="A504" s="24" t="s">
        <v>1235</v>
      </c>
      <c r="B504" t="s">
        <v>309</v>
      </c>
    </row>
    <row r="505" spans="1:2">
      <c r="A505" s="24" t="s">
        <v>1236</v>
      </c>
      <c r="B505" t="s">
        <v>310</v>
      </c>
    </row>
    <row r="506" spans="1:2">
      <c r="A506" s="24" t="s">
        <v>1237</v>
      </c>
      <c r="B506" t="s">
        <v>311</v>
      </c>
    </row>
    <row r="507" spans="1:2">
      <c r="A507" s="24" t="s">
        <v>1238</v>
      </c>
      <c r="B507" t="s">
        <v>312</v>
      </c>
    </row>
    <row r="508" spans="1:2">
      <c r="A508" s="24" t="s">
        <v>1239</v>
      </c>
      <c r="B508" t="s">
        <v>313</v>
      </c>
    </row>
    <row r="509" spans="1:2">
      <c r="A509" s="24" t="s">
        <v>1240</v>
      </c>
      <c r="B509" t="s">
        <v>314</v>
      </c>
    </row>
    <row r="510" spans="1:2">
      <c r="A510" s="24" t="s">
        <v>1241</v>
      </c>
      <c r="B510" t="s">
        <v>315</v>
      </c>
    </row>
    <row r="511" spans="1:2">
      <c r="A511" s="24" t="s">
        <v>1241</v>
      </c>
      <c r="B511" t="s">
        <v>315</v>
      </c>
    </row>
    <row r="512" spans="1:2">
      <c r="A512" s="24" t="s">
        <v>316</v>
      </c>
      <c r="B512" t="s">
        <v>317</v>
      </c>
    </row>
    <row r="513" spans="1:2">
      <c r="A513" s="24" t="s">
        <v>1242</v>
      </c>
      <c r="B513" t="s">
        <v>318</v>
      </c>
    </row>
    <row r="514" spans="1:2">
      <c r="A514" s="24" t="s">
        <v>1243</v>
      </c>
      <c r="B514" t="s">
        <v>319</v>
      </c>
    </row>
    <row r="515" spans="1:2">
      <c r="A515" s="24" t="s">
        <v>320</v>
      </c>
      <c r="B515" t="s">
        <v>321</v>
      </c>
    </row>
    <row r="516" spans="1:2">
      <c r="A516" s="24" t="s">
        <v>322</v>
      </c>
      <c r="B516" t="s">
        <v>323</v>
      </c>
    </row>
    <row r="517" spans="1:2">
      <c r="A517" s="24" t="s">
        <v>1244</v>
      </c>
      <c r="B517" t="s">
        <v>324</v>
      </c>
    </row>
    <row r="518" spans="1:2">
      <c r="A518" s="24" t="s">
        <v>1245</v>
      </c>
      <c r="B518" t="s">
        <v>325</v>
      </c>
    </row>
    <row r="519" spans="1:2">
      <c r="A519" s="24" t="s">
        <v>1246</v>
      </c>
      <c r="B519" t="s">
        <v>326</v>
      </c>
    </row>
    <row r="520" spans="1:2">
      <c r="A520" s="24" t="s">
        <v>1248</v>
      </c>
      <c r="B520" t="s">
        <v>327</v>
      </c>
    </row>
    <row r="521" spans="1:2">
      <c r="A521" s="24" t="s">
        <v>328</v>
      </c>
      <c r="B521" t="s">
        <v>329</v>
      </c>
    </row>
    <row r="522" spans="1:2">
      <c r="A522" s="24" t="s">
        <v>330</v>
      </c>
      <c r="B522" t="s">
        <v>331</v>
      </c>
    </row>
    <row r="523" spans="1:2">
      <c r="A523" s="24" t="s">
        <v>330</v>
      </c>
      <c r="B523" t="s">
        <v>331</v>
      </c>
    </row>
    <row r="524" spans="1:2">
      <c r="A524" s="24" t="s">
        <v>330</v>
      </c>
      <c r="B524" t="s">
        <v>331</v>
      </c>
    </row>
    <row r="525" spans="1:2">
      <c r="A525" s="24" t="s">
        <v>1249</v>
      </c>
      <c r="B525" t="s">
        <v>332</v>
      </c>
    </row>
    <row r="526" spans="1:2">
      <c r="A526" s="24" t="s">
        <v>1249</v>
      </c>
      <c r="B526" t="s">
        <v>332</v>
      </c>
    </row>
    <row r="527" spans="1:2">
      <c r="A527" s="24" t="s">
        <v>333</v>
      </c>
      <c r="B527" t="s">
        <v>334</v>
      </c>
    </row>
    <row r="528" spans="1:2">
      <c r="A528" s="24" t="s">
        <v>335</v>
      </c>
      <c r="B528" t="s">
        <v>336</v>
      </c>
    </row>
    <row r="529" spans="1:2">
      <c r="A529" s="24" t="s">
        <v>337</v>
      </c>
      <c r="B529" t="s">
        <v>338</v>
      </c>
    </row>
    <row r="530" spans="1:2">
      <c r="A530" s="24" t="s">
        <v>339</v>
      </c>
      <c r="B530" t="s">
        <v>340</v>
      </c>
    </row>
    <row r="531" spans="1:2">
      <c r="A531" s="24" t="s">
        <v>339</v>
      </c>
      <c r="B531" t="s">
        <v>340</v>
      </c>
    </row>
    <row r="532" spans="1:2">
      <c r="A532" s="24" t="s">
        <v>341</v>
      </c>
      <c r="B532" t="s">
        <v>342</v>
      </c>
    </row>
    <row r="533" spans="1:2">
      <c r="A533" s="24" t="s">
        <v>343</v>
      </c>
      <c r="B533" t="s">
        <v>344</v>
      </c>
    </row>
    <row r="534" spans="1:2">
      <c r="A534" s="24" t="s">
        <v>343</v>
      </c>
      <c r="B534" t="s">
        <v>344</v>
      </c>
    </row>
    <row r="535" spans="1:2">
      <c r="A535" s="24" t="s">
        <v>345</v>
      </c>
      <c r="B535" t="s">
        <v>346</v>
      </c>
    </row>
    <row r="536" spans="1:2">
      <c r="A536" s="24" t="s">
        <v>857</v>
      </c>
      <c r="B536" t="s">
        <v>347</v>
      </c>
    </row>
    <row r="537" spans="1:2">
      <c r="A537" s="24" t="s">
        <v>857</v>
      </c>
      <c r="B537" t="s">
        <v>347</v>
      </c>
    </row>
    <row r="538" spans="1:2">
      <c r="A538" s="24" t="s">
        <v>1250</v>
      </c>
      <c r="B538" t="s">
        <v>348</v>
      </c>
    </row>
    <row r="539" spans="1:2">
      <c r="A539" s="24" t="s">
        <v>1250</v>
      </c>
      <c r="B539" t="s">
        <v>348</v>
      </c>
    </row>
    <row r="540" spans="1:2">
      <c r="A540" s="24" t="s">
        <v>349</v>
      </c>
      <c r="B540" t="s">
        <v>350</v>
      </c>
    </row>
    <row r="541" spans="1:2">
      <c r="A541" s="24" t="s">
        <v>351</v>
      </c>
      <c r="B541" t="s">
        <v>1278</v>
      </c>
    </row>
    <row r="542" spans="1:2">
      <c r="A542" s="24" t="s">
        <v>352</v>
      </c>
      <c r="B542" t="s">
        <v>1278</v>
      </c>
    </row>
    <row r="543" spans="1:2">
      <c r="A543" s="24" t="s">
        <v>353</v>
      </c>
      <c r="B543" t="s">
        <v>1278</v>
      </c>
    </row>
    <row r="544" spans="1:2">
      <c r="A544" s="24" t="s">
        <v>354</v>
      </c>
      <c r="B544" t="s">
        <v>1278</v>
      </c>
    </row>
    <row r="545" spans="1:2">
      <c r="A545" s="24" t="s">
        <v>355</v>
      </c>
      <c r="B545" t="s">
        <v>1278</v>
      </c>
    </row>
    <row r="546" spans="1:2">
      <c r="A546" s="24" t="s">
        <v>356</v>
      </c>
      <c r="B546" t="s">
        <v>1278</v>
      </c>
    </row>
    <row r="547" spans="1:2">
      <c r="A547" s="24" t="s">
        <v>1022</v>
      </c>
      <c r="B547" t="s">
        <v>357</v>
      </c>
    </row>
    <row r="548" spans="1:2">
      <c r="A548" s="24" t="s">
        <v>1023</v>
      </c>
      <c r="B548" t="s">
        <v>358</v>
      </c>
    </row>
    <row r="549" spans="1:2">
      <c r="A549" s="24" t="s">
        <v>1024</v>
      </c>
      <c r="B549" t="s">
        <v>359</v>
      </c>
    </row>
    <row r="550" spans="1:2">
      <c r="A550" s="24" t="s">
        <v>1025</v>
      </c>
      <c r="B550" t="s">
        <v>360</v>
      </c>
    </row>
    <row r="551" spans="1:2">
      <c r="A551" s="24" t="s">
        <v>1025</v>
      </c>
      <c r="B551" t="s">
        <v>360</v>
      </c>
    </row>
    <row r="552" spans="1:2">
      <c r="A552" s="24" t="s">
        <v>871</v>
      </c>
      <c r="B552" t="s">
        <v>361</v>
      </c>
    </row>
    <row r="553" spans="1:2">
      <c r="A553" s="24" t="s">
        <v>872</v>
      </c>
      <c r="B553" t="s">
        <v>362</v>
      </c>
    </row>
    <row r="554" spans="1:2">
      <c r="A554" s="24" t="s">
        <v>872</v>
      </c>
      <c r="B554" t="s">
        <v>362</v>
      </c>
    </row>
    <row r="555" spans="1:2">
      <c r="A555" s="24" t="s">
        <v>363</v>
      </c>
      <c r="B555" t="s">
        <v>364</v>
      </c>
    </row>
    <row r="556" spans="1:2">
      <c r="A556" s="24" t="s">
        <v>874</v>
      </c>
      <c r="B556" t="s">
        <v>365</v>
      </c>
    </row>
    <row r="557" spans="1:2">
      <c r="A557" s="24" t="s">
        <v>874</v>
      </c>
      <c r="B557" t="s">
        <v>365</v>
      </c>
    </row>
    <row r="558" spans="1:2">
      <c r="A558" s="24" t="s">
        <v>366</v>
      </c>
      <c r="B558" t="s">
        <v>367</v>
      </c>
    </row>
    <row r="559" spans="1:2">
      <c r="A559" s="24" t="s">
        <v>880</v>
      </c>
      <c r="B559" t="s">
        <v>368</v>
      </c>
    </row>
    <row r="560" spans="1:2">
      <c r="A560" s="24" t="s">
        <v>881</v>
      </c>
      <c r="B560" t="s">
        <v>369</v>
      </c>
    </row>
    <row r="561" spans="1:2">
      <c r="A561" s="24" t="s">
        <v>882</v>
      </c>
      <c r="B561" t="s">
        <v>370</v>
      </c>
    </row>
    <row r="562" spans="1:2">
      <c r="A562" s="24" t="s">
        <v>883</v>
      </c>
      <c r="B562" t="s">
        <v>371</v>
      </c>
    </row>
    <row r="563" spans="1:2">
      <c r="A563" s="24" t="s">
        <v>884</v>
      </c>
      <c r="B563" t="s">
        <v>372</v>
      </c>
    </row>
    <row r="564" spans="1:2">
      <c r="A564" s="24" t="s">
        <v>885</v>
      </c>
      <c r="B564" t="s">
        <v>373</v>
      </c>
    </row>
    <row r="565" spans="1:2">
      <c r="A565" s="24" t="s">
        <v>886</v>
      </c>
      <c r="B565" t="s">
        <v>374</v>
      </c>
    </row>
    <row r="566" spans="1:2">
      <c r="A566" s="24" t="s">
        <v>375</v>
      </c>
      <c r="B566" t="s">
        <v>376</v>
      </c>
    </row>
    <row r="567" spans="1:2">
      <c r="A567" s="24" t="s">
        <v>377</v>
      </c>
      <c r="B567" t="s">
        <v>378</v>
      </c>
    </row>
    <row r="568" spans="1:2">
      <c r="A568" s="24" t="s">
        <v>887</v>
      </c>
      <c r="B568" t="s">
        <v>1278</v>
      </c>
    </row>
    <row r="569" spans="1:2">
      <c r="A569" s="24" t="s">
        <v>379</v>
      </c>
      <c r="B569" t="s">
        <v>380</v>
      </c>
    </row>
    <row r="570" spans="1:2">
      <c r="A570" s="24" t="s">
        <v>1576</v>
      </c>
      <c r="B570" t="s">
        <v>381</v>
      </c>
    </row>
    <row r="571" spans="1:2">
      <c r="A571" s="24" t="s">
        <v>1577</v>
      </c>
      <c r="B571" t="s">
        <v>382</v>
      </c>
    </row>
    <row r="572" spans="1:2">
      <c r="A572" s="24" t="s">
        <v>383</v>
      </c>
      <c r="B572" t="s">
        <v>384</v>
      </c>
    </row>
    <row r="573" spans="1:2">
      <c r="A573" s="24" t="s">
        <v>385</v>
      </c>
      <c r="B573" t="s">
        <v>386</v>
      </c>
    </row>
    <row r="574" spans="1:2">
      <c r="A574" s="24" t="s">
        <v>1035</v>
      </c>
      <c r="B574" t="s">
        <v>387</v>
      </c>
    </row>
    <row r="575" spans="1:2">
      <c r="A575" s="24" t="s">
        <v>388</v>
      </c>
      <c r="B575" t="s">
        <v>389</v>
      </c>
    </row>
    <row r="576" spans="1:2">
      <c r="A576" s="24" t="s">
        <v>1036</v>
      </c>
      <c r="B576" t="s">
        <v>390</v>
      </c>
    </row>
    <row r="577" spans="1:2">
      <c r="A577" s="24" t="s">
        <v>391</v>
      </c>
      <c r="B577" t="s">
        <v>392</v>
      </c>
    </row>
    <row r="578" spans="1:2">
      <c r="A578" s="24" t="s">
        <v>393</v>
      </c>
      <c r="B578" t="s">
        <v>394</v>
      </c>
    </row>
    <row r="579" spans="1:2">
      <c r="A579" s="24" t="s">
        <v>1039</v>
      </c>
      <c r="B579" t="s">
        <v>395</v>
      </c>
    </row>
    <row r="580" spans="1:2">
      <c r="A580" s="24" t="s">
        <v>1040</v>
      </c>
      <c r="B580" t="s">
        <v>396</v>
      </c>
    </row>
    <row r="581" spans="1:2">
      <c r="A581" s="24" t="s">
        <v>1041</v>
      </c>
      <c r="B581" t="s">
        <v>397</v>
      </c>
    </row>
    <row r="582" spans="1:2">
      <c r="A582" s="24" t="s">
        <v>1042</v>
      </c>
      <c r="B582" t="s">
        <v>398</v>
      </c>
    </row>
    <row r="583" spans="1:2">
      <c r="A583" s="24" t="s">
        <v>1042</v>
      </c>
      <c r="B583" t="s">
        <v>398</v>
      </c>
    </row>
    <row r="584" spans="1:2">
      <c r="A584" s="24" t="s">
        <v>0</v>
      </c>
      <c r="B584" t="s">
        <v>399</v>
      </c>
    </row>
    <row r="585" spans="1:2">
      <c r="A585" s="24" t="s">
        <v>0</v>
      </c>
      <c r="B585" t="s">
        <v>399</v>
      </c>
    </row>
    <row r="586" spans="1:2">
      <c r="A586" s="24" t="s">
        <v>400</v>
      </c>
      <c r="B586" t="s">
        <v>401</v>
      </c>
    </row>
    <row r="587" spans="1:2">
      <c r="A587" s="24" t="s">
        <v>1</v>
      </c>
      <c r="B587" t="s">
        <v>1650</v>
      </c>
    </row>
    <row r="588" spans="1:2">
      <c r="A588" s="24" t="s">
        <v>3</v>
      </c>
      <c r="B588" t="s">
        <v>1651</v>
      </c>
    </row>
    <row r="589" spans="1:2">
      <c r="A589" s="24" t="s">
        <v>4</v>
      </c>
      <c r="B589" t="s">
        <v>1652</v>
      </c>
    </row>
    <row r="590" spans="1:2">
      <c r="A590" s="24" t="s">
        <v>1653</v>
      </c>
      <c r="B590" t="s">
        <v>1654</v>
      </c>
    </row>
    <row r="591" spans="1:2">
      <c r="A591" s="24" t="s">
        <v>1655</v>
      </c>
      <c r="B591" t="s">
        <v>1656</v>
      </c>
    </row>
    <row r="592" spans="1:2">
      <c r="A592" s="24" t="s">
        <v>1271</v>
      </c>
      <c r="B592" t="s">
        <v>1657</v>
      </c>
    </row>
    <row r="593" spans="1:2">
      <c r="A593" s="24" t="s">
        <v>1658</v>
      </c>
      <c r="B593" t="s">
        <v>1659</v>
      </c>
    </row>
    <row r="594" spans="1:2">
      <c r="A594" s="24" t="s">
        <v>1660</v>
      </c>
      <c r="B594" t="s">
        <v>1661</v>
      </c>
    </row>
    <row r="595" spans="1:2">
      <c r="A595" s="24" t="s">
        <v>12</v>
      </c>
      <c r="B595" t="s">
        <v>1662</v>
      </c>
    </row>
    <row r="596" spans="1:2">
      <c r="A596" s="24" t="s">
        <v>1663</v>
      </c>
      <c r="B596" t="s">
        <v>1664</v>
      </c>
    </row>
    <row r="597" spans="1:2">
      <c r="A597" s="24" t="s">
        <v>1272</v>
      </c>
      <c r="B597" t="s">
        <v>1665</v>
      </c>
    </row>
    <row r="598" spans="1:2">
      <c r="A598" s="24" t="s">
        <v>1273</v>
      </c>
      <c r="B598" t="s">
        <v>1666</v>
      </c>
    </row>
    <row r="599" spans="1:2">
      <c r="A599" s="24" t="s">
        <v>1667</v>
      </c>
      <c r="B599" t="s">
        <v>1668</v>
      </c>
    </row>
    <row r="600" spans="1:2">
      <c r="A600" s="24" t="s">
        <v>1669</v>
      </c>
      <c r="B600" t="s">
        <v>1670</v>
      </c>
    </row>
    <row r="601" spans="1:2">
      <c r="A601" s="24" t="s">
        <v>16</v>
      </c>
      <c r="B601" t="s">
        <v>1671</v>
      </c>
    </row>
    <row r="602" spans="1:2">
      <c r="A602" s="24" t="s">
        <v>1672</v>
      </c>
      <c r="B602" t="s">
        <v>1673</v>
      </c>
    </row>
    <row r="603" spans="1:2">
      <c r="A603" s="24" t="s">
        <v>18</v>
      </c>
      <c r="B603" t="s">
        <v>1674</v>
      </c>
    </row>
    <row r="604" spans="1:2">
      <c r="A604" s="24" t="s">
        <v>19</v>
      </c>
      <c r="B604" t="s">
        <v>1675</v>
      </c>
    </row>
    <row r="605" spans="1:2">
      <c r="A605" s="24" t="s">
        <v>20</v>
      </c>
      <c r="B605" t="s">
        <v>1676</v>
      </c>
    </row>
    <row r="606" spans="1:2">
      <c r="A606" s="24" t="s">
        <v>1677</v>
      </c>
      <c r="B606" t="s">
        <v>1678</v>
      </c>
    </row>
    <row r="607" spans="1:2">
      <c r="A607" s="24" t="s">
        <v>21</v>
      </c>
      <c r="B607" t="s">
        <v>1679</v>
      </c>
    </row>
    <row r="608" spans="1:2">
      <c r="A608" s="24" t="s">
        <v>23</v>
      </c>
      <c r="B608" t="s">
        <v>1680</v>
      </c>
    </row>
    <row r="609" spans="1:2">
      <c r="A609" s="24" t="s">
        <v>1681</v>
      </c>
      <c r="B609" t="s">
        <v>1682</v>
      </c>
    </row>
    <row r="610" spans="1:2">
      <c r="A610" s="24" t="s">
        <v>24</v>
      </c>
      <c r="B610" t="s">
        <v>1683</v>
      </c>
    </row>
    <row r="611" spans="1:2">
      <c r="A611" s="24" t="s">
        <v>1684</v>
      </c>
      <c r="B611" t="s">
        <v>1685</v>
      </c>
    </row>
    <row r="612" spans="1:2">
      <c r="A612" s="24" t="s">
        <v>25</v>
      </c>
      <c r="B612" t="s">
        <v>1686</v>
      </c>
    </row>
    <row r="613" spans="1:2">
      <c r="A613" s="24" t="s">
        <v>1687</v>
      </c>
      <c r="B613" t="s">
        <v>1688</v>
      </c>
    </row>
    <row r="614" spans="1:2">
      <c r="A614" s="24" t="s">
        <v>1689</v>
      </c>
      <c r="B614" t="s">
        <v>1690</v>
      </c>
    </row>
    <row r="615" spans="1:2">
      <c r="A615" s="24" t="s">
        <v>1691</v>
      </c>
      <c r="B615" t="s">
        <v>1692</v>
      </c>
    </row>
    <row r="616" spans="1:2">
      <c r="A616" s="24" t="s">
        <v>1693</v>
      </c>
      <c r="B616" t="s">
        <v>1694</v>
      </c>
    </row>
    <row r="617" spans="1:2">
      <c r="A617" s="24" t="s">
        <v>34</v>
      </c>
      <c r="B617" t="s">
        <v>1695</v>
      </c>
    </row>
    <row r="618" spans="1:2">
      <c r="A618" s="24" t="s">
        <v>1124</v>
      </c>
      <c r="B618" t="s">
        <v>1696</v>
      </c>
    </row>
    <row r="619" spans="1:2">
      <c r="A619" s="24" t="s">
        <v>1125</v>
      </c>
      <c r="B619" t="s">
        <v>1697</v>
      </c>
    </row>
    <row r="620" spans="1:2">
      <c r="A620" s="24" t="s">
        <v>1125</v>
      </c>
      <c r="B620" t="s">
        <v>1697</v>
      </c>
    </row>
    <row r="621" spans="1:2">
      <c r="A621" s="24" t="s">
        <v>1125</v>
      </c>
      <c r="B621" t="s">
        <v>1697</v>
      </c>
    </row>
    <row r="622" spans="1:2">
      <c r="A622" s="24" t="s">
        <v>1125</v>
      </c>
      <c r="B622" t="s">
        <v>1697</v>
      </c>
    </row>
    <row r="623" spans="1:2">
      <c r="A623" s="24" t="s">
        <v>1125</v>
      </c>
      <c r="B623" t="s">
        <v>1697</v>
      </c>
    </row>
    <row r="624" spans="1:2">
      <c r="A624" s="24" t="s">
        <v>1128</v>
      </c>
      <c r="B624" t="s">
        <v>1698</v>
      </c>
    </row>
    <row r="625" spans="1:2">
      <c r="A625" s="24" t="s">
        <v>1131</v>
      </c>
      <c r="B625" t="s">
        <v>1699</v>
      </c>
    </row>
    <row r="626" spans="1:2">
      <c r="A626" s="24" t="s">
        <v>1133</v>
      </c>
      <c r="B626" t="s">
        <v>1700</v>
      </c>
    </row>
    <row r="627" spans="1:2">
      <c r="A627" s="24" t="s">
        <v>1135</v>
      </c>
      <c r="B627" t="s">
        <v>1701</v>
      </c>
    </row>
    <row r="628" spans="1:2">
      <c r="A628" s="24" t="s">
        <v>1702</v>
      </c>
      <c r="B628" t="s">
        <v>1703</v>
      </c>
    </row>
    <row r="629" spans="1:2">
      <c r="A629" s="24" t="s">
        <v>1136</v>
      </c>
      <c r="B629" t="s">
        <v>1704</v>
      </c>
    </row>
    <row r="630" spans="1:2">
      <c r="A630" s="24" t="s">
        <v>1138</v>
      </c>
      <c r="B630" t="s">
        <v>1705</v>
      </c>
    </row>
    <row r="631" spans="1:2">
      <c r="A631" s="24" t="s">
        <v>1706</v>
      </c>
      <c r="B631" t="s">
        <v>1707</v>
      </c>
    </row>
    <row r="632" spans="1:2">
      <c r="A632" s="24" t="s">
        <v>1274</v>
      </c>
      <c r="B632" t="s">
        <v>1708</v>
      </c>
    </row>
    <row r="633" spans="1:2">
      <c r="A633" s="24" t="s">
        <v>1139</v>
      </c>
      <c r="B633" t="s">
        <v>1709</v>
      </c>
    </row>
    <row r="634" spans="1:2">
      <c r="A634" s="24" t="s">
        <v>1140</v>
      </c>
      <c r="B634" t="s">
        <v>1710</v>
      </c>
    </row>
    <row r="635" spans="1:2">
      <c r="A635" s="24" t="s">
        <v>1142</v>
      </c>
      <c r="B635" t="s">
        <v>1711</v>
      </c>
    </row>
    <row r="636" spans="1:2">
      <c r="A636" s="24" t="s">
        <v>1143</v>
      </c>
      <c r="B636" t="s">
        <v>1712</v>
      </c>
    </row>
    <row r="637" spans="1:2">
      <c r="A637" s="24" t="s">
        <v>1713</v>
      </c>
      <c r="B637" t="s">
        <v>1714</v>
      </c>
    </row>
    <row r="638" spans="1:2">
      <c r="A638" s="24" t="s">
        <v>1144</v>
      </c>
      <c r="B638" t="s">
        <v>1715</v>
      </c>
    </row>
    <row r="639" spans="1:2">
      <c r="A639" s="24" t="s">
        <v>1144</v>
      </c>
      <c r="B639" t="s">
        <v>1715</v>
      </c>
    </row>
    <row r="640" spans="1:2">
      <c r="A640" s="24" t="s">
        <v>1716</v>
      </c>
      <c r="B640" t="s">
        <v>1717</v>
      </c>
    </row>
    <row r="641" spans="1:2">
      <c r="A641" s="24" t="s">
        <v>1145</v>
      </c>
      <c r="B641" t="s">
        <v>1718</v>
      </c>
    </row>
    <row r="642" spans="1:2">
      <c r="A642" s="24" t="s">
        <v>1719</v>
      </c>
      <c r="B642" t="s">
        <v>1720</v>
      </c>
    </row>
    <row r="643" spans="1:2">
      <c r="A643" s="24" t="s">
        <v>1146</v>
      </c>
      <c r="B643" t="s">
        <v>1721</v>
      </c>
    </row>
    <row r="644" spans="1:2">
      <c r="A644" s="24" t="s">
        <v>1147</v>
      </c>
      <c r="B644" t="s">
        <v>1722</v>
      </c>
    </row>
    <row r="645" spans="1:2">
      <c r="A645" s="24" t="s">
        <v>1148</v>
      </c>
      <c r="B645" t="s">
        <v>1723</v>
      </c>
    </row>
    <row r="646" spans="1:2">
      <c r="A646" s="24" t="s">
        <v>1724</v>
      </c>
      <c r="B646" t="s">
        <v>1725</v>
      </c>
    </row>
    <row r="647" spans="1:2">
      <c r="A647" s="24" t="s">
        <v>1726</v>
      </c>
      <c r="B647" t="s">
        <v>1727</v>
      </c>
    </row>
    <row r="648" spans="1:2">
      <c r="A648" s="24" t="s">
        <v>1150</v>
      </c>
      <c r="B648" t="s">
        <v>1728</v>
      </c>
    </row>
    <row r="649" spans="1:2">
      <c r="A649" s="24" t="s">
        <v>1150</v>
      </c>
      <c r="B649" t="s">
        <v>1728</v>
      </c>
    </row>
    <row r="650" spans="1:2">
      <c r="A650" s="24" t="s">
        <v>995</v>
      </c>
      <c r="B650" t="s">
        <v>1729</v>
      </c>
    </row>
    <row r="651" spans="1:2">
      <c r="A651" s="24" t="s">
        <v>996</v>
      </c>
      <c r="B651" t="s">
        <v>1730</v>
      </c>
    </row>
    <row r="652" spans="1:2">
      <c r="A652" s="24" t="s">
        <v>1731</v>
      </c>
      <c r="B652" t="s">
        <v>1732</v>
      </c>
    </row>
    <row r="653" spans="1:2">
      <c r="A653" s="24" t="s">
        <v>997</v>
      </c>
      <c r="B653" t="s">
        <v>1733</v>
      </c>
    </row>
    <row r="654" spans="1:2">
      <c r="A654" s="24" t="s">
        <v>997</v>
      </c>
      <c r="B654" t="s">
        <v>1733</v>
      </c>
    </row>
    <row r="655" spans="1:2">
      <c r="A655" s="24" t="s">
        <v>1734</v>
      </c>
      <c r="B655" t="s">
        <v>1735</v>
      </c>
    </row>
    <row r="656" spans="1:2">
      <c r="A656" s="24" t="s">
        <v>1736</v>
      </c>
      <c r="B656" t="s">
        <v>1737</v>
      </c>
    </row>
    <row r="657" spans="1:2">
      <c r="A657" s="24" t="s">
        <v>1738</v>
      </c>
      <c r="B657" t="s">
        <v>1739</v>
      </c>
    </row>
    <row r="658" spans="1:2">
      <c r="A658" s="24" t="s">
        <v>998</v>
      </c>
      <c r="B658" t="s">
        <v>1740</v>
      </c>
    </row>
    <row r="659" spans="1:2">
      <c r="A659" s="24" t="s">
        <v>999</v>
      </c>
      <c r="B659" t="s">
        <v>1741</v>
      </c>
    </row>
    <row r="660" spans="1:2">
      <c r="A660" s="24" t="s">
        <v>1742</v>
      </c>
      <c r="B660" t="s">
        <v>1743</v>
      </c>
    </row>
    <row r="661" spans="1:2">
      <c r="A661" s="24" t="s">
        <v>1001</v>
      </c>
      <c r="B661" t="s">
        <v>1744</v>
      </c>
    </row>
    <row r="662" spans="1:2">
      <c r="A662" s="24" t="s">
        <v>1001</v>
      </c>
      <c r="B662" t="s">
        <v>1744</v>
      </c>
    </row>
    <row r="663" spans="1:2">
      <c r="A663" s="24" t="s">
        <v>1002</v>
      </c>
      <c r="B663" t="s">
        <v>1745</v>
      </c>
    </row>
    <row r="664" spans="1:2">
      <c r="A664" s="24" t="s">
        <v>1002</v>
      </c>
      <c r="B664" t="s">
        <v>1745</v>
      </c>
    </row>
    <row r="665" spans="1:2">
      <c r="A665" s="24" t="s">
        <v>1003</v>
      </c>
      <c r="B665" t="s">
        <v>1746</v>
      </c>
    </row>
    <row r="666" spans="1:2">
      <c r="A666" s="24" t="s">
        <v>1003</v>
      </c>
      <c r="B666" t="s">
        <v>1746</v>
      </c>
    </row>
    <row r="667" spans="1:2">
      <c r="A667" s="24" t="s">
        <v>1004</v>
      </c>
      <c r="B667" t="s">
        <v>1747</v>
      </c>
    </row>
    <row r="668" spans="1:2">
      <c r="A668" s="24" t="s">
        <v>1004</v>
      </c>
      <c r="B668" t="s">
        <v>1747</v>
      </c>
    </row>
    <row r="669" spans="1:2">
      <c r="A669" s="24" t="s">
        <v>1005</v>
      </c>
      <c r="B669" t="s">
        <v>1748</v>
      </c>
    </row>
    <row r="670" spans="1:2">
      <c r="A670" s="24" t="s">
        <v>1749</v>
      </c>
      <c r="B670" t="s">
        <v>1750</v>
      </c>
    </row>
    <row r="671" spans="1:2">
      <c r="A671" s="24" t="s">
        <v>1751</v>
      </c>
      <c r="B671" t="s">
        <v>1752</v>
      </c>
    </row>
    <row r="672" spans="1:2">
      <c r="A672" s="24" t="s">
        <v>1012</v>
      </c>
      <c r="B672" t="s">
        <v>1753</v>
      </c>
    </row>
    <row r="673" spans="1:2">
      <c r="A673" s="24" t="s">
        <v>1014</v>
      </c>
      <c r="B673" t="s">
        <v>1754</v>
      </c>
    </row>
    <row r="674" spans="1:2">
      <c r="A674" s="24" t="s">
        <v>1015</v>
      </c>
      <c r="B674" t="s">
        <v>1755</v>
      </c>
    </row>
    <row r="675" spans="1:2">
      <c r="A675" s="24" t="s">
        <v>1756</v>
      </c>
      <c r="B675" t="s">
        <v>1757</v>
      </c>
    </row>
    <row r="676" spans="1:2">
      <c r="A676" s="24" t="s">
        <v>964</v>
      </c>
      <c r="B676" t="s">
        <v>1758</v>
      </c>
    </row>
    <row r="677" spans="1:2">
      <c r="A677" s="24" t="s">
        <v>967</v>
      </c>
      <c r="B677" t="s">
        <v>1759</v>
      </c>
    </row>
    <row r="678" spans="1:2">
      <c r="A678" s="24" t="s">
        <v>1760</v>
      </c>
      <c r="B678" t="s">
        <v>1761</v>
      </c>
    </row>
    <row r="679" spans="1:2">
      <c r="A679" s="24" t="s">
        <v>929</v>
      </c>
      <c r="B679" t="s">
        <v>1762</v>
      </c>
    </row>
    <row r="680" spans="1:2">
      <c r="A680" s="24" t="s">
        <v>1763</v>
      </c>
      <c r="B680" t="s">
        <v>1764</v>
      </c>
    </row>
    <row r="681" spans="1:2">
      <c r="A681" s="24" t="s">
        <v>1765</v>
      </c>
      <c r="B681" t="s">
        <v>1766</v>
      </c>
    </row>
    <row r="682" spans="1:2">
      <c r="A682" s="24" t="s">
        <v>1767</v>
      </c>
      <c r="B682" t="s">
        <v>1768</v>
      </c>
    </row>
    <row r="683" spans="1:2">
      <c r="A683" s="24" t="s">
        <v>49</v>
      </c>
      <c r="B683" t="s">
        <v>1769</v>
      </c>
    </row>
    <row r="684" spans="1:2">
      <c r="A684" s="24" t="s">
        <v>50</v>
      </c>
      <c r="B684" t="s">
        <v>1770</v>
      </c>
    </row>
    <row r="685" spans="1:2">
      <c r="A685" s="24" t="s">
        <v>51</v>
      </c>
      <c r="B685" t="s">
        <v>1771</v>
      </c>
    </row>
    <row r="686" spans="1:2">
      <c r="A686" s="24" t="s">
        <v>1772</v>
      </c>
      <c r="B686" t="s">
        <v>1773</v>
      </c>
    </row>
    <row r="687" spans="1:2">
      <c r="A687" s="24" t="s">
        <v>1774</v>
      </c>
      <c r="B687" t="s">
        <v>1775</v>
      </c>
    </row>
    <row r="688" spans="1:2">
      <c r="A688" s="24" t="s">
        <v>1776</v>
      </c>
      <c r="B688" t="s">
        <v>1777</v>
      </c>
    </row>
    <row r="689" spans="1:2">
      <c r="A689" s="24" t="s">
        <v>56</v>
      </c>
      <c r="B689" t="s">
        <v>1778</v>
      </c>
    </row>
    <row r="690" spans="1:2">
      <c r="A690" s="24" t="s">
        <v>1779</v>
      </c>
      <c r="B690" t="s">
        <v>1780</v>
      </c>
    </row>
    <row r="691" spans="1:2">
      <c r="A691" s="24" t="s">
        <v>1781</v>
      </c>
      <c r="B691" t="s">
        <v>1782</v>
      </c>
    </row>
    <row r="692" spans="1:2">
      <c r="A692" s="24" t="s">
        <v>1783</v>
      </c>
      <c r="B692" t="s">
        <v>1784</v>
      </c>
    </row>
    <row r="693" spans="1:2">
      <c r="A693" s="24" t="s">
        <v>57</v>
      </c>
      <c r="B693" t="s">
        <v>1785</v>
      </c>
    </row>
    <row r="694" spans="1:2">
      <c r="A694" s="24" t="s">
        <v>1786</v>
      </c>
      <c r="B694" t="s">
        <v>1787</v>
      </c>
    </row>
    <row r="695" spans="1:2">
      <c r="A695" s="24" t="s">
        <v>1788</v>
      </c>
      <c r="B695" t="s">
        <v>1789</v>
      </c>
    </row>
    <row r="696" spans="1:2">
      <c r="A696" s="24" t="s">
        <v>1790</v>
      </c>
      <c r="B696" t="s">
        <v>1791</v>
      </c>
    </row>
    <row r="697" spans="1:2">
      <c r="A697" s="24" t="s">
        <v>59</v>
      </c>
      <c r="B697" t="s">
        <v>1792</v>
      </c>
    </row>
    <row r="698" spans="1:2">
      <c r="A698" s="24" t="s">
        <v>60</v>
      </c>
      <c r="B698" t="s">
        <v>1793</v>
      </c>
    </row>
    <row r="699" spans="1:2">
      <c r="A699" s="24" t="s">
        <v>64</v>
      </c>
      <c r="B699" t="s">
        <v>1794</v>
      </c>
    </row>
    <row r="700" spans="1:2">
      <c r="A700" s="24" t="s">
        <v>1795</v>
      </c>
      <c r="B700" t="s">
        <v>1796</v>
      </c>
    </row>
    <row r="701" spans="1:2">
      <c r="A701" s="24" t="s">
        <v>65</v>
      </c>
      <c r="B701" t="s">
        <v>1797</v>
      </c>
    </row>
    <row r="702" spans="1:2">
      <c r="A702" s="24" t="s">
        <v>66</v>
      </c>
      <c r="B702" t="s">
        <v>1798</v>
      </c>
    </row>
    <row r="703" spans="1:2">
      <c r="A703" s="24" t="s">
        <v>66</v>
      </c>
      <c r="B703" t="s">
        <v>1798</v>
      </c>
    </row>
    <row r="704" spans="1:2">
      <c r="A704" s="24" t="s">
        <v>1799</v>
      </c>
      <c r="B704" t="s">
        <v>1800</v>
      </c>
    </row>
    <row r="705" spans="1:2">
      <c r="A705" s="24" t="s">
        <v>1801</v>
      </c>
      <c r="B705" t="s">
        <v>1802</v>
      </c>
    </row>
    <row r="706" spans="1:2">
      <c r="A706" s="24" t="s">
        <v>1803</v>
      </c>
      <c r="B706" t="s">
        <v>1804</v>
      </c>
    </row>
    <row r="707" spans="1:2">
      <c r="A707" s="24" t="s">
        <v>69</v>
      </c>
      <c r="B707" t="s">
        <v>1805</v>
      </c>
    </row>
    <row r="708" spans="1:2">
      <c r="A708" s="24" t="s">
        <v>69</v>
      </c>
      <c r="B708" t="s">
        <v>1805</v>
      </c>
    </row>
    <row r="709" spans="1:2">
      <c r="A709" s="24" t="s">
        <v>70</v>
      </c>
      <c r="B709" t="s">
        <v>1806</v>
      </c>
    </row>
    <row r="710" spans="1:2">
      <c r="A710" s="24" t="s">
        <v>70</v>
      </c>
      <c r="B710" t="s">
        <v>1806</v>
      </c>
    </row>
    <row r="711" spans="1:2">
      <c r="A711" s="24" t="s">
        <v>1170</v>
      </c>
      <c r="B711" t="s">
        <v>1807</v>
      </c>
    </row>
    <row r="712" spans="1:2">
      <c r="A712" s="24" t="s">
        <v>1808</v>
      </c>
      <c r="B712" t="s">
        <v>1809</v>
      </c>
    </row>
    <row r="713" spans="1:2">
      <c r="A713" s="24" t="s">
        <v>1171</v>
      </c>
      <c r="B713" t="s">
        <v>1810</v>
      </c>
    </row>
    <row r="714" spans="1:2">
      <c r="A714" s="24" t="s">
        <v>1174</v>
      </c>
      <c r="B714" t="s">
        <v>1811</v>
      </c>
    </row>
    <row r="715" spans="1:2">
      <c r="A715" s="24" t="s">
        <v>1175</v>
      </c>
      <c r="B715" t="s">
        <v>1812</v>
      </c>
    </row>
    <row r="716" spans="1:2">
      <c r="A716" s="24" t="s">
        <v>1176</v>
      </c>
      <c r="B716" t="s">
        <v>1813</v>
      </c>
    </row>
    <row r="717" spans="1:2">
      <c r="A717" s="24" t="s">
        <v>1558</v>
      </c>
      <c r="B717" t="s">
        <v>1814</v>
      </c>
    </row>
    <row r="718" spans="1:2">
      <c r="A718" s="24" t="s">
        <v>1559</v>
      </c>
      <c r="B718" t="s">
        <v>1815</v>
      </c>
    </row>
    <row r="719" spans="1:2">
      <c r="A719" s="24" t="s">
        <v>1178</v>
      </c>
      <c r="B719" t="s">
        <v>1816</v>
      </c>
    </row>
    <row r="720" spans="1:2">
      <c r="A720" s="24" t="s">
        <v>1817</v>
      </c>
      <c r="B720" t="s">
        <v>1818</v>
      </c>
    </row>
    <row r="721" spans="1:2">
      <c r="A721" s="24" t="s">
        <v>1180</v>
      </c>
      <c r="B721" t="s">
        <v>1819</v>
      </c>
    </row>
    <row r="722" spans="1:2">
      <c r="A722" s="24" t="s">
        <v>1181</v>
      </c>
      <c r="B722" t="s">
        <v>1820</v>
      </c>
    </row>
    <row r="723" spans="1:2">
      <c r="A723" s="24" t="s">
        <v>1186</v>
      </c>
      <c r="B723" t="s">
        <v>1821</v>
      </c>
    </row>
    <row r="724" spans="1:2">
      <c r="A724" s="24" t="s">
        <v>1187</v>
      </c>
      <c r="B724" t="s">
        <v>1822</v>
      </c>
    </row>
    <row r="725" spans="1:2">
      <c r="A725" s="24" t="s">
        <v>1823</v>
      </c>
      <c r="B725" t="s">
        <v>1824</v>
      </c>
    </row>
    <row r="726" spans="1:2">
      <c r="A726" s="24" t="s">
        <v>970</v>
      </c>
      <c r="B726" t="s">
        <v>1825</v>
      </c>
    </row>
    <row r="727" spans="1:2">
      <c r="A727" s="24" t="s">
        <v>971</v>
      </c>
      <c r="B727" t="s">
        <v>1826</v>
      </c>
    </row>
    <row r="728" spans="1:2">
      <c r="A728" s="24" t="s">
        <v>1827</v>
      </c>
      <c r="B728" t="s">
        <v>1828</v>
      </c>
    </row>
    <row r="729" spans="1:2">
      <c r="A729" s="24" t="s">
        <v>1829</v>
      </c>
      <c r="B729" t="s">
        <v>1830</v>
      </c>
    </row>
    <row r="730" spans="1:2">
      <c r="A730" s="24" t="s">
        <v>1831</v>
      </c>
      <c r="B730" t="s">
        <v>1832</v>
      </c>
    </row>
    <row r="731" spans="1:2">
      <c r="A731" s="24" t="s">
        <v>1833</v>
      </c>
      <c r="B731" t="s">
        <v>1834</v>
      </c>
    </row>
    <row r="732" spans="1:2">
      <c r="A732" s="24" t="s">
        <v>1835</v>
      </c>
      <c r="B732" t="s">
        <v>1836</v>
      </c>
    </row>
    <row r="733" spans="1:2">
      <c r="A733" s="24" t="s">
        <v>1837</v>
      </c>
      <c r="B733" t="s">
        <v>1838</v>
      </c>
    </row>
    <row r="734" spans="1:2">
      <c r="A734" s="24" t="s">
        <v>1839</v>
      </c>
      <c r="B734" t="s">
        <v>1840</v>
      </c>
    </row>
    <row r="735" spans="1:2">
      <c r="A735" s="24" t="s">
        <v>422</v>
      </c>
      <c r="B735" t="s">
        <v>1841</v>
      </c>
    </row>
    <row r="736" spans="1:2">
      <c r="A736" s="24" t="s">
        <v>423</v>
      </c>
      <c r="B736" t="s">
        <v>1842</v>
      </c>
    </row>
    <row r="737" spans="1:2">
      <c r="A737" s="24" t="s">
        <v>424</v>
      </c>
      <c r="B737" t="s">
        <v>1843</v>
      </c>
    </row>
    <row r="738" spans="1:2">
      <c r="A738" s="24" t="s">
        <v>425</v>
      </c>
      <c r="B738" t="s">
        <v>1844</v>
      </c>
    </row>
    <row r="739" spans="1:2">
      <c r="A739" s="24" t="s">
        <v>426</v>
      </c>
      <c r="B739" t="s">
        <v>1845</v>
      </c>
    </row>
    <row r="740" spans="1:2">
      <c r="A740" s="24" t="s">
        <v>427</v>
      </c>
      <c r="B740" t="s">
        <v>1846</v>
      </c>
    </row>
    <row r="741" spans="1:2">
      <c r="A741" s="24" t="s">
        <v>428</v>
      </c>
      <c r="B741" t="s">
        <v>1847</v>
      </c>
    </row>
    <row r="742" spans="1:2">
      <c r="A742" s="24" t="s">
        <v>429</v>
      </c>
      <c r="B742" t="s">
        <v>1848</v>
      </c>
    </row>
    <row r="743" spans="1:2">
      <c r="A743" s="24" t="s">
        <v>430</v>
      </c>
      <c r="B743" t="s">
        <v>1849</v>
      </c>
    </row>
    <row r="744" spans="1:2">
      <c r="A744" s="24" t="s">
        <v>1850</v>
      </c>
      <c r="B744" t="s">
        <v>1851</v>
      </c>
    </row>
    <row r="745" spans="1:2">
      <c r="A745" s="24" t="s">
        <v>1852</v>
      </c>
      <c r="B745" t="s">
        <v>1853</v>
      </c>
    </row>
    <row r="746" spans="1:2">
      <c r="A746" s="24" t="s">
        <v>1854</v>
      </c>
      <c r="B746" t="s">
        <v>1855</v>
      </c>
    </row>
    <row r="747" spans="1:2">
      <c r="A747" s="24" t="s">
        <v>1856</v>
      </c>
      <c r="B747" t="s">
        <v>1857</v>
      </c>
    </row>
    <row r="748" spans="1:2">
      <c r="A748" s="24" t="s">
        <v>1858</v>
      </c>
      <c r="B748" t="s">
        <v>1859</v>
      </c>
    </row>
    <row r="749" spans="1:2">
      <c r="A749" s="24" t="s">
        <v>1860</v>
      </c>
      <c r="B749" t="s">
        <v>1861</v>
      </c>
    </row>
    <row r="750" spans="1:2">
      <c r="A750" s="24" t="s">
        <v>1862</v>
      </c>
      <c r="B750" t="s">
        <v>1863</v>
      </c>
    </row>
    <row r="751" spans="1:2">
      <c r="A751" s="24" t="s">
        <v>1598</v>
      </c>
      <c r="B751" t="s">
        <v>1864</v>
      </c>
    </row>
    <row r="752" spans="1:2">
      <c r="A752" s="24" t="s">
        <v>1865</v>
      </c>
      <c r="B752" t="s">
        <v>1866</v>
      </c>
    </row>
    <row r="753" spans="1:2">
      <c r="A753" s="24" t="s">
        <v>1867</v>
      </c>
      <c r="B753" t="s">
        <v>1868</v>
      </c>
    </row>
    <row r="754" spans="1:2">
      <c r="A754" s="24" t="s">
        <v>1869</v>
      </c>
      <c r="B754" t="s">
        <v>1870</v>
      </c>
    </row>
    <row r="755" spans="1:2">
      <c r="A755" s="24" t="s">
        <v>1871</v>
      </c>
      <c r="B755" t="s">
        <v>1872</v>
      </c>
    </row>
    <row r="756" spans="1:2">
      <c r="A756" s="24" t="s">
        <v>1873</v>
      </c>
      <c r="B756" t="s">
        <v>1874</v>
      </c>
    </row>
    <row r="757" spans="1:2">
      <c r="A757" s="24" t="s">
        <v>1875</v>
      </c>
      <c r="B757" t="s">
        <v>1876</v>
      </c>
    </row>
    <row r="758" spans="1:2">
      <c r="A758" s="24" t="s">
        <v>1877</v>
      </c>
      <c r="B758" t="s">
        <v>1878</v>
      </c>
    </row>
    <row r="759" spans="1:2">
      <c r="A759" s="24" t="s">
        <v>1879</v>
      </c>
      <c r="B759" t="s">
        <v>1880</v>
      </c>
    </row>
    <row r="760" spans="1:2">
      <c r="A760" s="24" t="s">
        <v>1216</v>
      </c>
      <c r="B760" t="s">
        <v>1881</v>
      </c>
    </row>
    <row r="761" spans="1:2">
      <c r="A761" s="24" t="s">
        <v>1606</v>
      </c>
      <c r="B761" t="s">
        <v>1882</v>
      </c>
    </row>
    <row r="762" spans="1:2">
      <c r="A762" s="24" t="s">
        <v>1607</v>
      </c>
      <c r="B762" t="s">
        <v>1883</v>
      </c>
    </row>
    <row r="763" spans="1:2">
      <c r="A763" s="24" t="s">
        <v>1884</v>
      </c>
      <c r="B763" t="s">
        <v>1883</v>
      </c>
    </row>
    <row r="764" spans="1:2">
      <c r="A764" s="24" t="s">
        <v>1608</v>
      </c>
      <c r="B764" t="s">
        <v>1885</v>
      </c>
    </row>
    <row r="765" spans="1:2">
      <c r="A765" s="24" t="s">
        <v>1610</v>
      </c>
      <c r="B765" t="s">
        <v>1886</v>
      </c>
    </row>
    <row r="766" spans="1:2">
      <c r="A766" s="24" t="s">
        <v>1611</v>
      </c>
      <c r="B766" t="s">
        <v>1887</v>
      </c>
    </row>
    <row r="767" spans="1:2">
      <c r="A767" s="24" t="s">
        <v>1612</v>
      </c>
      <c r="B767" t="s">
        <v>1888</v>
      </c>
    </row>
    <row r="768" spans="1:2">
      <c r="A768" s="24" t="s">
        <v>1613</v>
      </c>
      <c r="B768" t="s">
        <v>1889</v>
      </c>
    </row>
    <row r="769" spans="1:2">
      <c r="A769" s="24" t="s">
        <v>1614</v>
      </c>
      <c r="B769" t="s">
        <v>1890</v>
      </c>
    </row>
    <row r="770" spans="1:2">
      <c r="A770" s="24" t="s">
        <v>1614</v>
      </c>
      <c r="B770" t="s">
        <v>1890</v>
      </c>
    </row>
    <row r="771" spans="1:2">
      <c r="A771" s="24" t="s">
        <v>1615</v>
      </c>
      <c r="B771" t="s">
        <v>1891</v>
      </c>
    </row>
    <row r="772" spans="1:2">
      <c r="A772" s="24" t="s">
        <v>1616</v>
      </c>
      <c r="B772" t="s">
        <v>1892</v>
      </c>
    </row>
    <row r="773" spans="1:2">
      <c r="A773" s="24" t="s">
        <v>1617</v>
      </c>
      <c r="B773" t="s">
        <v>1893</v>
      </c>
    </row>
    <row r="774" spans="1:2">
      <c r="A774" s="24" t="s">
        <v>1619</v>
      </c>
      <c r="B774" t="s">
        <v>1894</v>
      </c>
    </row>
    <row r="775" spans="1:2">
      <c r="A775" s="24" t="s">
        <v>1895</v>
      </c>
      <c r="B775" t="s">
        <v>1896</v>
      </c>
    </row>
    <row r="776" spans="1:2">
      <c r="A776" s="24" t="s">
        <v>1620</v>
      </c>
      <c r="B776" t="s">
        <v>1897</v>
      </c>
    </row>
    <row r="777" spans="1:2">
      <c r="A777" s="24" t="s">
        <v>1621</v>
      </c>
      <c r="B777" t="s">
        <v>1898</v>
      </c>
    </row>
    <row r="778" spans="1:2">
      <c r="A778" s="24" t="s">
        <v>1899</v>
      </c>
      <c r="B778" t="s">
        <v>1900</v>
      </c>
    </row>
    <row r="779" spans="1:2">
      <c r="A779" s="24" t="s">
        <v>1622</v>
      </c>
      <c r="B779" t="s">
        <v>1901</v>
      </c>
    </row>
    <row r="780" spans="1:2">
      <c r="A780" s="24" t="s">
        <v>1624</v>
      </c>
      <c r="B780" t="s">
        <v>1902</v>
      </c>
    </row>
    <row r="781" spans="1:2">
      <c r="A781" s="24" t="s">
        <v>1626</v>
      </c>
      <c r="B781" t="s">
        <v>1903</v>
      </c>
    </row>
    <row r="782" spans="1:2">
      <c r="A782" s="24" t="s">
        <v>1627</v>
      </c>
      <c r="B782" t="s">
        <v>1904</v>
      </c>
    </row>
    <row r="783" spans="1:2">
      <c r="A783" s="24" t="s">
        <v>1628</v>
      </c>
      <c r="B783" t="s">
        <v>1905</v>
      </c>
    </row>
    <row r="784" spans="1:2">
      <c r="A784" s="24" t="s">
        <v>1630</v>
      </c>
      <c r="B784" t="s">
        <v>1906</v>
      </c>
    </row>
    <row r="785" spans="1:2">
      <c r="A785" s="24" t="s">
        <v>1631</v>
      </c>
      <c r="B785" t="s">
        <v>1907</v>
      </c>
    </row>
    <row r="786" spans="1:2">
      <c r="A786" s="24" t="s">
        <v>1632</v>
      </c>
      <c r="B786" t="s">
        <v>1908</v>
      </c>
    </row>
    <row r="787" spans="1:2">
      <c r="A787" s="24" t="s">
        <v>1633</v>
      </c>
      <c r="B787" t="s">
        <v>1909</v>
      </c>
    </row>
    <row r="788" spans="1:2">
      <c r="A788" s="24" t="s">
        <v>1634</v>
      </c>
      <c r="B788" t="s">
        <v>1910</v>
      </c>
    </row>
    <row r="789" spans="1:2">
      <c r="A789" s="24" t="s">
        <v>1635</v>
      </c>
      <c r="B789" t="s">
        <v>1911</v>
      </c>
    </row>
    <row r="790" spans="1:2">
      <c r="A790" s="24" t="s">
        <v>1252</v>
      </c>
      <c r="B790" t="s">
        <v>1912</v>
      </c>
    </row>
    <row r="791" spans="1:2">
      <c r="A791" s="24" t="s">
        <v>1639</v>
      </c>
      <c r="B791" t="s">
        <v>1913</v>
      </c>
    </row>
    <row r="792" spans="1:2">
      <c r="A792" s="24" t="s">
        <v>1640</v>
      </c>
      <c r="B792" t="s">
        <v>1914</v>
      </c>
    </row>
    <row r="793" spans="1:2">
      <c r="A793" s="24" t="s">
        <v>1641</v>
      </c>
      <c r="B793" t="s">
        <v>1915</v>
      </c>
    </row>
    <row r="794" spans="1:2">
      <c r="A794" s="24" t="s">
        <v>1642</v>
      </c>
      <c r="B794" t="s">
        <v>1916</v>
      </c>
    </row>
    <row r="795" spans="1:2">
      <c r="A795" s="24" t="s">
        <v>1644</v>
      </c>
      <c r="B795" t="s">
        <v>1917</v>
      </c>
    </row>
    <row r="796" spans="1:2">
      <c r="A796" s="24" t="s">
        <v>1645</v>
      </c>
      <c r="B796" t="s">
        <v>1918</v>
      </c>
    </row>
    <row r="797" spans="1:2">
      <c r="A797" s="24" t="s">
        <v>1646</v>
      </c>
      <c r="B797" t="s">
        <v>1919</v>
      </c>
    </row>
    <row r="798" spans="1:2">
      <c r="A798" s="24" t="s">
        <v>1920</v>
      </c>
      <c r="B798" t="s">
        <v>1921</v>
      </c>
    </row>
    <row r="799" spans="1:2">
      <c r="A799" s="24" t="s">
        <v>1922</v>
      </c>
      <c r="B799" t="s">
        <v>1923</v>
      </c>
    </row>
    <row r="800" spans="1:2">
      <c r="A800" s="24" t="s">
        <v>1026</v>
      </c>
      <c r="B800" t="s">
        <v>1924</v>
      </c>
    </row>
    <row r="801" spans="1:2">
      <c r="A801" s="24" t="s">
        <v>1027</v>
      </c>
      <c r="B801" t="s">
        <v>1925</v>
      </c>
    </row>
    <row r="802" spans="1:2">
      <c r="A802" s="24" t="s">
        <v>1027</v>
      </c>
      <c r="B802" t="s">
        <v>1925</v>
      </c>
    </row>
    <row r="803" spans="1:2">
      <c r="A803" s="24" t="s">
        <v>1028</v>
      </c>
      <c r="B803" t="s">
        <v>1926</v>
      </c>
    </row>
    <row r="804" spans="1:2">
      <c r="A804" s="24" t="s">
        <v>1029</v>
      </c>
      <c r="B804" t="s">
        <v>1927</v>
      </c>
    </row>
    <row r="805" spans="1:2">
      <c r="A805" s="24" t="s">
        <v>1224</v>
      </c>
      <c r="B805" t="s">
        <v>1928</v>
      </c>
    </row>
    <row r="806" spans="1:2">
      <c r="A806" s="24" t="s">
        <v>1225</v>
      </c>
      <c r="B806" t="s">
        <v>1929</v>
      </c>
    </row>
    <row r="807" spans="1:2">
      <c r="A807" s="24" t="s">
        <v>858</v>
      </c>
      <c r="B807" t="s">
        <v>1930</v>
      </c>
    </row>
    <row r="808" spans="1:2">
      <c r="A808" s="24" t="s">
        <v>858</v>
      </c>
      <c r="B808" t="s">
        <v>1930</v>
      </c>
    </row>
    <row r="809" spans="1:2">
      <c r="A809" s="24" t="s">
        <v>858</v>
      </c>
      <c r="B809" t="s">
        <v>1930</v>
      </c>
    </row>
    <row r="810" spans="1:2">
      <c r="A810" s="24" t="s">
        <v>1931</v>
      </c>
      <c r="B810" t="s">
        <v>1932</v>
      </c>
    </row>
    <row r="811" spans="1:2">
      <c r="A811" s="24" t="s">
        <v>1933</v>
      </c>
      <c r="B811" t="s">
        <v>1934</v>
      </c>
    </row>
    <row r="812" spans="1:2">
      <c r="A812" s="24" t="s">
        <v>80</v>
      </c>
      <c r="B812" t="s">
        <v>1935</v>
      </c>
    </row>
    <row r="813" spans="1:2">
      <c r="A813" s="24" t="s">
        <v>521</v>
      </c>
      <c r="B813" t="s">
        <v>1936</v>
      </c>
    </row>
    <row r="814" spans="1:2">
      <c r="A814" s="24" t="s">
        <v>517</v>
      </c>
      <c r="B814" t="s">
        <v>1937</v>
      </c>
    </row>
    <row r="815" spans="1:2">
      <c r="A815" s="24" t="s">
        <v>517</v>
      </c>
      <c r="B815" t="s">
        <v>1937</v>
      </c>
    </row>
    <row r="816" spans="1:2">
      <c r="A816" s="24" t="s">
        <v>1648</v>
      </c>
      <c r="B816" t="s">
        <v>1938</v>
      </c>
    </row>
    <row r="817" spans="1:2">
      <c r="A817" s="24" t="s">
        <v>81</v>
      </c>
      <c r="B817" t="s">
        <v>1939</v>
      </c>
    </row>
    <row r="818" spans="1:2">
      <c r="A818" s="24" t="s">
        <v>82</v>
      </c>
      <c r="B818" t="s">
        <v>1278</v>
      </c>
    </row>
    <row r="819" spans="1:2">
      <c r="A819" s="24" t="s">
        <v>83</v>
      </c>
      <c r="B819" t="s">
        <v>1940</v>
      </c>
    </row>
    <row r="820" spans="1:2">
      <c r="A820" s="24" t="s">
        <v>84</v>
      </c>
      <c r="B820" t="s">
        <v>1278</v>
      </c>
    </row>
    <row r="821" spans="1:2">
      <c r="A821" s="24" t="s">
        <v>85</v>
      </c>
      <c r="B821" t="s">
        <v>1941</v>
      </c>
    </row>
    <row r="822" spans="1:2">
      <c r="A822" s="24" t="s">
        <v>1649</v>
      </c>
      <c r="B822" t="s">
        <v>1942</v>
      </c>
    </row>
    <row r="823" spans="1:2">
      <c r="A823" s="24" t="s">
        <v>1560</v>
      </c>
      <c r="B823" t="s">
        <v>1943</v>
      </c>
    </row>
    <row r="824" spans="1:2">
      <c r="A824" s="24" t="s">
        <v>1561</v>
      </c>
      <c r="B824" t="s">
        <v>1944</v>
      </c>
    </row>
    <row r="825" spans="1:2">
      <c r="A825" s="24" t="s">
        <v>1562</v>
      </c>
      <c r="B825" t="s">
        <v>1945</v>
      </c>
    </row>
    <row r="826" spans="1:2">
      <c r="A826" s="24" t="s">
        <v>1563</v>
      </c>
      <c r="B826" t="s">
        <v>1946</v>
      </c>
    </row>
    <row r="827" spans="1:2">
      <c r="A827" s="24" t="s">
        <v>1947</v>
      </c>
      <c r="B827" t="s">
        <v>1948</v>
      </c>
    </row>
    <row r="828" spans="1:2">
      <c r="A828" s="24" t="s">
        <v>1949</v>
      </c>
      <c r="B828" t="s">
        <v>1950</v>
      </c>
    </row>
    <row r="829" spans="1:2">
      <c r="A829" s="24" t="s">
        <v>1949</v>
      </c>
      <c r="B829" t="s">
        <v>1950</v>
      </c>
    </row>
    <row r="830" spans="1:2">
      <c r="A830" s="24" t="s">
        <v>945</v>
      </c>
      <c r="B830" t="s">
        <v>1951</v>
      </c>
    </row>
    <row r="831" spans="1:2">
      <c r="A831" s="24" t="s">
        <v>1952</v>
      </c>
      <c r="B831" t="s">
        <v>1953</v>
      </c>
    </row>
    <row r="832" spans="1:2">
      <c r="A832" s="24" t="s">
        <v>1954</v>
      </c>
      <c r="B832" t="s">
        <v>1955</v>
      </c>
    </row>
    <row r="833" spans="1:2">
      <c r="A833" s="24" t="s">
        <v>1582</v>
      </c>
      <c r="B833" t="s">
        <v>1956</v>
      </c>
    </row>
    <row r="834" spans="1:2">
      <c r="A834" s="24" t="s">
        <v>1957</v>
      </c>
      <c r="B834" t="s">
        <v>1958</v>
      </c>
    </row>
    <row r="835" spans="1:2">
      <c r="A835" s="24" t="s">
        <v>1959</v>
      </c>
      <c r="B835" t="s">
        <v>1960</v>
      </c>
    </row>
    <row r="836" spans="1:2">
      <c r="A836" s="24" t="s">
        <v>1961</v>
      </c>
      <c r="B836" t="s">
        <v>1962</v>
      </c>
    </row>
    <row r="837" spans="1:2">
      <c r="A837" s="24" t="s">
        <v>1963</v>
      </c>
      <c r="B837" t="s">
        <v>1964</v>
      </c>
    </row>
    <row r="838" spans="1:2">
      <c r="A838" s="24" t="s">
        <v>1965</v>
      </c>
      <c r="B838" t="s">
        <v>1966</v>
      </c>
    </row>
    <row r="839" spans="1:2">
      <c r="A839" s="24" t="s">
        <v>1967</v>
      </c>
      <c r="B839" t="s">
        <v>1968</v>
      </c>
    </row>
    <row r="840" spans="1:2">
      <c r="A840" s="24" t="s">
        <v>1969</v>
      </c>
      <c r="B840" t="s">
        <v>1970</v>
      </c>
    </row>
    <row r="841" spans="1:2">
      <c r="A841" s="24" t="s">
        <v>1971</v>
      </c>
      <c r="B841" t="s">
        <v>1972</v>
      </c>
    </row>
    <row r="842" spans="1:2">
      <c r="A842" s="24" t="s">
        <v>1973</v>
      </c>
      <c r="B842" t="s">
        <v>1974</v>
      </c>
    </row>
    <row r="843" spans="1:2">
      <c r="A843" s="24" t="s">
        <v>1975</v>
      </c>
      <c r="B843" t="s">
        <v>1976</v>
      </c>
    </row>
    <row r="844" spans="1:2">
      <c r="A844" s="24" t="s">
        <v>1977</v>
      </c>
      <c r="B844" t="s">
        <v>1978</v>
      </c>
    </row>
    <row r="845" spans="1:2">
      <c r="A845" s="24" t="s">
        <v>1154</v>
      </c>
      <c r="B845" t="s">
        <v>1979</v>
      </c>
    </row>
    <row r="846" spans="1:2">
      <c r="A846" s="24" t="s">
        <v>1980</v>
      </c>
      <c r="B846" t="s">
        <v>1981</v>
      </c>
    </row>
    <row r="847" spans="1:2">
      <c r="A847" s="24" t="s">
        <v>1982</v>
      </c>
      <c r="B847" t="s">
        <v>1983</v>
      </c>
    </row>
    <row r="848" spans="1:2">
      <c r="A848" s="24" t="s">
        <v>1984</v>
      </c>
      <c r="B848" t="s">
        <v>1985</v>
      </c>
    </row>
    <row r="849" spans="1:2">
      <c r="A849" s="24" t="s">
        <v>1986</v>
      </c>
      <c r="B849" t="s">
        <v>1987</v>
      </c>
    </row>
    <row r="850" spans="1:2">
      <c r="A850" s="24" t="s">
        <v>1988</v>
      </c>
      <c r="B850" t="s">
        <v>1989</v>
      </c>
    </row>
    <row r="851" spans="1:2">
      <c r="A851" s="24" t="s">
        <v>1990</v>
      </c>
      <c r="B851" t="s">
        <v>1991</v>
      </c>
    </row>
    <row r="852" spans="1:2">
      <c r="A852" s="24" t="s">
        <v>1564</v>
      </c>
      <c r="B852" t="s">
        <v>1992</v>
      </c>
    </row>
    <row r="853" spans="1:2">
      <c r="A853" s="24" t="s">
        <v>1993</v>
      </c>
      <c r="B853" t="s">
        <v>1994</v>
      </c>
    </row>
    <row r="854" spans="1:2">
      <c r="A854" s="24" t="s">
        <v>1565</v>
      </c>
      <c r="B854" t="s">
        <v>1995</v>
      </c>
    </row>
    <row r="855" spans="1:2">
      <c r="A855" s="24" t="s">
        <v>1566</v>
      </c>
      <c r="B855" t="s">
        <v>1996</v>
      </c>
    </row>
    <row r="856" spans="1:2">
      <c r="A856" s="24" t="s">
        <v>1567</v>
      </c>
      <c r="B856" t="s">
        <v>523</v>
      </c>
    </row>
    <row r="857" spans="1:2">
      <c r="A857" s="24" t="s">
        <v>524</v>
      </c>
      <c r="B857" t="s">
        <v>525</v>
      </c>
    </row>
    <row r="858" spans="1:2">
      <c r="A858" s="24" t="s">
        <v>1568</v>
      </c>
      <c r="B858" t="s">
        <v>526</v>
      </c>
    </row>
    <row r="859" spans="1:2">
      <c r="A859" s="24" t="s">
        <v>1569</v>
      </c>
      <c r="B859" t="s">
        <v>527</v>
      </c>
    </row>
    <row r="860" spans="1:2">
      <c r="A860" s="24" t="s">
        <v>1569</v>
      </c>
      <c r="B860" t="s">
        <v>527</v>
      </c>
    </row>
    <row r="861" spans="1:2">
      <c r="A861" s="24" t="s">
        <v>1569</v>
      </c>
      <c r="B861" t="s">
        <v>527</v>
      </c>
    </row>
    <row r="862" spans="1:2">
      <c r="A862" s="24" t="s">
        <v>1570</v>
      </c>
      <c r="B862" t="s">
        <v>528</v>
      </c>
    </row>
    <row r="863" spans="1:2">
      <c r="A863" s="24" t="s">
        <v>1570</v>
      </c>
      <c r="B863" t="s">
        <v>528</v>
      </c>
    </row>
    <row r="864" spans="1:2">
      <c r="A864" s="24" t="s">
        <v>1571</v>
      </c>
      <c r="B864" t="s">
        <v>529</v>
      </c>
    </row>
    <row r="865" spans="1:2">
      <c r="A865" s="24" t="s">
        <v>1572</v>
      </c>
      <c r="B865" t="s">
        <v>530</v>
      </c>
    </row>
    <row r="866" spans="1:2">
      <c r="A866" s="24" t="s">
        <v>531</v>
      </c>
      <c r="B866" t="s">
        <v>532</v>
      </c>
    </row>
    <row r="867" spans="1:2">
      <c r="A867" s="24" t="s">
        <v>1573</v>
      </c>
      <c r="B867" t="s">
        <v>533</v>
      </c>
    </row>
    <row r="868" spans="1:2">
      <c r="A868" s="24" t="s">
        <v>1574</v>
      </c>
      <c r="B868" t="s">
        <v>534</v>
      </c>
    </row>
    <row r="869" spans="1:2">
      <c r="A869" s="24" t="s">
        <v>1574</v>
      </c>
      <c r="B869" t="s">
        <v>534</v>
      </c>
    </row>
    <row r="870" spans="1:2">
      <c r="A870" s="24" t="s">
        <v>1575</v>
      </c>
      <c r="B870" t="s">
        <v>535</v>
      </c>
    </row>
    <row r="871" spans="1:2">
      <c r="A871" s="24" t="s">
        <v>536</v>
      </c>
      <c r="B871" t="s">
        <v>537</v>
      </c>
    </row>
    <row r="872" spans="1:2">
      <c r="A872" s="24" t="s">
        <v>538</v>
      </c>
      <c r="B872" t="s">
        <v>539</v>
      </c>
    </row>
    <row r="873" spans="1:2">
      <c r="A873" s="24" t="s">
        <v>540</v>
      </c>
      <c r="B873" t="s">
        <v>541</v>
      </c>
    </row>
    <row r="874" spans="1:2">
      <c r="A874" s="24" t="s">
        <v>900</v>
      </c>
      <c r="B874" t="s">
        <v>542</v>
      </c>
    </row>
    <row r="875" spans="1:2">
      <c r="A875" s="24" t="s">
        <v>901</v>
      </c>
      <c r="B875" t="s">
        <v>543</v>
      </c>
    </row>
    <row r="876" spans="1:2">
      <c r="A876" s="24" t="s">
        <v>902</v>
      </c>
      <c r="B876" t="s">
        <v>544</v>
      </c>
    </row>
    <row r="877" spans="1:2">
      <c r="A877" s="24" t="s">
        <v>545</v>
      </c>
      <c r="B877" t="s">
        <v>546</v>
      </c>
    </row>
    <row r="878" spans="1:2">
      <c r="A878" s="24" t="s">
        <v>903</v>
      </c>
      <c r="B878" t="s">
        <v>547</v>
      </c>
    </row>
    <row r="879" spans="1:2">
      <c r="A879" s="24" t="s">
        <v>548</v>
      </c>
      <c r="B879" t="s">
        <v>549</v>
      </c>
    </row>
    <row r="880" spans="1:2">
      <c r="A880" s="24" t="s">
        <v>904</v>
      </c>
      <c r="B880" t="s">
        <v>550</v>
      </c>
    </row>
    <row r="881" spans="1:2">
      <c r="A881" s="24" t="s">
        <v>905</v>
      </c>
      <c r="B881" t="s">
        <v>551</v>
      </c>
    </row>
    <row r="882" spans="1:2">
      <c r="A882" s="24" t="s">
        <v>906</v>
      </c>
      <c r="B882" t="s">
        <v>552</v>
      </c>
    </row>
    <row r="883" spans="1:2">
      <c r="A883" s="24" t="s">
        <v>907</v>
      </c>
      <c r="B883" t="s">
        <v>553</v>
      </c>
    </row>
    <row r="884" spans="1:2">
      <c r="A884" s="24" t="s">
        <v>908</v>
      </c>
      <c r="B884" t="s">
        <v>554</v>
      </c>
    </row>
    <row r="885" spans="1:2">
      <c r="A885" s="24" t="s">
        <v>909</v>
      </c>
      <c r="B885" t="s">
        <v>555</v>
      </c>
    </row>
    <row r="886" spans="1:2">
      <c r="A886" s="24" t="s">
        <v>556</v>
      </c>
      <c r="B886" t="s">
        <v>557</v>
      </c>
    </row>
    <row r="887" spans="1:2">
      <c r="A887" s="24" t="s">
        <v>910</v>
      </c>
      <c r="B887" t="s">
        <v>558</v>
      </c>
    </row>
    <row r="888" spans="1:2">
      <c r="A888" s="24" t="s">
        <v>911</v>
      </c>
      <c r="B888" t="s">
        <v>559</v>
      </c>
    </row>
    <row r="889" spans="1:2">
      <c r="A889" s="24" t="s">
        <v>912</v>
      </c>
      <c r="B889" t="s">
        <v>560</v>
      </c>
    </row>
    <row r="890" spans="1:2">
      <c r="A890" s="24" t="s">
        <v>913</v>
      </c>
      <c r="B890" t="s">
        <v>561</v>
      </c>
    </row>
    <row r="891" spans="1:2">
      <c r="A891" s="24" t="s">
        <v>562</v>
      </c>
      <c r="B891" t="s">
        <v>563</v>
      </c>
    </row>
    <row r="892" spans="1:2">
      <c r="A892" s="24" t="s">
        <v>914</v>
      </c>
      <c r="B892" t="s">
        <v>564</v>
      </c>
    </row>
    <row r="893" spans="1:2">
      <c r="A893" s="24" t="s">
        <v>565</v>
      </c>
      <c r="B893" t="s">
        <v>566</v>
      </c>
    </row>
    <row r="894" spans="1:2">
      <c r="A894" s="24" t="s">
        <v>567</v>
      </c>
      <c r="B894" t="s">
        <v>568</v>
      </c>
    </row>
    <row r="895" spans="1:2">
      <c r="A895" s="24" t="s">
        <v>915</v>
      </c>
      <c r="B895" t="s">
        <v>569</v>
      </c>
    </row>
    <row r="896" spans="1:2">
      <c r="A896" s="24" t="s">
        <v>916</v>
      </c>
      <c r="B896" t="s">
        <v>570</v>
      </c>
    </row>
    <row r="897" spans="1:2">
      <c r="A897" s="24" t="s">
        <v>571</v>
      </c>
      <c r="B897" t="s">
        <v>572</v>
      </c>
    </row>
    <row r="898" spans="1:2">
      <c r="A898" s="24" t="s">
        <v>917</v>
      </c>
      <c r="B898" t="s">
        <v>573</v>
      </c>
    </row>
    <row r="899" spans="1:2">
      <c r="A899" s="24" t="s">
        <v>1155</v>
      </c>
      <c r="B899" t="s">
        <v>1277</v>
      </c>
    </row>
    <row r="900" spans="1:2">
      <c r="A900" s="24" t="s">
        <v>1156</v>
      </c>
      <c r="B900" t="s">
        <v>574</v>
      </c>
    </row>
    <row r="901" spans="1:2">
      <c r="A901" s="24" t="s">
        <v>1156</v>
      </c>
      <c r="B901" t="s">
        <v>574</v>
      </c>
    </row>
    <row r="902" spans="1:2">
      <c r="A902" s="24" t="s">
        <v>1157</v>
      </c>
      <c r="B902" t="s">
        <v>575</v>
      </c>
    </row>
    <row r="903" spans="1:2">
      <c r="A903" s="24" t="s">
        <v>1158</v>
      </c>
      <c r="B903" t="s">
        <v>576</v>
      </c>
    </row>
    <row r="904" spans="1:2">
      <c r="A904" s="24" t="s">
        <v>1158</v>
      </c>
      <c r="B904" t="s">
        <v>576</v>
      </c>
    </row>
    <row r="905" spans="1:2">
      <c r="A905" s="24" t="s">
        <v>1159</v>
      </c>
      <c r="B905" t="s">
        <v>577</v>
      </c>
    </row>
    <row r="906" spans="1:2">
      <c r="A906" s="24" t="s">
        <v>1159</v>
      </c>
      <c r="B906" t="s">
        <v>577</v>
      </c>
    </row>
    <row r="907" spans="1:2">
      <c r="A907" s="24" t="s">
        <v>1160</v>
      </c>
      <c r="B907" t="s">
        <v>578</v>
      </c>
    </row>
    <row r="908" spans="1:2">
      <c r="A908" s="24" t="s">
        <v>1584</v>
      </c>
      <c r="B908" t="s">
        <v>579</v>
      </c>
    </row>
    <row r="909" spans="1:2">
      <c r="A909" s="24" t="s">
        <v>1584</v>
      </c>
      <c r="B909" t="s">
        <v>579</v>
      </c>
    </row>
    <row r="910" spans="1:2">
      <c r="A910" s="24" t="s">
        <v>1584</v>
      </c>
      <c r="B910" t="s">
        <v>579</v>
      </c>
    </row>
    <row r="911" spans="1:2">
      <c r="A911" s="24" t="s">
        <v>1067</v>
      </c>
      <c r="B911" t="s">
        <v>580</v>
      </c>
    </row>
    <row r="912" spans="1:2">
      <c r="A912" s="24" t="s">
        <v>1067</v>
      </c>
      <c r="B912" t="s">
        <v>580</v>
      </c>
    </row>
    <row r="913" spans="1:2">
      <c r="A913" s="24" t="s">
        <v>1068</v>
      </c>
      <c r="B913" t="s">
        <v>581</v>
      </c>
    </row>
    <row r="914" spans="1:2">
      <c r="A914" s="24" t="s">
        <v>1068</v>
      </c>
      <c r="B914" t="s">
        <v>581</v>
      </c>
    </row>
    <row r="915" spans="1:2">
      <c r="A915" s="24" t="s">
        <v>582</v>
      </c>
      <c r="B915" t="s">
        <v>583</v>
      </c>
    </row>
    <row r="916" spans="1:2">
      <c r="A916" s="24" t="s">
        <v>584</v>
      </c>
      <c r="B916" t="s">
        <v>583</v>
      </c>
    </row>
    <row r="917" spans="1:2">
      <c r="A917" s="24" t="s">
        <v>585</v>
      </c>
      <c r="B917" t="s">
        <v>1278</v>
      </c>
    </row>
    <row r="918" spans="1:2">
      <c r="A918" s="24" t="s">
        <v>1018</v>
      </c>
      <c r="B918" t="s">
        <v>586</v>
      </c>
    </row>
    <row r="919" spans="1:2">
      <c r="A919" s="24" t="s">
        <v>1019</v>
      </c>
      <c r="B919" t="s">
        <v>587</v>
      </c>
    </row>
    <row r="920" spans="1:2">
      <c r="A920" s="24" t="s">
        <v>1019</v>
      </c>
      <c r="B920" t="s">
        <v>587</v>
      </c>
    </row>
    <row r="921" spans="1:2">
      <c r="A921" s="24" t="s">
        <v>920</v>
      </c>
      <c r="B921" t="s">
        <v>588</v>
      </c>
    </row>
    <row r="922" spans="1:2">
      <c r="A922" s="24" t="s">
        <v>921</v>
      </c>
      <c r="B922" t="s">
        <v>589</v>
      </c>
    </row>
    <row r="923" spans="1:2">
      <c r="A923" s="24" t="s">
        <v>922</v>
      </c>
      <c r="B923" t="s">
        <v>590</v>
      </c>
    </row>
    <row r="924" spans="1:2">
      <c r="A924" s="24" t="s">
        <v>591</v>
      </c>
      <c r="B924" t="s">
        <v>592</v>
      </c>
    </row>
    <row r="925" spans="1:2">
      <c r="A925" s="24" t="s">
        <v>593</v>
      </c>
      <c r="B925" t="s">
        <v>594</v>
      </c>
    </row>
    <row r="926" spans="1:2">
      <c r="A926" s="24" t="s">
        <v>946</v>
      </c>
      <c r="B926" t="s">
        <v>595</v>
      </c>
    </row>
    <row r="927" spans="1:2">
      <c r="A927" s="24" t="s">
        <v>1585</v>
      </c>
      <c r="B927" t="s">
        <v>596</v>
      </c>
    </row>
    <row r="928" spans="1:2">
      <c r="A928" s="24" t="s">
        <v>1585</v>
      </c>
      <c r="B928" t="s">
        <v>596</v>
      </c>
    </row>
    <row r="929" spans="1:2">
      <c r="A929" s="24" t="s">
        <v>597</v>
      </c>
      <c r="B929" t="s">
        <v>598</v>
      </c>
    </row>
    <row r="930" spans="1:2">
      <c r="A930" s="24" t="s">
        <v>599</v>
      </c>
      <c r="B930" t="s">
        <v>600</v>
      </c>
    </row>
    <row r="931" spans="1:2">
      <c r="A931" s="24" t="s">
        <v>601</v>
      </c>
      <c r="B931" t="s">
        <v>602</v>
      </c>
    </row>
    <row r="932" spans="1:2">
      <c r="A932" s="24" t="s">
        <v>603</v>
      </c>
      <c r="B932" t="s">
        <v>604</v>
      </c>
    </row>
    <row r="933" spans="1:2">
      <c r="A933" s="24" t="s">
        <v>949</v>
      </c>
      <c r="B933" t="s">
        <v>605</v>
      </c>
    </row>
    <row r="934" spans="1:2">
      <c r="A934" s="24" t="s">
        <v>949</v>
      </c>
      <c r="B934" t="s">
        <v>605</v>
      </c>
    </row>
    <row r="935" spans="1:2">
      <c r="A935" s="24" t="s">
        <v>949</v>
      </c>
      <c r="B935" t="s">
        <v>605</v>
      </c>
    </row>
    <row r="936" spans="1:2">
      <c r="A936" s="24" t="s">
        <v>949</v>
      </c>
      <c r="B936" t="s">
        <v>605</v>
      </c>
    </row>
    <row r="937" spans="1:2">
      <c r="A937" s="24" t="s">
        <v>949</v>
      </c>
      <c r="B937" t="s">
        <v>605</v>
      </c>
    </row>
    <row r="938" spans="1:2">
      <c r="A938" s="24" t="s">
        <v>949</v>
      </c>
      <c r="B938" t="s">
        <v>605</v>
      </c>
    </row>
    <row r="939" spans="1:2">
      <c r="A939" s="24" t="s">
        <v>949</v>
      </c>
      <c r="B939" t="s">
        <v>605</v>
      </c>
    </row>
    <row r="940" spans="1:2">
      <c r="A940" s="24" t="s">
        <v>949</v>
      </c>
      <c r="B940" t="s">
        <v>605</v>
      </c>
    </row>
    <row r="941" spans="1:2">
      <c r="A941" s="24" t="s">
        <v>949</v>
      </c>
      <c r="B941" t="s">
        <v>605</v>
      </c>
    </row>
    <row r="942" spans="1:2">
      <c r="A942" s="24" t="s">
        <v>949</v>
      </c>
      <c r="B942" t="s">
        <v>605</v>
      </c>
    </row>
    <row r="943" spans="1:2">
      <c r="A943" s="24" t="s">
        <v>949</v>
      </c>
      <c r="B943" t="s">
        <v>605</v>
      </c>
    </row>
    <row r="944" spans="1:2">
      <c r="A944" s="24" t="s">
        <v>949</v>
      </c>
      <c r="B944" t="s">
        <v>605</v>
      </c>
    </row>
    <row r="945" spans="1:2">
      <c r="A945" s="24" t="s">
        <v>949</v>
      </c>
      <c r="B945" t="s">
        <v>605</v>
      </c>
    </row>
    <row r="946" spans="1:2">
      <c r="A946" s="24" t="s">
        <v>949</v>
      </c>
      <c r="B946" t="s">
        <v>605</v>
      </c>
    </row>
    <row r="947" spans="1:2">
      <c r="A947" s="24" t="s">
        <v>949</v>
      </c>
      <c r="B947" t="s">
        <v>605</v>
      </c>
    </row>
    <row r="948" spans="1:2">
      <c r="A948" s="24" t="s">
        <v>949</v>
      </c>
      <c r="B948" t="s">
        <v>605</v>
      </c>
    </row>
    <row r="949" spans="1:2">
      <c r="A949" s="24" t="s">
        <v>949</v>
      </c>
      <c r="B949" t="s">
        <v>605</v>
      </c>
    </row>
    <row r="950" spans="1:2">
      <c r="A950" s="24" t="s">
        <v>949</v>
      </c>
      <c r="B950" t="s">
        <v>605</v>
      </c>
    </row>
    <row r="951" spans="1:2">
      <c r="A951" s="24" t="s">
        <v>949</v>
      </c>
      <c r="B951" t="s">
        <v>605</v>
      </c>
    </row>
    <row r="952" spans="1:2">
      <c r="A952" s="24" t="s">
        <v>949</v>
      </c>
      <c r="B952" t="s">
        <v>605</v>
      </c>
    </row>
    <row r="953" spans="1:2">
      <c r="A953" s="24" t="s">
        <v>949</v>
      </c>
      <c r="B953" t="s">
        <v>605</v>
      </c>
    </row>
    <row r="954" spans="1:2">
      <c r="A954" s="24" t="s">
        <v>950</v>
      </c>
      <c r="B954" t="s">
        <v>606</v>
      </c>
    </row>
    <row r="955" spans="1:2">
      <c r="A955" s="24" t="s">
        <v>950</v>
      </c>
      <c r="B955" t="s">
        <v>606</v>
      </c>
    </row>
    <row r="956" spans="1:2">
      <c r="A956" s="24" t="s">
        <v>950</v>
      </c>
      <c r="B956" t="s">
        <v>606</v>
      </c>
    </row>
    <row r="957" spans="1:2">
      <c r="A957" s="24" t="s">
        <v>950</v>
      </c>
      <c r="B957" t="s">
        <v>606</v>
      </c>
    </row>
    <row r="958" spans="1:2">
      <c r="A958" s="24" t="s">
        <v>950</v>
      </c>
      <c r="B958" t="s">
        <v>606</v>
      </c>
    </row>
    <row r="959" spans="1:2">
      <c r="A959" s="24" t="s">
        <v>950</v>
      </c>
      <c r="B959" t="s">
        <v>606</v>
      </c>
    </row>
    <row r="960" spans="1:2">
      <c r="A960" s="24" t="s">
        <v>950</v>
      </c>
      <c r="B960" t="s">
        <v>606</v>
      </c>
    </row>
    <row r="961" spans="1:2">
      <c r="A961" s="24" t="s">
        <v>950</v>
      </c>
      <c r="B961" t="s">
        <v>606</v>
      </c>
    </row>
    <row r="962" spans="1:2">
      <c r="A962" s="24" t="s">
        <v>950</v>
      </c>
      <c r="B962" t="s">
        <v>606</v>
      </c>
    </row>
    <row r="963" spans="1:2">
      <c r="A963" s="24" t="s">
        <v>950</v>
      </c>
      <c r="B963" t="s">
        <v>606</v>
      </c>
    </row>
    <row r="964" spans="1:2">
      <c r="A964" s="24" t="s">
        <v>950</v>
      </c>
      <c r="B964" t="s">
        <v>606</v>
      </c>
    </row>
    <row r="965" spans="1:2">
      <c r="A965" s="24" t="s">
        <v>950</v>
      </c>
      <c r="B965" t="s">
        <v>606</v>
      </c>
    </row>
    <row r="966" spans="1:2">
      <c r="A966" s="24" t="s">
        <v>950</v>
      </c>
      <c r="B966" t="s">
        <v>606</v>
      </c>
    </row>
    <row r="967" spans="1:2">
      <c r="A967" s="24" t="s">
        <v>950</v>
      </c>
      <c r="B967" t="s">
        <v>606</v>
      </c>
    </row>
    <row r="968" spans="1:2">
      <c r="A968" s="24" t="s">
        <v>950</v>
      </c>
      <c r="B968" t="s">
        <v>606</v>
      </c>
    </row>
    <row r="969" spans="1:2">
      <c r="A969" s="24" t="s">
        <v>950</v>
      </c>
      <c r="B969" t="s">
        <v>606</v>
      </c>
    </row>
    <row r="970" spans="1:2">
      <c r="A970" s="24" t="s">
        <v>950</v>
      </c>
      <c r="B970" t="s">
        <v>606</v>
      </c>
    </row>
    <row r="971" spans="1:2">
      <c r="A971" s="24" t="s">
        <v>950</v>
      </c>
      <c r="B971" t="s">
        <v>606</v>
      </c>
    </row>
    <row r="972" spans="1:2">
      <c r="A972" s="24" t="s">
        <v>950</v>
      </c>
      <c r="B972" t="s">
        <v>606</v>
      </c>
    </row>
    <row r="973" spans="1:2">
      <c r="A973" s="24" t="s">
        <v>950</v>
      </c>
      <c r="B973" t="s">
        <v>606</v>
      </c>
    </row>
    <row r="974" spans="1:2">
      <c r="A974" s="24" t="s">
        <v>950</v>
      </c>
      <c r="B974" t="s">
        <v>606</v>
      </c>
    </row>
    <row r="975" spans="1:2">
      <c r="A975" s="24" t="s">
        <v>520</v>
      </c>
      <c r="B975" t="s">
        <v>607</v>
      </c>
    </row>
    <row r="976" spans="1:2">
      <c r="A976" s="24" t="s">
        <v>520</v>
      </c>
      <c r="B976" t="s">
        <v>607</v>
      </c>
    </row>
    <row r="977" spans="1:2">
      <c r="A977" s="24" t="s">
        <v>608</v>
      </c>
      <c r="B977" t="s">
        <v>609</v>
      </c>
    </row>
    <row r="978" spans="1:2">
      <c r="A978" s="24" t="s">
        <v>610</v>
      </c>
      <c r="B978" t="s">
        <v>611</v>
      </c>
    </row>
    <row r="979" spans="1:2">
      <c r="A979" s="24" t="s">
        <v>612</v>
      </c>
      <c r="B979" t="s">
        <v>613</v>
      </c>
    </row>
    <row r="980" spans="1:2">
      <c r="A980" s="24" t="s">
        <v>614</v>
      </c>
      <c r="B980" t="s">
        <v>615</v>
      </c>
    </row>
    <row r="981" spans="1:2">
      <c r="A981" s="24" t="s">
        <v>616</v>
      </c>
      <c r="B981" t="s">
        <v>617</v>
      </c>
    </row>
    <row r="982" spans="1:2">
      <c r="A982" s="24" t="s">
        <v>618</v>
      </c>
      <c r="B982" t="s">
        <v>619</v>
      </c>
    </row>
    <row r="983" spans="1:2">
      <c r="A983" s="24" t="s">
        <v>618</v>
      </c>
      <c r="B983" t="s">
        <v>619</v>
      </c>
    </row>
    <row r="984" spans="1:2">
      <c r="A984" s="24" t="s">
        <v>620</v>
      </c>
      <c r="B984" t="s">
        <v>621</v>
      </c>
    </row>
    <row r="985" spans="1:2">
      <c r="A985" s="24" t="s">
        <v>622</v>
      </c>
      <c r="B985" t="s">
        <v>623</v>
      </c>
    </row>
    <row r="986" spans="1:2">
      <c r="A986" s="24" t="s">
        <v>624</v>
      </c>
      <c r="B986" t="s">
        <v>625</v>
      </c>
    </row>
    <row r="987" spans="1:2">
      <c r="A987" s="24" t="s">
        <v>626</v>
      </c>
      <c r="B987" t="s">
        <v>627</v>
      </c>
    </row>
    <row r="988" spans="1:2">
      <c r="A988" s="24" t="s">
        <v>1587</v>
      </c>
      <c r="B988" t="s">
        <v>628</v>
      </c>
    </row>
    <row r="989" spans="1:2">
      <c r="A989" s="24" t="s">
        <v>947</v>
      </c>
      <c r="B989" t="s">
        <v>629</v>
      </c>
    </row>
    <row r="990" spans="1:2">
      <c r="A990" s="24" t="s">
        <v>630</v>
      </c>
      <c r="B990" t="s">
        <v>631</v>
      </c>
    </row>
    <row r="991" spans="1:2">
      <c r="A991" s="24" t="s">
        <v>1588</v>
      </c>
      <c r="B991" t="s">
        <v>632</v>
      </c>
    </row>
    <row r="992" spans="1:2">
      <c r="A992" s="24" t="s">
        <v>1589</v>
      </c>
      <c r="B992" t="s">
        <v>633</v>
      </c>
    </row>
    <row r="993" spans="1:2">
      <c r="A993" s="24" t="s">
        <v>1589</v>
      </c>
      <c r="B993" t="s">
        <v>633</v>
      </c>
    </row>
    <row r="994" spans="1:2">
      <c r="A994" s="24" t="s">
        <v>1590</v>
      </c>
      <c r="B994" t="s">
        <v>634</v>
      </c>
    </row>
    <row r="995" spans="1:2">
      <c r="A995" s="24" t="s">
        <v>1253</v>
      </c>
      <c r="B995" t="s">
        <v>635</v>
      </c>
    </row>
    <row r="996" spans="1:2">
      <c r="A996" s="24" t="s">
        <v>1253</v>
      </c>
      <c r="B996" t="s">
        <v>635</v>
      </c>
    </row>
    <row r="997" spans="1:2">
      <c r="A997" s="24" t="s">
        <v>1253</v>
      </c>
      <c r="B997" t="s">
        <v>635</v>
      </c>
    </row>
    <row r="998" spans="1:2">
      <c r="A998" s="24" t="s">
        <v>1253</v>
      </c>
      <c r="B998" t="s">
        <v>635</v>
      </c>
    </row>
    <row r="999" spans="1:2">
      <c r="A999" s="24" t="s">
        <v>1254</v>
      </c>
      <c r="B999" t="s">
        <v>636</v>
      </c>
    </row>
    <row r="1000" spans="1:2">
      <c r="A1000" s="24" t="s">
        <v>1254</v>
      </c>
      <c r="B1000" t="s">
        <v>636</v>
      </c>
    </row>
    <row r="1001" spans="1:2">
      <c r="A1001" s="24" t="s">
        <v>1254</v>
      </c>
      <c r="B1001" t="s">
        <v>636</v>
      </c>
    </row>
    <row r="1002" spans="1:2">
      <c r="A1002" s="24" t="s">
        <v>1254</v>
      </c>
      <c r="B1002" t="s">
        <v>636</v>
      </c>
    </row>
    <row r="1003" spans="1:2">
      <c r="A1003" s="24" t="s">
        <v>1591</v>
      </c>
      <c r="B1003" t="s">
        <v>637</v>
      </c>
    </row>
    <row r="1004" spans="1:2">
      <c r="A1004" s="24" t="s">
        <v>638</v>
      </c>
      <c r="B1004" t="s">
        <v>637</v>
      </c>
    </row>
    <row r="1005" spans="1:2">
      <c r="A1005" s="24" t="s">
        <v>639</v>
      </c>
      <c r="B1005" t="s">
        <v>583</v>
      </c>
    </row>
    <row r="1006" spans="1:2">
      <c r="A1006" s="24" t="s">
        <v>640</v>
      </c>
      <c r="B1006" t="s">
        <v>641</v>
      </c>
    </row>
    <row r="1007" spans="1:2">
      <c r="A1007" s="24" t="s">
        <v>642</v>
      </c>
      <c r="B1007" t="s">
        <v>643</v>
      </c>
    </row>
    <row r="1008" spans="1:2">
      <c r="A1008" s="24" t="s">
        <v>1592</v>
      </c>
      <c r="B1008" t="s">
        <v>644</v>
      </c>
    </row>
    <row r="1009" spans="1:2">
      <c r="A1009" s="24" t="s">
        <v>645</v>
      </c>
      <c r="B1009" t="s">
        <v>646</v>
      </c>
    </row>
    <row r="1010" spans="1:2">
      <c r="A1010" s="24" t="s">
        <v>647</v>
      </c>
      <c r="B1010" t="s">
        <v>648</v>
      </c>
    </row>
    <row r="1011" spans="1:2">
      <c r="A1011" s="24" t="s">
        <v>1593</v>
      </c>
      <c r="B1011" t="s">
        <v>649</v>
      </c>
    </row>
    <row r="1012" spans="1:2">
      <c r="A1012" s="24" t="s">
        <v>1593</v>
      </c>
      <c r="B1012" t="s">
        <v>649</v>
      </c>
    </row>
    <row r="1013" spans="1:2">
      <c r="A1013" s="24" t="s">
        <v>650</v>
      </c>
      <c r="B1013" t="s">
        <v>649</v>
      </c>
    </row>
    <row r="1014" spans="1:2">
      <c r="A1014" s="24" t="s">
        <v>651</v>
      </c>
      <c r="B1014" t="s">
        <v>649</v>
      </c>
    </row>
    <row r="1015" spans="1:2">
      <c r="A1015" s="24" t="s">
        <v>652</v>
      </c>
      <c r="B1015" t="s">
        <v>649</v>
      </c>
    </row>
    <row r="1016" spans="1:2">
      <c r="A1016" s="24" t="s">
        <v>653</v>
      </c>
      <c r="B1016" t="s">
        <v>649</v>
      </c>
    </row>
    <row r="1017" spans="1:2">
      <c r="A1017" s="24" t="s">
        <v>654</v>
      </c>
      <c r="B1017" t="s">
        <v>649</v>
      </c>
    </row>
    <row r="1018" spans="1:2">
      <c r="A1018" s="24" t="s">
        <v>655</v>
      </c>
      <c r="B1018" t="s">
        <v>649</v>
      </c>
    </row>
    <row r="1019" spans="1:2">
      <c r="A1019" s="24" t="s">
        <v>1594</v>
      </c>
      <c r="B1019" t="s">
        <v>649</v>
      </c>
    </row>
    <row r="1020" spans="1:2">
      <c r="A1020" s="24" t="s">
        <v>656</v>
      </c>
      <c r="B1020" t="s">
        <v>649</v>
      </c>
    </row>
    <row r="1021" spans="1:2">
      <c r="A1021" s="24" t="s">
        <v>1595</v>
      </c>
      <c r="B1021" t="s">
        <v>657</v>
      </c>
    </row>
    <row r="1022" spans="1:2">
      <c r="A1022" s="24" t="s">
        <v>658</v>
      </c>
      <c r="B1022" t="s">
        <v>659</v>
      </c>
    </row>
    <row r="1023" spans="1:2">
      <c r="A1023" s="24" t="s">
        <v>660</v>
      </c>
      <c r="B1023" t="s">
        <v>661</v>
      </c>
    </row>
    <row r="1024" spans="1:2">
      <c r="A1024" s="24" t="s">
        <v>1596</v>
      </c>
      <c r="B1024" t="s">
        <v>662</v>
      </c>
    </row>
    <row r="1025" spans="1:2">
      <c r="A1025" s="24" t="s">
        <v>1255</v>
      </c>
      <c r="B1025" t="s">
        <v>663</v>
      </c>
    </row>
    <row r="1026" spans="1:2">
      <c r="A1026" s="24" t="s">
        <v>1255</v>
      </c>
      <c r="B1026" t="s">
        <v>663</v>
      </c>
    </row>
    <row r="1027" spans="1:2">
      <c r="A1027" s="24" t="s">
        <v>1255</v>
      </c>
      <c r="B1027" t="s">
        <v>663</v>
      </c>
    </row>
    <row r="1028" spans="1:2">
      <c r="A1028" s="24" t="s">
        <v>1255</v>
      </c>
      <c r="B1028" t="s">
        <v>663</v>
      </c>
    </row>
    <row r="1029" spans="1:2">
      <c r="A1029" s="24" t="s">
        <v>1255</v>
      </c>
      <c r="B1029" t="s">
        <v>663</v>
      </c>
    </row>
    <row r="1030" spans="1:2">
      <c r="A1030" s="24" t="s">
        <v>519</v>
      </c>
      <c r="B1030" t="s">
        <v>664</v>
      </c>
    </row>
    <row r="1031" spans="1:2">
      <c r="A1031" s="24" t="s">
        <v>665</v>
      </c>
      <c r="B1031" t="s">
        <v>666</v>
      </c>
    </row>
    <row r="1032" spans="1:2">
      <c r="A1032" s="24" t="s">
        <v>667</v>
      </c>
      <c r="B1032" t="s">
        <v>668</v>
      </c>
    </row>
    <row r="1033" spans="1:2">
      <c r="A1033" s="24" t="s">
        <v>856</v>
      </c>
      <c r="B1033" t="s">
        <v>669</v>
      </c>
    </row>
    <row r="1034" spans="1:2">
      <c r="A1034" s="24" t="s">
        <v>670</v>
      </c>
      <c r="B1034" t="s">
        <v>671</v>
      </c>
    </row>
    <row r="1035" spans="1:2">
      <c r="A1035" s="24" t="s">
        <v>918</v>
      </c>
      <c r="B1035" t="s">
        <v>1278</v>
      </c>
    </row>
    <row r="1036" spans="1:2">
      <c r="A1036" s="24" t="s">
        <v>38</v>
      </c>
      <c r="B1036" t="s">
        <v>1278</v>
      </c>
    </row>
    <row r="1037" spans="1:2">
      <c r="A1037" s="24" t="s">
        <v>39</v>
      </c>
      <c r="B1037" t="s">
        <v>1278</v>
      </c>
    </row>
    <row r="1038" spans="1:2">
      <c r="A1038" s="24" t="s">
        <v>672</v>
      </c>
      <c r="B1038" t="s">
        <v>1278</v>
      </c>
    </row>
    <row r="1039" spans="1:2">
      <c r="A1039" s="24" t="s">
        <v>673</v>
      </c>
      <c r="B1039" t="s">
        <v>1278</v>
      </c>
    </row>
    <row r="1040" spans="1:2">
      <c r="A1040" s="24" t="s">
        <v>674</v>
      </c>
      <c r="B1040" t="s">
        <v>1278</v>
      </c>
    </row>
    <row r="1041" spans="1:2">
      <c r="A1041" s="24" t="s">
        <v>40</v>
      </c>
      <c r="B1041" t="s">
        <v>1278</v>
      </c>
    </row>
    <row r="1042" spans="1:2">
      <c r="A1042" s="24" t="s">
        <v>675</v>
      </c>
      <c r="B1042" t="s">
        <v>1278</v>
      </c>
    </row>
    <row r="1043" spans="1:2">
      <c r="A1043" s="24" t="s">
        <v>41</v>
      </c>
      <c r="B1043" t="s">
        <v>1278</v>
      </c>
    </row>
    <row r="1044" spans="1:2">
      <c r="A1044" s="24" t="s">
        <v>676</v>
      </c>
      <c r="B1044" t="s">
        <v>1278</v>
      </c>
    </row>
    <row r="1045" spans="1:2">
      <c r="A1045" s="24" t="s">
        <v>677</v>
      </c>
      <c r="B1045" t="s">
        <v>1278</v>
      </c>
    </row>
    <row r="1046" spans="1:2">
      <c r="A1046" s="24" t="s">
        <v>678</v>
      </c>
      <c r="B1046" t="s">
        <v>1278</v>
      </c>
    </row>
    <row r="1047" spans="1:2">
      <c r="A1047" s="24" t="s">
        <v>679</v>
      </c>
      <c r="B1047" t="s">
        <v>1278</v>
      </c>
    </row>
    <row r="1048" spans="1:2">
      <c r="A1048" s="24" t="s">
        <v>680</v>
      </c>
      <c r="B1048" t="s">
        <v>1278</v>
      </c>
    </row>
    <row r="1049" spans="1:2">
      <c r="A1049" s="24" t="s">
        <v>681</v>
      </c>
      <c r="B1049" t="s">
        <v>1278</v>
      </c>
    </row>
    <row r="1050" spans="1:2">
      <c r="A1050" s="24" t="s">
        <v>682</v>
      </c>
      <c r="B1050" t="s">
        <v>1278</v>
      </c>
    </row>
    <row r="1051" spans="1:2">
      <c r="A1051" s="24" t="s">
        <v>683</v>
      </c>
      <c r="B1051" t="s">
        <v>1278</v>
      </c>
    </row>
    <row r="1052" spans="1:2">
      <c r="A1052" s="24" t="s">
        <v>684</v>
      </c>
      <c r="B1052" t="s">
        <v>1278</v>
      </c>
    </row>
    <row r="1053" spans="1:2">
      <c r="A1053" s="24" t="s">
        <v>685</v>
      </c>
      <c r="B1053" t="s">
        <v>1278</v>
      </c>
    </row>
    <row r="1054" spans="1:2">
      <c r="A1054" s="24" t="s">
        <v>686</v>
      </c>
      <c r="B1054" t="s">
        <v>1278</v>
      </c>
    </row>
    <row r="1055" spans="1:2">
      <c r="A1055" s="24" t="s">
        <v>687</v>
      </c>
      <c r="B1055" t="s">
        <v>1278</v>
      </c>
    </row>
    <row r="1056" spans="1:2">
      <c r="A1056" s="24" t="s">
        <v>688</v>
      </c>
      <c r="B1056" t="s">
        <v>1278</v>
      </c>
    </row>
    <row r="1057" spans="1:2">
      <c r="A1057" s="24" t="s">
        <v>689</v>
      </c>
      <c r="B1057" t="s">
        <v>1278</v>
      </c>
    </row>
    <row r="1058" spans="1:2">
      <c r="A1058" s="24" t="s">
        <v>689</v>
      </c>
      <c r="B1058" t="s">
        <v>1278</v>
      </c>
    </row>
    <row r="1059" spans="1:2">
      <c r="A1059" s="24" t="s">
        <v>690</v>
      </c>
      <c r="B1059" t="s">
        <v>1278</v>
      </c>
    </row>
    <row r="1060" spans="1:2">
      <c r="A1060" s="24" t="s">
        <v>691</v>
      </c>
      <c r="B1060" t="s">
        <v>1278</v>
      </c>
    </row>
    <row r="1061" spans="1:2">
      <c r="A1061" s="24" t="s">
        <v>692</v>
      </c>
      <c r="B1061" t="s">
        <v>1278</v>
      </c>
    </row>
    <row r="1062" spans="1:2">
      <c r="A1062" s="24" t="s">
        <v>693</v>
      </c>
      <c r="B1062" t="s">
        <v>1278</v>
      </c>
    </row>
    <row r="1063" spans="1:2">
      <c r="A1063" s="24" t="s">
        <v>694</v>
      </c>
      <c r="B1063" t="s">
        <v>1278</v>
      </c>
    </row>
    <row r="1064" spans="1:2">
      <c r="A1064" s="24" t="s">
        <v>695</v>
      </c>
      <c r="B1064" t="s">
        <v>1278</v>
      </c>
    </row>
    <row r="1065" spans="1:2">
      <c r="A1065" s="24" t="s">
        <v>696</v>
      </c>
      <c r="B1065" t="s">
        <v>1278</v>
      </c>
    </row>
    <row r="1066" spans="1:2">
      <c r="A1066" s="24" t="s">
        <v>697</v>
      </c>
      <c r="B1066" t="s">
        <v>1278</v>
      </c>
    </row>
    <row r="1067" spans="1:2">
      <c r="A1067" s="24" t="s">
        <v>698</v>
      </c>
      <c r="B1067" t="s">
        <v>1278</v>
      </c>
    </row>
    <row r="1068" spans="1:2">
      <c r="A1068" s="24" t="s">
        <v>699</v>
      </c>
      <c r="B1068" t="s">
        <v>1278</v>
      </c>
    </row>
    <row r="1069" spans="1:2">
      <c r="A1069" s="24" t="s">
        <v>700</v>
      </c>
      <c r="B1069" t="s">
        <v>1278</v>
      </c>
    </row>
    <row r="1070" spans="1:2">
      <c r="A1070" s="24" t="s">
        <v>701</v>
      </c>
      <c r="B1070" t="s">
        <v>1278</v>
      </c>
    </row>
    <row r="1071" spans="1:2">
      <c r="A1071" s="24" t="s">
        <v>702</v>
      </c>
      <c r="B1071" t="s">
        <v>1278</v>
      </c>
    </row>
    <row r="1072" spans="1:2">
      <c r="A1072" s="24" t="s">
        <v>703</v>
      </c>
      <c r="B1072" t="s">
        <v>1278</v>
      </c>
    </row>
    <row r="1073" spans="1:2">
      <c r="A1073" s="24" t="s">
        <v>704</v>
      </c>
      <c r="B1073" t="s">
        <v>1278</v>
      </c>
    </row>
    <row r="1074" spans="1:2">
      <c r="A1074" s="24" t="s">
        <v>705</v>
      </c>
      <c r="B1074" t="s">
        <v>1278</v>
      </c>
    </row>
    <row r="1075" spans="1:2">
      <c r="A1075" s="24" t="s">
        <v>706</v>
      </c>
      <c r="B1075" t="s">
        <v>1278</v>
      </c>
    </row>
    <row r="1076" spans="1:2">
      <c r="A1076" s="24" t="s">
        <v>707</v>
      </c>
      <c r="B1076" t="s">
        <v>1278</v>
      </c>
    </row>
    <row r="1077" spans="1:2">
      <c r="A1077" s="24" t="s">
        <v>708</v>
      </c>
      <c r="B1077" t="s">
        <v>1278</v>
      </c>
    </row>
    <row r="1078" spans="1:2">
      <c r="A1078" s="24" t="s">
        <v>709</v>
      </c>
      <c r="B1078" t="s">
        <v>1278</v>
      </c>
    </row>
    <row r="1079" spans="1:2">
      <c r="A1079" s="24" t="s">
        <v>710</v>
      </c>
      <c r="B1079" t="s">
        <v>1278</v>
      </c>
    </row>
    <row r="1080" spans="1:2">
      <c r="A1080" s="24" t="s">
        <v>711</v>
      </c>
      <c r="B1080" t="s">
        <v>1278</v>
      </c>
    </row>
    <row r="1081" spans="1:2">
      <c r="A1081" s="24" t="s">
        <v>712</v>
      </c>
      <c r="B1081" t="s">
        <v>1278</v>
      </c>
    </row>
    <row r="1082" spans="1:2">
      <c r="A1082" s="24" t="s">
        <v>713</v>
      </c>
      <c r="B1082" t="s">
        <v>1278</v>
      </c>
    </row>
    <row r="1083" spans="1:2">
      <c r="A1083" s="24" t="s">
        <v>714</v>
      </c>
      <c r="B1083" t="s">
        <v>1278</v>
      </c>
    </row>
    <row r="1084" spans="1:2">
      <c r="A1084" s="24" t="s">
        <v>715</v>
      </c>
      <c r="B1084" t="s">
        <v>1278</v>
      </c>
    </row>
    <row r="1085" spans="1:2">
      <c r="A1085" s="24" t="s">
        <v>716</v>
      </c>
      <c r="B1085" t="s">
        <v>1278</v>
      </c>
    </row>
    <row r="1086" spans="1:2">
      <c r="A1086" s="24" t="s">
        <v>717</v>
      </c>
      <c r="B1086" t="s">
        <v>1278</v>
      </c>
    </row>
    <row r="1087" spans="1:2">
      <c r="A1087" s="24" t="s">
        <v>718</v>
      </c>
      <c r="B1087" t="s">
        <v>1278</v>
      </c>
    </row>
    <row r="1088" spans="1:2">
      <c r="A1088" s="24" t="s">
        <v>719</v>
      </c>
      <c r="B1088" t="s">
        <v>1278</v>
      </c>
    </row>
    <row r="1089" spans="1:2">
      <c r="A1089" s="24" t="s">
        <v>720</v>
      </c>
      <c r="B1089" t="s">
        <v>1278</v>
      </c>
    </row>
    <row r="1090" spans="1:2">
      <c r="A1090" s="24" t="s">
        <v>721</v>
      </c>
      <c r="B1090" t="s">
        <v>1278</v>
      </c>
    </row>
    <row r="1091" spans="1:2">
      <c r="A1091" s="24" t="s">
        <v>722</v>
      </c>
      <c r="B1091" t="s">
        <v>1278</v>
      </c>
    </row>
    <row r="1092" spans="1:2">
      <c r="A1092" s="24" t="s">
        <v>723</v>
      </c>
      <c r="B1092" t="s">
        <v>1278</v>
      </c>
    </row>
    <row r="1093" spans="1:2">
      <c r="A1093" s="24" t="s">
        <v>724</v>
      </c>
      <c r="B1093" t="s">
        <v>1278</v>
      </c>
    </row>
    <row r="1094" spans="1:2">
      <c r="A1094" s="24" t="s">
        <v>725</v>
      </c>
      <c r="B1094" t="s">
        <v>1278</v>
      </c>
    </row>
    <row r="1095" spans="1:2">
      <c r="A1095" s="24" t="s">
        <v>726</v>
      </c>
      <c r="B1095" t="s">
        <v>1278</v>
      </c>
    </row>
    <row r="1096" spans="1:2">
      <c r="A1096" s="24" t="s">
        <v>727</v>
      </c>
      <c r="B1096" t="s">
        <v>1278</v>
      </c>
    </row>
    <row r="1097" spans="1:2">
      <c r="A1097" s="24" t="s">
        <v>728</v>
      </c>
      <c r="B1097" t="s">
        <v>1278</v>
      </c>
    </row>
    <row r="1098" spans="1:2">
      <c r="A1098" s="24" t="s">
        <v>729</v>
      </c>
      <c r="B1098" t="s">
        <v>1278</v>
      </c>
    </row>
    <row r="1099" spans="1:2">
      <c r="A1099" s="24" t="s">
        <v>730</v>
      </c>
      <c r="B1099" t="s">
        <v>1278</v>
      </c>
    </row>
    <row r="1100" spans="1:2">
      <c r="A1100" s="24" t="s">
        <v>731</v>
      </c>
      <c r="B1100" t="s">
        <v>1278</v>
      </c>
    </row>
    <row r="1101" spans="1:2">
      <c r="A1101" s="24" t="s">
        <v>732</v>
      </c>
      <c r="B1101" t="s">
        <v>1278</v>
      </c>
    </row>
    <row r="1102" spans="1:2">
      <c r="A1102" s="24" t="s">
        <v>733</v>
      </c>
      <c r="B1102" t="s">
        <v>1278</v>
      </c>
    </row>
    <row r="1103" spans="1:2">
      <c r="A1103" s="24" t="s">
        <v>734</v>
      </c>
      <c r="B1103" t="s">
        <v>1278</v>
      </c>
    </row>
    <row r="1104" spans="1:2">
      <c r="A1104" s="24" t="s">
        <v>735</v>
      </c>
      <c r="B1104" t="s">
        <v>1278</v>
      </c>
    </row>
    <row r="1105" spans="1:2">
      <c r="A1105" s="24" t="s">
        <v>736</v>
      </c>
      <c r="B1105" t="s">
        <v>1278</v>
      </c>
    </row>
    <row r="1106" spans="1:2">
      <c r="A1106" s="24" t="s">
        <v>737</v>
      </c>
      <c r="B1106" t="s">
        <v>1278</v>
      </c>
    </row>
    <row r="1107" spans="1:2">
      <c r="A1107" s="24" t="s">
        <v>738</v>
      </c>
      <c r="B1107" t="s">
        <v>1278</v>
      </c>
    </row>
    <row r="1108" spans="1:2">
      <c r="A1108" s="24" t="s">
        <v>739</v>
      </c>
      <c r="B1108" t="s">
        <v>1278</v>
      </c>
    </row>
    <row r="1109" spans="1:2">
      <c r="A1109" s="24" t="s">
        <v>740</v>
      </c>
      <c r="B1109" t="s">
        <v>1278</v>
      </c>
    </row>
    <row r="1110" spans="1:2">
      <c r="A1110" s="24" t="s">
        <v>741</v>
      </c>
      <c r="B1110" t="s">
        <v>1278</v>
      </c>
    </row>
    <row r="1111" spans="1:2">
      <c r="A1111" s="24" t="s">
        <v>742</v>
      </c>
      <c r="B1111" t="s">
        <v>1278</v>
      </c>
    </row>
    <row r="1112" spans="1:2">
      <c r="A1112" s="24" t="s">
        <v>743</v>
      </c>
      <c r="B1112" t="s">
        <v>1278</v>
      </c>
    </row>
    <row r="1113" spans="1:2">
      <c r="A1113" s="24" t="s">
        <v>46</v>
      </c>
      <c r="B1113" t="s">
        <v>1278</v>
      </c>
    </row>
    <row r="1114" spans="1:2">
      <c r="A1114" s="24" t="s">
        <v>46</v>
      </c>
      <c r="B1114" t="s">
        <v>1278</v>
      </c>
    </row>
    <row r="1115" spans="1:2">
      <c r="A1115" s="24" t="s">
        <v>744</v>
      </c>
      <c r="B1115" t="s">
        <v>1278</v>
      </c>
    </row>
    <row r="1116" spans="1:2">
      <c r="A1116" s="24" t="s">
        <v>745</v>
      </c>
      <c r="B1116" t="s">
        <v>1278</v>
      </c>
    </row>
    <row r="1117" spans="1:2">
      <c r="A1117" s="24" t="s">
        <v>746</v>
      </c>
      <c r="B1117" t="s">
        <v>1278</v>
      </c>
    </row>
    <row r="1118" spans="1:2">
      <c r="A1118" s="24" t="s">
        <v>747</v>
      </c>
      <c r="B1118" t="s">
        <v>1278</v>
      </c>
    </row>
    <row r="1119" spans="1:2">
      <c r="A1119" s="24" t="s">
        <v>748</v>
      </c>
      <c r="B1119" t="s">
        <v>1278</v>
      </c>
    </row>
    <row r="1120" spans="1:2">
      <c r="A1120" s="24" t="s">
        <v>749</v>
      </c>
      <c r="B1120" t="s">
        <v>1278</v>
      </c>
    </row>
    <row r="1121" spans="1:2">
      <c r="A1121" s="24" t="s">
        <v>750</v>
      </c>
      <c r="B1121" t="s">
        <v>1278</v>
      </c>
    </row>
    <row r="1122" spans="1:2">
      <c r="A1122" s="24" t="s">
        <v>1164</v>
      </c>
      <c r="B1122" t="s">
        <v>1278</v>
      </c>
    </row>
    <row r="1123" spans="1:2">
      <c r="A1123" s="24" t="s">
        <v>993</v>
      </c>
      <c r="B1123" t="s">
        <v>1278</v>
      </c>
    </row>
    <row r="1124" spans="1:2">
      <c r="A1124" s="24" t="s">
        <v>1020</v>
      </c>
      <c r="B1124" t="s">
        <v>1278</v>
      </c>
    </row>
    <row r="1125" spans="1:2">
      <c r="A1125" s="24" t="s">
        <v>751</v>
      </c>
      <c r="B1125" t="s">
        <v>1278</v>
      </c>
    </row>
    <row r="1126" spans="1:2">
      <c r="A1126" s="24" t="s">
        <v>1299</v>
      </c>
      <c r="B1126" t="s">
        <v>1278</v>
      </c>
    </row>
    <row r="1127" spans="1:2">
      <c r="A1127" s="24" t="s">
        <v>752</v>
      </c>
      <c r="B1127" t="s">
        <v>1278</v>
      </c>
    </row>
    <row r="1128" spans="1:2">
      <c r="A1128" s="24" t="s">
        <v>753</v>
      </c>
      <c r="B1128" t="s">
        <v>1278</v>
      </c>
    </row>
    <row r="1129" spans="1:2">
      <c r="A1129" s="24" t="s">
        <v>754</v>
      </c>
      <c r="B1129" t="s">
        <v>755</v>
      </c>
    </row>
    <row r="1130" spans="1:2">
      <c r="A1130" s="24" t="s">
        <v>756</v>
      </c>
      <c r="B1130" t="s">
        <v>757</v>
      </c>
    </row>
    <row r="1131" spans="1:2">
      <c r="A1131" s="24" t="s">
        <v>758</v>
      </c>
      <c r="B1131" t="s">
        <v>759</v>
      </c>
    </row>
    <row r="1132" spans="1:2">
      <c r="A1132" s="24" t="s">
        <v>760</v>
      </c>
      <c r="B1132" t="s">
        <v>761</v>
      </c>
    </row>
    <row r="1133" spans="1:2">
      <c r="A1133" s="24" t="s">
        <v>762</v>
      </c>
      <c r="B1133" t="s">
        <v>763</v>
      </c>
    </row>
    <row r="1134" spans="1:2">
      <c r="A1134" s="24" t="s">
        <v>764</v>
      </c>
      <c r="B1134" t="s">
        <v>765</v>
      </c>
    </row>
    <row r="1135" spans="1:2">
      <c r="A1135" s="24" t="s">
        <v>766</v>
      </c>
      <c r="B1135" t="s">
        <v>767</v>
      </c>
    </row>
    <row r="1136" spans="1:2">
      <c r="A1136" s="24" t="s">
        <v>1268</v>
      </c>
      <c r="B1136" t="s">
        <v>768</v>
      </c>
    </row>
    <row r="1137" spans="1:2">
      <c r="A1137" s="24" t="s">
        <v>769</v>
      </c>
      <c r="B1137" t="s">
        <v>770</v>
      </c>
    </row>
    <row r="1138" spans="1:2">
      <c r="A1138" s="24" t="s">
        <v>771</v>
      </c>
      <c r="B1138" t="s">
        <v>772</v>
      </c>
    </row>
    <row r="1139" spans="1:2">
      <c r="A1139" s="24" t="s">
        <v>1269</v>
      </c>
      <c r="B1139" t="s">
        <v>773</v>
      </c>
    </row>
    <row r="1140" spans="1:2">
      <c r="A1140" s="24" t="s">
        <v>1270</v>
      </c>
      <c r="B1140" t="s">
        <v>774</v>
      </c>
    </row>
    <row r="1141" spans="1:2">
      <c r="A1141" s="24" t="s">
        <v>775</v>
      </c>
      <c r="B1141" t="s">
        <v>776</v>
      </c>
    </row>
    <row r="1142" spans="1:2">
      <c r="A1142" s="24" t="s">
        <v>777</v>
      </c>
      <c r="B1142" t="s">
        <v>778</v>
      </c>
    </row>
    <row r="1143" spans="1:2">
      <c r="A1143" s="24" t="s">
        <v>923</v>
      </c>
      <c r="B1143" t="s">
        <v>779</v>
      </c>
    </row>
    <row r="1144" spans="1:2">
      <c r="A1144" s="24" t="s">
        <v>780</v>
      </c>
      <c r="B1144" t="s">
        <v>781</v>
      </c>
    </row>
    <row r="1145" spans="1:2">
      <c r="A1145" s="24" t="s">
        <v>782</v>
      </c>
      <c r="B1145" t="s">
        <v>783</v>
      </c>
    </row>
    <row r="1146" spans="1:2">
      <c r="A1146" s="24" t="s">
        <v>784</v>
      </c>
      <c r="B1146" t="s">
        <v>785</v>
      </c>
    </row>
    <row r="1147" spans="1:2">
      <c r="A1147" s="24" t="s">
        <v>786</v>
      </c>
      <c r="B1147" t="s">
        <v>787</v>
      </c>
    </row>
    <row r="1148" spans="1:2">
      <c r="A1148" s="24" t="s">
        <v>788</v>
      </c>
      <c r="B1148" t="s">
        <v>789</v>
      </c>
    </row>
    <row r="1149" spans="1:2">
      <c r="A1149" s="24" t="s">
        <v>790</v>
      </c>
      <c r="B1149" t="s">
        <v>791</v>
      </c>
    </row>
    <row r="1150" spans="1:2">
      <c r="A1150" s="24" t="s">
        <v>792</v>
      </c>
      <c r="B1150" t="s">
        <v>793</v>
      </c>
    </row>
    <row r="1151" spans="1:2">
      <c r="A1151" s="24" t="s">
        <v>794</v>
      </c>
      <c r="B1151" t="s">
        <v>795</v>
      </c>
    </row>
    <row r="1152" spans="1:2">
      <c r="A1152" s="24" t="s">
        <v>796</v>
      </c>
      <c r="B1152" t="s">
        <v>797</v>
      </c>
    </row>
    <row r="1153" spans="1:2">
      <c r="A1153" s="24" t="s">
        <v>798</v>
      </c>
      <c r="B1153" t="s">
        <v>799</v>
      </c>
    </row>
    <row r="1154" spans="1:2">
      <c r="A1154" s="24" t="s">
        <v>800</v>
      </c>
      <c r="B1154" t="s">
        <v>801</v>
      </c>
    </row>
    <row r="1155" spans="1:2">
      <c r="A1155" s="24" t="s">
        <v>802</v>
      </c>
      <c r="B1155" t="s">
        <v>803</v>
      </c>
    </row>
    <row r="1156" spans="1:2">
      <c r="A1156" s="24" t="s">
        <v>804</v>
      </c>
      <c r="B1156" t="s">
        <v>805</v>
      </c>
    </row>
    <row r="1157" spans="1:2">
      <c r="A1157" s="24" t="s">
        <v>806</v>
      </c>
      <c r="B1157" t="s">
        <v>807</v>
      </c>
    </row>
    <row r="1158" spans="1:2">
      <c r="A1158" s="24" t="s">
        <v>808</v>
      </c>
      <c r="B1158" t="s">
        <v>809</v>
      </c>
    </row>
    <row r="1159" spans="1:2">
      <c r="A1159" s="24" t="s">
        <v>1256</v>
      </c>
      <c r="B1159" t="s">
        <v>810</v>
      </c>
    </row>
    <row r="1160" spans="1:2">
      <c r="A1160" s="24" t="s">
        <v>811</v>
      </c>
      <c r="B1160" t="s">
        <v>812</v>
      </c>
    </row>
    <row r="1161" spans="1:2">
      <c r="A1161" s="24" t="s">
        <v>813</v>
      </c>
      <c r="B1161" t="s">
        <v>814</v>
      </c>
    </row>
    <row r="1162" spans="1:2">
      <c r="A1162" s="24" t="s">
        <v>815</v>
      </c>
      <c r="B1162" t="s">
        <v>816</v>
      </c>
    </row>
    <row r="1163" spans="1:2">
      <c r="A1163" s="24" t="s">
        <v>1257</v>
      </c>
      <c r="B1163" t="s">
        <v>817</v>
      </c>
    </row>
    <row r="1164" spans="1:2">
      <c r="A1164" s="24" t="s">
        <v>818</v>
      </c>
      <c r="B1164" t="s">
        <v>819</v>
      </c>
    </row>
    <row r="1165" spans="1:2">
      <c r="A1165" s="24" t="s">
        <v>820</v>
      </c>
      <c r="B1165" t="s">
        <v>821</v>
      </c>
    </row>
    <row r="1166" spans="1:2">
      <c r="A1166" s="24" t="s">
        <v>822</v>
      </c>
      <c r="B1166" t="s">
        <v>823</v>
      </c>
    </row>
    <row r="1167" spans="1:2">
      <c r="A1167" s="24" t="s">
        <v>1258</v>
      </c>
      <c r="B1167" t="s">
        <v>824</v>
      </c>
    </row>
    <row r="1168" spans="1:2">
      <c r="A1168" s="24" t="s">
        <v>825</v>
      </c>
      <c r="B1168" t="s">
        <v>826</v>
      </c>
    </row>
    <row r="1169" spans="1:2">
      <c r="A1169" s="24" t="s">
        <v>827</v>
      </c>
      <c r="B1169" t="s">
        <v>828</v>
      </c>
    </row>
    <row r="1170" spans="1:2">
      <c r="A1170" s="24" t="s">
        <v>829</v>
      </c>
      <c r="B1170" t="s">
        <v>830</v>
      </c>
    </row>
    <row r="1171" spans="1:2">
      <c r="A1171" s="24" t="s">
        <v>831</v>
      </c>
      <c r="B1171" t="s">
        <v>832</v>
      </c>
    </row>
    <row r="1172" spans="1:2">
      <c r="A1172" s="24" t="s">
        <v>833</v>
      </c>
      <c r="B1172" t="s">
        <v>834</v>
      </c>
    </row>
    <row r="1173" spans="1:2">
      <c r="A1173" s="24" t="s">
        <v>835</v>
      </c>
      <c r="B1173" t="s">
        <v>836</v>
      </c>
    </row>
    <row r="1174" spans="1:2">
      <c r="A1174" s="24" t="s">
        <v>837</v>
      </c>
      <c r="B1174" t="s">
        <v>838</v>
      </c>
    </row>
    <row r="1175" spans="1:2">
      <c r="A1175" s="24" t="s">
        <v>1597</v>
      </c>
      <c r="B1175" t="s">
        <v>839</v>
      </c>
    </row>
    <row r="1176" spans="1:2">
      <c r="A1176" s="24" t="s">
        <v>840</v>
      </c>
      <c r="B1176" t="s">
        <v>841</v>
      </c>
    </row>
    <row r="1177" spans="1:2">
      <c r="A1177" s="24" t="s">
        <v>842</v>
      </c>
      <c r="B1177" t="s">
        <v>843</v>
      </c>
    </row>
    <row r="1178" spans="1:2">
      <c r="A1178" s="24" t="s">
        <v>844</v>
      </c>
      <c r="B1178" t="s">
        <v>845</v>
      </c>
    </row>
    <row r="1179" spans="1:2">
      <c r="A1179" s="24" t="s">
        <v>948</v>
      </c>
      <c r="B1179" t="s">
        <v>1278</v>
      </c>
    </row>
    <row r="1180" spans="1:2">
      <c r="A1180" s="24" t="s">
        <v>846</v>
      </c>
      <c r="B1180" t="s">
        <v>1278</v>
      </c>
    </row>
    <row r="1181" spans="1:2">
      <c r="A1181" s="24" t="s">
        <v>847</v>
      </c>
      <c r="B1181" t="s">
        <v>1278</v>
      </c>
    </row>
    <row r="1182" spans="1:2">
      <c r="A1182" s="24" t="s">
        <v>848</v>
      </c>
      <c r="B1182" t="s">
        <v>1278</v>
      </c>
    </row>
    <row r="1183" spans="1:2">
      <c r="A1183" s="24" t="s">
        <v>849</v>
      </c>
      <c r="B1183" t="s">
        <v>1277</v>
      </c>
    </row>
    <row r="1184" spans="1:2">
      <c r="A1184" s="24" t="s">
        <v>850</v>
      </c>
      <c r="B1184" t="s">
        <v>1277</v>
      </c>
    </row>
    <row r="1185" spans="1:2">
      <c r="A1185" s="24" t="s">
        <v>851</v>
      </c>
      <c r="B1185" t="s">
        <v>1277</v>
      </c>
    </row>
    <row r="1186" spans="1:2">
      <c r="A1186" s="24" t="s">
        <v>1054</v>
      </c>
      <c r="B1186" t="s">
        <v>1278</v>
      </c>
    </row>
    <row r="1187" spans="1:2">
      <c r="A1187" s="24" t="s">
        <v>1054</v>
      </c>
      <c r="B1187" t="s">
        <v>1278</v>
      </c>
    </row>
    <row r="1188" spans="1:2">
      <c r="A1188" s="24" t="s">
        <v>1054</v>
      </c>
      <c r="B1188" t="s">
        <v>1278</v>
      </c>
    </row>
    <row r="1189" spans="1:2">
      <c r="A1189" s="24" t="s">
        <v>1054</v>
      </c>
      <c r="B1189" t="s">
        <v>1278</v>
      </c>
    </row>
    <row r="1190" spans="1:2">
      <c r="A1190" s="24" t="s">
        <v>1054</v>
      </c>
      <c r="B1190" t="s">
        <v>1278</v>
      </c>
    </row>
    <row r="1191" spans="1:2">
      <c r="A1191" s="24" t="s">
        <v>1054</v>
      </c>
      <c r="B1191" t="s">
        <v>1278</v>
      </c>
    </row>
    <row r="1192" spans="1:2">
      <c r="A1192" s="24" t="s">
        <v>1282</v>
      </c>
      <c r="B1192" t="s">
        <v>1278</v>
      </c>
    </row>
    <row r="1193" spans="1:2" ht="13">
      <c r="A1193" s="25" t="s">
        <v>1000</v>
      </c>
      <c r="B1193" s="26" t="s">
        <v>1278</v>
      </c>
    </row>
    <row r="1194" spans="1:2" ht="13">
      <c r="A1194" s="25" t="s">
        <v>1000</v>
      </c>
      <c r="B1194" s="26" t="s">
        <v>1278</v>
      </c>
    </row>
    <row r="1195" spans="1:2" ht="13">
      <c r="A1195" s="25" t="s">
        <v>1006</v>
      </c>
      <c r="B1195" s="26" t="s">
        <v>1278</v>
      </c>
    </row>
    <row r="1196" spans="1:2" ht="13">
      <c r="A1196" s="25" t="s">
        <v>1006</v>
      </c>
      <c r="B1196" s="26" t="s">
        <v>1278</v>
      </c>
    </row>
    <row r="1197" spans="1:2" ht="13">
      <c r="A1197" s="25" t="s">
        <v>931</v>
      </c>
      <c r="B1197" s="26" t="s">
        <v>1278</v>
      </c>
    </row>
    <row r="1198" spans="1:2" ht="13">
      <c r="A1198" s="25" t="s">
        <v>931</v>
      </c>
      <c r="B1198" s="26" t="s">
        <v>1278</v>
      </c>
    </row>
    <row r="1199" spans="1:2" ht="13">
      <c r="A1199" s="25" t="s">
        <v>62</v>
      </c>
      <c r="B1199" s="26" t="s">
        <v>1278</v>
      </c>
    </row>
    <row r="1200" spans="1:2" ht="13">
      <c r="A1200" s="25" t="s">
        <v>62</v>
      </c>
      <c r="B1200" s="26" t="s">
        <v>1278</v>
      </c>
    </row>
    <row r="1201" spans="1:2" ht="13">
      <c r="A1201" s="25" t="s">
        <v>936</v>
      </c>
      <c r="B1201" s="26" t="s">
        <v>1278</v>
      </c>
    </row>
    <row r="1202" spans="1:2" ht="13">
      <c r="A1202" s="25" t="s">
        <v>936</v>
      </c>
      <c r="B1202" s="26" t="s">
        <v>1278</v>
      </c>
    </row>
    <row r="1203" spans="1:2" ht="13">
      <c r="A1203" s="25" t="s">
        <v>1030</v>
      </c>
      <c r="B1203" s="26" t="s">
        <v>1278</v>
      </c>
    </row>
    <row r="1204" spans="1:2" ht="13">
      <c r="A1204" s="25" t="s">
        <v>1031</v>
      </c>
      <c r="B1204" s="26" t="s">
        <v>1278</v>
      </c>
    </row>
    <row r="1205" spans="1:2" ht="13">
      <c r="A1205" s="25" t="s">
        <v>1057</v>
      </c>
      <c r="B1205" s="26" t="s">
        <v>1278</v>
      </c>
    </row>
    <row r="1206" spans="1:2" ht="13">
      <c r="A1206" s="25" t="s">
        <v>1058</v>
      </c>
      <c r="B1206" s="26" t="s">
        <v>1278</v>
      </c>
    </row>
    <row r="1207" spans="1:2" ht="13">
      <c r="A1207" s="25" t="s">
        <v>852</v>
      </c>
      <c r="B1207" s="26" t="s">
        <v>1278</v>
      </c>
    </row>
    <row r="1208" spans="1:2" ht="13">
      <c r="A1208" s="25" t="s">
        <v>518</v>
      </c>
      <c r="B1208" s="26" t="s">
        <v>1278</v>
      </c>
    </row>
    <row r="1209" spans="1:2" ht="13">
      <c r="A1209" s="25" t="s">
        <v>1586</v>
      </c>
      <c r="B1209" s="26" t="s">
        <v>1278</v>
      </c>
    </row>
    <row r="1210" spans="1:2" ht="13">
      <c r="A1210" s="25" t="s">
        <v>42</v>
      </c>
      <c r="B1210" s="26" t="s">
        <v>1278</v>
      </c>
    </row>
    <row r="1211" spans="1:2" ht="13">
      <c r="A1211" s="25" t="s">
        <v>44</v>
      </c>
      <c r="B1211" s="26" t="s">
        <v>1278</v>
      </c>
    </row>
    <row r="1212" spans="1:2" ht="13">
      <c r="A1212" s="25" t="s">
        <v>45</v>
      </c>
      <c r="B1212" s="26" t="s">
        <v>1278</v>
      </c>
    </row>
    <row r="1213" spans="1:2" ht="13">
      <c r="A1213" s="25" t="s">
        <v>1162</v>
      </c>
      <c r="B1213" s="26" t="s">
        <v>1278</v>
      </c>
    </row>
    <row r="1214" spans="1:2" ht="13">
      <c r="A1214" s="25" t="s">
        <v>1163</v>
      </c>
      <c r="B1214" s="26" t="s">
        <v>1278</v>
      </c>
    </row>
    <row r="1215" spans="1:2" ht="13">
      <c r="A1215" s="25" t="s">
        <v>1066</v>
      </c>
      <c r="B1215" s="26" t="s">
        <v>1278</v>
      </c>
    </row>
    <row r="1216" spans="1:2" ht="13">
      <c r="A1216" s="25" t="s">
        <v>855</v>
      </c>
      <c r="B1216" s="26" t="s">
        <v>1278</v>
      </c>
    </row>
    <row r="1217" spans="1:2" ht="13">
      <c r="A1217" s="25" t="s">
        <v>36</v>
      </c>
      <c r="B1217" s="26" t="s">
        <v>1278</v>
      </c>
    </row>
    <row r="1218" spans="1:2" ht="13">
      <c r="A1218" s="25" t="s">
        <v>928</v>
      </c>
      <c r="B1218" s="26" t="s">
        <v>1278</v>
      </c>
    </row>
    <row r="1219" spans="1:2" ht="13">
      <c r="A1219" s="25" t="s">
        <v>1555</v>
      </c>
      <c r="B1219" s="26" t="s">
        <v>1278</v>
      </c>
    </row>
    <row r="1220" spans="1:2" ht="13">
      <c r="A1220" s="25" t="s">
        <v>1556</v>
      </c>
      <c r="B1220" s="26" t="s">
        <v>1278</v>
      </c>
    </row>
    <row r="1221" spans="1:2" ht="13">
      <c r="A1221" s="25" t="s">
        <v>1557</v>
      </c>
      <c r="B1221" s="26" t="s">
        <v>1278</v>
      </c>
    </row>
  </sheetData>
  <customSheetViews>
    <customSheetView guid="{A2EDE129-9A82-414C-9545-4AA6BCAEFA13}" state="hidden">
      <selection activeCell="D3" sqref="D3"/>
      <pageMargins left="0.7" right="0.7" top="0.75" bottom="0.75" header="0.3" footer="0.3"/>
    </customSheetView>
    <customSheetView guid="{5F7BCE1B-36F3-447A-8DD9-E51BEFF3AFBA}" state="hidden">
      <selection activeCell="D3" sqref="D3"/>
      <pageMargins left="0.7" right="0.7" top="0.75" bottom="0.75" header="0.3" footer="0.3"/>
    </customSheetView>
    <customSheetView guid="{4CB5074A-E16B-4E31-B838-49EE3EE7DA09}" state="hidden">
      <selection activeCell="D3" sqref="D3"/>
      <pageMargins left="0.7" right="0.7" top="0.75" bottom="0.75" header="0.3" footer="0.3"/>
    </customSheetView>
    <customSheetView guid="{BFB4608D-4945-446C-9A8C-C4729DADE1CC}" state="hidden">
      <selection activeCell="D3" sqref="D3"/>
      <pageMargins left="0.7" right="0.7" top="0.75" bottom="0.75" header="0.3" footer="0.3"/>
    </customSheetView>
    <customSheetView guid="{1DB52CAD-403B-4256-97F4-977FD85A83D4}" state="hidden" showRuler="0">
      <selection activeCell="D3" sqref="D3"/>
      <pageMargins left="0.7" right="0.7" top="0.75" bottom="0.75" header="0.3" footer="0.3"/>
      <headerFooter alignWithMargins="0"/>
    </customSheetView>
  </customSheetViews>
  <phoneticPr fontId="7"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R35"/>
  <sheetViews>
    <sheetView workbookViewId="0">
      <selection activeCell="B3" sqref="B3"/>
    </sheetView>
  </sheetViews>
  <sheetFormatPr defaultRowHeight="12.5"/>
  <cols>
    <col min="1" max="1" width="18" customWidth="1"/>
    <col min="2" max="2" width="16.453125" customWidth="1"/>
    <col min="3" max="4" width="15.453125" customWidth="1"/>
    <col min="5" max="5" width="21.453125" customWidth="1"/>
    <col min="6" max="6" width="14.54296875" customWidth="1"/>
    <col min="7" max="11" width="15" customWidth="1"/>
  </cols>
  <sheetData>
    <row r="1" spans="1:18" ht="56">
      <c r="A1" s="62" t="s">
        <v>894</v>
      </c>
      <c r="B1" s="62" t="s">
        <v>2340</v>
      </c>
      <c r="C1" s="62" t="s">
        <v>2341</v>
      </c>
      <c r="D1" s="62" t="s">
        <v>2342</v>
      </c>
      <c r="E1" s="62" t="s">
        <v>2346</v>
      </c>
      <c r="F1" s="62" t="s">
        <v>2339</v>
      </c>
    </row>
    <row r="2" spans="1:18" ht="14">
      <c r="A2" s="72" t="s">
        <v>2311</v>
      </c>
      <c r="B2" s="73"/>
      <c r="C2" s="73"/>
      <c r="D2" s="74">
        <f>+B2-C2</f>
        <v>0</v>
      </c>
      <c r="E2" s="73">
        <v>0</v>
      </c>
      <c r="F2" s="63"/>
      <c r="I2" s="70">
        <f t="shared" ref="I2:I18" si="0">+$H$19*E2/$G$19</f>
        <v>0</v>
      </c>
    </row>
    <row r="3" spans="1:18" ht="14">
      <c r="A3" s="69" t="s">
        <v>2324</v>
      </c>
      <c r="B3" s="63">
        <v>1092886.909854023</v>
      </c>
      <c r="C3" s="63">
        <v>88990.066611475704</v>
      </c>
      <c r="D3" s="64">
        <f t="shared" ref="D3:D34" si="1">+B3-C3</f>
        <v>1003896.8432425474</v>
      </c>
      <c r="E3" s="63">
        <v>6020795</v>
      </c>
      <c r="F3" s="63"/>
      <c r="I3" s="70">
        <f t="shared" si="0"/>
        <v>27978.618482295922</v>
      </c>
    </row>
    <row r="4" spans="1:18" ht="14">
      <c r="A4" s="72" t="s">
        <v>2314</v>
      </c>
      <c r="B4" s="73"/>
      <c r="C4" s="73"/>
      <c r="D4" s="74">
        <f t="shared" si="1"/>
        <v>0</v>
      </c>
      <c r="E4" s="73">
        <v>32128</v>
      </c>
      <c r="F4" s="63"/>
      <c r="I4" s="70">
        <f t="shared" si="0"/>
        <v>149.29873124715314</v>
      </c>
    </row>
    <row r="5" spans="1:18" ht="14">
      <c r="A5" s="72" t="s">
        <v>2312</v>
      </c>
      <c r="B5" s="73"/>
      <c r="C5" s="73"/>
      <c r="D5" s="74">
        <f t="shared" si="1"/>
        <v>0</v>
      </c>
      <c r="E5" s="73">
        <v>0</v>
      </c>
      <c r="F5" s="63"/>
      <c r="I5" s="70">
        <f t="shared" si="0"/>
        <v>0</v>
      </c>
    </row>
    <row r="6" spans="1:18" ht="14">
      <c r="A6" s="69" t="s">
        <v>2310</v>
      </c>
      <c r="B6" s="63">
        <v>0</v>
      </c>
      <c r="C6" s="63">
        <v>0</v>
      </c>
      <c r="D6" s="64">
        <f t="shared" si="1"/>
        <v>0</v>
      </c>
      <c r="E6" s="63">
        <v>0</v>
      </c>
      <c r="F6" s="63"/>
      <c r="I6" s="70">
        <f t="shared" si="0"/>
        <v>0</v>
      </c>
    </row>
    <row r="7" spans="1:18" ht="14">
      <c r="A7" s="72" t="s">
        <v>2325</v>
      </c>
      <c r="B7" s="73"/>
      <c r="C7" s="73"/>
      <c r="D7" s="74">
        <f t="shared" si="1"/>
        <v>0</v>
      </c>
      <c r="E7" s="73">
        <v>0</v>
      </c>
      <c r="F7" s="63"/>
      <c r="I7" s="70">
        <f t="shared" si="0"/>
        <v>0</v>
      </c>
      <c r="M7" s="82" t="s">
        <v>2384</v>
      </c>
      <c r="N7" s="82"/>
      <c r="Q7" s="82" t="s">
        <v>2385</v>
      </c>
      <c r="R7" s="81"/>
    </row>
    <row r="8" spans="1:18" ht="14">
      <c r="A8" s="69" t="s">
        <v>2323</v>
      </c>
      <c r="B8" s="63">
        <v>2722.7805709728277</v>
      </c>
      <c r="C8" s="63">
        <v>221.70676782254429</v>
      </c>
      <c r="D8" s="64">
        <f t="shared" si="1"/>
        <v>2501.0738031502833</v>
      </c>
      <c r="E8" s="63">
        <v>15000</v>
      </c>
      <c r="F8" s="63"/>
      <c r="I8" s="70">
        <f t="shared" si="0"/>
        <v>69.704960430381504</v>
      </c>
    </row>
    <row r="9" spans="1:18" ht="14">
      <c r="A9" s="69" t="s">
        <v>2313</v>
      </c>
      <c r="B9" s="63">
        <v>15147462.361157468</v>
      </c>
      <c r="C9" s="63">
        <v>1233406.3775128142</v>
      </c>
      <c r="D9" s="64">
        <f t="shared" si="1"/>
        <v>13914055.983644653</v>
      </c>
      <c r="E9" s="63">
        <v>83448493</v>
      </c>
      <c r="F9" s="63"/>
      <c r="I9" s="70">
        <f t="shared" si="0"/>
        <v>387784.92683599785</v>
      </c>
    </row>
    <row r="10" spans="1:18" ht="14">
      <c r="A10" s="72" t="s">
        <v>2309</v>
      </c>
      <c r="B10" s="73"/>
      <c r="C10" s="73"/>
      <c r="D10" s="74">
        <f t="shared" si="1"/>
        <v>0</v>
      </c>
      <c r="E10" s="73">
        <v>1711450</v>
      </c>
      <c r="F10" s="63"/>
      <c r="I10" s="70">
        <f t="shared" si="0"/>
        <v>7953.103635238429</v>
      </c>
      <c r="L10">
        <v>0</v>
      </c>
    </row>
    <row r="11" spans="1:18" ht="14">
      <c r="A11" s="72" t="s">
        <v>2322</v>
      </c>
      <c r="B11" s="73"/>
      <c r="C11" s="73"/>
      <c r="D11" s="74">
        <f t="shared" si="1"/>
        <v>0</v>
      </c>
      <c r="E11" s="73">
        <v>15000</v>
      </c>
      <c r="F11" s="63"/>
      <c r="I11" s="70">
        <f t="shared" si="0"/>
        <v>69.704960430381504</v>
      </c>
    </row>
    <row r="12" spans="1:18" ht="14">
      <c r="A12" s="69" t="s">
        <v>2332</v>
      </c>
      <c r="B12" s="63">
        <v>10382705.636215268</v>
      </c>
      <c r="C12" s="63">
        <v>845428.43165497703</v>
      </c>
      <c r="D12" s="64">
        <f t="shared" si="1"/>
        <v>9537277.204560291</v>
      </c>
      <c r="E12" s="63">
        <v>57199095</v>
      </c>
      <c r="F12" s="63"/>
      <c r="I12" s="70">
        <f t="shared" si="0"/>
        <v>265804.04357524216</v>
      </c>
    </row>
    <row r="13" spans="1:18" ht="14">
      <c r="A13" s="72" t="s">
        <v>2333</v>
      </c>
      <c r="B13" s="73"/>
      <c r="C13" s="73"/>
      <c r="D13" s="74">
        <f t="shared" si="1"/>
        <v>0</v>
      </c>
      <c r="E13" s="73">
        <v>33963</v>
      </c>
      <c r="F13" s="63"/>
      <c r="I13" s="70">
        <f t="shared" si="0"/>
        <v>157.82597140646982</v>
      </c>
    </row>
    <row r="14" spans="1:18" ht="14">
      <c r="A14" s="72" t="s">
        <v>2331</v>
      </c>
      <c r="B14" s="73"/>
      <c r="C14" s="73"/>
      <c r="D14" s="74">
        <f t="shared" si="1"/>
        <v>0</v>
      </c>
      <c r="E14" s="73">
        <v>223937</v>
      </c>
      <c r="F14" s="63"/>
      <c r="I14" s="70">
        <f t="shared" si="0"/>
        <v>1040.6346482598894</v>
      </c>
    </row>
    <row r="15" spans="1:18" ht="14">
      <c r="A15" s="69" t="s">
        <v>2330</v>
      </c>
      <c r="B15" s="63">
        <v>26074623.005648766</v>
      </c>
      <c r="C15" s="63">
        <v>2123167.9300209885</v>
      </c>
      <c r="D15" s="64">
        <f t="shared" si="1"/>
        <v>23951455.075627778</v>
      </c>
      <c r="E15" s="63">
        <v>143647031</v>
      </c>
      <c r="F15" s="63"/>
      <c r="I15" s="70">
        <f t="shared" si="0"/>
        <v>667527.37411978573</v>
      </c>
    </row>
    <row r="16" spans="1:18" ht="14">
      <c r="A16" s="72" t="s">
        <v>2334</v>
      </c>
      <c r="B16" s="73"/>
      <c r="C16" s="73"/>
      <c r="D16" s="74">
        <f t="shared" si="1"/>
        <v>0</v>
      </c>
      <c r="E16" s="73">
        <v>1927629</v>
      </c>
      <c r="F16" s="63"/>
      <c r="I16" s="70">
        <f t="shared" si="0"/>
        <v>8957.6868779637243</v>
      </c>
    </row>
    <row r="17" spans="1:10" ht="14">
      <c r="A17" s="72" t="s">
        <v>2329</v>
      </c>
      <c r="B17" s="73"/>
      <c r="C17" s="73"/>
      <c r="D17" s="74">
        <f t="shared" si="1"/>
        <v>0</v>
      </c>
      <c r="E17" s="73">
        <v>0</v>
      </c>
      <c r="F17" s="63"/>
      <c r="I17" s="70">
        <f t="shared" si="0"/>
        <v>0</v>
      </c>
    </row>
    <row r="18" spans="1:10" ht="14">
      <c r="A18" s="65" t="s">
        <v>2308</v>
      </c>
      <c r="B18" s="63">
        <v>27450826.306553502</v>
      </c>
      <c r="C18" s="63">
        <v>2235227.487431922</v>
      </c>
      <c r="D18" s="64">
        <f>+B18-C18</f>
        <v>25215598.819121581</v>
      </c>
      <c r="E18" s="63">
        <v>151228637</v>
      </c>
      <c r="F18" s="63"/>
      <c r="I18" s="70">
        <f t="shared" si="0"/>
        <v>702759.07720170193</v>
      </c>
    </row>
    <row r="19" spans="1:10" ht="14">
      <c r="A19" s="65" t="s">
        <v>2268</v>
      </c>
      <c r="B19" s="63">
        <f>817996+1203300+1527266</f>
        <v>3548562</v>
      </c>
      <c r="C19" s="63">
        <f>324071+627386+806600</f>
        <v>1758057</v>
      </c>
      <c r="D19" s="64">
        <f t="shared" si="1"/>
        <v>1790505</v>
      </c>
      <c r="E19" s="63">
        <f>23282157+3481554</f>
        <v>26763711</v>
      </c>
      <c r="F19" s="63"/>
      <c r="G19" s="79">
        <f>SUM(E2:E18)</f>
        <v>445503158</v>
      </c>
      <c r="H19" s="70">
        <f>648362+683297+738593</f>
        <v>2070252</v>
      </c>
      <c r="I19" s="79">
        <f>SUM(I2:I18)</f>
        <v>2070252</v>
      </c>
    </row>
    <row r="20" spans="1:10" ht="14">
      <c r="A20" s="65" t="s">
        <v>2272</v>
      </c>
      <c r="B20" s="63">
        <f>101192+160321+206400</f>
        <v>467913</v>
      </c>
      <c r="C20" s="63">
        <f>104099+103465+100414</f>
        <v>307978</v>
      </c>
      <c r="D20" s="64">
        <f t="shared" si="1"/>
        <v>159935</v>
      </c>
      <c r="E20" s="63">
        <f>32219+1777668</f>
        <v>1809887</v>
      </c>
      <c r="F20" s="63"/>
    </row>
    <row r="21" spans="1:10" ht="14">
      <c r="A21" s="65" t="s">
        <v>2273</v>
      </c>
      <c r="B21" s="63">
        <f>12622+17554+21416</f>
        <v>51592</v>
      </c>
      <c r="C21" s="63">
        <f>3153+9320+11465</f>
        <v>23938</v>
      </c>
      <c r="D21" s="64">
        <f t="shared" si="1"/>
        <v>27654</v>
      </c>
      <c r="E21" s="63">
        <f>217335+0</f>
        <v>217335</v>
      </c>
      <c r="F21" s="63"/>
    </row>
    <row r="22" spans="1:10" ht="14">
      <c r="A22" s="65" t="s">
        <v>2274</v>
      </c>
      <c r="B22" s="63">
        <f>265321+392290+498757</f>
        <v>1156368</v>
      </c>
      <c r="C22" s="63">
        <f>180928+190484+210991</f>
        <v>582403</v>
      </c>
      <c r="D22" s="64">
        <f t="shared" si="1"/>
        <v>573965</v>
      </c>
      <c r="E22" s="63">
        <f>2076334+3024243</f>
        <v>5100577</v>
      </c>
      <c r="F22" s="63"/>
      <c r="H22" s="70"/>
      <c r="I22" s="70"/>
      <c r="J22" s="70"/>
    </row>
    <row r="23" spans="1:10" ht="14">
      <c r="A23" s="65" t="s">
        <v>2275</v>
      </c>
      <c r="B23" s="63">
        <f>430148+617524+811416</f>
        <v>1859088</v>
      </c>
      <c r="C23" s="63">
        <f>42467+127208+298275</f>
        <v>467950</v>
      </c>
      <c r="D23" s="64">
        <f t="shared" si="1"/>
        <v>1391138</v>
      </c>
      <c r="E23" s="63">
        <f>8021879+740509</f>
        <v>8762388</v>
      </c>
      <c r="F23" s="63"/>
      <c r="H23" s="70"/>
      <c r="I23" s="70"/>
      <c r="J23" s="70"/>
    </row>
    <row r="24" spans="1:10" ht="14">
      <c r="A24" s="65" t="s">
        <v>2327</v>
      </c>
      <c r="B24" s="63">
        <f>15859+19287+24859</f>
        <v>60005</v>
      </c>
      <c r="C24" s="63">
        <f>15614+15436+15289</f>
        <v>46339</v>
      </c>
      <c r="D24" s="64">
        <f t="shared" si="1"/>
        <v>13666</v>
      </c>
      <c r="E24" s="63">
        <f>0+268837</f>
        <v>268837</v>
      </c>
      <c r="F24" s="63"/>
    </row>
    <row r="25" spans="1:10" ht="14">
      <c r="A25" s="65" t="s">
        <v>2267</v>
      </c>
      <c r="B25" s="63">
        <f>464917+692961+873327</f>
        <v>2031205</v>
      </c>
      <c r="C25" s="63">
        <f>400244+405980+420898</f>
        <v>1227122</v>
      </c>
      <c r="D25" s="64">
        <f t="shared" si="1"/>
        <v>804083</v>
      </c>
      <c r="E25" s="63">
        <f>1718400+6859527</f>
        <v>8577927</v>
      </c>
      <c r="F25" s="63"/>
    </row>
    <row r="26" spans="1:10" ht="14">
      <c r="A26" s="65" t="s">
        <v>2300</v>
      </c>
      <c r="B26" s="63">
        <f>3215195+5092053+6554664</f>
        <v>14861912</v>
      </c>
      <c r="C26" s="63">
        <f>2395545+2655895+2776648</f>
        <v>7828088</v>
      </c>
      <c r="D26" s="64">
        <f t="shared" si="1"/>
        <v>7033824</v>
      </c>
      <c r="E26" s="63">
        <f>35602253+1777668</f>
        <v>37379921</v>
      </c>
      <c r="F26" s="63"/>
    </row>
    <row r="27" spans="1:10" ht="14">
      <c r="A27" s="65" t="s">
        <v>2302</v>
      </c>
      <c r="B27" s="63">
        <f>2243707+3119416+3803415</f>
        <v>9166538</v>
      </c>
      <c r="C27" s="63">
        <f>772129+1091760+1451773</f>
        <v>3315662</v>
      </c>
      <c r="D27" s="64">
        <f t="shared" si="1"/>
        <v>5850876</v>
      </c>
      <c r="E27" s="63">
        <f>28728158+11718663</f>
        <v>40446821</v>
      </c>
      <c r="F27" s="63"/>
    </row>
    <row r="28" spans="1:10" ht="14">
      <c r="A28" s="65" t="s">
        <v>2303</v>
      </c>
      <c r="B28" s="63">
        <f>923851+1364413+1734713</f>
        <v>4022977</v>
      </c>
      <c r="C28" s="63">
        <f>281436+501172+764472</f>
        <v>1547080</v>
      </c>
      <c r="D28" s="64">
        <f t="shared" si="1"/>
        <v>2475897</v>
      </c>
      <c r="E28" s="63">
        <f>14671122+3488140</f>
        <v>18159262</v>
      </c>
      <c r="F28" s="63"/>
    </row>
    <row r="29" spans="1:10" ht="14">
      <c r="A29" s="65" t="s">
        <v>2304</v>
      </c>
      <c r="B29" s="63">
        <f>518573+74467+978218</f>
        <v>1571258</v>
      </c>
      <c r="C29" s="63">
        <f>423825+497892+515690</f>
        <v>1437407</v>
      </c>
      <c r="D29" s="64">
        <f t="shared" si="1"/>
        <v>133851</v>
      </c>
      <c r="E29" s="63">
        <f>3931284+11718663</f>
        <v>15649947</v>
      </c>
      <c r="F29" s="63"/>
    </row>
    <row r="30" spans="1:10" ht="14">
      <c r="A30" s="65" t="s">
        <v>2301</v>
      </c>
      <c r="B30" s="63"/>
      <c r="C30" s="63"/>
      <c r="D30" s="64">
        <f t="shared" si="1"/>
        <v>0</v>
      </c>
      <c r="E30" s="63"/>
      <c r="F30" s="63"/>
    </row>
    <row r="31" spans="1:10" ht="14">
      <c r="A31" s="66" t="s">
        <v>853</v>
      </c>
      <c r="B31" s="63">
        <f>24832791+37232042+47038971</f>
        <v>109103804</v>
      </c>
      <c r="C31" s="63">
        <f>4219088+4481257+4151736</f>
        <v>12852081</v>
      </c>
      <c r="D31" s="64">
        <f t="shared" si="1"/>
        <v>96251723</v>
      </c>
      <c r="E31" s="63">
        <f>164442426+71516784</f>
        <v>235959210</v>
      </c>
      <c r="F31" s="63"/>
    </row>
    <row r="32" spans="1:10" ht="14">
      <c r="A32" s="65" t="s">
        <v>942</v>
      </c>
      <c r="B32" s="63">
        <f>7488795+10831800+12669221</f>
        <v>30989816</v>
      </c>
      <c r="C32" s="63">
        <f>612894+865213+1132482</f>
        <v>2610589</v>
      </c>
      <c r="D32" s="64">
        <f t="shared" si="1"/>
        <v>28379227</v>
      </c>
      <c r="E32" s="63">
        <f>264276319+9009726</f>
        <v>273286045</v>
      </c>
      <c r="F32" s="63"/>
    </row>
    <row r="33" spans="1:6" ht="14">
      <c r="A33" s="75" t="s">
        <v>943</v>
      </c>
      <c r="B33" s="76">
        <f>7193504+10448783+12237987</f>
        <v>29880274</v>
      </c>
      <c r="C33" s="76">
        <f>376270+769100+1203324</f>
        <v>2348694</v>
      </c>
      <c r="D33" s="77">
        <f t="shared" si="1"/>
        <v>27531580</v>
      </c>
      <c r="E33" s="76">
        <f>220051165+3965803</f>
        <v>224016968</v>
      </c>
      <c r="F33" s="63"/>
    </row>
    <row r="34" spans="1:6" ht="14">
      <c r="A34" s="75" t="s">
        <v>2208</v>
      </c>
      <c r="B34" s="76">
        <f>10668137+15523426+18121913</f>
        <v>44313476</v>
      </c>
      <c r="C34" s="76">
        <f>3311444+3455484</f>
        <v>6766928</v>
      </c>
      <c r="D34" s="77">
        <f t="shared" si="1"/>
        <v>37546548</v>
      </c>
      <c r="E34" s="76">
        <f>153431395+55094006</f>
        <v>208525401</v>
      </c>
      <c r="F34" s="63"/>
    </row>
    <row r="35" spans="1:6" ht="14">
      <c r="B35" s="78">
        <f>SUM(B2:B34)</f>
        <v>333236015</v>
      </c>
      <c r="C35" s="78">
        <f>SUM(C2:C34)</f>
        <v>49646758</v>
      </c>
      <c r="D35" s="78">
        <f>SUM(D2:D34)</f>
        <v>283589257</v>
      </c>
      <c r="E35" s="78">
        <f>SUM(E2:E34)</f>
        <v>1550427395</v>
      </c>
      <c r="F35" s="63"/>
    </row>
  </sheetData>
  <pageMargins left="0.70866141732283472" right="0.70866141732283472" top="0.74803149606299213" bottom="0.74803149606299213" header="0.31496062992125984" footer="0.31496062992125984"/>
  <pageSetup paperSize="8" scale="76"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2060"/>
  </sheetPr>
  <dimension ref="A1:BY906"/>
  <sheetViews>
    <sheetView topLeftCell="A510" zoomScaleNormal="100" workbookViewId="0">
      <selection activeCell="T581" sqref="T520:T581"/>
    </sheetView>
  </sheetViews>
  <sheetFormatPr defaultColWidth="9.453125" defaultRowHeight="12.5"/>
  <cols>
    <col min="1" max="1" width="14.54296875" customWidth="1"/>
    <col min="2" max="2" width="8.453125" customWidth="1"/>
    <col min="3" max="3" width="8" style="168" customWidth="1"/>
    <col min="4" max="4" width="15.453125" bestFit="1" customWidth="1"/>
    <col min="5" max="5" width="13.54296875" style="49" bestFit="1" customWidth="1"/>
    <col min="6" max="7" width="53" style="168" customWidth="1"/>
    <col min="8" max="8" width="11.453125" style="397" customWidth="1"/>
    <col min="9" max="9" width="11.453125" style="405" customWidth="1"/>
    <col min="10" max="10" width="4.453125" customWidth="1"/>
    <col min="11" max="11" width="13.54296875" style="85" customWidth="1"/>
    <col min="12" max="12" width="11.453125" customWidth="1"/>
    <col min="13" max="13" width="11.453125" style="83" customWidth="1"/>
    <col min="14" max="14" width="9.453125" style="106" customWidth="1"/>
    <col min="15" max="15" width="12.453125" style="98" customWidth="1"/>
    <col min="16" max="16" width="15.453125" style="98" customWidth="1"/>
    <col min="17" max="17" width="12.54296875" style="98" customWidth="1"/>
    <col min="18" max="18" width="11.453125" customWidth="1"/>
    <col min="19" max="19" width="11.54296875" customWidth="1"/>
    <col min="20" max="20" width="11.453125" customWidth="1"/>
    <col min="21" max="23" width="11.54296875" customWidth="1"/>
    <col min="24" max="45" width="11.54296875" style="124" customWidth="1"/>
    <col min="46" max="53" width="12.54296875" style="124" customWidth="1"/>
    <col min="54" max="54" width="12.54296875" style="6" customWidth="1"/>
    <col min="55" max="61" width="12.54296875" style="124" customWidth="1"/>
    <col min="62" max="71" width="12.54296875" customWidth="1"/>
    <col min="72" max="74" width="12.54296875" style="472" customWidth="1"/>
    <col min="75" max="76" width="12.54296875" style="481" customWidth="1"/>
    <col min="77" max="77" width="66.54296875" customWidth="1"/>
  </cols>
  <sheetData>
    <row r="1" spans="1:76">
      <c r="A1" s="99"/>
      <c r="B1" s="27"/>
      <c r="C1" s="61"/>
      <c r="D1" s="27"/>
      <c r="E1" s="48"/>
      <c r="F1" s="61"/>
      <c r="G1" s="61"/>
      <c r="H1" s="396"/>
      <c r="I1" s="406"/>
      <c r="J1" s="27"/>
      <c r="K1" s="84"/>
      <c r="L1" s="27"/>
      <c r="M1" s="59"/>
      <c r="N1" s="105"/>
      <c r="O1" s="97"/>
      <c r="P1" s="97"/>
      <c r="Q1" s="97"/>
      <c r="R1" s="155"/>
      <c r="S1" s="99"/>
      <c r="T1" s="99"/>
      <c r="U1" s="99"/>
      <c r="V1" s="99"/>
      <c r="W1" s="99"/>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7"/>
      <c r="BC1" s="104"/>
      <c r="BD1" s="104"/>
      <c r="BE1" s="104"/>
      <c r="BF1" s="104"/>
      <c r="BG1" s="104"/>
      <c r="BH1" s="104"/>
      <c r="BI1" s="104"/>
    </row>
    <row r="2" spans="1:76">
      <c r="A2" s="99"/>
      <c r="B2" s="27"/>
      <c r="C2" s="61"/>
      <c r="D2" s="27"/>
      <c r="E2" s="48"/>
      <c r="F2" s="61"/>
      <c r="G2" s="61"/>
      <c r="H2" s="396"/>
      <c r="I2" s="406"/>
      <c r="J2" s="27"/>
      <c r="K2" s="84"/>
      <c r="L2" s="27"/>
      <c r="M2" s="59"/>
      <c r="N2" s="105"/>
      <c r="O2" s="97"/>
      <c r="P2" s="97">
        <v>46738295.968320727</v>
      </c>
      <c r="Q2" s="97">
        <v>27523765.73571131</v>
      </c>
      <c r="R2" s="155"/>
      <c r="S2" s="99"/>
      <c r="T2" s="99"/>
      <c r="U2" s="99"/>
      <c r="V2" s="99"/>
      <c r="W2" s="99"/>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7"/>
      <c r="BC2" s="104"/>
      <c r="BD2" s="104"/>
      <c r="BE2" s="104"/>
      <c r="BF2" s="104"/>
      <c r="BG2" s="104"/>
      <c r="BH2" s="104"/>
      <c r="BI2" s="104"/>
      <c r="BU2" s="472">
        <v>46738295.968320727</v>
      </c>
      <c r="BV2" s="472">
        <v>27523765.73571131</v>
      </c>
    </row>
    <row r="3" spans="1:76" ht="39">
      <c r="A3" s="99"/>
      <c r="B3" s="27"/>
      <c r="C3" s="61"/>
      <c r="D3" s="27"/>
      <c r="E3" s="48"/>
      <c r="F3" s="61"/>
      <c r="G3" s="61"/>
      <c r="H3" s="396"/>
      <c r="I3" s="406"/>
      <c r="J3" s="27"/>
      <c r="K3" s="84"/>
      <c r="L3" s="27"/>
      <c r="M3" s="59"/>
      <c r="N3" s="105"/>
      <c r="O3" s="97"/>
      <c r="P3" s="97"/>
      <c r="Q3" s="97"/>
      <c r="R3" s="160" t="s">
        <v>2548</v>
      </c>
      <c r="S3" s="386"/>
      <c r="T3" s="386"/>
      <c r="U3" s="386"/>
      <c r="V3" s="99"/>
      <c r="W3" s="99"/>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7"/>
      <c r="BC3" s="104"/>
      <c r="BD3" s="104"/>
      <c r="BE3" s="104"/>
      <c r="BF3" s="104"/>
      <c r="BG3" s="104"/>
      <c r="BH3" s="104"/>
      <c r="BI3" s="104"/>
    </row>
    <row r="4" spans="1:76" ht="78">
      <c r="A4" s="99"/>
      <c r="B4" s="27"/>
      <c r="C4" s="61"/>
      <c r="D4" s="27"/>
      <c r="E4" s="48"/>
      <c r="F4" s="61"/>
      <c r="G4" s="61"/>
      <c r="H4" s="396"/>
      <c r="I4" s="406"/>
      <c r="J4" s="27"/>
      <c r="K4" s="84"/>
      <c r="L4" s="87" t="s">
        <v>3060</v>
      </c>
      <c r="M4" s="87" t="s">
        <v>3061</v>
      </c>
      <c r="N4" s="261" t="s">
        <v>3047</v>
      </c>
      <c r="O4" s="97"/>
      <c r="P4" s="97"/>
      <c r="Q4" s="97"/>
      <c r="R4" s="155"/>
      <c r="S4" s="99"/>
      <c r="T4" s="99"/>
      <c r="U4" s="99"/>
      <c r="V4" s="99"/>
      <c r="W4" s="99"/>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7"/>
      <c r="BC4" s="104"/>
      <c r="BD4" s="104"/>
      <c r="BE4" s="104"/>
      <c r="BF4" s="104"/>
      <c r="BG4" s="104"/>
      <c r="BH4" s="104"/>
      <c r="BI4" s="104"/>
    </row>
    <row r="5" spans="1:76">
      <c r="A5" s="99"/>
      <c r="B5" s="27"/>
      <c r="C5" s="61"/>
      <c r="D5" s="169"/>
      <c r="E5" s="169"/>
      <c r="F5" s="61"/>
      <c r="G5" s="61"/>
      <c r="H5" s="61"/>
      <c r="I5" s="61"/>
      <c r="J5" s="61"/>
      <c r="K5" s="61"/>
      <c r="L5" s="61"/>
      <c r="M5" s="61"/>
      <c r="N5" s="61"/>
      <c r="O5" s="61"/>
      <c r="P5" s="61"/>
      <c r="Q5" s="61"/>
      <c r="R5" s="61"/>
      <c r="S5" s="61"/>
      <c r="T5" s="61"/>
      <c r="U5" s="61"/>
      <c r="V5" s="61"/>
      <c r="W5" s="61"/>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7"/>
      <c r="BC5" s="104"/>
      <c r="BD5" s="104"/>
      <c r="BE5" s="104"/>
      <c r="BF5" s="104"/>
      <c r="BG5" s="104"/>
      <c r="BH5" s="104"/>
      <c r="BI5" s="104"/>
      <c r="BT5" s="473"/>
      <c r="BU5" s="473"/>
      <c r="BV5" s="473"/>
    </row>
    <row r="6" spans="1:76">
      <c r="A6" s="99"/>
      <c r="B6" s="27"/>
      <c r="C6" s="61"/>
      <c r="D6" s="169"/>
      <c r="E6" s="169"/>
      <c r="F6" s="61"/>
      <c r="G6" s="61"/>
      <c r="H6" s="61"/>
      <c r="I6" s="61"/>
      <c r="J6" s="61"/>
      <c r="K6" s="61"/>
      <c r="L6" s="61"/>
      <c r="M6" s="61"/>
      <c r="N6" s="61"/>
      <c r="O6" s="61"/>
      <c r="P6" s="61"/>
      <c r="Q6" s="61"/>
      <c r="R6" s="61"/>
      <c r="S6" s="61"/>
      <c r="T6" s="61"/>
      <c r="U6" s="61"/>
      <c r="V6" s="61"/>
      <c r="W6" s="61"/>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7"/>
      <c r="BC6" s="104"/>
      <c r="BD6" s="104"/>
      <c r="BE6" s="104"/>
      <c r="BF6" s="104"/>
      <c r="BG6" s="104"/>
      <c r="BH6" s="104"/>
      <c r="BI6" s="104"/>
      <c r="BT6" s="473"/>
      <c r="BU6" s="473"/>
      <c r="BV6" s="473"/>
    </row>
    <row r="7" spans="1:76" ht="39.5" thickBot="1">
      <c r="A7" s="99"/>
      <c r="B7" s="27"/>
      <c r="C7" s="61"/>
      <c r="D7" s="99"/>
      <c r="E7" s="181"/>
      <c r="F7" s="38" t="s">
        <v>101</v>
      </c>
      <c r="R7" s="155"/>
      <c r="S7" s="98"/>
      <c r="T7" s="98"/>
      <c r="U7" s="99"/>
      <c r="V7" s="99"/>
      <c r="W7" s="99"/>
      <c r="X7" s="249" t="s">
        <v>3064</v>
      </c>
      <c r="Y7" s="249"/>
      <c r="Z7" s="104"/>
      <c r="AA7" s="104"/>
      <c r="AB7" s="104"/>
      <c r="AC7" s="104"/>
      <c r="AD7" s="104"/>
      <c r="AE7" s="104"/>
      <c r="AF7" s="104"/>
      <c r="AG7" s="104"/>
      <c r="AH7" s="104"/>
      <c r="AI7" s="104"/>
      <c r="AJ7" s="104"/>
      <c r="AK7" s="104"/>
      <c r="AL7" s="104"/>
      <c r="AM7" s="104"/>
      <c r="AN7" s="108" t="s">
        <v>2351</v>
      </c>
      <c r="AO7" s="108"/>
      <c r="AP7" s="108"/>
      <c r="AQ7" s="104"/>
      <c r="AR7" s="104"/>
      <c r="AS7" s="258">
        <v>2028</v>
      </c>
      <c r="AT7" s="104"/>
      <c r="AU7" s="108" t="s">
        <v>2495</v>
      </c>
      <c r="AV7" s="104"/>
      <c r="AW7" s="108" t="s">
        <v>2494</v>
      </c>
      <c r="AX7" s="104"/>
      <c r="AY7" s="104"/>
      <c r="AZ7" s="104"/>
      <c r="BA7" s="104"/>
      <c r="BB7" s="107"/>
      <c r="BC7" s="259">
        <v>10000</v>
      </c>
      <c r="BD7" s="259">
        <v>30000</v>
      </c>
      <c r="BE7" s="259">
        <v>1000</v>
      </c>
      <c r="BF7" s="104"/>
      <c r="BG7" s="104"/>
      <c r="BH7" s="104"/>
      <c r="BI7" s="104"/>
      <c r="BR7" s="336" t="e">
        <f>+#REF!</f>
        <v>#REF!</v>
      </c>
      <c r="BS7" s="124" t="s">
        <v>4390</v>
      </c>
    </row>
    <row r="8" spans="1:76" s="168" customFormat="1" ht="130">
      <c r="A8" s="169"/>
      <c r="B8" s="61" t="s">
        <v>2271</v>
      </c>
      <c r="C8" s="61" t="s">
        <v>899</v>
      </c>
      <c r="D8" s="446" t="s">
        <v>2305</v>
      </c>
      <c r="E8" s="447" t="s">
        <v>2003</v>
      </c>
      <c r="F8" s="93" t="s">
        <v>2012</v>
      </c>
      <c r="G8" s="186" t="s">
        <v>4664</v>
      </c>
      <c r="H8" s="162" t="s">
        <v>895</v>
      </c>
      <c r="I8" s="163" t="s">
        <v>1165</v>
      </c>
      <c r="J8" s="164" t="s">
        <v>1190</v>
      </c>
      <c r="K8" s="212" t="s">
        <v>2226</v>
      </c>
      <c r="L8" s="213" t="s">
        <v>99</v>
      </c>
      <c r="M8" s="214" t="s">
        <v>5289</v>
      </c>
      <c r="N8" s="214" t="s">
        <v>5291</v>
      </c>
      <c r="O8" s="215" t="s">
        <v>4414</v>
      </c>
      <c r="P8" s="215" t="s">
        <v>2010</v>
      </c>
      <c r="Q8" s="215" t="s">
        <v>2247</v>
      </c>
      <c r="R8" s="201" t="s">
        <v>2002</v>
      </c>
      <c r="S8" s="215" t="s">
        <v>3601</v>
      </c>
      <c r="T8" s="215" t="s">
        <v>4717</v>
      </c>
      <c r="U8" s="99" t="s">
        <v>3042</v>
      </c>
      <c r="V8" s="165"/>
      <c r="W8" s="165" t="s">
        <v>2559</v>
      </c>
      <c r="X8" s="166" t="s">
        <v>2482</v>
      </c>
      <c r="Y8" s="166" t="s">
        <v>3062</v>
      </c>
      <c r="Z8" s="166" t="s">
        <v>2483</v>
      </c>
      <c r="AA8" s="166" t="s">
        <v>2484</v>
      </c>
      <c r="AB8" s="166" t="s">
        <v>2347</v>
      </c>
      <c r="AC8" s="166" t="s">
        <v>3041</v>
      </c>
      <c r="AD8" s="166" t="s">
        <v>2348</v>
      </c>
      <c r="AE8" s="166" t="s">
        <v>3057</v>
      </c>
      <c r="AF8" s="166" t="s">
        <v>2349</v>
      </c>
      <c r="AG8" s="166" t="s">
        <v>4378</v>
      </c>
      <c r="AH8" s="166" t="s">
        <v>4379</v>
      </c>
      <c r="AI8" s="166" t="s">
        <v>4380</v>
      </c>
      <c r="AJ8" s="166" t="s">
        <v>4381</v>
      </c>
      <c r="AK8" s="166" t="s">
        <v>4383</v>
      </c>
      <c r="AL8" s="166" t="s">
        <v>4384</v>
      </c>
      <c r="AM8" s="166" t="s">
        <v>2343</v>
      </c>
      <c r="AN8" s="166" t="s">
        <v>3058</v>
      </c>
      <c r="AO8" s="166" t="s">
        <v>3059</v>
      </c>
      <c r="AP8" s="108" t="s">
        <v>2350</v>
      </c>
      <c r="AQ8" s="166" t="s">
        <v>2344</v>
      </c>
      <c r="AR8" s="166" t="s">
        <v>2345</v>
      </c>
      <c r="AS8" s="108" t="s">
        <v>3043</v>
      </c>
      <c r="AT8" s="166" t="s">
        <v>2485</v>
      </c>
      <c r="AU8" s="166" t="s">
        <v>2486</v>
      </c>
      <c r="AV8" s="166" t="s">
        <v>2487</v>
      </c>
      <c r="AW8" s="166" t="s">
        <v>2488</v>
      </c>
      <c r="AX8" s="166" t="s">
        <v>2489</v>
      </c>
      <c r="AY8" s="166" t="s">
        <v>2490</v>
      </c>
      <c r="AZ8" s="166" t="s">
        <v>2492</v>
      </c>
      <c r="BA8" s="166" t="s">
        <v>2491</v>
      </c>
      <c r="BB8" s="167" t="s">
        <v>2464</v>
      </c>
      <c r="BC8" s="260" t="s">
        <v>3044</v>
      </c>
      <c r="BD8" s="108" t="s">
        <v>3045</v>
      </c>
      <c r="BE8" s="108" t="s">
        <v>3046</v>
      </c>
      <c r="BF8" s="166" t="s">
        <v>2497</v>
      </c>
      <c r="BG8" s="166" t="s">
        <v>2498</v>
      </c>
      <c r="BH8" s="166" t="s">
        <v>2500</v>
      </c>
      <c r="BI8" s="166" t="s">
        <v>2259</v>
      </c>
      <c r="BJ8" s="221" t="s">
        <v>2969</v>
      </c>
      <c r="BK8" s="168" t="s">
        <v>2259</v>
      </c>
      <c r="BL8" s="221" t="s">
        <v>4387</v>
      </c>
      <c r="BM8" s="168" t="s">
        <v>2259</v>
      </c>
      <c r="BN8" s="168" t="s">
        <v>2259</v>
      </c>
      <c r="BP8" s="221" t="s">
        <v>3041</v>
      </c>
      <c r="BQ8" s="221" t="s">
        <v>4389</v>
      </c>
      <c r="BR8" s="221" t="s">
        <v>4394</v>
      </c>
      <c r="BS8" s="221" t="s">
        <v>4395</v>
      </c>
      <c r="BT8" s="474" t="s">
        <v>4414</v>
      </c>
      <c r="BU8" s="474" t="s">
        <v>2010</v>
      </c>
      <c r="BV8" s="474" t="s">
        <v>2247</v>
      </c>
      <c r="BW8" s="482"/>
      <c r="BX8" s="482"/>
    </row>
    <row r="9" spans="1:76" s="103" customFormat="1" ht="14.5">
      <c r="A9" s="100" t="s">
        <v>2502</v>
      </c>
      <c r="B9" s="91" t="str">
        <f t="shared" ref="B9:B72" si="0">LEFT(T9,3)</f>
        <v xml:space="preserve">CI </v>
      </c>
      <c r="C9" s="92" t="s">
        <v>463</v>
      </c>
      <c r="D9" s="448" t="s">
        <v>2269</v>
      </c>
      <c r="E9" s="449" t="s">
        <v>2022</v>
      </c>
      <c r="F9" s="467" t="s">
        <v>4759</v>
      </c>
      <c r="G9" s="384" t="s">
        <v>4669</v>
      </c>
      <c r="H9" s="470">
        <v>0.24</v>
      </c>
      <c r="I9" s="95" t="s">
        <v>962</v>
      </c>
      <c r="J9" s="95" t="s">
        <v>1166</v>
      </c>
      <c r="K9" s="469">
        <v>1400000</v>
      </c>
      <c r="L9" s="471">
        <v>0.10880129865562807</v>
      </c>
      <c r="M9" s="266">
        <v>1</v>
      </c>
      <c r="N9" s="267">
        <f t="shared" ref="N9:N72" si="1">100%-M9</f>
        <v>0</v>
      </c>
      <c r="O9" s="96">
        <f t="shared" ref="O9:O72" si="2">(K9*(100%-H9))+(K9*H9*(100%-L9))</f>
        <v>1363442.7636517091</v>
      </c>
      <c r="P9" s="96">
        <f t="shared" ref="P9:P72" si="3">(+K9*L9*M9*H9)</f>
        <v>36557.23634829103</v>
      </c>
      <c r="Q9" s="96">
        <f t="shared" ref="Q9:Q72" si="4">+K9*L9*N9*H9</f>
        <v>0</v>
      </c>
      <c r="R9" s="187" t="s">
        <v>2455</v>
      </c>
      <c r="S9" s="187" t="s">
        <v>3607</v>
      </c>
      <c r="T9" s="94" t="s">
        <v>2857</v>
      </c>
      <c r="U9" s="395">
        <f>COUNTIF(Aggregation_of_rev_to_allocate!$A$3:$A$137,$T9)</f>
        <v>1</v>
      </c>
      <c r="V9" s="100"/>
      <c r="W9" s="100">
        <v>79</v>
      </c>
      <c r="X9" s="109">
        <v>36557.235924332985</v>
      </c>
      <c r="Y9" s="109">
        <v>0</v>
      </c>
      <c r="Z9" s="110">
        <v>0.10880129739384817</v>
      </c>
      <c r="AA9" s="110">
        <v>1</v>
      </c>
      <c r="AB9" s="110">
        <v>0</v>
      </c>
      <c r="AC9" s="109">
        <f>IF(ISERROR((X9*SUMIF('Rev_for_allocation(Hard)'!$A$3:$A$249,$T9,'Rev_for_allocation(Hard)'!$I$3:$I$249)/SUMIF(Historic_capex_list!$T$9:$T$586,$T9,Historic_capex_list!$X$9:$X$586))=TRUE),0,X9*SUMIF('Rev_for_allocation(Hard)'!$A$3:$A$249,$T9,'Rev_for_allocation(Hard)'!$I$3:$I$249)/SUMIF(Historic_capex_list!$T$9:$T$586,$T9,Historic_capex_list!$X$9:$X$586))</f>
        <v>3.6018987172473674E-4</v>
      </c>
      <c r="AD9" s="109">
        <f t="shared" ref="AD9:AD72" si="5">+AC9+X9</f>
        <v>36557.236284522856</v>
      </c>
      <c r="AE9" s="109">
        <f t="shared" ref="AE9:AE72" si="6">IF(AD9&lt;0,+Q9+P9+AC9,+AD9)</f>
        <v>36557.236284522856</v>
      </c>
      <c r="AF9" s="109">
        <f t="shared" ref="AF9:AF72" si="7">+Y9+AD9</f>
        <v>36557.236284522856</v>
      </c>
      <c r="AG9" s="332" t="str">
        <f t="shared" ref="AG9:AG72" si="8">IF(AF9&lt;0,"Y","N")</f>
        <v>N</v>
      </c>
      <c r="AH9" s="332">
        <f t="shared" ref="AH9:AH72" si="9">SUMIFS($AF$9:$AF$506,$T$9:$T$506,$T9,$AG$9:$AG$506,"Y")</f>
        <v>0</v>
      </c>
      <c r="AI9" s="332">
        <f t="shared" ref="AI9:AI72" si="10">IF(AND(AH9&lt;0,AG9="N"),AH9*AF9/SUMIFS($AE$9:$AE$506,$T$9:$T$506,$T9,$AG$9:$AG$506,"N"),0)</f>
        <v>0</v>
      </c>
      <c r="AJ9" s="109">
        <f t="shared" ref="AJ9:AJ72" si="11">IF(AND(AI9&lt;0,AF9&gt;0),AI9+AF9,IF(AND(AI9=0,AF9&lt;0,COUNTIFS($T$9:$T$506,$T9,$AF$9:$AF$506,"&gt;0")&gt;0),0,+AF9))</f>
        <v>36557.236284522856</v>
      </c>
      <c r="AK9" s="109">
        <f t="shared" ref="AK9:AK72" si="12">IF(AJ9&lt;0,+AJ9,0)</f>
        <v>0</v>
      </c>
      <c r="AL9" s="109">
        <v>0</v>
      </c>
      <c r="AM9" s="111">
        <f t="shared" ref="AM9:AM72" si="13">AB9/(1-AB9)*10</f>
        <v>0</v>
      </c>
      <c r="AN9" s="111">
        <f t="shared" ref="AN9:AN72" si="14">IF(AM9=0,0,IF(AD9&lt;0,AM9-10,AM9-3))</f>
        <v>0</v>
      </c>
      <c r="AO9" s="111" t="str">
        <f t="shared" ref="AO9:AO72" si="15">IF(-AC9&gt;AE9,((AE9+Y9+AC9)/(AE9+Y9))*(AM9+10),"Use deduct 3yrs")</f>
        <v>Use deduct 3yrs</v>
      </c>
      <c r="AP9" s="111">
        <f t="shared" ref="AP9:AP72" si="16">IF(AO9&lt;=10,0,AN9)</f>
        <v>0</v>
      </c>
      <c r="AQ9" s="112">
        <f t="shared" ref="AQ9:AQ72" si="17">IF(AN9&lt;=0,0,(AP9/(AP9+10)))</f>
        <v>0</v>
      </c>
      <c r="AR9" s="112">
        <f t="shared" ref="AR9:AR72" si="18">IF(O9=0,1,1-AQ9)</f>
        <v>1</v>
      </c>
      <c r="AS9" s="113">
        <f t="shared" ref="AS9:AS72" si="19">ROUND(IF(+$AS$7+AP9&lt;+$AS$7,+$AS$7,+$AS$7+AP9),0)</f>
        <v>2028</v>
      </c>
      <c r="AT9" s="109">
        <v>36557.23634829103</v>
      </c>
      <c r="AU9" s="114">
        <v>1</v>
      </c>
      <c r="AV9" s="113">
        <v>2028</v>
      </c>
      <c r="AW9" s="112">
        <f t="shared" ref="AW9:AW72" si="20">IF(ISERR($AT9/($K9*$H9)),0,($AT9/($K9*$H9)))</f>
        <v>0.10880129865562807</v>
      </c>
      <c r="AX9" s="109">
        <f t="shared" ref="AX9:AX72" si="21">$K9*$AW9*$AU9*$H9</f>
        <v>36557.23634829103</v>
      </c>
      <c r="AY9" s="109">
        <f t="shared" ref="AY9:AY72" si="22">$K9*$AW9*(1-$AU9)*$H9</f>
        <v>0</v>
      </c>
      <c r="AZ9" s="109">
        <f t="shared" ref="AZ9:AZ72" si="23">IF(K9&lt;1,+AF9,+AY9+AX9)</f>
        <v>36557.23634829103</v>
      </c>
      <c r="BA9" s="111">
        <f t="shared" ref="BA9:BA72" si="24">+AZ9-AT9</f>
        <v>0</v>
      </c>
      <c r="BB9" s="117"/>
      <c r="BC9" s="115" t="str">
        <f t="shared" ref="BC9:BC72" si="25">IF(P9&lt;=BC$7,"Y","N")</f>
        <v>N</v>
      </c>
      <c r="BD9" s="115" t="str">
        <f t="shared" ref="BD9:BD72" si="26">IF(Q9&lt;=BD$7,"Y","N")</f>
        <v>Y</v>
      </c>
      <c r="BE9" s="115" t="str">
        <f t="shared" ref="BE9:BE72" si="27">IF(AND(BC9="Y",Q9=0),"Y","N")</f>
        <v>N</v>
      </c>
      <c r="BF9" s="109" t="str">
        <f t="shared" ref="BF9:BF72" si="28">IF(BE9="Y",+P9,"")</f>
        <v/>
      </c>
      <c r="BG9" s="111" t="s">
        <v>2499</v>
      </c>
      <c r="BH9" s="115" t="s">
        <v>1168</v>
      </c>
      <c r="BI9" s="116"/>
      <c r="BJ9" s="222">
        <v>0.10880129865562807</v>
      </c>
      <c r="BK9" s="265">
        <f t="shared" ref="BK9:BK72" si="29">+AY9-Q9</f>
        <v>0</v>
      </c>
      <c r="BL9" s="265">
        <f t="shared" ref="BL9:BL72" si="30">+Q9-AY9</f>
        <v>0</v>
      </c>
      <c r="BM9" s="265">
        <f t="shared" ref="BM9:BM72" si="31">+K9-O9-P9-Q9</f>
        <v>-1.0186340659856796E-10</v>
      </c>
      <c r="BN9" s="265">
        <f t="shared" ref="BN9:BN72" si="32">+X9-P9</f>
        <v>-4.2395804484840482E-4</v>
      </c>
      <c r="BO9" s="109"/>
      <c r="BP9" s="265">
        <f t="shared" ref="BP9:BP72" si="33">+X9+Y9-AT9</f>
        <v>-4.2395804484840482E-4</v>
      </c>
      <c r="BQ9" s="265">
        <v>-4.2395804484840482E-4</v>
      </c>
      <c r="BR9" s="265" t="e">
        <f t="shared" ref="BR9:BR72" si="34">+BQ9*$BR$7</f>
        <v>#REF!</v>
      </c>
      <c r="BS9" s="265">
        <v>-4.776278955195258E-5</v>
      </c>
      <c r="BT9" s="475">
        <v>299442.76365170896</v>
      </c>
      <c r="BU9" s="475">
        <v>36557.23634829103</v>
      </c>
      <c r="BV9" s="475">
        <v>0</v>
      </c>
      <c r="BW9" s="483">
        <f t="shared" ref="BW9:BW72" si="35">P9-BU9</f>
        <v>0</v>
      </c>
      <c r="BX9" s="483">
        <f t="shared" ref="BX9:BX72" si="36">Q9-BV9</f>
        <v>0</v>
      </c>
    </row>
    <row r="10" spans="1:76" s="103" customFormat="1" ht="29">
      <c r="A10" s="100" t="s">
        <v>2502</v>
      </c>
      <c r="B10" s="91" t="str">
        <f t="shared" si="0"/>
        <v xml:space="preserve">CI </v>
      </c>
      <c r="C10" s="92" t="s">
        <v>463</v>
      </c>
      <c r="D10" s="448" t="s">
        <v>2269</v>
      </c>
      <c r="E10" s="449">
        <v>295234</v>
      </c>
      <c r="F10" s="467" t="s">
        <v>4778</v>
      </c>
      <c r="G10" s="502" t="s">
        <v>5234</v>
      </c>
      <c r="H10" s="398">
        <v>1</v>
      </c>
      <c r="I10" s="95" t="s">
        <v>962</v>
      </c>
      <c r="J10" s="95" t="s">
        <v>1166</v>
      </c>
      <c r="K10" s="191">
        <v>3640970</v>
      </c>
      <c r="L10" s="268">
        <v>0.79959491692116569</v>
      </c>
      <c r="M10" s="266">
        <v>0.91331269349845201</v>
      </c>
      <c r="N10" s="267">
        <f t="shared" si="1"/>
        <v>8.6687306501547989E-2</v>
      </c>
      <c r="O10" s="96">
        <f t="shared" si="2"/>
        <v>729668.89533754333</v>
      </c>
      <c r="P10" s="96">
        <f t="shared" si="3"/>
        <v>2658928.2534842868</v>
      </c>
      <c r="Q10" s="96">
        <f t="shared" si="4"/>
        <v>252372.8511781696</v>
      </c>
      <c r="R10" s="187" t="s">
        <v>2455</v>
      </c>
      <c r="S10" s="187" t="s">
        <v>3607</v>
      </c>
      <c r="T10" s="94" t="s">
        <v>2857</v>
      </c>
      <c r="U10" s="395">
        <f>COUNTIF(Aggregation_of_rev_to_allocate!$A$3:$A$137,$T10)</f>
        <v>1</v>
      </c>
      <c r="V10" s="100"/>
      <c r="W10" s="100">
        <v>80</v>
      </c>
      <c r="X10" s="109">
        <v>2087080.9689798711</v>
      </c>
      <c r="Y10" s="109">
        <v>824220.11147849145</v>
      </c>
      <c r="Z10" s="110">
        <v>0.79959491027346086</v>
      </c>
      <c r="AA10" s="110">
        <v>0.71688942891859053</v>
      </c>
      <c r="AB10" s="110">
        <v>0.28311057108140947</v>
      </c>
      <c r="AC10" s="109">
        <f>IF(ISERROR((X10*SUMIF('Rev_for_allocation(Hard)'!$A$3:$A$249,$T10,'Rev_for_allocation(Hard)'!$I$3:$I$249)/SUMIF(Historic_capex_list!$T$9:$T$586,$T10,Historic_capex_list!$X$9:$X$586))=TRUE),0,X10*SUMIF('Rev_for_allocation(Hard)'!$A$3:$A$249,$T10,'Rev_for_allocation(Hard)'!$I$3:$I$249)/SUMIF(Historic_capex_list!$T$9:$T$586,$T10,Historic_capex_list!$X$9:$X$586))</f>
        <v>2.0563519300309772E-2</v>
      </c>
      <c r="AD10" s="109">
        <f t="shared" si="5"/>
        <v>2087080.9895433905</v>
      </c>
      <c r="AE10" s="109">
        <f t="shared" si="6"/>
        <v>2087080.9895433905</v>
      </c>
      <c r="AF10" s="109">
        <f t="shared" si="7"/>
        <v>2911301.1010218821</v>
      </c>
      <c r="AG10" s="332" t="str">
        <f t="shared" si="8"/>
        <v>N</v>
      </c>
      <c r="AH10" s="332">
        <f t="shared" si="9"/>
        <v>0</v>
      </c>
      <c r="AI10" s="332">
        <f t="shared" si="10"/>
        <v>0</v>
      </c>
      <c r="AJ10" s="109">
        <f t="shared" si="11"/>
        <v>2911301.1010218821</v>
      </c>
      <c r="AK10" s="109">
        <f t="shared" si="12"/>
        <v>0</v>
      </c>
      <c r="AL10" s="109">
        <v>0</v>
      </c>
      <c r="AM10" s="111">
        <f t="shared" si="13"/>
        <v>3.9491525423728815</v>
      </c>
      <c r="AN10" s="111">
        <f t="shared" si="14"/>
        <v>0.94915254237288149</v>
      </c>
      <c r="AO10" s="111" t="str">
        <f t="shared" si="15"/>
        <v>Use deduct 3yrs</v>
      </c>
      <c r="AP10" s="111">
        <f t="shared" si="16"/>
        <v>0.94915254237288149</v>
      </c>
      <c r="AQ10" s="112">
        <f t="shared" si="17"/>
        <v>8.6687306501547989E-2</v>
      </c>
      <c r="AR10" s="112">
        <f t="shared" si="18"/>
        <v>0.91331269349845201</v>
      </c>
      <c r="AS10" s="113">
        <f t="shared" si="19"/>
        <v>2029</v>
      </c>
      <c r="AT10" s="109">
        <v>2911301.1046624565</v>
      </c>
      <c r="AU10" s="114">
        <v>0.91331269349845201</v>
      </c>
      <c r="AV10" s="113">
        <v>2029</v>
      </c>
      <c r="AW10" s="112">
        <f t="shared" si="20"/>
        <v>0.79959491692116569</v>
      </c>
      <c r="AX10" s="109">
        <f t="shared" si="21"/>
        <v>2658928.2534842868</v>
      </c>
      <c r="AY10" s="109">
        <f t="shared" si="22"/>
        <v>252372.8511781696</v>
      </c>
      <c r="AZ10" s="109">
        <f t="shared" si="23"/>
        <v>2911301.1046624565</v>
      </c>
      <c r="BA10" s="111">
        <f t="shared" si="24"/>
        <v>0</v>
      </c>
      <c r="BB10" s="117"/>
      <c r="BC10" s="115" t="str">
        <f t="shared" si="25"/>
        <v>N</v>
      </c>
      <c r="BD10" s="115" t="str">
        <f t="shared" si="26"/>
        <v>N</v>
      </c>
      <c r="BE10" s="115" t="str">
        <f t="shared" si="27"/>
        <v>N</v>
      </c>
      <c r="BF10" s="109" t="str">
        <f t="shared" si="28"/>
        <v/>
      </c>
      <c r="BG10" s="111" t="s">
        <v>2499</v>
      </c>
      <c r="BH10" s="115" t="s">
        <v>1168</v>
      </c>
      <c r="BI10" s="116"/>
      <c r="BJ10" s="222">
        <v>0.79959491692116569</v>
      </c>
      <c r="BK10" s="265">
        <f t="shared" si="29"/>
        <v>0</v>
      </c>
      <c r="BL10" s="265">
        <f t="shared" si="30"/>
        <v>0</v>
      </c>
      <c r="BM10" s="265">
        <f t="shared" si="31"/>
        <v>0</v>
      </c>
      <c r="BN10" s="265">
        <f t="shared" si="32"/>
        <v>-571847.2845044157</v>
      </c>
      <c r="BO10" s="109"/>
      <c r="BP10" s="265">
        <f t="shared" si="33"/>
        <v>-2.4204093962907791E-2</v>
      </c>
      <c r="BQ10" s="265">
        <v>-2.4204093962907791E-2</v>
      </c>
      <c r="BR10" s="265" t="e">
        <f t="shared" si="34"/>
        <v>#REF!</v>
      </c>
      <c r="BS10" s="265">
        <v>-2.7268147409714154E-3</v>
      </c>
      <c r="BT10" s="475">
        <v>729668.89533754333</v>
      </c>
      <c r="BU10" s="475">
        <v>2658928.2534842868</v>
      </c>
      <c r="BV10" s="475">
        <v>252372.8511781696</v>
      </c>
      <c r="BW10" s="483">
        <f t="shared" si="35"/>
        <v>0</v>
      </c>
      <c r="BX10" s="483">
        <f t="shared" si="36"/>
        <v>0</v>
      </c>
    </row>
    <row r="11" spans="1:76" s="103" customFormat="1" ht="29">
      <c r="A11" s="100" t="s">
        <v>2502</v>
      </c>
      <c r="B11" s="91" t="str">
        <f t="shared" si="0"/>
        <v xml:space="preserve">CI </v>
      </c>
      <c r="C11" s="92" t="s">
        <v>463</v>
      </c>
      <c r="D11" s="448" t="s">
        <v>2269</v>
      </c>
      <c r="E11" s="449" t="s">
        <v>2244</v>
      </c>
      <c r="F11" s="467" t="s">
        <v>2245</v>
      </c>
      <c r="G11" s="467" t="s">
        <v>5005</v>
      </c>
      <c r="H11" s="398">
        <v>1</v>
      </c>
      <c r="I11" s="95" t="s">
        <v>890</v>
      </c>
      <c r="J11" s="95" t="s">
        <v>1166</v>
      </c>
      <c r="K11" s="191">
        <v>220000</v>
      </c>
      <c r="L11" s="268">
        <v>0.56482240831265096</v>
      </c>
      <c r="M11" s="266">
        <v>1</v>
      </c>
      <c r="N11" s="267">
        <f t="shared" si="1"/>
        <v>0</v>
      </c>
      <c r="O11" s="96">
        <f t="shared" si="2"/>
        <v>95739.070171216794</v>
      </c>
      <c r="P11" s="96">
        <f t="shared" si="3"/>
        <v>124260.92982878321</v>
      </c>
      <c r="Q11" s="96">
        <f t="shared" si="4"/>
        <v>0</v>
      </c>
      <c r="R11" s="187" t="s">
        <v>2268</v>
      </c>
      <c r="S11" s="187" t="s">
        <v>3608</v>
      </c>
      <c r="T11" s="94" t="s">
        <v>2842</v>
      </c>
      <c r="U11" s="395">
        <f>COUNTIF(Aggregation_of_rev_to_allocate!$A$3:$A$137,$T11)</f>
        <v>1</v>
      </c>
      <c r="V11" s="100"/>
      <c r="W11" s="100">
        <v>1</v>
      </c>
      <c r="X11" s="109">
        <v>137615.47138655317</v>
      </c>
      <c r="Y11" s="109">
        <v>0</v>
      </c>
      <c r="Z11" s="110">
        <v>0.62552486993887801</v>
      </c>
      <c r="AA11" s="110">
        <v>1</v>
      </c>
      <c r="AB11" s="110">
        <v>0</v>
      </c>
      <c r="AC11" s="109">
        <f>IF(ISERROR((X11*SUMIF('Rev_for_allocation(Hard)'!$A$3:$A$249,$T11,'Rev_for_allocation(Hard)'!$I$3:$I$249)/SUMIF(Historic_capex_list!$T$9:$T$586,$T11,Historic_capex_list!$X$9:$X$586))=TRUE),0,X11*SUMIF('Rev_for_allocation(Hard)'!$A$3:$A$249,$T11,'Rev_for_allocation(Hard)'!$I$3:$I$249)/SUMIF(Historic_capex_list!$T$9:$T$586,$T11,Historic_capex_list!$X$9:$X$586))</f>
        <v>-10612.029036961998</v>
      </c>
      <c r="AD11" s="109">
        <f t="shared" si="5"/>
        <v>127003.44234959118</v>
      </c>
      <c r="AE11" s="109">
        <f t="shared" si="6"/>
        <v>127003.44234959118</v>
      </c>
      <c r="AF11" s="109">
        <f t="shared" si="7"/>
        <v>127003.44234959118</v>
      </c>
      <c r="AG11" s="332" t="str">
        <f t="shared" si="8"/>
        <v>N</v>
      </c>
      <c r="AH11" s="332">
        <f t="shared" si="9"/>
        <v>0</v>
      </c>
      <c r="AI11" s="332">
        <f t="shared" si="10"/>
        <v>0</v>
      </c>
      <c r="AJ11" s="109">
        <f t="shared" si="11"/>
        <v>127003.44234959118</v>
      </c>
      <c r="AK11" s="109">
        <f t="shared" si="12"/>
        <v>0</v>
      </c>
      <c r="AL11" s="109">
        <v>0</v>
      </c>
      <c r="AM11" s="111">
        <f t="shared" si="13"/>
        <v>0</v>
      </c>
      <c r="AN11" s="111">
        <f t="shared" si="14"/>
        <v>0</v>
      </c>
      <c r="AO11" s="111" t="str">
        <f t="shared" si="15"/>
        <v>Use deduct 3yrs</v>
      </c>
      <c r="AP11" s="111">
        <f t="shared" si="16"/>
        <v>0</v>
      </c>
      <c r="AQ11" s="112">
        <f t="shared" si="17"/>
        <v>0</v>
      </c>
      <c r="AR11" s="112">
        <f t="shared" si="18"/>
        <v>1</v>
      </c>
      <c r="AS11" s="113">
        <f t="shared" si="19"/>
        <v>2028</v>
      </c>
      <c r="AT11" s="109">
        <v>124260.92982878321</v>
      </c>
      <c r="AU11" s="114">
        <v>1</v>
      </c>
      <c r="AV11" s="113">
        <v>2028</v>
      </c>
      <c r="AW11" s="112">
        <f t="shared" si="20"/>
        <v>0.56482240831265096</v>
      </c>
      <c r="AX11" s="109">
        <f t="shared" si="21"/>
        <v>124260.92982878321</v>
      </c>
      <c r="AY11" s="109">
        <f t="shared" si="22"/>
        <v>0</v>
      </c>
      <c r="AZ11" s="109">
        <f t="shared" si="23"/>
        <v>124260.92982878321</v>
      </c>
      <c r="BA11" s="111">
        <f t="shared" si="24"/>
        <v>0</v>
      </c>
      <c r="BB11" s="117"/>
      <c r="BC11" s="115" t="str">
        <f t="shared" si="25"/>
        <v>N</v>
      </c>
      <c r="BD11" s="115" t="str">
        <f t="shared" si="26"/>
        <v>Y</v>
      </c>
      <c r="BE11" s="115" t="str">
        <f t="shared" si="27"/>
        <v>N</v>
      </c>
      <c r="BF11" s="109" t="str">
        <f t="shared" si="28"/>
        <v/>
      </c>
      <c r="BG11" s="111" t="s">
        <v>2499</v>
      </c>
      <c r="BH11" s="115" t="s">
        <v>1168</v>
      </c>
      <c r="BI11" s="116"/>
      <c r="BJ11" s="222">
        <v>0.56482240831265096</v>
      </c>
      <c r="BK11" s="265">
        <f t="shared" si="29"/>
        <v>0</v>
      </c>
      <c r="BL11" s="265">
        <f t="shared" si="30"/>
        <v>0</v>
      </c>
      <c r="BM11" s="265">
        <f t="shared" si="31"/>
        <v>0</v>
      </c>
      <c r="BN11" s="265">
        <f t="shared" si="32"/>
        <v>13354.54155776996</v>
      </c>
      <c r="BO11" s="109"/>
      <c r="BP11" s="265">
        <f t="shared" si="33"/>
        <v>13354.54155776996</v>
      </c>
      <c r="BQ11" s="265">
        <v>13354.54155776996</v>
      </c>
      <c r="BR11" s="265" t="e">
        <f t="shared" si="34"/>
        <v>#REF!</v>
      </c>
      <c r="BS11" s="265">
        <v>1504.5124529118168</v>
      </c>
      <c r="BT11" s="475">
        <v>95739.070171216794</v>
      </c>
      <c r="BU11" s="475">
        <v>124260.92982878321</v>
      </c>
      <c r="BV11" s="475">
        <v>0</v>
      </c>
      <c r="BW11" s="483">
        <f t="shared" si="35"/>
        <v>0</v>
      </c>
      <c r="BX11" s="483">
        <f t="shared" si="36"/>
        <v>0</v>
      </c>
    </row>
    <row r="12" spans="1:76" s="103" customFormat="1" ht="29">
      <c r="A12" s="100" t="s">
        <v>2506</v>
      </c>
      <c r="B12" s="91" t="str">
        <f t="shared" si="0"/>
        <v xml:space="preserve">CI </v>
      </c>
      <c r="C12" s="92" t="s">
        <v>464</v>
      </c>
      <c r="D12" s="448" t="s">
        <v>2269</v>
      </c>
      <c r="E12" s="449" t="s">
        <v>2216</v>
      </c>
      <c r="F12" s="467" t="s">
        <v>4494</v>
      </c>
      <c r="G12" s="467" t="s">
        <v>4951</v>
      </c>
      <c r="H12" s="398">
        <v>0.188</v>
      </c>
      <c r="I12" s="95" t="s">
        <v>890</v>
      </c>
      <c r="J12" s="95" t="s">
        <v>1166</v>
      </c>
      <c r="K12" s="191">
        <v>110394899</v>
      </c>
      <c r="L12" s="268">
        <v>0.86607462575873817</v>
      </c>
      <c r="M12" s="266">
        <v>0.41147132169576073</v>
      </c>
      <c r="N12" s="267">
        <f t="shared" si="1"/>
        <v>0.58852867830423927</v>
      </c>
      <c r="O12" s="96">
        <f t="shared" si="2"/>
        <v>92420177.482625455</v>
      </c>
      <c r="P12" s="96">
        <f t="shared" si="3"/>
        <v>7396082.4198673386</v>
      </c>
      <c r="Q12" s="96">
        <f t="shared" si="4"/>
        <v>10578639.097507218</v>
      </c>
      <c r="R12" s="187" t="s">
        <v>2268</v>
      </c>
      <c r="S12" s="187" t="s">
        <v>3608</v>
      </c>
      <c r="T12" s="94" t="s">
        <v>2842</v>
      </c>
      <c r="U12" s="395">
        <f>COUNTIF(Aggregation_of_rev_to_allocate!$A$3:$A$137,$T12)</f>
        <v>1</v>
      </c>
      <c r="V12" s="100"/>
      <c r="W12" s="100">
        <v>2</v>
      </c>
      <c r="X12" s="109">
        <v>6826032.1842159145</v>
      </c>
      <c r="Y12" s="109">
        <v>11811104.173294803</v>
      </c>
      <c r="Z12" s="110">
        <v>0.89799170910344617</v>
      </c>
      <c r="AA12" s="110">
        <v>0.36625971143174263</v>
      </c>
      <c r="AB12" s="110">
        <v>0.63374028856825737</v>
      </c>
      <c r="AC12" s="109">
        <f>IF(ISERROR((X12*SUMIF('Rev_for_allocation(Hard)'!$A$3:$A$249,$T12,'Rev_for_allocation(Hard)'!$I$3:$I$249)/SUMIF(Historic_capex_list!$T$9:$T$586,$T12,Historic_capex_list!$X$9:$X$586))=TRUE),0,X12*SUMIF('Rev_for_allocation(Hard)'!$A$3:$A$249,$T12,'Rev_for_allocation(Hard)'!$I$3:$I$249)/SUMIF(Historic_capex_list!$T$9:$T$586,$T12,Historic_capex_list!$X$9:$X$586))</f>
        <v>-526380.1447343264</v>
      </c>
      <c r="AD12" s="109">
        <f t="shared" si="5"/>
        <v>6299652.0394815877</v>
      </c>
      <c r="AE12" s="109">
        <f t="shared" si="6"/>
        <v>6299652.0394815877</v>
      </c>
      <c r="AF12" s="109">
        <f t="shared" si="7"/>
        <v>18110756.212776393</v>
      </c>
      <c r="AG12" s="332" t="str">
        <f t="shared" si="8"/>
        <v>N</v>
      </c>
      <c r="AH12" s="332">
        <f t="shared" si="9"/>
        <v>0</v>
      </c>
      <c r="AI12" s="332">
        <f t="shared" si="10"/>
        <v>0</v>
      </c>
      <c r="AJ12" s="109">
        <f t="shared" si="11"/>
        <v>18110756.212776393</v>
      </c>
      <c r="AK12" s="109">
        <f t="shared" si="12"/>
        <v>0</v>
      </c>
      <c r="AL12" s="109">
        <v>0</v>
      </c>
      <c r="AM12" s="111">
        <f t="shared" si="13"/>
        <v>17.303030303030294</v>
      </c>
      <c r="AN12" s="111">
        <f t="shared" si="14"/>
        <v>14.303030303030294</v>
      </c>
      <c r="AO12" s="111" t="str">
        <f t="shared" si="15"/>
        <v>Use deduct 3yrs</v>
      </c>
      <c r="AP12" s="111">
        <f t="shared" si="16"/>
        <v>14.303030303030294</v>
      </c>
      <c r="AQ12" s="112">
        <f t="shared" si="17"/>
        <v>0.58852867830423927</v>
      </c>
      <c r="AR12" s="112">
        <f t="shared" si="18"/>
        <v>0.41147132169576073</v>
      </c>
      <c r="AS12" s="113">
        <f t="shared" si="19"/>
        <v>2042</v>
      </c>
      <c r="AT12" s="109">
        <v>17974721.517374553</v>
      </c>
      <c r="AU12" s="114">
        <v>0.41147132169576073</v>
      </c>
      <c r="AV12" s="113">
        <v>2042</v>
      </c>
      <c r="AW12" s="112">
        <f t="shared" si="20"/>
        <v>0.86607462575873817</v>
      </c>
      <c r="AX12" s="109">
        <f t="shared" si="21"/>
        <v>7396082.4198673386</v>
      </c>
      <c r="AY12" s="109">
        <f t="shared" si="22"/>
        <v>10578639.097507218</v>
      </c>
      <c r="AZ12" s="109">
        <f t="shared" si="23"/>
        <v>17974721.517374557</v>
      </c>
      <c r="BA12" s="111">
        <f t="shared" si="24"/>
        <v>0</v>
      </c>
      <c r="BB12" s="117"/>
      <c r="BC12" s="115" t="str">
        <f t="shared" si="25"/>
        <v>N</v>
      </c>
      <c r="BD12" s="115" t="str">
        <f t="shared" si="26"/>
        <v>N</v>
      </c>
      <c r="BE12" s="115" t="str">
        <f t="shared" si="27"/>
        <v>N</v>
      </c>
      <c r="BF12" s="109" t="str">
        <f t="shared" si="28"/>
        <v/>
      </c>
      <c r="BG12" s="111" t="s">
        <v>2499</v>
      </c>
      <c r="BH12" s="115" t="s">
        <v>1168</v>
      </c>
      <c r="BI12" s="116"/>
      <c r="BJ12" s="222">
        <v>0.86607462575873817</v>
      </c>
      <c r="BK12" s="265">
        <f t="shared" si="29"/>
        <v>0</v>
      </c>
      <c r="BL12" s="265">
        <f t="shared" si="30"/>
        <v>0</v>
      </c>
      <c r="BM12" s="265">
        <f t="shared" si="31"/>
        <v>0</v>
      </c>
      <c r="BN12" s="265">
        <f t="shared" si="32"/>
        <v>-570050.23565142415</v>
      </c>
      <c r="BO12" s="109"/>
      <c r="BP12" s="265">
        <f t="shared" si="33"/>
        <v>662414.84013616294</v>
      </c>
      <c r="BQ12" s="265">
        <v>662414.84013616294</v>
      </c>
      <c r="BR12" s="265" t="e">
        <f t="shared" si="34"/>
        <v>#REF!</v>
      </c>
      <c r="BS12" s="265">
        <v>74627.149997417742</v>
      </c>
      <c r="BT12" s="475">
        <v>92420177.482625455</v>
      </c>
      <c r="BU12" s="475">
        <v>7396082.4198673386</v>
      </c>
      <c r="BV12" s="475">
        <v>10578639.097507218</v>
      </c>
      <c r="BW12" s="483">
        <f t="shared" si="35"/>
        <v>0</v>
      </c>
      <c r="BX12" s="483">
        <f t="shared" si="36"/>
        <v>0</v>
      </c>
    </row>
    <row r="13" spans="1:76" s="103" customFormat="1" ht="29">
      <c r="A13" s="100" t="s">
        <v>2507</v>
      </c>
      <c r="B13" s="91" t="str">
        <f t="shared" si="0"/>
        <v xml:space="preserve">CI </v>
      </c>
      <c r="C13" s="92" t="s">
        <v>464</v>
      </c>
      <c r="D13" s="448" t="s">
        <v>2269</v>
      </c>
      <c r="E13" s="449" t="s">
        <v>2233</v>
      </c>
      <c r="F13" s="467" t="s">
        <v>2917</v>
      </c>
      <c r="G13" s="467" t="s">
        <v>4952</v>
      </c>
      <c r="H13" s="398">
        <v>0.2</v>
      </c>
      <c r="I13" s="95" t="s">
        <v>890</v>
      </c>
      <c r="J13" s="95" t="s">
        <v>1166</v>
      </c>
      <c r="K13" s="191">
        <v>2461925</v>
      </c>
      <c r="L13" s="268">
        <v>0.63316439869994179</v>
      </c>
      <c r="M13" s="266">
        <v>1</v>
      </c>
      <c r="N13" s="267">
        <f t="shared" si="1"/>
        <v>0</v>
      </c>
      <c r="O13" s="96">
        <f t="shared" si="2"/>
        <v>2150164.347546129</v>
      </c>
      <c r="P13" s="96">
        <f t="shared" si="3"/>
        <v>311760.65245387086</v>
      </c>
      <c r="Q13" s="96">
        <f t="shared" si="4"/>
        <v>0</v>
      </c>
      <c r="R13" s="187" t="s">
        <v>2268</v>
      </c>
      <c r="S13" s="187" t="s">
        <v>3608</v>
      </c>
      <c r="T13" s="94" t="s">
        <v>2842</v>
      </c>
      <c r="U13" s="395">
        <f>COUNTIF(Aggregation_of_rev_to_allocate!$A$3:$A$137,$T13)</f>
        <v>1</v>
      </c>
      <c r="V13" s="100"/>
      <c r="W13" s="100">
        <v>4</v>
      </c>
      <c r="X13" s="109">
        <v>345266.12030293164</v>
      </c>
      <c r="Y13" s="109">
        <v>0</v>
      </c>
      <c r="Z13" s="110">
        <v>0.701211694716394</v>
      </c>
      <c r="AA13" s="110">
        <v>1</v>
      </c>
      <c r="AB13" s="110">
        <v>0</v>
      </c>
      <c r="AC13" s="109">
        <f>IF(ISERROR((X13*SUMIF('Rev_for_allocation(Hard)'!$A$3:$A$249,$T13,'Rev_for_allocation(Hard)'!$I$3:$I$249)/SUMIF(Historic_capex_list!$T$9:$T$586,$T13,Historic_capex_list!$X$9:$X$586))=TRUE),0,X13*SUMIF('Rev_for_allocation(Hard)'!$A$3:$A$249,$T13,'Rev_for_allocation(Hard)'!$I$3:$I$249)/SUMIF(Historic_capex_list!$T$9:$T$586,$T13,Historic_capex_list!$X$9:$X$586))</f>
        <v>-26624.725092442935</v>
      </c>
      <c r="AD13" s="109">
        <f t="shared" si="5"/>
        <v>318641.3952104887</v>
      </c>
      <c r="AE13" s="109">
        <f t="shared" si="6"/>
        <v>318641.3952104887</v>
      </c>
      <c r="AF13" s="109">
        <f t="shared" si="7"/>
        <v>318641.3952104887</v>
      </c>
      <c r="AG13" s="332" t="str">
        <f t="shared" si="8"/>
        <v>N</v>
      </c>
      <c r="AH13" s="332">
        <f t="shared" si="9"/>
        <v>0</v>
      </c>
      <c r="AI13" s="332">
        <f t="shared" si="10"/>
        <v>0</v>
      </c>
      <c r="AJ13" s="109">
        <f t="shared" si="11"/>
        <v>318641.3952104887</v>
      </c>
      <c r="AK13" s="109">
        <f t="shared" si="12"/>
        <v>0</v>
      </c>
      <c r="AL13" s="109">
        <v>0</v>
      </c>
      <c r="AM13" s="111">
        <f t="shared" si="13"/>
        <v>0</v>
      </c>
      <c r="AN13" s="111">
        <f t="shared" si="14"/>
        <v>0</v>
      </c>
      <c r="AO13" s="111" t="str">
        <f t="shared" si="15"/>
        <v>Use deduct 3yrs</v>
      </c>
      <c r="AP13" s="111">
        <f t="shared" si="16"/>
        <v>0</v>
      </c>
      <c r="AQ13" s="112">
        <f t="shared" si="17"/>
        <v>0</v>
      </c>
      <c r="AR13" s="112">
        <f t="shared" si="18"/>
        <v>1</v>
      </c>
      <c r="AS13" s="113">
        <f t="shared" si="19"/>
        <v>2028</v>
      </c>
      <c r="AT13" s="109">
        <v>311760.65245387086</v>
      </c>
      <c r="AU13" s="114">
        <v>1</v>
      </c>
      <c r="AV13" s="113">
        <v>2028</v>
      </c>
      <c r="AW13" s="112">
        <f t="shared" si="20"/>
        <v>0.63316439869994179</v>
      </c>
      <c r="AX13" s="109">
        <f t="shared" si="21"/>
        <v>311760.65245387086</v>
      </c>
      <c r="AY13" s="109">
        <f t="shared" si="22"/>
        <v>0</v>
      </c>
      <c r="AZ13" s="109">
        <f t="shared" si="23"/>
        <v>311760.65245387086</v>
      </c>
      <c r="BA13" s="111">
        <f t="shared" si="24"/>
        <v>0</v>
      </c>
      <c r="BB13" s="117"/>
      <c r="BC13" s="115" t="str">
        <f t="shared" si="25"/>
        <v>N</v>
      </c>
      <c r="BD13" s="115" t="str">
        <f t="shared" si="26"/>
        <v>Y</v>
      </c>
      <c r="BE13" s="115" t="str">
        <f t="shared" si="27"/>
        <v>N</v>
      </c>
      <c r="BF13" s="109" t="str">
        <f t="shared" si="28"/>
        <v/>
      </c>
      <c r="BG13" s="111" t="s">
        <v>2499</v>
      </c>
      <c r="BH13" s="115" t="s">
        <v>1168</v>
      </c>
      <c r="BI13" s="116"/>
      <c r="BJ13" s="222">
        <v>0.63316439869994179</v>
      </c>
      <c r="BK13" s="265">
        <f t="shared" si="29"/>
        <v>0</v>
      </c>
      <c r="BL13" s="265">
        <f t="shared" si="30"/>
        <v>0</v>
      </c>
      <c r="BM13" s="265">
        <f t="shared" si="31"/>
        <v>1.1641532182693481E-10</v>
      </c>
      <c r="BN13" s="265">
        <f t="shared" si="32"/>
        <v>33505.467849060777</v>
      </c>
      <c r="BO13" s="109"/>
      <c r="BP13" s="265">
        <f t="shared" si="33"/>
        <v>33505.467849060777</v>
      </c>
      <c r="BQ13" s="265">
        <v>33505.467849060777</v>
      </c>
      <c r="BR13" s="265" t="e">
        <f t="shared" si="34"/>
        <v>#REF!</v>
      </c>
      <c r="BS13" s="265">
        <v>3774.7004194403944</v>
      </c>
      <c r="BT13" s="475">
        <v>2150164.347546129</v>
      </c>
      <c r="BU13" s="475">
        <v>311760.65245387086</v>
      </c>
      <c r="BV13" s="475">
        <v>0</v>
      </c>
      <c r="BW13" s="483">
        <f t="shared" si="35"/>
        <v>0</v>
      </c>
      <c r="BX13" s="483">
        <f t="shared" si="36"/>
        <v>0</v>
      </c>
    </row>
    <row r="14" spans="1:76" s="103" customFormat="1" ht="29">
      <c r="A14" s="100" t="s">
        <v>2502</v>
      </c>
      <c r="B14" s="91" t="str">
        <f t="shared" si="0"/>
        <v xml:space="preserve">CI </v>
      </c>
      <c r="C14" s="92" t="s">
        <v>463</v>
      </c>
      <c r="D14" s="448" t="s">
        <v>2269</v>
      </c>
      <c r="E14" s="449">
        <v>2130334</v>
      </c>
      <c r="F14" s="384" t="s">
        <v>4484</v>
      </c>
      <c r="G14" s="384" t="s">
        <v>4670</v>
      </c>
      <c r="H14" s="398">
        <v>0.24</v>
      </c>
      <c r="I14" s="95" t="s">
        <v>951</v>
      </c>
      <c r="J14" s="95" t="s">
        <v>1166</v>
      </c>
      <c r="K14" s="191">
        <v>681916.18</v>
      </c>
      <c r="L14" s="268">
        <v>0.19872448753249161</v>
      </c>
      <c r="M14" s="266">
        <v>1</v>
      </c>
      <c r="N14" s="267">
        <f t="shared" si="1"/>
        <v>0</v>
      </c>
      <c r="O14" s="96">
        <f t="shared" si="2"/>
        <v>649392.9535814526</v>
      </c>
      <c r="P14" s="96">
        <f t="shared" si="3"/>
        <v>32523.226418547431</v>
      </c>
      <c r="Q14" s="96">
        <f t="shared" si="4"/>
        <v>0</v>
      </c>
      <c r="R14" s="187" t="s">
        <v>2456</v>
      </c>
      <c r="S14" s="187" t="s">
        <v>3607</v>
      </c>
      <c r="T14" s="94" t="s">
        <v>2858</v>
      </c>
      <c r="U14" s="395">
        <f>COUNTIF(Aggregation_of_rev_to_allocate!$A$3:$A$137,$T14)</f>
        <v>1</v>
      </c>
      <c r="V14" s="100"/>
      <c r="W14" s="100">
        <v>127</v>
      </c>
      <c r="X14" s="109">
        <v>36700.571315315516</v>
      </c>
      <c r="Y14" s="109">
        <v>0</v>
      </c>
      <c r="Z14" s="110">
        <v>0.22424903768546448</v>
      </c>
      <c r="AA14" s="110">
        <v>1</v>
      </c>
      <c r="AB14" s="110">
        <v>0</v>
      </c>
      <c r="AC14" s="109">
        <f>IF(ISERROR((X14*SUMIF('Rev_for_allocation(Hard)'!$A$3:$A$249,$T14,'Rev_for_allocation(Hard)'!$I$3:$I$249)/SUMIF(Historic_capex_list!$T$9:$T$586,$T14,Historic_capex_list!$X$9:$X$586))=TRUE),0,X14*SUMIF('Rev_for_allocation(Hard)'!$A$3:$A$249,$T14,'Rev_for_allocation(Hard)'!$I$3:$I$249)/SUMIF(Historic_capex_list!$T$9:$T$586,$T14,Historic_capex_list!$X$9:$X$586))</f>
        <v>-4177.3448967680788</v>
      </c>
      <c r="AD14" s="109">
        <f t="shared" si="5"/>
        <v>32523.226418547438</v>
      </c>
      <c r="AE14" s="109">
        <f t="shared" si="6"/>
        <v>32523.226418547438</v>
      </c>
      <c r="AF14" s="109">
        <f t="shared" si="7"/>
        <v>32523.226418547438</v>
      </c>
      <c r="AG14" s="332" t="str">
        <f t="shared" si="8"/>
        <v>N</v>
      </c>
      <c r="AH14" s="332">
        <f t="shared" si="9"/>
        <v>0</v>
      </c>
      <c r="AI14" s="332">
        <f t="shared" si="10"/>
        <v>0</v>
      </c>
      <c r="AJ14" s="109">
        <f t="shared" si="11"/>
        <v>32523.226418547438</v>
      </c>
      <c r="AK14" s="109">
        <f t="shared" si="12"/>
        <v>0</v>
      </c>
      <c r="AL14" s="109">
        <v>0</v>
      </c>
      <c r="AM14" s="111">
        <f t="shared" si="13"/>
        <v>0</v>
      </c>
      <c r="AN14" s="111">
        <f t="shared" si="14"/>
        <v>0</v>
      </c>
      <c r="AO14" s="111" t="str">
        <f t="shared" si="15"/>
        <v>Use deduct 3yrs</v>
      </c>
      <c r="AP14" s="111">
        <f t="shared" si="16"/>
        <v>0</v>
      </c>
      <c r="AQ14" s="112">
        <f t="shared" si="17"/>
        <v>0</v>
      </c>
      <c r="AR14" s="112">
        <f t="shared" si="18"/>
        <v>1</v>
      </c>
      <c r="AS14" s="113">
        <f t="shared" si="19"/>
        <v>2028</v>
      </c>
      <c r="AT14" s="109">
        <v>32523.226418547438</v>
      </c>
      <c r="AU14" s="114">
        <v>1</v>
      </c>
      <c r="AV14" s="113">
        <v>2028</v>
      </c>
      <c r="AW14" s="112">
        <f t="shared" si="20"/>
        <v>0.19872448753249161</v>
      </c>
      <c r="AX14" s="109">
        <f t="shared" si="21"/>
        <v>32523.226418547431</v>
      </c>
      <c r="AY14" s="109">
        <f t="shared" si="22"/>
        <v>0</v>
      </c>
      <c r="AZ14" s="109">
        <f t="shared" si="23"/>
        <v>32523.226418547431</v>
      </c>
      <c r="BA14" s="111">
        <f t="shared" si="24"/>
        <v>0</v>
      </c>
      <c r="BB14" s="117"/>
      <c r="BC14" s="115" t="str">
        <f t="shared" si="25"/>
        <v>N</v>
      </c>
      <c r="BD14" s="115" t="str">
        <f t="shared" si="26"/>
        <v>Y</v>
      </c>
      <c r="BE14" s="115" t="str">
        <f t="shared" si="27"/>
        <v>N</v>
      </c>
      <c r="BF14" s="109" t="str">
        <f t="shared" si="28"/>
        <v/>
      </c>
      <c r="BG14" s="111" t="s">
        <v>2499</v>
      </c>
      <c r="BH14" s="115" t="s">
        <v>1168</v>
      </c>
      <c r="BI14" s="116"/>
      <c r="BJ14" s="222">
        <v>0.19872448753249161</v>
      </c>
      <c r="BK14" s="265">
        <f t="shared" si="29"/>
        <v>0</v>
      </c>
      <c r="BL14" s="265">
        <f t="shared" si="30"/>
        <v>0</v>
      </c>
      <c r="BM14" s="265">
        <f t="shared" si="31"/>
        <v>1.8189894035458565E-11</v>
      </c>
      <c r="BN14" s="265">
        <f t="shared" si="32"/>
        <v>4177.3448967680852</v>
      </c>
      <c r="BO14" s="109"/>
      <c r="BP14" s="265">
        <f t="shared" si="33"/>
        <v>4177.3448967680779</v>
      </c>
      <c r="BQ14" s="265">
        <v>4177.3448967680779</v>
      </c>
      <c r="BR14" s="265" t="e">
        <f t="shared" si="34"/>
        <v>#REF!</v>
      </c>
      <c r="BS14" s="265">
        <v>470.61648579306939</v>
      </c>
      <c r="BT14" s="475">
        <v>649392.9535814526</v>
      </c>
      <c r="BU14" s="475">
        <v>32523.226418547431</v>
      </c>
      <c r="BV14" s="475">
        <v>0</v>
      </c>
      <c r="BW14" s="483">
        <f t="shared" si="35"/>
        <v>0</v>
      </c>
      <c r="BX14" s="483">
        <f t="shared" si="36"/>
        <v>0</v>
      </c>
    </row>
    <row r="15" spans="1:76" s="103" customFormat="1" ht="29">
      <c r="A15" s="100" t="s">
        <v>2502</v>
      </c>
      <c r="B15" s="91" t="str">
        <f t="shared" si="0"/>
        <v xml:space="preserve">CI </v>
      </c>
      <c r="C15" s="92" t="s">
        <v>463</v>
      </c>
      <c r="D15" s="448" t="s">
        <v>2269</v>
      </c>
      <c r="E15" s="453">
        <v>40768</v>
      </c>
      <c r="F15" s="467" t="s">
        <v>4920</v>
      </c>
      <c r="G15" s="502" t="s">
        <v>5235</v>
      </c>
      <c r="H15" s="398">
        <v>1</v>
      </c>
      <c r="I15" s="95" t="s">
        <v>952</v>
      </c>
      <c r="J15" s="95" t="s">
        <v>1166</v>
      </c>
      <c r="K15" s="191">
        <v>314062.96000000002</v>
      </c>
      <c r="L15" s="268">
        <v>0.45665189475992068</v>
      </c>
      <c r="M15" s="266">
        <v>0.91331269349845201</v>
      </c>
      <c r="N15" s="267">
        <f t="shared" si="1"/>
        <v>8.6687306501547989E-2</v>
      </c>
      <c r="O15" s="96">
        <f t="shared" si="2"/>
        <v>170645.51424209081</v>
      </c>
      <c r="P15" s="96">
        <f t="shared" si="3"/>
        <v>130984.97367982418</v>
      </c>
      <c r="Q15" s="96">
        <f t="shared" si="4"/>
        <v>12432.472078085008</v>
      </c>
      <c r="R15" s="187" t="s">
        <v>2461</v>
      </c>
      <c r="S15" s="187" t="s">
        <v>3607</v>
      </c>
      <c r="T15" s="94" t="s">
        <v>2863</v>
      </c>
      <c r="U15" s="395">
        <f>COUNTIF(Aggregation_of_rev_to_allocate!$A$3:$A$137,$T15)</f>
        <v>1</v>
      </c>
      <c r="V15" s="100"/>
      <c r="W15" s="100">
        <v>66</v>
      </c>
      <c r="X15" s="109">
        <v>151223.12311749032</v>
      </c>
      <c r="Y15" s="109">
        <v>59720.318112500412</v>
      </c>
      <c r="Z15" s="110">
        <v>0.67165972462970713</v>
      </c>
      <c r="AA15" s="110">
        <v>0.71688942891859053</v>
      </c>
      <c r="AB15" s="110">
        <v>0.28311057108140947</v>
      </c>
      <c r="AC15" s="109">
        <f>IF(ISERROR((X15*SUMIF('Rev_for_allocation(Hard)'!$A$3:$A$249,$T15,'Rev_for_allocation(Hard)'!$I$3:$I$249)/SUMIF(Historic_capex_list!$T$9:$T$586,$T15,Historic_capex_list!$X$9:$X$586))=TRUE),0,X15*SUMIF('Rev_for_allocation(Hard)'!$A$3:$A$249,$T15,'Rev_for_allocation(Hard)'!$I$3:$I$249)/SUMIF(Historic_capex_list!$T$9:$T$586,$T15,Historic_capex_list!$X$9:$X$586))</f>
        <v>-67525.995472081559</v>
      </c>
      <c r="AD15" s="109">
        <f t="shared" si="5"/>
        <v>83697.127645408764</v>
      </c>
      <c r="AE15" s="109">
        <f t="shared" si="6"/>
        <v>83697.127645408764</v>
      </c>
      <c r="AF15" s="109">
        <f t="shared" si="7"/>
        <v>143417.44575790918</v>
      </c>
      <c r="AG15" s="332" t="str">
        <f t="shared" si="8"/>
        <v>N</v>
      </c>
      <c r="AH15" s="332">
        <f t="shared" si="9"/>
        <v>0</v>
      </c>
      <c r="AI15" s="332">
        <f t="shared" si="10"/>
        <v>0</v>
      </c>
      <c r="AJ15" s="109">
        <f t="shared" si="11"/>
        <v>143417.44575790918</v>
      </c>
      <c r="AK15" s="109">
        <f t="shared" si="12"/>
        <v>0</v>
      </c>
      <c r="AL15" s="109">
        <v>0</v>
      </c>
      <c r="AM15" s="111">
        <f t="shared" si="13"/>
        <v>3.9491525423728815</v>
      </c>
      <c r="AN15" s="111">
        <f t="shared" si="14"/>
        <v>0.94915254237288149</v>
      </c>
      <c r="AO15" s="111" t="str">
        <f t="shared" si="15"/>
        <v>Use deduct 3yrs</v>
      </c>
      <c r="AP15" s="111">
        <f t="shared" si="16"/>
        <v>0.94915254237288149</v>
      </c>
      <c r="AQ15" s="112">
        <f t="shared" si="17"/>
        <v>8.6687306501547989E-2</v>
      </c>
      <c r="AR15" s="112">
        <f t="shared" si="18"/>
        <v>0.91331269349845201</v>
      </c>
      <c r="AS15" s="113">
        <f t="shared" si="19"/>
        <v>2029</v>
      </c>
      <c r="AT15" s="109">
        <v>143417.44575790918</v>
      </c>
      <c r="AU15" s="114">
        <v>0.91331269349845201</v>
      </c>
      <c r="AV15" s="113">
        <v>2029</v>
      </c>
      <c r="AW15" s="112">
        <f t="shared" si="20"/>
        <v>0.45665189475992068</v>
      </c>
      <c r="AX15" s="109">
        <f t="shared" si="21"/>
        <v>130984.97367982418</v>
      </c>
      <c r="AY15" s="109">
        <f t="shared" si="22"/>
        <v>12432.472078085008</v>
      </c>
      <c r="AZ15" s="109">
        <f t="shared" si="23"/>
        <v>143417.44575790918</v>
      </c>
      <c r="BA15" s="111">
        <f t="shared" si="24"/>
        <v>0</v>
      </c>
      <c r="BB15" s="117"/>
      <c r="BC15" s="115" t="str">
        <f t="shared" si="25"/>
        <v>N</v>
      </c>
      <c r="BD15" s="115" t="str">
        <f t="shared" si="26"/>
        <v>Y</v>
      </c>
      <c r="BE15" s="115" t="str">
        <f t="shared" si="27"/>
        <v>N</v>
      </c>
      <c r="BF15" s="109" t="str">
        <f t="shared" si="28"/>
        <v/>
      </c>
      <c r="BG15" s="111" t="s">
        <v>2499</v>
      </c>
      <c r="BH15" s="115" t="s">
        <v>1168</v>
      </c>
      <c r="BI15" s="116"/>
      <c r="BJ15" s="222">
        <v>0.45665189475992068</v>
      </c>
      <c r="BK15" s="265">
        <f t="shared" si="29"/>
        <v>0</v>
      </c>
      <c r="BL15" s="265">
        <f t="shared" si="30"/>
        <v>0</v>
      </c>
      <c r="BM15" s="265">
        <f t="shared" si="31"/>
        <v>2.5465851649641991E-11</v>
      </c>
      <c r="BN15" s="265">
        <f t="shared" si="32"/>
        <v>20238.149437666143</v>
      </c>
      <c r="BO15" s="109"/>
      <c r="BP15" s="265">
        <f t="shared" si="33"/>
        <v>67525.995472081559</v>
      </c>
      <c r="BQ15" s="265">
        <v>67525.995472081559</v>
      </c>
      <c r="BR15" s="265" t="e">
        <f t="shared" si="34"/>
        <v>#REF!</v>
      </c>
      <c r="BS15" s="265">
        <v>7607.4270796592236</v>
      </c>
      <c r="BT15" s="475">
        <v>170645.51424209081</v>
      </c>
      <c r="BU15" s="475">
        <v>130984.97367982418</v>
      </c>
      <c r="BV15" s="475">
        <v>12432.472078085008</v>
      </c>
      <c r="BW15" s="483">
        <f t="shared" si="35"/>
        <v>0</v>
      </c>
      <c r="BX15" s="483">
        <f t="shared" si="36"/>
        <v>0</v>
      </c>
    </row>
    <row r="16" spans="1:76" s="103" customFormat="1" ht="29">
      <c r="A16" s="100" t="s">
        <v>2502</v>
      </c>
      <c r="B16" s="91" t="str">
        <f t="shared" si="0"/>
        <v xml:space="preserve">CI </v>
      </c>
      <c r="C16" s="92" t="s">
        <v>2273</v>
      </c>
      <c r="D16" s="448" t="s">
        <v>2269</v>
      </c>
      <c r="E16" s="451">
        <v>2130283</v>
      </c>
      <c r="F16" s="409" t="s">
        <v>2533</v>
      </c>
      <c r="G16" s="498" t="s">
        <v>5031</v>
      </c>
      <c r="H16" s="398">
        <v>0.32</v>
      </c>
      <c r="I16" s="151"/>
      <c r="J16" s="95" t="s">
        <v>1166</v>
      </c>
      <c r="K16" s="191">
        <v>109125.1</v>
      </c>
      <c r="L16" s="269">
        <v>0.94823964651751491</v>
      </c>
      <c r="M16" s="267">
        <v>1</v>
      </c>
      <c r="N16" s="267">
        <f t="shared" si="1"/>
        <v>0</v>
      </c>
      <c r="O16" s="96">
        <f t="shared" si="2"/>
        <v>76012.541199939689</v>
      </c>
      <c r="P16" s="96">
        <f t="shared" si="3"/>
        <v>33112.558800060309</v>
      </c>
      <c r="Q16" s="96">
        <f t="shared" si="4"/>
        <v>0</v>
      </c>
      <c r="R16" s="187" t="s">
        <v>2460</v>
      </c>
      <c r="S16" s="187" t="s">
        <v>3607</v>
      </c>
      <c r="T16" s="94" t="s">
        <v>2862</v>
      </c>
      <c r="U16" s="395">
        <f>COUNTIF(Aggregation_of_rev_to_allocate!$A$3:$A$137,$T16)</f>
        <v>1</v>
      </c>
      <c r="V16" s="100"/>
      <c r="W16" s="100">
        <v>61</v>
      </c>
      <c r="X16" s="109">
        <v>34194.103079712258</v>
      </c>
      <c r="Y16" s="109">
        <v>0</v>
      </c>
      <c r="Z16" s="110">
        <v>0.9792116765446337</v>
      </c>
      <c r="AA16" s="110">
        <v>1</v>
      </c>
      <c r="AB16" s="110">
        <v>0</v>
      </c>
      <c r="AC16" s="109">
        <f>IF(ISERROR((X16*SUMIF('Rev_for_allocation(Hard)'!$A$3:$A$249,$T16,'Rev_for_allocation(Hard)'!$I$3:$I$249)/SUMIF(Historic_capex_list!$T$9:$T$586,$T16,Historic_capex_list!$X$9:$X$586))=TRUE),0,X16*SUMIF('Rev_for_allocation(Hard)'!$A$3:$A$249,$T16,'Rev_for_allocation(Hard)'!$I$3:$I$249)/SUMIF(Historic_capex_list!$T$9:$T$586,$T16,Historic_capex_list!$X$9:$X$586))</f>
        <v>-1047.020334592559</v>
      </c>
      <c r="AD16" s="109">
        <f t="shared" si="5"/>
        <v>33147.082745119696</v>
      </c>
      <c r="AE16" s="109">
        <f t="shared" si="6"/>
        <v>33147.082745119696</v>
      </c>
      <c r="AF16" s="109">
        <f t="shared" si="7"/>
        <v>33147.082745119696</v>
      </c>
      <c r="AG16" s="332" t="str">
        <f t="shared" si="8"/>
        <v>N</v>
      </c>
      <c r="AH16" s="332">
        <f t="shared" si="9"/>
        <v>0</v>
      </c>
      <c r="AI16" s="332">
        <f t="shared" si="10"/>
        <v>0</v>
      </c>
      <c r="AJ16" s="109">
        <f t="shared" si="11"/>
        <v>33147.082745119696</v>
      </c>
      <c r="AK16" s="109">
        <f t="shared" si="12"/>
        <v>0</v>
      </c>
      <c r="AL16" s="109">
        <v>0</v>
      </c>
      <c r="AM16" s="111">
        <f t="shared" si="13"/>
        <v>0</v>
      </c>
      <c r="AN16" s="111">
        <f t="shared" si="14"/>
        <v>0</v>
      </c>
      <c r="AO16" s="111" t="str">
        <f t="shared" si="15"/>
        <v>Use deduct 3yrs</v>
      </c>
      <c r="AP16" s="111">
        <f t="shared" si="16"/>
        <v>0</v>
      </c>
      <c r="AQ16" s="112">
        <f t="shared" si="17"/>
        <v>0</v>
      </c>
      <c r="AR16" s="112">
        <f t="shared" si="18"/>
        <v>1</v>
      </c>
      <c r="AS16" s="113">
        <f t="shared" si="19"/>
        <v>2028</v>
      </c>
      <c r="AT16" s="109">
        <v>33112.558800060309</v>
      </c>
      <c r="AU16" s="114">
        <v>1</v>
      </c>
      <c r="AV16" s="113">
        <v>2028</v>
      </c>
      <c r="AW16" s="112">
        <f t="shared" si="20"/>
        <v>0.94823964651751491</v>
      </c>
      <c r="AX16" s="109">
        <f t="shared" si="21"/>
        <v>33112.558800060309</v>
      </c>
      <c r="AY16" s="109">
        <f t="shared" si="22"/>
        <v>0</v>
      </c>
      <c r="AZ16" s="109">
        <f t="shared" si="23"/>
        <v>33112.558800060309</v>
      </c>
      <c r="BA16" s="111">
        <f t="shared" si="24"/>
        <v>0</v>
      </c>
      <c r="BB16" s="117"/>
      <c r="BC16" s="115" t="str">
        <f t="shared" si="25"/>
        <v>N</v>
      </c>
      <c r="BD16" s="115" t="str">
        <f t="shared" si="26"/>
        <v>Y</v>
      </c>
      <c r="BE16" s="115" t="str">
        <f t="shared" si="27"/>
        <v>N</v>
      </c>
      <c r="BF16" s="109" t="str">
        <f t="shared" si="28"/>
        <v/>
      </c>
      <c r="BG16" s="111" t="s">
        <v>2499</v>
      </c>
      <c r="BH16" s="115" t="s">
        <v>1168</v>
      </c>
      <c r="BI16" s="116"/>
      <c r="BJ16" s="222">
        <v>0.94823964651751491</v>
      </c>
      <c r="BK16" s="265">
        <f t="shared" si="29"/>
        <v>0</v>
      </c>
      <c r="BL16" s="265">
        <f t="shared" si="30"/>
        <v>0</v>
      </c>
      <c r="BM16" s="265">
        <f t="shared" si="31"/>
        <v>7.2759576141834259E-12</v>
      </c>
      <c r="BN16" s="265">
        <f t="shared" si="32"/>
        <v>1081.5442796519492</v>
      </c>
      <c r="BO16" s="109"/>
      <c r="BP16" s="265">
        <f t="shared" si="33"/>
        <v>1081.5442796519492</v>
      </c>
      <c r="BQ16" s="265">
        <v>1081.5442796519492</v>
      </c>
      <c r="BR16" s="265" t="e">
        <f t="shared" si="34"/>
        <v>#REF!</v>
      </c>
      <c r="BS16" s="265">
        <v>121.84595256024794</v>
      </c>
      <c r="BT16" s="475">
        <v>76012.541199939689</v>
      </c>
      <c r="BU16" s="475">
        <v>33112.558800060309</v>
      </c>
      <c r="BV16" s="475">
        <v>0</v>
      </c>
      <c r="BW16" s="483">
        <f t="shared" si="35"/>
        <v>0</v>
      </c>
      <c r="BX16" s="483">
        <f t="shared" si="36"/>
        <v>0</v>
      </c>
    </row>
    <row r="17" spans="1:76" s="103" customFormat="1" ht="29">
      <c r="A17" s="100" t="s">
        <v>2502</v>
      </c>
      <c r="B17" s="91" t="str">
        <f t="shared" si="0"/>
        <v xml:space="preserve">CI </v>
      </c>
      <c r="C17" s="92" t="s">
        <v>463</v>
      </c>
      <c r="D17" s="448" t="s">
        <v>2269</v>
      </c>
      <c r="E17" s="449" t="s">
        <v>2246</v>
      </c>
      <c r="F17" s="467" t="s">
        <v>2534</v>
      </c>
      <c r="G17" s="502" t="s">
        <v>5235</v>
      </c>
      <c r="H17" s="398">
        <v>1</v>
      </c>
      <c r="I17" s="95" t="s">
        <v>890</v>
      </c>
      <c r="J17" s="95" t="s">
        <v>1166</v>
      </c>
      <c r="K17" s="191">
        <v>320548</v>
      </c>
      <c r="L17" s="268">
        <v>0.67628498515091362</v>
      </c>
      <c r="M17" s="266">
        <v>1</v>
      </c>
      <c r="N17" s="267">
        <f t="shared" si="1"/>
        <v>0</v>
      </c>
      <c r="O17" s="96">
        <f t="shared" si="2"/>
        <v>103766.20057984494</v>
      </c>
      <c r="P17" s="96">
        <f t="shared" si="3"/>
        <v>216781.79942015506</v>
      </c>
      <c r="Q17" s="96">
        <f t="shared" si="4"/>
        <v>0</v>
      </c>
      <c r="R17" s="187" t="s">
        <v>2457</v>
      </c>
      <c r="S17" s="187" t="s">
        <v>3607</v>
      </c>
      <c r="T17" s="94" t="s">
        <v>2859</v>
      </c>
      <c r="U17" s="395">
        <f>COUNTIF(Aggregation_of_rev_to_allocate!$A$3:$A$137,$T17)</f>
        <v>1</v>
      </c>
      <c r="V17" s="100"/>
      <c r="W17" s="100">
        <v>135</v>
      </c>
      <c r="X17" s="109">
        <v>216781.79780015713</v>
      </c>
      <c r="Y17" s="109">
        <v>0</v>
      </c>
      <c r="Z17" s="110">
        <v>0.67628498009707483</v>
      </c>
      <c r="AA17" s="110">
        <v>1</v>
      </c>
      <c r="AB17" s="110">
        <v>0</v>
      </c>
      <c r="AC17" s="109">
        <f>IF(ISERROR((X17*SUMIF('Rev_for_allocation(Hard)'!$A$3:$A$249,$T17,'Rev_for_allocation(Hard)'!$I$3:$I$249)/SUMIF(Historic_capex_list!$T$9:$T$586,$T17,Historic_capex_list!$X$9:$X$586))=TRUE),0,X17*SUMIF('Rev_for_allocation(Hard)'!$A$3:$A$249,$T17,'Rev_for_allocation(Hard)'!$I$3:$I$249)/SUMIF(Historic_capex_list!$T$9:$T$586,$T17,Historic_capex_list!$X$9:$X$586))</f>
        <v>1.6199979166802269E-3</v>
      </c>
      <c r="AD17" s="109">
        <f t="shared" si="5"/>
        <v>216781.79942015506</v>
      </c>
      <c r="AE17" s="109">
        <f t="shared" si="6"/>
        <v>216781.79942015506</v>
      </c>
      <c r="AF17" s="109">
        <f t="shared" si="7"/>
        <v>216781.79942015506</v>
      </c>
      <c r="AG17" s="332" t="str">
        <f t="shared" si="8"/>
        <v>N</v>
      </c>
      <c r="AH17" s="332">
        <f t="shared" si="9"/>
        <v>0</v>
      </c>
      <c r="AI17" s="332">
        <f t="shared" si="10"/>
        <v>0</v>
      </c>
      <c r="AJ17" s="109">
        <f t="shared" si="11"/>
        <v>216781.79942015506</v>
      </c>
      <c r="AK17" s="109">
        <f t="shared" si="12"/>
        <v>0</v>
      </c>
      <c r="AL17" s="109">
        <v>0</v>
      </c>
      <c r="AM17" s="111">
        <f t="shared" si="13"/>
        <v>0</v>
      </c>
      <c r="AN17" s="111">
        <f t="shared" si="14"/>
        <v>0</v>
      </c>
      <c r="AO17" s="111" t="str">
        <f t="shared" si="15"/>
        <v>Use deduct 3yrs</v>
      </c>
      <c r="AP17" s="111">
        <f t="shared" si="16"/>
        <v>0</v>
      </c>
      <c r="AQ17" s="112">
        <f t="shared" si="17"/>
        <v>0</v>
      </c>
      <c r="AR17" s="112">
        <f t="shared" si="18"/>
        <v>1</v>
      </c>
      <c r="AS17" s="113">
        <f t="shared" si="19"/>
        <v>2028</v>
      </c>
      <c r="AT17" s="109">
        <v>216781.79942015506</v>
      </c>
      <c r="AU17" s="114">
        <v>1</v>
      </c>
      <c r="AV17" s="113">
        <v>2028</v>
      </c>
      <c r="AW17" s="112">
        <f t="shared" si="20"/>
        <v>0.67628498515091362</v>
      </c>
      <c r="AX17" s="109">
        <f t="shared" si="21"/>
        <v>216781.79942015506</v>
      </c>
      <c r="AY17" s="109">
        <f t="shared" si="22"/>
        <v>0</v>
      </c>
      <c r="AZ17" s="109">
        <f t="shared" si="23"/>
        <v>216781.79942015506</v>
      </c>
      <c r="BA17" s="111">
        <f t="shared" si="24"/>
        <v>0</v>
      </c>
      <c r="BB17" s="117"/>
      <c r="BC17" s="115" t="str">
        <f t="shared" si="25"/>
        <v>N</v>
      </c>
      <c r="BD17" s="115" t="str">
        <f t="shared" si="26"/>
        <v>Y</v>
      </c>
      <c r="BE17" s="115" t="str">
        <f t="shared" si="27"/>
        <v>N</v>
      </c>
      <c r="BF17" s="109" t="str">
        <f t="shared" si="28"/>
        <v/>
      </c>
      <c r="BG17" s="111" t="s">
        <v>2499</v>
      </c>
      <c r="BH17" s="115" t="s">
        <v>1168</v>
      </c>
      <c r="BI17" s="116"/>
      <c r="BJ17" s="222">
        <v>0.67628498515091362</v>
      </c>
      <c r="BK17" s="265">
        <f t="shared" si="29"/>
        <v>0</v>
      </c>
      <c r="BL17" s="265">
        <f t="shared" si="30"/>
        <v>0</v>
      </c>
      <c r="BM17" s="265">
        <f t="shared" si="31"/>
        <v>0</v>
      </c>
      <c r="BN17" s="265">
        <f t="shared" si="32"/>
        <v>-1.6199979290831834E-3</v>
      </c>
      <c r="BO17" s="109"/>
      <c r="BP17" s="265">
        <f t="shared" si="33"/>
        <v>-1.6199979290831834E-3</v>
      </c>
      <c r="BQ17" s="265">
        <v>-1.6199979290831834E-3</v>
      </c>
      <c r="BR17" s="265" t="e">
        <f t="shared" si="34"/>
        <v>#REF!</v>
      </c>
      <c r="BS17" s="265">
        <v>-1.8250772948315294E-4</v>
      </c>
      <c r="BT17" s="475">
        <v>103766.20057984494</v>
      </c>
      <c r="BU17" s="475">
        <v>216781.79942015506</v>
      </c>
      <c r="BV17" s="475">
        <v>0</v>
      </c>
      <c r="BW17" s="483">
        <f t="shared" si="35"/>
        <v>0</v>
      </c>
      <c r="BX17" s="483">
        <f t="shared" si="36"/>
        <v>0</v>
      </c>
    </row>
    <row r="18" spans="1:76" s="103" customFormat="1" ht="29">
      <c r="A18" s="100" t="s">
        <v>2502</v>
      </c>
      <c r="B18" s="91" t="str">
        <f t="shared" si="0"/>
        <v xml:space="preserve">CI </v>
      </c>
      <c r="C18" s="92" t="s">
        <v>2273</v>
      </c>
      <c r="D18" s="448" t="s">
        <v>2269</v>
      </c>
      <c r="E18" s="451">
        <v>2130435</v>
      </c>
      <c r="F18" s="409" t="s">
        <v>2535</v>
      </c>
      <c r="G18" s="467" t="s">
        <v>5019</v>
      </c>
      <c r="H18" s="398">
        <v>1</v>
      </c>
      <c r="I18" s="151"/>
      <c r="J18" s="95" t="s">
        <v>1166</v>
      </c>
      <c r="K18" s="191">
        <v>319155.59999999998</v>
      </c>
      <c r="L18" s="269">
        <v>0.97921168790065272</v>
      </c>
      <c r="M18" s="267">
        <v>1</v>
      </c>
      <c r="N18" s="267">
        <f t="shared" si="1"/>
        <v>0</v>
      </c>
      <c r="O18" s="96">
        <f t="shared" si="2"/>
        <v>6634.7062210544418</v>
      </c>
      <c r="P18" s="96">
        <f t="shared" si="3"/>
        <v>312520.89377894555</v>
      </c>
      <c r="Q18" s="96">
        <f t="shared" si="4"/>
        <v>0</v>
      </c>
      <c r="R18" s="187" t="s">
        <v>2455</v>
      </c>
      <c r="S18" s="187" t="s">
        <v>3607</v>
      </c>
      <c r="T18" s="94" t="s">
        <v>2857</v>
      </c>
      <c r="U18" s="395">
        <f>COUNTIF(Aggregation_of_rev_to_allocate!$A$3:$A$137,$T18)</f>
        <v>1</v>
      </c>
      <c r="V18" s="100"/>
      <c r="W18" s="100">
        <v>82</v>
      </c>
      <c r="X18" s="109">
        <v>312520.89015460847</v>
      </c>
      <c r="Y18" s="109">
        <v>0</v>
      </c>
      <c r="Z18" s="110">
        <v>0.9792116765446337</v>
      </c>
      <c r="AA18" s="110">
        <v>1</v>
      </c>
      <c r="AB18" s="110">
        <v>0</v>
      </c>
      <c r="AC18" s="109">
        <f>IF(ISERROR((X18*SUMIF('Rev_for_allocation(Hard)'!$A$3:$A$249,$T18,'Rev_for_allocation(Hard)'!$I$3:$I$249)/SUMIF(Historic_capex_list!$T$9:$T$586,$T18,Historic_capex_list!$X$9:$X$586))=TRUE),0,X18*SUMIF('Rev_for_allocation(Hard)'!$A$3:$A$249,$T18,'Rev_for_allocation(Hard)'!$I$3:$I$249)/SUMIF(Historic_capex_list!$T$9:$T$586,$T18,Historic_capex_list!$X$9:$X$586))</f>
        <v>3.0791950345776266E-3</v>
      </c>
      <c r="AD18" s="109">
        <f t="shared" si="5"/>
        <v>312520.89323380351</v>
      </c>
      <c r="AE18" s="109">
        <f t="shared" si="6"/>
        <v>312520.89323380351</v>
      </c>
      <c r="AF18" s="109">
        <f t="shared" si="7"/>
        <v>312520.89323380351</v>
      </c>
      <c r="AG18" s="332" t="str">
        <f t="shared" si="8"/>
        <v>N</v>
      </c>
      <c r="AH18" s="332">
        <f t="shared" si="9"/>
        <v>0</v>
      </c>
      <c r="AI18" s="332">
        <f t="shared" si="10"/>
        <v>0</v>
      </c>
      <c r="AJ18" s="109">
        <f t="shared" si="11"/>
        <v>312520.89323380351</v>
      </c>
      <c r="AK18" s="109">
        <f t="shared" si="12"/>
        <v>0</v>
      </c>
      <c r="AL18" s="109">
        <v>0</v>
      </c>
      <c r="AM18" s="111">
        <f t="shared" si="13"/>
        <v>0</v>
      </c>
      <c r="AN18" s="111">
        <f t="shared" si="14"/>
        <v>0</v>
      </c>
      <c r="AO18" s="111" t="str">
        <f t="shared" si="15"/>
        <v>Use deduct 3yrs</v>
      </c>
      <c r="AP18" s="111">
        <f t="shared" si="16"/>
        <v>0</v>
      </c>
      <c r="AQ18" s="112">
        <f t="shared" si="17"/>
        <v>0</v>
      </c>
      <c r="AR18" s="112">
        <f t="shared" si="18"/>
        <v>1</v>
      </c>
      <c r="AS18" s="113">
        <f t="shared" si="19"/>
        <v>2028</v>
      </c>
      <c r="AT18" s="109">
        <v>312520.89377894555</v>
      </c>
      <c r="AU18" s="114">
        <v>1</v>
      </c>
      <c r="AV18" s="113">
        <v>2028</v>
      </c>
      <c r="AW18" s="112">
        <f t="shared" si="20"/>
        <v>0.97921168790065272</v>
      </c>
      <c r="AX18" s="109">
        <f t="shared" si="21"/>
        <v>312520.89377894555</v>
      </c>
      <c r="AY18" s="109">
        <f t="shared" si="22"/>
        <v>0</v>
      </c>
      <c r="AZ18" s="109">
        <f t="shared" si="23"/>
        <v>312520.89377894555</v>
      </c>
      <c r="BA18" s="111">
        <f t="shared" si="24"/>
        <v>0</v>
      </c>
      <c r="BB18" s="117"/>
      <c r="BC18" s="115" t="str">
        <f t="shared" si="25"/>
        <v>N</v>
      </c>
      <c r="BD18" s="115" t="str">
        <f t="shared" si="26"/>
        <v>Y</v>
      </c>
      <c r="BE18" s="115" t="str">
        <f t="shared" si="27"/>
        <v>N</v>
      </c>
      <c r="BF18" s="109" t="str">
        <f t="shared" si="28"/>
        <v/>
      </c>
      <c r="BG18" s="111" t="s">
        <v>2499</v>
      </c>
      <c r="BH18" s="115" t="s">
        <v>1168</v>
      </c>
      <c r="BI18" s="116"/>
      <c r="BJ18" s="222">
        <v>0.97921168790065272</v>
      </c>
      <c r="BK18" s="265">
        <f t="shared" si="29"/>
        <v>0</v>
      </c>
      <c r="BL18" s="265">
        <f t="shared" si="30"/>
        <v>0</v>
      </c>
      <c r="BM18" s="265">
        <f t="shared" si="31"/>
        <v>0</v>
      </c>
      <c r="BN18" s="265">
        <f t="shared" si="32"/>
        <v>-3.62433708505705E-3</v>
      </c>
      <c r="BO18" s="109"/>
      <c r="BP18" s="265">
        <f t="shared" si="33"/>
        <v>-3.62433708505705E-3</v>
      </c>
      <c r="BQ18" s="265">
        <v>-3.62433708505705E-3</v>
      </c>
      <c r="BR18" s="265" t="e">
        <f t="shared" si="34"/>
        <v>#REF!</v>
      </c>
      <c r="BS18" s="265">
        <v>-4.0831504806287076E-4</v>
      </c>
      <c r="BT18" s="475">
        <v>6634.7062210544418</v>
      </c>
      <c r="BU18" s="475">
        <v>312520.89377894555</v>
      </c>
      <c r="BV18" s="475">
        <v>0</v>
      </c>
      <c r="BW18" s="483">
        <f t="shared" si="35"/>
        <v>0</v>
      </c>
      <c r="BX18" s="483">
        <f t="shared" si="36"/>
        <v>0</v>
      </c>
    </row>
    <row r="19" spans="1:76" s="103" customFormat="1" ht="29">
      <c r="A19" s="100" t="s">
        <v>2502</v>
      </c>
      <c r="B19" s="91" t="str">
        <f t="shared" si="0"/>
        <v xml:space="preserve">CI </v>
      </c>
      <c r="C19" s="92" t="s">
        <v>463</v>
      </c>
      <c r="D19" s="448" t="s">
        <v>2269</v>
      </c>
      <c r="E19" s="449" t="s">
        <v>2026</v>
      </c>
      <c r="F19" s="467" t="s">
        <v>4779</v>
      </c>
      <c r="G19" s="502" t="s">
        <v>5235</v>
      </c>
      <c r="H19" s="470">
        <v>1</v>
      </c>
      <c r="I19" s="95" t="s">
        <v>962</v>
      </c>
      <c r="J19" s="95" t="s">
        <v>1166</v>
      </c>
      <c r="K19" s="469">
        <v>676574.9</v>
      </c>
      <c r="L19" s="471">
        <v>5.3757536674801265E-2</v>
      </c>
      <c r="M19" s="266">
        <v>1</v>
      </c>
      <c r="N19" s="267">
        <f t="shared" si="1"/>
        <v>0</v>
      </c>
      <c r="O19" s="96">
        <f t="shared" si="2"/>
        <v>640203.9</v>
      </c>
      <c r="P19" s="96">
        <f t="shared" si="3"/>
        <v>36371</v>
      </c>
      <c r="Q19" s="96">
        <f t="shared" si="4"/>
        <v>0</v>
      </c>
      <c r="R19" s="187" t="s">
        <v>2455</v>
      </c>
      <c r="S19" s="187" t="s">
        <v>3607</v>
      </c>
      <c r="T19" s="94" t="s">
        <v>2857</v>
      </c>
      <c r="U19" s="395">
        <f>COUNTIF(Aggregation_of_rev_to_allocate!$A$3:$A$137,$T19)</f>
        <v>1</v>
      </c>
      <c r="V19" s="100"/>
      <c r="W19" s="100">
        <v>83</v>
      </c>
      <c r="X19" s="109">
        <v>36370.719414514962</v>
      </c>
      <c r="Y19" s="109">
        <v>0</v>
      </c>
      <c r="Z19" s="110">
        <v>0.69943691181759549</v>
      </c>
      <c r="AA19" s="110">
        <v>1</v>
      </c>
      <c r="AB19" s="110">
        <v>0</v>
      </c>
      <c r="AC19" s="109">
        <f>IF(ISERROR((X19*SUMIF('Rev_for_allocation(Hard)'!$A$3:$A$249,$T19,'Rev_for_allocation(Hard)'!$I$3:$I$249)/SUMIF(Historic_capex_list!$T$9:$T$586,$T19,Historic_capex_list!$X$9:$X$586))=TRUE),0,X19*SUMIF('Rev_for_allocation(Hard)'!$A$3:$A$249,$T19,'Rev_for_allocation(Hard)'!$I$3:$I$249)/SUMIF(Historic_capex_list!$T$9:$T$586,$T19,Historic_capex_list!$X$9:$X$586))</f>
        <v>3.5835216829756971E-4</v>
      </c>
      <c r="AD19" s="109">
        <f t="shared" si="5"/>
        <v>36370.719772867131</v>
      </c>
      <c r="AE19" s="109">
        <f t="shared" si="6"/>
        <v>36370.719772867131</v>
      </c>
      <c r="AF19" s="109">
        <f t="shared" si="7"/>
        <v>36370.719772867131</v>
      </c>
      <c r="AG19" s="332" t="str">
        <f t="shared" si="8"/>
        <v>N</v>
      </c>
      <c r="AH19" s="332">
        <f t="shared" si="9"/>
        <v>0</v>
      </c>
      <c r="AI19" s="332">
        <f t="shared" si="10"/>
        <v>0</v>
      </c>
      <c r="AJ19" s="109">
        <f t="shared" si="11"/>
        <v>36370.719772867131</v>
      </c>
      <c r="AK19" s="109">
        <f t="shared" si="12"/>
        <v>0</v>
      </c>
      <c r="AL19" s="109">
        <v>0</v>
      </c>
      <c r="AM19" s="111">
        <f t="shared" si="13"/>
        <v>0</v>
      </c>
      <c r="AN19" s="111">
        <f t="shared" si="14"/>
        <v>0</v>
      </c>
      <c r="AO19" s="111" t="str">
        <f t="shared" si="15"/>
        <v>Use deduct 3yrs</v>
      </c>
      <c r="AP19" s="111">
        <f t="shared" si="16"/>
        <v>0</v>
      </c>
      <c r="AQ19" s="112">
        <f t="shared" si="17"/>
        <v>0</v>
      </c>
      <c r="AR19" s="112">
        <f t="shared" si="18"/>
        <v>1</v>
      </c>
      <c r="AS19" s="113">
        <f t="shared" si="19"/>
        <v>2028</v>
      </c>
      <c r="AT19" s="109">
        <v>36370.719836309952</v>
      </c>
      <c r="AU19" s="114">
        <v>1</v>
      </c>
      <c r="AV19" s="113">
        <v>2028</v>
      </c>
      <c r="AW19" s="112">
        <f t="shared" si="20"/>
        <v>5.3757122583634055E-2</v>
      </c>
      <c r="AX19" s="109">
        <f t="shared" si="21"/>
        <v>36370.719836309952</v>
      </c>
      <c r="AY19" s="109">
        <f t="shared" si="22"/>
        <v>0</v>
      </c>
      <c r="AZ19" s="109">
        <f t="shared" si="23"/>
        <v>36370.719836309952</v>
      </c>
      <c r="BA19" s="111">
        <f t="shared" si="24"/>
        <v>0</v>
      </c>
      <c r="BB19" s="117"/>
      <c r="BC19" s="115" t="str">
        <f t="shared" si="25"/>
        <v>N</v>
      </c>
      <c r="BD19" s="115" t="str">
        <f t="shared" si="26"/>
        <v>Y</v>
      </c>
      <c r="BE19" s="115" t="str">
        <f t="shared" si="27"/>
        <v>N</v>
      </c>
      <c r="BF19" s="109" t="str">
        <f t="shared" si="28"/>
        <v/>
      </c>
      <c r="BG19" s="111" t="s">
        <v>2499</v>
      </c>
      <c r="BH19" s="115" t="s">
        <v>1168</v>
      </c>
      <c r="BI19" s="116"/>
      <c r="BJ19" s="222">
        <v>0.69943691992903756</v>
      </c>
      <c r="BK19" s="265">
        <f t="shared" si="29"/>
        <v>0</v>
      </c>
      <c r="BL19" s="265">
        <f t="shared" si="30"/>
        <v>0</v>
      </c>
      <c r="BM19" s="265">
        <f t="shared" si="31"/>
        <v>0</v>
      </c>
      <c r="BN19" s="265">
        <f t="shared" si="32"/>
        <v>-0.28058548503759084</v>
      </c>
      <c r="BO19" s="109"/>
      <c r="BP19" s="265">
        <f t="shared" si="33"/>
        <v>-4.2179498996119946E-4</v>
      </c>
      <c r="BQ19" s="265">
        <v>-4.2179498996119946E-4</v>
      </c>
      <c r="BR19" s="265" t="e">
        <f t="shared" si="34"/>
        <v>#REF!</v>
      </c>
      <c r="BS19" s="265">
        <v>-4.7519101440304992E-5</v>
      </c>
      <c r="BT19" s="475">
        <v>15629.280163690048</v>
      </c>
      <c r="BU19" s="475">
        <v>36370.719836309952</v>
      </c>
      <c r="BV19" s="475">
        <v>0</v>
      </c>
      <c r="BW19" s="483">
        <f t="shared" si="35"/>
        <v>0.28016369004762964</v>
      </c>
      <c r="BX19" s="483">
        <f t="shared" si="36"/>
        <v>0</v>
      </c>
    </row>
    <row r="20" spans="1:76" s="103" customFormat="1" ht="29">
      <c r="A20" s="100" t="s">
        <v>2502</v>
      </c>
      <c r="B20" s="91" t="str">
        <f t="shared" si="0"/>
        <v xml:space="preserve">CI </v>
      </c>
      <c r="C20" s="92" t="s">
        <v>463</v>
      </c>
      <c r="D20" s="448" t="s">
        <v>2269</v>
      </c>
      <c r="E20" s="449" t="s">
        <v>2025</v>
      </c>
      <c r="F20" s="467" t="s">
        <v>4780</v>
      </c>
      <c r="G20" s="502" t="s">
        <v>5235</v>
      </c>
      <c r="H20" s="470">
        <v>1</v>
      </c>
      <c r="I20" s="95" t="s">
        <v>962</v>
      </c>
      <c r="J20" s="95" t="s">
        <v>1166</v>
      </c>
      <c r="K20" s="469">
        <v>264000</v>
      </c>
      <c r="L20" s="471">
        <v>0.13664772727272731</v>
      </c>
      <c r="M20" s="266">
        <v>1</v>
      </c>
      <c r="N20" s="267">
        <f t="shared" si="1"/>
        <v>0</v>
      </c>
      <c r="O20" s="96">
        <f t="shared" si="2"/>
        <v>227924.99999999997</v>
      </c>
      <c r="P20" s="96">
        <f t="shared" si="3"/>
        <v>36075.000000000007</v>
      </c>
      <c r="Q20" s="96">
        <f t="shared" si="4"/>
        <v>0</v>
      </c>
      <c r="R20" s="187" t="s">
        <v>2455</v>
      </c>
      <c r="S20" s="187" t="s">
        <v>3607</v>
      </c>
      <c r="T20" s="94" t="s">
        <v>2857</v>
      </c>
      <c r="U20" s="395">
        <f>COUNTIF(Aggregation_of_rev_to_allocate!$A$3:$A$137,$T20)</f>
        <v>1</v>
      </c>
      <c r="V20" s="100"/>
      <c r="W20" s="100">
        <v>84</v>
      </c>
      <c r="X20" s="109">
        <v>36074.549848574919</v>
      </c>
      <c r="Y20" s="109">
        <v>0</v>
      </c>
      <c r="Z20" s="110">
        <v>0.39168467061785345</v>
      </c>
      <c r="AA20" s="110">
        <v>1</v>
      </c>
      <c r="AB20" s="110">
        <v>0</v>
      </c>
      <c r="AC20" s="109">
        <f>IF(ISERROR((X20*SUMIF('Rev_for_allocation(Hard)'!$A$3:$A$249,$T20,'Rev_for_allocation(Hard)'!$I$3:$I$249)/SUMIF(Historic_capex_list!$T$9:$T$586,$T20,Historic_capex_list!$X$9:$X$586))=TRUE),0,X20*SUMIF('Rev_for_allocation(Hard)'!$A$3:$A$249,$T20,'Rev_for_allocation(Hard)'!$I$3:$I$249)/SUMIF(Historic_capex_list!$T$9:$T$586,$T20,Historic_capex_list!$X$9:$X$586))</f>
        <v>3.5543407902557126E-4</v>
      </c>
      <c r="AD20" s="109">
        <f t="shared" si="5"/>
        <v>36074.550204009</v>
      </c>
      <c r="AE20" s="109">
        <f t="shared" si="6"/>
        <v>36074.550204009</v>
      </c>
      <c r="AF20" s="109">
        <f t="shared" si="7"/>
        <v>36074.550204009</v>
      </c>
      <c r="AG20" s="332" t="str">
        <f t="shared" si="8"/>
        <v>N</v>
      </c>
      <c r="AH20" s="332">
        <f t="shared" si="9"/>
        <v>0</v>
      </c>
      <c r="AI20" s="332">
        <f t="shared" si="10"/>
        <v>0</v>
      </c>
      <c r="AJ20" s="109">
        <f t="shared" si="11"/>
        <v>36074.550204009</v>
      </c>
      <c r="AK20" s="109">
        <f t="shared" si="12"/>
        <v>0</v>
      </c>
      <c r="AL20" s="109">
        <v>0</v>
      </c>
      <c r="AM20" s="111">
        <f t="shared" si="13"/>
        <v>0</v>
      </c>
      <c r="AN20" s="111">
        <f t="shared" si="14"/>
        <v>0</v>
      </c>
      <c r="AO20" s="111" t="str">
        <f t="shared" si="15"/>
        <v>Use deduct 3yrs</v>
      </c>
      <c r="AP20" s="111">
        <f t="shared" si="16"/>
        <v>0</v>
      </c>
      <c r="AQ20" s="112">
        <f t="shared" si="17"/>
        <v>0</v>
      </c>
      <c r="AR20" s="112">
        <f t="shared" si="18"/>
        <v>1</v>
      </c>
      <c r="AS20" s="113">
        <f t="shared" si="19"/>
        <v>2028</v>
      </c>
      <c r="AT20" s="109">
        <v>36074.550266935199</v>
      </c>
      <c r="AU20" s="114">
        <v>1</v>
      </c>
      <c r="AV20" s="113">
        <v>2028</v>
      </c>
      <c r="AW20" s="112">
        <f t="shared" si="20"/>
        <v>0.13664602373839091</v>
      </c>
      <c r="AX20" s="109">
        <f t="shared" si="21"/>
        <v>36074.550266935199</v>
      </c>
      <c r="AY20" s="109">
        <f t="shared" si="22"/>
        <v>0</v>
      </c>
      <c r="AZ20" s="109">
        <f t="shared" si="23"/>
        <v>36074.550266935199</v>
      </c>
      <c r="BA20" s="111">
        <f t="shared" si="24"/>
        <v>0</v>
      </c>
      <c r="BB20" s="117"/>
      <c r="BC20" s="115" t="str">
        <f t="shared" si="25"/>
        <v>N</v>
      </c>
      <c r="BD20" s="115" t="str">
        <f t="shared" si="26"/>
        <v>Y</v>
      </c>
      <c r="BE20" s="115" t="str">
        <f t="shared" si="27"/>
        <v>N</v>
      </c>
      <c r="BF20" s="109" t="str">
        <f t="shared" si="28"/>
        <v/>
      </c>
      <c r="BG20" s="111" t="s">
        <v>2499</v>
      </c>
      <c r="BH20" s="115" t="s">
        <v>1168</v>
      </c>
      <c r="BI20" s="116"/>
      <c r="BJ20" s="222">
        <v>0.39168467516026101</v>
      </c>
      <c r="BK20" s="265">
        <f t="shared" si="29"/>
        <v>0</v>
      </c>
      <c r="BL20" s="265">
        <f t="shared" si="30"/>
        <v>0</v>
      </c>
      <c r="BM20" s="265">
        <f t="shared" si="31"/>
        <v>2.1827872842550278E-11</v>
      </c>
      <c r="BN20" s="265">
        <f t="shared" si="32"/>
        <v>-0.45015142508782446</v>
      </c>
      <c r="BO20" s="109"/>
      <c r="BP20" s="265">
        <f t="shared" si="33"/>
        <v>-4.1836027958197519E-4</v>
      </c>
      <c r="BQ20" s="265">
        <v>-4.1836027958197519E-4</v>
      </c>
      <c r="BR20" s="265" t="e">
        <f t="shared" si="34"/>
        <v>#REF!</v>
      </c>
      <c r="BS20" s="265">
        <v>-4.713214959210158E-5</v>
      </c>
      <c r="BT20" s="475">
        <v>56026.449733064808</v>
      </c>
      <c r="BU20" s="475">
        <v>36074.550266935199</v>
      </c>
      <c r="BV20" s="475">
        <v>0</v>
      </c>
      <c r="BW20" s="483">
        <f t="shared" si="35"/>
        <v>0.44973306480824249</v>
      </c>
      <c r="BX20" s="483">
        <f t="shared" si="36"/>
        <v>0</v>
      </c>
    </row>
    <row r="21" spans="1:76" s="103" customFormat="1" ht="29">
      <c r="A21" s="100" t="s">
        <v>2502</v>
      </c>
      <c r="B21" s="91" t="str">
        <f t="shared" si="0"/>
        <v xml:space="preserve">CI </v>
      </c>
      <c r="C21" s="92" t="s">
        <v>2302</v>
      </c>
      <c r="D21" s="448" t="s">
        <v>2269</v>
      </c>
      <c r="E21" s="451">
        <v>2130321</v>
      </c>
      <c r="F21" s="409" t="s">
        <v>2536</v>
      </c>
      <c r="G21" s="467" t="s">
        <v>5032</v>
      </c>
      <c r="H21" s="398">
        <v>0.34</v>
      </c>
      <c r="I21" s="151"/>
      <c r="J21" s="95" t="s">
        <v>1166</v>
      </c>
      <c r="K21" s="191">
        <v>91185</v>
      </c>
      <c r="L21" s="269">
        <v>0.5038671180640012</v>
      </c>
      <c r="M21" s="267">
        <v>1</v>
      </c>
      <c r="N21" s="267">
        <f t="shared" si="1"/>
        <v>0</v>
      </c>
      <c r="O21" s="96">
        <f t="shared" si="2"/>
        <v>75563.658125373564</v>
      </c>
      <c r="P21" s="96">
        <f t="shared" si="3"/>
        <v>15621.341874626423</v>
      </c>
      <c r="Q21" s="96">
        <f t="shared" si="4"/>
        <v>0</v>
      </c>
      <c r="R21" s="187" t="s">
        <v>2444</v>
      </c>
      <c r="S21" s="187" t="s">
        <v>3607</v>
      </c>
      <c r="T21" s="94" t="s">
        <v>2862</v>
      </c>
      <c r="U21" s="395">
        <f>COUNTIF(Aggregation_of_rev_to_allocate!$A$3:$A$137,$T21)</f>
        <v>1</v>
      </c>
      <c r="V21" s="100"/>
      <c r="W21" s="100">
        <v>170</v>
      </c>
      <c r="X21" s="109">
        <v>17212.675869616811</v>
      </c>
      <c r="Y21" s="109">
        <v>0</v>
      </c>
      <c r="Z21" s="110">
        <v>0.55519567103776779</v>
      </c>
      <c r="AA21" s="110">
        <v>1</v>
      </c>
      <c r="AB21" s="110">
        <v>0</v>
      </c>
      <c r="AC21" s="109">
        <f>IF(ISERROR((X21*SUMIF('Rev_for_allocation(Hard)'!$A$3:$A$249,$T21,'Rev_for_allocation(Hard)'!$I$3:$I$249)/SUMIF(Historic_capex_list!$T$9:$T$586,$T21,Historic_capex_list!$X$9:$X$586))=TRUE),0,X21*SUMIF('Rev_for_allocation(Hard)'!$A$3:$A$249,$T21,'Rev_for_allocation(Hard)'!$I$3:$I$249)/SUMIF(Historic_capex_list!$T$9:$T$586,$T21,Historic_capex_list!$X$9:$X$586))</f>
        <v>-527.05057378539993</v>
      </c>
      <c r="AD21" s="109">
        <f t="shared" si="5"/>
        <v>16685.625295831411</v>
      </c>
      <c r="AE21" s="109">
        <f t="shared" si="6"/>
        <v>16685.625295831411</v>
      </c>
      <c r="AF21" s="109">
        <f t="shared" si="7"/>
        <v>16685.625295831411</v>
      </c>
      <c r="AG21" s="332" t="str">
        <f t="shared" si="8"/>
        <v>N</v>
      </c>
      <c r="AH21" s="332">
        <f t="shared" si="9"/>
        <v>0</v>
      </c>
      <c r="AI21" s="332">
        <f t="shared" si="10"/>
        <v>0</v>
      </c>
      <c r="AJ21" s="109">
        <f t="shared" si="11"/>
        <v>16685.625295831411</v>
      </c>
      <c r="AK21" s="109">
        <f t="shared" si="12"/>
        <v>0</v>
      </c>
      <c r="AL21" s="109">
        <v>0</v>
      </c>
      <c r="AM21" s="111">
        <f t="shared" si="13"/>
        <v>0</v>
      </c>
      <c r="AN21" s="111">
        <f t="shared" si="14"/>
        <v>0</v>
      </c>
      <c r="AO21" s="111" t="str">
        <f t="shared" si="15"/>
        <v>Use deduct 3yrs</v>
      </c>
      <c r="AP21" s="111">
        <f t="shared" si="16"/>
        <v>0</v>
      </c>
      <c r="AQ21" s="112">
        <f t="shared" si="17"/>
        <v>0</v>
      </c>
      <c r="AR21" s="112">
        <f t="shared" si="18"/>
        <v>1</v>
      </c>
      <c r="AS21" s="113">
        <f t="shared" si="19"/>
        <v>2028</v>
      </c>
      <c r="AT21" s="109">
        <v>15621.341874626425</v>
      </c>
      <c r="AU21" s="114">
        <v>1</v>
      </c>
      <c r="AV21" s="113">
        <v>2028</v>
      </c>
      <c r="AW21" s="112">
        <f t="shared" si="20"/>
        <v>0.5038671180640012</v>
      </c>
      <c r="AX21" s="109">
        <f t="shared" si="21"/>
        <v>15621.341874626423</v>
      </c>
      <c r="AY21" s="109">
        <f t="shared" si="22"/>
        <v>0</v>
      </c>
      <c r="AZ21" s="109">
        <f t="shared" si="23"/>
        <v>15621.341874626423</v>
      </c>
      <c r="BA21" s="111">
        <f t="shared" si="24"/>
        <v>0</v>
      </c>
      <c r="BB21" s="117"/>
      <c r="BC21" s="115" t="str">
        <f t="shared" si="25"/>
        <v>N</v>
      </c>
      <c r="BD21" s="115" t="str">
        <f t="shared" si="26"/>
        <v>Y</v>
      </c>
      <c r="BE21" s="115" t="str">
        <f t="shared" si="27"/>
        <v>N</v>
      </c>
      <c r="BF21" s="109" t="str">
        <f t="shared" si="28"/>
        <v/>
      </c>
      <c r="BG21" s="111" t="s">
        <v>2499</v>
      </c>
      <c r="BH21" s="115" t="s">
        <v>1168</v>
      </c>
      <c r="BI21" s="116"/>
      <c r="BJ21" s="222">
        <v>0.5038671180640012</v>
      </c>
      <c r="BK21" s="265">
        <f t="shared" si="29"/>
        <v>0</v>
      </c>
      <c r="BL21" s="265">
        <f t="shared" si="30"/>
        <v>0</v>
      </c>
      <c r="BM21" s="265">
        <f t="shared" si="31"/>
        <v>1.2732925824820995E-11</v>
      </c>
      <c r="BN21" s="265">
        <f t="shared" si="32"/>
        <v>1591.3339949903875</v>
      </c>
      <c r="BO21" s="109"/>
      <c r="BP21" s="265">
        <f t="shared" si="33"/>
        <v>1591.3339949903857</v>
      </c>
      <c r="BQ21" s="265">
        <v>1591.3339949903857</v>
      </c>
      <c r="BR21" s="265" t="e">
        <f t="shared" si="34"/>
        <v>#REF!</v>
      </c>
      <c r="BS21" s="265">
        <v>179.27847255916916</v>
      </c>
      <c r="BT21" s="475">
        <v>75563.658125373564</v>
      </c>
      <c r="BU21" s="475">
        <v>15621.341874626423</v>
      </c>
      <c r="BV21" s="475">
        <v>0</v>
      </c>
      <c r="BW21" s="483">
        <f t="shared" si="35"/>
        <v>0</v>
      </c>
      <c r="BX21" s="483">
        <f t="shared" si="36"/>
        <v>0</v>
      </c>
    </row>
    <row r="22" spans="1:76" s="103" customFormat="1" ht="72.5">
      <c r="A22" s="100" t="s">
        <v>2502</v>
      </c>
      <c r="B22" s="91" t="str">
        <f t="shared" si="0"/>
        <v xml:space="preserve">CI </v>
      </c>
      <c r="C22" s="92" t="s">
        <v>463</v>
      </c>
      <c r="D22" s="448" t="s">
        <v>2269</v>
      </c>
      <c r="E22" s="449" t="s">
        <v>2044</v>
      </c>
      <c r="F22" s="467" t="s">
        <v>4772</v>
      </c>
      <c r="G22" s="502" t="s">
        <v>5120</v>
      </c>
      <c r="H22" s="470">
        <v>1</v>
      </c>
      <c r="I22" s="95" t="s">
        <v>962</v>
      </c>
      <c r="J22" s="95" t="s">
        <v>1166</v>
      </c>
      <c r="K22" s="469">
        <v>278000</v>
      </c>
      <c r="L22" s="471">
        <v>0.26125539568345324</v>
      </c>
      <c r="M22" s="266">
        <v>1</v>
      </c>
      <c r="N22" s="267">
        <f t="shared" si="1"/>
        <v>0</v>
      </c>
      <c r="O22" s="96">
        <f t="shared" si="2"/>
        <v>205371</v>
      </c>
      <c r="P22" s="96">
        <f t="shared" si="3"/>
        <v>72629</v>
      </c>
      <c r="Q22" s="96">
        <f t="shared" si="4"/>
        <v>0</v>
      </c>
      <c r="R22" s="187" t="s">
        <v>2455</v>
      </c>
      <c r="S22" s="187" t="s">
        <v>3607</v>
      </c>
      <c r="T22" s="94" t="s">
        <v>2857</v>
      </c>
      <c r="U22" s="395">
        <f>COUNTIF(Aggregation_of_rev_to_allocate!$A$3:$A$137,$T22)</f>
        <v>1</v>
      </c>
      <c r="V22" s="100"/>
      <c r="W22" s="100">
        <v>85</v>
      </c>
      <c r="X22" s="109">
        <v>72629.083273407203</v>
      </c>
      <c r="Y22" s="109">
        <v>0</v>
      </c>
      <c r="Z22" s="110">
        <v>0.73705926864903437</v>
      </c>
      <c r="AA22" s="110">
        <v>1</v>
      </c>
      <c r="AB22" s="110">
        <v>0</v>
      </c>
      <c r="AC22" s="109">
        <f>IF(ISERROR((X22*SUMIF('Rev_for_allocation(Hard)'!$A$3:$A$249,$T22,'Rev_for_allocation(Hard)'!$I$3:$I$249)/SUMIF(Historic_capex_list!$T$9:$T$586,$T22,Historic_capex_list!$X$9:$X$586))=TRUE),0,X22*SUMIF('Rev_for_allocation(Hard)'!$A$3:$A$249,$T22,'Rev_for_allocation(Hard)'!$I$3:$I$249)/SUMIF(Historic_capex_list!$T$9:$T$586,$T22,Historic_capex_list!$X$9:$X$586))</f>
        <v>7.1559732365654991E-4</v>
      </c>
      <c r="AD22" s="109">
        <f t="shared" si="5"/>
        <v>72629.083989004532</v>
      </c>
      <c r="AE22" s="109">
        <f t="shared" si="6"/>
        <v>72629.083989004532</v>
      </c>
      <c r="AF22" s="109">
        <f t="shared" si="7"/>
        <v>72629.083989004532</v>
      </c>
      <c r="AG22" s="332" t="str">
        <f t="shared" si="8"/>
        <v>N</v>
      </c>
      <c r="AH22" s="332">
        <f t="shared" si="9"/>
        <v>0</v>
      </c>
      <c r="AI22" s="332">
        <f t="shared" si="10"/>
        <v>0</v>
      </c>
      <c r="AJ22" s="109">
        <f t="shared" si="11"/>
        <v>72629.083989004532</v>
      </c>
      <c r="AK22" s="109">
        <f t="shared" si="12"/>
        <v>0</v>
      </c>
      <c r="AL22" s="109">
        <v>0</v>
      </c>
      <c r="AM22" s="111">
        <f t="shared" si="13"/>
        <v>0</v>
      </c>
      <c r="AN22" s="111">
        <f t="shared" si="14"/>
        <v>0</v>
      </c>
      <c r="AO22" s="111" t="str">
        <f t="shared" si="15"/>
        <v>Use deduct 3yrs</v>
      </c>
      <c r="AP22" s="111">
        <f t="shared" si="16"/>
        <v>0</v>
      </c>
      <c r="AQ22" s="112">
        <f t="shared" si="17"/>
        <v>0</v>
      </c>
      <c r="AR22" s="112">
        <f t="shared" si="18"/>
        <v>1</v>
      </c>
      <c r="AS22" s="113">
        <f t="shared" si="19"/>
        <v>2028</v>
      </c>
      <c r="AT22" s="109">
        <v>72629.08411569419</v>
      </c>
      <c r="AU22" s="114">
        <v>1</v>
      </c>
      <c r="AV22" s="113">
        <v>2028</v>
      </c>
      <c r="AW22" s="112">
        <f t="shared" si="20"/>
        <v>0.26125569825789274</v>
      </c>
      <c r="AX22" s="109">
        <f t="shared" si="21"/>
        <v>72629.08411569419</v>
      </c>
      <c r="AY22" s="109">
        <f t="shared" si="22"/>
        <v>0</v>
      </c>
      <c r="AZ22" s="109">
        <f t="shared" si="23"/>
        <v>72629.08411569419</v>
      </c>
      <c r="BA22" s="111">
        <f t="shared" si="24"/>
        <v>0</v>
      </c>
      <c r="BB22" s="117"/>
      <c r="BC22" s="115" t="str">
        <f t="shared" si="25"/>
        <v>N</v>
      </c>
      <c r="BD22" s="115" t="str">
        <f t="shared" si="26"/>
        <v>Y</v>
      </c>
      <c r="BE22" s="115" t="str">
        <f t="shared" si="27"/>
        <v>N</v>
      </c>
      <c r="BF22" s="109" t="str">
        <f t="shared" si="28"/>
        <v/>
      </c>
      <c r="BG22" s="111" t="s">
        <v>2499</v>
      </c>
      <c r="BH22" s="115" t="s">
        <v>1168</v>
      </c>
      <c r="BI22" s="116"/>
      <c r="BJ22" s="222">
        <v>0.73705927719678699</v>
      </c>
      <c r="BK22" s="265">
        <f t="shared" si="29"/>
        <v>0</v>
      </c>
      <c r="BL22" s="265">
        <f t="shared" si="30"/>
        <v>0</v>
      </c>
      <c r="BM22" s="265">
        <f t="shared" si="31"/>
        <v>0</v>
      </c>
      <c r="BN22" s="265">
        <f t="shared" si="32"/>
        <v>8.3273407202796079E-2</v>
      </c>
      <c r="BO22" s="109"/>
      <c r="BP22" s="265">
        <f t="shared" si="33"/>
        <v>-8.4228698688093573E-4</v>
      </c>
      <c r="BQ22" s="265">
        <v>-8.4228698688093573E-4</v>
      </c>
      <c r="BR22" s="265" t="e">
        <f t="shared" si="34"/>
        <v>#REF!</v>
      </c>
      <c r="BS22" s="265">
        <v>-9.4891408679666548E-5</v>
      </c>
      <c r="BT22" s="475">
        <v>25909.915884305807</v>
      </c>
      <c r="BU22" s="475">
        <v>72629.08411569419</v>
      </c>
      <c r="BV22" s="475">
        <v>0</v>
      </c>
      <c r="BW22" s="483">
        <f t="shared" si="35"/>
        <v>-8.4115694189677015E-2</v>
      </c>
      <c r="BX22" s="483">
        <f t="shared" si="36"/>
        <v>0</v>
      </c>
    </row>
    <row r="23" spans="1:76" s="103" customFormat="1" ht="29">
      <c r="A23" s="100" t="s">
        <v>2502</v>
      </c>
      <c r="B23" s="91" t="str">
        <f t="shared" si="0"/>
        <v xml:space="preserve">CI </v>
      </c>
      <c r="C23" s="92" t="s">
        <v>463</v>
      </c>
      <c r="D23" s="448" t="s">
        <v>2269</v>
      </c>
      <c r="E23" s="449">
        <v>2130102</v>
      </c>
      <c r="F23" s="467" t="s">
        <v>954</v>
      </c>
      <c r="G23" s="467" t="s">
        <v>4953</v>
      </c>
      <c r="H23" s="398">
        <v>1</v>
      </c>
      <c r="I23" s="95" t="s">
        <v>890</v>
      </c>
      <c r="J23" s="95" t="s">
        <v>1166</v>
      </c>
      <c r="K23" s="191">
        <v>626919</v>
      </c>
      <c r="L23" s="268">
        <v>0.69399622363802815</v>
      </c>
      <c r="M23" s="266">
        <v>1</v>
      </c>
      <c r="N23" s="267">
        <f t="shared" si="1"/>
        <v>0</v>
      </c>
      <c r="O23" s="96">
        <f t="shared" si="2"/>
        <v>191839.58147307104</v>
      </c>
      <c r="P23" s="96">
        <f t="shared" si="3"/>
        <v>435079.41852692899</v>
      </c>
      <c r="Q23" s="96">
        <f t="shared" si="4"/>
        <v>0</v>
      </c>
      <c r="R23" s="187" t="s">
        <v>2457</v>
      </c>
      <c r="S23" s="187" t="s">
        <v>3607</v>
      </c>
      <c r="T23" s="94" t="s">
        <v>2859</v>
      </c>
      <c r="U23" s="395">
        <f>COUNTIF(Aggregation_of_rev_to_allocate!$A$3:$A$137,$T23)</f>
        <v>1</v>
      </c>
      <c r="V23" s="100"/>
      <c r="W23" s="100">
        <v>136</v>
      </c>
      <c r="X23" s="109">
        <v>435079.41527560551</v>
      </c>
      <c r="Y23" s="109">
        <v>0</v>
      </c>
      <c r="Z23" s="110">
        <v>0.69399621845183435</v>
      </c>
      <c r="AA23" s="110">
        <v>1</v>
      </c>
      <c r="AB23" s="110">
        <v>0</v>
      </c>
      <c r="AC23" s="109">
        <f>IF(ISERROR((X23*SUMIF('Rev_for_allocation(Hard)'!$A$3:$A$249,$T23,'Rev_for_allocation(Hard)'!$I$3:$I$249)/SUMIF(Historic_capex_list!$T$9:$T$586,$T23,Historic_capex_list!$X$9:$X$586))=TRUE),0,X23*SUMIF('Rev_for_allocation(Hard)'!$A$3:$A$249,$T23,'Rev_for_allocation(Hard)'!$I$3:$I$249)/SUMIF(Historic_capex_list!$T$9:$T$586,$T23,Historic_capex_list!$X$9:$X$586))</f>
        <v>3.2513234666809339E-3</v>
      </c>
      <c r="AD23" s="109">
        <f t="shared" si="5"/>
        <v>435079.41852692899</v>
      </c>
      <c r="AE23" s="109">
        <f t="shared" si="6"/>
        <v>435079.41852692899</v>
      </c>
      <c r="AF23" s="109">
        <f t="shared" si="7"/>
        <v>435079.41852692899</v>
      </c>
      <c r="AG23" s="332" t="str">
        <f t="shared" si="8"/>
        <v>N</v>
      </c>
      <c r="AH23" s="332">
        <f t="shared" si="9"/>
        <v>0</v>
      </c>
      <c r="AI23" s="332">
        <f t="shared" si="10"/>
        <v>0</v>
      </c>
      <c r="AJ23" s="109">
        <f t="shared" si="11"/>
        <v>435079.41852692899</v>
      </c>
      <c r="AK23" s="109">
        <f t="shared" si="12"/>
        <v>0</v>
      </c>
      <c r="AL23" s="109">
        <v>0</v>
      </c>
      <c r="AM23" s="111">
        <f t="shared" si="13"/>
        <v>0</v>
      </c>
      <c r="AN23" s="111">
        <f t="shared" si="14"/>
        <v>0</v>
      </c>
      <c r="AO23" s="111" t="str">
        <f t="shared" si="15"/>
        <v>Use deduct 3yrs</v>
      </c>
      <c r="AP23" s="111">
        <f t="shared" si="16"/>
        <v>0</v>
      </c>
      <c r="AQ23" s="112">
        <f t="shared" si="17"/>
        <v>0</v>
      </c>
      <c r="AR23" s="112">
        <f t="shared" si="18"/>
        <v>1</v>
      </c>
      <c r="AS23" s="113">
        <f t="shared" si="19"/>
        <v>2028</v>
      </c>
      <c r="AT23" s="109">
        <v>435079.41852692899</v>
      </c>
      <c r="AU23" s="114">
        <v>1</v>
      </c>
      <c r="AV23" s="113">
        <v>2028</v>
      </c>
      <c r="AW23" s="112">
        <f t="shared" si="20"/>
        <v>0.69399622363802815</v>
      </c>
      <c r="AX23" s="109">
        <f t="shared" si="21"/>
        <v>435079.41852692899</v>
      </c>
      <c r="AY23" s="109">
        <f t="shared" si="22"/>
        <v>0</v>
      </c>
      <c r="AZ23" s="109">
        <f t="shared" si="23"/>
        <v>435079.41852692899</v>
      </c>
      <c r="BA23" s="111">
        <f t="shared" si="24"/>
        <v>0</v>
      </c>
      <c r="BB23" s="117"/>
      <c r="BC23" s="115" t="str">
        <f t="shared" si="25"/>
        <v>N</v>
      </c>
      <c r="BD23" s="115" t="str">
        <f t="shared" si="26"/>
        <v>Y</v>
      </c>
      <c r="BE23" s="115" t="str">
        <f t="shared" si="27"/>
        <v>N</v>
      </c>
      <c r="BF23" s="109" t="str">
        <f t="shared" si="28"/>
        <v/>
      </c>
      <c r="BG23" s="111" t="s">
        <v>2499</v>
      </c>
      <c r="BH23" s="115" t="s">
        <v>1168</v>
      </c>
      <c r="BI23" s="116"/>
      <c r="BJ23" s="222">
        <v>0.69399622363802815</v>
      </c>
      <c r="BK23" s="265">
        <f t="shared" si="29"/>
        <v>0</v>
      </c>
      <c r="BL23" s="265">
        <f t="shared" si="30"/>
        <v>0</v>
      </c>
      <c r="BM23" s="265">
        <f t="shared" si="31"/>
        <v>0</v>
      </c>
      <c r="BN23" s="265">
        <f t="shared" si="32"/>
        <v>-3.251323476433754E-3</v>
      </c>
      <c r="BO23" s="109"/>
      <c r="BP23" s="265">
        <f t="shared" si="33"/>
        <v>-3.251323476433754E-3</v>
      </c>
      <c r="BQ23" s="265">
        <v>-3.251323476433754E-3</v>
      </c>
      <c r="BR23" s="265" t="e">
        <f t="shared" si="34"/>
        <v>#REF!</v>
      </c>
      <c r="BS23" s="265">
        <v>-3.6629161978930319E-4</v>
      </c>
      <c r="BT23" s="475">
        <v>191839.58147307104</v>
      </c>
      <c r="BU23" s="475">
        <v>435079.41852692899</v>
      </c>
      <c r="BV23" s="475">
        <v>0</v>
      </c>
      <c r="BW23" s="483">
        <f t="shared" si="35"/>
        <v>0</v>
      </c>
      <c r="BX23" s="483">
        <f t="shared" si="36"/>
        <v>0</v>
      </c>
    </row>
    <row r="24" spans="1:76" s="103" customFormat="1" ht="58">
      <c r="A24" s="100" t="s">
        <v>2503</v>
      </c>
      <c r="B24" s="91" t="str">
        <f t="shared" si="0"/>
        <v xml:space="preserve">CI </v>
      </c>
      <c r="C24" s="92" t="s">
        <v>2275</v>
      </c>
      <c r="D24" s="448" t="s">
        <v>2269</v>
      </c>
      <c r="E24" s="451">
        <v>2010173</v>
      </c>
      <c r="F24" s="409" t="s">
        <v>2918</v>
      </c>
      <c r="G24" s="502" t="s">
        <v>5236</v>
      </c>
      <c r="H24" s="398">
        <v>0.96</v>
      </c>
      <c r="I24" s="151"/>
      <c r="J24" s="95" t="s">
        <v>1166</v>
      </c>
      <c r="K24" s="191">
        <v>665370.90999999992</v>
      </c>
      <c r="L24" s="269">
        <v>0.86775551242322024</v>
      </c>
      <c r="M24" s="267">
        <v>1</v>
      </c>
      <c r="N24" s="267">
        <f t="shared" si="1"/>
        <v>0</v>
      </c>
      <c r="O24" s="96">
        <f t="shared" si="2"/>
        <v>111086.80603978783</v>
      </c>
      <c r="P24" s="96">
        <f t="shared" si="3"/>
        <v>554284.10396021209</v>
      </c>
      <c r="Q24" s="96">
        <f t="shared" si="4"/>
        <v>0</v>
      </c>
      <c r="R24" s="187" t="s">
        <v>2456</v>
      </c>
      <c r="S24" s="187" t="s">
        <v>3607</v>
      </c>
      <c r="T24" s="94" t="s">
        <v>2858</v>
      </c>
      <c r="U24" s="395">
        <f>COUNTIF(Aggregation_of_rev_to_allocate!$A$3:$A$137,$T24)</f>
        <v>1</v>
      </c>
      <c r="V24" s="100"/>
      <c r="W24" s="100">
        <v>128</v>
      </c>
      <c r="X24" s="109">
        <v>625477.4057329233</v>
      </c>
      <c r="Y24" s="109">
        <v>0</v>
      </c>
      <c r="Z24" s="110">
        <v>0.97921167654463359</v>
      </c>
      <c r="AA24" s="110">
        <v>1</v>
      </c>
      <c r="AB24" s="110">
        <v>0</v>
      </c>
      <c r="AC24" s="109">
        <f>IF(ISERROR((X24*SUMIF('Rev_for_allocation(Hard)'!$A$3:$A$249,$T24,'Rev_for_allocation(Hard)'!$I$3:$I$249)/SUMIF(Historic_capex_list!$T$9:$T$586,$T24,Historic_capex_list!$X$9:$X$586))=TRUE),0,X24*SUMIF('Rev_for_allocation(Hard)'!$A$3:$A$249,$T24,'Rev_for_allocation(Hard)'!$I$3:$I$249)/SUMIF(Historic_capex_list!$T$9:$T$586,$T24,Historic_capex_list!$X$9:$X$586))</f>
        <v>-71193.301772711158</v>
      </c>
      <c r="AD24" s="109">
        <f t="shared" si="5"/>
        <v>554284.10396021209</v>
      </c>
      <c r="AE24" s="109">
        <f t="shared" si="6"/>
        <v>554284.10396021209</v>
      </c>
      <c r="AF24" s="109">
        <f t="shared" si="7"/>
        <v>554284.10396021209</v>
      </c>
      <c r="AG24" s="332" t="str">
        <f t="shared" si="8"/>
        <v>N</v>
      </c>
      <c r="AH24" s="332">
        <f t="shared" si="9"/>
        <v>0</v>
      </c>
      <c r="AI24" s="332">
        <f t="shared" si="10"/>
        <v>0</v>
      </c>
      <c r="AJ24" s="109">
        <f t="shared" si="11"/>
        <v>554284.10396021209</v>
      </c>
      <c r="AK24" s="109">
        <f t="shared" si="12"/>
        <v>0</v>
      </c>
      <c r="AL24" s="109">
        <v>0</v>
      </c>
      <c r="AM24" s="111">
        <f t="shared" si="13"/>
        <v>0</v>
      </c>
      <c r="AN24" s="111">
        <f t="shared" si="14"/>
        <v>0</v>
      </c>
      <c r="AO24" s="111" t="str">
        <f t="shared" si="15"/>
        <v>Use deduct 3yrs</v>
      </c>
      <c r="AP24" s="111">
        <f t="shared" si="16"/>
        <v>0</v>
      </c>
      <c r="AQ24" s="112">
        <f t="shared" si="17"/>
        <v>0</v>
      </c>
      <c r="AR24" s="112">
        <f t="shared" si="18"/>
        <v>1</v>
      </c>
      <c r="AS24" s="113">
        <f t="shared" si="19"/>
        <v>2028</v>
      </c>
      <c r="AT24" s="109">
        <v>554284.10396021209</v>
      </c>
      <c r="AU24" s="114">
        <v>1</v>
      </c>
      <c r="AV24" s="113">
        <v>2028</v>
      </c>
      <c r="AW24" s="112">
        <f t="shared" si="20"/>
        <v>0.86775551242322024</v>
      </c>
      <c r="AX24" s="109">
        <f t="shared" si="21"/>
        <v>554284.10396021209</v>
      </c>
      <c r="AY24" s="109">
        <f t="shared" si="22"/>
        <v>0</v>
      </c>
      <c r="AZ24" s="109">
        <f t="shared" si="23"/>
        <v>554284.10396021209</v>
      </c>
      <c r="BA24" s="111">
        <f t="shared" si="24"/>
        <v>0</v>
      </c>
      <c r="BB24" s="117"/>
      <c r="BC24" s="115" t="str">
        <f t="shared" si="25"/>
        <v>N</v>
      </c>
      <c r="BD24" s="115" t="str">
        <f t="shared" si="26"/>
        <v>Y</v>
      </c>
      <c r="BE24" s="115" t="str">
        <f t="shared" si="27"/>
        <v>N</v>
      </c>
      <c r="BF24" s="109" t="str">
        <f t="shared" si="28"/>
        <v/>
      </c>
      <c r="BG24" s="111" t="s">
        <v>2499</v>
      </c>
      <c r="BH24" s="115" t="s">
        <v>1168</v>
      </c>
      <c r="BI24" s="116"/>
      <c r="BJ24" s="222">
        <v>0.86775551242322024</v>
      </c>
      <c r="BK24" s="265">
        <f t="shared" si="29"/>
        <v>0</v>
      </c>
      <c r="BL24" s="265">
        <f t="shared" si="30"/>
        <v>0</v>
      </c>
      <c r="BM24" s="265">
        <f t="shared" si="31"/>
        <v>0</v>
      </c>
      <c r="BN24" s="265">
        <f t="shared" si="32"/>
        <v>71193.301772711216</v>
      </c>
      <c r="BO24" s="109"/>
      <c r="BP24" s="265">
        <f t="shared" si="33"/>
        <v>71193.301772711216</v>
      </c>
      <c r="BQ24" s="265">
        <v>71193.301772711216</v>
      </c>
      <c r="BR24" s="265" t="e">
        <f t="shared" si="34"/>
        <v>#REF!</v>
      </c>
      <c r="BS24" s="265">
        <v>8020.5830067325178</v>
      </c>
      <c r="BT24" s="475">
        <v>111086.80603978783</v>
      </c>
      <c r="BU24" s="475">
        <v>554284.10396021209</v>
      </c>
      <c r="BV24" s="475">
        <v>0</v>
      </c>
      <c r="BW24" s="483">
        <f t="shared" si="35"/>
        <v>0</v>
      </c>
      <c r="BX24" s="483">
        <f t="shared" si="36"/>
        <v>0</v>
      </c>
    </row>
    <row r="25" spans="1:76" s="103" customFormat="1" ht="29">
      <c r="A25" s="100" t="s">
        <v>2503</v>
      </c>
      <c r="B25" s="91" t="str">
        <f t="shared" si="0"/>
        <v xml:space="preserve">CI </v>
      </c>
      <c r="C25" s="92"/>
      <c r="D25" s="448" t="s">
        <v>2269</v>
      </c>
      <c r="E25" s="450">
        <v>2010170</v>
      </c>
      <c r="F25" s="384" t="s">
        <v>2919</v>
      </c>
      <c r="G25" s="384" t="s">
        <v>4675</v>
      </c>
      <c r="H25" s="398">
        <v>0.34</v>
      </c>
      <c r="I25" s="95"/>
      <c r="J25" s="95" t="s">
        <v>1166</v>
      </c>
      <c r="K25" s="191">
        <v>1565947.03</v>
      </c>
      <c r="L25" s="268">
        <v>1.0000000115971033</v>
      </c>
      <c r="M25" s="266">
        <v>1</v>
      </c>
      <c r="N25" s="267">
        <f t="shared" si="1"/>
        <v>0</v>
      </c>
      <c r="O25" s="96">
        <f t="shared" si="2"/>
        <v>1033525.0336254471</v>
      </c>
      <c r="P25" s="96">
        <f t="shared" si="3"/>
        <v>532421.99637455284</v>
      </c>
      <c r="Q25" s="96">
        <f t="shared" si="4"/>
        <v>0</v>
      </c>
      <c r="R25" s="187" t="s">
        <v>2455</v>
      </c>
      <c r="S25" s="187" t="s">
        <v>3607</v>
      </c>
      <c r="T25" s="94" t="s">
        <v>2857</v>
      </c>
      <c r="U25" s="395">
        <f>COUNTIF(Aggregation_of_rev_to_allocate!$A$3:$A$137,$T25)</f>
        <v>1</v>
      </c>
      <c r="V25" s="100"/>
      <c r="W25" s="100">
        <v>737</v>
      </c>
      <c r="X25" s="109">
        <v>532421.9902</v>
      </c>
      <c r="Y25" s="109">
        <v>0</v>
      </c>
      <c r="Z25" s="110">
        <v>1</v>
      </c>
      <c r="AA25" s="110">
        <v>1</v>
      </c>
      <c r="AB25" s="110">
        <v>0</v>
      </c>
      <c r="AC25" s="109">
        <f>IF(ISERROR((X25*SUMIF('Rev_for_allocation(Hard)'!$A$3:$A$249,$T25,'Rev_for_allocation(Hard)'!$I$3:$I$249)/SUMIF(Historic_capex_list!$T$9:$T$586,$T25,Historic_capex_list!$X$9:$X$586))=TRUE),0,X25*SUMIF('Rev_for_allocation(Hard)'!$A$3:$A$249,$T25,'Rev_for_allocation(Hard)'!$I$3:$I$249)/SUMIF(Historic_capex_list!$T$9:$T$586,$T25,Historic_capex_list!$X$9:$X$586))</f>
        <v>5.2458289995037715E-3</v>
      </c>
      <c r="AD25" s="109">
        <f t="shared" si="5"/>
        <v>532421.995445829</v>
      </c>
      <c r="AE25" s="109">
        <f t="shared" si="6"/>
        <v>532421.995445829</v>
      </c>
      <c r="AF25" s="109">
        <f t="shared" si="7"/>
        <v>532421.995445829</v>
      </c>
      <c r="AG25" s="332" t="str">
        <f t="shared" si="8"/>
        <v>N</v>
      </c>
      <c r="AH25" s="332">
        <f t="shared" si="9"/>
        <v>0</v>
      </c>
      <c r="AI25" s="332">
        <f t="shared" si="10"/>
        <v>0</v>
      </c>
      <c r="AJ25" s="109">
        <f t="shared" si="11"/>
        <v>532421.995445829</v>
      </c>
      <c r="AK25" s="109">
        <f t="shared" si="12"/>
        <v>0</v>
      </c>
      <c r="AL25" s="109">
        <v>0</v>
      </c>
      <c r="AM25" s="111">
        <f t="shared" si="13"/>
        <v>0</v>
      </c>
      <c r="AN25" s="111">
        <f t="shared" si="14"/>
        <v>0</v>
      </c>
      <c r="AO25" s="111" t="str">
        <f t="shared" si="15"/>
        <v>Use deduct 3yrs</v>
      </c>
      <c r="AP25" s="111">
        <f t="shared" si="16"/>
        <v>0</v>
      </c>
      <c r="AQ25" s="112">
        <f t="shared" si="17"/>
        <v>0</v>
      </c>
      <c r="AR25" s="112">
        <f t="shared" si="18"/>
        <v>1</v>
      </c>
      <c r="AS25" s="113">
        <f t="shared" si="19"/>
        <v>2028</v>
      </c>
      <c r="AT25" s="109">
        <v>532421.99637455284</v>
      </c>
      <c r="AU25" s="114">
        <v>1</v>
      </c>
      <c r="AV25" s="113">
        <v>2028</v>
      </c>
      <c r="AW25" s="112">
        <f t="shared" si="20"/>
        <v>1.0000000115971033</v>
      </c>
      <c r="AX25" s="109">
        <f t="shared" si="21"/>
        <v>532421.99637455284</v>
      </c>
      <c r="AY25" s="109">
        <f t="shared" si="22"/>
        <v>0</v>
      </c>
      <c r="AZ25" s="109">
        <f t="shared" si="23"/>
        <v>532421.99637455284</v>
      </c>
      <c r="BA25" s="111">
        <f t="shared" si="24"/>
        <v>0</v>
      </c>
      <c r="BB25" s="117"/>
      <c r="BC25" s="115" t="str">
        <f t="shared" si="25"/>
        <v>N</v>
      </c>
      <c r="BD25" s="115" t="str">
        <f t="shared" si="26"/>
        <v>Y</v>
      </c>
      <c r="BE25" s="115" t="str">
        <f t="shared" si="27"/>
        <v>N</v>
      </c>
      <c r="BF25" s="109" t="str">
        <f t="shared" si="28"/>
        <v/>
      </c>
      <c r="BG25" s="111" t="s">
        <v>2499</v>
      </c>
      <c r="BH25" s="115" t="s">
        <v>1168</v>
      </c>
      <c r="BI25" s="116"/>
      <c r="BJ25" s="222">
        <v>1.0000000115971033</v>
      </c>
      <c r="BK25" s="265">
        <f t="shared" si="29"/>
        <v>0</v>
      </c>
      <c r="BL25" s="265">
        <f t="shared" si="30"/>
        <v>0</v>
      </c>
      <c r="BM25" s="265">
        <f t="shared" si="31"/>
        <v>1.1641532182693481E-10</v>
      </c>
      <c r="BN25" s="265">
        <f t="shared" si="32"/>
        <v>-6.1745528364554048E-3</v>
      </c>
      <c r="BO25" s="109"/>
      <c r="BP25" s="265">
        <f t="shared" si="33"/>
        <v>-6.1745528364554048E-3</v>
      </c>
      <c r="BQ25" s="265">
        <v>-6.1745528364554048E-3</v>
      </c>
      <c r="BR25" s="265" t="e">
        <f t="shared" si="34"/>
        <v>#REF!</v>
      </c>
      <c r="BS25" s="265">
        <v>-6.956204069921213E-4</v>
      </c>
      <c r="BT25" s="475">
        <v>1033525.0336254471</v>
      </c>
      <c r="BU25" s="475">
        <v>532421.99637455284</v>
      </c>
      <c r="BV25" s="475">
        <v>0</v>
      </c>
      <c r="BW25" s="483">
        <f t="shared" si="35"/>
        <v>0</v>
      </c>
      <c r="BX25" s="483">
        <f t="shared" si="36"/>
        <v>0</v>
      </c>
    </row>
    <row r="26" spans="1:76" s="103" customFormat="1" ht="29">
      <c r="A26" s="100" t="s">
        <v>2506</v>
      </c>
      <c r="B26" s="91" t="str">
        <f t="shared" si="0"/>
        <v xml:space="preserve">CI </v>
      </c>
      <c r="C26" s="92" t="s">
        <v>462</v>
      </c>
      <c r="D26" s="448" t="s">
        <v>2269</v>
      </c>
      <c r="E26" s="453"/>
      <c r="F26" s="467" t="s">
        <v>2544</v>
      </c>
      <c r="G26" s="384" t="s">
        <v>4676</v>
      </c>
      <c r="H26" s="470">
        <v>1</v>
      </c>
      <c r="I26" s="407" t="s">
        <v>956</v>
      </c>
      <c r="J26" s="95" t="s">
        <v>1166</v>
      </c>
      <c r="K26" s="469">
        <v>4085054</v>
      </c>
      <c r="L26" s="268">
        <v>0.95839763906496933</v>
      </c>
      <c r="M26" s="266">
        <v>1</v>
      </c>
      <c r="N26" s="267">
        <f t="shared" si="1"/>
        <v>0</v>
      </c>
      <c r="O26" s="96">
        <f t="shared" si="2"/>
        <v>169947.89094709078</v>
      </c>
      <c r="P26" s="96">
        <f t="shared" si="3"/>
        <v>3915106.1090529091</v>
      </c>
      <c r="Q26" s="96">
        <f t="shared" si="4"/>
        <v>0</v>
      </c>
      <c r="R26" s="187" t="s">
        <v>2549</v>
      </c>
      <c r="S26" s="187" t="s">
        <v>3607</v>
      </c>
      <c r="T26" s="94" t="s">
        <v>2855</v>
      </c>
      <c r="U26" s="395">
        <f>COUNTIF(Aggregation_of_rev_to_allocate!$A$3:$A$137,$T26)</f>
        <v>1</v>
      </c>
      <c r="V26" s="100"/>
      <c r="W26" s="100">
        <v>50</v>
      </c>
      <c r="X26" s="109">
        <v>4014767.8738329979</v>
      </c>
      <c r="Y26" s="109">
        <v>0</v>
      </c>
      <c r="Z26" s="110">
        <v>0.97921167654463359</v>
      </c>
      <c r="AA26" s="110">
        <v>1</v>
      </c>
      <c r="AB26" s="110">
        <v>0</v>
      </c>
      <c r="AC26" s="109">
        <f>IF(ISERROR((X26*SUMIF('Rev_for_allocation(Hard)'!$A$3:$A$249,$T26,'Rev_for_allocation(Hard)'!$I$3:$I$249)/SUMIF(Historic_capex_list!$T$9:$T$586,$T26,Historic_capex_list!$X$9:$X$586))=TRUE),0,X26*SUMIF('Rev_for_allocation(Hard)'!$A$3:$A$249,$T26,'Rev_for_allocation(Hard)'!$I$3:$I$249)/SUMIF(Historic_capex_list!$T$9:$T$586,$T26,Historic_capex_list!$X$9:$X$586))</f>
        <v>-85337.553666623819</v>
      </c>
      <c r="AD26" s="109">
        <f t="shared" si="5"/>
        <v>3929430.3201663741</v>
      </c>
      <c r="AE26" s="109">
        <f t="shared" si="6"/>
        <v>3929430.3201663741</v>
      </c>
      <c r="AF26" s="109">
        <f t="shared" si="7"/>
        <v>3929430.3201663741</v>
      </c>
      <c r="AG26" s="332" t="str">
        <f t="shared" si="8"/>
        <v>N</v>
      </c>
      <c r="AH26" s="332">
        <f t="shared" si="9"/>
        <v>0</v>
      </c>
      <c r="AI26" s="332">
        <f t="shared" si="10"/>
        <v>0</v>
      </c>
      <c r="AJ26" s="109">
        <f t="shared" si="11"/>
        <v>3929430.3201663741</v>
      </c>
      <c r="AK26" s="109">
        <f t="shared" si="12"/>
        <v>0</v>
      </c>
      <c r="AL26" s="109">
        <v>0</v>
      </c>
      <c r="AM26" s="111">
        <f t="shared" si="13"/>
        <v>0</v>
      </c>
      <c r="AN26" s="111">
        <f t="shared" si="14"/>
        <v>0</v>
      </c>
      <c r="AO26" s="111" t="str">
        <f t="shared" si="15"/>
        <v>Use deduct 3yrs</v>
      </c>
      <c r="AP26" s="111">
        <f t="shared" si="16"/>
        <v>0</v>
      </c>
      <c r="AQ26" s="112">
        <f t="shared" si="17"/>
        <v>0</v>
      </c>
      <c r="AR26" s="112">
        <f t="shared" si="18"/>
        <v>1</v>
      </c>
      <c r="AS26" s="113">
        <f t="shared" si="19"/>
        <v>2028</v>
      </c>
      <c r="AT26" s="109">
        <v>3929430.3201663741</v>
      </c>
      <c r="AU26" s="114">
        <v>1</v>
      </c>
      <c r="AV26" s="113">
        <v>2028</v>
      </c>
      <c r="AW26" s="112">
        <f t="shared" si="20"/>
        <v>0.96190413154058041</v>
      </c>
      <c r="AX26" s="109">
        <f t="shared" si="21"/>
        <v>3929430.3201663741</v>
      </c>
      <c r="AY26" s="109">
        <f t="shared" si="22"/>
        <v>0</v>
      </c>
      <c r="AZ26" s="109">
        <f t="shared" si="23"/>
        <v>3929430.3201663741</v>
      </c>
      <c r="BA26" s="111">
        <f t="shared" si="24"/>
        <v>0</v>
      </c>
      <c r="BB26" s="117"/>
      <c r="BC26" s="115" t="str">
        <f t="shared" si="25"/>
        <v>N</v>
      </c>
      <c r="BD26" s="115" t="str">
        <f t="shared" si="26"/>
        <v>Y</v>
      </c>
      <c r="BE26" s="115" t="str">
        <f t="shared" si="27"/>
        <v>N</v>
      </c>
      <c r="BF26" s="109" t="str">
        <f t="shared" si="28"/>
        <v/>
      </c>
      <c r="BG26" s="111" t="s">
        <v>2499</v>
      </c>
      <c r="BH26" s="115" t="s">
        <v>1168</v>
      </c>
      <c r="BI26" s="116"/>
      <c r="BJ26" s="222">
        <v>0.95839763906496933</v>
      </c>
      <c r="BK26" s="265">
        <f t="shared" si="29"/>
        <v>0</v>
      </c>
      <c r="BL26" s="265">
        <f t="shared" si="30"/>
        <v>0</v>
      </c>
      <c r="BM26" s="265">
        <f t="shared" si="31"/>
        <v>0</v>
      </c>
      <c r="BN26" s="265">
        <f t="shared" si="32"/>
        <v>99661.764780088793</v>
      </c>
      <c r="BO26" s="109"/>
      <c r="BP26" s="265">
        <f t="shared" si="33"/>
        <v>85337.553666623775</v>
      </c>
      <c r="BQ26" s="265">
        <v>85337.553666623775</v>
      </c>
      <c r="BR26" s="265" t="e">
        <f t="shared" si="34"/>
        <v>#REF!</v>
      </c>
      <c r="BS26" s="265">
        <v>9614.0636230050932</v>
      </c>
      <c r="BT26" s="475">
        <v>170569.67983362573</v>
      </c>
      <c r="BU26" s="475">
        <v>3929430.3201663741</v>
      </c>
      <c r="BV26" s="475">
        <v>0</v>
      </c>
      <c r="BW26" s="483">
        <f t="shared" si="35"/>
        <v>-14324.211113465019</v>
      </c>
      <c r="BX26" s="483">
        <f t="shared" si="36"/>
        <v>0</v>
      </c>
    </row>
    <row r="27" spans="1:76" s="103" customFormat="1" ht="29">
      <c r="A27" s="100" t="s">
        <v>2502</v>
      </c>
      <c r="B27" s="91" t="str">
        <f t="shared" si="0"/>
        <v xml:space="preserve">CI </v>
      </c>
      <c r="C27" s="92" t="s">
        <v>463</v>
      </c>
      <c r="D27" s="448" t="s">
        <v>2269</v>
      </c>
      <c r="E27" s="449">
        <v>2130105</v>
      </c>
      <c r="F27" s="467" t="s">
        <v>955</v>
      </c>
      <c r="G27" s="467" t="s">
        <v>4954</v>
      </c>
      <c r="H27" s="398">
        <v>1</v>
      </c>
      <c r="I27" s="95" t="s">
        <v>890</v>
      </c>
      <c r="J27" s="95" t="s">
        <v>1166</v>
      </c>
      <c r="K27" s="191">
        <v>323019</v>
      </c>
      <c r="L27" s="268">
        <v>0.87238991388604181</v>
      </c>
      <c r="M27" s="266">
        <v>1</v>
      </c>
      <c r="N27" s="267">
        <f t="shared" si="1"/>
        <v>0</v>
      </c>
      <c r="O27" s="96">
        <f t="shared" si="2"/>
        <v>41220.482406444658</v>
      </c>
      <c r="P27" s="96">
        <f t="shared" si="3"/>
        <v>281798.51759355533</v>
      </c>
      <c r="Q27" s="96">
        <f t="shared" si="4"/>
        <v>0</v>
      </c>
      <c r="R27" s="187" t="s">
        <v>2457</v>
      </c>
      <c r="S27" s="187" t="s">
        <v>3607</v>
      </c>
      <c r="T27" s="94" t="s">
        <v>2859</v>
      </c>
      <c r="U27" s="395">
        <f>COUNTIF(Aggregation_of_rev_to_allocate!$A$3:$A$137,$T27)</f>
        <v>1</v>
      </c>
      <c r="V27" s="100"/>
      <c r="W27" s="100">
        <v>137</v>
      </c>
      <c r="X27" s="109">
        <v>281798.51548769121</v>
      </c>
      <c r="Y27" s="109">
        <v>0</v>
      </c>
      <c r="Z27" s="110">
        <v>0.87238990736672217</v>
      </c>
      <c r="AA27" s="110">
        <v>1</v>
      </c>
      <c r="AB27" s="110">
        <v>0</v>
      </c>
      <c r="AC27" s="109">
        <f>IF(ISERROR((X27*SUMIF('Rev_for_allocation(Hard)'!$A$3:$A$249,$T27,'Rev_for_allocation(Hard)'!$I$3:$I$249)/SUMIF(Historic_capex_list!$T$9:$T$586,$T27,Historic_capex_list!$X$9:$X$586))=TRUE),0,X27*SUMIF('Rev_for_allocation(Hard)'!$A$3:$A$249,$T27,'Rev_for_allocation(Hard)'!$I$3:$I$249)/SUMIF(Historic_capex_list!$T$9:$T$586,$T27,Historic_capex_list!$X$9:$X$586))</f>
        <v>2.105864111499261E-3</v>
      </c>
      <c r="AD27" s="109">
        <f t="shared" si="5"/>
        <v>281798.51759355533</v>
      </c>
      <c r="AE27" s="109">
        <f t="shared" si="6"/>
        <v>281798.51759355533</v>
      </c>
      <c r="AF27" s="109">
        <f t="shared" si="7"/>
        <v>281798.51759355533</v>
      </c>
      <c r="AG27" s="332" t="str">
        <f t="shared" si="8"/>
        <v>N</v>
      </c>
      <c r="AH27" s="332">
        <f t="shared" si="9"/>
        <v>0</v>
      </c>
      <c r="AI27" s="332">
        <f t="shared" si="10"/>
        <v>0</v>
      </c>
      <c r="AJ27" s="109">
        <f t="shared" si="11"/>
        <v>281798.51759355533</v>
      </c>
      <c r="AK27" s="109">
        <f t="shared" si="12"/>
        <v>0</v>
      </c>
      <c r="AL27" s="109">
        <v>0</v>
      </c>
      <c r="AM27" s="111">
        <f t="shared" si="13"/>
        <v>0</v>
      </c>
      <c r="AN27" s="111">
        <f t="shared" si="14"/>
        <v>0</v>
      </c>
      <c r="AO27" s="111" t="str">
        <f t="shared" si="15"/>
        <v>Use deduct 3yrs</v>
      </c>
      <c r="AP27" s="111">
        <f t="shared" si="16"/>
        <v>0</v>
      </c>
      <c r="AQ27" s="112">
        <f t="shared" si="17"/>
        <v>0</v>
      </c>
      <c r="AR27" s="112">
        <f t="shared" si="18"/>
        <v>1</v>
      </c>
      <c r="AS27" s="113">
        <f t="shared" si="19"/>
        <v>2028</v>
      </c>
      <c r="AT27" s="109">
        <v>281798.51759355533</v>
      </c>
      <c r="AU27" s="114">
        <v>1</v>
      </c>
      <c r="AV27" s="113">
        <v>2028</v>
      </c>
      <c r="AW27" s="112">
        <f t="shared" si="20"/>
        <v>0.87238991388604181</v>
      </c>
      <c r="AX27" s="109">
        <f t="shared" si="21"/>
        <v>281798.51759355533</v>
      </c>
      <c r="AY27" s="109">
        <f t="shared" si="22"/>
        <v>0</v>
      </c>
      <c r="AZ27" s="109">
        <f t="shared" si="23"/>
        <v>281798.51759355533</v>
      </c>
      <c r="BA27" s="111">
        <f t="shared" si="24"/>
        <v>0</v>
      </c>
      <c r="BB27" s="117"/>
      <c r="BC27" s="115" t="str">
        <f t="shared" si="25"/>
        <v>N</v>
      </c>
      <c r="BD27" s="115" t="str">
        <f t="shared" si="26"/>
        <v>Y</v>
      </c>
      <c r="BE27" s="115" t="str">
        <f t="shared" si="27"/>
        <v>N</v>
      </c>
      <c r="BF27" s="109" t="str">
        <f t="shared" si="28"/>
        <v/>
      </c>
      <c r="BG27" s="111" t="s">
        <v>2499</v>
      </c>
      <c r="BH27" s="115" t="s">
        <v>1168</v>
      </c>
      <c r="BI27" s="116"/>
      <c r="BJ27" s="222">
        <v>0.87238991388604181</v>
      </c>
      <c r="BK27" s="265">
        <f t="shared" si="29"/>
        <v>0</v>
      </c>
      <c r="BL27" s="265">
        <f t="shared" si="30"/>
        <v>0</v>
      </c>
      <c r="BM27" s="265">
        <f t="shared" si="31"/>
        <v>0</v>
      </c>
      <c r="BN27" s="265">
        <f t="shared" si="32"/>
        <v>-2.1058641141280532E-3</v>
      </c>
      <c r="BO27" s="109"/>
      <c r="BP27" s="265">
        <f t="shared" si="33"/>
        <v>-2.1058641141280532E-3</v>
      </c>
      <c r="BQ27" s="265">
        <v>-2.1058641141280532E-3</v>
      </c>
      <c r="BR27" s="265" t="e">
        <f t="shared" si="34"/>
        <v>#REF!</v>
      </c>
      <c r="BS27" s="265">
        <v>-2.3724504282982166E-4</v>
      </c>
      <c r="BT27" s="475">
        <v>41220.482406444658</v>
      </c>
      <c r="BU27" s="475">
        <v>281798.51759355533</v>
      </c>
      <c r="BV27" s="475">
        <v>0</v>
      </c>
      <c r="BW27" s="483">
        <f t="shared" si="35"/>
        <v>0</v>
      </c>
      <c r="BX27" s="483">
        <f t="shared" si="36"/>
        <v>0</v>
      </c>
    </row>
    <row r="28" spans="1:76" s="103" customFormat="1" ht="29">
      <c r="A28" s="100" t="s">
        <v>2502</v>
      </c>
      <c r="B28" s="91" t="str">
        <f t="shared" si="0"/>
        <v xml:space="preserve">CI </v>
      </c>
      <c r="C28" s="92" t="s">
        <v>2268</v>
      </c>
      <c r="D28" s="448" t="s">
        <v>2269</v>
      </c>
      <c r="E28" s="451">
        <v>3200834</v>
      </c>
      <c r="F28" s="409" t="s">
        <v>2315</v>
      </c>
      <c r="G28" s="384" t="s">
        <v>4677</v>
      </c>
      <c r="H28" s="398">
        <v>0.25</v>
      </c>
      <c r="I28" s="151" t="s">
        <v>2627</v>
      </c>
      <c r="J28" s="151" t="s">
        <v>1166</v>
      </c>
      <c r="K28" s="191">
        <v>512060.1</v>
      </c>
      <c r="L28" s="269">
        <v>0.88418658309757026</v>
      </c>
      <c r="M28" s="267">
        <v>1</v>
      </c>
      <c r="N28" s="267">
        <f t="shared" si="1"/>
        <v>0</v>
      </c>
      <c r="O28" s="96">
        <f t="shared" si="2"/>
        <v>398870.93246009992</v>
      </c>
      <c r="P28" s="96">
        <f t="shared" si="3"/>
        <v>113189.16753990002</v>
      </c>
      <c r="Q28" s="96">
        <f t="shared" si="4"/>
        <v>0</v>
      </c>
      <c r="R28" s="187" t="s">
        <v>2268</v>
      </c>
      <c r="S28" s="187" t="s">
        <v>3608</v>
      </c>
      <c r="T28" s="94" t="s">
        <v>2842</v>
      </c>
      <c r="U28" s="395">
        <f>COUNTIF(Aggregation_of_rev_to_allocate!$A$3:$A$137,$T28)</f>
        <v>1</v>
      </c>
      <c r="V28" s="100"/>
      <c r="W28" s="100">
        <v>5</v>
      </c>
      <c r="X28" s="109">
        <v>125353.80725315319</v>
      </c>
      <c r="Y28" s="109">
        <v>0</v>
      </c>
      <c r="Z28" s="110">
        <v>0.9792116765446337</v>
      </c>
      <c r="AA28" s="110">
        <v>1</v>
      </c>
      <c r="AB28" s="110">
        <v>0</v>
      </c>
      <c r="AC28" s="109">
        <f>IF(ISERROR((X28*SUMIF('Rev_for_allocation(Hard)'!$A$3:$A$249,$T28,'Rev_for_allocation(Hard)'!$I$3:$I$249)/SUMIF(Historic_capex_list!$T$9:$T$586,$T28,Historic_capex_list!$X$9:$X$586))=TRUE),0,X28*SUMIF('Rev_for_allocation(Hard)'!$A$3:$A$249,$T28,'Rev_for_allocation(Hard)'!$I$3:$I$249)/SUMIF(Historic_capex_list!$T$9:$T$586,$T28,Historic_capex_list!$X$9:$X$586))</f>
        <v>-9666.4875617624984</v>
      </c>
      <c r="AD28" s="109">
        <f t="shared" si="5"/>
        <v>115687.3196913907</v>
      </c>
      <c r="AE28" s="109">
        <f t="shared" si="6"/>
        <v>115687.3196913907</v>
      </c>
      <c r="AF28" s="109">
        <f t="shared" si="7"/>
        <v>115687.3196913907</v>
      </c>
      <c r="AG28" s="332" t="str">
        <f t="shared" si="8"/>
        <v>N</v>
      </c>
      <c r="AH28" s="332">
        <f t="shared" si="9"/>
        <v>0</v>
      </c>
      <c r="AI28" s="332">
        <f t="shared" si="10"/>
        <v>0</v>
      </c>
      <c r="AJ28" s="109">
        <f t="shared" si="11"/>
        <v>115687.3196913907</v>
      </c>
      <c r="AK28" s="109">
        <f t="shared" si="12"/>
        <v>0</v>
      </c>
      <c r="AL28" s="109">
        <v>0</v>
      </c>
      <c r="AM28" s="111">
        <f t="shared" si="13"/>
        <v>0</v>
      </c>
      <c r="AN28" s="111">
        <f t="shared" si="14"/>
        <v>0</v>
      </c>
      <c r="AO28" s="111" t="str">
        <f t="shared" si="15"/>
        <v>Use deduct 3yrs</v>
      </c>
      <c r="AP28" s="111">
        <f t="shared" si="16"/>
        <v>0</v>
      </c>
      <c r="AQ28" s="112">
        <f t="shared" si="17"/>
        <v>0</v>
      </c>
      <c r="AR28" s="112">
        <f t="shared" si="18"/>
        <v>1</v>
      </c>
      <c r="AS28" s="113">
        <f t="shared" si="19"/>
        <v>2028</v>
      </c>
      <c r="AT28" s="109">
        <v>113189.16753990002</v>
      </c>
      <c r="AU28" s="114">
        <v>1</v>
      </c>
      <c r="AV28" s="113">
        <v>2028</v>
      </c>
      <c r="AW28" s="112">
        <f t="shared" si="20"/>
        <v>0.88418658309757026</v>
      </c>
      <c r="AX28" s="109">
        <f t="shared" si="21"/>
        <v>113189.16753990002</v>
      </c>
      <c r="AY28" s="109">
        <f t="shared" si="22"/>
        <v>0</v>
      </c>
      <c r="AZ28" s="109">
        <f t="shared" si="23"/>
        <v>113189.16753990002</v>
      </c>
      <c r="BA28" s="111">
        <f t="shared" si="24"/>
        <v>0</v>
      </c>
      <c r="BB28" s="117"/>
      <c r="BC28" s="115" t="str">
        <f t="shared" si="25"/>
        <v>N</v>
      </c>
      <c r="BD28" s="115" t="str">
        <f t="shared" si="26"/>
        <v>Y</v>
      </c>
      <c r="BE28" s="115" t="str">
        <f t="shared" si="27"/>
        <v>N</v>
      </c>
      <c r="BF28" s="109" t="str">
        <f t="shared" si="28"/>
        <v/>
      </c>
      <c r="BG28" s="111" t="s">
        <v>2499</v>
      </c>
      <c r="BH28" s="115" t="s">
        <v>1168</v>
      </c>
      <c r="BI28" s="116"/>
      <c r="BJ28" s="222">
        <v>0.88418658309757026</v>
      </c>
      <c r="BK28" s="265">
        <f t="shared" si="29"/>
        <v>0</v>
      </c>
      <c r="BL28" s="265">
        <f t="shared" si="30"/>
        <v>0</v>
      </c>
      <c r="BM28" s="265">
        <f t="shared" si="31"/>
        <v>2.9103830456733704E-11</v>
      </c>
      <c r="BN28" s="265">
        <f t="shared" si="32"/>
        <v>12164.639713253171</v>
      </c>
      <c r="BO28" s="109"/>
      <c r="BP28" s="265">
        <f t="shared" si="33"/>
        <v>12164.639713253171</v>
      </c>
      <c r="BQ28" s="265">
        <v>12164.639713253171</v>
      </c>
      <c r="BR28" s="265" t="e">
        <f t="shared" si="34"/>
        <v>#REF!</v>
      </c>
      <c r="BS28" s="265">
        <v>1370.4590198475676</v>
      </c>
      <c r="BT28" s="475">
        <v>398870.93246009992</v>
      </c>
      <c r="BU28" s="475">
        <v>113189.16753990002</v>
      </c>
      <c r="BV28" s="475">
        <v>0</v>
      </c>
      <c r="BW28" s="483">
        <f t="shared" si="35"/>
        <v>0</v>
      </c>
      <c r="BX28" s="483">
        <f t="shared" si="36"/>
        <v>0</v>
      </c>
    </row>
    <row r="29" spans="1:76" s="103" customFormat="1" ht="29">
      <c r="A29" s="100" t="s">
        <v>2502</v>
      </c>
      <c r="B29" s="91" t="str">
        <f t="shared" si="0"/>
        <v xml:space="preserve">CI </v>
      </c>
      <c r="C29" s="92" t="s">
        <v>463</v>
      </c>
      <c r="D29" s="448" t="s">
        <v>2269</v>
      </c>
      <c r="E29" s="449">
        <v>2130279</v>
      </c>
      <c r="F29" s="384" t="s">
        <v>2901</v>
      </c>
      <c r="G29" s="467" t="s">
        <v>4677</v>
      </c>
      <c r="H29" s="398">
        <v>0.5</v>
      </c>
      <c r="I29" s="95" t="s">
        <v>952</v>
      </c>
      <c r="J29" s="95" t="s">
        <v>1166</v>
      </c>
      <c r="K29" s="191">
        <v>1778922.72</v>
      </c>
      <c r="L29" s="268">
        <v>0.14689008495784814</v>
      </c>
      <c r="M29" s="266">
        <v>1</v>
      </c>
      <c r="N29" s="267">
        <f t="shared" si="1"/>
        <v>0</v>
      </c>
      <c r="O29" s="96">
        <f t="shared" si="2"/>
        <v>1648269.6652628768</v>
      </c>
      <c r="P29" s="96">
        <f t="shared" si="3"/>
        <v>130653.05473712315</v>
      </c>
      <c r="Q29" s="96">
        <f t="shared" si="4"/>
        <v>0</v>
      </c>
      <c r="R29" s="187" t="s">
        <v>2454</v>
      </c>
      <c r="S29" s="187" t="s">
        <v>3607</v>
      </c>
      <c r="T29" s="94" t="s">
        <v>2856</v>
      </c>
      <c r="U29" s="395">
        <f>COUNTIF(Aggregation_of_rev_to_allocate!$A$3:$A$137,$T29)</f>
        <v>1</v>
      </c>
      <c r="V29" s="100"/>
      <c r="W29" s="100">
        <v>73</v>
      </c>
      <c r="X29" s="109">
        <v>435485.47477363498</v>
      </c>
      <c r="Y29" s="109">
        <v>0</v>
      </c>
      <c r="Z29" s="110">
        <v>0.48960583827231685</v>
      </c>
      <c r="AA29" s="110">
        <v>1</v>
      </c>
      <c r="AB29" s="110">
        <v>0</v>
      </c>
      <c r="AC29" s="109">
        <f>IF(ISERROR((X29*SUMIF('Rev_for_allocation(Hard)'!$A$3:$A$249,$T29,'Rev_for_allocation(Hard)'!$I$3:$I$249)/SUMIF(Historic_capex_list!$T$9:$T$586,$T29,Historic_capex_list!$X$9:$X$586))=TRUE),0,X29*SUMIF('Rev_for_allocation(Hard)'!$A$3:$A$249,$T29,'Rev_for_allocation(Hard)'!$I$3:$I$249)/SUMIF(Historic_capex_list!$T$9:$T$586,$T29,Historic_capex_list!$X$9:$X$586))</f>
        <v>-304832.42003651184</v>
      </c>
      <c r="AD29" s="109">
        <f t="shared" si="5"/>
        <v>130653.05473712314</v>
      </c>
      <c r="AE29" s="109">
        <f t="shared" si="6"/>
        <v>130653.05473712314</v>
      </c>
      <c r="AF29" s="109">
        <f t="shared" si="7"/>
        <v>130653.05473712314</v>
      </c>
      <c r="AG29" s="332" t="str">
        <f t="shared" si="8"/>
        <v>N</v>
      </c>
      <c r="AH29" s="332">
        <f t="shared" si="9"/>
        <v>0</v>
      </c>
      <c r="AI29" s="332">
        <f t="shared" si="10"/>
        <v>0</v>
      </c>
      <c r="AJ29" s="109">
        <f t="shared" si="11"/>
        <v>130653.05473712314</v>
      </c>
      <c r="AK29" s="109">
        <f t="shared" si="12"/>
        <v>0</v>
      </c>
      <c r="AL29" s="109">
        <v>0</v>
      </c>
      <c r="AM29" s="111">
        <f t="shared" si="13"/>
        <v>0</v>
      </c>
      <c r="AN29" s="111">
        <f t="shared" si="14"/>
        <v>0</v>
      </c>
      <c r="AO29" s="111">
        <f t="shared" si="15"/>
        <v>-13.331442242191848</v>
      </c>
      <c r="AP29" s="111">
        <f t="shared" si="16"/>
        <v>0</v>
      </c>
      <c r="AQ29" s="112">
        <f t="shared" si="17"/>
        <v>0</v>
      </c>
      <c r="AR29" s="112">
        <f t="shared" si="18"/>
        <v>1</v>
      </c>
      <c r="AS29" s="113">
        <f t="shared" si="19"/>
        <v>2028</v>
      </c>
      <c r="AT29" s="109">
        <v>130653.05473712314</v>
      </c>
      <c r="AU29" s="114">
        <v>1</v>
      </c>
      <c r="AV29" s="113">
        <v>2028</v>
      </c>
      <c r="AW29" s="112">
        <f t="shared" si="20"/>
        <v>0.14689008495784814</v>
      </c>
      <c r="AX29" s="109">
        <f t="shared" si="21"/>
        <v>130653.05473712315</v>
      </c>
      <c r="AY29" s="109">
        <f t="shared" si="22"/>
        <v>0</v>
      </c>
      <c r="AZ29" s="109">
        <f t="shared" si="23"/>
        <v>130653.05473712315</v>
      </c>
      <c r="BA29" s="111">
        <f t="shared" si="24"/>
        <v>0</v>
      </c>
      <c r="BB29" s="117"/>
      <c r="BC29" s="115" t="str">
        <f t="shared" si="25"/>
        <v>N</v>
      </c>
      <c r="BD29" s="115" t="str">
        <f t="shared" si="26"/>
        <v>Y</v>
      </c>
      <c r="BE29" s="115" t="str">
        <f t="shared" si="27"/>
        <v>N</v>
      </c>
      <c r="BF29" s="109" t="str">
        <f t="shared" si="28"/>
        <v/>
      </c>
      <c r="BG29" s="111" t="s">
        <v>2499</v>
      </c>
      <c r="BH29" s="115" t="s">
        <v>1168</v>
      </c>
      <c r="BI29" s="116"/>
      <c r="BJ29" s="222">
        <v>0.14689008495784814</v>
      </c>
      <c r="BK29" s="265">
        <f t="shared" si="29"/>
        <v>0</v>
      </c>
      <c r="BL29" s="265">
        <f t="shared" si="30"/>
        <v>0</v>
      </c>
      <c r="BM29" s="265">
        <f t="shared" si="31"/>
        <v>4.3655745685100555E-11</v>
      </c>
      <c r="BN29" s="265">
        <f t="shared" si="32"/>
        <v>304832.42003651184</v>
      </c>
      <c r="BO29" s="109"/>
      <c r="BP29" s="265">
        <f t="shared" si="33"/>
        <v>304832.42003651184</v>
      </c>
      <c r="BQ29" s="265">
        <v>304832.42003651184</v>
      </c>
      <c r="BR29" s="265" t="e">
        <f t="shared" si="34"/>
        <v>#REF!</v>
      </c>
      <c r="BS29" s="265">
        <v>34342.187637982999</v>
      </c>
      <c r="BT29" s="475">
        <v>1648269.6652628768</v>
      </c>
      <c r="BU29" s="475">
        <v>130653.05473712315</v>
      </c>
      <c r="BV29" s="475">
        <v>0</v>
      </c>
      <c r="BW29" s="483">
        <f t="shared" si="35"/>
        <v>0</v>
      </c>
      <c r="BX29" s="483">
        <f t="shared" si="36"/>
        <v>0</v>
      </c>
    </row>
    <row r="30" spans="1:76" s="511" customFormat="1" ht="14.5">
      <c r="A30" s="100" t="s">
        <v>2502</v>
      </c>
      <c r="B30" s="91" t="str">
        <f t="shared" si="0"/>
        <v xml:space="preserve">CI </v>
      </c>
      <c r="C30" s="92" t="s">
        <v>463</v>
      </c>
      <c r="D30" s="448" t="s">
        <v>2269</v>
      </c>
      <c r="E30" s="449" t="s">
        <v>2028</v>
      </c>
      <c r="F30" s="467" t="s">
        <v>4790</v>
      </c>
      <c r="G30" s="502" t="s">
        <v>5237</v>
      </c>
      <c r="H30" s="470">
        <v>0.75</v>
      </c>
      <c r="I30" s="95" t="s">
        <v>962</v>
      </c>
      <c r="J30" s="95" t="s">
        <v>1166</v>
      </c>
      <c r="K30" s="469">
        <v>616000</v>
      </c>
      <c r="L30" s="471">
        <v>0.70443073593073602</v>
      </c>
      <c r="M30" s="266">
        <v>1</v>
      </c>
      <c r="N30" s="267">
        <f t="shared" si="1"/>
        <v>0</v>
      </c>
      <c r="O30" s="96">
        <f t="shared" si="2"/>
        <v>290553</v>
      </c>
      <c r="P30" s="96">
        <f t="shared" si="3"/>
        <v>325447</v>
      </c>
      <c r="Q30" s="96">
        <f t="shared" si="4"/>
        <v>0</v>
      </c>
      <c r="R30" s="187" t="s">
        <v>2455</v>
      </c>
      <c r="S30" s="187" t="s">
        <v>3607</v>
      </c>
      <c r="T30" s="94" t="s">
        <v>2857</v>
      </c>
      <c r="U30" s="395">
        <f>COUNTIF(Aggregation_of_rev_to_allocate!$A$3:$A$137,$T30)</f>
        <v>1</v>
      </c>
      <c r="V30" s="100"/>
      <c r="W30" s="100">
        <v>89</v>
      </c>
      <c r="X30" s="109">
        <v>325447.04595344386</v>
      </c>
      <c r="Y30" s="109">
        <v>0</v>
      </c>
      <c r="Z30" s="110">
        <v>0.73705926864903448</v>
      </c>
      <c r="AA30" s="110">
        <v>1</v>
      </c>
      <c r="AB30" s="110">
        <v>0</v>
      </c>
      <c r="AC30" s="109">
        <f>IF(ISERROR((X30*SUMIF('Rev_for_allocation(Hard)'!$A$3:$A$249,$T30,'Rev_for_allocation(Hard)'!$I$3:$I$249)/SUMIF(Historic_capex_list!$T$9:$T$586,$T30,Historic_capex_list!$X$9:$X$586))=TRUE),0,X30*SUMIF('Rev_for_allocation(Hard)'!$A$3:$A$249,$T30,'Rev_for_allocation(Hard)'!$I$3:$I$249)/SUMIF(Historic_capex_list!$T$9:$T$586,$T30,Historic_capex_list!$X$9:$X$586))</f>
        <v>3.2065534160677731E-3</v>
      </c>
      <c r="AD30" s="109">
        <f t="shared" si="5"/>
        <v>325447.04915999726</v>
      </c>
      <c r="AE30" s="109">
        <f t="shared" si="6"/>
        <v>325447.04915999726</v>
      </c>
      <c r="AF30" s="109">
        <f t="shared" si="7"/>
        <v>325447.04915999726</v>
      </c>
      <c r="AG30" s="332" t="str">
        <f t="shared" si="8"/>
        <v>N</v>
      </c>
      <c r="AH30" s="332">
        <f t="shared" si="9"/>
        <v>0</v>
      </c>
      <c r="AI30" s="332">
        <f t="shared" si="10"/>
        <v>0</v>
      </c>
      <c r="AJ30" s="109">
        <f t="shared" si="11"/>
        <v>325447.04915999726</v>
      </c>
      <c r="AK30" s="109">
        <f t="shared" si="12"/>
        <v>0</v>
      </c>
      <c r="AL30" s="109">
        <v>0</v>
      </c>
      <c r="AM30" s="111">
        <f t="shared" si="13"/>
        <v>0</v>
      </c>
      <c r="AN30" s="111">
        <f t="shared" si="14"/>
        <v>0</v>
      </c>
      <c r="AO30" s="111" t="str">
        <f t="shared" si="15"/>
        <v>Use deduct 3yrs</v>
      </c>
      <c r="AP30" s="111">
        <f t="shared" si="16"/>
        <v>0</v>
      </c>
      <c r="AQ30" s="112">
        <f t="shared" si="17"/>
        <v>0</v>
      </c>
      <c r="AR30" s="112">
        <f t="shared" si="18"/>
        <v>1</v>
      </c>
      <c r="AS30" s="113">
        <f t="shared" si="19"/>
        <v>2028</v>
      </c>
      <c r="AT30" s="109">
        <v>325447.04972768686</v>
      </c>
      <c r="AU30" s="114">
        <v>1</v>
      </c>
      <c r="AV30" s="113">
        <v>2028</v>
      </c>
      <c r="AW30" s="112">
        <f t="shared" si="20"/>
        <v>0.70443084356642172</v>
      </c>
      <c r="AX30" s="109">
        <f t="shared" si="21"/>
        <v>325447.0497276868</v>
      </c>
      <c r="AY30" s="109">
        <f t="shared" si="22"/>
        <v>0</v>
      </c>
      <c r="AZ30" s="109">
        <f t="shared" si="23"/>
        <v>325447.0497276868</v>
      </c>
      <c r="BA30" s="111">
        <f t="shared" si="24"/>
        <v>0</v>
      </c>
      <c r="BB30" s="117"/>
      <c r="BC30" s="115" t="str">
        <f t="shared" si="25"/>
        <v>N</v>
      </c>
      <c r="BD30" s="115" t="str">
        <f t="shared" si="26"/>
        <v>Y</v>
      </c>
      <c r="BE30" s="115" t="str">
        <f t="shared" si="27"/>
        <v>N</v>
      </c>
      <c r="BF30" s="109" t="str">
        <f t="shared" si="28"/>
        <v/>
      </c>
      <c r="BG30" s="111" t="s">
        <v>2499</v>
      </c>
      <c r="BH30" s="115" t="s">
        <v>1168</v>
      </c>
      <c r="BI30" s="116"/>
      <c r="BJ30" s="222">
        <v>0.73705927719678688</v>
      </c>
      <c r="BK30" s="265">
        <f t="shared" si="29"/>
        <v>0</v>
      </c>
      <c r="BL30" s="265">
        <f t="shared" si="30"/>
        <v>0</v>
      </c>
      <c r="BM30" s="265">
        <f t="shared" si="31"/>
        <v>0</v>
      </c>
      <c r="BN30" s="265">
        <f t="shared" si="32"/>
        <v>4.5953443855978549E-2</v>
      </c>
      <c r="BO30" s="109"/>
      <c r="BP30" s="265">
        <f t="shared" si="33"/>
        <v>-3.7742429994978011E-3</v>
      </c>
      <c r="BQ30" s="265">
        <v>-3.7742429994978011E-3</v>
      </c>
      <c r="BR30" s="265" t="e">
        <f t="shared" si="34"/>
        <v>#REF!</v>
      </c>
      <c r="BS30" s="265">
        <v>-4.2520333389923647E-4</v>
      </c>
      <c r="BT30" s="475">
        <v>116100.95027231314</v>
      </c>
      <c r="BU30" s="475">
        <v>325447.04972768686</v>
      </c>
      <c r="BV30" s="475">
        <v>0</v>
      </c>
      <c r="BW30" s="483">
        <f t="shared" si="35"/>
        <v>-4.972768685547635E-2</v>
      </c>
      <c r="BX30" s="483">
        <f t="shared" si="36"/>
        <v>0</v>
      </c>
    </row>
    <row r="31" spans="1:76" s="103" customFormat="1" ht="58">
      <c r="A31" s="100" t="s">
        <v>2502</v>
      </c>
      <c r="B31" s="91" t="str">
        <f t="shared" si="0"/>
        <v xml:space="preserve">CI </v>
      </c>
      <c r="C31" s="92" t="s">
        <v>2274</v>
      </c>
      <c r="D31" s="448" t="s">
        <v>2269</v>
      </c>
      <c r="E31" s="451">
        <v>3200824</v>
      </c>
      <c r="F31" s="409" t="s">
        <v>2360</v>
      </c>
      <c r="G31" s="467" t="s">
        <v>5016</v>
      </c>
      <c r="H31" s="398">
        <v>0.25</v>
      </c>
      <c r="I31" s="151"/>
      <c r="J31" s="95" t="s">
        <v>1166</v>
      </c>
      <c r="K31" s="191">
        <v>2084750.65</v>
      </c>
      <c r="L31" s="269">
        <v>0.80343688157411619</v>
      </c>
      <c r="M31" s="267">
        <v>1</v>
      </c>
      <c r="N31" s="267">
        <f t="shared" si="1"/>
        <v>0</v>
      </c>
      <c r="O31" s="96">
        <f t="shared" si="2"/>
        <v>1666009.2597260969</v>
      </c>
      <c r="P31" s="96">
        <f t="shared" si="3"/>
        <v>418741.39027390291</v>
      </c>
      <c r="Q31" s="96">
        <f t="shared" si="4"/>
        <v>0</v>
      </c>
      <c r="R31" s="187" t="s">
        <v>2553</v>
      </c>
      <c r="S31" s="187" t="s">
        <v>3607</v>
      </c>
      <c r="T31" s="94" t="s">
        <v>2852</v>
      </c>
      <c r="U31" s="395">
        <f>COUNTIF(Aggregation_of_rev_to_allocate!$A$3:$A$137,$T31)</f>
        <v>1</v>
      </c>
      <c r="V31" s="100"/>
      <c r="W31" s="100">
        <v>58</v>
      </c>
      <c r="X31" s="109">
        <v>510353.04479100363</v>
      </c>
      <c r="Y31" s="109">
        <v>0</v>
      </c>
      <c r="Z31" s="110">
        <v>0.97921167654463359</v>
      </c>
      <c r="AA31" s="110">
        <v>1</v>
      </c>
      <c r="AB31" s="110">
        <v>0</v>
      </c>
      <c r="AC31" s="109">
        <f>IF(ISERROR((X31*SUMIF('Rev_for_allocation(Hard)'!$A$3:$A$249,$T31,'Rev_for_allocation(Hard)'!$I$3:$I$249)/SUMIF(Historic_capex_list!$T$9:$T$586,$T31,Historic_capex_list!$X$9:$X$586))=TRUE),0,X31*SUMIF('Rev_for_allocation(Hard)'!$A$3:$A$249,$T31,'Rev_for_allocation(Hard)'!$I$3:$I$249)/SUMIF(Historic_capex_list!$T$9:$T$586,$T31,Historic_capex_list!$X$9:$X$586))</f>
        <v>-91611.654517100746</v>
      </c>
      <c r="AD31" s="109">
        <f t="shared" si="5"/>
        <v>418741.39027390291</v>
      </c>
      <c r="AE31" s="109">
        <f t="shared" si="6"/>
        <v>418741.39027390291</v>
      </c>
      <c r="AF31" s="109">
        <f t="shared" si="7"/>
        <v>418741.39027390291</v>
      </c>
      <c r="AG31" s="332" t="str">
        <f t="shared" si="8"/>
        <v>N</v>
      </c>
      <c r="AH31" s="332">
        <f t="shared" si="9"/>
        <v>0</v>
      </c>
      <c r="AI31" s="332">
        <f t="shared" si="10"/>
        <v>0</v>
      </c>
      <c r="AJ31" s="109">
        <f t="shared" si="11"/>
        <v>418741.39027390291</v>
      </c>
      <c r="AK31" s="109">
        <f t="shared" si="12"/>
        <v>0</v>
      </c>
      <c r="AL31" s="109">
        <v>0</v>
      </c>
      <c r="AM31" s="111">
        <f t="shared" si="13"/>
        <v>0</v>
      </c>
      <c r="AN31" s="111">
        <f t="shared" si="14"/>
        <v>0</v>
      </c>
      <c r="AO31" s="111" t="str">
        <f t="shared" si="15"/>
        <v>Use deduct 3yrs</v>
      </c>
      <c r="AP31" s="111">
        <f t="shared" si="16"/>
        <v>0</v>
      </c>
      <c r="AQ31" s="112">
        <f t="shared" si="17"/>
        <v>0</v>
      </c>
      <c r="AR31" s="112">
        <f t="shared" si="18"/>
        <v>1</v>
      </c>
      <c r="AS31" s="113">
        <f t="shared" si="19"/>
        <v>2028</v>
      </c>
      <c r="AT31" s="109">
        <v>418741.39027390291</v>
      </c>
      <c r="AU31" s="114">
        <v>1</v>
      </c>
      <c r="AV31" s="113">
        <v>2028</v>
      </c>
      <c r="AW31" s="112">
        <f t="shared" si="20"/>
        <v>0.80343688157411619</v>
      </c>
      <c r="AX31" s="109">
        <f t="shared" si="21"/>
        <v>418741.39027390291</v>
      </c>
      <c r="AY31" s="109">
        <f t="shared" si="22"/>
        <v>0</v>
      </c>
      <c r="AZ31" s="109">
        <f t="shared" si="23"/>
        <v>418741.39027390291</v>
      </c>
      <c r="BA31" s="111">
        <f t="shared" si="24"/>
        <v>0</v>
      </c>
      <c r="BB31" s="117"/>
      <c r="BC31" s="115" t="str">
        <f t="shared" si="25"/>
        <v>N</v>
      </c>
      <c r="BD31" s="115" t="str">
        <f t="shared" si="26"/>
        <v>Y</v>
      </c>
      <c r="BE31" s="115" t="str">
        <f t="shared" si="27"/>
        <v>N</v>
      </c>
      <c r="BF31" s="109" t="str">
        <f t="shared" si="28"/>
        <v/>
      </c>
      <c r="BG31" s="111" t="s">
        <v>2499</v>
      </c>
      <c r="BH31" s="115" t="s">
        <v>1168</v>
      </c>
      <c r="BI31" s="116"/>
      <c r="BJ31" s="222">
        <v>0.80343688157411619</v>
      </c>
      <c r="BK31" s="265">
        <f t="shared" si="29"/>
        <v>0</v>
      </c>
      <c r="BL31" s="265">
        <f t="shared" si="30"/>
        <v>0</v>
      </c>
      <c r="BM31" s="265">
        <f t="shared" si="31"/>
        <v>1.1641532182693481E-10</v>
      </c>
      <c r="BN31" s="265">
        <f t="shared" si="32"/>
        <v>91611.654517100716</v>
      </c>
      <c r="BO31" s="109"/>
      <c r="BP31" s="265">
        <f t="shared" si="33"/>
        <v>91611.654517100716</v>
      </c>
      <c r="BQ31" s="265">
        <v>91611.654517100716</v>
      </c>
      <c r="BR31" s="265" t="e">
        <f t="shared" si="34"/>
        <v>#REF!</v>
      </c>
      <c r="BS31" s="265">
        <v>10320.899033231144</v>
      </c>
      <c r="BT31" s="475">
        <v>1666009.2597260969</v>
      </c>
      <c r="BU31" s="475">
        <v>418741.39027390291</v>
      </c>
      <c r="BV31" s="475">
        <v>0</v>
      </c>
      <c r="BW31" s="483">
        <f t="shared" si="35"/>
        <v>0</v>
      </c>
      <c r="BX31" s="483">
        <f t="shared" si="36"/>
        <v>0</v>
      </c>
    </row>
    <row r="32" spans="1:76" s="103" customFormat="1" ht="58">
      <c r="A32" s="100" t="s">
        <v>2502</v>
      </c>
      <c r="B32" s="91" t="str">
        <f t="shared" si="0"/>
        <v xml:space="preserve">CI </v>
      </c>
      <c r="C32" s="92" t="s">
        <v>2274</v>
      </c>
      <c r="D32" s="448" t="s">
        <v>2269</v>
      </c>
      <c r="E32" s="451">
        <v>3200824</v>
      </c>
      <c r="F32" s="409" t="s">
        <v>2360</v>
      </c>
      <c r="G32" s="467" t="s">
        <v>5016</v>
      </c>
      <c r="H32" s="398">
        <v>0.25</v>
      </c>
      <c r="I32" s="151"/>
      <c r="J32" s="95" t="s">
        <v>1166</v>
      </c>
      <c r="K32" s="191">
        <v>3231455.8600000003</v>
      </c>
      <c r="L32" s="269">
        <v>0.80343688157411608</v>
      </c>
      <c r="M32" s="267">
        <v>1</v>
      </c>
      <c r="N32" s="267">
        <f t="shared" si="1"/>
        <v>0</v>
      </c>
      <c r="O32" s="96">
        <f t="shared" si="2"/>
        <v>2582388.1552242995</v>
      </c>
      <c r="P32" s="96">
        <f t="shared" si="3"/>
        <v>649067.70477570093</v>
      </c>
      <c r="Q32" s="96">
        <f t="shared" si="4"/>
        <v>0</v>
      </c>
      <c r="R32" s="187" t="s">
        <v>2553</v>
      </c>
      <c r="S32" s="187" t="s">
        <v>3607</v>
      </c>
      <c r="T32" s="94" t="s">
        <v>2852</v>
      </c>
      <c r="U32" s="395">
        <f>COUNTIF(Aggregation_of_rev_to_allocate!$A$3:$A$137,$T32)</f>
        <v>1</v>
      </c>
      <c r="V32" s="100"/>
      <c r="W32" s="100">
        <v>59</v>
      </c>
      <c r="X32" s="109">
        <v>791069.82758764527</v>
      </c>
      <c r="Y32" s="109">
        <v>0</v>
      </c>
      <c r="Z32" s="110">
        <v>0.97921167654463359</v>
      </c>
      <c r="AA32" s="110">
        <v>1</v>
      </c>
      <c r="AB32" s="110">
        <v>0</v>
      </c>
      <c r="AC32" s="109">
        <f>IF(ISERROR((X32*SUMIF('Rev_for_allocation(Hard)'!$A$3:$A$249,$T32,'Rev_for_allocation(Hard)'!$I$3:$I$249)/SUMIF(Historic_capex_list!$T$9:$T$586,$T32,Historic_capex_list!$X$9:$X$586))=TRUE),0,X32*SUMIF('Rev_for_allocation(Hard)'!$A$3:$A$249,$T32,'Rev_for_allocation(Hard)'!$I$3:$I$249)/SUMIF(Historic_capex_list!$T$9:$T$586,$T32,Historic_capex_list!$X$9:$X$586))</f>
        <v>-142002.12281194431</v>
      </c>
      <c r="AD32" s="109">
        <f t="shared" si="5"/>
        <v>649067.70477570093</v>
      </c>
      <c r="AE32" s="109">
        <f t="shared" si="6"/>
        <v>649067.70477570093</v>
      </c>
      <c r="AF32" s="109">
        <f t="shared" si="7"/>
        <v>649067.70477570093</v>
      </c>
      <c r="AG32" s="332" t="str">
        <f t="shared" si="8"/>
        <v>N</v>
      </c>
      <c r="AH32" s="332">
        <f t="shared" si="9"/>
        <v>0</v>
      </c>
      <c r="AI32" s="332">
        <f t="shared" si="10"/>
        <v>0</v>
      </c>
      <c r="AJ32" s="109">
        <f t="shared" si="11"/>
        <v>649067.70477570093</v>
      </c>
      <c r="AK32" s="109">
        <f t="shared" si="12"/>
        <v>0</v>
      </c>
      <c r="AL32" s="109">
        <v>0</v>
      </c>
      <c r="AM32" s="111">
        <f t="shared" si="13"/>
        <v>0</v>
      </c>
      <c r="AN32" s="111">
        <f t="shared" si="14"/>
        <v>0</v>
      </c>
      <c r="AO32" s="111" t="str">
        <f t="shared" si="15"/>
        <v>Use deduct 3yrs</v>
      </c>
      <c r="AP32" s="111">
        <f t="shared" si="16"/>
        <v>0</v>
      </c>
      <c r="AQ32" s="112">
        <f t="shared" si="17"/>
        <v>0</v>
      </c>
      <c r="AR32" s="112">
        <f t="shared" si="18"/>
        <v>1</v>
      </c>
      <c r="AS32" s="113">
        <f t="shared" si="19"/>
        <v>2028</v>
      </c>
      <c r="AT32" s="109">
        <v>649067.70477570093</v>
      </c>
      <c r="AU32" s="114">
        <v>1</v>
      </c>
      <c r="AV32" s="113">
        <v>2028</v>
      </c>
      <c r="AW32" s="112">
        <f t="shared" si="20"/>
        <v>0.80343688157411608</v>
      </c>
      <c r="AX32" s="109">
        <f t="shared" si="21"/>
        <v>649067.70477570093</v>
      </c>
      <c r="AY32" s="109">
        <f t="shared" si="22"/>
        <v>0</v>
      </c>
      <c r="AZ32" s="109">
        <f t="shared" si="23"/>
        <v>649067.70477570093</v>
      </c>
      <c r="BA32" s="111">
        <f t="shared" si="24"/>
        <v>0</v>
      </c>
      <c r="BB32" s="117"/>
      <c r="BC32" s="115" t="str">
        <f t="shared" si="25"/>
        <v>N</v>
      </c>
      <c r="BD32" s="115" t="str">
        <f t="shared" si="26"/>
        <v>Y</v>
      </c>
      <c r="BE32" s="115" t="str">
        <f t="shared" si="27"/>
        <v>N</v>
      </c>
      <c r="BF32" s="109" t="str">
        <f t="shared" si="28"/>
        <v/>
      </c>
      <c r="BG32" s="111" t="s">
        <v>2499</v>
      </c>
      <c r="BH32" s="115" t="s">
        <v>1168</v>
      </c>
      <c r="BI32" s="116"/>
      <c r="BJ32" s="222">
        <v>0.80343688157411608</v>
      </c>
      <c r="BK32" s="265">
        <f t="shared" si="29"/>
        <v>0</v>
      </c>
      <c r="BL32" s="265">
        <f t="shared" si="30"/>
        <v>0</v>
      </c>
      <c r="BM32" s="265">
        <f t="shared" si="31"/>
        <v>-1.1641532182693481E-10</v>
      </c>
      <c r="BN32" s="265">
        <f t="shared" si="32"/>
        <v>142002.12281194434</v>
      </c>
      <c r="BO32" s="109"/>
      <c r="BP32" s="265">
        <f t="shared" si="33"/>
        <v>142002.12281194434</v>
      </c>
      <c r="BQ32" s="265">
        <v>142002.12281194434</v>
      </c>
      <c r="BR32" s="265" t="e">
        <f t="shared" si="34"/>
        <v>#REF!</v>
      </c>
      <c r="BS32" s="265">
        <v>15997.850707662876</v>
      </c>
      <c r="BT32" s="475">
        <v>2582388.1552242995</v>
      </c>
      <c r="BU32" s="475">
        <v>649067.70477570093</v>
      </c>
      <c r="BV32" s="475">
        <v>0</v>
      </c>
      <c r="BW32" s="483">
        <f t="shared" si="35"/>
        <v>0</v>
      </c>
      <c r="BX32" s="483">
        <f t="shared" si="36"/>
        <v>0</v>
      </c>
    </row>
    <row r="33" spans="1:76" s="103" customFormat="1" ht="29">
      <c r="A33" s="100" t="s">
        <v>2502</v>
      </c>
      <c r="B33" s="91" t="str">
        <f t="shared" si="0"/>
        <v xml:space="preserve">CI </v>
      </c>
      <c r="C33" s="92" t="s">
        <v>2272</v>
      </c>
      <c r="D33" s="100" t="s">
        <v>2269</v>
      </c>
      <c r="E33" s="451">
        <v>2130119</v>
      </c>
      <c r="F33" s="409" t="s">
        <v>2890</v>
      </c>
      <c r="G33" s="467" t="s">
        <v>5025</v>
      </c>
      <c r="H33" s="398">
        <v>0.39266666666666666</v>
      </c>
      <c r="I33" s="151"/>
      <c r="J33" s="95" t="s">
        <v>1166</v>
      </c>
      <c r="K33" s="191">
        <v>33679586.43</v>
      </c>
      <c r="L33" s="269">
        <v>0.93476897316924945</v>
      </c>
      <c r="M33" s="267">
        <v>1</v>
      </c>
      <c r="N33" s="267">
        <f t="shared" si="1"/>
        <v>0</v>
      </c>
      <c r="O33" s="96">
        <f t="shared" si="2"/>
        <v>21317406.098201092</v>
      </c>
      <c r="P33" s="96">
        <f t="shared" si="3"/>
        <v>12362180.331798904</v>
      </c>
      <c r="Q33" s="96">
        <f t="shared" si="4"/>
        <v>0</v>
      </c>
      <c r="R33" s="187" t="s">
        <v>2457</v>
      </c>
      <c r="S33" s="187" t="s">
        <v>3607</v>
      </c>
      <c r="T33" s="94" t="s">
        <v>2859</v>
      </c>
      <c r="U33" s="395">
        <f>COUNTIF(Aggregation_of_rev_to_allocate!$A$3:$A$137,$T33)</f>
        <v>1</v>
      </c>
      <c r="V33" s="100"/>
      <c r="W33" s="100">
        <v>140</v>
      </c>
      <c r="X33" s="109">
        <v>12362180.239417041</v>
      </c>
      <c r="Y33" s="109">
        <v>0</v>
      </c>
      <c r="Z33" s="110">
        <v>0.9347689661837747</v>
      </c>
      <c r="AA33" s="110">
        <v>1</v>
      </c>
      <c r="AB33" s="110">
        <v>0</v>
      </c>
      <c r="AC33" s="109">
        <f>IF(ISERROR((X33*SUMIF('Rev_for_allocation(Hard)'!$A$3:$A$249,$T33,'Rev_for_allocation(Hard)'!$I$3:$I$249)/SUMIF(Historic_capex_list!$T$9:$T$586,$T33,Historic_capex_list!$X$9:$X$586))=TRUE),0,X33*SUMIF('Rev_for_allocation(Hard)'!$A$3:$A$249,$T33,'Rev_for_allocation(Hard)'!$I$3:$I$249)/SUMIF(Historic_capex_list!$T$9:$T$586,$T33,Historic_capex_list!$X$9:$X$586))</f>
        <v>9.2381862484335192E-2</v>
      </c>
      <c r="AD33" s="109">
        <f t="shared" si="5"/>
        <v>12362180.331798904</v>
      </c>
      <c r="AE33" s="109">
        <f t="shared" si="6"/>
        <v>12362180.331798904</v>
      </c>
      <c r="AF33" s="109">
        <f t="shared" si="7"/>
        <v>12362180.331798904</v>
      </c>
      <c r="AG33" s="332" t="str">
        <f t="shared" si="8"/>
        <v>N</v>
      </c>
      <c r="AH33" s="332">
        <f t="shared" si="9"/>
        <v>0</v>
      </c>
      <c r="AI33" s="332">
        <f t="shared" si="10"/>
        <v>0</v>
      </c>
      <c r="AJ33" s="109">
        <f t="shared" si="11"/>
        <v>12362180.331798904</v>
      </c>
      <c r="AK33" s="109">
        <f t="shared" si="12"/>
        <v>0</v>
      </c>
      <c r="AL33" s="109">
        <v>0</v>
      </c>
      <c r="AM33" s="111">
        <f t="shared" si="13"/>
        <v>0</v>
      </c>
      <c r="AN33" s="111">
        <f t="shared" si="14"/>
        <v>0</v>
      </c>
      <c r="AO33" s="111" t="str">
        <f t="shared" si="15"/>
        <v>Use deduct 3yrs</v>
      </c>
      <c r="AP33" s="111">
        <f t="shared" si="16"/>
        <v>0</v>
      </c>
      <c r="AQ33" s="112">
        <f t="shared" si="17"/>
        <v>0</v>
      </c>
      <c r="AR33" s="112">
        <f t="shared" si="18"/>
        <v>1</v>
      </c>
      <c r="AS33" s="113">
        <f t="shared" si="19"/>
        <v>2028</v>
      </c>
      <c r="AT33" s="109">
        <v>12362180.331798904</v>
      </c>
      <c r="AU33" s="114">
        <v>1</v>
      </c>
      <c r="AV33" s="113">
        <v>2028</v>
      </c>
      <c r="AW33" s="112">
        <f t="shared" si="20"/>
        <v>0.93476897316924945</v>
      </c>
      <c r="AX33" s="109">
        <f t="shared" si="21"/>
        <v>12362180.331798904</v>
      </c>
      <c r="AY33" s="109">
        <f t="shared" si="22"/>
        <v>0</v>
      </c>
      <c r="AZ33" s="109">
        <f t="shared" si="23"/>
        <v>12362180.331798904</v>
      </c>
      <c r="BA33" s="111">
        <f t="shared" si="24"/>
        <v>0</v>
      </c>
      <c r="BB33" s="117"/>
      <c r="BC33" s="115" t="str">
        <f t="shared" si="25"/>
        <v>N</v>
      </c>
      <c r="BD33" s="115" t="str">
        <f t="shared" si="26"/>
        <v>Y</v>
      </c>
      <c r="BE33" s="115" t="str">
        <f t="shared" si="27"/>
        <v>N</v>
      </c>
      <c r="BF33" s="109" t="str">
        <f t="shared" si="28"/>
        <v/>
      </c>
      <c r="BG33" s="111" t="s">
        <v>2499</v>
      </c>
      <c r="BH33" s="115" t="s">
        <v>1168</v>
      </c>
      <c r="BI33" s="116"/>
      <c r="BJ33" s="222">
        <v>0.93476897316924945</v>
      </c>
      <c r="BK33" s="265">
        <f t="shared" si="29"/>
        <v>0</v>
      </c>
      <c r="BL33" s="265">
        <f t="shared" si="30"/>
        <v>0</v>
      </c>
      <c r="BM33" s="265">
        <f t="shared" si="31"/>
        <v>3.7252902984619141E-9</v>
      </c>
      <c r="BN33" s="265">
        <f t="shared" si="32"/>
        <v>-9.2381862923502922E-2</v>
      </c>
      <c r="BO33" s="109"/>
      <c r="BP33" s="265">
        <f t="shared" si="33"/>
        <v>-9.2381862923502922E-2</v>
      </c>
      <c r="BQ33" s="265">
        <v>-9.2381862923502922E-2</v>
      </c>
      <c r="BR33" s="265" t="e">
        <f t="shared" si="34"/>
        <v>#REF!</v>
      </c>
      <c r="BS33" s="265">
        <v>-1.0407670124081154E-2</v>
      </c>
      <c r="BT33" s="475">
        <v>21317406.098201092</v>
      </c>
      <c r="BU33" s="475">
        <v>12362180.331798904</v>
      </c>
      <c r="BV33" s="475">
        <v>0</v>
      </c>
      <c r="BW33" s="483">
        <f t="shared" si="35"/>
        <v>0</v>
      </c>
      <c r="BX33" s="483">
        <f t="shared" si="36"/>
        <v>0</v>
      </c>
    </row>
    <row r="34" spans="1:76" s="103" customFormat="1" ht="29">
      <c r="A34" s="100" t="s">
        <v>2502</v>
      </c>
      <c r="B34" s="91" t="str">
        <f t="shared" si="0"/>
        <v xml:space="preserve">CI </v>
      </c>
      <c r="C34" s="92" t="s">
        <v>3626</v>
      </c>
      <c r="D34" s="448" t="s">
        <v>2269</v>
      </c>
      <c r="E34" s="451">
        <v>2130119</v>
      </c>
      <c r="F34" s="409" t="s">
        <v>2890</v>
      </c>
      <c r="G34" s="467" t="s">
        <v>5025</v>
      </c>
      <c r="H34" s="398">
        <v>0.39266666666666666</v>
      </c>
      <c r="I34" s="151"/>
      <c r="J34" s="95" t="s">
        <v>1166</v>
      </c>
      <c r="K34" s="191">
        <v>162426.21</v>
      </c>
      <c r="L34" s="269">
        <v>0.93476897316924945</v>
      </c>
      <c r="M34" s="267">
        <v>1</v>
      </c>
      <c r="N34" s="267">
        <f t="shared" si="1"/>
        <v>0</v>
      </c>
      <c r="O34" s="96">
        <f t="shared" si="2"/>
        <v>102807.24458295231</v>
      </c>
      <c r="P34" s="96">
        <f t="shared" si="3"/>
        <v>59618.965417047679</v>
      </c>
      <c r="Q34" s="96">
        <f t="shared" si="4"/>
        <v>0</v>
      </c>
      <c r="R34" s="187" t="s">
        <v>2457</v>
      </c>
      <c r="S34" s="187" t="s">
        <v>3607</v>
      </c>
      <c r="T34" s="94" t="s">
        <v>2859</v>
      </c>
      <c r="U34" s="395">
        <f>COUNTIF(Aggregation_of_rev_to_allocate!$A$3:$A$137,$T34)</f>
        <v>1</v>
      </c>
      <c r="V34" s="100"/>
      <c r="W34" s="100"/>
      <c r="X34" s="109">
        <v>59618.964971518581</v>
      </c>
      <c r="Y34" s="109">
        <v>0</v>
      </c>
      <c r="Z34" s="110">
        <v>0.9347689661837747</v>
      </c>
      <c r="AA34" s="110">
        <v>1</v>
      </c>
      <c r="AB34" s="110">
        <v>0</v>
      </c>
      <c r="AC34" s="109">
        <f>IF(ISERROR((X34*SUMIF('Rev_for_allocation(Hard)'!$A$3:$A$249,$T34,'Rev_for_allocation(Hard)'!$I$3:$I$249)/SUMIF(Historic_capex_list!$T$9:$T$586,$T34,Historic_capex_list!$X$9:$X$586))=TRUE),0,X34*SUMIF('Rev_for_allocation(Hard)'!$A$3:$A$249,$T34,'Rev_for_allocation(Hard)'!$I$3:$I$249)/SUMIF(Historic_capex_list!$T$9:$T$586,$T34,Historic_capex_list!$X$9:$X$586))</f>
        <v>4.4552909897687689E-4</v>
      </c>
      <c r="AD34" s="109">
        <f t="shared" si="5"/>
        <v>59618.965417047679</v>
      </c>
      <c r="AE34" s="109">
        <f t="shared" si="6"/>
        <v>59618.965417047679</v>
      </c>
      <c r="AF34" s="109">
        <f t="shared" si="7"/>
        <v>59618.965417047679</v>
      </c>
      <c r="AG34" s="332" t="str">
        <f t="shared" si="8"/>
        <v>N</v>
      </c>
      <c r="AH34" s="332">
        <f t="shared" si="9"/>
        <v>0</v>
      </c>
      <c r="AI34" s="332">
        <f t="shared" si="10"/>
        <v>0</v>
      </c>
      <c r="AJ34" s="109">
        <f t="shared" si="11"/>
        <v>59618.965417047679</v>
      </c>
      <c r="AK34" s="109">
        <f t="shared" si="12"/>
        <v>0</v>
      </c>
      <c r="AL34" s="109">
        <v>0</v>
      </c>
      <c r="AM34" s="111">
        <f t="shared" si="13"/>
        <v>0</v>
      </c>
      <c r="AN34" s="111">
        <f t="shared" si="14"/>
        <v>0</v>
      </c>
      <c r="AO34" s="111" t="str">
        <f t="shared" si="15"/>
        <v>Use deduct 3yrs</v>
      </c>
      <c r="AP34" s="111">
        <f t="shared" si="16"/>
        <v>0</v>
      </c>
      <c r="AQ34" s="112">
        <f t="shared" si="17"/>
        <v>0</v>
      </c>
      <c r="AR34" s="112">
        <f t="shared" si="18"/>
        <v>1</v>
      </c>
      <c r="AS34" s="113">
        <f t="shared" si="19"/>
        <v>2028</v>
      </c>
      <c r="AT34" s="109">
        <v>59618.965417047679</v>
      </c>
      <c r="AU34" s="114">
        <v>1</v>
      </c>
      <c r="AV34" s="113">
        <v>2028</v>
      </c>
      <c r="AW34" s="112">
        <f t="shared" si="20"/>
        <v>0.93476897316924945</v>
      </c>
      <c r="AX34" s="109">
        <f t="shared" si="21"/>
        <v>59618.965417047679</v>
      </c>
      <c r="AY34" s="109">
        <f t="shared" si="22"/>
        <v>0</v>
      </c>
      <c r="AZ34" s="109">
        <f t="shared" si="23"/>
        <v>59618.965417047679</v>
      </c>
      <c r="BA34" s="111">
        <f t="shared" si="24"/>
        <v>0</v>
      </c>
      <c r="BB34" s="117"/>
      <c r="BC34" s="115" t="str">
        <f t="shared" si="25"/>
        <v>N</v>
      </c>
      <c r="BD34" s="115" t="str">
        <f t="shared" si="26"/>
        <v>Y</v>
      </c>
      <c r="BE34" s="115" t="str">
        <f t="shared" si="27"/>
        <v>N</v>
      </c>
      <c r="BF34" s="109" t="str">
        <f t="shared" si="28"/>
        <v/>
      </c>
      <c r="BG34" s="111" t="s">
        <v>2499</v>
      </c>
      <c r="BH34" s="115" t="s">
        <v>1168</v>
      </c>
      <c r="BI34" s="116"/>
      <c r="BJ34" s="222">
        <v>0.93476897316924945</v>
      </c>
      <c r="BK34" s="265">
        <f t="shared" si="29"/>
        <v>0</v>
      </c>
      <c r="BL34" s="265">
        <f t="shared" si="30"/>
        <v>0</v>
      </c>
      <c r="BM34" s="265">
        <f t="shared" si="31"/>
        <v>7.2759576141834259E-12</v>
      </c>
      <c r="BN34" s="265">
        <f t="shared" si="32"/>
        <v>-4.4552909821504727E-4</v>
      </c>
      <c r="BO34" s="109"/>
      <c r="BP34" s="265">
        <f t="shared" si="33"/>
        <v>-4.4552909821504727E-4</v>
      </c>
      <c r="BQ34" s="265">
        <v>-4.4552909821504727E-4</v>
      </c>
      <c r="BR34" s="265" t="e">
        <f t="shared" si="34"/>
        <v>#REF!</v>
      </c>
      <c r="BS34" s="265">
        <v>-5.0192967950226133E-5</v>
      </c>
      <c r="BT34" s="475">
        <v>102807.24458295231</v>
      </c>
      <c r="BU34" s="475">
        <v>59618.965417047679</v>
      </c>
      <c r="BV34" s="475">
        <v>0</v>
      </c>
      <c r="BW34" s="483">
        <f t="shared" si="35"/>
        <v>0</v>
      </c>
      <c r="BX34" s="483">
        <f t="shared" si="36"/>
        <v>0</v>
      </c>
    </row>
    <row r="35" spans="1:76" s="103" customFormat="1" ht="29">
      <c r="A35" s="100" t="s">
        <v>2507</v>
      </c>
      <c r="B35" s="91" t="str">
        <f t="shared" si="0"/>
        <v xml:space="preserve">CI </v>
      </c>
      <c r="C35" s="92" t="s">
        <v>465</v>
      </c>
      <c r="D35" s="448" t="s">
        <v>2269</v>
      </c>
      <c r="E35" s="501" t="s">
        <v>2063</v>
      </c>
      <c r="F35" s="502" t="s">
        <v>4809</v>
      </c>
      <c r="G35" s="502" t="s">
        <v>4681</v>
      </c>
      <c r="H35" s="503">
        <v>1</v>
      </c>
      <c r="I35" s="504" t="s">
        <v>962</v>
      </c>
      <c r="J35" s="504" t="s">
        <v>1166</v>
      </c>
      <c r="K35" s="505">
        <v>4596173</v>
      </c>
      <c r="L35" s="506">
        <v>0.41322774069108903</v>
      </c>
      <c r="M35" s="507">
        <v>0.30805687203791476</v>
      </c>
      <c r="N35" s="508">
        <f t="shared" si="1"/>
        <v>0.69194312796208524</v>
      </c>
      <c r="O35" s="475">
        <f t="shared" si="2"/>
        <v>2696906.8153846152</v>
      </c>
      <c r="P35" s="475">
        <f t="shared" si="3"/>
        <v>585082.00000000023</v>
      </c>
      <c r="Q35" s="475">
        <f t="shared" si="4"/>
        <v>1314184.1846153846</v>
      </c>
      <c r="R35" s="187" t="s">
        <v>2441</v>
      </c>
      <c r="S35" s="187" t="s">
        <v>3607</v>
      </c>
      <c r="T35" s="509" t="s">
        <v>2857</v>
      </c>
      <c r="U35" s="395">
        <f>COUNTIF(Aggregation_of_rev_to_allocate!$A$3:$A$137,$T35)</f>
        <v>1</v>
      </c>
      <c r="V35" s="100"/>
      <c r="W35" s="100">
        <v>178</v>
      </c>
      <c r="X35" s="109">
        <v>1012927.9262531906</v>
      </c>
      <c r="Y35" s="109">
        <v>2579070.3353062007</v>
      </c>
      <c r="Z35" s="110">
        <v>0.78151937743844524</v>
      </c>
      <c r="AA35" s="110">
        <v>0.28199566160520606</v>
      </c>
      <c r="AB35" s="110">
        <v>0.71800433839479394</v>
      </c>
      <c r="AC35" s="109">
        <f>IF(ISERROR((X35*SUMIF('Rev_for_allocation(Hard)'!$A$3:$A$249,$T35,'Rev_for_allocation(Hard)'!$I$3:$I$249)/SUMIF(Historic_capex_list!$T$9:$T$586,$T35,Historic_capex_list!$X$9:$X$586))=TRUE),0,X35*SUMIF('Rev_for_allocation(Hard)'!$A$3:$A$249,$T35,'Rev_for_allocation(Hard)'!$I$3:$I$249)/SUMIF(Historic_capex_list!$T$9:$T$586,$T35,Historic_capex_list!$X$9:$X$586))</f>
        <v>9.9801412934694463E-3</v>
      </c>
      <c r="AD35" s="109">
        <f t="shared" si="5"/>
        <v>1012927.9362333319</v>
      </c>
      <c r="AE35" s="109">
        <f t="shared" si="6"/>
        <v>1012927.9362333319</v>
      </c>
      <c r="AF35" s="109">
        <f t="shared" si="7"/>
        <v>3591998.2715395326</v>
      </c>
      <c r="AG35" s="332" t="str">
        <f t="shared" si="8"/>
        <v>N</v>
      </c>
      <c r="AH35" s="332">
        <f t="shared" si="9"/>
        <v>0</v>
      </c>
      <c r="AI35" s="332">
        <f t="shared" si="10"/>
        <v>0</v>
      </c>
      <c r="AJ35" s="109">
        <f t="shared" si="11"/>
        <v>3591998.2715395326</v>
      </c>
      <c r="AK35" s="109">
        <f t="shared" si="12"/>
        <v>0</v>
      </c>
      <c r="AL35" s="109">
        <v>0</v>
      </c>
      <c r="AM35" s="111">
        <f t="shared" si="13"/>
        <v>25.461538461538463</v>
      </c>
      <c r="AN35" s="111">
        <f t="shared" si="14"/>
        <v>22.461538461538463</v>
      </c>
      <c r="AO35" s="111" t="str">
        <f t="shared" si="15"/>
        <v>Use deduct 3yrs</v>
      </c>
      <c r="AP35" s="111">
        <f t="shared" si="16"/>
        <v>22.461538461538463</v>
      </c>
      <c r="AQ35" s="112">
        <f t="shared" si="17"/>
        <v>0.69194312796208524</v>
      </c>
      <c r="AR35" s="112">
        <f t="shared" si="18"/>
        <v>0.30805687203791476</v>
      </c>
      <c r="AS35" s="113">
        <f t="shared" si="19"/>
        <v>2050</v>
      </c>
      <c r="AT35" s="109">
        <v>1899267.5634235167</v>
      </c>
      <c r="AU35" s="114">
        <v>0.30805687203791476</v>
      </c>
      <c r="AV35" s="113">
        <v>2043</v>
      </c>
      <c r="AW35" s="112">
        <f t="shared" si="20"/>
        <v>0.41322804068156632</v>
      </c>
      <c r="AX35" s="109">
        <f t="shared" si="21"/>
        <v>585082.42475132039</v>
      </c>
      <c r="AY35" s="109">
        <f t="shared" si="22"/>
        <v>1314185.1386721963</v>
      </c>
      <c r="AZ35" s="109">
        <f t="shared" si="23"/>
        <v>1899267.5634235167</v>
      </c>
      <c r="BA35" s="111">
        <f t="shared" si="24"/>
        <v>0</v>
      </c>
      <c r="BB35" s="117"/>
      <c r="BC35" s="115" t="str">
        <f t="shared" si="25"/>
        <v>N</v>
      </c>
      <c r="BD35" s="115" t="str">
        <f t="shared" si="26"/>
        <v>N</v>
      </c>
      <c r="BE35" s="115" t="str">
        <f t="shared" si="27"/>
        <v>N</v>
      </c>
      <c r="BF35" s="109" t="str">
        <f t="shared" si="28"/>
        <v/>
      </c>
      <c r="BG35" s="111" t="s">
        <v>2499</v>
      </c>
      <c r="BH35" s="115" t="s">
        <v>1168</v>
      </c>
      <c r="BI35" s="116"/>
      <c r="BJ35" s="222">
        <v>0.41322804068156632</v>
      </c>
      <c r="BK35" s="265">
        <f t="shared" si="29"/>
        <v>0.9540568117517978</v>
      </c>
      <c r="BL35" s="265">
        <f t="shared" si="30"/>
        <v>-0.9540568117517978</v>
      </c>
      <c r="BM35" s="265">
        <f t="shared" si="31"/>
        <v>0</v>
      </c>
      <c r="BN35" s="265">
        <f t="shared" si="32"/>
        <v>427845.92625319038</v>
      </c>
      <c r="BO35" s="109"/>
      <c r="BP35" s="265">
        <f t="shared" si="33"/>
        <v>1692730.6981358747</v>
      </c>
      <c r="BQ35" s="265">
        <v>1692730.6981358747</v>
      </c>
      <c r="BR35" s="265" t="e">
        <f t="shared" si="34"/>
        <v>#REF!</v>
      </c>
      <c r="BS35" s="265">
        <v>190701.74769794266</v>
      </c>
      <c r="BT35" s="475">
        <v>2696905.4365764833</v>
      </c>
      <c r="BU35" s="475">
        <v>585082.42475132039</v>
      </c>
      <c r="BV35" s="475">
        <v>1314185.1386721963</v>
      </c>
      <c r="BW35" s="510">
        <f t="shared" si="35"/>
        <v>-0.42475132015533745</v>
      </c>
      <c r="BX35" s="510">
        <f t="shared" si="36"/>
        <v>-0.9540568117517978</v>
      </c>
    </row>
    <row r="36" spans="1:76" s="103" customFormat="1" ht="29">
      <c r="A36" s="100" t="s">
        <v>2507</v>
      </c>
      <c r="B36" s="91" t="str">
        <f t="shared" si="0"/>
        <v xml:space="preserve">CI </v>
      </c>
      <c r="C36" s="92" t="s">
        <v>465</v>
      </c>
      <c r="D36" s="448" t="s">
        <v>2269</v>
      </c>
      <c r="E36" s="501">
        <v>2130401</v>
      </c>
      <c r="F36" s="502" t="s">
        <v>4810</v>
      </c>
      <c r="G36" s="502" t="s">
        <v>4682</v>
      </c>
      <c r="H36" s="503">
        <v>1</v>
      </c>
      <c r="I36" s="504" t="s">
        <v>962</v>
      </c>
      <c r="J36" s="504" t="s">
        <v>1166</v>
      </c>
      <c r="K36" s="505">
        <v>10842901</v>
      </c>
      <c r="L36" s="506">
        <v>0.36669227410323052</v>
      </c>
      <c r="M36" s="507">
        <v>0.36585365853658547</v>
      </c>
      <c r="N36" s="508">
        <f t="shared" si="1"/>
        <v>0.63414634146341453</v>
      </c>
      <c r="O36" s="475">
        <f t="shared" si="2"/>
        <v>6866892.9744338067</v>
      </c>
      <c r="P36" s="475">
        <f t="shared" si="3"/>
        <v>1454637.0825242172</v>
      </c>
      <c r="Q36" s="475">
        <f t="shared" si="4"/>
        <v>2521370.9430419751</v>
      </c>
      <c r="R36" s="187" t="s">
        <v>2441</v>
      </c>
      <c r="S36" s="187" t="s">
        <v>3607</v>
      </c>
      <c r="T36" s="509" t="s">
        <v>2857</v>
      </c>
      <c r="U36" s="395">
        <f>COUNTIF(Aggregation_of_rev_to_allocate!$A$3:$A$137,$T36)</f>
        <v>1</v>
      </c>
      <c r="V36" s="100"/>
      <c r="W36" s="100">
        <v>179</v>
      </c>
      <c r="X36" s="109">
        <v>2787827.204870306</v>
      </c>
      <c r="Y36" s="109">
        <v>5668581.9832362868</v>
      </c>
      <c r="Z36" s="110">
        <v>0.77990283118019732</v>
      </c>
      <c r="AA36" s="110">
        <v>0.32967032967032972</v>
      </c>
      <c r="AB36" s="110">
        <v>0.67032967032967028</v>
      </c>
      <c r="AC36" s="109">
        <f>IF(ISERROR((X36*SUMIF('Rev_for_allocation(Hard)'!$A$3:$A$249,$T36,'Rev_for_allocation(Hard)'!$I$3:$I$249)/SUMIF(Historic_capex_list!$T$9:$T$586,$T36,Historic_capex_list!$X$9:$X$586))=TRUE),0,X36*SUMIF('Rev_for_allocation(Hard)'!$A$3:$A$249,$T36,'Rev_for_allocation(Hard)'!$I$3:$I$249)/SUMIF(Historic_capex_list!$T$9:$T$586,$T36,Historic_capex_list!$X$9:$X$586))</f>
        <v>2.7467807615197546E-2</v>
      </c>
      <c r="AD36" s="109">
        <f t="shared" si="5"/>
        <v>2787827.2323381137</v>
      </c>
      <c r="AE36" s="109">
        <f t="shared" si="6"/>
        <v>2787827.2323381137</v>
      </c>
      <c r="AF36" s="109">
        <f t="shared" si="7"/>
        <v>8456409.2155744005</v>
      </c>
      <c r="AG36" s="332" t="str">
        <f t="shared" si="8"/>
        <v>N</v>
      </c>
      <c r="AH36" s="332">
        <f t="shared" si="9"/>
        <v>0</v>
      </c>
      <c r="AI36" s="332">
        <f t="shared" si="10"/>
        <v>0</v>
      </c>
      <c r="AJ36" s="109">
        <f t="shared" si="11"/>
        <v>8456409.2155744005</v>
      </c>
      <c r="AK36" s="109">
        <f t="shared" si="12"/>
        <v>0</v>
      </c>
      <c r="AL36" s="109">
        <v>0</v>
      </c>
      <c r="AM36" s="111">
        <f t="shared" si="13"/>
        <v>20.333333333333329</v>
      </c>
      <c r="AN36" s="111">
        <f t="shared" si="14"/>
        <v>17.333333333333329</v>
      </c>
      <c r="AO36" s="111" t="str">
        <f t="shared" si="15"/>
        <v>Use deduct 3yrs</v>
      </c>
      <c r="AP36" s="111">
        <f t="shared" si="16"/>
        <v>17.333333333333329</v>
      </c>
      <c r="AQ36" s="112">
        <f t="shared" si="17"/>
        <v>0.63414634146341453</v>
      </c>
      <c r="AR36" s="112">
        <f t="shared" si="18"/>
        <v>0.36585365853658547</v>
      </c>
      <c r="AS36" s="113">
        <f t="shared" si="19"/>
        <v>2045</v>
      </c>
      <c r="AT36" s="109">
        <v>3976008.0255661923</v>
      </c>
      <c r="AU36" s="114">
        <v>0.36585365853658547</v>
      </c>
      <c r="AV36" s="113">
        <v>2038</v>
      </c>
      <c r="AW36" s="112">
        <f t="shared" si="20"/>
        <v>0.36669227410323052</v>
      </c>
      <c r="AX36" s="109">
        <f t="shared" si="21"/>
        <v>1454637.0825242172</v>
      </c>
      <c r="AY36" s="109">
        <f t="shared" si="22"/>
        <v>2521370.9430419751</v>
      </c>
      <c r="AZ36" s="109">
        <f t="shared" si="23"/>
        <v>3976008.0255661923</v>
      </c>
      <c r="BA36" s="111">
        <f t="shared" si="24"/>
        <v>0</v>
      </c>
      <c r="BB36" s="117"/>
      <c r="BC36" s="115" t="str">
        <f t="shared" si="25"/>
        <v>N</v>
      </c>
      <c r="BD36" s="115" t="str">
        <f t="shared" si="26"/>
        <v>N</v>
      </c>
      <c r="BE36" s="115" t="str">
        <f t="shared" si="27"/>
        <v>N</v>
      </c>
      <c r="BF36" s="109" t="str">
        <f t="shared" si="28"/>
        <v/>
      </c>
      <c r="BG36" s="111" t="s">
        <v>2499</v>
      </c>
      <c r="BH36" s="115" t="s">
        <v>1168</v>
      </c>
      <c r="BI36" s="116"/>
      <c r="BJ36" s="222">
        <v>0.36669227410323052</v>
      </c>
      <c r="BK36" s="265">
        <f t="shared" si="29"/>
        <v>0</v>
      </c>
      <c r="BL36" s="265">
        <f t="shared" si="30"/>
        <v>0</v>
      </c>
      <c r="BM36" s="265">
        <f t="shared" si="31"/>
        <v>0</v>
      </c>
      <c r="BN36" s="265">
        <f t="shared" si="32"/>
        <v>1333190.1223460888</v>
      </c>
      <c r="BO36" s="109"/>
      <c r="BP36" s="265">
        <f t="shared" si="33"/>
        <v>4480401.1625404004</v>
      </c>
      <c r="BQ36" s="265">
        <v>4480401.1625404004</v>
      </c>
      <c r="BR36" s="265" t="e">
        <f t="shared" si="34"/>
        <v>#REF!</v>
      </c>
      <c r="BS36" s="265">
        <v>504758.5732481142</v>
      </c>
      <c r="BT36" s="475">
        <v>6866892.9744338067</v>
      </c>
      <c r="BU36" s="475">
        <v>1454637.0825242172</v>
      </c>
      <c r="BV36" s="475">
        <v>2521370.9430419751</v>
      </c>
      <c r="BW36" s="510">
        <f t="shared" si="35"/>
        <v>0</v>
      </c>
      <c r="BX36" s="510">
        <f t="shared" si="36"/>
        <v>0</v>
      </c>
    </row>
    <row r="37" spans="1:76" s="103" customFormat="1" ht="29">
      <c r="A37" s="100" t="s">
        <v>2507</v>
      </c>
      <c r="B37" s="91" t="str">
        <f t="shared" si="0"/>
        <v xml:space="preserve">CI </v>
      </c>
      <c r="C37" s="92" t="s">
        <v>463</v>
      </c>
      <c r="D37" s="448" t="s">
        <v>2269</v>
      </c>
      <c r="E37" s="449" t="s">
        <v>2232</v>
      </c>
      <c r="F37" s="467" t="s">
        <v>4476</v>
      </c>
      <c r="G37" s="467" t="s">
        <v>4693</v>
      </c>
      <c r="H37" s="398">
        <v>1</v>
      </c>
      <c r="I37" s="95" t="s">
        <v>890</v>
      </c>
      <c r="J37" s="95" t="s">
        <v>1166</v>
      </c>
      <c r="K37" s="191">
        <v>43440362</v>
      </c>
      <c r="L37" s="268">
        <v>0.68070090354232138</v>
      </c>
      <c r="M37" s="266">
        <v>1</v>
      </c>
      <c r="N37" s="267">
        <f t="shared" si="1"/>
        <v>0</v>
      </c>
      <c r="O37" s="96">
        <f t="shared" si="2"/>
        <v>13870468.336394478</v>
      </c>
      <c r="P37" s="96">
        <f t="shared" si="3"/>
        <v>29569893.663605522</v>
      </c>
      <c r="Q37" s="96">
        <f t="shared" si="4"/>
        <v>0</v>
      </c>
      <c r="R37" s="187" t="s">
        <v>2457</v>
      </c>
      <c r="S37" s="187" t="s">
        <v>3607</v>
      </c>
      <c r="T37" s="94" t="s">
        <v>2859</v>
      </c>
      <c r="U37" s="395">
        <f>COUNTIF(Aggregation_of_rev_to_allocate!$A$3:$A$137,$T37)</f>
        <v>1</v>
      </c>
      <c r="V37" s="100"/>
      <c r="W37" s="100">
        <v>142</v>
      </c>
      <c r="X37" s="109">
        <v>29569893.442631409</v>
      </c>
      <c r="Y37" s="109">
        <v>0</v>
      </c>
      <c r="Z37" s="110">
        <v>0.68070089845548265</v>
      </c>
      <c r="AA37" s="110">
        <v>1</v>
      </c>
      <c r="AB37" s="110">
        <v>0</v>
      </c>
      <c r="AC37" s="109">
        <f>IF(ISERROR((X37*SUMIF('Rev_for_allocation(Hard)'!$A$3:$A$249,$T37,'Rev_for_allocation(Hard)'!$I$3:$I$249)/SUMIF(Historic_capex_list!$T$9:$T$586,$T37,Historic_capex_list!$X$9:$X$586))=TRUE),0,X37*SUMIF('Rev_for_allocation(Hard)'!$A$3:$A$249,$T37,'Rev_for_allocation(Hard)'!$I$3:$I$249)/SUMIF(Historic_capex_list!$T$9:$T$586,$T37,Historic_capex_list!$X$9:$X$586))</f>
        <v>0.22097411433813866</v>
      </c>
      <c r="AD37" s="109">
        <f t="shared" si="5"/>
        <v>29569893.663605522</v>
      </c>
      <c r="AE37" s="109">
        <f t="shared" si="6"/>
        <v>29569893.663605522</v>
      </c>
      <c r="AF37" s="109">
        <f t="shared" si="7"/>
        <v>29569893.663605522</v>
      </c>
      <c r="AG37" s="332" t="str">
        <f t="shared" si="8"/>
        <v>N</v>
      </c>
      <c r="AH37" s="332">
        <f t="shared" si="9"/>
        <v>0</v>
      </c>
      <c r="AI37" s="332">
        <f t="shared" si="10"/>
        <v>0</v>
      </c>
      <c r="AJ37" s="109">
        <f t="shared" si="11"/>
        <v>29569893.663605522</v>
      </c>
      <c r="AK37" s="109">
        <f t="shared" si="12"/>
        <v>0</v>
      </c>
      <c r="AL37" s="109">
        <v>0</v>
      </c>
      <c r="AM37" s="111">
        <f t="shared" si="13"/>
        <v>0</v>
      </c>
      <c r="AN37" s="111">
        <f t="shared" si="14"/>
        <v>0</v>
      </c>
      <c r="AO37" s="111" t="str">
        <f t="shared" si="15"/>
        <v>Use deduct 3yrs</v>
      </c>
      <c r="AP37" s="111">
        <f t="shared" si="16"/>
        <v>0</v>
      </c>
      <c r="AQ37" s="112">
        <f t="shared" si="17"/>
        <v>0</v>
      </c>
      <c r="AR37" s="112">
        <f t="shared" si="18"/>
        <v>1</v>
      </c>
      <c r="AS37" s="113">
        <f t="shared" si="19"/>
        <v>2028</v>
      </c>
      <c r="AT37" s="109">
        <v>29569893.663605522</v>
      </c>
      <c r="AU37" s="114">
        <v>1</v>
      </c>
      <c r="AV37" s="113">
        <v>2028</v>
      </c>
      <c r="AW37" s="112">
        <f t="shared" si="20"/>
        <v>0.68070090354232138</v>
      </c>
      <c r="AX37" s="109">
        <f t="shared" si="21"/>
        <v>29569893.663605522</v>
      </c>
      <c r="AY37" s="109">
        <f t="shared" si="22"/>
        <v>0</v>
      </c>
      <c r="AZ37" s="109">
        <f t="shared" si="23"/>
        <v>29569893.663605522</v>
      </c>
      <c r="BA37" s="111">
        <f t="shared" si="24"/>
        <v>0</v>
      </c>
      <c r="BB37" s="117"/>
      <c r="BC37" s="115" t="str">
        <f t="shared" si="25"/>
        <v>N</v>
      </c>
      <c r="BD37" s="115" t="str">
        <f t="shared" si="26"/>
        <v>Y</v>
      </c>
      <c r="BE37" s="115" t="str">
        <f t="shared" si="27"/>
        <v>N</v>
      </c>
      <c r="BF37" s="109" t="str">
        <f t="shared" si="28"/>
        <v/>
      </c>
      <c r="BG37" s="111" t="s">
        <v>2499</v>
      </c>
      <c r="BH37" s="115" t="s">
        <v>1168</v>
      </c>
      <c r="BI37" s="116"/>
      <c r="BJ37" s="222">
        <v>0.68070090354232138</v>
      </c>
      <c r="BK37" s="265">
        <f t="shared" si="29"/>
        <v>0</v>
      </c>
      <c r="BL37" s="265">
        <f t="shared" si="30"/>
        <v>0</v>
      </c>
      <c r="BM37" s="265">
        <f t="shared" si="31"/>
        <v>0</v>
      </c>
      <c r="BN37" s="265">
        <f t="shared" si="32"/>
        <v>-0.22097411379218102</v>
      </c>
      <c r="BO37" s="109"/>
      <c r="BP37" s="265">
        <f t="shared" si="33"/>
        <v>-0.22097411379218102</v>
      </c>
      <c r="BQ37" s="265">
        <v>-0.22097411379218102</v>
      </c>
      <c r="BR37" s="265" t="e">
        <f t="shared" si="34"/>
        <v>#REF!</v>
      </c>
      <c r="BS37" s="265">
        <v>-2.4894774899858526E-2</v>
      </c>
      <c r="BT37" s="475">
        <v>13870468.336394478</v>
      </c>
      <c r="BU37" s="475">
        <v>29569893.663605522</v>
      </c>
      <c r="BV37" s="475">
        <v>0</v>
      </c>
      <c r="BW37" s="483">
        <f t="shared" si="35"/>
        <v>0</v>
      </c>
      <c r="BX37" s="483">
        <f t="shared" si="36"/>
        <v>0</v>
      </c>
    </row>
    <row r="38" spans="1:76" s="103" customFormat="1" ht="14.5">
      <c r="A38" s="100" t="s">
        <v>2503</v>
      </c>
      <c r="B38" s="91" t="str">
        <f t="shared" si="0"/>
        <v xml:space="preserve">CI </v>
      </c>
      <c r="C38" s="92" t="s">
        <v>2273</v>
      </c>
      <c r="D38" s="448" t="s">
        <v>2269</v>
      </c>
      <c r="E38" s="451">
        <v>2010153</v>
      </c>
      <c r="F38" s="409" t="s">
        <v>2921</v>
      </c>
      <c r="G38" s="467" t="s">
        <v>5034</v>
      </c>
      <c r="H38" s="398">
        <v>0.34</v>
      </c>
      <c r="I38" s="151"/>
      <c r="J38" s="95" t="s">
        <v>1166</v>
      </c>
      <c r="K38" s="191">
        <v>1014517.98</v>
      </c>
      <c r="L38" s="269">
        <v>0.54239843353039352</v>
      </c>
      <c r="M38" s="267">
        <v>1</v>
      </c>
      <c r="N38" s="267">
        <f t="shared" si="1"/>
        <v>0</v>
      </c>
      <c r="O38" s="96">
        <f t="shared" si="2"/>
        <v>827425.17253225751</v>
      </c>
      <c r="P38" s="96">
        <f t="shared" si="3"/>
        <v>187092.8074677425</v>
      </c>
      <c r="Q38" s="96">
        <f t="shared" si="4"/>
        <v>0</v>
      </c>
      <c r="R38" s="187" t="s">
        <v>2461</v>
      </c>
      <c r="S38" s="187" t="s">
        <v>3607</v>
      </c>
      <c r="T38" s="94" t="s">
        <v>2863</v>
      </c>
      <c r="U38" s="395">
        <f>COUNTIF(Aggregation_of_rev_to_allocate!$A$3:$A$137,$T38)</f>
        <v>1</v>
      </c>
      <c r="V38" s="100"/>
      <c r="W38" s="100">
        <v>67</v>
      </c>
      <c r="X38" s="109">
        <v>338037.39093600004</v>
      </c>
      <c r="Y38" s="109">
        <v>0</v>
      </c>
      <c r="Z38" s="110">
        <v>0.98</v>
      </c>
      <c r="AA38" s="110">
        <v>1</v>
      </c>
      <c r="AB38" s="110">
        <v>0</v>
      </c>
      <c r="AC38" s="109">
        <f>IF(ISERROR((X38*SUMIF('Rev_for_allocation(Hard)'!$A$3:$A$249,$T38,'Rev_for_allocation(Hard)'!$I$3:$I$249)/SUMIF(Historic_capex_list!$T$9:$T$586,$T38,Historic_capex_list!$X$9:$X$586))=TRUE),0,X38*SUMIF('Rev_for_allocation(Hard)'!$A$3:$A$249,$T38,'Rev_for_allocation(Hard)'!$I$3:$I$249)/SUMIF(Historic_capex_list!$T$9:$T$586,$T38,Historic_capex_list!$X$9:$X$586))</f>
        <v>-150944.58346825754</v>
      </c>
      <c r="AD38" s="109">
        <f t="shared" si="5"/>
        <v>187092.8074677425</v>
      </c>
      <c r="AE38" s="109">
        <f t="shared" si="6"/>
        <v>187092.8074677425</v>
      </c>
      <c r="AF38" s="109">
        <f t="shared" si="7"/>
        <v>187092.8074677425</v>
      </c>
      <c r="AG38" s="332" t="str">
        <f t="shared" si="8"/>
        <v>N</v>
      </c>
      <c r="AH38" s="332">
        <f t="shared" si="9"/>
        <v>0</v>
      </c>
      <c r="AI38" s="332">
        <f t="shared" si="10"/>
        <v>0</v>
      </c>
      <c r="AJ38" s="109">
        <f t="shared" si="11"/>
        <v>187092.8074677425</v>
      </c>
      <c r="AK38" s="109">
        <f t="shared" si="12"/>
        <v>0</v>
      </c>
      <c r="AL38" s="109">
        <v>0</v>
      </c>
      <c r="AM38" s="111">
        <f t="shared" si="13"/>
        <v>0</v>
      </c>
      <c r="AN38" s="111">
        <f t="shared" si="14"/>
        <v>0</v>
      </c>
      <c r="AO38" s="111" t="str">
        <f t="shared" si="15"/>
        <v>Use deduct 3yrs</v>
      </c>
      <c r="AP38" s="111">
        <f t="shared" si="16"/>
        <v>0</v>
      </c>
      <c r="AQ38" s="112">
        <f t="shared" si="17"/>
        <v>0</v>
      </c>
      <c r="AR38" s="112">
        <f t="shared" si="18"/>
        <v>1</v>
      </c>
      <c r="AS38" s="113">
        <f t="shared" si="19"/>
        <v>2028</v>
      </c>
      <c r="AT38" s="109">
        <v>187092.8074677425</v>
      </c>
      <c r="AU38" s="114">
        <v>1</v>
      </c>
      <c r="AV38" s="113">
        <v>2028</v>
      </c>
      <c r="AW38" s="112">
        <f t="shared" si="20"/>
        <v>0.54239843353039352</v>
      </c>
      <c r="AX38" s="109">
        <f t="shared" si="21"/>
        <v>187092.8074677425</v>
      </c>
      <c r="AY38" s="109">
        <f t="shared" si="22"/>
        <v>0</v>
      </c>
      <c r="AZ38" s="109">
        <f t="shared" si="23"/>
        <v>187092.8074677425</v>
      </c>
      <c r="BA38" s="111">
        <f t="shared" si="24"/>
        <v>0</v>
      </c>
      <c r="BB38" s="117"/>
      <c r="BC38" s="115" t="str">
        <f t="shared" si="25"/>
        <v>N</v>
      </c>
      <c r="BD38" s="115" t="str">
        <f t="shared" si="26"/>
        <v>Y</v>
      </c>
      <c r="BE38" s="115" t="str">
        <f t="shared" si="27"/>
        <v>N</v>
      </c>
      <c r="BF38" s="109" t="str">
        <f t="shared" si="28"/>
        <v/>
      </c>
      <c r="BG38" s="111" t="s">
        <v>2499</v>
      </c>
      <c r="BH38" s="115" t="s">
        <v>1168</v>
      </c>
      <c r="BI38" s="116"/>
      <c r="BJ38" s="222">
        <v>0.54239843353039352</v>
      </c>
      <c r="BK38" s="265">
        <f t="shared" si="29"/>
        <v>0</v>
      </c>
      <c r="BL38" s="265">
        <f t="shared" si="30"/>
        <v>0</v>
      </c>
      <c r="BM38" s="265">
        <f t="shared" si="31"/>
        <v>-2.9103830456733704E-11</v>
      </c>
      <c r="BN38" s="265">
        <f t="shared" si="32"/>
        <v>150944.58346825754</v>
      </c>
      <c r="BO38" s="109"/>
      <c r="BP38" s="265">
        <f t="shared" si="33"/>
        <v>150944.58346825754</v>
      </c>
      <c r="BQ38" s="265">
        <v>150944.58346825754</v>
      </c>
      <c r="BR38" s="265" t="e">
        <f t="shared" si="34"/>
        <v>#REF!</v>
      </c>
      <c r="BS38" s="265">
        <v>17005.301495763448</v>
      </c>
      <c r="BT38" s="475">
        <v>827425.17253225751</v>
      </c>
      <c r="BU38" s="475">
        <v>187092.8074677425</v>
      </c>
      <c r="BV38" s="475">
        <v>0</v>
      </c>
      <c r="BW38" s="483">
        <f t="shared" si="35"/>
        <v>0</v>
      </c>
      <c r="BX38" s="483">
        <f t="shared" si="36"/>
        <v>0</v>
      </c>
    </row>
    <row r="39" spans="1:76" s="103" customFormat="1" ht="29">
      <c r="A39" s="100" t="s">
        <v>2502</v>
      </c>
      <c r="B39" s="91" t="str">
        <f t="shared" si="0"/>
        <v xml:space="preserve">CI </v>
      </c>
      <c r="C39" s="92" t="s">
        <v>463</v>
      </c>
      <c r="D39" s="448" t="s">
        <v>2269</v>
      </c>
      <c r="E39" s="449" t="s">
        <v>2030</v>
      </c>
      <c r="F39" s="467" t="s">
        <v>4823</v>
      </c>
      <c r="G39" s="502" t="s">
        <v>5238</v>
      </c>
      <c r="H39" s="470">
        <v>1</v>
      </c>
      <c r="I39" s="95" t="s">
        <v>962</v>
      </c>
      <c r="J39" s="95" t="s">
        <v>1166</v>
      </c>
      <c r="K39" s="469">
        <v>124561</v>
      </c>
      <c r="L39" s="471">
        <v>0.51357969187787511</v>
      </c>
      <c r="M39" s="266">
        <v>1</v>
      </c>
      <c r="N39" s="267">
        <f t="shared" si="1"/>
        <v>0</v>
      </c>
      <c r="O39" s="96">
        <f t="shared" si="2"/>
        <v>60589</v>
      </c>
      <c r="P39" s="96">
        <f t="shared" si="3"/>
        <v>63972</v>
      </c>
      <c r="Q39" s="96">
        <f t="shared" si="4"/>
        <v>0</v>
      </c>
      <c r="R39" s="187" t="s">
        <v>2455</v>
      </c>
      <c r="S39" s="187" t="s">
        <v>3607</v>
      </c>
      <c r="T39" s="94" t="s">
        <v>2857</v>
      </c>
      <c r="U39" s="395">
        <f>COUNTIF(Aggregation_of_rev_to_allocate!$A$3:$A$137,$T39)</f>
        <v>1</v>
      </c>
      <c r="V39" s="100"/>
      <c r="W39" s="100">
        <v>90</v>
      </c>
      <c r="X39" s="109">
        <v>63971.507143990304</v>
      </c>
      <c r="Y39" s="109">
        <v>0</v>
      </c>
      <c r="Z39" s="110">
        <v>0.3916846706178535</v>
      </c>
      <c r="AA39" s="110">
        <v>1</v>
      </c>
      <c r="AB39" s="110">
        <v>0</v>
      </c>
      <c r="AC39" s="109">
        <f>IF(ISERROR((X39*SUMIF('Rev_for_allocation(Hard)'!$A$3:$A$249,$T39,'Rev_for_allocation(Hard)'!$I$3:$I$249)/SUMIF(Historic_capex_list!$T$9:$T$586,$T39,Historic_capex_list!$X$9:$X$586))=TRUE),0,X39*SUMIF('Rev_for_allocation(Hard)'!$A$3:$A$249,$T39,'Rev_for_allocation(Hard)'!$I$3:$I$249)/SUMIF(Historic_capex_list!$T$9:$T$586,$T39,Historic_capex_list!$X$9:$X$586))</f>
        <v>6.302962565311169E-4</v>
      </c>
      <c r="AD39" s="109">
        <f t="shared" si="5"/>
        <v>63971.507774286561</v>
      </c>
      <c r="AE39" s="109">
        <f t="shared" si="6"/>
        <v>63971.507774286561</v>
      </c>
      <c r="AF39" s="109">
        <f t="shared" si="7"/>
        <v>63971.507774286561</v>
      </c>
      <c r="AG39" s="332" t="str">
        <f t="shared" si="8"/>
        <v>N</v>
      </c>
      <c r="AH39" s="332">
        <f t="shared" si="9"/>
        <v>0</v>
      </c>
      <c r="AI39" s="332">
        <f t="shared" si="10"/>
        <v>0</v>
      </c>
      <c r="AJ39" s="109">
        <f t="shared" si="11"/>
        <v>63971.507774286561</v>
      </c>
      <c r="AK39" s="109">
        <f t="shared" si="12"/>
        <v>0</v>
      </c>
      <c r="AL39" s="109">
        <v>0</v>
      </c>
      <c r="AM39" s="111">
        <f t="shared" si="13"/>
        <v>0</v>
      </c>
      <c r="AN39" s="111">
        <f t="shared" si="14"/>
        <v>0</v>
      </c>
      <c r="AO39" s="111" t="str">
        <f t="shared" si="15"/>
        <v>Use deduct 3yrs</v>
      </c>
      <c r="AP39" s="111">
        <f t="shared" si="16"/>
        <v>0</v>
      </c>
      <c r="AQ39" s="112">
        <f t="shared" si="17"/>
        <v>0</v>
      </c>
      <c r="AR39" s="112">
        <f t="shared" si="18"/>
        <v>1</v>
      </c>
      <c r="AS39" s="113">
        <f t="shared" si="19"/>
        <v>2028</v>
      </c>
      <c r="AT39" s="109">
        <v>63971.507885874482</v>
      </c>
      <c r="AU39" s="114">
        <v>1</v>
      </c>
      <c r="AV39" s="113">
        <v>2028</v>
      </c>
      <c r="AW39" s="112">
        <f t="shared" si="20"/>
        <v>0.51357574108970294</v>
      </c>
      <c r="AX39" s="109">
        <f t="shared" si="21"/>
        <v>63971.507885874489</v>
      </c>
      <c r="AY39" s="109">
        <f t="shared" si="22"/>
        <v>0</v>
      </c>
      <c r="AZ39" s="109">
        <f t="shared" si="23"/>
        <v>63971.507885874489</v>
      </c>
      <c r="BA39" s="111">
        <f t="shared" si="24"/>
        <v>0</v>
      </c>
      <c r="BB39" s="117"/>
      <c r="BC39" s="115" t="str">
        <f t="shared" si="25"/>
        <v>N</v>
      </c>
      <c r="BD39" s="115" t="str">
        <f t="shared" si="26"/>
        <v>Y</v>
      </c>
      <c r="BE39" s="115" t="str">
        <f t="shared" si="27"/>
        <v>N</v>
      </c>
      <c r="BF39" s="109" t="str">
        <f t="shared" si="28"/>
        <v/>
      </c>
      <c r="BG39" s="111" t="s">
        <v>2499</v>
      </c>
      <c r="BH39" s="115" t="s">
        <v>1168</v>
      </c>
      <c r="BI39" s="116"/>
      <c r="BJ39" s="222">
        <v>0.39168467516026106</v>
      </c>
      <c r="BK39" s="265">
        <f t="shared" si="29"/>
        <v>0</v>
      </c>
      <c r="BL39" s="265">
        <f t="shared" si="30"/>
        <v>0</v>
      </c>
      <c r="BM39" s="265">
        <f t="shared" si="31"/>
        <v>0</v>
      </c>
      <c r="BN39" s="265">
        <f t="shared" si="32"/>
        <v>-0.49285600969596999</v>
      </c>
      <c r="BO39" s="109"/>
      <c r="BP39" s="265">
        <f t="shared" si="33"/>
        <v>-7.4188417784171179E-4</v>
      </c>
      <c r="BQ39" s="265">
        <v>-7.4188417784171179E-4</v>
      </c>
      <c r="BR39" s="265" t="e">
        <f t="shared" si="34"/>
        <v>#REF!</v>
      </c>
      <c r="BS39" s="265">
        <v>-8.3580104891858772E-5</v>
      </c>
      <c r="BT39" s="475">
        <v>99352.492114125518</v>
      </c>
      <c r="BU39" s="475">
        <v>63971.507885874475</v>
      </c>
      <c r="BV39" s="475">
        <v>0</v>
      </c>
      <c r="BW39" s="483">
        <f t="shared" si="35"/>
        <v>0.49211412552540423</v>
      </c>
      <c r="BX39" s="483">
        <f t="shared" si="36"/>
        <v>0</v>
      </c>
    </row>
    <row r="40" spans="1:76" s="103" customFormat="1" ht="29">
      <c r="A40" s="100" t="s">
        <v>2502</v>
      </c>
      <c r="B40" s="91" t="str">
        <f t="shared" si="0"/>
        <v xml:space="preserve">CI </v>
      </c>
      <c r="C40" s="92" t="s">
        <v>463</v>
      </c>
      <c r="D40" s="448" t="s">
        <v>2269</v>
      </c>
      <c r="E40" s="449" t="s">
        <v>2234</v>
      </c>
      <c r="F40" s="467" t="s">
        <v>2235</v>
      </c>
      <c r="G40" s="467" t="s">
        <v>5001</v>
      </c>
      <c r="H40" s="398">
        <v>0.65</v>
      </c>
      <c r="I40" s="95" t="s">
        <v>890</v>
      </c>
      <c r="J40" s="95" t="s">
        <v>1166</v>
      </c>
      <c r="K40" s="191">
        <v>2562464</v>
      </c>
      <c r="L40" s="268">
        <v>0.5222369111756584</v>
      </c>
      <c r="M40" s="266">
        <v>1</v>
      </c>
      <c r="N40" s="267">
        <f t="shared" si="1"/>
        <v>0</v>
      </c>
      <c r="O40" s="96">
        <f t="shared" si="2"/>
        <v>1692625.3651667654</v>
      </c>
      <c r="P40" s="96">
        <f t="shared" si="3"/>
        <v>869838.63483323448</v>
      </c>
      <c r="Q40" s="96">
        <f t="shared" si="4"/>
        <v>0</v>
      </c>
      <c r="R40" s="187" t="s">
        <v>2457</v>
      </c>
      <c r="S40" s="187" t="s">
        <v>3607</v>
      </c>
      <c r="T40" s="94" t="s">
        <v>2859</v>
      </c>
      <c r="U40" s="395">
        <f>COUNTIF(Aggregation_of_rev_to_allocate!$A$3:$A$137,$T40)</f>
        <v>1</v>
      </c>
      <c r="V40" s="100"/>
      <c r="W40" s="100">
        <v>139</v>
      </c>
      <c r="X40" s="109">
        <v>869838.62833298056</v>
      </c>
      <c r="Y40" s="109">
        <v>0</v>
      </c>
      <c r="Z40" s="110">
        <v>0.52223690727301209</v>
      </c>
      <c r="AA40" s="110">
        <v>1</v>
      </c>
      <c r="AB40" s="110">
        <v>0</v>
      </c>
      <c r="AC40" s="109">
        <f>IF(ISERROR((X40*SUMIF('Rev_for_allocation(Hard)'!$A$3:$A$249,$T40,'Rev_for_allocation(Hard)'!$I$3:$I$249)/SUMIF(Historic_capex_list!$T$9:$T$586,$T40,Historic_capex_list!$X$9:$X$586))=TRUE),0,X40*SUMIF('Rev_for_allocation(Hard)'!$A$3:$A$249,$T40,'Rev_for_allocation(Hard)'!$I$3:$I$249)/SUMIF(Historic_capex_list!$T$9:$T$586,$T40,Historic_capex_list!$X$9:$X$586))</f>
        <v>6.5002540805868024E-3</v>
      </c>
      <c r="AD40" s="109">
        <f t="shared" si="5"/>
        <v>869838.6348332346</v>
      </c>
      <c r="AE40" s="109">
        <f t="shared" si="6"/>
        <v>869838.6348332346</v>
      </c>
      <c r="AF40" s="109">
        <f t="shared" si="7"/>
        <v>869838.6348332346</v>
      </c>
      <c r="AG40" s="332" t="str">
        <f t="shared" si="8"/>
        <v>N</v>
      </c>
      <c r="AH40" s="332">
        <f t="shared" si="9"/>
        <v>0</v>
      </c>
      <c r="AI40" s="332">
        <f t="shared" si="10"/>
        <v>0</v>
      </c>
      <c r="AJ40" s="109">
        <f t="shared" si="11"/>
        <v>869838.6348332346</v>
      </c>
      <c r="AK40" s="109">
        <f t="shared" si="12"/>
        <v>0</v>
      </c>
      <c r="AL40" s="109">
        <v>0</v>
      </c>
      <c r="AM40" s="111">
        <f t="shared" si="13"/>
        <v>0</v>
      </c>
      <c r="AN40" s="111">
        <f t="shared" si="14"/>
        <v>0</v>
      </c>
      <c r="AO40" s="111" t="str">
        <f t="shared" si="15"/>
        <v>Use deduct 3yrs</v>
      </c>
      <c r="AP40" s="111">
        <f t="shared" si="16"/>
        <v>0</v>
      </c>
      <c r="AQ40" s="112">
        <f t="shared" si="17"/>
        <v>0</v>
      </c>
      <c r="AR40" s="112">
        <f t="shared" si="18"/>
        <v>1</v>
      </c>
      <c r="AS40" s="113">
        <f t="shared" si="19"/>
        <v>2028</v>
      </c>
      <c r="AT40" s="109">
        <v>869838.6348332346</v>
      </c>
      <c r="AU40" s="114">
        <v>1</v>
      </c>
      <c r="AV40" s="113">
        <v>2028</v>
      </c>
      <c r="AW40" s="112">
        <f t="shared" si="20"/>
        <v>0.5222369111756584</v>
      </c>
      <c r="AX40" s="109">
        <f t="shared" si="21"/>
        <v>869838.63483323448</v>
      </c>
      <c r="AY40" s="109">
        <f t="shared" si="22"/>
        <v>0</v>
      </c>
      <c r="AZ40" s="109">
        <f t="shared" si="23"/>
        <v>869838.63483323448</v>
      </c>
      <c r="BA40" s="111">
        <f t="shared" si="24"/>
        <v>0</v>
      </c>
      <c r="BB40" s="117"/>
      <c r="BC40" s="115" t="str">
        <f t="shared" si="25"/>
        <v>N</v>
      </c>
      <c r="BD40" s="115" t="str">
        <f t="shared" si="26"/>
        <v>Y</v>
      </c>
      <c r="BE40" s="115" t="str">
        <f t="shared" si="27"/>
        <v>N</v>
      </c>
      <c r="BF40" s="109" t="str">
        <f t="shared" si="28"/>
        <v/>
      </c>
      <c r="BG40" s="111" t="s">
        <v>2499</v>
      </c>
      <c r="BH40" s="115" t="s">
        <v>1168</v>
      </c>
      <c r="BI40" s="116"/>
      <c r="BJ40" s="222">
        <v>0.5222369111756584</v>
      </c>
      <c r="BK40" s="265">
        <f t="shared" si="29"/>
        <v>0</v>
      </c>
      <c r="BL40" s="265">
        <f t="shared" si="30"/>
        <v>0</v>
      </c>
      <c r="BM40" s="265">
        <f t="shared" si="31"/>
        <v>1.1641532182693481E-10</v>
      </c>
      <c r="BN40" s="265">
        <f t="shared" si="32"/>
        <v>-6.5002539195120335E-3</v>
      </c>
      <c r="BO40" s="109"/>
      <c r="BP40" s="265">
        <f t="shared" si="33"/>
        <v>-6.5002540359273553E-3</v>
      </c>
      <c r="BQ40" s="265">
        <v>-6.5002540359273553E-3</v>
      </c>
      <c r="BR40" s="265" t="e">
        <f t="shared" si="34"/>
        <v>#REF!</v>
      </c>
      <c r="BS40" s="265">
        <v>-7.3231365538362157E-4</v>
      </c>
      <c r="BT40" s="475">
        <v>1692625.3651667654</v>
      </c>
      <c r="BU40" s="475">
        <v>869838.63483323448</v>
      </c>
      <c r="BV40" s="475">
        <v>0</v>
      </c>
      <c r="BW40" s="483">
        <f t="shared" si="35"/>
        <v>0</v>
      </c>
      <c r="BX40" s="483">
        <f t="shared" si="36"/>
        <v>0</v>
      </c>
    </row>
    <row r="41" spans="1:76" s="103" customFormat="1" ht="14.5">
      <c r="A41" s="100" t="s">
        <v>2502</v>
      </c>
      <c r="B41" s="91" t="str">
        <f t="shared" si="0"/>
        <v xml:space="preserve">CI </v>
      </c>
      <c r="C41" s="92" t="s">
        <v>463</v>
      </c>
      <c r="D41" s="448" t="s">
        <v>2269</v>
      </c>
      <c r="E41" s="449" t="s">
        <v>2027</v>
      </c>
      <c r="F41" s="467" t="s">
        <v>4831</v>
      </c>
      <c r="G41" s="467" t="s">
        <v>5002</v>
      </c>
      <c r="H41" s="470">
        <v>1</v>
      </c>
      <c r="I41" s="95" t="s">
        <v>962</v>
      </c>
      <c r="J41" s="95" t="s">
        <v>1166</v>
      </c>
      <c r="K41" s="469">
        <v>76806</v>
      </c>
      <c r="L41" s="471">
        <v>0.39162305028252997</v>
      </c>
      <c r="M41" s="266">
        <v>1</v>
      </c>
      <c r="N41" s="267">
        <f t="shared" si="1"/>
        <v>0</v>
      </c>
      <c r="O41" s="96">
        <f t="shared" si="2"/>
        <v>46727</v>
      </c>
      <c r="P41" s="96">
        <f t="shared" si="3"/>
        <v>30078.999999999996</v>
      </c>
      <c r="Q41" s="96">
        <f t="shared" si="4"/>
        <v>0</v>
      </c>
      <c r="R41" s="187" t="s">
        <v>2455</v>
      </c>
      <c r="S41" s="187" t="s">
        <v>3607</v>
      </c>
      <c r="T41" s="94" t="s">
        <v>2857</v>
      </c>
      <c r="U41" s="395">
        <f>COUNTIF(Aggregation_of_rev_to_allocate!$A$3:$A$137,$T41)</f>
        <v>1</v>
      </c>
      <c r="V41" s="100"/>
      <c r="W41" s="100">
        <v>91</v>
      </c>
      <c r="X41" s="109">
        <v>30079.032595427441</v>
      </c>
      <c r="Y41" s="109">
        <v>0</v>
      </c>
      <c r="Z41" s="110">
        <v>0.3916846706178535</v>
      </c>
      <c r="AA41" s="110">
        <v>1</v>
      </c>
      <c r="AB41" s="110">
        <v>0</v>
      </c>
      <c r="AC41" s="109">
        <f>IF(ISERROR((X41*SUMIF('Rev_for_allocation(Hard)'!$A$3:$A$249,$T41,'Rev_for_allocation(Hard)'!$I$3:$I$249)/SUMIF(Historic_capex_list!$T$9:$T$586,$T41,Historic_capex_list!$X$9:$X$586))=TRUE),0,X41*SUMIF('Rev_for_allocation(Hard)'!$A$3:$A$249,$T41,'Rev_for_allocation(Hard)'!$I$3:$I$249)/SUMIF(Historic_capex_list!$T$9:$T$586,$T41,Historic_capex_list!$X$9:$X$586))</f>
        <v>2.9636165367031544E-4</v>
      </c>
      <c r="AD41" s="109">
        <f t="shared" si="5"/>
        <v>30079.032891789095</v>
      </c>
      <c r="AE41" s="109">
        <f t="shared" si="6"/>
        <v>30079.032891789095</v>
      </c>
      <c r="AF41" s="109">
        <f t="shared" si="7"/>
        <v>30079.032891789095</v>
      </c>
      <c r="AG41" s="332" t="str">
        <f t="shared" si="8"/>
        <v>N</v>
      </c>
      <c r="AH41" s="332">
        <f t="shared" si="9"/>
        <v>0</v>
      </c>
      <c r="AI41" s="332">
        <f t="shared" si="10"/>
        <v>0</v>
      </c>
      <c r="AJ41" s="109">
        <f t="shared" si="11"/>
        <v>30079.032891789095</v>
      </c>
      <c r="AK41" s="109">
        <f t="shared" si="12"/>
        <v>0</v>
      </c>
      <c r="AL41" s="109">
        <v>0</v>
      </c>
      <c r="AM41" s="111">
        <f t="shared" si="13"/>
        <v>0</v>
      </c>
      <c r="AN41" s="111">
        <f t="shared" si="14"/>
        <v>0</v>
      </c>
      <c r="AO41" s="111" t="str">
        <f t="shared" si="15"/>
        <v>Use deduct 3yrs</v>
      </c>
      <c r="AP41" s="111">
        <f t="shared" si="16"/>
        <v>0</v>
      </c>
      <c r="AQ41" s="112">
        <f t="shared" si="17"/>
        <v>0</v>
      </c>
      <c r="AR41" s="112">
        <f t="shared" si="18"/>
        <v>1</v>
      </c>
      <c r="AS41" s="113">
        <f t="shared" si="19"/>
        <v>2028</v>
      </c>
      <c r="AT41" s="109">
        <v>30079.032944257091</v>
      </c>
      <c r="AU41" s="114">
        <v>1</v>
      </c>
      <c r="AV41" s="113">
        <v>2028</v>
      </c>
      <c r="AW41" s="112">
        <f t="shared" si="20"/>
        <v>0.39162347921070084</v>
      </c>
      <c r="AX41" s="109">
        <f t="shared" si="21"/>
        <v>30079.032944257087</v>
      </c>
      <c r="AY41" s="109">
        <f t="shared" si="22"/>
        <v>0</v>
      </c>
      <c r="AZ41" s="109">
        <f t="shared" si="23"/>
        <v>30079.032944257087</v>
      </c>
      <c r="BA41" s="111">
        <f t="shared" si="24"/>
        <v>0</v>
      </c>
      <c r="BB41" s="117"/>
      <c r="BC41" s="115" t="str">
        <f t="shared" si="25"/>
        <v>N</v>
      </c>
      <c r="BD41" s="115" t="str">
        <f t="shared" si="26"/>
        <v>Y</v>
      </c>
      <c r="BE41" s="115" t="str">
        <f t="shared" si="27"/>
        <v>N</v>
      </c>
      <c r="BF41" s="109" t="str">
        <f t="shared" si="28"/>
        <v/>
      </c>
      <c r="BG41" s="111" t="s">
        <v>2499</v>
      </c>
      <c r="BH41" s="115" t="s">
        <v>1168</v>
      </c>
      <c r="BI41" s="116"/>
      <c r="BJ41" s="222">
        <v>0.39168467516026112</v>
      </c>
      <c r="BK41" s="265">
        <f t="shared" si="29"/>
        <v>0</v>
      </c>
      <c r="BL41" s="265">
        <f t="shared" si="30"/>
        <v>0</v>
      </c>
      <c r="BM41" s="265">
        <f t="shared" si="31"/>
        <v>3.637978807091713E-12</v>
      </c>
      <c r="BN41" s="265">
        <f t="shared" si="32"/>
        <v>3.259542744490318E-2</v>
      </c>
      <c r="BO41" s="109"/>
      <c r="BP41" s="265">
        <f t="shared" si="33"/>
        <v>-3.488296497380361E-4</v>
      </c>
      <c r="BQ41" s="265">
        <v>-3.488296497380361E-4</v>
      </c>
      <c r="BR41" s="265" t="e">
        <f t="shared" si="34"/>
        <v>#REF!</v>
      </c>
      <c r="BS41" s="265">
        <v>-3.9298881935066639E-5</v>
      </c>
      <c r="BT41" s="475">
        <v>46714.967055742905</v>
      </c>
      <c r="BU41" s="475">
        <v>30079.032944257091</v>
      </c>
      <c r="BV41" s="475">
        <v>0</v>
      </c>
      <c r="BW41" s="483">
        <f t="shared" si="35"/>
        <v>-3.2944257094641216E-2</v>
      </c>
      <c r="BX41" s="483">
        <f t="shared" si="36"/>
        <v>0</v>
      </c>
    </row>
    <row r="42" spans="1:76" s="103" customFormat="1" ht="58">
      <c r="A42" s="100" t="s">
        <v>2502</v>
      </c>
      <c r="B42" s="91" t="str">
        <f t="shared" si="0"/>
        <v xml:space="preserve">CI </v>
      </c>
      <c r="C42" s="92" t="s">
        <v>463</v>
      </c>
      <c r="D42" s="448" t="s">
        <v>2269</v>
      </c>
      <c r="E42" s="449" t="s">
        <v>2045</v>
      </c>
      <c r="F42" s="467" t="s">
        <v>4832</v>
      </c>
      <c r="G42" s="502" t="s">
        <v>5239</v>
      </c>
      <c r="H42" s="470">
        <v>0.75219999999999998</v>
      </c>
      <c r="I42" s="95" t="s">
        <v>962</v>
      </c>
      <c r="J42" s="95" t="s">
        <v>1166</v>
      </c>
      <c r="K42" s="469">
        <v>94995</v>
      </c>
      <c r="L42" s="471">
        <v>0.44636335202797378</v>
      </c>
      <c r="M42" s="266">
        <v>1</v>
      </c>
      <c r="N42" s="267">
        <f t="shared" si="1"/>
        <v>0</v>
      </c>
      <c r="O42" s="96">
        <f t="shared" si="2"/>
        <v>63100</v>
      </c>
      <c r="P42" s="96">
        <f t="shared" si="3"/>
        <v>31894.999999999996</v>
      </c>
      <c r="Q42" s="96">
        <f t="shared" si="4"/>
        <v>0</v>
      </c>
      <c r="R42" s="187" t="s">
        <v>2455</v>
      </c>
      <c r="S42" s="187" t="s">
        <v>3607</v>
      </c>
      <c r="T42" s="94" t="s">
        <v>2857</v>
      </c>
      <c r="U42" s="395">
        <f>COUNTIF(Aggregation_of_rev_to_allocate!$A$3:$A$137,$T42)</f>
        <v>1</v>
      </c>
      <c r="V42" s="100"/>
      <c r="W42" s="100">
        <v>92</v>
      </c>
      <c r="X42" s="109">
        <v>31894.704689925162</v>
      </c>
      <c r="Y42" s="109">
        <v>0</v>
      </c>
      <c r="Z42" s="110">
        <v>0.44509621661119708</v>
      </c>
      <c r="AA42" s="110">
        <v>1</v>
      </c>
      <c r="AB42" s="110">
        <v>0</v>
      </c>
      <c r="AC42" s="109">
        <f>IF(ISERROR((X42*SUMIF('Rev_for_allocation(Hard)'!$A$3:$A$249,$T42,'Rev_for_allocation(Hard)'!$I$3:$I$249)/SUMIF(Historic_capex_list!$T$9:$T$586,$T42,Historic_capex_list!$X$9:$X$586))=TRUE),0,X42*SUMIF('Rev_for_allocation(Hard)'!$A$3:$A$249,$T42,'Rev_for_allocation(Hard)'!$I$3:$I$249)/SUMIF(Historic_capex_list!$T$9:$T$586,$T42,Historic_capex_list!$X$9:$X$586))</f>
        <v>3.1425104498438946E-4</v>
      </c>
      <c r="AD42" s="109">
        <f t="shared" si="5"/>
        <v>31894.705004176209</v>
      </c>
      <c r="AE42" s="109">
        <f t="shared" si="6"/>
        <v>31894.705004176209</v>
      </c>
      <c r="AF42" s="109">
        <f t="shared" si="7"/>
        <v>31894.705004176209</v>
      </c>
      <c r="AG42" s="332" t="str">
        <f t="shared" si="8"/>
        <v>N</v>
      </c>
      <c r="AH42" s="332">
        <f t="shared" si="9"/>
        <v>0</v>
      </c>
      <c r="AI42" s="332">
        <f t="shared" si="10"/>
        <v>0</v>
      </c>
      <c r="AJ42" s="109">
        <f t="shared" si="11"/>
        <v>31894.705004176209</v>
      </c>
      <c r="AK42" s="109">
        <f t="shared" si="12"/>
        <v>0</v>
      </c>
      <c r="AL42" s="109">
        <v>0</v>
      </c>
      <c r="AM42" s="111">
        <f t="shared" si="13"/>
        <v>0</v>
      </c>
      <c r="AN42" s="111">
        <f t="shared" si="14"/>
        <v>0</v>
      </c>
      <c r="AO42" s="111" t="str">
        <f t="shared" si="15"/>
        <v>Use deduct 3yrs</v>
      </c>
      <c r="AP42" s="111">
        <f t="shared" si="16"/>
        <v>0</v>
      </c>
      <c r="AQ42" s="112">
        <f t="shared" si="17"/>
        <v>0</v>
      </c>
      <c r="AR42" s="112">
        <f t="shared" si="18"/>
        <v>1</v>
      </c>
      <c r="AS42" s="113">
        <f t="shared" si="19"/>
        <v>2028</v>
      </c>
      <c r="AT42" s="109">
        <v>31894.705059811349</v>
      </c>
      <c r="AU42" s="114">
        <v>1</v>
      </c>
      <c r="AV42" s="113">
        <v>2028</v>
      </c>
      <c r="AW42" s="112">
        <f t="shared" si="20"/>
        <v>0.44635922440636366</v>
      </c>
      <c r="AX42" s="109">
        <f t="shared" si="21"/>
        <v>31894.705059811346</v>
      </c>
      <c r="AY42" s="109">
        <f t="shared" si="22"/>
        <v>0</v>
      </c>
      <c r="AZ42" s="109">
        <f t="shared" si="23"/>
        <v>31894.705059811346</v>
      </c>
      <c r="BA42" s="111">
        <f t="shared" si="24"/>
        <v>0</v>
      </c>
      <c r="BB42" s="117"/>
      <c r="BC42" s="115" t="str">
        <f t="shared" si="25"/>
        <v>N</v>
      </c>
      <c r="BD42" s="115" t="str">
        <f t="shared" si="26"/>
        <v>Y</v>
      </c>
      <c r="BE42" s="115" t="str">
        <f t="shared" si="27"/>
        <v>N</v>
      </c>
      <c r="BF42" s="109" t="str">
        <f t="shared" si="28"/>
        <v/>
      </c>
      <c r="BG42" s="111" t="s">
        <v>2499</v>
      </c>
      <c r="BH42" s="115" t="s">
        <v>1168</v>
      </c>
      <c r="BI42" s="116"/>
      <c r="BJ42" s="222">
        <v>0.44509622177302394</v>
      </c>
      <c r="BK42" s="265">
        <f t="shared" si="29"/>
        <v>0</v>
      </c>
      <c r="BL42" s="265">
        <f t="shared" si="30"/>
        <v>0</v>
      </c>
      <c r="BM42" s="265">
        <f t="shared" si="31"/>
        <v>3.637978807091713E-12</v>
      </c>
      <c r="BN42" s="265">
        <f t="shared" si="32"/>
        <v>-0.29531007483456051</v>
      </c>
      <c r="BO42" s="109"/>
      <c r="BP42" s="265">
        <f t="shared" si="33"/>
        <v>-3.6988618739997037E-4</v>
      </c>
      <c r="BQ42" s="265">
        <v>-3.6988618739997037E-4</v>
      </c>
      <c r="BR42" s="265" t="e">
        <f t="shared" si="34"/>
        <v>#REF!</v>
      </c>
      <c r="BS42" s="265">
        <v>-4.1671095386988152E-5</v>
      </c>
      <c r="BT42" s="475">
        <v>39763.294940188658</v>
      </c>
      <c r="BU42" s="475">
        <v>31894.705059811349</v>
      </c>
      <c r="BV42" s="475">
        <v>0</v>
      </c>
      <c r="BW42" s="483">
        <f t="shared" si="35"/>
        <v>0.29494018864716054</v>
      </c>
      <c r="BX42" s="483">
        <f t="shared" si="36"/>
        <v>0</v>
      </c>
    </row>
    <row r="43" spans="1:76" s="103" customFormat="1" ht="58">
      <c r="A43" s="100" t="s">
        <v>2502</v>
      </c>
      <c r="B43" s="91" t="str">
        <f t="shared" si="0"/>
        <v xml:space="preserve">CI </v>
      </c>
      <c r="C43" s="92" t="s">
        <v>463</v>
      </c>
      <c r="D43" s="448" t="s">
        <v>2269</v>
      </c>
      <c r="E43" s="449" t="s">
        <v>2051</v>
      </c>
      <c r="F43" s="467" t="s">
        <v>4833</v>
      </c>
      <c r="G43" s="502" t="s">
        <v>5239</v>
      </c>
      <c r="H43" s="470">
        <v>0.75219999999999998</v>
      </c>
      <c r="I43" s="95" t="s">
        <v>962</v>
      </c>
      <c r="J43" s="95" t="s">
        <v>1166</v>
      </c>
      <c r="K43" s="469">
        <v>421000</v>
      </c>
      <c r="L43" s="471">
        <v>0.54694353412097263</v>
      </c>
      <c r="M43" s="266">
        <v>1</v>
      </c>
      <c r="N43" s="267">
        <f t="shared" si="1"/>
        <v>0</v>
      </c>
      <c r="O43" s="96">
        <f t="shared" si="2"/>
        <v>247796.00000000006</v>
      </c>
      <c r="P43" s="96">
        <f t="shared" si="3"/>
        <v>173203.99999999994</v>
      </c>
      <c r="Q43" s="96">
        <f t="shared" si="4"/>
        <v>0</v>
      </c>
      <c r="R43" s="187" t="s">
        <v>2455</v>
      </c>
      <c r="S43" s="187" t="s">
        <v>3607</v>
      </c>
      <c r="T43" s="94" t="s">
        <v>2857</v>
      </c>
      <c r="U43" s="395">
        <f>COUNTIF(Aggregation_of_rev_to_allocate!$A$3:$A$137,$T43)</f>
        <v>1</v>
      </c>
      <c r="V43" s="100"/>
      <c r="W43" s="100">
        <v>93</v>
      </c>
      <c r="X43" s="109">
        <v>173203.85153964802</v>
      </c>
      <c r="Y43" s="109">
        <v>0</v>
      </c>
      <c r="Z43" s="110">
        <v>0.44509621661119714</v>
      </c>
      <c r="AA43" s="110">
        <v>1</v>
      </c>
      <c r="AB43" s="110">
        <v>0</v>
      </c>
      <c r="AC43" s="109">
        <f>IF(ISERROR((X43*SUMIF('Rev_for_allocation(Hard)'!$A$3:$A$249,$T43,'Rev_for_allocation(Hard)'!$I$3:$I$249)/SUMIF(Historic_capex_list!$T$9:$T$586,$T43,Historic_capex_list!$X$9:$X$586))=TRUE),0,X43*SUMIF('Rev_for_allocation(Hard)'!$A$3:$A$249,$T43,'Rev_for_allocation(Hard)'!$I$3:$I$249)/SUMIF(Historic_capex_list!$T$9:$T$586,$T43,Historic_capex_list!$X$9:$X$586))</f>
        <v>1.7065369273931083E-3</v>
      </c>
      <c r="AD43" s="109">
        <f t="shared" si="5"/>
        <v>173203.85324618494</v>
      </c>
      <c r="AE43" s="109">
        <f t="shared" si="6"/>
        <v>173203.85324618494</v>
      </c>
      <c r="AF43" s="109">
        <f t="shared" si="7"/>
        <v>173203.85324618494</v>
      </c>
      <c r="AG43" s="332" t="str">
        <f t="shared" si="8"/>
        <v>N</v>
      </c>
      <c r="AH43" s="332">
        <f t="shared" si="9"/>
        <v>0</v>
      </c>
      <c r="AI43" s="332">
        <f t="shared" si="10"/>
        <v>0</v>
      </c>
      <c r="AJ43" s="109">
        <f t="shared" si="11"/>
        <v>173203.85324618494</v>
      </c>
      <c r="AK43" s="109">
        <f t="shared" si="12"/>
        <v>0</v>
      </c>
      <c r="AL43" s="109">
        <v>0</v>
      </c>
      <c r="AM43" s="111">
        <f t="shared" si="13"/>
        <v>0</v>
      </c>
      <c r="AN43" s="111">
        <f t="shared" si="14"/>
        <v>0</v>
      </c>
      <c r="AO43" s="111" t="str">
        <f t="shared" si="15"/>
        <v>Use deduct 3yrs</v>
      </c>
      <c r="AP43" s="111">
        <f t="shared" si="16"/>
        <v>0</v>
      </c>
      <c r="AQ43" s="112">
        <f t="shared" si="17"/>
        <v>0</v>
      </c>
      <c r="AR43" s="112">
        <f t="shared" si="18"/>
        <v>1</v>
      </c>
      <c r="AS43" s="113">
        <f t="shared" si="19"/>
        <v>2028</v>
      </c>
      <c r="AT43" s="109">
        <v>173203.85354831099</v>
      </c>
      <c r="AU43" s="114">
        <v>1</v>
      </c>
      <c r="AV43" s="113">
        <v>2028</v>
      </c>
      <c r="AW43" s="112">
        <f t="shared" si="20"/>
        <v>0.54694307165587741</v>
      </c>
      <c r="AX43" s="109">
        <f t="shared" si="21"/>
        <v>173203.85354831096</v>
      </c>
      <c r="AY43" s="109">
        <f t="shared" si="22"/>
        <v>0</v>
      </c>
      <c r="AZ43" s="109">
        <f t="shared" si="23"/>
        <v>173203.85354831096</v>
      </c>
      <c r="BA43" s="111">
        <f t="shared" si="24"/>
        <v>0</v>
      </c>
      <c r="BB43" s="117"/>
      <c r="BC43" s="115" t="str">
        <f t="shared" si="25"/>
        <v>N</v>
      </c>
      <c r="BD43" s="115" t="str">
        <f t="shared" si="26"/>
        <v>Y</v>
      </c>
      <c r="BE43" s="115" t="str">
        <f t="shared" si="27"/>
        <v>N</v>
      </c>
      <c r="BF43" s="109" t="str">
        <f t="shared" si="28"/>
        <v/>
      </c>
      <c r="BG43" s="111" t="s">
        <v>2499</v>
      </c>
      <c r="BH43" s="115" t="s">
        <v>1168</v>
      </c>
      <c r="BI43" s="116"/>
      <c r="BJ43" s="222">
        <v>0.44509622177302394</v>
      </c>
      <c r="BK43" s="265">
        <f t="shared" si="29"/>
        <v>0</v>
      </c>
      <c r="BL43" s="265">
        <f t="shared" si="30"/>
        <v>0</v>
      </c>
      <c r="BM43" s="265">
        <f t="shared" si="31"/>
        <v>0</v>
      </c>
      <c r="BN43" s="265">
        <f t="shared" si="32"/>
        <v>-0.148460351920221</v>
      </c>
      <c r="BO43" s="109"/>
      <c r="BP43" s="265">
        <f t="shared" si="33"/>
        <v>-2.0086629665456712E-3</v>
      </c>
      <c r="BQ43" s="265">
        <v>-2.0086629665456712E-3</v>
      </c>
      <c r="BR43" s="265" t="e">
        <f t="shared" si="34"/>
        <v>#REF!</v>
      </c>
      <c r="BS43" s="265">
        <v>-2.2629443577660335E-4</v>
      </c>
      <c r="BT43" s="475">
        <v>215934.14645168904</v>
      </c>
      <c r="BU43" s="475">
        <v>173203.85354831099</v>
      </c>
      <c r="BV43" s="475">
        <v>0</v>
      </c>
      <c r="BW43" s="483">
        <f t="shared" si="35"/>
        <v>0.14645168895367533</v>
      </c>
      <c r="BX43" s="483">
        <f t="shared" si="36"/>
        <v>0</v>
      </c>
    </row>
    <row r="44" spans="1:76" s="103" customFormat="1" ht="14.5">
      <c r="A44" s="100" t="s">
        <v>2502</v>
      </c>
      <c r="B44" s="91" t="str">
        <f t="shared" si="0"/>
        <v xml:space="preserve">CI </v>
      </c>
      <c r="C44" s="92" t="s">
        <v>2273</v>
      </c>
      <c r="D44" s="448" t="s">
        <v>2269</v>
      </c>
      <c r="E44" s="451">
        <v>3200614</v>
      </c>
      <c r="F44" s="409" t="s">
        <v>2316</v>
      </c>
      <c r="G44" s="467" t="s">
        <v>5020</v>
      </c>
      <c r="H44" s="398">
        <v>1</v>
      </c>
      <c r="I44" s="151"/>
      <c r="J44" s="95" t="s">
        <v>1166</v>
      </c>
      <c r="K44" s="191">
        <v>279735.44</v>
      </c>
      <c r="L44" s="269">
        <v>0.97921168790065283</v>
      </c>
      <c r="M44" s="267">
        <v>1</v>
      </c>
      <c r="N44" s="267">
        <f t="shared" si="1"/>
        <v>0</v>
      </c>
      <c r="O44" s="96">
        <f t="shared" si="2"/>
        <v>5815.2276319682051</v>
      </c>
      <c r="P44" s="96">
        <f t="shared" si="3"/>
        <v>273920.21236803179</v>
      </c>
      <c r="Q44" s="96">
        <f t="shared" si="4"/>
        <v>0</v>
      </c>
      <c r="R44" s="187" t="s">
        <v>2455</v>
      </c>
      <c r="S44" s="187" t="s">
        <v>3607</v>
      </c>
      <c r="T44" s="94" t="s">
        <v>2857</v>
      </c>
      <c r="U44" s="395">
        <f>COUNTIF(Aggregation_of_rev_to_allocate!$A$3:$A$137,$T44)</f>
        <v>1</v>
      </c>
      <c r="V44" s="100"/>
      <c r="W44" s="100">
        <v>94</v>
      </c>
      <c r="X44" s="109">
        <v>273920.20919135079</v>
      </c>
      <c r="Y44" s="109">
        <v>0</v>
      </c>
      <c r="Z44" s="110">
        <v>0.9792116765446337</v>
      </c>
      <c r="AA44" s="110">
        <v>1</v>
      </c>
      <c r="AB44" s="110">
        <v>0</v>
      </c>
      <c r="AC44" s="109">
        <f>IF(ISERROR((X44*SUMIF('Rev_for_allocation(Hard)'!$A$3:$A$249,$T44,'Rev_for_allocation(Hard)'!$I$3:$I$249)/SUMIF(Historic_capex_list!$T$9:$T$586,$T44,Historic_capex_list!$X$9:$X$586))=TRUE),0,X44*SUMIF('Rev_for_allocation(Hard)'!$A$3:$A$249,$T44,'Rev_for_allocation(Hard)'!$I$3:$I$249)/SUMIF(Historic_capex_list!$T$9:$T$586,$T44,Historic_capex_list!$X$9:$X$586))</f>
        <v>2.6988715781373963E-3</v>
      </c>
      <c r="AD44" s="109">
        <f t="shared" si="5"/>
        <v>273920.21189022239</v>
      </c>
      <c r="AE44" s="109">
        <f t="shared" si="6"/>
        <v>273920.21189022239</v>
      </c>
      <c r="AF44" s="109">
        <f t="shared" si="7"/>
        <v>273920.21189022239</v>
      </c>
      <c r="AG44" s="332" t="str">
        <f t="shared" si="8"/>
        <v>N</v>
      </c>
      <c r="AH44" s="332">
        <f t="shared" si="9"/>
        <v>0</v>
      </c>
      <c r="AI44" s="332">
        <f t="shared" si="10"/>
        <v>0</v>
      </c>
      <c r="AJ44" s="109">
        <f t="shared" si="11"/>
        <v>273920.21189022239</v>
      </c>
      <c r="AK44" s="109">
        <f t="shared" si="12"/>
        <v>0</v>
      </c>
      <c r="AL44" s="109">
        <v>0</v>
      </c>
      <c r="AM44" s="111">
        <f t="shared" si="13"/>
        <v>0</v>
      </c>
      <c r="AN44" s="111">
        <f t="shared" si="14"/>
        <v>0</v>
      </c>
      <c r="AO44" s="111" t="str">
        <f t="shared" si="15"/>
        <v>Use deduct 3yrs</v>
      </c>
      <c r="AP44" s="111">
        <f t="shared" si="16"/>
        <v>0</v>
      </c>
      <c r="AQ44" s="112">
        <f t="shared" si="17"/>
        <v>0</v>
      </c>
      <c r="AR44" s="112">
        <f t="shared" si="18"/>
        <v>1</v>
      </c>
      <c r="AS44" s="113">
        <f t="shared" si="19"/>
        <v>2028</v>
      </c>
      <c r="AT44" s="109">
        <v>273920.21236803179</v>
      </c>
      <c r="AU44" s="114">
        <v>1</v>
      </c>
      <c r="AV44" s="113">
        <v>2028</v>
      </c>
      <c r="AW44" s="112">
        <f t="shared" si="20"/>
        <v>0.97921168790065283</v>
      </c>
      <c r="AX44" s="109">
        <f t="shared" si="21"/>
        <v>273920.21236803179</v>
      </c>
      <c r="AY44" s="109">
        <f t="shared" si="22"/>
        <v>0</v>
      </c>
      <c r="AZ44" s="109">
        <f t="shared" si="23"/>
        <v>273920.21236803179</v>
      </c>
      <c r="BA44" s="111">
        <f t="shared" si="24"/>
        <v>0</v>
      </c>
      <c r="BB44" s="117"/>
      <c r="BC44" s="115" t="str">
        <f t="shared" si="25"/>
        <v>N</v>
      </c>
      <c r="BD44" s="115" t="str">
        <f t="shared" si="26"/>
        <v>Y</v>
      </c>
      <c r="BE44" s="115" t="str">
        <f t="shared" si="27"/>
        <v>N</v>
      </c>
      <c r="BF44" s="109" t="str">
        <f t="shared" si="28"/>
        <v/>
      </c>
      <c r="BG44" s="111" t="s">
        <v>2499</v>
      </c>
      <c r="BH44" s="115" t="s">
        <v>1168</v>
      </c>
      <c r="BI44" s="116"/>
      <c r="BJ44" s="222">
        <v>0.97921168790065283</v>
      </c>
      <c r="BK44" s="265">
        <f t="shared" si="29"/>
        <v>0</v>
      </c>
      <c r="BL44" s="265">
        <f t="shared" si="30"/>
        <v>0</v>
      </c>
      <c r="BM44" s="265">
        <f t="shared" si="31"/>
        <v>0</v>
      </c>
      <c r="BN44" s="265">
        <f t="shared" si="32"/>
        <v>-3.1766809988766909E-3</v>
      </c>
      <c r="BO44" s="109"/>
      <c r="BP44" s="265">
        <f t="shared" si="33"/>
        <v>-3.1766809988766909E-3</v>
      </c>
      <c r="BQ44" s="265">
        <v>-3.1766809988766909E-3</v>
      </c>
      <c r="BR44" s="265" t="e">
        <f t="shared" si="34"/>
        <v>#REF!</v>
      </c>
      <c r="BS44" s="265">
        <v>-3.5788245527287296E-4</v>
      </c>
      <c r="BT44" s="475">
        <v>5815.2276319682051</v>
      </c>
      <c r="BU44" s="475">
        <v>273920.21236803179</v>
      </c>
      <c r="BV44" s="475">
        <v>0</v>
      </c>
      <c r="BW44" s="483">
        <f t="shared" si="35"/>
        <v>0</v>
      </c>
      <c r="BX44" s="483">
        <f t="shared" si="36"/>
        <v>0</v>
      </c>
    </row>
    <row r="45" spans="1:76" s="103" customFormat="1" ht="14.5">
      <c r="A45" s="100" t="s">
        <v>2507</v>
      </c>
      <c r="B45" s="91" t="str">
        <f t="shared" si="0"/>
        <v xml:space="preserve">CI </v>
      </c>
      <c r="C45" s="92" t="s">
        <v>463</v>
      </c>
      <c r="D45" s="448" t="s">
        <v>2269</v>
      </c>
      <c r="E45" s="453">
        <v>2130268</v>
      </c>
      <c r="F45" s="467" t="s">
        <v>4922</v>
      </c>
      <c r="G45" s="496" t="s">
        <v>4918</v>
      </c>
      <c r="H45" s="398">
        <v>1</v>
      </c>
      <c r="I45" s="95" t="s">
        <v>952</v>
      </c>
      <c r="J45" s="95" t="s">
        <v>1166</v>
      </c>
      <c r="K45" s="191">
        <v>1738084.1475</v>
      </c>
      <c r="L45" s="268">
        <v>0.46869992222928181</v>
      </c>
      <c r="M45" s="266">
        <v>0.91331269349845201</v>
      </c>
      <c r="N45" s="267">
        <f t="shared" si="1"/>
        <v>8.6687306501547989E-2</v>
      </c>
      <c r="O45" s="96">
        <f t="shared" si="2"/>
        <v>923444.24273880245</v>
      </c>
      <c r="P45" s="96">
        <f t="shared" si="3"/>
        <v>744020.96564877173</v>
      </c>
      <c r="Q45" s="96">
        <f t="shared" si="4"/>
        <v>70618.939112425796</v>
      </c>
      <c r="R45" s="187" t="s">
        <v>2268</v>
      </c>
      <c r="S45" s="187" t="s">
        <v>3608</v>
      </c>
      <c r="T45" s="94" t="s">
        <v>2842</v>
      </c>
      <c r="U45" s="395">
        <f>COUNTIF(Aggregation_of_rev_to_allocate!$A$3:$A$137,$T45)</f>
        <v>1</v>
      </c>
      <c r="V45" s="100"/>
      <c r="W45" s="100">
        <v>20</v>
      </c>
      <c r="X45" s="109">
        <v>627673.14161932049</v>
      </c>
      <c r="Y45" s="109">
        <v>247877.69830051131</v>
      </c>
      <c r="Z45" s="110">
        <v>0.50374479347228029</v>
      </c>
      <c r="AA45" s="110">
        <v>0.71688942891859053</v>
      </c>
      <c r="AB45" s="110">
        <v>0.28311057108140947</v>
      </c>
      <c r="AC45" s="109">
        <f>IF(ISERROR((X45*SUMIF('Rev_for_allocation(Hard)'!$A$3:$A$249,$T45,'Rev_for_allocation(Hard)'!$I$3:$I$249)/SUMIF(Historic_capex_list!$T$9:$T$586,$T45,Historic_capex_list!$X$9:$X$586))=TRUE),0,X45*SUMIF('Rev_for_allocation(Hard)'!$A$3:$A$249,$T45,'Rev_for_allocation(Hard)'!$I$3:$I$249)/SUMIF(Historic_capex_list!$T$9:$T$586,$T45,Historic_capex_list!$X$9:$X$586))</f>
        <v>-48402.156657774198</v>
      </c>
      <c r="AD45" s="109">
        <f t="shared" si="5"/>
        <v>579270.98496154626</v>
      </c>
      <c r="AE45" s="109">
        <f t="shared" si="6"/>
        <v>579270.98496154626</v>
      </c>
      <c r="AF45" s="109">
        <f t="shared" si="7"/>
        <v>827148.6832620576</v>
      </c>
      <c r="AG45" s="332" t="str">
        <f t="shared" si="8"/>
        <v>N</v>
      </c>
      <c r="AH45" s="332">
        <f t="shared" si="9"/>
        <v>0</v>
      </c>
      <c r="AI45" s="332">
        <f t="shared" si="10"/>
        <v>0</v>
      </c>
      <c r="AJ45" s="109">
        <f t="shared" si="11"/>
        <v>827148.6832620576</v>
      </c>
      <c r="AK45" s="109">
        <f t="shared" si="12"/>
        <v>0</v>
      </c>
      <c r="AL45" s="109">
        <v>0</v>
      </c>
      <c r="AM45" s="111">
        <f t="shared" si="13"/>
        <v>3.9491525423728815</v>
      </c>
      <c r="AN45" s="111">
        <f t="shared" si="14"/>
        <v>0.94915254237288149</v>
      </c>
      <c r="AO45" s="111" t="str">
        <f t="shared" si="15"/>
        <v>Use deduct 3yrs</v>
      </c>
      <c r="AP45" s="111">
        <f t="shared" si="16"/>
        <v>0.94915254237288149</v>
      </c>
      <c r="AQ45" s="112">
        <f t="shared" si="17"/>
        <v>8.6687306501547989E-2</v>
      </c>
      <c r="AR45" s="112">
        <f t="shared" si="18"/>
        <v>0.91331269349845201</v>
      </c>
      <c r="AS45" s="113">
        <f t="shared" si="19"/>
        <v>2029</v>
      </c>
      <c r="AT45" s="109">
        <v>814639.90476119751</v>
      </c>
      <c r="AU45" s="114">
        <v>0.91331269349845201</v>
      </c>
      <c r="AV45" s="113">
        <v>2029</v>
      </c>
      <c r="AW45" s="112">
        <f t="shared" si="20"/>
        <v>0.46869992222928181</v>
      </c>
      <c r="AX45" s="109">
        <f t="shared" si="21"/>
        <v>744020.96564877173</v>
      </c>
      <c r="AY45" s="109">
        <f t="shared" si="22"/>
        <v>70618.939112425796</v>
      </c>
      <c r="AZ45" s="109">
        <f t="shared" si="23"/>
        <v>814639.90476119751</v>
      </c>
      <c r="BA45" s="111">
        <f t="shared" si="24"/>
        <v>0</v>
      </c>
      <c r="BB45" s="117"/>
      <c r="BC45" s="115" t="str">
        <f t="shared" si="25"/>
        <v>N</v>
      </c>
      <c r="BD45" s="115" t="str">
        <f t="shared" si="26"/>
        <v>N</v>
      </c>
      <c r="BE45" s="115" t="str">
        <f t="shared" si="27"/>
        <v>N</v>
      </c>
      <c r="BF45" s="109" t="str">
        <f t="shared" si="28"/>
        <v/>
      </c>
      <c r="BG45" s="111" t="s">
        <v>2499</v>
      </c>
      <c r="BH45" s="115" t="s">
        <v>1168</v>
      </c>
      <c r="BI45" s="116"/>
      <c r="BJ45" s="222">
        <v>0.46869992222928181</v>
      </c>
      <c r="BK45" s="265">
        <f t="shared" si="29"/>
        <v>0</v>
      </c>
      <c r="BL45" s="265">
        <f t="shared" si="30"/>
        <v>0</v>
      </c>
      <c r="BM45" s="265">
        <f t="shared" si="31"/>
        <v>0</v>
      </c>
      <c r="BN45" s="265">
        <f t="shared" si="32"/>
        <v>-116347.82402945124</v>
      </c>
      <c r="BO45" s="109"/>
      <c r="BP45" s="265">
        <f t="shared" si="33"/>
        <v>60910.935158634325</v>
      </c>
      <c r="BQ45" s="265">
        <v>60910.935158634325</v>
      </c>
      <c r="BR45" s="265" t="e">
        <f t="shared" si="34"/>
        <v>#REF!</v>
      </c>
      <c r="BS45" s="265">
        <v>6862.1794367288257</v>
      </c>
      <c r="BT45" s="475">
        <v>923444.24273880245</v>
      </c>
      <c r="BU45" s="475">
        <v>744020.96564877173</v>
      </c>
      <c r="BV45" s="475">
        <v>70618.939112425796</v>
      </c>
      <c r="BW45" s="483">
        <f t="shared" si="35"/>
        <v>0</v>
      </c>
      <c r="BX45" s="483">
        <f t="shared" si="36"/>
        <v>0</v>
      </c>
    </row>
    <row r="46" spans="1:76" s="103" customFormat="1" ht="14.5">
      <c r="A46" s="100" t="s">
        <v>2507</v>
      </c>
      <c r="B46" s="91" t="str">
        <f t="shared" si="0"/>
        <v xml:space="preserve">CI </v>
      </c>
      <c r="C46" s="92" t="s">
        <v>465</v>
      </c>
      <c r="D46" s="448" t="s">
        <v>2269</v>
      </c>
      <c r="E46" s="453">
        <v>2130268</v>
      </c>
      <c r="F46" s="467" t="s">
        <v>4922</v>
      </c>
      <c r="G46" s="496" t="s">
        <v>4918</v>
      </c>
      <c r="H46" s="398">
        <v>1</v>
      </c>
      <c r="I46" s="95" t="s">
        <v>952</v>
      </c>
      <c r="J46" s="95" t="s">
        <v>1166</v>
      </c>
      <c r="K46" s="191">
        <v>455774.73750000005</v>
      </c>
      <c r="L46" s="268">
        <v>0.33251165975912361</v>
      </c>
      <c r="M46" s="266">
        <v>0.91331269349845201</v>
      </c>
      <c r="N46" s="267">
        <f t="shared" si="1"/>
        <v>8.6687306501547989E-2</v>
      </c>
      <c r="O46" s="96">
        <f t="shared" si="2"/>
        <v>304224.32305759616</v>
      </c>
      <c r="P46" s="96">
        <f t="shared" si="3"/>
        <v>138412.9172151986</v>
      </c>
      <c r="Q46" s="96">
        <f t="shared" si="4"/>
        <v>13137.497227205291</v>
      </c>
      <c r="R46" s="187" t="s">
        <v>853</v>
      </c>
      <c r="S46" s="187" t="s">
        <v>3608</v>
      </c>
      <c r="T46" s="94" t="s">
        <v>2842</v>
      </c>
      <c r="U46" s="395">
        <f>COUNTIF(Aggregation_of_rev_to_allocate!$A$3:$A$137,$T46)</f>
        <v>1</v>
      </c>
      <c r="V46" s="100"/>
      <c r="W46" s="100">
        <v>216</v>
      </c>
      <c r="X46" s="109">
        <v>116768.30976584465</v>
      </c>
      <c r="Y46" s="109">
        <v>46113.586738036953</v>
      </c>
      <c r="Z46" s="110">
        <v>0.35737368287965193</v>
      </c>
      <c r="AA46" s="110">
        <v>0.71688942891859053</v>
      </c>
      <c r="AB46" s="110">
        <v>0.28311057108140947</v>
      </c>
      <c r="AC46" s="109">
        <f>IF(ISERROR((X46*SUMIF('Rev_for_allocation(Hard)'!$A$3:$A$249,$T46,'Rev_for_allocation(Hard)'!$I$3:$I$249)/SUMIF(Historic_capex_list!$T$9:$T$586,$T46,Historic_capex_list!$X$9:$X$586))=TRUE),0,X46*SUMIF('Rev_for_allocation(Hard)'!$A$3:$A$249,$T46,'Rev_for_allocation(Hard)'!$I$3:$I$249)/SUMIF(Historic_capex_list!$T$9:$T$586,$T46,Historic_capex_list!$X$9:$X$586))</f>
        <v>-9004.4286543293256</v>
      </c>
      <c r="AD46" s="109">
        <f t="shared" si="5"/>
        <v>107763.88111151532</v>
      </c>
      <c r="AE46" s="109">
        <f t="shared" si="6"/>
        <v>107763.88111151532</v>
      </c>
      <c r="AF46" s="109">
        <f t="shared" si="7"/>
        <v>153877.46784955228</v>
      </c>
      <c r="AG46" s="332" t="str">
        <f t="shared" si="8"/>
        <v>N</v>
      </c>
      <c r="AH46" s="332">
        <f t="shared" si="9"/>
        <v>0</v>
      </c>
      <c r="AI46" s="332">
        <f t="shared" si="10"/>
        <v>0</v>
      </c>
      <c r="AJ46" s="109">
        <f t="shared" si="11"/>
        <v>153877.46784955228</v>
      </c>
      <c r="AK46" s="109">
        <f t="shared" si="12"/>
        <v>0</v>
      </c>
      <c r="AL46" s="109">
        <v>0</v>
      </c>
      <c r="AM46" s="111">
        <f t="shared" si="13"/>
        <v>3.9491525423728815</v>
      </c>
      <c r="AN46" s="111">
        <f t="shared" si="14"/>
        <v>0.94915254237288149</v>
      </c>
      <c r="AO46" s="111" t="str">
        <f t="shared" si="15"/>
        <v>Use deduct 3yrs</v>
      </c>
      <c r="AP46" s="111">
        <f t="shared" si="16"/>
        <v>0.94915254237288149</v>
      </c>
      <c r="AQ46" s="112">
        <f t="shared" si="17"/>
        <v>8.6687306501547989E-2</v>
      </c>
      <c r="AR46" s="112">
        <f t="shared" si="18"/>
        <v>0.91331269349845201</v>
      </c>
      <c r="AS46" s="113">
        <f t="shared" si="19"/>
        <v>2029</v>
      </c>
      <c r="AT46" s="109">
        <v>151550.41444240388</v>
      </c>
      <c r="AU46" s="114">
        <v>0.91331269349845201</v>
      </c>
      <c r="AV46" s="113">
        <v>2029</v>
      </c>
      <c r="AW46" s="112">
        <f t="shared" si="20"/>
        <v>0.33251165975912361</v>
      </c>
      <c r="AX46" s="109">
        <f t="shared" si="21"/>
        <v>138412.9172151986</v>
      </c>
      <c r="AY46" s="109">
        <f t="shared" si="22"/>
        <v>13137.497227205291</v>
      </c>
      <c r="AZ46" s="109">
        <f t="shared" si="23"/>
        <v>151550.41444240388</v>
      </c>
      <c r="BA46" s="111">
        <f t="shared" si="24"/>
        <v>0</v>
      </c>
      <c r="BB46" s="117"/>
      <c r="BC46" s="115" t="str">
        <f t="shared" si="25"/>
        <v>N</v>
      </c>
      <c r="BD46" s="115" t="str">
        <f t="shared" si="26"/>
        <v>Y</v>
      </c>
      <c r="BE46" s="115" t="str">
        <f t="shared" si="27"/>
        <v>N</v>
      </c>
      <c r="BF46" s="109" t="str">
        <f t="shared" si="28"/>
        <v/>
      </c>
      <c r="BG46" s="111" t="s">
        <v>2499</v>
      </c>
      <c r="BH46" s="115" t="s">
        <v>1168</v>
      </c>
      <c r="BI46" s="116"/>
      <c r="BJ46" s="222">
        <v>0.33251165975912361</v>
      </c>
      <c r="BK46" s="265">
        <f t="shared" si="29"/>
        <v>0</v>
      </c>
      <c r="BL46" s="265">
        <f t="shared" si="30"/>
        <v>0</v>
      </c>
      <c r="BM46" s="265">
        <f t="shared" si="31"/>
        <v>0</v>
      </c>
      <c r="BN46" s="265">
        <f t="shared" si="32"/>
        <v>-21644.607449353949</v>
      </c>
      <c r="BO46" s="109"/>
      <c r="BP46" s="265">
        <f t="shared" si="33"/>
        <v>11331.482061477727</v>
      </c>
      <c r="BQ46" s="265">
        <v>11331.482061477727</v>
      </c>
      <c r="BR46" s="265" t="e">
        <f t="shared" si="34"/>
        <v>#REF!</v>
      </c>
      <c r="BS46" s="265">
        <v>1276.5961150887285</v>
      </c>
      <c r="BT46" s="475">
        <v>304224.32305759616</v>
      </c>
      <c r="BU46" s="475">
        <v>138412.9172151986</v>
      </c>
      <c r="BV46" s="475">
        <v>13137.497227205291</v>
      </c>
      <c r="BW46" s="483">
        <f t="shared" si="35"/>
        <v>0</v>
      </c>
      <c r="BX46" s="483">
        <f t="shared" si="36"/>
        <v>0</v>
      </c>
    </row>
    <row r="47" spans="1:76" s="103" customFormat="1" ht="29">
      <c r="A47" s="100" t="s">
        <v>2503</v>
      </c>
      <c r="B47" s="91" t="str">
        <f t="shared" si="0"/>
        <v xml:space="preserve">CI </v>
      </c>
      <c r="C47" s="92" t="s">
        <v>2268</v>
      </c>
      <c r="D47" s="448" t="s">
        <v>2269</v>
      </c>
      <c r="E47" s="451">
        <v>3200537</v>
      </c>
      <c r="F47" s="409" t="s">
        <v>2922</v>
      </c>
      <c r="G47" s="384" t="s">
        <v>4687</v>
      </c>
      <c r="H47" s="398">
        <v>0.55000000000000004</v>
      </c>
      <c r="I47" s="151"/>
      <c r="J47" s="95" t="s">
        <v>1166</v>
      </c>
      <c r="K47" s="191">
        <v>1310506.72</v>
      </c>
      <c r="L47" s="269">
        <v>0.88418658309757014</v>
      </c>
      <c r="M47" s="267">
        <v>1</v>
      </c>
      <c r="N47" s="267">
        <f t="shared" si="1"/>
        <v>0</v>
      </c>
      <c r="O47" s="96">
        <f t="shared" si="2"/>
        <v>673203.86761423771</v>
      </c>
      <c r="P47" s="96">
        <f t="shared" si="3"/>
        <v>637302.85238576226</v>
      </c>
      <c r="Q47" s="96">
        <f t="shared" si="4"/>
        <v>0</v>
      </c>
      <c r="R47" s="187" t="s">
        <v>2268</v>
      </c>
      <c r="S47" s="187" t="s">
        <v>3608</v>
      </c>
      <c r="T47" s="94" t="s">
        <v>2842</v>
      </c>
      <c r="U47" s="395">
        <f>COUNTIF(Aggregation_of_rev_to_allocate!$A$3:$A$137,$T47)</f>
        <v>1</v>
      </c>
      <c r="V47" s="100"/>
      <c r="W47" s="100">
        <v>7</v>
      </c>
      <c r="X47" s="109">
        <v>705794.91532781476</v>
      </c>
      <c r="Y47" s="109">
        <v>0</v>
      </c>
      <c r="Z47" s="110">
        <v>0.97921167654463359</v>
      </c>
      <c r="AA47" s="110">
        <v>1</v>
      </c>
      <c r="AB47" s="110">
        <v>0</v>
      </c>
      <c r="AC47" s="109">
        <f>IF(ISERROR((X47*SUMIF('Rev_for_allocation(Hard)'!$A$3:$A$249,$T47,'Rev_for_allocation(Hard)'!$I$3:$I$249)/SUMIF(Historic_capex_list!$T$9:$T$586,$T47,Historic_capex_list!$X$9:$X$586))=TRUE),0,X47*SUMIF('Rev_for_allocation(Hard)'!$A$3:$A$249,$T47,'Rev_for_allocation(Hard)'!$I$3:$I$249)/SUMIF(Historic_capex_list!$T$9:$T$586,$T47,Historic_capex_list!$X$9:$X$586))</f>
        <v>-54426.410491013783</v>
      </c>
      <c r="AD47" s="109">
        <f t="shared" si="5"/>
        <v>651368.50483680097</v>
      </c>
      <c r="AE47" s="109">
        <f t="shared" si="6"/>
        <v>651368.50483680097</v>
      </c>
      <c r="AF47" s="109">
        <f t="shared" si="7"/>
        <v>651368.50483680097</v>
      </c>
      <c r="AG47" s="332" t="str">
        <f t="shared" si="8"/>
        <v>N</v>
      </c>
      <c r="AH47" s="332">
        <f t="shared" si="9"/>
        <v>0</v>
      </c>
      <c r="AI47" s="332">
        <f t="shared" si="10"/>
        <v>0</v>
      </c>
      <c r="AJ47" s="109">
        <f t="shared" si="11"/>
        <v>651368.50483680097</v>
      </c>
      <c r="AK47" s="109">
        <f t="shared" si="12"/>
        <v>0</v>
      </c>
      <c r="AL47" s="109">
        <v>0</v>
      </c>
      <c r="AM47" s="111">
        <f t="shared" si="13"/>
        <v>0</v>
      </c>
      <c r="AN47" s="111">
        <f t="shared" si="14"/>
        <v>0</v>
      </c>
      <c r="AO47" s="111" t="str">
        <f t="shared" si="15"/>
        <v>Use deduct 3yrs</v>
      </c>
      <c r="AP47" s="111">
        <f t="shared" si="16"/>
        <v>0</v>
      </c>
      <c r="AQ47" s="112">
        <f t="shared" si="17"/>
        <v>0</v>
      </c>
      <c r="AR47" s="112">
        <f t="shared" si="18"/>
        <v>1</v>
      </c>
      <c r="AS47" s="113">
        <f t="shared" si="19"/>
        <v>2028</v>
      </c>
      <c r="AT47" s="109">
        <v>637302.85238576226</v>
      </c>
      <c r="AU47" s="114">
        <v>1</v>
      </c>
      <c r="AV47" s="113">
        <v>2028</v>
      </c>
      <c r="AW47" s="112">
        <f t="shared" si="20"/>
        <v>0.88418658309757014</v>
      </c>
      <c r="AX47" s="109">
        <f t="shared" si="21"/>
        <v>637302.85238576226</v>
      </c>
      <c r="AY47" s="109">
        <f t="shared" si="22"/>
        <v>0</v>
      </c>
      <c r="AZ47" s="109">
        <f t="shared" si="23"/>
        <v>637302.85238576226</v>
      </c>
      <c r="BA47" s="111">
        <f t="shared" si="24"/>
        <v>0</v>
      </c>
      <c r="BB47" s="117"/>
      <c r="BC47" s="115" t="str">
        <f t="shared" si="25"/>
        <v>N</v>
      </c>
      <c r="BD47" s="115" t="str">
        <f t="shared" si="26"/>
        <v>Y</v>
      </c>
      <c r="BE47" s="115" t="str">
        <f t="shared" si="27"/>
        <v>N</v>
      </c>
      <c r="BF47" s="109" t="str">
        <f t="shared" si="28"/>
        <v/>
      </c>
      <c r="BG47" s="111" t="s">
        <v>2499</v>
      </c>
      <c r="BH47" s="115" t="s">
        <v>1168</v>
      </c>
      <c r="BI47" s="116"/>
      <c r="BJ47" s="222">
        <v>0.88418658309757014</v>
      </c>
      <c r="BK47" s="265">
        <f t="shared" si="29"/>
        <v>0</v>
      </c>
      <c r="BL47" s="265">
        <f t="shared" si="30"/>
        <v>0</v>
      </c>
      <c r="BM47" s="265">
        <f t="shared" si="31"/>
        <v>0</v>
      </c>
      <c r="BN47" s="265">
        <f t="shared" si="32"/>
        <v>68492.062942052493</v>
      </c>
      <c r="BO47" s="109"/>
      <c r="BP47" s="265">
        <f t="shared" si="33"/>
        <v>68492.062942052493</v>
      </c>
      <c r="BQ47" s="265">
        <v>68492.062942052493</v>
      </c>
      <c r="BR47" s="265" t="e">
        <f t="shared" si="34"/>
        <v>#REF!</v>
      </c>
      <c r="BS47" s="265">
        <v>7716.2635030315132</v>
      </c>
      <c r="BT47" s="475">
        <v>673203.86761423771</v>
      </c>
      <c r="BU47" s="475">
        <v>637302.85238576226</v>
      </c>
      <c r="BV47" s="475">
        <v>0</v>
      </c>
      <c r="BW47" s="483">
        <f t="shared" si="35"/>
        <v>0</v>
      </c>
      <c r="BX47" s="483">
        <f t="shared" si="36"/>
        <v>0</v>
      </c>
    </row>
    <row r="48" spans="1:76" s="103" customFormat="1" ht="43.5">
      <c r="A48" s="100" t="s">
        <v>2503</v>
      </c>
      <c r="B48" s="91" t="str">
        <f t="shared" si="0"/>
        <v xml:space="preserve">CI </v>
      </c>
      <c r="C48" s="92" t="s">
        <v>2268</v>
      </c>
      <c r="D48" s="448" t="s">
        <v>2269</v>
      </c>
      <c r="E48" s="451">
        <v>2030174</v>
      </c>
      <c r="F48" s="409" t="s">
        <v>2923</v>
      </c>
      <c r="G48" s="467" t="s">
        <v>5006</v>
      </c>
      <c r="H48" s="398">
        <v>0.23</v>
      </c>
      <c r="I48" s="151" t="s">
        <v>951</v>
      </c>
      <c r="J48" s="95" t="s">
        <v>1166</v>
      </c>
      <c r="K48" s="191">
        <v>14858098.051304348</v>
      </c>
      <c r="L48" s="269">
        <v>0.86159602774634692</v>
      </c>
      <c r="M48" s="267">
        <v>1</v>
      </c>
      <c r="N48" s="267">
        <f t="shared" si="1"/>
        <v>0</v>
      </c>
      <c r="O48" s="96">
        <f t="shared" si="2"/>
        <v>11913712.051304348</v>
      </c>
      <c r="P48" s="96">
        <f t="shared" si="3"/>
        <v>2944386</v>
      </c>
      <c r="Q48" s="96">
        <f t="shared" si="4"/>
        <v>0</v>
      </c>
      <c r="R48" s="187" t="s">
        <v>2268</v>
      </c>
      <c r="S48" s="187" t="s">
        <v>3608</v>
      </c>
      <c r="T48" s="94" t="s">
        <v>2842</v>
      </c>
      <c r="U48" s="395">
        <f>COUNTIF(Aggregation_of_rev_to_allocate!$A$3:$A$137,$T48)</f>
        <v>1</v>
      </c>
      <c r="V48" s="100"/>
      <c r="W48" s="100">
        <v>8</v>
      </c>
      <c r="X48" s="109">
        <v>2201116.7352148569</v>
      </c>
      <c r="Y48" s="109">
        <v>440223.3470429717</v>
      </c>
      <c r="Z48" s="110">
        <v>0.98614111769642254</v>
      </c>
      <c r="AA48" s="110">
        <v>0.83333333333333326</v>
      </c>
      <c r="AB48" s="110">
        <v>0.16666666666666674</v>
      </c>
      <c r="AC48" s="109">
        <f>IF(ISERROR((X48*SUMIF('Rev_for_allocation(Hard)'!$A$3:$A$249,$T48,'Rev_for_allocation(Hard)'!$I$3:$I$249)/SUMIF(Historic_capex_list!$T$9:$T$586,$T48,Historic_capex_list!$X$9:$X$586))=TRUE),0,X48*SUMIF('Rev_for_allocation(Hard)'!$A$3:$A$249,$T48,'Rev_for_allocation(Hard)'!$I$3:$I$249)/SUMIF(Historic_capex_list!$T$9:$T$586,$T48,Historic_capex_list!$X$9:$X$586))</f>
        <v>-169736.10941048208</v>
      </c>
      <c r="AD48" s="109">
        <f t="shared" si="5"/>
        <v>2031380.6258043749</v>
      </c>
      <c r="AE48" s="109">
        <f t="shared" si="6"/>
        <v>2031380.6258043749</v>
      </c>
      <c r="AF48" s="109">
        <f t="shared" si="7"/>
        <v>2471603.9728473467</v>
      </c>
      <c r="AG48" s="332" t="str">
        <f t="shared" si="8"/>
        <v>N</v>
      </c>
      <c r="AH48" s="332">
        <f t="shared" si="9"/>
        <v>0</v>
      </c>
      <c r="AI48" s="332">
        <f t="shared" si="10"/>
        <v>0</v>
      </c>
      <c r="AJ48" s="109">
        <f t="shared" si="11"/>
        <v>2471603.9728473467</v>
      </c>
      <c r="AK48" s="109">
        <f t="shared" si="12"/>
        <v>0</v>
      </c>
      <c r="AL48" s="109">
        <v>0</v>
      </c>
      <c r="AM48" s="111">
        <f t="shared" si="13"/>
        <v>2.0000000000000009</v>
      </c>
      <c r="AN48" s="111">
        <f t="shared" si="14"/>
        <v>-0.99999999999999911</v>
      </c>
      <c r="AO48" s="111" t="str">
        <f t="shared" si="15"/>
        <v>Use deduct 3yrs</v>
      </c>
      <c r="AP48" s="111">
        <f t="shared" si="16"/>
        <v>-0.99999999999999911</v>
      </c>
      <c r="AQ48" s="112">
        <f t="shared" si="17"/>
        <v>0</v>
      </c>
      <c r="AR48" s="112">
        <f t="shared" si="18"/>
        <v>1</v>
      </c>
      <c r="AS48" s="113">
        <f t="shared" si="19"/>
        <v>2028</v>
      </c>
      <c r="AT48" s="109">
        <v>2427738.3366273441</v>
      </c>
      <c r="AU48" s="114">
        <v>1</v>
      </c>
      <c r="AV48" s="113">
        <v>2028</v>
      </c>
      <c r="AW48" s="112">
        <f t="shared" si="20"/>
        <v>0.71041286952377969</v>
      </c>
      <c r="AX48" s="109">
        <f t="shared" si="21"/>
        <v>2427738.3366273441</v>
      </c>
      <c r="AY48" s="109">
        <f t="shared" si="22"/>
        <v>0</v>
      </c>
      <c r="AZ48" s="109">
        <f t="shared" si="23"/>
        <v>2427738.3366273441</v>
      </c>
      <c r="BA48" s="111">
        <f t="shared" si="24"/>
        <v>0</v>
      </c>
      <c r="BB48" s="117"/>
      <c r="BC48" s="115" t="str">
        <f t="shared" si="25"/>
        <v>N</v>
      </c>
      <c r="BD48" s="115" t="str">
        <f t="shared" si="26"/>
        <v>Y</v>
      </c>
      <c r="BE48" s="115" t="str">
        <f t="shared" si="27"/>
        <v>N</v>
      </c>
      <c r="BF48" s="109" t="str">
        <f t="shared" si="28"/>
        <v/>
      </c>
      <c r="BG48" s="111" t="s">
        <v>2499</v>
      </c>
      <c r="BH48" s="115" t="s">
        <v>1168</v>
      </c>
      <c r="BI48" s="116"/>
      <c r="BJ48" s="222">
        <v>0.90639316490804256</v>
      </c>
      <c r="BK48" s="265">
        <f t="shared" si="29"/>
        <v>0</v>
      </c>
      <c r="BL48" s="265">
        <f t="shared" si="30"/>
        <v>0</v>
      </c>
      <c r="BM48" s="265">
        <f t="shared" si="31"/>
        <v>0</v>
      </c>
      <c r="BN48" s="265">
        <f t="shared" si="32"/>
        <v>-743269.26478514308</v>
      </c>
      <c r="BO48" s="109"/>
      <c r="BP48" s="265">
        <f t="shared" si="33"/>
        <v>213601.74563048454</v>
      </c>
      <c r="BQ48" s="265">
        <v>213601.74563048454</v>
      </c>
      <c r="BR48" s="265" t="e">
        <f t="shared" si="34"/>
        <v>#REF!</v>
      </c>
      <c r="BS48" s="265">
        <v>24064.209533107358</v>
      </c>
      <c r="BT48" s="475">
        <v>9217742.3233726565</v>
      </c>
      <c r="BU48" s="475">
        <v>2944386.2136240406</v>
      </c>
      <c r="BV48" s="475">
        <v>0</v>
      </c>
      <c r="BW48" s="483">
        <f t="shared" si="35"/>
        <v>-0.21362404059618711</v>
      </c>
      <c r="BX48" s="483">
        <f t="shared" si="36"/>
        <v>0</v>
      </c>
    </row>
    <row r="49" spans="1:77" s="103" customFormat="1" ht="58">
      <c r="A49" s="100" t="s">
        <v>2503</v>
      </c>
      <c r="B49" s="91" t="str">
        <f t="shared" si="0"/>
        <v xml:space="preserve">CI </v>
      </c>
      <c r="C49" s="92" t="s">
        <v>2268</v>
      </c>
      <c r="D49" s="448" t="s">
        <v>2269</v>
      </c>
      <c r="E49" s="451">
        <v>2030156</v>
      </c>
      <c r="F49" s="409" t="s">
        <v>2924</v>
      </c>
      <c r="G49" s="467" t="s">
        <v>5007</v>
      </c>
      <c r="H49" s="398">
        <v>0.72</v>
      </c>
      <c r="I49" s="151"/>
      <c r="J49" s="95" t="s">
        <v>1166</v>
      </c>
      <c r="K49" s="191">
        <v>11169629.27</v>
      </c>
      <c r="L49" s="269">
        <v>0.91332914431468071</v>
      </c>
      <c r="M49" s="267">
        <v>0.99999999999999989</v>
      </c>
      <c r="N49" s="267">
        <f t="shared" si="1"/>
        <v>0</v>
      </c>
      <c r="O49" s="96">
        <f t="shared" si="2"/>
        <v>3824514.7506934558</v>
      </c>
      <c r="P49" s="96">
        <f t="shared" si="3"/>
        <v>7345114.5193065424</v>
      </c>
      <c r="Q49" s="96">
        <f t="shared" si="4"/>
        <v>0</v>
      </c>
      <c r="R49" s="187" t="s">
        <v>2268</v>
      </c>
      <c r="S49" s="187" t="s">
        <v>3608</v>
      </c>
      <c r="T49" s="94" t="s">
        <v>2842</v>
      </c>
      <c r="U49" s="395">
        <f>COUNTIF(Aggregation_of_rev_to_allocate!$A$3:$A$137,$T49)</f>
        <v>1</v>
      </c>
      <c r="V49" s="100"/>
      <c r="W49" s="100">
        <v>10</v>
      </c>
      <c r="X49" s="109">
        <v>6105880.0266433991</v>
      </c>
      <c r="Y49" s="109">
        <v>1831764.0079930206</v>
      </c>
      <c r="Z49" s="110">
        <v>0.98700729784039609</v>
      </c>
      <c r="AA49" s="110">
        <v>0.76923076923076916</v>
      </c>
      <c r="AB49" s="110">
        <v>0.23076923076923084</v>
      </c>
      <c r="AC49" s="109">
        <f>IF(ISERROR((X49*SUMIF('Rev_for_allocation(Hard)'!$A$3:$A$249,$T49,'Rev_for_allocation(Hard)'!$I$3:$I$249)/SUMIF(Historic_capex_list!$T$9:$T$586,$T49,Historic_capex_list!$X$9:$X$586))=TRUE),0,X49*SUMIF('Rev_for_allocation(Hard)'!$A$3:$A$249,$T49,'Rev_for_allocation(Hard)'!$I$3:$I$249)/SUMIF(Historic_capex_list!$T$9:$T$586,$T49,Historic_capex_list!$X$9:$X$586))</f>
        <v>-470846.59512547689</v>
      </c>
      <c r="AD49" s="109">
        <f t="shared" si="5"/>
        <v>5635033.4315179223</v>
      </c>
      <c r="AE49" s="109">
        <f t="shared" si="6"/>
        <v>5635033.4315179223</v>
      </c>
      <c r="AF49" s="109">
        <f t="shared" si="7"/>
        <v>7466797.4395109434</v>
      </c>
      <c r="AG49" s="332" t="str">
        <f t="shared" si="8"/>
        <v>N</v>
      </c>
      <c r="AH49" s="332">
        <f t="shared" si="9"/>
        <v>0</v>
      </c>
      <c r="AI49" s="332">
        <f t="shared" si="10"/>
        <v>0</v>
      </c>
      <c r="AJ49" s="109">
        <f t="shared" si="11"/>
        <v>7466797.4395109434</v>
      </c>
      <c r="AK49" s="109">
        <f t="shared" si="12"/>
        <v>0</v>
      </c>
      <c r="AL49" s="109">
        <v>0</v>
      </c>
      <c r="AM49" s="111">
        <f t="shared" si="13"/>
        <v>3.0000000000000009</v>
      </c>
      <c r="AN49" s="111">
        <f t="shared" si="14"/>
        <v>8.8817841970012523E-16</v>
      </c>
      <c r="AO49" s="111" t="str">
        <f t="shared" si="15"/>
        <v>Use deduct 3yrs</v>
      </c>
      <c r="AP49" s="111">
        <f t="shared" si="16"/>
        <v>8.8817841970012523E-16</v>
      </c>
      <c r="AQ49" s="112">
        <f t="shared" si="17"/>
        <v>8.8817841970012528E-17</v>
      </c>
      <c r="AR49" s="112">
        <f t="shared" si="18"/>
        <v>0.99999999999999989</v>
      </c>
      <c r="AS49" s="113">
        <f t="shared" si="19"/>
        <v>2028</v>
      </c>
      <c r="AT49" s="109">
        <v>7345114.5193065442</v>
      </c>
      <c r="AU49" s="114">
        <v>0.99999999999999989</v>
      </c>
      <c r="AV49" s="113">
        <v>2028</v>
      </c>
      <c r="AW49" s="112">
        <f t="shared" si="20"/>
        <v>0.91332914431468071</v>
      </c>
      <c r="AX49" s="109">
        <f t="shared" si="21"/>
        <v>7345114.5193065424</v>
      </c>
      <c r="AY49" s="109">
        <f t="shared" si="22"/>
        <v>8.1547152578426643E-10</v>
      </c>
      <c r="AZ49" s="109">
        <f t="shared" si="23"/>
        <v>7345114.5193065433</v>
      </c>
      <c r="BA49" s="111">
        <f t="shared" si="24"/>
        <v>0</v>
      </c>
      <c r="BB49" s="117"/>
      <c r="BC49" s="115" t="str">
        <f t="shared" si="25"/>
        <v>N</v>
      </c>
      <c r="BD49" s="115" t="str">
        <f t="shared" si="26"/>
        <v>Y</v>
      </c>
      <c r="BE49" s="115" t="str">
        <f t="shared" si="27"/>
        <v>N</v>
      </c>
      <c r="BF49" s="109" t="str">
        <f t="shared" si="28"/>
        <v/>
      </c>
      <c r="BG49" s="111" t="s">
        <v>2499</v>
      </c>
      <c r="BH49" s="115" t="s">
        <v>1168</v>
      </c>
      <c r="BI49" s="116"/>
      <c r="BJ49" s="222">
        <v>0.91332914431468071</v>
      </c>
      <c r="BK49" s="265">
        <f t="shared" si="29"/>
        <v>8.1547152578426643E-10</v>
      </c>
      <c r="BL49" s="265">
        <f t="shared" si="30"/>
        <v>-8.1547152578426643E-10</v>
      </c>
      <c r="BM49" s="265">
        <f t="shared" si="31"/>
        <v>1.862645149230957E-9</v>
      </c>
      <c r="BN49" s="265">
        <f t="shared" si="32"/>
        <v>-1239234.4926631432</v>
      </c>
      <c r="BO49" s="109"/>
      <c r="BP49" s="265">
        <f t="shared" si="33"/>
        <v>592529.51532987505</v>
      </c>
      <c r="BQ49" s="265">
        <v>592529.51532987505</v>
      </c>
      <c r="BR49" s="265" t="e">
        <f t="shared" si="34"/>
        <v>#REF!</v>
      </c>
      <c r="BS49" s="265">
        <v>66753.922676808405</v>
      </c>
      <c r="BT49" s="475">
        <v>3824514.7506934558</v>
      </c>
      <c r="BU49" s="475">
        <v>7345114.5193065424</v>
      </c>
      <c r="BV49" s="475">
        <v>0</v>
      </c>
      <c r="BW49" s="483">
        <f t="shared" si="35"/>
        <v>0</v>
      </c>
      <c r="BX49" s="483">
        <f t="shared" si="36"/>
        <v>0</v>
      </c>
    </row>
    <row r="50" spans="1:77" s="103" customFormat="1" ht="43.5">
      <c r="A50" s="100" t="s">
        <v>2503</v>
      </c>
      <c r="B50" s="91" t="str">
        <f t="shared" si="0"/>
        <v xml:space="preserve">CI </v>
      </c>
      <c r="C50" s="92" t="s">
        <v>2268</v>
      </c>
      <c r="D50" s="448" t="s">
        <v>2269</v>
      </c>
      <c r="E50" s="451">
        <v>3200537</v>
      </c>
      <c r="F50" s="409" t="s">
        <v>2925</v>
      </c>
      <c r="G50" s="467" t="s">
        <v>5008</v>
      </c>
      <c r="H50" s="398">
        <v>0.55000000000000004</v>
      </c>
      <c r="I50" s="151"/>
      <c r="J50" s="95" t="s">
        <v>1166</v>
      </c>
      <c r="K50" s="191">
        <v>4756697.57</v>
      </c>
      <c r="L50" s="269">
        <v>0.9331153863337569</v>
      </c>
      <c r="M50" s="267">
        <v>0.7142857142857143</v>
      </c>
      <c r="N50" s="267">
        <f t="shared" si="1"/>
        <v>0.2857142857142857</v>
      </c>
      <c r="O50" s="96">
        <f t="shared" si="2"/>
        <v>2315496.3401131341</v>
      </c>
      <c r="P50" s="96">
        <f t="shared" si="3"/>
        <v>1743715.1642049046</v>
      </c>
      <c r="Q50" s="96">
        <f t="shared" si="4"/>
        <v>697486.06568196171</v>
      </c>
      <c r="R50" s="187" t="s">
        <v>2268</v>
      </c>
      <c r="S50" s="187" t="s">
        <v>3608</v>
      </c>
      <c r="T50" s="94" t="s">
        <v>2842</v>
      </c>
      <c r="U50" s="395">
        <f>COUNTIF(Aggregation_of_rev_to_allocate!$A$3:$A$137,$T50)</f>
        <v>1</v>
      </c>
      <c r="V50" s="100"/>
      <c r="W50" s="100">
        <v>11</v>
      </c>
      <c r="X50" s="109">
        <v>1522935.6631719172</v>
      </c>
      <c r="Y50" s="109">
        <v>1066054.9642203418</v>
      </c>
      <c r="Z50" s="110">
        <v>0.98960583827231685</v>
      </c>
      <c r="AA50" s="110">
        <v>0.58823529411764708</v>
      </c>
      <c r="AB50" s="110">
        <v>0.41176470588235292</v>
      </c>
      <c r="AC50" s="109">
        <f>IF(ISERROR((X50*SUMIF('Rev_for_allocation(Hard)'!$A$3:$A$249,$T50,'Rev_for_allocation(Hard)'!$I$3:$I$249)/SUMIF(Historic_capex_list!$T$9:$T$586,$T50,Historic_capex_list!$X$9:$X$586))=TRUE),0,X50*SUMIF('Rev_for_allocation(Hard)'!$A$3:$A$249,$T50,'Rev_for_allocation(Hard)'!$I$3:$I$249)/SUMIF(Historic_capex_list!$T$9:$T$586,$T50,Historic_capex_list!$X$9:$X$586))</f>
        <v>-117439.10271257877</v>
      </c>
      <c r="AD50" s="109">
        <f t="shared" si="5"/>
        <v>1405496.5604593384</v>
      </c>
      <c r="AE50" s="109">
        <f t="shared" si="6"/>
        <v>1405496.5604593384</v>
      </c>
      <c r="AF50" s="109">
        <f t="shared" si="7"/>
        <v>2471551.5246796804</v>
      </c>
      <c r="AG50" s="332" t="str">
        <f t="shared" si="8"/>
        <v>N</v>
      </c>
      <c r="AH50" s="332">
        <f t="shared" si="9"/>
        <v>0</v>
      </c>
      <c r="AI50" s="332">
        <f t="shared" si="10"/>
        <v>0</v>
      </c>
      <c r="AJ50" s="109">
        <f t="shared" si="11"/>
        <v>2471551.5246796804</v>
      </c>
      <c r="AK50" s="109">
        <f t="shared" si="12"/>
        <v>0</v>
      </c>
      <c r="AL50" s="109">
        <v>0</v>
      </c>
      <c r="AM50" s="111">
        <f t="shared" si="13"/>
        <v>7</v>
      </c>
      <c r="AN50" s="111">
        <f t="shared" si="14"/>
        <v>4</v>
      </c>
      <c r="AO50" s="111" t="str">
        <f t="shared" si="15"/>
        <v>Use deduct 3yrs</v>
      </c>
      <c r="AP50" s="111">
        <f t="shared" si="16"/>
        <v>4</v>
      </c>
      <c r="AQ50" s="112">
        <f t="shared" si="17"/>
        <v>0.2857142857142857</v>
      </c>
      <c r="AR50" s="112">
        <f t="shared" si="18"/>
        <v>0.7142857142857143</v>
      </c>
      <c r="AS50" s="113">
        <f t="shared" si="19"/>
        <v>2032</v>
      </c>
      <c r="AT50" s="109">
        <v>2441201.2298868662</v>
      </c>
      <c r="AU50" s="114">
        <v>0.7142857142857143</v>
      </c>
      <c r="AV50" s="113">
        <v>2032</v>
      </c>
      <c r="AW50" s="112">
        <f t="shared" si="20"/>
        <v>0.9331153863337569</v>
      </c>
      <c r="AX50" s="109">
        <f t="shared" si="21"/>
        <v>1743715.1642049046</v>
      </c>
      <c r="AY50" s="109">
        <f t="shared" si="22"/>
        <v>697486.06568196171</v>
      </c>
      <c r="AZ50" s="109">
        <f t="shared" si="23"/>
        <v>2441201.2298868662</v>
      </c>
      <c r="BA50" s="111">
        <f t="shared" si="24"/>
        <v>0</v>
      </c>
      <c r="BB50" s="117"/>
      <c r="BC50" s="115" t="str">
        <f t="shared" si="25"/>
        <v>N</v>
      </c>
      <c r="BD50" s="115" t="str">
        <f t="shared" si="26"/>
        <v>N</v>
      </c>
      <c r="BE50" s="115" t="str">
        <f t="shared" si="27"/>
        <v>N</v>
      </c>
      <c r="BF50" s="109" t="str">
        <f t="shared" si="28"/>
        <v/>
      </c>
      <c r="BG50" s="111" t="s">
        <v>2499</v>
      </c>
      <c r="BH50" s="115" t="s">
        <v>1168</v>
      </c>
      <c r="BI50" s="116"/>
      <c r="BJ50" s="222">
        <v>0.9331153863337569</v>
      </c>
      <c r="BK50" s="265">
        <f t="shared" si="29"/>
        <v>0</v>
      </c>
      <c r="BL50" s="265">
        <f t="shared" si="30"/>
        <v>0</v>
      </c>
      <c r="BM50" s="265">
        <f t="shared" si="31"/>
        <v>0</v>
      </c>
      <c r="BN50" s="265">
        <f t="shared" si="32"/>
        <v>-220779.50103298738</v>
      </c>
      <c r="BO50" s="109"/>
      <c r="BP50" s="265">
        <f t="shared" si="33"/>
        <v>147789.39750539279</v>
      </c>
      <c r="BQ50" s="265">
        <v>147789.39750539279</v>
      </c>
      <c r="BR50" s="265" t="e">
        <f t="shared" si="34"/>
        <v>#REF!</v>
      </c>
      <c r="BS50" s="265">
        <v>16649.840654831722</v>
      </c>
      <c r="BT50" s="475">
        <v>2315496.3401131341</v>
      </c>
      <c r="BU50" s="475">
        <v>1743715.1642049046</v>
      </c>
      <c r="BV50" s="475">
        <v>697486.06568196171</v>
      </c>
      <c r="BW50" s="483">
        <f t="shared" si="35"/>
        <v>0</v>
      </c>
      <c r="BX50" s="483">
        <f t="shared" si="36"/>
        <v>0</v>
      </c>
    </row>
    <row r="51" spans="1:77" s="103" customFormat="1" ht="43.5">
      <c r="A51" s="100" t="s">
        <v>2503</v>
      </c>
      <c r="B51" s="91" t="str">
        <f t="shared" si="0"/>
        <v xml:space="preserve">CI </v>
      </c>
      <c r="C51" s="92" t="s">
        <v>2268</v>
      </c>
      <c r="D51" s="448" t="s">
        <v>2269</v>
      </c>
      <c r="E51" s="451">
        <v>2030150</v>
      </c>
      <c r="F51" s="409" t="s">
        <v>2926</v>
      </c>
      <c r="G51" s="467" t="s">
        <v>5009</v>
      </c>
      <c r="H51" s="398">
        <v>0.56999999999999995</v>
      </c>
      <c r="I51" s="151"/>
      <c r="J51" s="95" t="s">
        <v>1166</v>
      </c>
      <c r="K51" s="191">
        <v>3482801.68</v>
      </c>
      <c r="L51" s="269">
        <v>0.93311538633375679</v>
      </c>
      <c r="M51" s="267">
        <v>0.7142857142857143</v>
      </c>
      <c r="N51" s="267">
        <f t="shared" si="1"/>
        <v>0.2857142857142857</v>
      </c>
      <c r="O51" s="96">
        <f t="shared" si="2"/>
        <v>1630383.8539604777</v>
      </c>
      <c r="P51" s="96">
        <f t="shared" si="3"/>
        <v>1323155.5900282303</v>
      </c>
      <c r="Q51" s="96">
        <f t="shared" si="4"/>
        <v>529262.23601129209</v>
      </c>
      <c r="R51" s="187" t="s">
        <v>2268</v>
      </c>
      <c r="S51" s="187" t="s">
        <v>3608</v>
      </c>
      <c r="T51" s="94" t="s">
        <v>2842</v>
      </c>
      <c r="U51" s="395">
        <f>COUNTIF(Aggregation_of_rev_to_allocate!$A$3:$A$137,$T51)</f>
        <v>1</v>
      </c>
      <c r="V51" s="100"/>
      <c r="W51" s="100">
        <v>12</v>
      </c>
      <c r="X51" s="109">
        <v>1155624.9996243536</v>
      </c>
      <c r="Y51" s="109">
        <v>808937.49973704747</v>
      </c>
      <c r="Z51" s="110">
        <v>0.98960583827231685</v>
      </c>
      <c r="AA51" s="110">
        <v>0.58823529411764708</v>
      </c>
      <c r="AB51" s="110">
        <v>0.41176470588235292</v>
      </c>
      <c r="AC51" s="109">
        <f>IF(ISERROR((X51*SUMIF('Rev_for_allocation(Hard)'!$A$3:$A$249,$T51,'Rev_for_allocation(Hard)'!$I$3:$I$249)/SUMIF(Historic_capex_list!$T$9:$T$586,$T51,Historic_capex_list!$X$9:$X$586))=TRUE),0,X51*SUMIF('Rev_for_allocation(Hard)'!$A$3:$A$249,$T51,'Rev_for_allocation(Hard)'!$I$3:$I$249)/SUMIF(Historic_capex_list!$T$9:$T$586,$T51,Historic_capex_list!$X$9:$X$586))</f>
        <v>-89114.44278968728</v>
      </c>
      <c r="AD51" s="109">
        <f t="shared" si="5"/>
        <v>1066510.5568346663</v>
      </c>
      <c r="AE51" s="109">
        <f t="shared" si="6"/>
        <v>1066510.5568346663</v>
      </c>
      <c r="AF51" s="109">
        <f t="shared" si="7"/>
        <v>1875448.0565717136</v>
      </c>
      <c r="AG51" s="332" t="str">
        <f t="shared" si="8"/>
        <v>N</v>
      </c>
      <c r="AH51" s="332">
        <f t="shared" si="9"/>
        <v>0</v>
      </c>
      <c r="AI51" s="332">
        <f t="shared" si="10"/>
        <v>0</v>
      </c>
      <c r="AJ51" s="109">
        <f t="shared" si="11"/>
        <v>1875448.0565717136</v>
      </c>
      <c r="AK51" s="109">
        <f t="shared" si="12"/>
        <v>0</v>
      </c>
      <c r="AL51" s="109">
        <v>0</v>
      </c>
      <c r="AM51" s="111">
        <f t="shared" si="13"/>
        <v>7</v>
      </c>
      <c r="AN51" s="111">
        <f t="shared" si="14"/>
        <v>4</v>
      </c>
      <c r="AO51" s="111" t="str">
        <f t="shared" si="15"/>
        <v>Use deduct 3yrs</v>
      </c>
      <c r="AP51" s="111">
        <f t="shared" si="16"/>
        <v>4</v>
      </c>
      <c r="AQ51" s="112">
        <f t="shared" si="17"/>
        <v>0.2857142857142857</v>
      </c>
      <c r="AR51" s="112">
        <f t="shared" si="18"/>
        <v>0.7142857142857143</v>
      </c>
      <c r="AS51" s="113">
        <f t="shared" si="19"/>
        <v>2032</v>
      </c>
      <c r="AT51" s="109">
        <v>1852417.8260395224</v>
      </c>
      <c r="AU51" s="114">
        <v>0.7142857142857143</v>
      </c>
      <c r="AV51" s="113">
        <v>2032</v>
      </c>
      <c r="AW51" s="112">
        <f t="shared" si="20"/>
        <v>0.93311538633375679</v>
      </c>
      <c r="AX51" s="109">
        <f t="shared" si="21"/>
        <v>1323155.5900282303</v>
      </c>
      <c r="AY51" s="109">
        <f t="shared" si="22"/>
        <v>529262.23601129209</v>
      </c>
      <c r="AZ51" s="109">
        <f t="shared" si="23"/>
        <v>1852417.8260395224</v>
      </c>
      <c r="BA51" s="111">
        <f t="shared" si="24"/>
        <v>0</v>
      </c>
      <c r="BB51" s="117"/>
      <c r="BC51" s="115" t="str">
        <f t="shared" si="25"/>
        <v>N</v>
      </c>
      <c r="BD51" s="115" t="str">
        <f t="shared" si="26"/>
        <v>N</v>
      </c>
      <c r="BE51" s="115" t="str">
        <f t="shared" si="27"/>
        <v>N</v>
      </c>
      <c r="BF51" s="109" t="str">
        <f t="shared" si="28"/>
        <v/>
      </c>
      <c r="BG51" s="111" t="s">
        <v>2499</v>
      </c>
      <c r="BH51" s="115" t="s">
        <v>1168</v>
      </c>
      <c r="BI51" s="116"/>
      <c r="BJ51" s="222">
        <v>0.93311538633375679</v>
      </c>
      <c r="BK51" s="265">
        <f t="shared" si="29"/>
        <v>0</v>
      </c>
      <c r="BL51" s="265">
        <f t="shared" si="30"/>
        <v>0</v>
      </c>
      <c r="BM51" s="265">
        <f t="shared" si="31"/>
        <v>0</v>
      </c>
      <c r="BN51" s="265">
        <f t="shared" si="32"/>
        <v>-167530.59040387673</v>
      </c>
      <c r="BO51" s="109"/>
      <c r="BP51" s="265">
        <f t="shared" si="33"/>
        <v>112144.67332187854</v>
      </c>
      <c r="BQ51" s="265">
        <v>112144.67332187854</v>
      </c>
      <c r="BR51" s="265" t="e">
        <f t="shared" si="34"/>
        <v>#REF!</v>
      </c>
      <c r="BS51" s="265">
        <v>12634.133250521592</v>
      </c>
      <c r="BT51" s="475">
        <v>1630383.8539604777</v>
      </c>
      <c r="BU51" s="475">
        <v>1323155.5900282303</v>
      </c>
      <c r="BV51" s="475">
        <v>529262.23601129209</v>
      </c>
      <c r="BW51" s="483">
        <f t="shared" si="35"/>
        <v>0</v>
      </c>
      <c r="BX51" s="483">
        <f t="shared" si="36"/>
        <v>0</v>
      </c>
    </row>
    <row r="52" spans="1:77" s="103" customFormat="1" ht="29">
      <c r="A52" s="100" t="s">
        <v>2503</v>
      </c>
      <c r="B52" s="91" t="str">
        <f t="shared" si="0"/>
        <v xml:space="preserve">CI </v>
      </c>
      <c r="C52" s="92" t="s">
        <v>462</v>
      </c>
      <c r="D52" s="448" t="s">
        <v>2269</v>
      </c>
      <c r="E52" s="453">
        <v>792396</v>
      </c>
      <c r="F52" s="467" t="s">
        <v>4924</v>
      </c>
      <c r="G52" s="620" t="s">
        <v>5309</v>
      </c>
      <c r="H52" s="621">
        <v>0.3</v>
      </c>
      <c r="I52" s="95" t="s">
        <v>952</v>
      </c>
      <c r="J52" s="95" t="s">
        <v>1166</v>
      </c>
      <c r="K52" s="191">
        <v>4913438.6900000004</v>
      </c>
      <c r="L52" s="268">
        <v>0.23434996111464088</v>
      </c>
      <c r="M52" s="266">
        <v>0.91331269349845201</v>
      </c>
      <c r="N52" s="267">
        <f t="shared" si="1"/>
        <v>8.6687306501547989E-2</v>
      </c>
      <c r="O52" s="96">
        <f t="shared" si="2"/>
        <v>4567999.4402177986</v>
      </c>
      <c r="P52" s="96">
        <f t="shared" si="3"/>
        <v>315494.0516586671</v>
      </c>
      <c r="Q52" s="96">
        <f t="shared" si="4"/>
        <v>29945.198123534508</v>
      </c>
      <c r="R52" s="187" t="s">
        <v>2268</v>
      </c>
      <c r="S52" s="187" t="s">
        <v>3608</v>
      </c>
      <c r="T52" s="94" t="s">
        <v>2842</v>
      </c>
      <c r="U52" s="395">
        <f>COUNTIF(Aggregation_of_rev_to_allocate!$A$3:$A$137,$T52)</f>
        <v>1</v>
      </c>
      <c r="V52" s="100"/>
      <c r="W52" s="100">
        <v>15</v>
      </c>
      <c r="X52" s="109">
        <v>887193.37988962908</v>
      </c>
      <c r="Y52" s="109">
        <v>350366.19917675178</v>
      </c>
      <c r="Z52" s="110">
        <v>0.25187239673614015</v>
      </c>
      <c r="AA52" s="110">
        <v>0.71688942891859053</v>
      </c>
      <c r="AB52" s="110">
        <v>0.28311057108140947</v>
      </c>
      <c r="AC52" s="109">
        <f>IF(ISERROR((X52*SUMIF('Rev_for_allocation(Hard)'!$A$3:$A$249,$T52,'Rev_for_allocation(Hard)'!$I$3:$I$249)/SUMIF(Historic_capex_list!$T$9:$T$586,$T52,Historic_capex_list!$X$9:$X$586))=TRUE),0,X52*SUMIF('Rev_for_allocation(Hard)'!$A$3:$A$249,$T52,'Rev_for_allocation(Hard)'!$I$3:$I$249)/SUMIF(Historic_capex_list!$T$9:$T$586,$T52,Historic_capex_list!$X$9:$X$586))</f>
        <v>-68414.705221212222</v>
      </c>
      <c r="AD52" s="109">
        <f t="shared" si="5"/>
        <v>818778.67466841685</v>
      </c>
      <c r="AE52" s="109">
        <f t="shared" si="6"/>
        <v>818778.67466841685</v>
      </c>
      <c r="AF52" s="109">
        <f t="shared" si="7"/>
        <v>1169144.8738451686</v>
      </c>
      <c r="AG52" s="332" t="str">
        <f t="shared" si="8"/>
        <v>N</v>
      </c>
      <c r="AH52" s="332">
        <f t="shared" si="9"/>
        <v>0</v>
      </c>
      <c r="AI52" s="332">
        <f t="shared" si="10"/>
        <v>0</v>
      </c>
      <c r="AJ52" s="109">
        <f t="shared" si="11"/>
        <v>1169144.8738451686</v>
      </c>
      <c r="AK52" s="109">
        <f t="shared" si="12"/>
        <v>0</v>
      </c>
      <c r="AL52" s="109">
        <v>0</v>
      </c>
      <c r="AM52" s="111">
        <f t="shared" si="13"/>
        <v>3.9491525423728815</v>
      </c>
      <c r="AN52" s="111">
        <f t="shared" si="14"/>
        <v>0.94915254237288149</v>
      </c>
      <c r="AO52" s="111" t="str">
        <f t="shared" si="15"/>
        <v>Use deduct 3yrs</v>
      </c>
      <c r="AP52" s="111">
        <f t="shared" si="16"/>
        <v>0.94915254237288149</v>
      </c>
      <c r="AQ52" s="112">
        <f t="shared" si="17"/>
        <v>8.6687306501547989E-2</v>
      </c>
      <c r="AR52" s="112">
        <f t="shared" si="18"/>
        <v>0.91331269349845201</v>
      </c>
      <c r="AS52" s="113">
        <f t="shared" si="19"/>
        <v>2029</v>
      </c>
      <c r="AT52" s="109">
        <v>1151464.1659406722</v>
      </c>
      <c r="AU52" s="114">
        <v>0.91331269349845201</v>
      </c>
      <c r="AV52" s="113">
        <v>2029</v>
      </c>
      <c r="AW52" s="112">
        <f t="shared" si="20"/>
        <v>0.78116653704880301</v>
      </c>
      <c r="AX52" s="109">
        <f t="shared" si="21"/>
        <v>1051646.8388622238</v>
      </c>
      <c r="AY52" s="109">
        <f t="shared" si="22"/>
        <v>99817.327078448361</v>
      </c>
      <c r="AZ52" s="109">
        <f t="shared" si="23"/>
        <v>1151464.1659406722</v>
      </c>
      <c r="BA52" s="111">
        <f t="shared" si="24"/>
        <v>0</v>
      </c>
      <c r="BB52" s="117"/>
      <c r="BC52" s="115" t="str">
        <f t="shared" si="25"/>
        <v>N</v>
      </c>
      <c r="BD52" s="115" t="str">
        <f t="shared" si="26"/>
        <v>Y</v>
      </c>
      <c r="BE52" s="115" t="str">
        <f t="shared" si="27"/>
        <v>N</v>
      </c>
      <c r="BF52" s="109" t="str">
        <f t="shared" si="28"/>
        <v/>
      </c>
      <c r="BG52" s="111" t="s">
        <v>2499</v>
      </c>
      <c r="BH52" s="115" t="s">
        <v>1168</v>
      </c>
      <c r="BI52" s="116"/>
      <c r="BJ52" s="222">
        <v>0.23434996111464088</v>
      </c>
      <c r="BK52" s="265">
        <f t="shared" si="29"/>
        <v>69872.128954913846</v>
      </c>
      <c r="BL52" s="265">
        <f t="shared" si="30"/>
        <v>-69872.128954913846</v>
      </c>
      <c r="BM52" s="265">
        <f t="shared" si="31"/>
        <v>2.255546860396862E-10</v>
      </c>
      <c r="BN52" s="265">
        <f t="shared" si="32"/>
        <v>571699.32823096192</v>
      </c>
      <c r="BO52" s="109"/>
      <c r="BP52" s="265">
        <f t="shared" si="33"/>
        <v>86095.413125708699</v>
      </c>
      <c r="BQ52" s="265">
        <v>86095.413125708699</v>
      </c>
      <c r="BR52" s="265" t="e">
        <f t="shared" si="34"/>
        <v>#REF!</v>
      </c>
      <c r="BS52" s="265">
        <v>9699.4434908813437</v>
      </c>
      <c r="BT52" s="475">
        <v>3761974.5240593283</v>
      </c>
      <c r="BU52" s="475">
        <v>1051646.8388622238</v>
      </c>
      <c r="BV52" s="475">
        <v>99817.327078448361</v>
      </c>
      <c r="BW52" s="483">
        <f t="shared" si="35"/>
        <v>-736152.78720355663</v>
      </c>
      <c r="BX52" s="483">
        <f t="shared" si="36"/>
        <v>-69872.128954913846</v>
      </c>
    </row>
    <row r="53" spans="1:77" s="103" customFormat="1" ht="14.5">
      <c r="A53" s="100" t="s">
        <v>2503</v>
      </c>
      <c r="B53" s="91" t="str">
        <f t="shared" si="0"/>
        <v xml:space="preserve">CI </v>
      </c>
      <c r="C53" s="92" t="s">
        <v>462</v>
      </c>
      <c r="D53" s="448" t="s">
        <v>2269</v>
      </c>
      <c r="E53" s="449" t="s">
        <v>2211</v>
      </c>
      <c r="F53" s="502" t="s">
        <v>4475</v>
      </c>
      <c r="G53" s="502" t="s">
        <v>5336</v>
      </c>
      <c r="H53" s="398">
        <v>0.03</v>
      </c>
      <c r="I53" s="95" t="s">
        <v>890</v>
      </c>
      <c r="J53" s="95" t="s">
        <v>1166</v>
      </c>
      <c r="K53" s="191">
        <v>18322319</v>
      </c>
      <c r="L53" s="268">
        <v>0.59157721710207622</v>
      </c>
      <c r="M53" s="266">
        <v>1</v>
      </c>
      <c r="N53" s="267">
        <f t="shared" si="1"/>
        <v>0</v>
      </c>
      <c r="O53" s="96">
        <f t="shared" si="2"/>
        <v>17997147.005453706</v>
      </c>
      <c r="P53" s="96">
        <f t="shared" si="3"/>
        <v>325171.99454629491</v>
      </c>
      <c r="Q53" s="96">
        <f t="shared" si="4"/>
        <v>0</v>
      </c>
      <c r="R53" s="187" t="s">
        <v>2268</v>
      </c>
      <c r="S53" s="187" t="s">
        <v>3608</v>
      </c>
      <c r="T53" s="94" t="s">
        <v>2842</v>
      </c>
      <c r="U53" s="395">
        <f>COUNTIF(Aggregation_of_rev_to_allocate!$A$3:$A$137,$T53)</f>
        <v>1</v>
      </c>
      <c r="V53" s="100"/>
      <c r="W53" s="100">
        <v>6</v>
      </c>
      <c r="X53" s="109">
        <v>360118.80301276071</v>
      </c>
      <c r="Y53" s="109">
        <v>0</v>
      </c>
      <c r="Z53" s="110">
        <v>0.65515506527450795</v>
      </c>
      <c r="AA53" s="110">
        <v>1</v>
      </c>
      <c r="AB53" s="110">
        <v>0</v>
      </c>
      <c r="AC53" s="109">
        <f>IF(ISERROR((X53*SUMIF('Rev_for_allocation(Hard)'!$A$3:$A$249,$T53,'Rev_for_allocation(Hard)'!$I$3:$I$249)/SUMIF(Historic_capex_list!$T$9:$T$586,$T53,Historic_capex_list!$X$9:$X$586))=TRUE),0,X53*SUMIF('Rev_for_allocation(Hard)'!$A$3:$A$249,$T53,'Rev_for_allocation(Hard)'!$I$3:$I$249)/SUMIF(Historic_capex_list!$T$9:$T$586,$T53,Historic_capex_list!$X$9:$X$586))</f>
        <v>-27770.069424772784</v>
      </c>
      <c r="AD53" s="109">
        <f t="shared" si="5"/>
        <v>332348.7335879879</v>
      </c>
      <c r="AE53" s="109">
        <f t="shared" si="6"/>
        <v>332348.7335879879</v>
      </c>
      <c r="AF53" s="109">
        <f t="shared" si="7"/>
        <v>332348.7335879879</v>
      </c>
      <c r="AG53" s="332" t="str">
        <f t="shared" si="8"/>
        <v>N</v>
      </c>
      <c r="AH53" s="332">
        <f t="shared" si="9"/>
        <v>0</v>
      </c>
      <c r="AI53" s="332">
        <f t="shared" si="10"/>
        <v>0</v>
      </c>
      <c r="AJ53" s="109">
        <f t="shared" si="11"/>
        <v>332348.7335879879</v>
      </c>
      <c r="AK53" s="109">
        <f t="shared" si="12"/>
        <v>0</v>
      </c>
      <c r="AL53" s="109">
        <v>0</v>
      </c>
      <c r="AM53" s="111">
        <f t="shared" si="13"/>
        <v>0</v>
      </c>
      <c r="AN53" s="111">
        <f t="shared" si="14"/>
        <v>0</v>
      </c>
      <c r="AO53" s="111" t="str">
        <f t="shared" si="15"/>
        <v>Use deduct 3yrs</v>
      </c>
      <c r="AP53" s="111">
        <f t="shared" si="16"/>
        <v>0</v>
      </c>
      <c r="AQ53" s="112">
        <f t="shared" si="17"/>
        <v>0</v>
      </c>
      <c r="AR53" s="112">
        <f t="shared" si="18"/>
        <v>1</v>
      </c>
      <c r="AS53" s="113">
        <f t="shared" si="19"/>
        <v>2028</v>
      </c>
      <c r="AT53" s="109">
        <v>325171.99454629485</v>
      </c>
      <c r="AU53" s="114">
        <v>1</v>
      </c>
      <c r="AV53" s="113">
        <v>2028</v>
      </c>
      <c r="AW53" s="112">
        <f t="shared" si="20"/>
        <v>0.59157721710207622</v>
      </c>
      <c r="AX53" s="109">
        <f t="shared" si="21"/>
        <v>325171.99454629491</v>
      </c>
      <c r="AY53" s="109">
        <f t="shared" si="22"/>
        <v>0</v>
      </c>
      <c r="AZ53" s="109">
        <f t="shared" si="23"/>
        <v>325171.99454629491</v>
      </c>
      <c r="BA53" s="111">
        <f t="shared" si="24"/>
        <v>0</v>
      </c>
      <c r="BB53" s="117"/>
      <c r="BC53" s="115" t="str">
        <f t="shared" si="25"/>
        <v>N</v>
      </c>
      <c r="BD53" s="115" t="str">
        <f t="shared" si="26"/>
        <v>Y</v>
      </c>
      <c r="BE53" s="115" t="str">
        <f t="shared" si="27"/>
        <v>N</v>
      </c>
      <c r="BF53" s="109" t="str">
        <f t="shared" si="28"/>
        <v/>
      </c>
      <c r="BG53" s="111" t="s">
        <v>2499</v>
      </c>
      <c r="BH53" s="115" t="s">
        <v>1168</v>
      </c>
      <c r="BI53" s="116"/>
      <c r="BJ53" s="222">
        <v>0.59157721710207622</v>
      </c>
      <c r="BK53" s="265">
        <f t="shared" si="29"/>
        <v>0</v>
      </c>
      <c r="BL53" s="265">
        <f t="shared" si="30"/>
        <v>0</v>
      </c>
      <c r="BM53" s="265">
        <f t="shared" si="31"/>
        <v>-6.9849193096160889E-10</v>
      </c>
      <c r="BN53" s="265">
        <f t="shared" si="32"/>
        <v>34946.808466465794</v>
      </c>
      <c r="BO53" s="109"/>
      <c r="BP53" s="265">
        <f t="shared" si="33"/>
        <v>34946.808466465853</v>
      </c>
      <c r="BQ53" s="265">
        <v>34946.808466465853</v>
      </c>
      <c r="BR53" s="265" t="e">
        <f t="shared" si="34"/>
        <v>#REF!</v>
      </c>
      <c r="BS53" s="265">
        <v>3937.0807526321282</v>
      </c>
      <c r="BT53" s="475">
        <v>17997147.005453706</v>
      </c>
      <c r="BU53" s="475">
        <v>325171.99454629491</v>
      </c>
      <c r="BV53" s="475">
        <v>0</v>
      </c>
      <c r="BW53" s="483">
        <f t="shared" si="35"/>
        <v>0</v>
      </c>
      <c r="BX53" s="483">
        <f t="shared" si="36"/>
        <v>0</v>
      </c>
      <c r="BY53" s="103" t="s">
        <v>5330</v>
      </c>
    </row>
    <row r="54" spans="1:77" s="103" customFormat="1" ht="14.5">
      <c r="A54" s="100" t="s">
        <v>2503</v>
      </c>
      <c r="B54" s="91" t="str">
        <f t="shared" si="0"/>
        <v xml:space="preserve">CI </v>
      </c>
      <c r="C54" s="92" t="s">
        <v>2268</v>
      </c>
      <c r="D54" s="448" t="s">
        <v>2269</v>
      </c>
      <c r="E54" s="451">
        <v>2030205</v>
      </c>
      <c r="F54" s="409" t="s">
        <v>4404</v>
      </c>
      <c r="G54" s="620" t="s">
        <v>5310</v>
      </c>
      <c r="H54" s="398">
        <v>0.72</v>
      </c>
      <c r="I54" s="151"/>
      <c r="J54" s="95" t="s">
        <v>1166</v>
      </c>
      <c r="K54" s="191">
        <v>271992.31</v>
      </c>
      <c r="L54" s="269">
        <v>0.88418658309757003</v>
      </c>
      <c r="M54" s="267">
        <v>1</v>
      </c>
      <c r="N54" s="267">
        <f t="shared" si="1"/>
        <v>0</v>
      </c>
      <c r="O54" s="96">
        <f t="shared" si="2"/>
        <v>98838.105130445183</v>
      </c>
      <c r="P54" s="96">
        <f t="shared" si="3"/>
        <v>173154.20486955481</v>
      </c>
      <c r="Q54" s="96">
        <f t="shared" si="4"/>
        <v>0</v>
      </c>
      <c r="R54" s="187" t="s">
        <v>2268</v>
      </c>
      <c r="S54" s="187" t="s">
        <v>3608</v>
      </c>
      <c r="T54" s="94" t="s">
        <v>2842</v>
      </c>
      <c r="U54" s="395">
        <f>COUNTIF(Aggregation_of_rev_to_allocate!$A$3:$A$137,$T54)</f>
        <v>1</v>
      </c>
      <c r="V54" s="100"/>
      <c r="W54" s="100">
        <v>16</v>
      </c>
      <c r="X54" s="109">
        <v>191763.39303529033</v>
      </c>
      <c r="Y54" s="109">
        <v>0</v>
      </c>
      <c r="Z54" s="110">
        <v>0.97921167654463359</v>
      </c>
      <c r="AA54" s="110">
        <v>1</v>
      </c>
      <c r="AB54" s="110">
        <v>0</v>
      </c>
      <c r="AC54" s="109">
        <f>IF(ISERROR((X54*SUMIF('Rev_for_allocation(Hard)'!$A$3:$A$249,$T54,'Rev_for_allocation(Hard)'!$I$3:$I$249)/SUMIF(Historic_capex_list!$T$9:$T$586,$T54,Historic_capex_list!$X$9:$X$586))=TRUE),0,X54*SUMIF('Rev_for_allocation(Hard)'!$A$3:$A$249,$T54,'Rev_for_allocation(Hard)'!$I$3:$I$249)/SUMIF(Historic_capex_list!$T$9:$T$586,$T54,Historic_capex_list!$X$9:$X$586))</f>
        <v>-14787.572026699485</v>
      </c>
      <c r="AD54" s="109">
        <f t="shared" si="5"/>
        <v>176975.82100859084</v>
      </c>
      <c r="AE54" s="109">
        <f t="shared" si="6"/>
        <v>176975.82100859084</v>
      </c>
      <c r="AF54" s="109">
        <f t="shared" si="7"/>
        <v>176975.82100859084</v>
      </c>
      <c r="AG54" s="332" t="str">
        <f t="shared" si="8"/>
        <v>N</v>
      </c>
      <c r="AH54" s="332">
        <f t="shared" si="9"/>
        <v>0</v>
      </c>
      <c r="AI54" s="332">
        <f t="shared" si="10"/>
        <v>0</v>
      </c>
      <c r="AJ54" s="109">
        <f t="shared" si="11"/>
        <v>176975.82100859084</v>
      </c>
      <c r="AK54" s="109">
        <f t="shared" si="12"/>
        <v>0</v>
      </c>
      <c r="AL54" s="109">
        <v>0</v>
      </c>
      <c r="AM54" s="111">
        <f t="shared" si="13"/>
        <v>0</v>
      </c>
      <c r="AN54" s="111">
        <f t="shared" si="14"/>
        <v>0</v>
      </c>
      <c r="AO54" s="111" t="str">
        <f t="shared" si="15"/>
        <v>Use deduct 3yrs</v>
      </c>
      <c r="AP54" s="111">
        <f t="shared" si="16"/>
        <v>0</v>
      </c>
      <c r="AQ54" s="112">
        <f t="shared" si="17"/>
        <v>0</v>
      </c>
      <c r="AR54" s="112">
        <f t="shared" si="18"/>
        <v>1</v>
      </c>
      <c r="AS54" s="113">
        <f t="shared" si="19"/>
        <v>2028</v>
      </c>
      <c r="AT54" s="109">
        <v>173154.20486955481</v>
      </c>
      <c r="AU54" s="114">
        <v>1</v>
      </c>
      <c r="AV54" s="113">
        <v>2028</v>
      </c>
      <c r="AW54" s="112">
        <f t="shared" si="20"/>
        <v>0.88418658309757003</v>
      </c>
      <c r="AX54" s="109">
        <f t="shared" si="21"/>
        <v>173154.20486955481</v>
      </c>
      <c r="AY54" s="109">
        <f t="shared" si="22"/>
        <v>0</v>
      </c>
      <c r="AZ54" s="109">
        <f t="shared" si="23"/>
        <v>173154.20486955481</v>
      </c>
      <c r="BA54" s="111">
        <f t="shared" si="24"/>
        <v>0</v>
      </c>
      <c r="BB54" s="117"/>
      <c r="BC54" s="115" t="str">
        <f t="shared" si="25"/>
        <v>N</v>
      </c>
      <c r="BD54" s="115" t="str">
        <f t="shared" si="26"/>
        <v>Y</v>
      </c>
      <c r="BE54" s="115" t="str">
        <f t="shared" si="27"/>
        <v>N</v>
      </c>
      <c r="BF54" s="109" t="str">
        <f t="shared" si="28"/>
        <v/>
      </c>
      <c r="BG54" s="111" t="s">
        <v>2499</v>
      </c>
      <c r="BH54" s="115" t="s">
        <v>1168</v>
      </c>
      <c r="BI54" s="116"/>
      <c r="BJ54" s="222">
        <v>0.88418658309757003</v>
      </c>
      <c r="BK54" s="265">
        <f t="shared" si="29"/>
        <v>0</v>
      </c>
      <c r="BL54" s="265">
        <f t="shared" si="30"/>
        <v>0</v>
      </c>
      <c r="BM54" s="265">
        <f t="shared" si="31"/>
        <v>0</v>
      </c>
      <c r="BN54" s="265">
        <f t="shared" si="32"/>
        <v>18609.188165735512</v>
      </c>
      <c r="BO54" s="109"/>
      <c r="BP54" s="265">
        <f t="shared" si="33"/>
        <v>18609.188165735512</v>
      </c>
      <c r="BQ54" s="265">
        <v>18609.188165735512</v>
      </c>
      <c r="BR54" s="265" t="e">
        <f t="shared" si="34"/>
        <v>#REF!</v>
      </c>
      <c r="BS54" s="265">
        <v>2096.4969267431416</v>
      </c>
      <c r="BT54" s="475">
        <v>98838.105130445183</v>
      </c>
      <c r="BU54" s="475">
        <v>173154.20486955481</v>
      </c>
      <c r="BV54" s="475">
        <v>0</v>
      </c>
      <c r="BW54" s="483">
        <f t="shared" si="35"/>
        <v>0</v>
      </c>
      <c r="BX54" s="483">
        <f t="shared" si="36"/>
        <v>0</v>
      </c>
    </row>
    <row r="55" spans="1:77" s="103" customFormat="1" ht="43.5">
      <c r="A55" s="100" t="s">
        <v>2503</v>
      </c>
      <c r="B55" s="91" t="str">
        <f t="shared" si="0"/>
        <v xml:space="preserve">CI </v>
      </c>
      <c r="C55" s="92" t="s">
        <v>462</v>
      </c>
      <c r="D55" s="448" t="s">
        <v>2269</v>
      </c>
      <c r="E55" s="449" t="s">
        <v>2024</v>
      </c>
      <c r="F55" s="467" t="s">
        <v>4838</v>
      </c>
      <c r="G55" s="467" t="s">
        <v>5000</v>
      </c>
      <c r="H55" s="470">
        <v>0.43</v>
      </c>
      <c r="I55" s="95" t="s">
        <v>962</v>
      </c>
      <c r="J55" s="95" t="s">
        <v>1166</v>
      </c>
      <c r="K55" s="469">
        <v>3217211.03</v>
      </c>
      <c r="L55" s="471">
        <v>5.7218416576867354E-2</v>
      </c>
      <c r="M55" s="266">
        <v>1</v>
      </c>
      <c r="N55" s="267">
        <f t="shared" si="1"/>
        <v>0</v>
      </c>
      <c r="O55" s="96">
        <f t="shared" si="2"/>
        <v>3138055.0300000003</v>
      </c>
      <c r="P55" s="96">
        <f t="shared" si="3"/>
        <v>79155.999999999971</v>
      </c>
      <c r="Q55" s="96">
        <f t="shared" si="4"/>
        <v>0</v>
      </c>
      <c r="R55" s="187" t="s">
        <v>2268</v>
      </c>
      <c r="S55" s="187" t="s">
        <v>3608</v>
      </c>
      <c r="T55" s="94" t="s">
        <v>2842</v>
      </c>
      <c r="U55" s="395">
        <f>COUNTIF(Aggregation_of_rev_to_allocate!$A$3:$A$137,$T55)</f>
        <v>1</v>
      </c>
      <c r="V55" s="100"/>
      <c r="W55" s="100">
        <v>17</v>
      </c>
      <c r="X55" s="109">
        <v>87662.881176041556</v>
      </c>
      <c r="Y55" s="109">
        <v>0</v>
      </c>
      <c r="Z55" s="110">
        <v>0.73705926864903437</v>
      </c>
      <c r="AA55" s="110">
        <v>1</v>
      </c>
      <c r="AB55" s="110">
        <v>0</v>
      </c>
      <c r="AC55" s="109">
        <f>IF(ISERROR((X55*SUMIF('Rev_for_allocation(Hard)'!$A$3:$A$249,$T55,'Rev_for_allocation(Hard)'!$I$3:$I$249)/SUMIF(Historic_capex_list!$T$9:$T$586,$T55,Historic_capex_list!$X$9:$X$586))=TRUE),0,X55*SUMIF('Rev_for_allocation(Hard)'!$A$3:$A$249,$T55,'Rev_for_allocation(Hard)'!$I$3:$I$249)/SUMIF(Historic_capex_list!$T$9:$T$586,$T55,Historic_capex_list!$X$9:$X$586))</f>
        <v>-6760.0032985448397</v>
      </c>
      <c r="AD55" s="109">
        <f t="shared" si="5"/>
        <v>80902.877877496721</v>
      </c>
      <c r="AE55" s="109">
        <f t="shared" si="6"/>
        <v>80902.877877496721</v>
      </c>
      <c r="AF55" s="109">
        <f t="shared" si="7"/>
        <v>80902.877877496721</v>
      </c>
      <c r="AG55" s="332" t="str">
        <f t="shared" si="8"/>
        <v>N</v>
      </c>
      <c r="AH55" s="332">
        <f t="shared" si="9"/>
        <v>0</v>
      </c>
      <c r="AI55" s="332">
        <f t="shared" si="10"/>
        <v>0</v>
      </c>
      <c r="AJ55" s="109">
        <f t="shared" si="11"/>
        <v>80902.877877496721</v>
      </c>
      <c r="AK55" s="109">
        <f t="shared" si="12"/>
        <v>0</v>
      </c>
      <c r="AL55" s="109">
        <v>0</v>
      </c>
      <c r="AM55" s="111">
        <f t="shared" si="13"/>
        <v>0</v>
      </c>
      <c r="AN55" s="111">
        <f t="shared" si="14"/>
        <v>0</v>
      </c>
      <c r="AO55" s="111" t="str">
        <f t="shared" si="15"/>
        <v>Use deduct 3yrs</v>
      </c>
      <c r="AP55" s="111">
        <f t="shared" si="16"/>
        <v>0</v>
      </c>
      <c r="AQ55" s="112">
        <f t="shared" si="17"/>
        <v>0</v>
      </c>
      <c r="AR55" s="112">
        <f t="shared" si="18"/>
        <v>1</v>
      </c>
      <c r="AS55" s="113">
        <f t="shared" si="19"/>
        <v>2028</v>
      </c>
      <c r="AT55" s="109">
        <v>79155.861013672737</v>
      </c>
      <c r="AU55" s="114">
        <v>1</v>
      </c>
      <c r="AV55" s="113">
        <v>2028</v>
      </c>
      <c r="AW55" s="112">
        <f t="shared" si="20"/>
        <v>5.7218316109719315E-2</v>
      </c>
      <c r="AX55" s="109">
        <f t="shared" si="21"/>
        <v>79155.861013672722</v>
      </c>
      <c r="AY55" s="109">
        <f t="shared" si="22"/>
        <v>0</v>
      </c>
      <c r="AZ55" s="109">
        <f t="shared" si="23"/>
        <v>79155.861013672722</v>
      </c>
      <c r="BA55" s="111">
        <f t="shared" si="24"/>
        <v>0</v>
      </c>
      <c r="BB55" s="117"/>
      <c r="BC55" s="115" t="str">
        <f t="shared" si="25"/>
        <v>N</v>
      </c>
      <c r="BD55" s="115" t="str">
        <f t="shared" si="26"/>
        <v>Y</v>
      </c>
      <c r="BE55" s="115" t="str">
        <f t="shared" si="27"/>
        <v>N</v>
      </c>
      <c r="BF55" s="109" t="str">
        <f t="shared" si="28"/>
        <v/>
      </c>
      <c r="BG55" s="111" t="s">
        <v>2499</v>
      </c>
      <c r="BH55" s="115" t="s">
        <v>1168</v>
      </c>
      <c r="BI55" s="116"/>
      <c r="BJ55" s="222">
        <v>0.66553323647737217</v>
      </c>
      <c r="BK55" s="265">
        <f t="shared" si="29"/>
        <v>0</v>
      </c>
      <c r="BL55" s="265">
        <f t="shared" si="30"/>
        <v>0</v>
      </c>
      <c r="BM55" s="265">
        <f t="shared" si="31"/>
        <v>-4.3655745685100555E-10</v>
      </c>
      <c r="BN55" s="265">
        <f t="shared" si="32"/>
        <v>8506.8811760415847</v>
      </c>
      <c r="BO55" s="109"/>
      <c r="BP55" s="265">
        <f t="shared" si="33"/>
        <v>8507.020162368819</v>
      </c>
      <c r="BQ55" s="265">
        <v>8507.020162368819</v>
      </c>
      <c r="BR55" s="265" t="e">
        <f t="shared" si="34"/>
        <v>#REF!</v>
      </c>
      <c r="BS55" s="265">
        <v>958.3943946027191</v>
      </c>
      <c r="BT55" s="475">
        <v>39780.138986327263</v>
      </c>
      <c r="BU55" s="475">
        <v>79155.861013672737</v>
      </c>
      <c r="BV55" s="475">
        <v>0</v>
      </c>
      <c r="BW55" s="483">
        <f t="shared" si="35"/>
        <v>0.13898632723430637</v>
      </c>
      <c r="BX55" s="483">
        <f t="shared" si="36"/>
        <v>0</v>
      </c>
    </row>
    <row r="56" spans="1:77" s="103" customFormat="1" ht="29">
      <c r="A56" s="100" t="s">
        <v>2503</v>
      </c>
      <c r="B56" s="91" t="str">
        <f t="shared" si="0"/>
        <v xml:space="preserve">CI </v>
      </c>
      <c r="C56" s="92" t="s">
        <v>462</v>
      </c>
      <c r="D56" s="448" t="s">
        <v>2269</v>
      </c>
      <c r="E56" s="449" t="s">
        <v>2023</v>
      </c>
      <c r="F56" s="467" t="s">
        <v>4839</v>
      </c>
      <c r="G56" s="467" t="s">
        <v>5003</v>
      </c>
      <c r="H56" s="470">
        <v>0.43</v>
      </c>
      <c r="I56" s="95" t="s">
        <v>962</v>
      </c>
      <c r="J56" s="95" t="s">
        <v>1166</v>
      </c>
      <c r="K56" s="469">
        <v>11771853</v>
      </c>
      <c r="L56" s="471">
        <v>0.33843854805265611</v>
      </c>
      <c r="M56" s="266">
        <v>1</v>
      </c>
      <c r="N56" s="267">
        <f t="shared" si="1"/>
        <v>0</v>
      </c>
      <c r="O56" s="96">
        <f t="shared" si="2"/>
        <v>10058712</v>
      </c>
      <c r="P56" s="96">
        <f t="shared" si="3"/>
        <v>1713141.0000000007</v>
      </c>
      <c r="Q56" s="96">
        <f t="shared" si="4"/>
        <v>0</v>
      </c>
      <c r="R56" s="187" t="s">
        <v>2268</v>
      </c>
      <c r="S56" s="187" t="s">
        <v>3608</v>
      </c>
      <c r="T56" s="94" t="s">
        <v>2842</v>
      </c>
      <c r="U56" s="395">
        <f>COUNTIF(Aggregation_of_rev_to_allocate!$A$3:$A$137,$T56)</f>
        <v>1</v>
      </c>
      <c r="V56" s="100"/>
      <c r="W56" s="100">
        <v>18</v>
      </c>
      <c r="X56" s="109">
        <v>1897255.4187182561</v>
      </c>
      <c r="Y56" s="109">
        <v>0</v>
      </c>
      <c r="Z56" s="110">
        <v>0.73705926864903459</v>
      </c>
      <c r="AA56" s="110">
        <v>1</v>
      </c>
      <c r="AB56" s="110">
        <v>0</v>
      </c>
      <c r="AC56" s="109">
        <f>IF(ISERROR((X56*SUMIF('Rev_for_allocation(Hard)'!$A$3:$A$249,$T56,'Rev_for_allocation(Hard)'!$I$3:$I$249)/SUMIF(Historic_capex_list!$T$9:$T$586,$T56,Historic_capex_list!$X$9:$X$586))=TRUE),0,X56*SUMIF('Rev_for_allocation(Hard)'!$A$3:$A$249,$T56,'Rev_for_allocation(Hard)'!$I$3:$I$249)/SUMIF(Historic_capex_list!$T$9:$T$586,$T56,Historic_capex_list!$X$9:$X$586))</f>
        <v>-146304.25918766976</v>
      </c>
      <c r="AD56" s="109">
        <f t="shared" si="5"/>
        <v>1750951.1595305863</v>
      </c>
      <c r="AE56" s="109">
        <f t="shared" si="6"/>
        <v>1750951.1595305863</v>
      </c>
      <c r="AF56" s="109">
        <f t="shared" si="7"/>
        <v>1750951.1595305863</v>
      </c>
      <c r="AG56" s="332" t="str">
        <f t="shared" si="8"/>
        <v>N</v>
      </c>
      <c r="AH56" s="332">
        <f t="shared" si="9"/>
        <v>0</v>
      </c>
      <c r="AI56" s="332">
        <f t="shared" si="10"/>
        <v>0</v>
      </c>
      <c r="AJ56" s="109">
        <f t="shared" si="11"/>
        <v>1750951.1595305863</v>
      </c>
      <c r="AK56" s="109">
        <f t="shared" si="12"/>
        <v>0</v>
      </c>
      <c r="AL56" s="109">
        <v>0</v>
      </c>
      <c r="AM56" s="111">
        <f t="shared" si="13"/>
        <v>0</v>
      </c>
      <c r="AN56" s="111">
        <f t="shared" si="14"/>
        <v>0</v>
      </c>
      <c r="AO56" s="111" t="str">
        <f t="shared" si="15"/>
        <v>Use deduct 3yrs</v>
      </c>
      <c r="AP56" s="111">
        <f t="shared" si="16"/>
        <v>0</v>
      </c>
      <c r="AQ56" s="112">
        <f t="shared" si="17"/>
        <v>0</v>
      </c>
      <c r="AR56" s="112">
        <f t="shared" si="18"/>
        <v>1</v>
      </c>
      <c r="AS56" s="113">
        <f t="shared" si="19"/>
        <v>2028</v>
      </c>
      <c r="AT56" s="109">
        <v>1713141.1176175664</v>
      </c>
      <c r="AU56" s="114">
        <v>1</v>
      </c>
      <c r="AV56" s="113">
        <v>2028</v>
      </c>
      <c r="AW56" s="112">
        <f t="shared" si="20"/>
        <v>0.33843857128852411</v>
      </c>
      <c r="AX56" s="109">
        <f t="shared" si="21"/>
        <v>1713141.1176175664</v>
      </c>
      <c r="AY56" s="109">
        <f t="shared" si="22"/>
        <v>0</v>
      </c>
      <c r="AZ56" s="109">
        <f t="shared" si="23"/>
        <v>1713141.1176175664</v>
      </c>
      <c r="BA56" s="111">
        <f t="shared" si="24"/>
        <v>0</v>
      </c>
      <c r="BB56" s="117"/>
      <c r="BC56" s="115" t="str">
        <f t="shared" si="25"/>
        <v>N</v>
      </c>
      <c r="BD56" s="115" t="str">
        <f t="shared" si="26"/>
        <v>Y</v>
      </c>
      <c r="BE56" s="115" t="str">
        <f t="shared" si="27"/>
        <v>N</v>
      </c>
      <c r="BF56" s="109" t="str">
        <f t="shared" si="28"/>
        <v/>
      </c>
      <c r="BG56" s="111" t="s">
        <v>2499</v>
      </c>
      <c r="BH56" s="115" t="s">
        <v>1168</v>
      </c>
      <c r="BI56" s="116"/>
      <c r="BJ56" s="222">
        <v>0.66553323647737228</v>
      </c>
      <c r="BK56" s="265">
        <f t="shared" si="29"/>
        <v>0</v>
      </c>
      <c r="BL56" s="265">
        <f t="shared" si="30"/>
        <v>0</v>
      </c>
      <c r="BM56" s="265">
        <f t="shared" si="31"/>
        <v>-6.9849193096160889E-10</v>
      </c>
      <c r="BN56" s="265">
        <f t="shared" si="32"/>
        <v>184114.41871825536</v>
      </c>
      <c r="BO56" s="109"/>
      <c r="BP56" s="265">
        <f t="shared" si="33"/>
        <v>184114.30110068968</v>
      </c>
      <c r="BQ56" s="265">
        <v>184114.30110068968</v>
      </c>
      <c r="BR56" s="265" t="e">
        <f t="shared" si="34"/>
        <v>#REF!</v>
      </c>
      <c r="BS56" s="265">
        <v>20742.176552213998</v>
      </c>
      <c r="BT56" s="475">
        <v>860946.88238243375</v>
      </c>
      <c r="BU56" s="475">
        <v>1713141.1176175664</v>
      </c>
      <c r="BV56" s="475">
        <v>0</v>
      </c>
      <c r="BW56" s="483">
        <f t="shared" si="35"/>
        <v>-0.11761756567284465</v>
      </c>
      <c r="BX56" s="483">
        <f t="shared" si="36"/>
        <v>0</v>
      </c>
    </row>
    <row r="57" spans="1:77" s="103" customFormat="1" ht="29">
      <c r="A57" s="100" t="s">
        <v>2502</v>
      </c>
      <c r="B57" s="91" t="str">
        <f t="shared" si="0"/>
        <v xml:space="preserve">CI </v>
      </c>
      <c r="C57" s="92" t="s">
        <v>463</v>
      </c>
      <c r="D57" s="448" t="s">
        <v>2269</v>
      </c>
      <c r="E57" s="449" t="s">
        <v>2243</v>
      </c>
      <c r="F57" s="467" t="s">
        <v>4275</v>
      </c>
      <c r="G57" s="467" t="s">
        <v>5005</v>
      </c>
      <c r="H57" s="398">
        <v>1</v>
      </c>
      <c r="I57" s="95" t="s">
        <v>890</v>
      </c>
      <c r="J57" s="95" t="s">
        <v>1166</v>
      </c>
      <c r="K57" s="191">
        <v>185663</v>
      </c>
      <c r="L57" s="268">
        <v>0.53051290232250425</v>
      </c>
      <c r="M57" s="266">
        <v>1</v>
      </c>
      <c r="N57" s="267">
        <f t="shared" si="1"/>
        <v>0</v>
      </c>
      <c r="O57" s="96">
        <f t="shared" si="2"/>
        <v>87166.383016096894</v>
      </c>
      <c r="P57" s="96">
        <f t="shared" si="3"/>
        <v>98496.616983903106</v>
      </c>
      <c r="Q57" s="96">
        <f t="shared" si="4"/>
        <v>0</v>
      </c>
      <c r="R57" s="187" t="s">
        <v>2268</v>
      </c>
      <c r="S57" s="187" t="s">
        <v>3608</v>
      </c>
      <c r="T57" s="94" t="s">
        <v>2842</v>
      </c>
      <c r="U57" s="395">
        <f>COUNTIF(Aggregation_of_rev_to_allocate!$A$3:$A$137,$T57)</f>
        <v>1</v>
      </c>
      <c r="V57" s="100"/>
      <c r="W57" s="100">
        <v>41</v>
      </c>
      <c r="X57" s="109">
        <v>109082.22234371908</v>
      </c>
      <c r="Y57" s="109">
        <v>0</v>
      </c>
      <c r="Z57" s="110">
        <v>0.58752806075372632</v>
      </c>
      <c r="AA57" s="110">
        <v>1</v>
      </c>
      <c r="AB57" s="110">
        <v>0</v>
      </c>
      <c r="AC57" s="109">
        <f>IF(ISERROR((X57*SUMIF('Rev_for_allocation(Hard)'!$A$3:$A$249,$T57,'Rev_for_allocation(Hard)'!$I$3:$I$249)/SUMIF(Historic_capex_list!$T$9:$T$586,$T57,Historic_capex_list!$X$9:$X$586))=TRUE),0,X57*SUMIF('Rev_for_allocation(Hard)'!$A$3:$A$249,$T57,'Rev_for_allocation(Hard)'!$I$3:$I$249)/SUMIF(Historic_capex_list!$T$9:$T$586,$T57,Historic_capex_list!$X$9:$X$586))</f>
        <v>-8411.7265251107729</v>
      </c>
      <c r="AD57" s="109">
        <f t="shared" si="5"/>
        <v>100670.49581860831</v>
      </c>
      <c r="AE57" s="109">
        <f t="shared" si="6"/>
        <v>100670.49581860831</v>
      </c>
      <c r="AF57" s="109">
        <f t="shared" si="7"/>
        <v>100670.49581860831</v>
      </c>
      <c r="AG57" s="332" t="str">
        <f t="shared" si="8"/>
        <v>N</v>
      </c>
      <c r="AH57" s="332">
        <f t="shared" si="9"/>
        <v>0</v>
      </c>
      <c r="AI57" s="332">
        <f t="shared" si="10"/>
        <v>0</v>
      </c>
      <c r="AJ57" s="109">
        <f t="shared" si="11"/>
        <v>100670.49581860831</v>
      </c>
      <c r="AK57" s="109">
        <f t="shared" si="12"/>
        <v>0</v>
      </c>
      <c r="AL57" s="109">
        <v>0</v>
      </c>
      <c r="AM57" s="111">
        <f t="shared" si="13"/>
        <v>0</v>
      </c>
      <c r="AN57" s="111">
        <f t="shared" si="14"/>
        <v>0</v>
      </c>
      <c r="AO57" s="111" t="str">
        <f t="shared" si="15"/>
        <v>Use deduct 3yrs</v>
      </c>
      <c r="AP57" s="111">
        <f t="shared" si="16"/>
        <v>0</v>
      </c>
      <c r="AQ57" s="112">
        <f t="shared" si="17"/>
        <v>0</v>
      </c>
      <c r="AR57" s="112">
        <f t="shared" si="18"/>
        <v>1</v>
      </c>
      <c r="AS57" s="113">
        <f t="shared" si="19"/>
        <v>2028</v>
      </c>
      <c r="AT57" s="109">
        <v>98496.616983903106</v>
      </c>
      <c r="AU57" s="114">
        <v>1</v>
      </c>
      <c r="AV57" s="113">
        <v>2028</v>
      </c>
      <c r="AW57" s="112">
        <f t="shared" si="20"/>
        <v>0.53051290232250425</v>
      </c>
      <c r="AX57" s="109">
        <f t="shared" si="21"/>
        <v>98496.616983903106</v>
      </c>
      <c r="AY57" s="109">
        <f t="shared" si="22"/>
        <v>0</v>
      </c>
      <c r="AZ57" s="109">
        <f t="shared" si="23"/>
        <v>98496.616983903106</v>
      </c>
      <c r="BA57" s="111">
        <f t="shared" si="24"/>
        <v>0</v>
      </c>
      <c r="BB57" s="117"/>
      <c r="BC57" s="115" t="str">
        <f t="shared" si="25"/>
        <v>N</v>
      </c>
      <c r="BD57" s="115" t="str">
        <f t="shared" si="26"/>
        <v>Y</v>
      </c>
      <c r="BE57" s="115" t="str">
        <f t="shared" si="27"/>
        <v>N</v>
      </c>
      <c r="BF57" s="109" t="str">
        <f t="shared" si="28"/>
        <v/>
      </c>
      <c r="BG57" s="111" t="s">
        <v>2499</v>
      </c>
      <c r="BH57" s="115" t="s">
        <v>1168</v>
      </c>
      <c r="BI57" s="116"/>
      <c r="BJ57" s="222">
        <v>0.53051290232250425</v>
      </c>
      <c r="BK57" s="265">
        <f t="shared" si="29"/>
        <v>0</v>
      </c>
      <c r="BL57" s="265">
        <f t="shared" si="30"/>
        <v>0</v>
      </c>
      <c r="BM57" s="265">
        <f t="shared" si="31"/>
        <v>0</v>
      </c>
      <c r="BN57" s="265">
        <f t="shared" si="32"/>
        <v>10585.605359815978</v>
      </c>
      <c r="BO57" s="109"/>
      <c r="BP57" s="265">
        <f t="shared" si="33"/>
        <v>10585.605359815978</v>
      </c>
      <c r="BQ57" s="265">
        <v>10585.605359815978</v>
      </c>
      <c r="BR57" s="265" t="e">
        <f t="shared" si="34"/>
        <v>#REF!</v>
      </c>
      <c r="BS57" s="265">
        <v>1192.5662155124314</v>
      </c>
      <c r="BT57" s="475">
        <v>87166.383016096894</v>
      </c>
      <c r="BU57" s="475">
        <v>98496.616983903106</v>
      </c>
      <c r="BV57" s="475">
        <v>0</v>
      </c>
      <c r="BW57" s="483">
        <f t="shared" si="35"/>
        <v>0</v>
      </c>
      <c r="BX57" s="483">
        <f t="shared" si="36"/>
        <v>0</v>
      </c>
    </row>
    <row r="58" spans="1:77" s="103" customFormat="1" ht="14.5">
      <c r="A58" s="100" t="s">
        <v>2504</v>
      </c>
      <c r="B58" s="91" t="str">
        <f t="shared" si="0"/>
        <v xml:space="preserve">CI </v>
      </c>
      <c r="C58" s="92" t="s">
        <v>463</v>
      </c>
      <c r="D58" s="448" t="s">
        <v>2269</v>
      </c>
      <c r="E58" s="449">
        <v>2130387</v>
      </c>
      <c r="F58" s="384" t="s">
        <v>961</v>
      </c>
      <c r="G58" s="384" t="s">
        <v>4689</v>
      </c>
      <c r="H58" s="398">
        <v>1</v>
      </c>
      <c r="I58" s="95" t="s">
        <v>951</v>
      </c>
      <c r="J58" s="95" t="s">
        <v>1166</v>
      </c>
      <c r="K58" s="191">
        <v>944000</v>
      </c>
      <c r="L58" s="268">
        <v>0.82801869805204853</v>
      </c>
      <c r="M58" s="266">
        <v>1</v>
      </c>
      <c r="N58" s="267">
        <f t="shared" si="1"/>
        <v>0</v>
      </c>
      <c r="O58" s="96">
        <f t="shared" si="2"/>
        <v>162350.34903886617</v>
      </c>
      <c r="P58" s="96">
        <f t="shared" si="3"/>
        <v>781649.65096113377</v>
      </c>
      <c r="Q58" s="96">
        <f t="shared" si="4"/>
        <v>0</v>
      </c>
      <c r="R58" s="187" t="s">
        <v>2407</v>
      </c>
      <c r="S58" s="187" t="s">
        <v>3607</v>
      </c>
      <c r="T58" s="94" t="s">
        <v>2858</v>
      </c>
      <c r="U58" s="395">
        <f>COUNTIF(Aggregation_of_rev_to_allocate!$A$3:$A$137,$T58)</f>
        <v>1</v>
      </c>
      <c r="V58" s="100"/>
      <c r="W58" s="100">
        <v>55</v>
      </c>
      <c r="X58" s="109">
        <v>882046.21489616029</v>
      </c>
      <c r="Y58" s="109">
        <v>0</v>
      </c>
      <c r="Z58" s="110">
        <v>0.93437099035610205</v>
      </c>
      <c r="AA58" s="110">
        <v>1</v>
      </c>
      <c r="AB58" s="110">
        <v>0</v>
      </c>
      <c r="AC58" s="109">
        <f>IF(ISERROR((X58*SUMIF('Rev_for_allocation(Hard)'!$A$3:$A$249,$T58,'Rev_for_allocation(Hard)'!$I$3:$I$249)/SUMIF(Historic_capex_list!$T$9:$T$586,$T58,Historic_capex_list!$X$9:$X$586))=TRUE),0,X58*SUMIF('Rev_for_allocation(Hard)'!$A$3:$A$249,$T58,'Rev_for_allocation(Hard)'!$I$3:$I$249)/SUMIF(Historic_capex_list!$T$9:$T$586,$T58,Historic_capex_list!$X$9:$X$586))</f>
        <v>-100396.56393502654</v>
      </c>
      <c r="AD58" s="109">
        <f t="shared" si="5"/>
        <v>781649.65096113377</v>
      </c>
      <c r="AE58" s="109">
        <f t="shared" si="6"/>
        <v>781649.65096113377</v>
      </c>
      <c r="AF58" s="109">
        <f t="shared" si="7"/>
        <v>781649.65096113377</v>
      </c>
      <c r="AG58" s="332" t="str">
        <f t="shared" si="8"/>
        <v>N</v>
      </c>
      <c r="AH58" s="332">
        <f t="shared" si="9"/>
        <v>0</v>
      </c>
      <c r="AI58" s="332">
        <f t="shared" si="10"/>
        <v>0</v>
      </c>
      <c r="AJ58" s="109">
        <f t="shared" si="11"/>
        <v>781649.65096113377</v>
      </c>
      <c r="AK58" s="109">
        <f t="shared" si="12"/>
        <v>0</v>
      </c>
      <c r="AL58" s="109">
        <v>0</v>
      </c>
      <c r="AM58" s="111">
        <f t="shared" si="13"/>
        <v>0</v>
      </c>
      <c r="AN58" s="111">
        <f t="shared" si="14"/>
        <v>0</v>
      </c>
      <c r="AO58" s="111" t="str">
        <f t="shared" si="15"/>
        <v>Use deduct 3yrs</v>
      </c>
      <c r="AP58" s="111">
        <f t="shared" si="16"/>
        <v>0</v>
      </c>
      <c r="AQ58" s="112">
        <f t="shared" si="17"/>
        <v>0</v>
      </c>
      <c r="AR58" s="112">
        <f t="shared" si="18"/>
        <v>1</v>
      </c>
      <c r="AS58" s="113">
        <f t="shared" si="19"/>
        <v>2028</v>
      </c>
      <c r="AT58" s="109">
        <v>781649.65096113377</v>
      </c>
      <c r="AU58" s="114">
        <v>1</v>
      </c>
      <c r="AV58" s="113">
        <v>2028</v>
      </c>
      <c r="AW58" s="112">
        <f t="shared" si="20"/>
        <v>0.82801869805204853</v>
      </c>
      <c r="AX58" s="109">
        <f t="shared" si="21"/>
        <v>781649.65096113377</v>
      </c>
      <c r="AY58" s="109">
        <f t="shared" si="22"/>
        <v>0</v>
      </c>
      <c r="AZ58" s="109">
        <f t="shared" si="23"/>
        <v>781649.65096113377</v>
      </c>
      <c r="BA58" s="111">
        <f t="shared" si="24"/>
        <v>0</v>
      </c>
      <c r="BB58" s="117"/>
      <c r="BC58" s="115" t="str">
        <f t="shared" si="25"/>
        <v>N</v>
      </c>
      <c r="BD58" s="115" t="str">
        <f t="shared" si="26"/>
        <v>Y</v>
      </c>
      <c r="BE58" s="115" t="str">
        <f t="shared" si="27"/>
        <v>N</v>
      </c>
      <c r="BF58" s="109" t="str">
        <f t="shared" si="28"/>
        <v/>
      </c>
      <c r="BG58" s="111" t="s">
        <v>2499</v>
      </c>
      <c r="BH58" s="115" t="s">
        <v>1168</v>
      </c>
      <c r="BI58" s="116"/>
      <c r="BJ58" s="222">
        <v>0.82801869805204853</v>
      </c>
      <c r="BK58" s="265">
        <f t="shared" si="29"/>
        <v>0</v>
      </c>
      <c r="BL58" s="265">
        <f t="shared" si="30"/>
        <v>0</v>
      </c>
      <c r="BM58" s="265">
        <f t="shared" si="31"/>
        <v>1.1641532182693481E-10</v>
      </c>
      <c r="BN58" s="265">
        <f t="shared" si="32"/>
        <v>100396.56393502653</v>
      </c>
      <c r="BO58" s="109"/>
      <c r="BP58" s="265">
        <f t="shared" si="33"/>
        <v>100396.56393502653</v>
      </c>
      <c r="BQ58" s="265">
        <v>100396.56393502653</v>
      </c>
      <c r="BR58" s="265" t="e">
        <f t="shared" si="34"/>
        <v>#REF!</v>
      </c>
      <c r="BS58" s="265">
        <v>11310.600219138327</v>
      </c>
      <c r="BT58" s="475">
        <v>162350.34903886617</v>
      </c>
      <c r="BU58" s="475">
        <v>781649.65096113377</v>
      </c>
      <c r="BV58" s="475">
        <v>0</v>
      </c>
      <c r="BW58" s="483">
        <f t="shared" si="35"/>
        <v>0</v>
      </c>
      <c r="BX58" s="483">
        <f t="shared" si="36"/>
        <v>0</v>
      </c>
    </row>
    <row r="59" spans="1:77" s="103" customFormat="1" ht="14.5">
      <c r="A59" s="100" t="s">
        <v>2502</v>
      </c>
      <c r="B59" s="91" t="str">
        <f t="shared" si="0"/>
        <v xml:space="preserve">CI </v>
      </c>
      <c r="C59" s="92" t="s">
        <v>463</v>
      </c>
      <c r="D59" s="448" t="s">
        <v>2269</v>
      </c>
      <c r="E59" s="449">
        <v>2130195</v>
      </c>
      <c r="F59" s="467" t="s">
        <v>4483</v>
      </c>
      <c r="G59" s="467" t="s">
        <v>5028</v>
      </c>
      <c r="H59" s="398">
        <v>0.5</v>
      </c>
      <c r="I59" s="95" t="s">
        <v>953</v>
      </c>
      <c r="J59" s="95" t="s">
        <v>1166</v>
      </c>
      <c r="K59" s="191">
        <v>495910.38</v>
      </c>
      <c r="L59" s="268">
        <v>0.38530454739326703</v>
      </c>
      <c r="M59" s="266">
        <v>1</v>
      </c>
      <c r="N59" s="267">
        <f t="shared" si="1"/>
        <v>0</v>
      </c>
      <c r="O59" s="96">
        <f t="shared" si="2"/>
        <v>400372.11774323846</v>
      </c>
      <c r="P59" s="96">
        <f t="shared" si="3"/>
        <v>95538.262256761533</v>
      </c>
      <c r="Q59" s="96">
        <f t="shared" si="4"/>
        <v>0</v>
      </c>
      <c r="R59" s="187" t="s">
        <v>2458</v>
      </c>
      <c r="S59" s="187" t="s">
        <v>3607</v>
      </c>
      <c r="T59" s="94" t="s">
        <v>2860</v>
      </c>
      <c r="U59" s="395">
        <f>COUNTIF(Aggregation_of_rev_to_allocate!$A$3:$A$137,$T59)</f>
        <v>1</v>
      </c>
      <c r="V59" s="100"/>
      <c r="W59" s="100">
        <v>145</v>
      </c>
      <c r="X59" s="109">
        <v>121400.30865392159</v>
      </c>
      <c r="Y59" s="109">
        <v>0</v>
      </c>
      <c r="Z59" s="110">
        <v>0.4896058382723168</v>
      </c>
      <c r="AA59" s="110">
        <v>1</v>
      </c>
      <c r="AB59" s="110">
        <v>0</v>
      </c>
      <c r="AC59" s="109">
        <f>IF(ISERROR((X59*SUMIF('Rev_for_allocation(Hard)'!$A$3:$A$249,$T59,'Rev_for_allocation(Hard)'!$I$3:$I$249)/SUMIF(Historic_capex_list!$T$9:$T$586,$T59,Historic_capex_list!$X$9:$X$586))=TRUE),0,X59*SUMIF('Rev_for_allocation(Hard)'!$A$3:$A$249,$T59,'Rev_for_allocation(Hard)'!$I$3:$I$249)/SUMIF(Historic_capex_list!$T$9:$T$586,$T59,Historic_capex_list!$X$9:$X$586))</f>
        <v>-25862.046397160058</v>
      </c>
      <c r="AD59" s="109">
        <f t="shared" si="5"/>
        <v>95538.262256761533</v>
      </c>
      <c r="AE59" s="109">
        <f t="shared" si="6"/>
        <v>95538.262256761533</v>
      </c>
      <c r="AF59" s="109">
        <f t="shared" si="7"/>
        <v>95538.262256761533</v>
      </c>
      <c r="AG59" s="332" t="str">
        <f t="shared" si="8"/>
        <v>N</v>
      </c>
      <c r="AH59" s="332">
        <f t="shared" si="9"/>
        <v>0</v>
      </c>
      <c r="AI59" s="332">
        <f t="shared" si="10"/>
        <v>0</v>
      </c>
      <c r="AJ59" s="109">
        <f t="shared" si="11"/>
        <v>95538.262256761533</v>
      </c>
      <c r="AK59" s="109">
        <f t="shared" si="12"/>
        <v>0</v>
      </c>
      <c r="AL59" s="109">
        <v>0</v>
      </c>
      <c r="AM59" s="111">
        <f t="shared" si="13"/>
        <v>0</v>
      </c>
      <c r="AN59" s="111">
        <f t="shared" si="14"/>
        <v>0</v>
      </c>
      <c r="AO59" s="111" t="str">
        <f t="shared" si="15"/>
        <v>Use deduct 3yrs</v>
      </c>
      <c r="AP59" s="111">
        <f t="shared" si="16"/>
        <v>0</v>
      </c>
      <c r="AQ59" s="112">
        <f t="shared" si="17"/>
        <v>0</v>
      </c>
      <c r="AR59" s="112">
        <f t="shared" si="18"/>
        <v>1</v>
      </c>
      <c r="AS59" s="113">
        <f t="shared" si="19"/>
        <v>2028</v>
      </c>
      <c r="AT59" s="109">
        <v>95538.262256761533</v>
      </c>
      <c r="AU59" s="114">
        <v>1</v>
      </c>
      <c r="AV59" s="113">
        <v>2028</v>
      </c>
      <c r="AW59" s="112">
        <f t="shared" si="20"/>
        <v>0.38530454739326703</v>
      </c>
      <c r="AX59" s="109">
        <f t="shared" si="21"/>
        <v>95538.262256761533</v>
      </c>
      <c r="AY59" s="109">
        <f t="shared" si="22"/>
        <v>0</v>
      </c>
      <c r="AZ59" s="109">
        <f t="shared" si="23"/>
        <v>95538.262256761533</v>
      </c>
      <c r="BA59" s="111">
        <f t="shared" si="24"/>
        <v>0</v>
      </c>
      <c r="BB59" s="117"/>
      <c r="BC59" s="115" t="str">
        <f t="shared" si="25"/>
        <v>N</v>
      </c>
      <c r="BD59" s="115" t="str">
        <f t="shared" si="26"/>
        <v>Y</v>
      </c>
      <c r="BE59" s="115" t="str">
        <f t="shared" si="27"/>
        <v>N</v>
      </c>
      <c r="BF59" s="109" t="str">
        <f t="shared" si="28"/>
        <v/>
      </c>
      <c r="BG59" s="111" t="s">
        <v>2499</v>
      </c>
      <c r="BH59" s="115" t="s">
        <v>1168</v>
      </c>
      <c r="BI59" s="116"/>
      <c r="BJ59" s="222">
        <v>0.38530454739326703</v>
      </c>
      <c r="BK59" s="265">
        <f t="shared" si="29"/>
        <v>0</v>
      </c>
      <c r="BL59" s="265">
        <f t="shared" si="30"/>
        <v>0</v>
      </c>
      <c r="BM59" s="265">
        <f t="shared" si="31"/>
        <v>1.4551915228366852E-11</v>
      </c>
      <c r="BN59" s="265">
        <f t="shared" si="32"/>
        <v>25862.046397160055</v>
      </c>
      <c r="BO59" s="109"/>
      <c r="BP59" s="265">
        <f t="shared" si="33"/>
        <v>25862.046397160055</v>
      </c>
      <c r="BQ59" s="265">
        <v>25862.046397160055</v>
      </c>
      <c r="BR59" s="265" t="e">
        <f t="shared" si="34"/>
        <v>#REF!</v>
      </c>
      <c r="BS59" s="265">
        <v>2913.5983960207113</v>
      </c>
      <c r="BT59" s="475">
        <v>400372.11774323846</v>
      </c>
      <c r="BU59" s="475">
        <v>95538.262256761533</v>
      </c>
      <c r="BV59" s="475">
        <v>0</v>
      </c>
      <c r="BW59" s="483">
        <f t="shared" si="35"/>
        <v>0</v>
      </c>
      <c r="BX59" s="483">
        <f t="shared" si="36"/>
        <v>0</v>
      </c>
    </row>
    <row r="60" spans="1:77" s="103" customFormat="1" ht="14.5">
      <c r="A60" s="100" t="s">
        <v>2503</v>
      </c>
      <c r="B60" s="91" t="str">
        <f t="shared" si="0"/>
        <v xml:space="preserve">CI </v>
      </c>
      <c r="C60" s="92" t="s">
        <v>462</v>
      </c>
      <c r="D60" s="448" t="s">
        <v>2269</v>
      </c>
      <c r="E60" s="449">
        <v>2010165</v>
      </c>
      <c r="F60" s="468" t="s">
        <v>2512</v>
      </c>
      <c r="G60" s="467" t="s">
        <v>5035</v>
      </c>
      <c r="H60" s="398">
        <v>1</v>
      </c>
      <c r="I60" s="95" t="s">
        <v>951</v>
      </c>
      <c r="J60" s="95" t="s">
        <v>1166</v>
      </c>
      <c r="K60" s="191">
        <v>860972</v>
      </c>
      <c r="L60" s="268">
        <v>0.86845167811155966</v>
      </c>
      <c r="M60" s="266">
        <v>0.45918367346938771</v>
      </c>
      <c r="N60" s="267">
        <f t="shared" si="1"/>
        <v>0.54081632653061229</v>
      </c>
      <c r="O60" s="96">
        <f t="shared" si="2"/>
        <v>113259.42179293426</v>
      </c>
      <c r="P60" s="96">
        <f t="shared" si="3"/>
        <v>343337.40836038726</v>
      </c>
      <c r="Q60" s="96">
        <f t="shared" si="4"/>
        <v>404375.16984667844</v>
      </c>
      <c r="R60" s="187" t="s">
        <v>2407</v>
      </c>
      <c r="S60" s="187" t="s">
        <v>3607</v>
      </c>
      <c r="T60" s="94" t="s">
        <v>2848</v>
      </c>
      <c r="U60" s="395">
        <f>COUNTIF(Aggregation_of_rev_to_allocate!$A$3:$A$137,$T60)</f>
        <v>1</v>
      </c>
      <c r="V60" s="100"/>
      <c r="W60" s="100">
        <v>56</v>
      </c>
      <c r="X60" s="109">
        <v>301767.40824500407</v>
      </c>
      <c r="Y60" s="109">
        <v>445945.16996206163</v>
      </c>
      <c r="Z60" s="110">
        <v>0.86845167811155966</v>
      </c>
      <c r="AA60" s="110">
        <v>0.40358744394618828</v>
      </c>
      <c r="AB60" s="110">
        <v>0.59641255605381172</v>
      </c>
      <c r="AC60" s="109">
        <f>IF(ISERROR((X60*SUMIF('Rev_for_allocation(Hard)'!$A$3:$A$249,$T60,'Rev_for_allocation(Hard)'!$I$3:$I$249)/SUMIF(Historic_capex_list!$T$9:$T$586,$T60,Historic_capex_list!$X$9:$X$586))=TRUE),0,X60*SUMIF('Rev_for_allocation(Hard)'!$A$3:$A$249,$T60,'Rev_for_allocation(Hard)'!$I$3:$I$249)/SUMIF(Historic_capex_list!$T$9:$T$586,$T60,Historic_capex_list!$X$9:$X$586))</f>
        <v>0</v>
      </c>
      <c r="AD60" s="109">
        <f t="shared" si="5"/>
        <v>301767.40824500407</v>
      </c>
      <c r="AE60" s="109">
        <f t="shared" si="6"/>
        <v>301767.40824500407</v>
      </c>
      <c r="AF60" s="109">
        <f t="shared" si="7"/>
        <v>747712.5782070657</v>
      </c>
      <c r="AG60" s="332" t="str">
        <f t="shared" si="8"/>
        <v>N</v>
      </c>
      <c r="AH60" s="332">
        <f t="shared" si="9"/>
        <v>0</v>
      </c>
      <c r="AI60" s="332">
        <f t="shared" si="10"/>
        <v>0</v>
      </c>
      <c r="AJ60" s="109">
        <f t="shared" si="11"/>
        <v>747712.5782070657</v>
      </c>
      <c r="AK60" s="109">
        <f t="shared" si="12"/>
        <v>0</v>
      </c>
      <c r="AL60" s="109">
        <v>0</v>
      </c>
      <c r="AM60" s="111">
        <f t="shared" si="13"/>
        <v>14.77777777777778</v>
      </c>
      <c r="AN60" s="111">
        <f t="shared" si="14"/>
        <v>11.77777777777778</v>
      </c>
      <c r="AO60" s="111" t="str">
        <f t="shared" si="15"/>
        <v>Use deduct 3yrs</v>
      </c>
      <c r="AP60" s="111">
        <f t="shared" si="16"/>
        <v>11.77777777777778</v>
      </c>
      <c r="AQ60" s="112">
        <f t="shared" si="17"/>
        <v>0.54081632653061229</v>
      </c>
      <c r="AR60" s="112">
        <f t="shared" si="18"/>
        <v>0.45918367346938771</v>
      </c>
      <c r="AS60" s="113">
        <f t="shared" si="19"/>
        <v>2040</v>
      </c>
      <c r="AT60" s="109">
        <v>747712.5782070657</v>
      </c>
      <c r="AU60" s="114">
        <v>0.45918367346938771</v>
      </c>
      <c r="AV60" s="113">
        <v>2040</v>
      </c>
      <c r="AW60" s="112">
        <f t="shared" si="20"/>
        <v>0.86845167811155966</v>
      </c>
      <c r="AX60" s="109">
        <f t="shared" si="21"/>
        <v>343337.40836038726</v>
      </c>
      <c r="AY60" s="109">
        <f t="shared" si="22"/>
        <v>404375.16984667844</v>
      </c>
      <c r="AZ60" s="109">
        <f t="shared" si="23"/>
        <v>747712.5782070657</v>
      </c>
      <c r="BA60" s="111">
        <f t="shared" si="24"/>
        <v>0</v>
      </c>
      <c r="BB60" s="117"/>
      <c r="BC60" s="115" t="str">
        <f t="shared" si="25"/>
        <v>N</v>
      </c>
      <c r="BD60" s="115" t="str">
        <f t="shared" si="26"/>
        <v>N</v>
      </c>
      <c r="BE60" s="115" t="str">
        <f t="shared" si="27"/>
        <v>N</v>
      </c>
      <c r="BF60" s="109" t="str">
        <f t="shared" si="28"/>
        <v/>
      </c>
      <c r="BG60" s="111" t="s">
        <v>2499</v>
      </c>
      <c r="BH60" s="115" t="s">
        <v>1168</v>
      </c>
      <c r="BI60" s="116"/>
      <c r="BJ60" s="222">
        <v>0.86845167811155966</v>
      </c>
      <c r="BK60" s="265">
        <f t="shared" si="29"/>
        <v>0</v>
      </c>
      <c r="BL60" s="265">
        <f t="shared" si="30"/>
        <v>0</v>
      </c>
      <c r="BM60" s="265">
        <f t="shared" si="31"/>
        <v>0</v>
      </c>
      <c r="BN60" s="265">
        <f t="shared" si="32"/>
        <v>-41570.000115383184</v>
      </c>
      <c r="BO60" s="109"/>
      <c r="BP60" s="265">
        <f t="shared" si="33"/>
        <v>0</v>
      </c>
      <c r="BQ60" s="265">
        <v>0</v>
      </c>
      <c r="BR60" s="265" t="e">
        <f t="shared" si="34"/>
        <v>#REF!</v>
      </c>
      <c r="BS60" s="265">
        <v>0</v>
      </c>
      <c r="BT60" s="475">
        <v>113259.42179293426</v>
      </c>
      <c r="BU60" s="475">
        <v>343337.40836038726</v>
      </c>
      <c r="BV60" s="475">
        <v>404375.16984667844</v>
      </c>
      <c r="BW60" s="483">
        <f t="shared" si="35"/>
        <v>0</v>
      </c>
      <c r="BX60" s="483">
        <f t="shared" si="36"/>
        <v>0</v>
      </c>
    </row>
    <row r="61" spans="1:77" s="103" customFormat="1" ht="58">
      <c r="A61" s="100" t="s">
        <v>2503</v>
      </c>
      <c r="B61" s="91" t="str">
        <f t="shared" si="0"/>
        <v xml:space="preserve">CI </v>
      </c>
      <c r="C61" s="92" t="s">
        <v>462</v>
      </c>
      <c r="D61" s="448" t="s">
        <v>2269</v>
      </c>
      <c r="E61" s="449" t="s">
        <v>2182</v>
      </c>
      <c r="F61" s="468" t="s">
        <v>2514</v>
      </c>
      <c r="G61" s="502" t="s">
        <v>5240</v>
      </c>
      <c r="H61" s="398">
        <v>1</v>
      </c>
      <c r="I61" s="95" t="s">
        <v>951</v>
      </c>
      <c r="J61" s="95" t="s">
        <v>1166</v>
      </c>
      <c r="K61" s="191">
        <v>966056</v>
      </c>
      <c r="L61" s="268">
        <v>0.89123968049018498</v>
      </c>
      <c r="M61" s="266">
        <v>0.25345622119815669</v>
      </c>
      <c r="N61" s="267">
        <f t="shared" si="1"/>
        <v>0.74654377880184331</v>
      </c>
      <c r="O61" s="96">
        <f t="shared" si="2"/>
        <v>105068.55922437385</v>
      </c>
      <c r="P61" s="96">
        <f t="shared" si="3"/>
        <v>218222.62323806193</v>
      </c>
      <c r="Q61" s="96">
        <f t="shared" si="4"/>
        <v>642764.8175375642</v>
      </c>
      <c r="R61" s="187" t="s">
        <v>2456</v>
      </c>
      <c r="S61" s="187" t="s">
        <v>3607</v>
      </c>
      <c r="T61" s="94" t="s">
        <v>2858</v>
      </c>
      <c r="U61" s="395">
        <f>COUNTIF(Aggregation_of_rev_to_allocate!$A$3:$A$137,$T61)</f>
        <v>1</v>
      </c>
      <c r="V61" s="100"/>
      <c r="W61" s="100">
        <v>129</v>
      </c>
      <c r="X61" s="109">
        <v>208389.17839395415</v>
      </c>
      <c r="Y61" s="109">
        <v>676317.60624219663</v>
      </c>
      <c r="Z61" s="110">
        <v>0.91579244333263377</v>
      </c>
      <c r="AA61" s="110">
        <v>0.23554603854389722</v>
      </c>
      <c r="AB61" s="110">
        <v>0.76445396145610278</v>
      </c>
      <c r="AC61" s="109">
        <f>IF(ISERROR((X61*SUMIF('Rev_for_allocation(Hard)'!$A$3:$A$249,$T61,'Rev_for_allocation(Hard)'!$I$3:$I$249)/SUMIF(Historic_capex_list!$T$9:$T$586,$T61,Historic_capex_list!$X$9:$X$586))=TRUE),0,X61*SUMIF('Rev_for_allocation(Hard)'!$A$3:$A$249,$T61,'Rev_for_allocation(Hard)'!$I$3:$I$249)/SUMIF(Historic_capex_list!$T$9:$T$586,$T61,Historic_capex_list!$X$9:$X$586))</f>
        <v>-23719.343860524677</v>
      </c>
      <c r="AD61" s="109">
        <f t="shared" si="5"/>
        <v>184669.83453342947</v>
      </c>
      <c r="AE61" s="109">
        <f t="shared" si="6"/>
        <v>184669.83453342947</v>
      </c>
      <c r="AF61" s="109">
        <f t="shared" si="7"/>
        <v>860987.44077562611</v>
      </c>
      <c r="AG61" s="332" t="str">
        <f t="shared" si="8"/>
        <v>N</v>
      </c>
      <c r="AH61" s="332">
        <f t="shared" si="9"/>
        <v>0</v>
      </c>
      <c r="AI61" s="332">
        <f t="shared" si="10"/>
        <v>0</v>
      </c>
      <c r="AJ61" s="109">
        <f t="shared" si="11"/>
        <v>860987.44077562611</v>
      </c>
      <c r="AK61" s="109">
        <f t="shared" si="12"/>
        <v>0</v>
      </c>
      <c r="AL61" s="109">
        <v>0</v>
      </c>
      <c r="AM61" s="111">
        <f t="shared" si="13"/>
        <v>32.454545454545453</v>
      </c>
      <c r="AN61" s="111">
        <f t="shared" si="14"/>
        <v>29.454545454545453</v>
      </c>
      <c r="AO61" s="111" t="str">
        <f t="shared" si="15"/>
        <v>Use deduct 3yrs</v>
      </c>
      <c r="AP61" s="111">
        <f t="shared" si="16"/>
        <v>29.454545454545453</v>
      </c>
      <c r="AQ61" s="112">
        <f t="shared" si="17"/>
        <v>0.74654377880184331</v>
      </c>
      <c r="AR61" s="112">
        <f t="shared" si="18"/>
        <v>0.25345622119815669</v>
      </c>
      <c r="AS61" s="113">
        <f t="shared" si="19"/>
        <v>2057</v>
      </c>
      <c r="AT61" s="109">
        <v>860987.44077562611</v>
      </c>
      <c r="AU61" s="114">
        <v>0.25345622119815669</v>
      </c>
      <c r="AV61" s="113">
        <v>2057</v>
      </c>
      <c r="AW61" s="112">
        <f t="shared" si="20"/>
        <v>0.89123968049018498</v>
      </c>
      <c r="AX61" s="109">
        <f t="shared" si="21"/>
        <v>218222.62323806193</v>
      </c>
      <c r="AY61" s="109">
        <f t="shared" si="22"/>
        <v>642764.8175375642</v>
      </c>
      <c r="AZ61" s="109">
        <f t="shared" si="23"/>
        <v>860987.44077562611</v>
      </c>
      <c r="BA61" s="111">
        <f t="shared" si="24"/>
        <v>0</v>
      </c>
      <c r="BB61" s="117"/>
      <c r="BC61" s="115" t="str">
        <f t="shared" si="25"/>
        <v>N</v>
      </c>
      <c r="BD61" s="115" t="str">
        <f t="shared" si="26"/>
        <v>N</v>
      </c>
      <c r="BE61" s="115" t="str">
        <f t="shared" si="27"/>
        <v>N</v>
      </c>
      <c r="BF61" s="109" t="str">
        <f t="shared" si="28"/>
        <v/>
      </c>
      <c r="BG61" s="111" t="s">
        <v>2499</v>
      </c>
      <c r="BH61" s="115" t="s">
        <v>1168</v>
      </c>
      <c r="BI61" s="116"/>
      <c r="BJ61" s="222">
        <v>0.89123968049018498</v>
      </c>
      <c r="BK61" s="265">
        <f t="shared" si="29"/>
        <v>0</v>
      </c>
      <c r="BL61" s="265">
        <f t="shared" si="30"/>
        <v>0</v>
      </c>
      <c r="BM61" s="265">
        <f t="shared" si="31"/>
        <v>0</v>
      </c>
      <c r="BN61" s="265">
        <f t="shared" si="32"/>
        <v>-9833.4448441077839</v>
      </c>
      <c r="BO61" s="109"/>
      <c r="BP61" s="265">
        <f t="shared" si="33"/>
        <v>23719.343860524707</v>
      </c>
      <c r="BQ61" s="265">
        <v>23719.343860524707</v>
      </c>
      <c r="BR61" s="265" t="e">
        <f t="shared" si="34"/>
        <v>#REF!</v>
      </c>
      <c r="BS61" s="265">
        <v>2672.203164645061</v>
      </c>
      <c r="BT61" s="475">
        <v>105068.55922437385</v>
      </c>
      <c r="BU61" s="475">
        <v>218222.62323806193</v>
      </c>
      <c r="BV61" s="475">
        <v>642764.8175375642</v>
      </c>
      <c r="BW61" s="483">
        <f t="shared" si="35"/>
        <v>0</v>
      </c>
      <c r="BX61" s="483">
        <f t="shared" si="36"/>
        <v>0</v>
      </c>
    </row>
    <row r="62" spans="1:77" s="103" customFormat="1" ht="43.5">
      <c r="A62" s="100" t="s">
        <v>2502</v>
      </c>
      <c r="B62" s="91" t="str">
        <f t="shared" si="0"/>
        <v xml:space="preserve">CI </v>
      </c>
      <c r="C62" s="92" t="s">
        <v>463</v>
      </c>
      <c r="D62" s="448" t="s">
        <v>2269</v>
      </c>
      <c r="E62" s="449">
        <v>2130211</v>
      </c>
      <c r="F62" s="384" t="s">
        <v>958</v>
      </c>
      <c r="G62" s="467" t="s">
        <v>5010</v>
      </c>
      <c r="H62" s="398">
        <v>0.25</v>
      </c>
      <c r="I62" s="95" t="s">
        <v>957</v>
      </c>
      <c r="J62" s="95" t="s">
        <v>1166</v>
      </c>
      <c r="K62" s="191">
        <v>604348.06999999995</v>
      </c>
      <c r="L62" s="268">
        <v>0.22104664577439256</v>
      </c>
      <c r="M62" s="266">
        <v>1</v>
      </c>
      <c r="N62" s="267">
        <f t="shared" si="1"/>
        <v>0</v>
      </c>
      <c r="O62" s="96">
        <f t="shared" si="2"/>
        <v>570950.79156156804</v>
      </c>
      <c r="P62" s="96">
        <f t="shared" si="3"/>
        <v>33397.278438431946</v>
      </c>
      <c r="Q62" s="96">
        <f t="shared" si="4"/>
        <v>0</v>
      </c>
      <c r="R62" s="187" t="s">
        <v>2268</v>
      </c>
      <c r="S62" s="187" t="s">
        <v>3608</v>
      </c>
      <c r="T62" s="94" t="s">
        <v>2842</v>
      </c>
      <c r="U62" s="395">
        <f>COUNTIF(Aggregation_of_rev_to_allocate!$A$3:$A$137,$T62)</f>
        <v>1</v>
      </c>
      <c r="V62" s="100"/>
      <c r="W62" s="100">
        <v>19</v>
      </c>
      <c r="X62" s="109">
        <v>36986.542927575851</v>
      </c>
      <c r="Y62" s="109">
        <v>0</v>
      </c>
      <c r="Z62" s="110">
        <v>0.24480291913615843</v>
      </c>
      <c r="AA62" s="110">
        <v>1</v>
      </c>
      <c r="AB62" s="110">
        <v>0</v>
      </c>
      <c r="AC62" s="109">
        <f>IF(ISERROR((X62*SUMIF('Rev_for_allocation(Hard)'!$A$3:$A$249,$T62,'Rev_for_allocation(Hard)'!$I$3:$I$249)/SUMIF(Historic_capex_list!$T$9:$T$586,$T62,Historic_capex_list!$X$9:$X$586))=TRUE),0,X62*SUMIF('Rev_for_allocation(Hard)'!$A$3:$A$249,$T62,'Rev_for_allocation(Hard)'!$I$3:$I$249)/SUMIF(Historic_capex_list!$T$9:$T$586,$T62,Historic_capex_list!$X$9:$X$586))</f>
        <v>-2852.166719116648</v>
      </c>
      <c r="AD62" s="109">
        <f t="shared" si="5"/>
        <v>34134.376208459202</v>
      </c>
      <c r="AE62" s="109">
        <f t="shared" si="6"/>
        <v>34134.376208459202</v>
      </c>
      <c r="AF62" s="109">
        <f t="shared" si="7"/>
        <v>34134.376208459202</v>
      </c>
      <c r="AG62" s="332" t="str">
        <f t="shared" si="8"/>
        <v>N</v>
      </c>
      <c r="AH62" s="332">
        <f t="shared" si="9"/>
        <v>0</v>
      </c>
      <c r="AI62" s="332">
        <f t="shared" si="10"/>
        <v>0</v>
      </c>
      <c r="AJ62" s="109">
        <f t="shared" si="11"/>
        <v>34134.376208459202</v>
      </c>
      <c r="AK62" s="109">
        <f t="shared" si="12"/>
        <v>0</v>
      </c>
      <c r="AL62" s="109">
        <v>0</v>
      </c>
      <c r="AM62" s="111">
        <f t="shared" si="13"/>
        <v>0</v>
      </c>
      <c r="AN62" s="111">
        <f t="shared" si="14"/>
        <v>0</v>
      </c>
      <c r="AO62" s="111" t="str">
        <f t="shared" si="15"/>
        <v>Use deduct 3yrs</v>
      </c>
      <c r="AP62" s="111">
        <f t="shared" si="16"/>
        <v>0</v>
      </c>
      <c r="AQ62" s="112">
        <f t="shared" si="17"/>
        <v>0</v>
      </c>
      <c r="AR62" s="112">
        <f t="shared" si="18"/>
        <v>1</v>
      </c>
      <c r="AS62" s="113">
        <f t="shared" si="19"/>
        <v>2028</v>
      </c>
      <c r="AT62" s="109">
        <v>33397.278438431946</v>
      </c>
      <c r="AU62" s="114">
        <v>1</v>
      </c>
      <c r="AV62" s="113">
        <v>2028</v>
      </c>
      <c r="AW62" s="112">
        <f t="shared" si="20"/>
        <v>0.22104664577439256</v>
      </c>
      <c r="AX62" s="109">
        <f t="shared" si="21"/>
        <v>33397.278438431946</v>
      </c>
      <c r="AY62" s="109">
        <f t="shared" si="22"/>
        <v>0</v>
      </c>
      <c r="AZ62" s="109">
        <f t="shared" si="23"/>
        <v>33397.278438431946</v>
      </c>
      <c r="BA62" s="111">
        <f t="shared" si="24"/>
        <v>0</v>
      </c>
      <c r="BB62" s="117"/>
      <c r="BC62" s="115" t="str">
        <f t="shared" si="25"/>
        <v>N</v>
      </c>
      <c r="BD62" s="115" t="str">
        <f t="shared" si="26"/>
        <v>Y</v>
      </c>
      <c r="BE62" s="115" t="str">
        <f t="shared" si="27"/>
        <v>N</v>
      </c>
      <c r="BF62" s="109" t="str">
        <f t="shared" si="28"/>
        <v/>
      </c>
      <c r="BG62" s="111" t="s">
        <v>2499</v>
      </c>
      <c r="BH62" s="115" t="s">
        <v>1168</v>
      </c>
      <c r="BI62" s="116"/>
      <c r="BJ62" s="222">
        <v>0.22104664577439256</v>
      </c>
      <c r="BK62" s="265">
        <f t="shared" si="29"/>
        <v>0</v>
      </c>
      <c r="BL62" s="265">
        <f t="shared" si="30"/>
        <v>0</v>
      </c>
      <c r="BM62" s="265">
        <f t="shared" si="31"/>
        <v>-3.637978807091713E-11</v>
      </c>
      <c r="BN62" s="265">
        <f t="shared" si="32"/>
        <v>3589.2644891439049</v>
      </c>
      <c r="BO62" s="109"/>
      <c r="BP62" s="265">
        <f t="shared" si="33"/>
        <v>3589.2644891439049</v>
      </c>
      <c r="BQ62" s="265">
        <v>3589.2644891439049</v>
      </c>
      <c r="BR62" s="265" t="e">
        <f t="shared" si="34"/>
        <v>#REF!</v>
      </c>
      <c r="BS62" s="265">
        <v>404.36379619256081</v>
      </c>
      <c r="BT62" s="475">
        <v>570950.79156156804</v>
      </c>
      <c r="BU62" s="475">
        <v>33397.278438431946</v>
      </c>
      <c r="BV62" s="475">
        <v>0</v>
      </c>
      <c r="BW62" s="483">
        <f t="shared" si="35"/>
        <v>0</v>
      </c>
      <c r="BX62" s="483">
        <f t="shared" si="36"/>
        <v>0</v>
      </c>
    </row>
    <row r="63" spans="1:77" s="103" customFormat="1" ht="58">
      <c r="A63" s="100" t="s">
        <v>2503</v>
      </c>
      <c r="B63" s="91" t="str">
        <f t="shared" si="0"/>
        <v xml:space="preserve">CI </v>
      </c>
      <c r="C63" s="92"/>
      <c r="D63" s="448"/>
      <c r="E63" s="450">
        <v>2010165</v>
      </c>
      <c r="F63" s="384" t="s">
        <v>5037</v>
      </c>
      <c r="G63" s="467" t="s">
        <v>5036</v>
      </c>
      <c r="H63" s="499">
        <v>0.67</v>
      </c>
      <c r="I63" s="95"/>
      <c r="J63" s="95" t="s">
        <v>1166</v>
      </c>
      <c r="K63" s="191">
        <v>4876011.58</v>
      </c>
      <c r="L63" s="268">
        <v>1</v>
      </c>
      <c r="M63" s="266">
        <v>1</v>
      </c>
      <c r="N63" s="267">
        <f t="shared" si="1"/>
        <v>0</v>
      </c>
      <c r="O63" s="96">
        <f t="shared" si="2"/>
        <v>1609083.8213999998</v>
      </c>
      <c r="P63" s="96">
        <f t="shared" si="3"/>
        <v>3266927.7586000003</v>
      </c>
      <c r="Q63" s="96">
        <f t="shared" si="4"/>
        <v>0</v>
      </c>
      <c r="R63" s="187" t="s">
        <v>2407</v>
      </c>
      <c r="S63" s="187" t="s">
        <v>3607</v>
      </c>
      <c r="T63" s="94" t="s">
        <v>2848</v>
      </c>
      <c r="U63" s="395">
        <f>COUNTIF(Aggregation_of_rev_to_allocate!$A$3:$A$137,$T63)</f>
        <v>1</v>
      </c>
      <c r="V63" s="100"/>
      <c r="W63" s="100">
        <v>736</v>
      </c>
      <c r="X63" s="109">
        <v>3315687.8744000001</v>
      </c>
      <c r="Y63" s="109">
        <v>0</v>
      </c>
      <c r="Z63" s="110">
        <v>1</v>
      </c>
      <c r="AA63" s="110">
        <v>1</v>
      </c>
      <c r="AB63" s="110">
        <v>0</v>
      </c>
      <c r="AC63" s="109">
        <f>IF(ISERROR((X63*SUMIF('Rev_for_allocation(Hard)'!$A$3:$A$249,$T63,'Rev_for_allocation(Hard)'!$I$3:$I$249)/SUMIF(Historic_capex_list!$T$9:$T$586,$T63,Historic_capex_list!$X$9:$X$586))=TRUE),0,X63*SUMIF('Rev_for_allocation(Hard)'!$A$3:$A$249,$T63,'Rev_for_allocation(Hard)'!$I$3:$I$249)/SUMIF(Historic_capex_list!$T$9:$T$586,$T63,Historic_capex_list!$X$9:$X$586))</f>
        <v>0</v>
      </c>
      <c r="AD63" s="109">
        <f t="shared" si="5"/>
        <v>3315687.8744000001</v>
      </c>
      <c r="AE63" s="109">
        <f t="shared" si="6"/>
        <v>3315687.8744000001</v>
      </c>
      <c r="AF63" s="109">
        <f t="shared" si="7"/>
        <v>3315687.8744000001</v>
      </c>
      <c r="AG63" s="332" t="str">
        <f t="shared" si="8"/>
        <v>N</v>
      </c>
      <c r="AH63" s="332">
        <f t="shared" si="9"/>
        <v>0</v>
      </c>
      <c r="AI63" s="332">
        <f t="shared" si="10"/>
        <v>0</v>
      </c>
      <c r="AJ63" s="109">
        <f t="shared" si="11"/>
        <v>3315687.8744000001</v>
      </c>
      <c r="AK63" s="109">
        <f t="shared" si="12"/>
        <v>0</v>
      </c>
      <c r="AL63" s="109">
        <v>0</v>
      </c>
      <c r="AM63" s="111">
        <f t="shared" si="13"/>
        <v>0</v>
      </c>
      <c r="AN63" s="111">
        <f t="shared" si="14"/>
        <v>0</v>
      </c>
      <c r="AO63" s="111" t="str">
        <f t="shared" si="15"/>
        <v>Use deduct 3yrs</v>
      </c>
      <c r="AP63" s="111">
        <f t="shared" si="16"/>
        <v>0</v>
      </c>
      <c r="AQ63" s="112">
        <f t="shared" si="17"/>
        <v>0</v>
      </c>
      <c r="AR63" s="112">
        <f t="shared" si="18"/>
        <v>1</v>
      </c>
      <c r="AS63" s="113">
        <f t="shared" si="19"/>
        <v>2028</v>
      </c>
      <c r="AT63" s="109">
        <v>3315687.8744000001</v>
      </c>
      <c r="AU63" s="114">
        <v>1</v>
      </c>
      <c r="AV63" s="113">
        <v>2028</v>
      </c>
      <c r="AW63" s="112">
        <f t="shared" si="20"/>
        <v>1.0149253731343284</v>
      </c>
      <c r="AX63" s="109">
        <f t="shared" si="21"/>
        <v>3315687.8744000006</v>
      </c>
      <c r="AY63" s="109">
        <f t="shared" si="22"/>
        <v>0</v>
      </c>
      <c r="AZ63" s="109">
        <f t="shared" si="23"/>
        <v>3315687.8744000006</v>
      </c>
      <c r="BA63" s="111">
        <f t="shared" si="24"/>
        <v>0</v>
      </c>
      <c r="BB63" s="117"/>
      <c r="BC63" s="115" t="str">
        <f t="shared" si="25"/>
        <v>N</v>
      </c>
      <c r="BD63" s="115" t="str">
        <f t="shared" si="26"/>
        <v>Y</v>
      </c>
      <c r="BE63" s="115" t="str">
        <f t="shared" si="27"/>
        <v>N</v>
      </c>
      <c r="BF63" s="109" t="str">
        <f t="shared" si="28"/>
        <v/>
      </c>
      <c r="BG63" s="111" t="s">
        <v>2499</v>
      </c>
      <c r="BH63" s="115" t="s">
        <v>1168</v>
      </c>
      <c r="BI63" s="116"/>
      <c r="BJ63" s="222">
        <v>1</v>
      </c>
      <c r="BK63" s="265">
        <f t="shared" si="29"/>
        <v>0</v>
      </c>
      <c r="BL63" s="265">
        <f t="shared" si="30"/>
        <v>0</v>
      </c>
      <c r="BM63" s="265">
        <f t="shared" si="31"/>
        <v>0</v>
      </c>
      <c r="BN63" s="265">
        <f t="shared" si="32"/>
        <v>48760.115799999796</v>
      </c>
      <c r="BO63" s="109"/>
      <c r="BP63" s="265">
        <f t="shared" si="33"/>
        <v>0</v>
      </c>
      <c r="BQ63" s="265">
        <v>0</v>
      </c>
      <c r="BR63" s="265" t="e">
        <f t="shared" si="34"/>
        <v>#REF!</v>
      </c>
      <c r="BS63" s="265">
        <v>0</v>
      </c>
      <c r="BT63" s="475">
        <v>1560323.7055999998</v>
      </c>
      <c r="BU63" s="475">
        <v>3315687.8744000001</v>
      </c>
      <c r="BV63" s="475">
        <v>0</v>
      </c>
      <c r="BW63" s="483">
        <f t="shared" si="35"/>
        <v>-48760.115799999796</v>
      </c>
      <c r="BX63" s="483">
        <f t="shared" si="36"/>
        <v>0</v>
      </c>
    </row>
    <row r="64" spans="1:77" s="103" customFormat="1" ht="58">
      <c r="A64" s="100" t="s">
        <v>2503</v>
      </c>
      <c r="B64" s="91" t="str">
        <f t="shared" si="0"/>
        <v xml:space="preserve">CI </v>
      </c>
      <c r="C64" s="92" t="s">
        <v>3626</v>
      </c>
      <c r="D64" s="448"/>
      <c r="E64" s="454">
        <v>2010165</v>
      </c>
      <c r="F64" s="384" t="s">
        <v>5037</v>
      </c>
      <c r="G64" s="467" t="s">
        <v>5036</v>
      </c>
      <c r="H64" s="499">
        <v>0.67</v>
      </c>
      <c r="I64" s="95"/>
      <c r="J64" s="95" t="s">
        <v>1166</v>
      </c>
      <c r="K64" s="191">
        <v>18803426.180000003</v>
      </c>
      <c r="L64" s="268">
        <v>1</v>
      </c>
      <c r="M64" s="266">
        <v>1</v>
      </c>
      <c r="N64" s="267">
        <f t="shared" si="1"/>
        <v>0</v>
      </c>
      <c r="O64" s="96">
        <f t="shared" si="2"/>
        <v>6205130.6394000007</v>
      </c>
      <c r="P64" s="96">
        <f t="shared" si="3"/>
        <v>12598295.540600004</v>
      </c>
      <c r="Q64" s="96">
        <f t="shared" si="4"/>
        <v>0</v>
      </c>
      <c r="R64" s="187" t="s">
        <v>2407</v>
      </c>
      <c r="S64" s="187" t="s">
        <v>3607</v>
      </c>
      <c r="T64" s="94" t="s">
        <v>2848</v>
      </c>
      <c r="U64" s="395">
        <f>COUNTIF(Aggregation_of_rev_to_allocate!$A$3:$A$137,$T64)</f>
        <v>1</v>
      </c>
      <c r="V64" s="100"/>
      <c r="W64" s="100"/>
      <c r="X64" s="109">
        <v>12786329.802400004</v>
      </c>
      <c r="Y64" s="109">
        <v>0</v>
      </c>
      <c r="Z64" s="110">
        <v>1</v>
      </c>
      <c r="AA64" s="110">
        <v>1</v>
      </c>
      <c r="AB64" s="110">
        <v>0</v>
      </c>
      <c r="AC64" s="109">
        <f>IF(ISERROR((X64*SUMIF('Rev_for_allocation(Hard)'!$A$3:$A$249,$T64,'Rev_for_allocation(Hard)'!$I$3:$I$249)/SUMIF(Historic_capex_list!$T$9:$T$586,$T64,Historic_capex_list!$X$9:$X$586))=TRUE),0,X64*SUMIF('Rev_for_allocation(Hard)'!$A$3:$A$249,$T64,'Rev_for_allocation(Hard)'!$I$3:$I$249)/SUMIF(Historic_capex_list!$T$9:$T$586,$T64,Historic_capex_list!$X$9:$X$586))</f>
        <v>0</v>
      </c>
      <c r="AD64" s="109">
        <f t="shared" si="5"/>
        <v>12786329.802400004</v>
      </c>
      <c r="AE64" s="109">
        <f t="shared" si="6"/>
        <v>12786329.802400004</v>
      </c>
      <c r="AF64" s="109">
        <f t="shared" si="7"/>
        <v>12786329.802400004</v>
      </c>
      <c r="AG64" s="332" t="str">
        <f t="shared" si="8"/>
        <v>N</v>
      </c>
      <c r="AH64" s="332">
        <f t="shared" si="9"/>
        <v>0</v>
      </c>
      <c r="AI64" s="332">
        <f t="shared" si="10"/>
        <v>0</v>
      </c>
      <c r="AJ64" s="109">
        <f t="shared" si="11"/>
        <v>12786329.802400004</v>
      </c>
      <c r="AK64" s="109">
        <f t="shared" si="12"/>
        <v>0</v>
      </c>
      <c r="AL64" s="109">
        <v>0</v>
      </c>
      <c r="AM64" s="111">
        <f t="shared" si="13"/>
        <v>0</v>
      </c>
      <c r="AN64" s="111">
        <f t="shared" si="14"/>
        <v>0</v>
      </c>
      <c r="AO64" s="111" t="str">
        <f t="shared" si="15"/>
        <v>Use deduct 3yrs</v>
      </c>
      <c r="AP64" s="111">
        <f t="shared" si="16"/>
        <v>0</v>
      </c>
      <c r="AQ64" s="112">
        <f t="shared" si="17"/>
        <v>0</v>
      </c>
      <c r="AR64" s="112">
        <f t="shared" si="18"/>
        <v>1</v>
      </c>
      <c r="AS64" s="113">
        <f t="shared" si="19"/>
        <v>2028</v>
      </c>
      <c r="AT64" s="109">
        <v>12786329.802400004</v>
      </c>
      <c r="AU64" s="114">
        <v>1</v>
      </c>
      <c r="AV64" s="113">
        <v>2028</v>
      </c>
      <c r="AW64" s="112">
        <f t="shared" si="20"/>
        <v>1.0149253731343284</v>
      </c>
      <c r="AX64" s="109">
        <f t="shared" si="21"/>
        <v>12786329.802400004</v>
      </c>
      <c r="AY64" s="109">
        <f t="shared" si="22"/>
        <v>0</v>
      </c>
      <c r="AZ64" s="109">
        <f t="shared" si="23"/>
        <v>12786329.802400004</v>
      </c>
      <c r="BA64" s="111">
        <f t="shared" si="24"/>
        <v>0</v>
      </c>
      <c r="BB64" s="117"/>
      <c r="BC64" s="115" t="str">
        <f t="shared" si="25"/>
        <v>N</v>
      </c>
      <c r="BD64" s="115" t="str">
        <f t="shared" si="26"/>
        <v>Y</v>
      </c>
      <c r="BE64" s="115" t="str">
        <f t="shared" si="27"/>
        <v>N</v>
      </c>
      <c r="BF64" s="109" t="str">
        <f t="shared" si="28"/>
        <v/>
      </c>
      <c r="BG64" s="111" t="s">
        <v>2499</v>
      </c>
      <c r="BH64" s="115" t="s">
        <v>1168</v>
      </c>
      <c r="BI64" s="116"/>
      <c r="BJ64" s="222">
        <v>1</v>
      </c>
      <c r="BK64" s="265">
        <f t="shared" si="29"/>
        <v>0</v>
      </c>
      <c r="BL64" s="265">
        <f t="shared" si="30"/>
        <v>0</v>
      </c>
      <c r="BM64" s="265">
        <f t="shared" si="31"/>
        <v>-1.862645149230957E-9</v>
      </c>
      <c r="BN64" s="265">
        <f t="shared" si="32"/>
        <v>188034.26180000044</v>
      </c>
      <c r="BO64" s="109"/>
      <c r="BP64" s="265">
        <f t="shared" si="33"/>
        <v>0</v>
      </c>
      <c r="BQ64" s="265">
        <v>0</v>
      </c>
      <c r="BR64" s="265" t="e">
        <f t="shared" si="34"/>
        <v>#REF!</v>
      </c>
      <c r="BS64" s="265">
        <v>0</v>
      </c>
      <c r="BT64" s="475">
        <v>6017096.3776000002</v>
      </c>
      <c r="BU64" s="475">
        <v>12786329.802400004</v>
      </c>
      <c r="BV64" s="475">
        <v>0</v>
      </c>
      <c r="BW64" s="483">
        <f t="shared" si="35"/>
        <v>-188034.26180000044</v>
      </c>
      <c r="BX64" s="483">
        <f t="shared" si="36"/>
        <v>0</v>
      </c>
    </row>
    <row r="65" spans="1:76" s="103" customFormat="1" ht="29">
      <c r="A65" s="100" t="s">
        <v>2502</v>
      </c>
      <c r="B65" s="91" t="str">
        <f t="shared" si="0"/>
        <v xml:space="preserve">CI </v>
      </c>
      <c r="C65" s="92" t="s">
        <v>463</v>
      </c>
      <c r="D65" s="448" t="s">
        <v>2269</v>
      </c>
      <c r="E65" s="449" t="s">
        <v>2029</v>
      </c>
      <c r="F65" s="467" t="s">
        <v>4784</v>
      </c>
      <c r="G65" s="384" t="s">
        <v>4672</v>
      </c>
      <c r="H65" s="470">
        <v>0.74825478494623665</v>
      </c>
      <c r="I65" s="95" t="s">
        <v>962</v>
      </c>
      <c r="J65" s="95" t="s">
        <v>1166</v>
      </c>
      <c r="K65" s="469">
        <v>186000</v>
      </c>
      <c r="L65" s="471">
        <v>0.19417225990888182</v>
      </c>
      <c r="M65" s="266">
        <v>1</v>
      </c>
      <c r="N65" s="267">
        <f t="shared" si="1"/>
        <v>0</v>
      </c>
      <c r="O65" s="96">
        <f t="shared" si="2"/>
        <v>158976</v>
      </c>
      <c r="P65" s="96">
        <f t="shared" si="3"/>
        <v>27023.999999999993</v>
      </c>
      <c r="Q65" s="96">
        <f t="shared" si="4"/>
        <v>0</v>
      </c>
      <c r="R65" s="187" t="s">
        <v>2455</v>
      </c>
      <c r="S65" s="187" t="s">
        <v>3607</v>
      </c>
      <c r="T65" s="94" t="s">
        <v>2857</v>
      </c>
      <c r="U65" s="395">
        <f>COUNTIF(Aggregation_of_rev_to_allocate!$A$3:$A$137,$T65)</f>
        <v>1</v>
      </c>
      <c r="V65" s="100"/>
      <c r="W65" s="100">
        <v>86</v>
      </c>
      <c r="X65" s="109">
        <v>27023.5410257482</v>
      </c>
      <c r="Y65" s="109">
        <v>0</v>
      </c>
      <c r="Z65" s="110">
        <v>0.73705926864903448</v>
      </c>
      <c r="AA65" s="110">
        <v>1</v>
      </c>
      <c r="AB65" s="110">
        <v>0</v>
      </c>
      <c r="AC65" s="109">
        <f>IF(ISERROR((X65*SUMIF('Rev_for_allocation(Hard)'!$A$3:$A$249,$T65,'Rev_for_allocation(Hard)'!$I$3:$I$249)/SUMIF(Historic_capex_list!$T$9:$T$586,$T65,Historic_capex_list!$X$9:$X$586))=TRUE),0,X65*SUMIF('Rev_for_allocation(Hard)'!$A$3:$A$249,$T65,'Rev_for_allocation(Hard)'!$I$3:$I$249)/SUMIF(Historic_capex_list!$T$9:$T$586,$T65,Historic_capex_list!$X$9:$X$586))</f>
        <v>2.6625661184448538E-4</v>
      </c>
      <c r="AD65" s="109">
        <f t="shared" si="5"/>
        <v>27023.541292004811</v>
      </c>
      <c r="AE65" s="109">
        <f t="shared" si="6"/>
        <v>27023.541292004811</v>
      </c>
      <c r="AF65" s="109">
        <f t="shared" si="7"/>
        <v>27023.541292004811</v>
      </c>
      <c r="AG65" s="332" t="str">
        <f t="shared" si="8"/>
        <v>N</v>
      </c>
      <c r="AH65" s="332">
        <f t="shared" si="9"/>
        <v>0</v>
      </c>
      <c r="AI65" s="332">
        <f t="shared" si="10"/>
        <v>0</v>
      </c>
      <c r="AJ65" s="109">
        <f t="shared" si="11"/>
        <v>27023.541292004811</v>
      </c>
      <c r="AK65" s="109">
        <f t="shared" si="12"/>
        <v>0</v>
      </c>
      <c r="AL65" s="109">
        <v>0</v>
      </c>
      <c r="AM65" s="111">
        <f t="shared" si="13"/>
        <v>0</v>
      </c>
      <c r="AN65" s="111">
        <f t="shared" si="14"/>
        <v>0</v>
      </c>
      <c r="AO65" s="111" t="str">
        <f t="shared" si="15"/>
        <v>Use deduct 3yrs</v>
      </c>
      <c r="AP65" s="111">
        <f t="shared" si="16"/>
        <v>0</v>
      </c>
      <c r="AQ65" s="112">
        <f t="shared" si="17"/>
        <v>0</v>
      </c>
      <c r="AR65" s="112">
        <f t="shared" si="18"/>
        <v>1</v>
      </c>
      <c r="AS65" s="113">
        <f t="shared" si="19"/>
        <v>2028</v>
      </c>
      <c r="AT65" s="109">
        <v>27023.541339142997</v>
      </c>
      <c r="AU65" s="114">
        <v>1</v>
      </c>
      <c r="AV65" s="113">
        <v>2028</v>
      </c>
      <c r="AW65" s="112">
        <f t="shared" si="20"/>
        <v>0.19416896434881911</v>
      </c>
      <c r="AX65" s="109">
        <f t="shared" si="21"/>
        <v>27023.541339142997</v>
      </c>
      <c r="AY65" s="109">
        <f t="shared" si="22"/>
        <v>0</v>
      </c>
      <c r="AZ65" s="109">
        <f t="shared" si="23"/>
        <v>27023.541339142997</v>
      </c>
      <c r="BA65" s="111">
        <f t="shared" si="24"/>
        <v>0</v>
      </c>
      <c r="BB65" s="117"/>
      <c r="BC65" s="115" t="str">
        <f t="shared" si="25"/>
        <v>N</v>
      </c>
      <c r="BD65" s="115" t="str">
        <f t="shared" si="26"/>
        <v>Y</v>
      </c>
      <c r="BE65" s="115" t="str">
        <f t="shared" si="27"/>
        <v>N</v>
      </c>
      <c r="BF65" s="109" t="str">
        <f t="shared" si="28"/>
        <v/>
      </c>
      <c r="BG65" s="111" t="s">
        <v>2499</v>
      </c>
      <c r="BH65" s="115" t="s">
        <v>1168</v>
      </c>
      <c r="BI65" s="116"/>
      <c r="BJ65" s="222">
        <v>0.73705927719678699</v>
      </c>
      <c r="BK65" s="265">
        <f t="shared" si="29"/>
        <v>0</v>
      </c>
      <c r="BL65" s="265">
        <f t="shared" si="30"/>
        <v>0</v>
      </c>
      <c r="BM65" s="265">
        <f t="shared" si="31"/>
        <v>7.2759576141834259E-12</v>
      </c>
      <c r="BN65" s="265">
        <f t="shared" si="32"/>
        <v>-0.45897425179282436</v>
      </c>
      <c r="BO65" s="109"/>
      <c r="BP65" s="265">
        <f t="shared" si="33"/>
        <v>-3.1339479755843058E-4</v>
      </c>
      <c r="BQ65" s="265">
        <v>-3.1339479755843058E-4</v>
      </c>
      <c r="BR65" s="265" t="e">
        <f t="shared" si="34"/>
        <v>#REF!</v>
      </c>
      <c r="BS65" s="265">
        <v>-3.5306818550435682E-5</v>
      </c>
      <c r="BT65" s="475">
        <v>9640.4586608570025</v>
      </c>
      <c r="BU65" s="475">
        <v>27023.541339142997</v>
      </c>
      <c r="BV65" s="475">
        <v>0</v>
      </c>
      <c r="BW65" s="483">
        <f t="shared" si="35"/>
        <v>0.45866085699526593</v>
      </c>
      <c r="BX65" s="483">
        <f t="shared" si="36"/>
        <v>0</v>
      </c>
    </row>
    <row r="66" spans="1:76" s="103" customFormat="1" ht="58">
      <c r="A66" s="100" t="s">
        <v>2502</v>
      </c>
      <c r="B66" s="91" t="str">
        <f t="shared" si="0"/>
        <v xml:space="preserve">CI </v>
      </c>
      <c r="C66" s="92" t="s">
        <v>463</v>
      </c>
      <c r="D66" s="448" t="s">
        <v>2269</v>
      </c>
      <c r="E66" s="449" t="s">
        <v>2049</v>
      </c>
      <c r="F66" s="467" t="s">
        <v>4856</v>
      </c>
      <c r="G66" s="502" t="s">
        <v>5239</v>
      </c>
      <c r="H66" s="470">
        <v>0.74860000000000004</v>
      </c>
      <c r="I66" s="95" t="s">
        <v>962</v>
      </c>
      <c r="J66" s="95" t="s">
        <v>1166</v>
      </c>
      <c r="K66" s="469">
        <v>84002</v>
      </c>
      <c r="L66" s="471">
        <v>0.49284477234976487</v>
      </c>
      <c r="M66" s="266">
        <v>1</v>
      </c>
      <c r="N66" s="267">
        <f t="shared" si="1"/>
        <v>0</v>
      </c>
      <c r="O66" s="96">
        <f t="shared" si="2"/>
        <v>53009.999999999985</v>
      </c>
      <c r="P66" s="96">
        <f t="shared" si="3"/>
        <v>30992.000000000018</v>
      </c>
      <c r="Q66" s="96">
        <f t="shared" si="4"/>
        <v>0</v>
      </c>
      <c r="R66" s="187" t="s">
        <v>2455</v>
      </c>
      <c r="S66" s="187" t="s">
        <v>3607</v>
      </c>
      <c r="T66" s="94" t="s">
        <v>2857</v>
      </c>
      <c r="U66" s="395">
        <f>COUNTIF(Aggregation_of_rev_to_allocate!$A$3:$A$137,$T66)</f>
        <v>1</v>
      </c>
      <c r="V66" s="100"/>
      <c r="W66" s="100">
        <v>99</v>
      </c>
      <c r="X66" s="109">
        <v>30992.049562637654</v>
      </c>
      <c r="Y66" s="109">
        <v>0</v>
      </c>
      <c r="Z66" s="110">
        <v>0.44509621661119708</v>
      </c>
      <c r="AA66" s="110">
        <v>1</v>
      </c>
      <c r="AB66" s="110">
        <v>0</v>
      </c>
      <c r="AC66" s="109">
        <f>IF(ISERROR((X66*SUMIF('Rev_for_allocation(Hard)'!$A$3:$A$249,$T66,'Rev_for_allocation(Hard)'!$I$3:$I$249)/SUMIF(Historic_capex_list!$T$9:$T$586,$T66,Historic_capex_list!$X$9:$X$586))=TRUE),0,X66*SUMIF('Rev_for_allocation(Hard)'!$A$3:$A$249,$T66,'Rev_for_allocation(Hard)'!$I$3:$I$249)/SUMIF(Historic_capex_list!$T$9:$T$586,$T66,Historic_capex_list!$X$9:$X$586))</f>
        <v>3.0535739571664069E-4</v>
      </c>
      <c r="AD66" s="109">
        <f t="shared" si="5"/>
        <v>30992.049867995051</v>
      </c>
      <c r="AE66" s="109">
        <f t="shared" si="6"/>
        <v>30992.049867995051</v>
      </c>
      <c r="AF66" s="109">
        <f t="shared" si="7"/>
        <v>30992.049867995051</v>
      </c>
      <c r="AG66" s="332" t="str">
        <f t="shared" si="8"/>
        <v>N</v>
      </c>
      <c r="AH66" s="332">
        <f t="shared" si="9"/>
        <v>0</v>
      </c>
      <c r="AI66" s="332">
        <f t="shared" si="10"/>
        <v>0</v>
      </c>
      <c r="AJ66" s="109">
        <f t="shared" si="11"/>
        <v>30992.049867995051</v>
      </c>
      <c r="AK66" s="109">
        <f t="shared" si="12"/>
        <v>0</v>
      </c>
      <c r="AL66" s="109">
        <v>0</v>
      </c>
      <c r="AM66" s="111">
        <f t="shared" si="13"/>
        <v>0</v>
      </c>
      <c r="AN66" s="111">
        <f t="shared" si="14"/>
        <v>0</v>
      </c>
      <c r="AO66" s="111" t="str">
        <f t="shared" si="15"/>
        <v>Use deduct 3yrs</v>
      </c>
      <c r="AP66" s="111">
        <f t="shared" si="16"/>
        <v>0</v>
      </c>
      <c r="AQ66" s="112">
        <f t="shared" si="17"/>
        <v>0</v>
      </c>
      <c r="AR66" s="112">
        <f t="shared" si="18"/>
        <v>1</v>
      </c>
      <c r="AS66" s="113">
        <f t="shared" si="19"/>
        <v>2028</v>
      </c>
      <c r="AT66" s="109">
        <v>30992.049922055656</v>
      </c>
      <c r="AU66" s="114">
        <v>1</v>
      </c>
      <c r="AV66" s="113">
        <v>2028</v>
      </c>
      <c r="AW66" s="112">
        <f t="shared" si="20"/>
        <v>0.49284556622638287</v>
      </c>
      <c r="AX66" s="109">
        <f t="shared" si="21"/>
        <v>30992.049922055656</v>
      </c>
      <c r="AY66" s="109">
        <f t="shared" si="22"/>
        <v>0</v>
      </c>
      <c r="AZ66" s="109">
        <f t="shared" si="23"/>
        <v>30992.049922055656</v>
      </c>
      <c r="BA66" s="111">
        <f t="shared" si="24"/>
        <v>0</v>
      </c>
      <c r="BB66" s="117"/>
      <c r="BC66" s="115" t="str">
        <f t="shared" si="25"/>
        <v>N</v>
      </c>
      <c r="BD66" s="115" t="str">
        <f t="shared" si="26"/>
        <v>Y</v>
      </c>
      <c r="BE66" s="115" t="str">
        <f t="shared" si="27"/>
        <v>N</v>
      </c>
      <c r="BF66" s="109" t="str">
        <f t="shared" si="28"/>
        <v/>
      </c>
      <c r="BG66" s="111" t="s">
        <v>2499</v>
      </c>
      <c r="BH66" s="115" t="s">
        <v>1168</v>
      </c>
      <c r="BI66" s="116"/>
      <c r="BJ66" s="222">
        <v>0.44509622177302394</v>
      </c>
      <c r="BK66" s="265">
        <f t="shared" si="29"/>
        <v>0</v>
      </c>
      <c r="BL66" s="265">
        <f t="shared" si="30"/>
        <v>0</v>
      </c>
      <c r="BM66" s="265">
        <f t="shared" si="31"/>
        <v>-3.637978807091713E-12</v>
      </c>
      <c r="BN66" s="265">
        <f t="shared" si="32"/>
        <v>4.9562637635972351E-2</v>
      </c>
      <c r="BO66" s="109"/>
      <c r="BP66" s="265">
        <f t="shared" si="33"/>
        <v>-3.5941800160799176E-4</v>
      </c>
      <c r="BQ66" s="265">
        <v>-3.5941800160799176E-4</v>
      </c>
      <c r="BR66" s="265" t="e">
        <f t="shared" si="34"/>
        <v>#REF!</v>
      </c>
      <c r="BS66" s="265">
        <v>-4.0491757570313877E-5</v>
      </c>
      <c r="BT66" s="475">
        <v>38637.950077944348</v>
      </c>
      <c r="BU66" s="475">
        <v>30992.049922055656</v>
      </c>
      <c r="BV66" s="475">
        <v>0</v>
      </c>
      <c r="BW66" s="483">
        <f t="shared" si="35"/>
        <v>-4.9922055637580343E-2</v>
      </c>
      <c r="BX66" s="483">
        <f t="shared" si="36"/>
        <v>0</v>
      </c>
    </row>
    <row r="67" spans="1:76" s="103" customFormat="1" ht="29">
      <c r="A67" s="100" t="s">
        <v>2502</v>
      </c>
      <c r="B67" s="91" t="str">
        <f t="shared" si="0"/>
        <v xml:space="preserve">CI </v>
      </c>
      <c r="C67" s="92"/>
      <c r="D67" s="448" t="s">
        <v>2269</v>
      </c>
      <c r="E67" s="449">
        <v>2130131</v>
      </c>
      <c r="F67" s="467" t="s">
        <v>2927</v>
      </c>
      <c r="G67" s="467" t="s">
        <v>5026</v>
      </c>
      <c r="H67" s="398">
        <v>1</v>
      </c>
      <c r="I67" s="95" t="s">
        <v>890</v>
      </c>
      <c r="J67" s="95" t="s">
        <v>1166</v>
      </c>
      <c r="K67" s="191">
        <v>8481632.790000001</v>
      </c>
      <c r="L67" s="268">
        <v>0.90458839736465435</v>
      </c>
      <c r="M67" s="266">
        <v>1</v>
      </c>
      <c r="N67" s="267">
        <f t="shared" si="1"/>
        <v>0</v>
      </c>
      <c r="O67" s="96">
        <f t="shared" si="2"/>
        <v>809246.17745839816</v>
      </c>
      <c r="P67" s="96">
        <f t="shared" si="3"/>
        <v>7672386.6125416029</v>
      </c>
      <c r="Q67" s="96">
        <f t="shared" si="4"/>
        <v>0</v>
      </c>
      <c r="R67" s="187" t="s">
        <v>2457</v>
      </c>
      <c r="S67" s="187" t="s">
        <v>3607</v>
      </c>
      <c r="T67" s="94" t="s">
        <v>2859</v>
      </c>
      <c r="U67" s="395">
        <f>COUNTIF(Aggregation_of_rev_to_allocate!$A$3:$A$137,$T67)</f>
        <v>1</v>
      </c>
      <c r="V67" s="100"/>
      <c r="W67" s="100">
        <v>143</v>
      </c>
      <c r="X67" s="109">
        <v>7672386.5552062988</v>
      </c>
      <c r="Y67" s="109">
        <v>0</v>
      </c>
      <c r="Z67" s="110">
        <v>0.9045883906047173</v>
      </c>
      <c r="AA67" s="110">
        <v>1</v>
      </c>
      <c r="AB67" s="110">
        <v>0</v>
      </c>
      <c r="AC67" s="109">
        <f>IF(ISERROR((X67*SUMIF('Rev_for_allocation(Hard)'!$A$3:$A$249,$T67,'Rev_for_allocation(Hard)'!$I$3:$I$249)/SUMIF(Historic_capex_list!$T$9:$T$586,$T67,Historic_capex_list!$X$9:$X$586))=TRUE),0,X67*SUMIF('Rev_for_allocation(Hard)'!$A$3:$A$249,$T67,'Rev_for_allocation(Hard)'!$I$3:$I$249)/SUMIF(Historic_capex_list!$T$9:$T$586,$T67,Historic_capex_list!$X$9:$X$586))</f>
        <v>5.7335303801002872E-2</v>
      </c>
      <c r="AD67" s="109">
        <f t="shared" si="5"/>
        <v>7672386.6125416029</v>
      </c>
      <c r="AE67" s="109">
        <f t="shared" si="6"/>
        <v>7672386.6125416029</v>
      </c>
      <c r="AF67" s="109">
        <f t="shared" si="7"/>
        <v>7672386.6125416029</v>
      </c>
      <c r="AG67" s="332" t="str">
        <f t="shared" si="8"/>
        <v>N</v>
      </c>
      <c r="AH67" s="332">
        <f t="shared" si="9"/>
        <v>0</v>
      </c>
      <c r="AI67" s="332">
        <f t="shared" si="10"/>
        <v>0</v>
      </c>
      <c r="AJ67" s="109">
        <f t="shared" si="11"/>
        <v>7672386.6125416029</v>
      </c>
      <c r="AK67" s="109">
        <f t="shared" si="12"/>
        <v>0</v>
      </c>
      <c r="AL67" s="109">
        <v>0</v>
      </c>
      <c r="AM67" s="111">
        <f t="shared" si="13"/>
        <v>0</v>
      </c>
      <c r="AN67" s="111">
        <f t="shared" si="14"/>
        <v>0</v>
      </c>
      <c r="AO67" s="111" t="str">
        <f t="shared" si="15"/>
        <v>Use deduct 3yrs</v>
      </c>
      <c r="AP67" s="111">
        <f t="shared" si="16"/>
        <v>0</v>
      </c>
      <c r="AQ67" s="112">
        <f t="shared" si="17"/>
        <v>0</v>
      </c>
      <c r="AR67" s="112">
        <f t="shared" si="18"/>
        <v>1</v>
      </c>
      <c r="AS67" s="113">
        <f t="shared" si="19"/>
        <v>2028</v>
      </c>
      <c r="AT67" s="109">
        <v>7672386.6125416029</v>
      </c>
      <c r="AU67" s="114">
        <v>1</v>
      </c>
      <c r="AV67" s="113">
        <v>2028</v>
      </c>
      <c r="AW67" s="112">
        <f t="shared" si="20"/>
        <v>0.90458839736465435</v>
      </c>
      <c r="AX67" s="109">
        <f t="shared" si="21"/>
        <v>7672386.6125416029</v>
      </c>
      <c r="AY67" s="109">
        <f t="shared" si="22"/>
        <v>0</v>
      </c>
      <c r="AZ67" s="109">
        <f t="shared" si="23"/>
        <v>7672386.6125416029</v>
      </c>
      <c r="BA67" s="111">
        <f t="shared" si="24"/>
        <v>0</v>
      </c>
      <c r="BB67" s="117"/>
      <c r="BC67" s="115" t="str">
        <f t="shared" si="25"/>
        <v>N</v>
      </c>
      <c r="BD67" s="115" t="str">
        <f t="shared" si="26"/>
        <v>Y</v>
      </c>
      <c r="BE67" s="115" t="str">
        <f t="shared" si="27"/>
        <v>N</v>
      </c>
      <c r="BF67" s="109" t="str">
        <f t="shared" si="28"/>
        <v/>
      </c>
      <c r="BG67" s="111" t="s">
        <v>2499</v>
      </c>
      <c r="BH67" s="115" t="s">
        <v>1168</v>
      </c>
      <c r="BI67" s="116"/>
      <c r="BJ67" s="222">
        <v>0.90458839736465435</v>
      </c>
      <c r="BK67" s="265">
        <f t="shared" si="29"/>
        <v>0</v>
      </c>
      <c r="BL67" s="265">
        <f t="shared" si="30"/>
        <v>0</v>
      </c>
      <c r="BM67" s="265">
        <f t="shared" si="31"/>
        <v>0</v>
      </c>
      <c r="BN67" s="265">
        <f t="shared" si="32"/>
        <v>-5.7335304096341133E-2</v>
      </c>
      <c r="BO67" s="109"/>
      <c r="BP67" s="265">
        <f t="shared" si="33"/>
        <v>-5.7335304096341133E-2</v>
      </c>
      <c r="BQ67" s="265">
        <v>-5.7335304096341133E-2</v>
      </c>
      <c r="BR67" s="265" t="e">
        <f t="shared" si="34"/>
        <v>#REF!</v>
      </c>
      <c r="BS67" s="265">
        <v>-6.4593515719932925E-3</v>
      </c>
      <c r="BT67" s="475">
        <v>809246.17745839816</v>
      </c>
      <c r="BU67" s="475">
        <v>7672386.6125416029</v>
      </c>
      <c r="BV67" s="475">
        <v>0</v>
      </c>
      <c r="BW67" s="483">
        <f t="shared" si="35"/>
        <v>0</v>
      </c>
      <c r="BX67" s="483">
        <f t="shared" si="36"/>
        <v>0</v>
      </c>
    </row>
    <row r="68" spans="1:76" s="103" customFormat="1" ht="29">
      <c r="A68" s="100" t="s">
        <v>2502</v>
      </c>
      <c r="B68" s="91" t="str">
        <f t="shared" si="0"/>
        <v xml:space="preserve">CI </v>
      </c>
      <c r="C68" s="92" t="s">
        <v>3626</v>
      </c>
      <c r="D68" s="448" t="s">
        <v>2269</v>
      </c>
      <c r="E68" s="449">
        <v>2130131</v>
      </c>
      <c r="F68" s="467" t="s">
        <v>2927</v>
      </c>
      <c r="G68" s="467" t="s">
        <v>5026</v>
      </c>
      <c r="H68" s="398">
        <v>1</v>
      </c>
      <c r="I68" s="95" t="s">
        <v>890</v>
      </c>
      <c r="J68" s="95" t="s">
        <v>1166</v>
      </c>
      <c r="K68" s="191">
        <v>466705.56000000006</v>
      </c>
      <c r="L68" s="268">
        <v>0.90458839736465435</v>
      </c>
      <c r="M68" s="266">
        <v>1</v>
      </c>
      <c r="N68" s="267">
        <f t="shared" si="1"/>
        <v>0</v>
      </c>
      <c r="O68" s="96">
        <f t="shared" si="2"/>
        <v>44529.125438426476</v>
      </c>
      <c r="P68" s="96">
        <f t="shared" si="3"/>
        <v>422176.43456157361</v>
      </c>
      <c r="Q68" s="96">
        <f t="shared" si="4"/>
        <v>0</v>
      </c>
      <c r="R68" s="187" t="s">
        <v>2457</v>
      </c>
      <c r="S68" s="187" t="s">
        <v>3607</v>
      </c>
      <c r="T68" s="94" t="s">
        <v>2859</v>
      </c>
      <c r="U68" s="395">
        <f>COUNTIF(Aggregation_of_rev_to_allocate!$A$3:$A$137,$T68)</f>
        <v>1</v>
      </c>
      <c r="V68" s="100"/>
      <c r="W68" s="100"/>
      <c r="X68" s="109">
        <v>422176.43140667339</v>
      </c>
      <c r="Y68" s="109">
        <v>0</v>
      </c>
      <c r="Z68" s="110">
        <v>0.9045883906047173</v>
      </c>
      <c r="AA68" s="110">
        <v>1</v>
      </c>
      <c r="AB68" s="110">
        <v>0</v>
      </c>
      <c r="AC68" s="109">
        <f>IF(ISERROR((X68*SUMIF('Rev_for_allocation(Hard)'!$A$3:$A$249,$T68,'Rev_for_allocation(Hard)'!$I$3:$I$249)/SUMIF(Historic_capex_list!$T$9:$T$586,$T68,Historic_capex_list!$X$9:$X$586))=TRUE),0,X68*SUMIF('Rev_for_allocation(Hard)'!$A$3:$A$249,$T68,'Rev_for_allocation(Hard)'!$I$3:$I$249)/SUMIF(Historic_capex_list!$T$9:$T$586,$T68,Historic_capex_list!$X$9:$X$586))</f>
        <v>3.1549002097527941E-3</v>
      </c>
      <c r="AD68" s="109">
        <f t="shared" si="5"/>
        <v>422176.43456157361</v>
      </c>
      <c r="AE68" s="109">
        <f t="shared" si="6"/>
        <v>422176.43456157361</v>
      </c>
      <c r="AF68" s="109">
        <f t="shared" si="7"/>
        <v>422176.43456157361</v>
      </c>
      <c r="AG68" s="332" t="str">
        <f t="shared" si="8"/>
        <v>N</v>
      </c>
      <c r="AH68" s="332">
        <f t="shared" si="9"/>
        <v>0</v>
      </c>
      <c r="AI68" s="332">
        <f t="shared" si="10"/>
        <v>0</v>
      </c>
      <c r="AJ68" s="109">
        <f t="shared" si="11"/>
        <v>422176.43456157361</v>
      </c>
      <c r="AK68" s="109">
        <f t="shared" si="12"/>
        <v>0</v>
      </c>
      <c r="AL68" s="109">
        <v>0</v>
      </c>
      <c r="AM68" s="111">
        <f t="shared" si="13"/>
        <v>0</v>
      </c>
      <c r="AN68" s="111">
        <f t="shared" si="14"/>
        <v>0</v>
      </c>
      <c r="AO68" s="111" t="str">
        <f t="shared" si="15"/>
        <v>Use deduct 3yrs</v>
      </c>
      <c r="AP68" s="111">
        <f t="shared" si="16"/>
        <v>0</v>
      </c>
      <c r="AQ68" s="112">
        <f t="shared" si="17"/>
        <v>0</v>
      </c>
      <c r="AR68" s="112">
        <f t="shared" si="18"/>
        <v>1</v>
      </c>
      <c r="AS68" s="113">
        <f t="shared" si="19"/>
        <v>2028</v>
      </c>
      <c r="AT68" s="109">
        <v>422176.43456157361</v>
      </c>
      <c r="AU68" s="114">
        <v>1</v>
      </c>
      <c r="AV68" s="113">
        <v>2028</v>
      </c>
      <c r="AW68" s="112">
        <f t="shared" si="20"/>
        <v>0.90458839736465435</v>
      </c>
      <c r="AX68" s="109">
        <f t="shared" si="21"/>
        <v>422176.43456157361</v>
      </c>
      <c r="AY68" s="109">
        <f t="shared" si="22"/>
        <v>0</v>
      </c>
      <c r="AZ68" s="109">
        <f t="shared" si="23"/>
        <v>422176.43456157361</v>
      </c>
      <c r="BA68" s="111">
        <f t="shared" si="24"/>
        <v>0</v>
      </c>
      <c r="BB68" s="117"/>
      <c r="BC68" s="115" t="str">
        <f t="shared" si="25"/>
        <v>N</v>
      </c>
      <c r="BD68" s="115" t="str">
        <f t="shared" si="26"/>
        <v>Y</v>
      </c>
      <c r="BE68" s="115" t="str">
        <f t="shared" si="27"/>
        <v>N</v>
      </c>
      <c r="BF68" s="109" t="str">
        <f t="shared" si="28"/>
        <v/>
      </c>
      <c r="BG68" s="111" t="s">
        <v>2499</v>
      </c>
      <c r="BH68" s="115" t="s">
        <v>1168</v>
      </c>
      <c r="BI68" s="116"/>
      <c r="BJ68" s="222">
        <v>0.90458839736465435</v>
      </c>
      <c r="BK68" s="265">
        <f t="shared" si="29"/>
        <v>0</v>
      </c>
      <c r="BL68" s="265">
        <f t="shared" si="30"/>
        <v>0</v>
      </c>
      <c r="BM68" s="265">
        <f t="shared" si="31"/>
        <v>-5.8207660913467407E-11</v>
      </c>
      <c r="BN68" s="265">
        <f t="shared" si="32"/>
        <v>-3.1549002160318196E-3</v>
      </c>
      <c r="BO68" s="109"/>
      <c r="BP68" s="265">
        <f t="shared" si="33"/>
        <v>-3.1549002160318196E-3</v>
      </c>
      <c r="BQ68" s="265">
        <v>-3.1549002160318196E-3</v>
      </c>
      <c r="BR68" s="265" t="e">
        <f t="shared" si="34"/>
        <v>#REF!</v>
      </c>
      <c r="BS68" s="265">
        <v>-3.5542864891175449E-4</v>
      </c>
      <c r="BT68" s="475">
        <v>44529.125438426476</v>
      </c>
      <c r="BU68" s="475">
        <v>422176.43456157361</v>
      </c>
      <c r="BV68" s="475">
        <v>0</v>
      </c>
      <c r="BW68" s="483">
        <f t="shared" si="35"/>
        <v>0</v>
      </c>
      <c r="BX68" s="483">
        <f t="shared" si="36"/>
        <v>0</v>
      </c>
    </row>
    <row r="69" spans="1:76" s="103" customFormat="1" ht="58">
      <c r="A69" s="100" t="s">
        <v>2502</v>
      </c>
      <c r="B69" s="91" t="str">
        <f t="shared" si="0"/>
        <v xml:space="preserve">CI </v>
      </c>
      <c r="C69" s="92" t="s">
        <v>463</v>
      </c>
      <c r="D69" s="448" t="s">
        <v>2269</v>
      </c>
      <c r="E69" s="453">
        <v>41015</v>
      </c>
      <c r="F69" s="467" t="s">
        <v>4926</v>
      </c>
      <c r="G69" s="502" t="s">
        <v>5239</v>
      </c>
      <c r="H69" s="470">
        <v>0.5</v>
      </c>
      <c r="I69" s="95" t="s">
        <v>952</v>
      </c>
      <c r="J69" s="95" t="s">
        <v>1166</v>
      </c>
      <c r="K69" s="469">
        <v>130000</v>
      </c>
      <c r="L69" s="471">
        <v>0.32903076923076924</v>
      </c>
      <c r="M69" s="266">
        <v>1</v>
      </c>
      <c r="N69" s="267">
        <f t="shared" si="1"/>
        <v>0</v>
      </c>
      <c r="O69" s="96">
        <f t="shared" si="2"/>
        <v>108613</v>
      </c>
      <c r="P69" s="96">
        <f t="shared" si="3"/>
        <v>21387</v>
      </c>
      <c r="Q69" s="96">
        <f t="shared" si="4"/>
        <v>0</v>
      </c>
      <c r="R69" s="187" t="s">
        <v>2454</v>
      </c>
      <c r="S69" s="187" t="s">
        <v>3607</v>
      </c>
      <c r="T69" s="94" t="s">
        <v>2856</v>
      </c>
      <c r="U69" s="395">
        <f>COUNTIF(Aggregation_of_rev_to_allocate!$A$3:$A$137,$T69)</f>
        <v>1</v>
      </c>
      <c r="V69" s="100"/>
      <c r="W69" s="100">
        <v>72</v>
      </c>
      <c r="X69" s="109">
        <v>71286.610052449323</v>
      </c>
      <c r="Y69" s="109">
        <v>0</v>
      </c>
      <c r="Z69" s="110">
        <v>0.54835853886499475</v>
      </c>
      <c r="AA69" s="110">
        <v>1</v>
      </c>
      <c r="AB69" s="110">
        <v>0</v>
      </c>
      <c r="AC69" s="109">
        <f>IF(ISERROR((X69*SUMIF('Rev_for_allocation(Hard)'!$A$3:$A$249,$T69,'Rev_for_allocation(Hard)'!$I$3:$I$249)/SUMIF(Historic_capex_list!$T$9:$T$586,$T69,Historic_capex_list!$X$9:$X$586))=TRUE),0,X69*SUMIF('Rev_for_allocation(Hard)'!$A$3:$A$249,$T69,'Rev_for_allocation(Hard)'!$I$3:$I$249)/SUMIF(Historic_capex_list!$T$9:$T$586,$T69,Historic_capex_list!$X$9:$X$586))</f>
        <v>-49899.413682586644</v>
      </c>
      <c r="AD69" s="109">
        <f t="shared" si="5"/>
        <v>21387.196369862679</v>
      </c>
      <c r="AE69" s="109">
        <f t="shared" si="6"/>
        <v>21387.196369862679</v>
      </c>
      <c r="AF69" s="109">
        <f t="shared" si="7"/>
        <v>21387.196369862679</v>
      </c>
      <c r="AG69" s="332" t="str">
        <f t="shared" si="8"/>
        <v>N</v>
      </c>
      <c r="AH69" s="332">
        <f t="shared" si="9"/>
        <v>0</v>
      </c>
      <c r="AI69" s="332">
        <f t="shared" si="10"/>
        <v>0</v>
      </c>
      <c r="AJ69" s="109">
        <f t="shared" si="11"/>
        <v>21387.196369862679</v>
      </c>
      <c r="AK69" s="109">
        <f t="shared" si="12"/>
        <v>0</v>
      </c>
      <c r="AL69" s="109">
        <v>0</v>
      </c>
      <c r="AM69" s="111">
        <f t="shared" si="13"/>
        <v>0</v>
      </c>
      <c r="AN69" s="111">
        <f t="shared" si="14"/>
        <v>0</v>
      </c>
      <c r="AO69" s="111">
        <f t="shared" si="15"/>
        <v>-13.331442242191859</v>
      </c>
      <c r="AP69" s="111">
        <f t="shared" si="16"/>
        <v>0</v>
      </c>
      <c r="AQ69" s="112">
        <f t="shared" si="17"/>
        <v>0</v>
      </c>
      <c r="AR69" s="112">
        <f t="shared" si="18"/>
        <v>1</v>
      </c>
      <c r="AS69" s="113">
        <f t="shared" si="19"/>
        <v>2028</v>
      </c>
      <c r="AT69" s="109">
        <v>21387.196369862679</v>
      </c>
      <c r="AU69" s="114">
        <v>1</v>
      </c>
      <c r="AV69" s="113">
        <v>2028</v>
      </c>
      <c r="AW69" s="112">
        <f t="shared" si="20"/>
        <v>0.32903379030557967</v>
      </c>
      <c r="AX69" s="109">
        <f t="shared" si="21"/>
        <v>21387.196369862679</v>
      </c>
      <c r="AY69" s="109">
        <f t="shared" si="22"/>
        <v>0</v>
      </c>
      <c r="AZ69" s="109">
        <f t="shared" si="23"/>
        <v>21387.196369862679</v>
      </c>
      <c r="BA69" s="111">
        <f t="shared" si="24"/>
        <v>0</v>
      </c>
      <c r="BB69" s="117"/>
      <c r="BC69" s="115" t="str">
        <f t="shared" si="25"/>
        <v>N</v>
      </c>
      <c r="BD69" s="115" t="str">
        <f t="shared" si="26"/>
        <v>Y</v>
      </c>
      <c r="BE69" s="115" t="str">
        <f t="shared" si="27"/>
        <v>N</v>
      </c>
      <c r="BF69" s="109" t="str">
        <f t="shared" si="28"/>
        <v/>
      </c>
      <c r="BG69" s="111" t="s">
        <v>2499</v>
      </c>
      <c r="BH69" s="115" t="s">
        <v>1168</v>
      </c>
      <c r="BI69" s="116"/>
      <c r="BJ69" s="222">
        <v>0.16451689515278983</v>
      </c>
      <c r="BK69" s="265">
        <f t="shared" si="29"/>
        <v>0</v>
      </c>
      <c r="BL69" s="265">
        <f t="shared" si="30"/>
        <v>0</v>
      </c>
      <c r="BM69" s="265">
        <f t="shared" si="31"/>
        <v>0</v>
      </c>
      <c r="BN69" s="265">
        <f t="shared" si="32"/>
        <v>49899.610052449323</v>
      </c>
      <c r="BO69" s="109"/>
      <c r="BP69" s="265">
        <f t="shared" si="33"/>
        <v>49899.413682586644</v>
      </c>
      <c r="BQ69" s="265">
        <v>49899.413682586644</v>
      </c>
      <c r="BR69" s="265" t="e">
        <f t="shared" si="34"/>
        <v>#REF!</v>
      </c>
      <c r="BS69" s="265">
        <v>5621.6298368377966</v>
      </c>
      <c r="BT69" s="475">
        <v>108612.80363013734</v>
      </c>
      <c r="BU69" s="475">
        <v>21387.196369862679</v>
      </c>
      <c r="BV69" s="475">
        <v>0</v>
      </c>
      <c r="BW69" s="483">
        <f t="shared" si="35"/>
        <v>-0.19636986267869361</v>
      </c>
      <c r="BX69" s="483">
        <f t="shared" si="36"/>
        <v>0</v>
      </c>
    </row>
    <row r="70" spans="1:76" s="103" customFormat="1" ht="43.5">
      <c r="A70" s="100" t="s">
        <v>2502</v>
      </c>
      <c r="B70" s="91" t="str">
        <f t="shared" si="0"/>
        <v xml:space="preserve">CI </v>
      </c>
      <c r="C70" s="92" t="s">
        <v>2274</v>
      </c>
      <c r="D70" s="448" t="s">
        <v>2269</v>
      </c>
      <c r="E70" s="451">
        <v>3200520</v>
      </c>
      <c r="F70" s="498" t="s">
        <v>5030</v>
      </c>
      <c r="G70" s="467" t="s">
        <v>5029</v>
      </c>
      <c r="H70" s="398">
        <v>0.5</v>
      </c>
      <c r="I70" s="151"/>
      <c r="J70" s="95" t="s">
        <v>1166</v>
      </c>
      <c r="K70" s="191">
        <v>23820454</v>
      </c>
      <c r="L70" s="269">
        <v>0.77060909478653394</v>
      </c>
      <c r="M70" s="267">
        <v>1</v>
      </c>
      <c r="N70" s="267">
        <f t="shared" si="1"/>
        <v>0</v>
      </c>
      <c r="O70" s="96">
        <f t="shared" si="2"/>
        <v>14642324.752827864</v>
      </c>
      <c r="P70" s="96">
        <f t="shared" si="3"/>
        <v>9178129.2471721359</v>
      </c>
      <c r="Q70" s="96">
        <f t="shared" si="4"/>
        <v>0</v>
      </c>
      <c r="R70" s="187" t="s">
        <v>2458</v>
      </c>
      <c r="S70" s="187" t="s">
        <v>3608</v>
      </c>
      <c r="T70" s="94" t="s">
        <v>2860</v>
      </c>
      <c r="U70" s="395">
        <f>COUNTIF(Aggregation_of_rev_to_allocate!$A$3:$A$137,$T70)</f>
        <v>1</v>
      </c>
      <c r="V70" s="100"/>
      <c r="W70" s="100">
        <v>147</v>
      </c>
      <c r="X70" s="109">
        <v>11662633.348697161</v>
      </c>
      <c r="Y70" s="109">
        <v>0</v>
      </c>
      <c r="Z70" s="110">
        <v>0.97921167654463359</v>
      </c>
      <c r="AA70" s="110">
        <v>1</v>
      </c>
      <c r="AB70" s="110">
        <v>0</v>
      </c>
      <c r="AC70" s="109">
        <f>IF(ISERROR((X70*SUMIF('Rev_for_allocation(Hard)'!$A$3:$A$249,$T70,'Rev_for_allocation(Hard)'!$I$3:$I$249)/SUMIF(Historic_capex_list!$T$9:$T$586,$T70,Historic_capex_list!$X$9:$X$586))=TRUE),0,X70*SUMIF('Rev_for_allocation(Hard)'!$A$3:$A$249,$T70,'Rev_for_allocation(Hard)'!$I$3:$I$249)/SUMIF(Historic_capex_list!$T$9:$T$586,$T70,Historic_capex_list!$X$9:$X$586))</f>
        <v>-2484504.101525025</v>
      </c>
      <c r="AD70" s="109">
        <f t="shared" si="5"/>
        <v>9178129.2471721359</v>
      </c>
      <c r="AE70" s="109">
        <f t="shared" si="6"/>
        <v>9178129.2471721359</v>
      </c>
      <c r="AF70" s="109">
        <f t="shared" si="7"/>
        <v>9178129.2471721359</v>
      </c>
      <c r="AG70" s="332" t="str">
        <f t="shared" si="8"/>
        <v>N</v>
      </c>
      <c r="AH70" s="332">
        <f t="shared" si="9"/>
        <v>0</v>
      </c>
      <c r="AI70" s="332">
        <f t="shared" si="10"/>
        <v>0</v>
      </c>
      <c r="AJ70" s="109">
        <f t="shared" si="11"/>
        <v>9178129.2471721359</v>
      </c>
      <c r="AK70" s="109">
        <f t="shared" si="12"/>
        <v>0</v>
      </c>
      <c r="AL70" s="109">
        <v>0</v>
      </c>
      <c r="AM70" s="111">
        <f t="shared" si="13"/>
        <v>0</v>
      </c>
      <c r="AN70" s="111">
        <f t="shared" si="14"/>
        <v>0</v>
      </c>
      <c r="AO70" s="111" t="str">
        <f t="shared" si="15"/>
        <v>Use deduct 3yrs</v>
      </c>
      <c r="AP70" s="111">
        <f t="shared" si="16"/>
        <v>0</v>
      </c>
      <c r="AQ70" s="112">
        <f t="shared" si="17"/>
        <v>0</v>
      </c>
      <c r="AR70" s="112">
        <f t="shared" si="18"/>
        <v>1</v>
      </c>
      <c r="AS70" s="113">
        <f t="shared" si="19"/>
        <v>2028</v>
      </c>
      <c r="AT70" s="109">
        <v>9178129.2471721359</v>
      </c>
      <c r="AU70" s="114">
        <v>1</v>
      </c>
      <c r="AV70" s="113">
        <v>2028</v>
      </c>
      <c r="AW70" s="112">
        <f t="shared" si="20"/>
        <v>0.77060909478653394</v>
      </c>
      <c r="AX70" s="109">
        <f t="shared" si="21"/>
        <v>9178129.2471721359</v>
      </c>
      <c r="AY70" s="109">
        <f t="shared" si="22"/>
        <v>0</v>
      </c>
      <c r="AZ70" s="109">
        <f t="shared" si="23"/>
        <v>9178129.2471721359</v>
      </c>
      <c r="BA70" s="111">
        <f t="shared" si="24"/>
        <v>0</v>
      </c>
      <c r="BB70" s="117"/>
      <c r="BC70" s="115" t="str">
        <f t="shared" si="25"/>
        <v>N</v>
      </c>
      <c r="BD70" s="115" t="str">
        <f t="shared" si="26"/>
        <v>Y</v>
      </c>
      <c r="BE70" s="115" t="str">
        <f t="shared" si="27"/>
        <v>N</v>
      </c>
      <c r="BF70" s="109" t="str">
        <f t="shared" si="28"/>
        <v/>
      </c>
      <c r="BG70" s="111" t="s">
        <v>2499</v>
      </c>
      <c r="BH70" s="115" t="s">
        <v>1168</v>
      </c>
      <c r="BI70" s="116"/>
      <c r="BJ70" s="222">
        <v>0.77060909478653394</v>
      </c>
      <c r="BK70" s="265">
        <f t="shared" si="29"/>
        <v>0</v>
      </c>
      <c r="BL70" s="265">
        <f t="shared" si="30"/>
        <v>0</v>
      </c>
      <c r="BM70" s="265">
        <f t="shared" si="31"/>
        <v>0</v>
      </c>
      <c r="BN70" s="265">
        <f t="shared" si="32"/>
        <v>2484504.1015250254</v>
      </c>
      <c r="BO70" s="109"/>
      <c r="BP70" s="265">
        <f t="shared" si="33"/>
        <v>2484504.1015250254</v>
      </c>
      <c r="BQ70" s="265">
        <v>2484504.1015250254</v>
      </c>
      <c r="BR70" s="265" t="e">
        <f t="shared" si="34"/>
        <v>#REF!</v>
      </c>
      <c r="BS70" s="265">
        <v>279902.33463911427</v>
      </c>
      <c r="BT70" s="475">
        <v>14642324.752827864</v>
      </c>
      <c r="BU70" s="475">
        <v>9178129.2471721359</v>
      </c>
      <c r="BV70" s="475">
        <v>0</v>
      </c>
      <c r="BW70" s="483">
        <f t="shared" si="35"/>
        <v>0</v>
      </c>
      <c r="BX70" s="483">
        <f t="shared" si="36"/>
        <v>0</v>
      </c>
    </row>
    <row r="71" spans="1:76" s="103" customFormat="1" ht="29">
      <c r="A71" s="100" t="s">
        <v>2502</v>
      </c>
      <c r="B71" s="91" t="str">
        <f t="shared" si="0"/>
        <v xml:space="preserve">CI </v>
      </c>
      <c r="C71" s="92" t="s">
        <v>463</v>
      </c>
      <c r="D71" s="448" t="s">
        <v>2269</v>
      </c>
      <c r="E71" s="449" t="s">
        <v>2238</v>
      </c>
      <c r="F71" s="467" t="s">
        <v>2239</v>
      </c>
      <c r="G71" s="502" t="s">
        <v>5241</v>
      </c>
      <c r="H71" s="398">
        <v>1</v>
      </c>
      <c r="I71" s="95" t="s">
        <v>890</v>
      </c>
      <c r="J71" s="95" t="s">
        <v>1166</v>
      </c>
      <c r="K71" s="191">
        <v>635000</v>
      </c>
      <c r="L71" s="268">
        <v>0.56917642915519329</v>
      </c>
      <c r="M71" s="266">
        <v>1</v>
      </c>
      <c r="N71" s="267">
        <f t="shared" si="1"/>
        <v>0</v>
      </c>
      <c r="O71" s="96">
        <f t="shared" si="2"/>
        <v>273572.96748645225</v>
      </c>
      <c r="P71" s="96">
        <f t="shared" si="3"/>
        <v>361427.03251354775</v>
      </c>
      <c r="Q71" s="96">
        <f t="shared" si="4"/>
        <v>0</v>
      </c>
      <c r="R71" s="187" t="s">
        <v>2457</v>
      </c>
      <c r="S71" s="187" t="s">
        <v>3607</v>
      </c>
      <c r="T71" s="94" t="s">
        <v>2859</v>
      </c>
      <c r="U71" s="395">
        <f>COUNTIF(Aggregation_of_rev_to_allocate!$A$3:$A$137,$T71)</f>
        <v>1</v>
      </c>
      <c r="V71" s="100"/>
      <c r="W71" s="100">
        <v>141</v>
      </c>
      <c r="X71" s="109">
        <v>361427.02981262433</v>
      </c>
      <c r="Y71" s="109">
        <v>0</v>
      </c>
      <c r="Z71" s="110">
        <v>0.56917642490177056</v>
      </c>
      <c r="AA71" s="110">
        <v>1</v>
      </c>
      <c r="AB71" s="110">
        <v>0</v>
      </c>
      <c r="AC71" s="109">
        <f>IF(ISERROR((X71*SUMIF('Rev_for_allocation(Hard)'!$A$3:$A$249,$T71,'Rev_for_allocation(Hard)'!$I$3:$I$249)/SUMIF(Historic_capex_list!$T$9:$T$586,$T71,Historic_capex_list!$X$9:$X$586))=TRUE),0,X71*SUMIF('Rev_for_allocation(Hard)'!$A$3:$A$249,$T71,'Rev_for_allocation(Hard)'!$I$3:$I$249)/SUMIF(Historic_capex_list!$T$9:$T$586,$T71,Historic_capex_list!$X$9:$X$586))</f>
        <v>2.7009234228610557E-3</v>
      </c>
      <c r="AD71" s="109">
        <f t="shared" si="5"/>
        <v>361427.03251354775</v>
      </c>
      <c r="AE71" s="109">
        <f t="shared" si="6"/>
        <v>361427.03251354775</v>
      </c>
      <c r="AF71" s="109">
        <f t="shared" si="7"/>
        <v>361427.03251354775</v>
      </c>
      <c r="AG71" s="332" t="str">
        <f t="shared" si="8"/>
        <v>N</v>
      </c>
      <c r="AH71" s="332">
        <f t="shared" si="9"/>
        <v>0</v>
      </c>
      <c r="AI71" s="332">
        <f t="shared" si="10"/>
        <v>0</v>
      </c>
      <c r="AJ71" s="109">
        <f t="shared" si="11"/>
        <v>361427.03251354775</v>
      </c>
      <c r="AK71" s="109">
        <f t="shared" si="12"/>
        <v>0</v>
      </c>
      <c r="AL71" s="109">
        <v>0</v>
      </c>
      <c r="AM71" s="111">
        <f t="shared" si="13"/>
        <v>0</v>
      </c>
      <c r="AN71" s="111">
        <f t="shared" si="14"/>
        <v>0</v>
      </c>
      <c r="AO71" s="111" t="str">
        <f t="shared" si="15"/>
        <v>Use deduct 3yrs</v>
      </c>
      <c r="AP71" s="111">
        <f t="shared" si="16"/>
        <v>0</v>
      </c>
      <c r="AQ71" s="112">
        <f t="shared" si="17"/>
        <v>0</v>
      </c>
      <c r="AR71" s="112">
        <f t="shared" si="18"/>
        <v>1</v>
      </c>
      <c r="AS71" s="113">
        <f t="shared" si="19"/>
        <v>2028</v>
      </c>
      <c r="AT71" s="109">
        <v>361427.03251354775</v>
      </c>
      <c r="AU71" s="114">
        <v>1</v>
      </c>
      <c r="AV71" s="113">
        <v>2028</v>
      </c>
      <c r="AW71" s="112">
        <f t="shared" si="20"/>
        <v>0.56917642915519329</v>
      </c>
      <c r="AX71" s="109">
        <f t="shared" si="21"/>
        <v>361427.03251354775</v>
      </c>
      <c r="AY71" s="109">
        <f t="shared" si="22"/>
        <v>0</v>
      </c>
      <c r="AZ71" s="109">
        <f t="shared" si="23"/>
        <v>361427.03251354775</v>
      </c>
      <c r="BA71" s="111">
        <f t="shared" si="24"/>
        <v>0</v>
      </c>
      <c r="BB71" s="117"/>
      <c r="BC71" s="115" t="str">
        <f t="shared" si="25"/>
        <v>N</v>
      </c>
      <c r="BD71" s="115" t="str">
        <f t="shared" si="26"/>
        <v>Y</v>
      </c>
      <c r="BE71" s="115" t="str">
        <f t="shared" si="27"/>
        <v>N</v>
      </c>
      <c r="BF71" s="109" t="str">
        <f t="shared" si="28"/>
        <v/>
      </c>
      <c r="BG71" s="111" t="s">
        <v>2499</v>
      </c>
      <c r="BH71" s="115" t="s">
        <v>1168</v>
      </c>
      <c r="BI71" s="116"/>
      <c r="BJ71" s="222">
        <v>0.56917642915519329</v>
      </c>
      <c r="BK71" s="265">
        <f t="shared" si="29"/>
        <v>0</v>
      </c>
      <c r="BL71" s="265">
        <f t="shared" si="30"/>
        <v>0</v>
      </c>
      <c r="BM71" s="265">
        <f t="shared" si="31"/>
        <v>0</v>
      </c>
      <c r="BN71" s="265">
        <f t="shared" si="32"/>
        <v>-2.7009234181605279E-3</v>
      </c>
      <c r="BO71" s="109"/>
      <c r="BP71" s="265">
        <f t="shared" si="33"/>
        <v>-2.7009234181605279E-3</v>
      </c>
      <c r="BQ71" s="265">
        <v>-2.7009234181605279E-3</v>
      </c>
      <c r="BR71" s="265" t="e">
        <f t="shared" si="34"/>
        <v>#REF!</v>
      </c>
      <c r="BS71" s="265">
        <v>-3.0428396956984198E-4</v>
      </c>
      <c r="BT71" s="475">
        <v>273572.96748645225</v>
      </c>
      <c r="BU71" s="475">
        <v>361427.03251354775</v>
      </c>
      <c r="BV71" s="475">
        <v>0</v>
      </c>
      <c r="BW71" s="483">
        <f t="shared" si="35"/>
        <v>0</v>
      </c>
      <c r="BX71" s="483">
        <f t="shared" si="36"/>
        <v>0</v>
      </c>
    </row>
    <row r="72" spans="1:76" s="103" customFormat="1" ht="29">
      <c r="A72" s="100" t="s">
        <v>2502</v>
      </c>
      <c r="B72" s="91" t="str">
        <f t="shared" si="0"/>
        <v xml:space="preserve">CI </v>
      </c>
      <c r="C72" s="92" t="s">
        <v>463</v>
      </c>
      <c r="D72" s="448" t="s">
        <v>2269</v>
      </c>
      <c r="E72" s="453">
        <v>794415</v>
      </c>
      <c r="F72" s="592" t="s">
        <v>4929</v>
      </c>
      <c r="G72" s="592" t="s">
        <v>5001</v>
      </c>
      <c r="H72" s="398">
        <v>1</v>
      </c>
      <c r="I72" s="95" t="s">
        <v>952</v>
      </c>
      <c r="J72" s="95" t="s">
        <v>1166</v>
      </c>
      <c r="K72" s="191">
        <v>351728.38999999902</v>
      </c>
      <c r="L72" s="268">
        <v>0.18567918245048978</v>
      </c>
      <c r="M72" s="266">
        <v>1</v>
      </c>
      <c r="N72" s="267">
        <f t="shared" si="1"/>
        <v>0</v>
      </c>
      <c r="O72" s="96">
        <f t="shared" si="2"/>
        <v>286419.75010017218</v>
      </c>
      <c r="P72" s="96">
        <f t="shared" si="3"/>
        <v>65308.639899826841</v>
      </c>
      <c r="Q72" s="96">
        <f t="shared" si="4"/>
        <v>0</v>
      </c>
      <c r="R72" s="187" t="s">
        <v>2268</v>
      </c>
      <c r="S72" s="187" t="s">
        <v>3608</v>
      </c>
      <c r="T72" s="94" t="s">
        <v>2842</v>
      </c>
      <c r="U72" s="395">
        <f>COUNTIF(Aggregation_of_rev_to_allocate!$A$3:$A$137,$T72)</f>
        <v>1</v>
      </c>
      <c r="V72" s="100"/>
      <c r="W72" s="100">
        <v>40</v>
      </c>
      <c r="X72" s="109">
        <v>72327.474756651209</v>
      </c>
      <c r="Y72" s="109">
        <v>0</v>
      </c>
      <c r="Z72" s="110">
        <v>0.20563445207437309</v>
      </c>
      <c r="AA72" s="110">
        <v>1</v>
      </c>
      <c r="AB72" s="110">
        <v>0</v>
      </c>
      <c r="AC72" s="109">
        <f>IF(ISERROR((X72*SUMIF('Rev_for_allocation(Hard)'!$A$3:$A$249,$T72,'Rev_for_allocation(Hard)'!$I$3:$I$249)/SUMIF(Historic_capex_list!$T$9:$T$586,$T72,Historic_capex_list!$X$9:$X$586))=TRUE),0,X72*SUMIF('Rev_for_allocation(Hard)'!$A$3:$A$249,$T72,'Rev_for_allocation(Hard)'!$I$3:$I$249)/SUMIF(Historic_capex_list!$T$9:$T$586,$T72,Historic_capex_list!$X$9:$X$586))</f>
        <v>-5577.4343869501681</v>
      </c>
      <c r="AD72" s="109">
        <f t="shared" si="5"/>
        <v>66750.040369701048</v>
      </c>
      <c r="AE72" s="109">
        <f t="shared" si="6"/>
        <v>66750.040369701048</v>
      </c>
      <c r="AF72" s="109">
        <f t="shared" si="7"/>
        <v>66750.040369701048</v>
      </c>
      <c r="AG72" s="332" t="str">
        <f t="shared" si="8"/>
        <v>N</v>
      </c>
      <c r="AH72" s="332">
        <f t="shared" si="9"/>
        <v>0</v>
      </c>
      <c r="AI72" s="332">
        <f t="shared" si="10"/>
        <v>0</v>
      </c>
      <c r="AJ72" s="109">
        <f t="shared" si="11"/>
        <v>66750.040369701048</v>
      </c>
      <c r="AK72" s="109">
        <f t="shared" si="12"/>
        <v>0</v>
      </c>
      <c r="AL72" s="109">
        <v>0</v>
      </c>
      <c r="AM72" s="111">
        <f t="shared" si="13"/>
        <v>0</v>
      </c>
      <c r="AN72" s="111">
        <f t="shared" si="14"/>
        <v>0</v>
      </c>
      <c r="AO72" s="111" t="str">
        <f t="shared" si="15"/>
        <v>Use deduct 3yrs</v>
      </c>
      <c r="AP72" s="111">
        <f t="shared" si="16"/>
        <v>0</v>
      </c>
      <c r="AQ72" s="112">
        <f t="shared" si="17"/>
        <v>0</v>
      </c>
      <c r="AR72" s="112">
        <f t="shared" si="18"/>
        <v>1</v>
      </c>
      <c r="AS72" s="113">
        <f t="shared" si="19"/>
        <v>2028</v>
      </c>
      <c r="AT72" s="109">
        <v>65308.639899826841</v>
      </c>
      <c r="AU72" s="114">
        <v>1</v>
      </c>
      <c r="AV72" s="113">
        <v>2028</v>
      </c>
      <c r="AW72" s="112">
        <f t="shared" si="20"/>
        <v>0.18567918245048978</v>
      </c>
      <c r="AX72" s="109">
        <f t="shared" si="21"/>
        <v>65308.639899826841</v>
      </c>
      <c r="AY72" s="109">
        <f t="shared" si="22"/>
        <v>0</v>
      </c>
      <c r="AZ72" s="109">
        <f t="shared" si="23"/>
        <v>65308.639899826841</v>
      </c>
      <c r="BA72" s="111">
        <f t="shared" si="24"/>
        <v>0</v>
      </c>
      <c r="BB72" s="117"/>
      <c r="BC72" s="115" t="str">
        <f t="shared" si="25"/>
        <v>N</v>
      </c>
      <c r="BD72" s="115" t="str">
        <f t="shared" si="26"/>
        <v>Y</v>
      </c>
      <c r="BE72" s="115" t="str">
        <f t="shared" si="27"/>
        <v>N</v>
      </c>
      <c r="BF72" s="109" t="str">
        <f t="shared" si="28"/>
        <v/>
      </c>
      <c r="BG72" s="111" t="s">
        <v>2499</v>
      </c>
      <c r="BH72" s="115" t="s">
        <v>1168</v>
      </c>
      <c r="BI72" s="116"/>
      <c r="BJ72" s="222">
        <v>0.18567918245048978</v>
      </c>
      <c r="BK72" s="265">
        <f t="shared" si="29"/>
        <v>0</v>
      </c>
      <c r="BL72" s="265">
        <f t="shared" si="30"/>
        <v>0</v>
      </c>
      <c r="BM72" s="265">
        <f t="shared" si="31"/>
        <v>0</v>
      </c>
      <c r="BN72" s="265">
        <f t="shared" si="32"/>
        <v>7018.8348568243673</v>
      </c>
      <c r="BO72" s="109"/>
      <c r="BP72" s="265">
        <f t="shared" si="33"/>
        <v>7018.8348568243673</v>
      </c>
      <c r="BQ72" s="265">
        <v>7018.8348568243673</v>
      </c>
      <c r="BR72" s="265" t="e">
        <f t="shared" si="34"/>
        <v>#REF!</v>
      </c>
      <c r="BS72" s="265">
        <v>790.73657462092353</v>
      </c>
      <c r="BT72" s="475">
        <v>286419.75010017218</v>
      </c>
      <c r="BU72" s="475">
        <v>65308.639899826841</v>
      </c>
      <c r="BV72" s="475">
        <v>0</v>
      </c>
      <c r="BW72" s="483">
        <f t="shared" si="35"/>
        <v>0</v>
      </c>
      <c r="BX72" s="483">
        <f t="shared" si="36"/>
        <v>0</v>
      </c>
    </row>
    <row r="73" spans="1:76" s="103" customFormat="1" ht="29">
      <c r="A73" s="100" t="s">
        <v>2502</v>
      </c>
      <c r="B73" s="91" t="str">
        <f t="shared" ref="B73:B136" si="37">LEFT(T73,3)</f>
        <v xml:space="preserve">CI </v>
      </c>
      <c r="C73" s="92" t="s">
        <v>463</v>
      </c>
      <c r="D73" s="448" t="s">
        <v>2269</v>
      </c>
      <c r="E73" s="453">
        <v>796199</v>
      </c>
      <c r="F73" s="592" t="s">
        <v>4930</v>
      </c>
      <c r="G73" s="592" t="s">
        <v>5001</v>
      </c>
      <c r="H73" s="398">
        <v>1</v>
      </c>
      <c r="I73" s="95" t="s">
        <v>952</v>
      </c>
      <c r="J73" s="95" t="s">
        <v>1166</v>
      </c>
      <c r="K73" s="191">
        <v>1501043.189999999</v>
      </c>
      <c r="L73" s="268">
        <v>0.2573591203813903</v>
      </c>
      <c r="M73" s="266">
        <v>1</v>
      </c>
      <c r="N73" s="267">
        <f t="shared" ref="N73:N136" si="38">100%-M73</f>
        <v>0</v>
      </c>
      <c r="O73" s="96">
        <f t="shared" ref="O73:O136" si="39">(K73*(100%-H73))+(K73*H73*(100%-L73))</f>
        <v>1114736.0349671231</v>
      </c>
      <c r="P73" s="96">
        <f t="shared" ref="P73:P136" si="40">(+K73*L73*M73*H73)</f>
        <v>386307.15503287589</v>
      </c>
      <c r="Q73" s="96">
        <f t="shared" ref="Q73:Q136" si="41">+K73*L73*N73*H73</f>
        <v>0</v>
      </c>
      <c r="R73" s="187" t="s">
        <v>2268</v>
      </c>
      <c r="S73" s="187" t="s">
        <v>3608</v>
      </c>
      <c r="T73" s="94" t="s">
        <v>2842</v>
      </c>
      <c r="U73" s="395">
        <f>COUNTIF(Aggregation_of_rev_to_allocate!$A$3:$A$137,$T73)</f>
        <v>1</v>
      </c>
      <c r="V73" s="100"/>
      <c r="W73" s="100">
        <v>39</v>
      </c>
      <c r="X73" s="109">
        <v>383560.2909034398</v>
      </c>
      <c r="Y73" s="109">
        <v>39968.491851744824</v>
      </c>
      <c r="Z73" s="110">
        <v>0.28215629342096737</v>
      </c>
      <c r="AA73" s="110">
        <v>0.90562980963953021</v>
      </c>
      <c r="AB73" s="110">
        <v>9.4370190360469786E-2</v>
      </c>
      <c r="AC73" s="109">
        <f>IF(ISERROR((X73*SUMIF('Rev_for_allocation(Hard)'!$A$3:$A$249,$T73,'Rev_for_allocation(Hard)'!$I$3:$I$249)/SUMIF(Historic_capex_list!$T$9:$T$586,$T73,Historic_capex_list!$X$9:$X$586))=TRUE),0,X73*SUMIF('Rev_for_allocation(Hard)'!$A$3:$A$249,$T73,'Rev_for_allocation(Hard)'!$I$3:$I$249)/SUMIF(Historic_capex_list!$T$9:$T$586,$T73,Historic_capex_list!$X$9:$X$586))</f>
        <v>-29577.727732803603</v>
      </c>
      <c r="AD73" s="109">
        <f t="shared" ref="AD73:AD136" si="42">+AC73+X73</f>
        <v>353982.56317063619</v>
      </c>
      <c r="AE73" s="109">
        <f t="shared" ref="AE73:AE136" si="43">IF(AD73&lt;0,+Q73+P73+AC73,+AD73)</f>
        <v>353982.56317063619</v>
      </c>
      <c r="AF73" s="109">
        <f t="shared" ref="AF73:AF136" si="44">+Y73+AD73</f>
        <v>393951.05502238101</v>
      </c>
      <c r="AG73" s="332" t="str">
        <f t="shared" ref="AG73:AG136" si="45">IF(AF73&lt;0,"Y","N")</f>
        <v>N</v>
      </c>
      <c r="AH73" s="332">
        <f t="shared" ref="AH73:AH136" si="46">SUMIFS($AF$9:$AF$506,$T$9:$T$506,$T73,$AG$9:$AG$506,"Y")</f>
        <v>0</v>
      </c>
      <c r="AI73" s="332">
        <f t="shared" ref="AI73:AI136" si="47">IF(AND(AH73&lt;0,AG73="N"),AH73*AF73/SUMIFS($AE$9:$AE$506,$T$9:$T$506,$T73,$AG$9:$AG$506,"N"),0)</f>
        <v>0</v>
      </c>
      <c r="AJ73" s="109">
        <f t="shared" ref="AJ73:AJ136" si="48">IF(AND(AI73&lt;0,AF73&gt;0),AI73+AF73,IF(AND(AI73=0,AF73&lt;0,COUNTIFS($T$9:$T$506,$T73,$AF$9:$AF$506,"&gt;0")&gt;0),0,+AF73))</f>
        <v>393951.05502238101</v>
      </c>
      <c r="AK73" s="109">
        <f t="shared" ref="AK73:AK136" si="49">IF(AJ73&lt;0,+AJ73,0)</f>
        <v>0</v>
      </c>
      <c r="AL73" s="109">
        <v>0</v>
      </c>
      <c r="AM73" s="111">
        <f t="shared" ref="AM73:AM136" si="50">AB73/(1-AB73)*10</f>
        <v>1.0420393559928438</v>
      </c>
      <c r="AN73" s="111">
        <f t="shared" ref="AN73:AN136" si="51">IF(AM73=0,0,IF(AD73&lt;0,AM73-10,AM73-3))</f>
        <v>-1.9579606440071562</v>
      </c>
      <c r="AO73" s="111" t="str">
        <f t="shared" ref="AO73:AO136" si="52">IF(-AC73&gt;AE73,((AE73+Y73+AC73)/(AE73+Y73))*(AM73+10),"Use deduct 3yrs")</f>
        <v>Use deduct 3yrs</v>
      </c>
      <c r="AP73" s="111">
        <f t="shared" ref="AP73:AP136" si="53">IF(AO73&lt;=10,0,AN73)</f>
        <v>-1.9579606440071562</v>
      </c>
      <c r="AQ73" s="112">
        <f t="shared" ref="AQ73:AQ136" si="54">IF(AN73&lt;=0,0,(AP73/(AP73+10)))</f>
        <v>0</v>
      </c>
      <c r="AR73" s="112">
        <f t="shared" ref="AR73:AR136" si="55">IF(O73=0,1,1-AQ73)</f>
        <v>1</v>
      </c>
      <c r="AS73" s="113">
        <f t="shared" ref="AS73:AS136" si="56">ROUND(IF(+$AS$7+AP73&lt;+$AS$7,+$AS$7,+$AS$7+AP73),0)</f>
        <v>2028</v>
      </c>
      <c r="AT73" s="109">
        <v>386307.15503287583</v>
      </c>
      <c r="AU73" s="114">
        <v>1</v>
      </c>
      <c r="AV73" s="113">
        <v>2028</v>
      </c>
      <c r="AW73" s="112">
        <f t="shared" ref="AW73:AW136" si="57">IF(ISERR($AT73/($K73*$H73)),0,($AT73/($K73*$H73)))</f>
        <v>0.2573591203813903</v>
      </c>
      <c r="AX73" s="109">
        <f t="shared" ref="AX73:AX136" si="58">$K73*$AW73*$AU73*$H73</f>
        <v>386307.15503287589</v>
      </c>
      <c r="AY73" s="109">
        <f t="shared" ref="AY73:AY136" si="59">$K73*$AW73*(1-$AU73)*$H73</f>
        <v>0</v>
      </c>
      <c r="AZ73" s="109">
        <f t="shared" ref="AZ73:AZ136" si="60">IF(K73&lt;1,+AF73,+AY73+AX73)</f>
        <v>386307.15503287589</v>
      </c>
      <c r="BA73" s="111">
        <f t="shared" ref="BA73:BA136" si="61">+AZ73-AT73</f>
        <v>0</v>
      </c>
      <c r="BB73" s="117"/>
      <c r="BC73" s="115" t="str">
        <f t="shared" ref="BC73:BC136" si="62">IF(P73&lt;=BC$7,"Y","N")</f>
        <v>N</v>
      </c>
      <c r="BD73" s="115" t="str">
        <f t="shared" ref="BD73:BD136" si="63">IF(Q73&lt;=BD$7,"Y","N")</f>
        <v>Y</v>
      </c>
      <c r="BE73" s="115" t="str">
        <f t="shared" ref="BE73:BE136" si="64">IF(AND(BC73="Y",Q73=0),"Y","N")</f>
        <v>N</v>
      </c>
      <c r="BF73" s="109" t="str">
        <f t="shared" ref="BF73:BF136" si="65">IF(BE73="Y",+P73,"")</f>
        <v/>
      </c>
      <c r="BG73" s="111" t="s">
        <v>2499</v>
      </c>
      <c r="BH73" s="115" t="s">
        <v>1168</v>
      </c>
      <c r="BI73" s="116"/>
      <c r="BJ73" s="222">
        <v>0.2573591203813903</v>
      </c>
      <c r="BK73" s="265">
        <f t="shared" ref="BK73:BK136" si="66">+AY73-Q73</f>
        <v>0</v>
      </c>
      <c r="BL73" s="265">
        <f t="shared" ref="BL73:BL136" si="67">+Q73-AY73</f>
        <v>0</v>
      </c>
      <c r="BM73" s="265">
        <f t="shared" ref="BM73:BM136" si="68">+K73-O73-P73-Q73</f>
        <v>5.8207660913467407E-11</v>
      </c>
      <c r="BN73" s="265">
        <f t="shared" ref="BN73:BN136" si="69">+X73-P73</f>
        <v>-2746.8641294360859</v>
      </c>
      <c r="BO73" s="109"/>
      <c r="BP73" s="265">
        <f t="shared" ref="BP73:BP136" si="70">+X73+Y73-AT73</f>
        <v>37221.627722308796</v>
      </c>
      <c r="BQ73" s="265">
        <v>37221.627722308796</v>
      </c>
      <c r="BR73" s="265" t="e">
        <f t="shared" ref="BR73:BR136" si="71">+BQ73*$BR$7</f>
        <v>#REF!</v>
      </c>
      <c r="BS73" s="265">
        <v>4193.3601526949496</v>
      </c>
      <c r="BT73" s="475">
        <v>1114736.0349671231</v>
      </c>
      <c r="BU73" s="475">
        <v>386307.15503287589</v>
      </c>
      <c r="BV73" s="475">
        <v>0</v>
      </c>
      <c r="BW73" s="483">
        <f t="shared" ref="BW73:BW136" si="72">P73-BU73</f>
        <v>0</v>
      </c>
      <c r="BX73" s="483">
        <f t="shared" ref="BX73:BX136" si="73">Q73-BV73</f>
        <v>0</v>
      </c>
    </row>
    <row r="74" spans="1:76" s="103" customFormat="1" ht="29">
      <c r="A74" s="100" t="s">
        <v>2502</v>
      </c>
      <c r="B74" s="91" t="str">
        <f t="shared" si="37"/>
        <v xml:space="preserve">CI </v>
      </c>
      <c r="C74" s="92" t="s">
        <v>463</v>
      </c>
      <c r="D74" s="448" t="s">
        <v>2269</v>
      </c>
      <c r="E74" s="449">
        <v>2130361</v>
      </c>
      <c r="F74" s="384" t="s">
        <v>959</v>
      </c>
      <c r="G74" s="502" t="s">
        <v>5001</v>
      </c>
      <c r="H74" s="398">
        <v>1</v>
      </c>
      <c r="I74" s="95" t="s">
        <v>951</v>
      </c>
      <c r="J74" s="95" t="s">
        <v>1166</v>
      </c>
      <c r="K74" s="191">
        <v>597433.68999999994</v>
      </c>
      <c r="L74" s="268">
        <v>0.82801869805204853</v>
      </c>
      <c r="M74" s="266">
        <v>1</v>
      </c>
      <c r="N74" s="267">
        <f t="shared" si="38"/>
        <v>0</v>
      </c>
      <c r="O74" s="96">
        <f t="shared" si="39"/>
        <v>102747.42383376883</v>
      </c>
      <c r="P74" s="96">
        <f t="shared" si="40"/>
        <v>494686.26616623113</v>
      </c>
      <c r="Q74" s="96">
        <f t="shared" si="41"/>
        <v>0</v>
      </c>
      <c r="R74" s="187" t="s">
        <v>2456</v>
      </c>
      <c r="S74" s="187" t="s">
        <v>3607</v>
      </c>
      <c r="T74" s="94" t="s">
        <v>2858</v>
      </c>
      <c r="U74" s="395">
        <f>COUNTIF(Aggregation_of_rev_to_allocate!$A$3:$A$137,$T74)</f>
        <v>1</v>
      </c>
      <c r="V74" s="100"/>
      <c r="W74" s="100">
        <v>130</v>
      </c>
      <c r="X74" s="109">
        <v>558224.70859740046</v>
      </c>
      <c r="Y74" s="109">
        <v>0</v>
      </c>
      <c r="Z74" s="110">
        <v>0.93437099035610216</v>
      </c>
      <c r="AA74" s="110">
        <v>1</v>
      </c>
      <c r="AB74" s="110">
        <v>0</v>
      </c>
      <c r="AC74" s="109">
        <f>IF(ISERROR((X74*SUMIF('Rev_for_allocation(Hard)'!$A$3:$A$249,$T74,'Rev_for_allocation(Hard)'!$I$3:$I$249)/SUMIF(Historic_capex_list!$T$9:$T$586,$T74,Historic_capex_list!$X$9:$X$586))=TRUE),0,X74*SUMIF('Rev_for_allocation(Hard)'!$A$3:$A$249,$T74,'Rev_for_allocation(Hard)'!$I$3:$I$249)/SUMIF(Historic_capex_list!$T$9:$T$586,$T74,Historic_capex_list!$X$9:$X$586))</f>
        <v>-63538.442431169322</v>
      </c>
      <c r="AD74" s="109">
        <f t="shared" si="42"/>
        <v>494686.26616623113</v>
      </c>
      <c r="AE74" s="109">
        <f t="shared" si="43"/>
        <v>494686.26616623113</v>
      </c>
      <c r="AF74" s="109">
        <f t="shared" si="44"/>
        <v>494686.26616623113</v>
      </c>
      <c r="AG74" s="332" t="str">
        <f t="shared" si="45"/>
        <v>N</v>
      </c>
      <c r="AH74" s="332">
        <f t="shared" si="46"/>
        <v>0</v>
      </c>
      <c r="AI74" s="332">
        <f t="shared" si="47"/>
        <v>0</v>
      </c>
      <c r="AJ74" s="109">
        <f t="shared" si="48"/>
        <v>494686.26616623113</v>
      </c>
      <c r="AK74" s="109">
        <f t="shared" si="49"/>
        <v>0</v>
      </c>
      <c r="AL74" s="109">
        <v>0</v>
      </c>
      <c r="AM74" s="111">
        <f t="shared" si="50"/>
        <v>0</v>
      </c>
      <c r="AN74" s="111">
        <f t="shared" si="51"/>
        <v>0</v>
      </c>
      <c r="AO74" s="111" t="str">
        <f t="shared" si="52"/>
        <v>Use deduct 3yrs</v>
      </c>
      <c r="AP74" s="111">
        <f t="shared" si="53"/>
        <v>0</v>
      </c>
      <c r="AQ74" s="112">
        <f t="shared" si="54"/>
        <v>0</v>
      </c>
      <c r="AR74" s="112">
        <f t="shared" si="55"/>
        <v>1</v>
      </c>
      <c r="AS74" s="113">
        <f t="shared" si="56"/>
        <v>2028</v>
      </c>
      <c r="AT74" s="109">
        <v>494686.26616623113</v>
      </c>
      <c r="AU74" s="114">
        <v>1</v>
      </c>
      <c r="AV74" s="113">
        <v>2028</v>
      </c>
      <c r="AW74" s="112">
        <f t="shared" si="57"/>
        <v>0.82801869805204853</v>
      </c>
      <c r="AX74" s="109">
        <f t="shared" si="58"/>
        <v>494686.26616623113</v>
      </c>
      <c r="AY74" s="109">
        <f t="shared" si="59"/>
        <v>0</v>
      </c>
      <c r="AZ74" s="109">
        <f t="shared" si="60"/>
        <v>494686.26616623113</v>
      </c>
      <c r="BA74" s="111">
        <f t="shared" si="61"/>
        <v>0</v>
      </c>
      <c r="BB74" s="117"/>
      <c r="BC74" s="115" t="str">
        <f t="shared" si="62"/>
        <v>N</v>
      </c>
      <c r="BD74" s="115" t="str">
        <f t="shared" si="63"/>
        <v>Y</v>
      </c>
      <c r="BE74" s="115" t="str">
        <f t="shared" si="64"/>
        <v>N</v>
      </c>
      <c r="BF74" s="109" t="str">
        <f t="shared" si="65"/>
        <v/>
      </c>
      <c r="BG74" s="111" t="s">
        <v>2499</v>
      </c>
      <c r="BH74" s="115" t="s">
        <v>1168</v>
      </c>
      <c r="BI74" s="116"/>
      <c r="BJ74" s="222">
        <v>0.82801869805204853</v>
      </c>
      <c r="BK74" s="265">
        <f t="shared" si="66"/>
        <v>0</v>
      </c>
      <c r="BL74" s="265">
        <f t="shared" si="67"/>
        <v>0</v>
      </c>
      <c r="BM74" s="265">
        <f t="shared" si="68"/>
        <v>0</v>
      </c>
      <c r="BN74" s="265">
        <f t="shared" si="69"/>
        <v>63538.442431169329</v>
      </c>
      <c r="BO74" s="109"/>
      <c r="BP74" s="265">
        <f t="shared" si="70"/>
        <v>63538.442431169329</v>
      </c>
      <c r="BQ74" s="265">
        <v>63538.442431169329</v>
      </c>
      <c r="BR74" s="265" t="e">
        <f t="shared" si="71"/>
        <v>#REF!</v>
      </c>
      <c r="BS74" s="265">
        <v>7158.1923994010831</v>
      </c>
      <c r="BT74" s="475">
        <v>102747.42383376883</v>
      </c>
      <c r="BU74" s="475">
        <v>494686.26616623113</v>
      </c>
      <c r="BV74" s="475">
        <v>0</v>
      </c>
      <c r="BW74" s="483">
        <f t="shared" si="72"/>
        <v>0</v>
      </c>
      <c r="BX74" s="483">
        <f t="shared" si="73"/>
        <v>0</v>
      </c>
    </row>
    <row r="75" spans="1:76" s="103" customFormat="1" ht="14.5">
      <c r="A75" s="100" t="s">
        <v>2502</v>
      </c>
      <c r="B75" s="91" t="str">
        <f t="shared" si="37"/>
        <v xml:space="preserve">CI </v>
      </c>
      <c r="C75" s="92" t="s">
        <v>463</v>
      </c>
      <c r="D75" s="448" t="s">
        <v>2269</v>
      </c>
      <c r="E75" s="449" t="s">
        <v>2046</v>
      </c>
      <c r="F75" s="467" t="s">
        <v>4868</v>
      </c>
      <c r="G75" s="502" t="s">
        <v>5242</v>
      </c>
      <c r="H75" s="470">
        <v>0.75219999999999998</v>
      </c>
      <c r="I75" s="95" t="s">
        <v>962</v>
      </c>
      <c r="J75" s="95" t="s">
        <v>1166</v>
      </c>
      <c r="K75" s="469">
        <v>95162</v>
      </c>
      <c r="L75" s="471">
        <v>0.44627853879658252</v>
      </c>
      <c r="M75" s="266">
        <v>1</v>
      </c>
      <c r="N75" s="267">
        <f t="shared" si="38"/>
        <v>0</v>
      </c>
      <c r="O75" s="96">
        <f t="shared" si="39"/>
        <v>63217</v>
      </c>
      <c r="P75" s="96">
        <f t="shared" si="40"/>
        <v>31945.000000000004</v>
      </c>
      <c r="Q75" s="96">
        <f t="shared" si="41"/>
        <v>0</v>
      </c>
      <c r="R75" s="187" t="s">
        <v>2455</v>
      </c>
      <c r="S75" s="187" t="s">
        <v>3607</v>
      </c>
      <c r="T75" s="94" t="s">
        <v>2857</v>
      </c>
      <c r="U75" s="395">
        <f>COUNTIF(Aggregation_of_rev_to_allocate!$A$3:$A$137,$T75)</f>
        <v>1</v>
      </c>
      <c r="V75" s="100"/>
      <c r="W75" s="100">
        <v>102</v>
      </c>
      <c r="X75" s="109">
        <v>31945.000562402227</v>
      </c>
      <c r="Y75" s="109">
        <v>0</v>
      </c>
      <c r="Z75" s="110">
        <v>0.44509621661119708</v>
      </c>
      <c r="AA75" s="110">
        <v>1</v>
      </c>
      <c r="AB75" s="110">
        <v>0</v>
      </c>
      <c r="AC75" s="109">
        <f>IF(ISERROR((X75*SUMIF('Rev_for_allocation(Hard)'!$A$3:$A$249,$T75,'Rev_for_allocation(Hard)'!$I$3:$I$249)/SUMIF(Historic_capex_list!$T$9:$T$586,$T75,Historic_capex_list!$X$9:$X$586))=TRUE),0,X75*SUMIF('Rev_for_allocation(Hard)'!$A$3:$A$249,$T75,'Rev_for_allocation(Hard)'!$I$3:$I$249)/SUMIF(Historic_capex_list!$T$9:$T$586,$T75,Historic_capex_list!$X$9:$X$586))</f>
        <v>3.1474659841991987E-4</v>
      </c>
      <c r="AD75" s="109">
        <f t="shared" si="42"/>
        <v>31945.000877148825</v>
      </c>
      <c r="AE75" s="109">
        <f t="shared" si="43"/>
        <v>31945.000877148825</v>
      </c>
      <c r="AF75" s="109">
        <f t="shared" si="44"/>
        <v>31945.000877148825</v>
      </c>
      <c r="AG75" s="332" t="str">
        <f t="shared" si="45"/>
        <v>N</v>
      </c>
      <c r="AH75" s="332">
        <f t="shared" si="46"/>
        <v>0</v>
      </c>
      <c r="AI75" s="332">
        <f t="shared" si="47"/>
        <v>0</v>
      </c>
      <c r="AJ75" s="109">
        <f t="shared" si="48"/>
        <v>31945.000877148825</v>
      </c>
      <c r="AK75" s="109">
        <f t="shared" si="49"/>
        <v>0</v>
      </c>
      <c r="AL75" s="109">
        <v>0</v>
      </c>
      <c r="AM75" s="111">
        <f t="shared" si="50"/>
        <v>0</v>
      </c>
      <c r="AN75" s="111">
        <f t="shared" si="51"/>
        <v>0</v>
      </c>
      <c r="AO75" s="111" t="str">
        <f t="shared" si="52"/>
        <v>Use deduct 3yrs</v>
      </c>
      <c r="AP75" s="111">
        <f t="shared" si="53"/>
        <v>0</v>
      </c>
      <c r="AQ75" s="112">
        <f t="shared" si="54"/>
        <v>0</v>
      </c>
      <c r="AR75" s="112">
        <f t="shared" si="55"/>
        <v>1</v>
      </c>
      <c r="AS75" s="113">
        <f t="shared" si="56"/>
        <v>2028</v>
      </c>
      <c r="AT75" s="109">
        <v>31945.000932871699</v>
      </c>
      <c r="AU75" s="114">
        <v>1</v>
      </c>
      <c r="AV75" s="113">
        <v>2028</v>
      </c>
      <c r="AW75" s="112">
        <f t="shared" si="57"/>
        <v>0.44627855182900128</v>
      </c>
      <c r="AX75" s="109">
        <f t="shared" si="58"/>
        <v>31945.000932871699</v>
      </c>
      <c r="AY75" s="109">
        <f t="shared" si="59"/>
        <v>0</v>
      </c>
      <c r="AZ75" s="109">
        <f t="shared" si="60"/>
        <v>31945.000932871699</v>
      </c>
      <c r="BA75" s="111">
        <f t="shared" si="61"/>
        <v>0</v>
      </c>
      <c r="BB75" s="117"/>
      <c r="BC75" s="115" t="str">
        <f t="shared" si="62"/>
        <v>N</v>
      </c>
      <c r="BD75" s="115" t="str">
        <f t="shared" si="63"/>
        <v>Y</v>
      </c>
      <c r="BE75" s="115" t="str">
        <f t="shared" si="64"/>
        <v>N</v>
      </c>
      <c r="BF75" s="109" t="str">
        <f t="shared" si="65"/>
        <v/>
      </c>
      <c r="BG75" s="111" t="s">
        <v>2499</v>
      </c>
      <c r="BH75" s="115" t="s">
        <v>1168</v>
      </c>
      <c r="BI75" s="116"/>
      <c r="BJ75" s="222">
        <v>0.44509622177302388</v>
      </c>
      <c r="BK75" s="265">
        <f t="shared" si="66"/>
        <v>0</v>
      </c>
      <c r="BL75" s="265">
        <f t="shared" si="67"/>
        <v>0</v>
      </c>
      <c r="BM75" s="265">
        <f t="shared" si="68"/>
        <v>-3.637978807091713E-12</v>
      </c>
      <c r="BN75" s="265">
        <f t="shared" si="69"/>
        <v>5.6240222329506651E-4</v>
      </c>
      <c r="BO75" s="109"/>
      <c r="BP75" s="265">
        <f t="shared" si="70"/>
        <v>-3.70469471818069E-4</v>
      </c>
      <c r="BQ75" s="265">
        <v>-3.70469471818069E-4</v>
      </c>
      <c r="BR75" s="265" t="e">
        <f t="shared" si="71"/>
        <v>#REF!</v>
      </c>
      <c r="BS75" s="265">
        <v>-4.173680776407146E-5</v>
      </c>
      <c r="BT75" s="475">
        <v>39825.999067128301</v>
      </c>
      <c r="BU75" s="475">
        <v>31945.000932871699</v>
      </c>
      <c r="BV75" s="475">
        <v>0</v>
      </c>
      <c r="BW75" s="483">
        <f t="shared" si="72"/>
        <v>-9.328716951131355E-4</v>
      </c>
      <c r="BX75" s="483">
        <f t="shared" si="73"/>
        <v>0</v>
      </c>
    </row>
    <row r="76" spans="1:76" s="103" customFormat="1" ht="14.5">
      <c r="A76" s="100" t="s">
        <v>2502</v>
      </c>
      <c r="B76" s="91" t="str">
        <f t="shared" si="37"/>
        <v xml:space="preserve">CI </v>
      </c>
      <c r="C76" s="92" t="s">
        <v>463</v>
      </c>
      <c r="D76" s="448" t="s">
        <v>2269</v>
      </c>
      <c r="E76" s="449" t="s">
        <v>2047</v>
      </c>
      <c r="F76" s="467" t="s">
        <v>4869</v>
      </c>
      <c r="G76" s="502" t="s">
        <v>5242</v>
      </c>
      <c r="H76" s="470">
        <v>0.75219999999999998</v>
      </c>
      <c r="I76" s="95" t="s">
        <v>962</v>
      </c>
      <c r="J76" s="95" t="s">
        <v>1166</v>
      </c>
      <c r="K76" s="469">
        <v>151134</v>
      </c>
      <c r="L76" s="471">
        <v>0.44507096324313233</v>
      </c>
      <c r="M76" s="266">
        <v>1</v>
      </c>
      <c r="N76" s="267">
        <f t="shared" si="38"/>
        <v>0</v>
      </c>
      <c r="O76" s="96">
        <f t="shared" si="39"/>
        <v>100537</v>
      </c>
      <c r="P76" s="96">
        <f t="shared" si="40"/>
        <v>50597</v>
      </c>
      <c r="Q76" s="96">
        <f t="shared" si="41"/>
        <v>0</v>
      </c>
      <c r="R76" s="187" t="s">
        <v>2455</v>
      </c>
      <c r="S76" s="187" t="s">
        <v>3607</v>
      </c>
      <c r="T76" s="94" t="s">
        <v>2857</v>
      </c>
      <c r="U76" s="395">
        <f>COUNTIF(Aggregation_of_rev_to_allocate!$A$3:$A$137,$T76)</f>
        <v>1</v>
      </c>
      <c r="V76" s="100"/>
      <c r="W76" s="100">
        <v>103</v>
      </c>
      <c r="X76" s="109">
        <v>50597.202615711052</v>
      </c>
      <c r="Y76" s="109">
        <v>0</v>
      </c>
      <c r="Z76" s="110">
        <v>0.44509621661119708</v>
      </c>
      <c r="AA76" s="110">
        <v>1</v>
      </c>
      <c r="AB76" s="110">
        <v>0</v>
      </c>
      <c r="AC76" s="109">
        <f>IF(ISERROR((X76*SUMIF('Rev_for_allocation(Hard)'!$A$3:$A$249,$T76,'Rev_for_allocation(Hard)'!$I$3:$I$249)/SUMIF(Historic_capex_list!$T$9:$T$586,$T76,Historic_capex_list!$X$9:$X$586))=TRUE),0,X76*SUMIF('Rev_for_allocation(Hard)'!$A$3:$A$249,$T76,'Rev_for_allocation(Hard)'!$I$3:$I$249)/SUMIF(Historic_capex_list!$T$9:$T$586,$T76,Historic_capex_list!$X$9:$X$586))</f>
        <v>4.9852237071492983E-4</v>
      </c>
      <c r="AD76" s="109">
        <f t="shared" si="42"/>
        <v>50597.203114233424</v>
      </c>
      <c r="AE76" s="109">
        <f t="shared" si="43"/>
        <v>50597.203114233424</v>
      </c>
      <c r="AF76" s="109">
        <f t="shared" si="44"/>
        <v>50597.203114233424</v>
      </c>
      <c r="AG76" s="332" t="str">
        <f t="shared" si="45"/>
        <v>N</v>
      </c>
      <c r="AH76" s="332">
        <f t="shared" si="46"/>
        <v>0</v>
      </c>
      <c r="AI76" s="332">
        <f t="shared" si="47"/>
        <v>0</v>
      </c>
      <c r="AJ76" s="109">
        <f t="shared" si="48"/>
        <v>50597.203114233424</v>
      </c>
      <c r="AK76" s="109">
        <f t="shared" si="49"/>
        <v>0</v>
      </c>
      <c r="AL76" s="109">
        <v>0</v>
      </c>
      <c r="AM76" s="111">
        <f t="shared" si="50"/>
        <v>0</v>
      </c>
      <c r="AN76" s="111">
        <f t="shared" si="51"/>
        <v>0</v>
      </c>
      <c r="AO76" s="111" t="str">
        <f t="shared" si="52"/>
        <v>Use deduct 3yrs</v>
      </c>
      <c r="AP76" s="111">
        <f t="shared" si="53"/>
        <v>0</v>
      </c>
      <c r="AQ76" s="112">
        <f t="shared" si="54"/>
        <v>0</v>
      </c>
      <c r="AR76" s="112">
        <f t="shared" si="55"/>
        <v>1</v>
      </c>
      <c r="AS76" s="113">
        <f t="shared" si="56"/>
        <v>2028</v>
      </c>
      <c r="AT76" s="109">
        <v>50597.203202492041</v>
      </c>
      <c r="AU76" s="114">
        <v>1</v>
      </c>
      <c r="AV76" s="113">
        <v>2028</v>
      </c>
      <c r="AW76" s="112">
        <f t="shared" si="57"/>
        <v>0.4450727506915752</v>
      </c>
      <c r="AX76" s="109">
        <f t="shared" si="58"/>
        <v>50597.203202492041</v>
      </c>
      <c r="AY76" s="109">
        <f t="shared" si="59"/>
        <v>0</v>
      </c>
      <c r="AZ76" s="109">
        <f t="shared" si="60"/>
        <v>50597.203202492041</v>
      </c>
      <c r="BA76" s="111">
        <f t="shared" si="61"/>
        <v>0</v>
      </c>
      <c r="BB76" s="117"/>
      <c r="BC76" s="115" t="str">
        <f t="shared" si="62"/>
        <v>N</v>
      </c>
      <c r="BD76" s="115" t="str">
        <f t="shared" si="63"/>
        <v>Y</v>
      </c>
      <c r="BE76" s="115" t="str">
        <f t="shared" si="64"/>
        <v>N</v>
      </c>
      <c r="BF76" s="109" t="str">
        <f t="shared" si="65"/>
        <v/>
      </c>
      <c r="BG76" s="111" t="s">
        <v>2499</v>
      </c>
      <c r="BH76" s="115" t="s">
        <v>1168</v>
      </c>
      <c r="BI76" s="116"/>
      <c r="BJ76" s="222">
        <v>0.44509622177302394</v>
      </c>
      <c r="BK76" s="265">
        <f t="shared" si="66"/>
        <v>0</v>
      </c>
      <c r="BL76" s="265">
        <f t="shared" si="67"/>
        <v>0</v>
      </c>
      <c r="BM76" s="265">
        <f t="shared" si="68"/>
        <v>0</v>
      </c>
      <c r="BN76" s="265">
        <f t="shared" si="69"/>
        <v>0.20261571105220355</v>
      </c>
      <c r="BO76" s="109"/>
      <c r="BP76" s="265">
        <f t="shared" si="70"/>
        <v>-5.8678098866948858E-4</v>
      </c>
      <c r="BQ76" s="265">
        <v>-5.8678098866948858E-4</v>
      </c>
      <c r="BR76" s="265" t="e">
        <f t="shared" si="71"/>
        <v>#REF!</v>
      </c>
      <c r="BS76" s="265">
        <v>-6.6106298053452084E-5</v>
      </c>
      <c r="BT76" s="475">
        <v>63079.796797507966</v>
      </c>
      <c r="BU76" s="475">
        <v>50597.203202492041</v>
      </c>
      <c r="BV76" s="475">
        <v>0</v>
      </c>
      <c r="BW76" s="483">
        <f t="shared" si="72"/>
        <v>-0.20320249204087304</v>
      </c>
      <c r="BX76" s="483">
        <f t="shared" si="73"/>
        <v>0</v>
      </c>
    </row>
    <row r="77" spans="1:76" s="103" customFormat="1" ht="14.5">
      <c r="A77" s="100" t="s">
        <v>2502</v>
      </c>
      <c r="B77" s="91" t="str">
        <f t="shared" si="37"/>
        <v xml:space="preserve">CI </v>
      </c>
      <c r="C77" s="92" t="s">
        <v>463</v>
      </c>
      <c r="D77" s="448" t="s">
        <v>2269</v>
      </c>
      <c r="E77" s="449" t="s">
        <v>2052</v>
      </c>
      <c r="F77" s="467" t="s">
        <v>4870</v>
      </c>
      <c r="G77" s="502" t="s">
        <v>5242</v>
      </c>
      <c r="H77" s="470">
        <v>0.75219999999999998</v>
      </c>
      <c r="I77" s="95" t="s">
        <v>962</v>
      </c>
      <c r="J77" s="95" t="s">
        <v>1166</v>
      </c>
      <c r="K77" s="469">
        <v>256000</v>
      </c>
      <c r="L77" s="471">
        <v>0.57192132245413452</v>
      </c>
      <c r="M77" s="266">
        <v>1</v>
      </c>
      <c r="N77" s="267">
        <f t="shared" si="38"/>
        <v>0</v>
      </c>
      <c r="O77" s="96">
        <f t="shared" si="39"/>
        <v>145869</v>
      </c>
      <c r="P77" s="96">
        <f t="shared" si="40"/>
        <v>110130.99999999999</v>
      </c>
      <c r="Q77" s="96">
        <f t="shared" si="41"/>
        <v>0</v>
      </c>
      <c r="R77" s="187" t="s">
        <v>2455</v>
      </c>
      <c r="S77" s="187" t="s">
        <v>3607</v>
      </c>
      <c r="T77" s="94" t="s">
        <v>2857</v>
      </c>
      <c r="U77" s="395">
        <f>COUNTIF(Aggregation_of_rev_to_allocate!$A$3:$A$137,$T77)</f>
        <v>1</v>
      </c>
      <c r="V77" s="100"/>
      <c r="W77" s="100">
        <v>104</v>
      </c>
      <c r="X77" s="109">
        <v>110131.04706854172</v>
      </c>
      <c r="Y77" s="109">
        <v>0</v>
      </c>
      <c r="Z77" s="110">
        <v>0.44509621661119714</v>
      </c>
      <c r="AA77" s="110">
        <v>1</v>
      </c>
      <c r="AB77" s="110">
        <v>0</v>
      </c>
      <c r="AC77" s="109">
        <f>IF(ISERROR((X77*SUMIF('Rev_for_allocation(Hard)'!$A$3:$A$249,$T77,'Rev_for_allocation(Hard)'!$I$3:$I$249)/SUMIF(Historic_capex_list!$T$9:$T$586,$T77,Historic_capex_list!$X$9:$X$586))=TRUE),0,X77*SUMIF('Rev_for_allocation(Hard)'!$A$3:$A$249,$T77,'Rev_for_allocation(Hard)'!$I$3:$I$249)/SUMIF(Historic_capex_list!$T$9:$T$586,$T77,Historic_capex_list!$X$9:$X$586))</f>
        <v>1.085095377523479E-3</v>
      </c>
      <c r="AD77" s="109">
        <f t="shared" si="42"/>
        <v>110131.04815363711</v>
      </c>
      <c r="AE77" s="109">
        <f t="shared" si="43"/>
        <v>110131.04815363711</v>
      </c>
      <c r="AF77" s="109">
        <f t="shared" si="44"/>
        <v>110131.04815363711</v>
      </c>
      <c r="AG77" s="332" t="str">
        <f t="shared" si="45"/>
        <v>N</v>
      </c>
      <c r="AH77" s="332">
        <f t="shared" si="46"/>
        <v>0</v>
      </c>
      <c r="AI77" s="332">
        <f t="shared" si="47"/>
        <v>0</v>
      </c>
      <c r="AJ77" s="109">
        <f t="shared" si="48"/>
        <v>110131.04815363711</v>
      </c>
      <c r="AK77" s="109">
        <f t="shared" si="49"/>
        <v>0</v>
      </c>
      <c r="AL77" s="109">
        <v>0</v>
      </c>
      <c r="AM77" s="111">
        <f t="shared" si="50"/>
        <v>0</v>
      </c>
      <c r="AN77" s="111">
        <f t="shared" si="51"/>
        <v>0</v>
      </c>
      <c r="AO77" s="111" t="str">
        <f t="shared" si="52"/>
        <v>Use deduct 3yrs</v>
      </c>
      <c r="AP77" s="111">
        <f t="shared" si="53"/>
        <v>0</v>
      </c>
      <c r="AQ77" s="112">
        <f t="shared" si="54"/>
        <v>0</v>
      </c>
      <c r="AR77" s="112">
        <f t="shared" si="55"/>
        <v>1</v>
      </c>
      <c r="AS77" s="113">
        <f t="shared" si="56"/>
        <v>2028</v>
      </c>
      <c r="AT77" s="109">
        <v>110131.04834574286</v>
      </c>
      <c r="AU77" s="114">
        <v>1</v>
      </c>
      <c r="AV77" s="113">
        <v>2028</v>
      </c>
      <c r="AW77" s="112">
        <f t="shared" si="57"/>
        <v>0.57192157351842343</v>
      </c>
      <c r="AX77" s="109">
        <f t="shared" si="58"/>
        <v>110131.04834574288</v>
      </c>
      <c r="AY77" s="109">
        <f t="shared" si="59"/>
        <v>0</v>
      </c>
      <c r="AZ77" s="109">
        <f t="shared" si="60"/>
        <v>110131.04834574288</v>
      </c>
      <c r="BA77" s="111">
        <f t="shared" si="61"/>
        <v>0</v>
      </c>
      <c r="BB77" s="117"/>
      <c r="BC77" s="115" t="str">
        <f t="shared" si="62"/>
        <v>N</v>
      </c>
      <c r="BD77" s="115" t="str">
        <f t="shared" si="63"/>
        <v>Y</v>
      </c>
      <c r="BE77" s="115" t="str">
        <f t="shared" si="64"/>
        <v>N</v>
      </c>
      <c r="BF77" s="109" t="str">
        <f t="shared" si="65"/>
        <v/>
      </c>
      <c r="BG77" s="111" t="s">
        <v>2499</v>
      </c>
      <c r="BH77" s="115" t="s">
        <v>1168</v>
      </c>
      <c r="BI77" s="116"/>
      <c r="BJ77" s="222">
        <v>0.44509622177302394</v>
      </c>
      <c r="BK77" s="265">
        <f t="shared" si="66"/>
        <v>0</v>
      </c>
      <c r="BL77" s="265">
        <f t="shared" si="67"/>
        <v>0</v>
      </c>
      <c r="BM77" s="265">
        <f t="shared" si="68"/>
        <v>1.4551915228366852E-11</v>
      </c>
      <c r="BN77" s="265">
        <f t="shared" si="69"/>
        <v>4.7068541738553904E-2</v>
      </c>
      <c r="BO77" s="109"/>
      <c r="BP77" s="265">
        <f t="shared" si="70"/>
        <v>-1.2772011396009475E-3</v>
      </c>
      <c r="BQ77" s="265">
        <v>-1.2772011396009475E-3</v>
      </c>
      <c r="BR77" s="265" t="e">
        <f t="shared" si="71"/>
        <v>#REF!</v>
      </c>
      <c r="BS77" s="265">
        <v>-1.4388850497715374E-4</v>
      </c>
      <c r="BT77" s="475">
        <v>137300.95165425717</v>
      </c>
      <c r="BU77" s="475">
        <v>110131.04834574286</v>
      </c>
      <c r="BV77" s="475">
        <v>0</v>
      </c>
      <c r="BW77" s="483">
        <f t="shared" si="72"/>
        <v>-4.8345742878154851E-2</v>
      </c>
      <c r="BX77" s="483">
        <f t="shared" si="73"/>
        <v>0</v>
      </c>
    </row>
    <row r="78" spans="1:76" s="103" customFormat="1" ht="29">
      <c r="A78" s="100" t="s">
        <v>2502</v>
      </c>
      <c r="B78" s="91" t="str">
        <f t="shared" si="37"/>
        <v xml:space="preserve">CI </v>
      </c>
      <c r="C78" s="92" t="s">
        <v>463</v>
      </c>
      <c r="D78" s="448"/>
      <c r="E78" s="449" t="s">
        <v>2037</v>
      </c>
      <c r="F78" s="467" t="s">
        <v>4873</v>
      </c>
      <c r="G78" s="502" t="s">
        <v>5243</v>
      </c>
      <c r="H78" s="470">
        <v>1</v>
      </c>
      <c r="I78" s="95" t="s">
        <v>962</v>
      </c>
      <c r="J78" s="95" t="s">
        <v>1166</v>
      </c>
      <c r="K78" s="469">
        <v>151000</v>
      </c>
      <c r="L78" s="471">
        <v>0.4903973509933775</v>
      </c>
      <c r="M78" s="266">
        <v>1</v>
      </c>
      <c r="N78" s="267">
        <f t="shared" si="38"/>
        <v>0</v>
      </c>
      <c r="O78" s="96">
        <f t="shared" si="39"/>
        <v>76950</v>
      </c>
      <c r="P78" s="96">
        <f t="shared" si="40"/>
        <v>74050</v>
      </c>
      <c r="Q78" s="96">
        <f t="shared" si="41"/>
        <v>0</v>
      </c>
      <c r="R78" s="187" t="s">
        <v>2455</v>
      </c>
      <c r="S78" s="187" t="s">
        <v>3607</v>
      </c>
      <c r="T78" s="94" t="s">
        <v>2857</v>
      </c>
      <c r="U78" s="395">
        <f>COUNTIF(Aggregation_of_rev_to_allocate!$A$3:$A$137,$T78)</f>
        <v>1</v>
      </c>
      <c r="V78" s="100"/>
      <c r="W78" s="100">
        <v>106</v>
      </c>
      <c r="X78" s="109">
        <v>74050.435009496563</v>
      </c>
      <c r="Y78" s="109">
        <v>0</v>
      </c>
      <c r="Z78" s="110">
        <v>0.48960583827231685</v>
      </c>
      <c r="AA78" s="110">
        <v>1</v>
      </c>
      <c r="AB78" s="110">
        <v>0</v>
      </c>
      <c r="AC78" s="109">
        <f>IF(ISERROR((X78*SUMIF('Rev_for_allocation(Hard)'!$A$3:$A$249,$T78,'Rev_for_allocation(Hard)'!$I$3:$I$249)/SUMIF(Historic_capex_list!$T$9:$T$586,$T78,Historic_capex_list!$X$9:$X$586))=TRUE),0,X78*SUMIF('Rev_for_allocation(Hard)'!$A$3:$A$249,$T78,'Rev_for_allocation(Hard)'!$I$3:$I$249)/SUMIF(Historic_capex_list!$T$9:$T$586,$T78,Historic_capex_list!$X$9:$X$586))</f>
        <v>7.2960156895992613E-4</v>
      </c>
      <c r="AD78" s="109">
        <f t="shared" si="42"/>
        <v>74050.435739098131</v>
      </c>
      <c r="AE78" s="109">
        <f t="shared" si="43"/>
        <v>74050.435739098131</v>
      </c>
      <c r="AF78" s="109">
        <f t="shared" si="44"/>
        <v>74050.435739098131</v>
      </c>
      <c r="AG78" s="332" t="str">
        <f t="shared" si="45"/>
        <v>N</v>
      </c>
      <c r="AH78" s="332">
        <f t="shared" si="46"/>
        <v>0</v>
      </c>
      <c r="AI78" s="332">
        <f t="shared" si="47"/>
        <v>0</v>
      </c>
      <c r="AJ78" s="109">
        <f t="shared" si="48"/>
        <v>74050.435739098131</v>
      </c>
      <c r="AK78" s="109">
        <f t="shared" si="49"/>
        <v>0</v>
      </c>
      <c r="AL78" s="109">
        <v>0</v>
      </c>
      <c r="AM78" s="111">
        <f t="shared" si="50"/>
        <v>0</v>
      </c>
      <c r="AN78" s="111">
        <f t="shared" si="51"/>
        <v>0</v>
      </c>
      <c r="AO78" s="111" t="str">
        <f t="shared" si="52"/>
        <v>Use deduct 3yrs</v>
      </c>
      <c r="AP78" s="111">
        <f t="shared" si="53"/>
        <v>0</v>
      </c>
      <c r="AQ78" s="112">
        <f t="shared" si="54"/>
        <v>0</v>
      </c>
      <c r="AR78" s="112">
        <f t="shared" si="55"/>
        <v>1</v>
      </c>
      <c r="AS78" s="113">
        <f t="shared" si="56"/>
        <v>2028</v>
      </c>
      <c r="AT78" s="109">
        <v>74050.435868267115</v>
      </c>
      <c r="AU78" s="114">
        <v>1</v>
      </c>
      <c r="AV78" s="113">
        <v>2028</v>
      </c>
      <c r="AW78" s="112">
        <f t="shared" si="57"/>
        <v>0.49040023753819284</v>
      </c>
      <c r="AX78" s="109">
        <f t="shared" si="58"/>
        <v>74050.435868267115</v>
      </c>
      <c r="AY78" s="109">
        <f t="shared" si="59"/>
        <v>0</v>
      </c>
      <c r="AZ78" s="109">
        <f t="shared" si="60"/>
        <v>74050.435868267115</v>
      </c>
      <c r="BA78" s="111">
        <f t="shared" si="61"/>
        <v>0</v>
      </c>
      <c r="BB78" s="117"/>
      <c r="BC78" s="115" t="str">
        <f t="shared" si="62"/>
        <v>N</v>
      </c>
      <c r="BD78" s="115" t="str">
        <f t="shared" si="63"/>
        <v>Y</v>
      </c>
      <c r="BE78" s="115" t="str">
        <f t="shared" si="64"/>
        <v>N</v>
      </c>
      <c r="BF78" s="109" t="str">
        <f t="shared" si="65"/>
        <v/>
      </c>
      <c r="BG78" s="111" t="s">
        <v>2499</v>
      </c>
      <c r="BH78" s="115" t="s">
        <v>1168</v>
      </c>
      <c r="BI78" s="116"/>
      <c r="BJ78" s="222">
        <v>0.48960584395032641</v>
      </c>
      <c r="BK78" s="265">
        <f t="shared" si="66"/>
        <v>0</v>
      </c>
      <c r="BL78" s="265">
        <f t="shared" si="67"/>
        <v>0</v>
      </c>
      <c r="BM78" s="265">
        <f t="shared" si="68"/>
        <v>0</v>
      </c>
      <c r="BN78" s="265">
        <f t="shared" si="69"/>
        <v>0.43500949656299781</v>
      </c>
      <c r="BO78" s="109"/>
      <c r="BP78" s="265">
        <f t="shared" si="70"/>
        <v>-8.5877055244054645E-4</v>
      </c>
      <c r="BQ78" s="265">
        <v>-8.5877055244054645E-4</v>
      </c>
      <c r="BR78" s="265" t="e">
        <f t="shared" si="71"/>
        <v>#REF!</v>
      </c>
      <c r="BS78" s="265">
        <v>-9.6748434586961255E-5</v>
      </c>
      <c r="BT78" s="475">
        <v>77194.564131732885</v>
      </c>
      <c r="BU78" s="475">
        <v>74050.435868267115</v>
      </c>
      <c r="BV78" s="475">
        <v>0</v>
      </c>
      <c r="BW78" s="483">
        <f t="shared" si="72"/>
        <v>-0.43586826711543836</v>
      </c>
      <c r="BX78" s="483">
        <f t="shared" si="73"/>
        <v>0</v>
      </c>
    </row>
    <row r="79" spans="1:76" s="103" customFormat="1" ht="29">
      <c r="A79" s="100" t="s">
        <v>2502</v>
      </c>
      <c r="B79" s="91" t="str">
        <f t="shared" si="37"/>
        <v xml:space="preserve">CI </v>
      </c>
      <c r="C79" s="92" t="s">
        <v>463</v>
      </c>
      <c r="D79" s="448"/>
      <c r="E79" s="449" t="s">
        <v>2039</v>
      </c>
      <c r="F79" s="467" t="s">
        <v>4874</v>
      </c>
      <c r="G79" s="502" t="s">
        <v>5243</v>
      </c>
      <c r="H79" s="470">
        <v>0.80649999999999999</v>
      </c>
      <c r="I79" s="95" t="s">
        <v>962</v>
      </c>
      <c r="J79" s="95" t="s">
        <v>1166</v>
      </c>
      <c r="K79" s="469">
        <v>108000</v>
      </c>
      <c r="L79" s="471">
        <v>0.77287547932309264</v>
      </c>
      <c r="M79" s="266">
        <v>1</v>
      </c>
      <c r="N79" s="267">
        <f t="shared" si="38"/>
        <v>0</v>
      </c>
      <c r="O79" s="96">
        <f t="shared" si="39"/>
        <v>40680.999999999985</v>
      </c>
      <c r="P79" s="96">
        <f t="shared" si="40"/>
        <v>67319.000000000015</v>
      </c>
      <c r="Q79" s="96">
        <f t="shared" si="41"/>
        <v>0</v>
      </c>
      <c r="R79" s="187" t="s">
        <v>2455</v>
      </c>
      <c r="S79" s="187" t="s">
        <v>3607</v>
      </c>
      <c r="T79" s="94" t="s">
        <v>2857</v>
      </c>
      <c r="U79" s="395">
        <f>COUNTIF(Aggregation_of_rev_to_allocate!$A$3:$A$137,$T79)</f>
        <v>1</v>
      </c>
      <c r="V79" s="100"/>
      <c r="W79" s="100">
        <v>107</v>
      </c>
      <c r="X79" s="109">
        <v>67319.308302059566</v>
      </c>
      <c r="Y79" s="109">
        <v>0</v>
      </c>
      <c r="Z79" s="110">
        <v>0.73705926864903448</v>
      </c>
      <c r="AA79" s="110">
        <v>1</v>
      </c>
      <c r="AB79" s="110">
        <v>0</v>
      </c>
      <c r="AC79" s="109">
        <f>IF(ISERROR((X79*SUMIF('Rev_for_allocation(Hard)'!$A$3:$A$249,$T79,'Rev_for_allocation(Hard)'!$I$3:$I$249)/SUMIF(Historic_capex_list!$T$9:$T$586,$T79,Historic_capex_list!$X$9:$X$586))=TRUE),0,X79*SUMIF('Rev_for_allocation(Hard)'!$A$3:$A$249,$T79,'Rev_for_allocation(Hard)'!$I$3:$I$249)/SUMIF(Historic_capex_list!$T$9:$T$586,$T79,Historic_capex_list!$X$9:$X$586))</f>
        <v>6.6328135617543295E-4</v>
      </c>
      <c r="AD79" s="109">
        <f t="shared" si="42"/>
        <v>67319.308965340926</v>
      </c>
      <c r="AE79" s="109">
        <f t="shared" si="43"/>
        <v>67319.308965340926</v>
      </c>
      <c r="AF79" s="109">
        <f t="shared" si="44"/>
        <v>67319.308965340926</v>
      </c>
      <c r="AG79" s="332" t="str">
        <f t="shared" si="45"/>
        <v>N</v>
      </c>
      <c r="AH79" s="332">
        <f t="shared" si="46"/>
        <v>0</v>
      </c>
      <c r="AI79" s="332">
        <f t="shared" si="47"/>
        <v>0</v>
      </c>
      <c r="AJ79" s="109">
        <f t="shared" si="48"/>
        <v>67319.308965340926</v>
      </c>
      <c r="AK79" s="109">
        <f t="shared" si="49"/>
        <v>0</v>
      </c>
      <c r="AL79" s="109">
        <v>0</v>
      </c>
      <c r="AM79" s="111">
        <f t="shared" si="50"/>
        <v>0</v>
      </c>
      <c r="AN79" s="111">
        <f t="shared" si="51"/>
        <v>0</v>
      </c>
      <c r="AO79" s="111" t="str">
        <f t="shared" si="52"/>
        <v>Use deduct 3yrs</v>
      </c>
      <c r="AP79" s="111">
        <f t="shared" si="53"/>
        <v>0</v>
      </c>
      <c r="AQ79" s="112">
        <f t="shared" si="54"/>
        <v>0</v>
      </c>
      <c r="AR79" s="112">
        <f t="shared" si="55"/>
        <v>1</v>
      </c>
      <c r="AS79" s="113">
        <f t="shared" si="56"/>
        <v>2028</v>
      </c>
      <c r="AT79" s="109">
        <v>67319.309082768537</v>
      </c>
      <c r="AU79" s="114">
        <v>1</v>
      </c>
      <c r="AV79" s="113">
        <v>2028</v>
      </c>
      <c r="AW79" s="112">
        <f t="shared" si="57"/>
        <v>0.77287902783826479</v>
      </c>
      <c r="AX79" s="109">
        <f t="shared" si="58"/>
        <v>67319.309082768537</v>
      </c>
      <c r="AY79" s="109">
        <f t="shared" si="59"/>
        <v>0</v>
      </c>
      <c r="AZ79" s="109">
        <f t="shared" si="60"/>
        <v>67319.309082768537</v>
      </c>
      <c r="BA79" s="111">
        <f t="shared" si="61"/>
        <v>0</v>
      </c>
      <c r="BB79" s="117"/>
      <c r="BC79" s="115" t="str">
        <f t="shared" si="62"/>
        <v>N</v>
      </c>
      <c r="BD79" s="115" t="str">
        <f t="shared" si="63"/>
        <v>Y</v>
      </c>
      <c r="BE79" s="115" t="str">
        <f t="shared" si="64"/>
        <v>N</v>
      </c>
      <c r="BF79" s="109" t="str">
        <f t="shared" si="65"/>
        <v/>
      </c>
      <c r="BG79" s="111" t="s">
        <v>2499</v>
      </c>
      <c r="BH79" s="115" t="s">
        <v>1168</v>
      </c>
      <c r="BI79" s="116"/>
      <c r="BJ79" s="222">
        <v>0.73705927719678699</v>
      </c>
      <c r="BK79" s="265">
        <f t="shared" si="66"/>
        <v>0</v>
      </c>
      <c r="BL79" s="265">
        <f t="shared" si="67"/>
        <v>0</v>
      </c>
      <c r="BM79" s="265">
        <f t="shared" si="68"/>
        <v>0</v>
      </c>
      <c r="BN79" s="265">
        <f t="shared" si="69"/>
        <v>0.3083020595513517</v>
      </c>
      <c r="BO79" s="109"/>
      <c r="BP79" s="265">
        <f t="shared" si="70"/>
        <v>-7.807089714333415E-4</v>
      </c>
      <c r="BQ79" s="265">
        <v>-7.807089714333415E-4</v>
      </c>
      <c r="BR79" s="265" t="e">
        <f t="shared" si="71"/>
        <v>#REF!</v>
      </c>
      <c r="BS79" s="265">
        <v>-8.7954076487038862E-5</v>
      </c>
      <c r="BT79" s="475">
        <v>24015.690917231459</v>
      </c>
      <c r="BU79" s="475">
        <v>67319.309082768537</v>
      </c>
      <c r="BV79" s="475">
        <v>0</v>
      </c>
      <c r="BW79" s="483">
        <f t="shared" si="72"/>
        <v>-0.30908276852278505</v>
      </c>
      <c r="BX79" s="483">
        <f t="shared" si="73"/>
        <v>0</v>
      </c>
    </row>
    <row r="80" spans="1:76" s="103" customFormat="1" ht="29">
      <c r="A80" s="100" t="s">
        <v>2502</v>
      </c>
      <c r="B80" s="91" t="str">
        <f t="shared" si="37"/>
        <v xml:space="preserve">CI </v>
      </c>
      <c r="C80" s="92" t="s">
        <v>2274</v>
      </c>
      <c r="D80" s="448"/>
      <c r="E80" s="451">
        <v>2130158</v>
      </c>
      <c r="F80" s="409" t="s">
        <v>2531</v>
      </c>
      <c r="G80" s="467" t="s">
        <v>5018</v>
      </c>
      <c r="H80" s="398">
        <v>0.8</v>
      </c>
      <c r="I80" s="151" t="s">
        <v>956</v>
      </c>
      <c r="J80" s="95" t="s">
        <v>1166</v>
      </c>
      <c r="K80" s="191">
        <v>50808.5</v>
      </c>
      <c r="L80" s="269">
        <v>0.95839763906496922</v>
      </c>
      <c r="M80" s="267">
        <v>1</v>
      </c>
      <c r="N80" s="267">
        <f t="shared" si="38"/>
        <v>0</v>
      </c>
      <c r="O80" s="96">
        <f t="shared" si="39"/>
        <v>11852.702844454006</v>
      </c>
      <c r="P80" s="96">
        <f t="shared" si="40"/>
        <v>38955.797155545988</v>
      </c>
      <c r="Q80" s="96">
        <f t="shared" si="41"/>
        <v>0</v>
      </c>
      <c r="R80" s="187" t="s">
        <v>2549</v>
      </c>
      <c r="S80" s="187" t="s">
        <v>3607</v>
      </c>
      <c r="T80" s="94" t="s">
        <v>2855</v>
      </c>
      <c r="U80" s="395">
        <f>COUNTIF(Aggregation_of_rev_to_allocate!$A$3:$A$137,$T80)</f>
        <v>1</v>
      </c>
      <c r="V80" s="100"/>
      <c r="W80" s="100">
        <v>51</v>
      </c>
      <c r="X80" s="109">
        <v>39801.821174174416</v>
      </c>
      <c r="Y80" s="109">
        <v>0</v>
      </c>
      <c r="Z80" s="110">
        <v>0.97921167654463359</v>
      </c>
      <c r="AA80" s="110">
        <v>1</v>
      </c>
      <c r="AB80" s="110">
        <v>0</v>
      </c>
      <c r="AC80" s="109">
        <f>IF(ISERROR((X80*SUMIF('Rev_for_allocation(Hard)'!$A$3:$A$249,$T80,'Rev_for_allocation(Hard)'!$I$3:$I$249)/SUMIF(Historic_capex_list!$T$9:$T$586,$T80,Historic_capex_list!$X$9:$X$586))=TRUE),0,X80*SUMIF('Rev_for_allocation(Hard)'!$A$3:$A$249,$T80,'Rev_for_allocation(Hard)'!$I$3:$I$249)/SUMIF(Historic_capex_list!$T$9:$T$586,$T80,Historic_capex_list!$X$9:$X$586))</f>
        <v>-846.02401862842089</v>
      </c>
      <c r="AD80" s="109">
        <f t="shared" si="42"/>
        <v>38955.797155545995</v>
      </c>
      <c r="AE80" s="109">
        <f t="shared" si="43"/>
        <v>38955.797155545995</v>
      </c>
      <c r="AF80" s="109">
        <f t="shared" si="44"/>
        <v>38955.797155545995</v>
      </c>
      <c r="AG80" s="332" t="str">
        <f t="shared" si="45"/>
        <v>N</v>
      </c>
      <c r="AH80" s="332">
        <f t="shared" si="46"/>
        <v>0</v>
      </c>
      <c r="AI80" s="332">
        <f t="shared" si="47"/>
        <v>0</v>
      </c>
      <c r="AJ80" s="109">
        <f t="shared" si="48"/>
        <v>38955.797155545995</v>
      </c>
      <c r="AK80" s="109">
        <f t="shared" si="49"/>
        <v>0</v>
      </c>
      <c r="AL80" s="109">
        <v>0</v>
      </c>
      <c r="AM80" s="111">
        <f t="shared" si="50"/>
        <v>0</v>
      </c>
      <c r="AN80" s="111">
        <f t="shared" si="51"/>
        <v>0</v>
      </c>
      <c r="AO80" s="111" t="str">
        <f t="shared" si="52"/>
        <v>Use deduct 3yrs</v>
      </c>
      <c r="AP80" s="111">
        <f t="shared" si="53"/>
        <v>0</v>
      </c>
      <c r="AQ80" s="112">
        <f t="shared" si="54"/>
        <v>0</v>
      </c>
      <c r="AR80" s="112">
        <f t="shared" si="55"/>
        <v>1</v>
      </c>
      <c r="AS80" s="113">
        <f t="shared" si="56"/>
        <v>2028</v>
      </c>
      <c r="AT80" s="109">
        <v>38955.797155545995</v>
      </c>
      <c r="AU80" s="114">
        <v>1</v>
      </c>
      <c r="AV80" s="113">
        <v>2028</v>
      </c>
      <c r="AW80" s="112">
        <f t="shared" si="57"/>
        <v>0.95839763906496922</v>
      </c>
      <c r="AX80" s="109">
        <f t="shared" si="58"/>
        <v>38955.797155545988</v>
      </c>
      <c r="AY80" s="109">
        <f t="shared" si="59"/>
        <v>0</v>
      </c>
      <c r="AZ80" s="109">
        <f t="shared" si="60"/>
        <v>38955.797155545988</v>
      </c>
      <c r="BA80" s="111">
        <f t="shared" si="61"/>
        <v>0</v>
      </c>
      <c r="BB80" s="117"/>
      <c r="BC80" s="115" t="str">
        <f t="shared" si="62"/>
        <v>N</v>
      </c>
      <c r="BD80" s="115" t="str">
        <f t="shared" si="63"/>
        <v>Y</v>
      </c>
      <c r="BE80" s="115" t="str">
        <f t="shared" si="64"/>
        <v>N</v>
      </c>
      <c r="BF80" s="109" t="str">
        <f t="shared" si="65"/>
        <v/>
      </c>
      <c r="BG80" s="111" t="s">
        <v>2499</v>
      </c>
      <c r="BH80" s="115" t="s">
        <v>1168</v>
      </c>
      <c r="BI80" s="116"/>
      <c r="BJ80" s="222">
        <v>0.95839763906496922</v>
      </c>
      <c r="BK80" s="265">
        <f t="shared" si="66"/>
        <v>0</v>
      </c>
      <c r="BL80" s="265">
        <f t="shared" si="67"/>
        <v>0</v>
      </c>
      <c r="BM80" s="265">
        <f t="shared" si="68"/>
        <v>7.2759576141834259E-12</v>
      </c>
      <c r="BN80" s="265">
        <f t="shared" si="69"/>
        <v>846.02401862842817</v>
      </c>
      <c r="BO80" s="109"/>
      <c r="BP80" s="265">
        <f t="shared" si="70"/>
        <v>846.02401862842089</v>
      </c>
      <c r="BQ80" s="265">
        <v>846.02401862842089</v>
      </c>
      <c r="BR80" s="265" t="e">
        <f t="shared" si="71"/>
        <v>#REF!</v>
      </c>
      <c r="BS80" s="265">
        <v>95.312419822332615</v>
      </c>
      <c r="BT80" s="475">
        <v>11852.702844454006</v>
      </c>
      <c r="BU80" s="475">
        <v>38955.797155545988</v>
      </c>
      <c r="BV80" s="475">
        <v>0</v>
      </c>
      <c r="BW80" s="483">
        <f t="shared" si="72"/>
        <v>0</v>
      </c>
      <c r="BX80" s="483">
        <f t="shared" si="73"/>
        <v>0</v>
      </c>
    </row>
    <row r="81" spans="1:76" s="103" customFormat="1" ht="29">
      <c r="A81" s="100" t="s">
        <v>2502</v>
      </c>
      <c r="B81" s="91" t="str">
        <f t="shared" si="37"/>
        <v xml:space="preserve">CI </v>
      </c>
      <c r="C81" s="92" t="s">
        <v>2273</v>
      </c>
      <c r="D81" s="448"/>
      <c r="E81" s="451">
        <v>3201290</v>
      </c>
      <c r="F81" s="409" t="s">
        <v>2532</v>
      </c>
      <c r="G81" s="384" t="s">
        <v>5033</v>
      </c>
      <c r="H81" s="398">
        <v>0.34</v>
      </c>
      <c r="I81" s="151"/>
      <c r="J81" s="95" t="s">
        <v>1166</v>
      </c>
      <c r="K81" s="191">
        <v>171113.840890497</v>
      </c>
      <c r="L81" s="269">
        <v>0.94823964651751491</v>
      </c>
      <c r="M81" s="267">
        <v>1</v>
      </c>
      <c r="N81" s="267">
        <f t="shared" si="38"/>
        <v>0</v>
      </c>
      <c r="O81" s="96">
        <f t="shared" si="39"/>
        <v>115946.48537040886</v>
      </c>
      <c r="P81" s="96">
        <f t="shared" si="40"/>
        <v>55167.355520088116</v>
      </c>
      <c r="Q81" s="96">
        <f t="shared" si="41"/>
        <v>0</v>
      </c>
      <c r="R81" s="187" t="s">
        <v>2460</v>
      </c>
      <c r="S81" s="187" t="s">
        <v>3607</v>
      </c>
      <c r="T81" s="94" t="s">
        <v>2862</v>
      </c>
      <c r="U81" s="395">
        <f>COUNTIF(Aggregation_of_rev_to_allocate!$A$3:$A$137,$T81)</f>
        <v>1</v>
      </c>
      <c r="V81" s="100"/>
      <c r="W81" s="100">
        <v>62</v>
      </c>
      <c r="X81" s="109">
        <v>56969.268146247588</v>
      </c>
      <c r="Y81" s="109">
        <v>0</v>
      </c>
      <c r="Z81" s="110">
        <v>0.97921167654463359</v>
      </c>
      <c r="AA81" s="110">
        <v>1</v>
      </c>
      <c r="AB81" s="110">
        <v>0</v>
      </c>
      <c r="AC81" s="109">
        <f>IF(ISERROR((X81*SUMIF('Rev_for_allocation(Hard)'!$A$3:$A$249,$T81,'Rev_for_allocation(Hard)'!$I$3:$I$249)/SUMIF(Historic_capex_list!$T$9:$T$586,$T81,Historic_capex_list!$X$9:$X$586))=TRUE),0,X81*SUMIF('Rev_for_allocation(Hard)'!$A$3:$A$249,$T81,'Rev_for_allocation(Hard)'!$I$3:$I$249)/SUMIF(Historic_capex_list!$T$9:$T$586,$T81,Historic_capex_list!$X$9:$X$586))</f>
        <v>-1744.3938230205306</v>
      </c>
      <c r="AD81" s="109">
        <f t="shared" si="42"/>
        <v>55224.874323227057</v>
      </c>
      <c r="AE81" s="109">
        <f t="shared" si="43"/>
        <v>55224.874323227057</v>
      </c>
      <c r="AF81" s="109">
        <f t="shared" si="44"/>
        <v>55224.874323227057</v>
      </c>
      <c r="AG81" s="332" t="str">
        <f t="shared" si="45"/>
        <v>N</v>
      </c>
      <c r="AH81" s="332">
        <f t="shared" si="46"/>
        <v>0</v>
      </c>
      <c r="AI81" s="332">
        <f t="shared" si="47"/>
        <v>0</v>
      </c>
      <c r="AJ81" s="109">
        <f t="shared" si="48"/>
        <v>55224.874323227057</v>
      </c>
      <c r="AK81" s="109">
        <f t="shared" si="49"/>
        <v>0</v>
      </c>
      <c r="AL81" s="109">
        <v>0</v>
      </c>
      <c r="AM81" s="111">
        <f t="shared" si="50"/>
        <v>0</v>
      </c>
      <c r="AN81" s="111">
        <f t="shared" si="51"/>
        <v>0</v>
      </c>
      <c r="AO81" s="111" t="str">
        <f t="shared" si="52"/>
        <v>Use deduct 3yrs</v>
      </c>
      <c r="AP81" s="111">
        <f t="shared" si="53"/>
        <v>0</v>
      </c>
      <c r="AQ81" s="112">
        <f t="shared" si="54"/>
        <v>0</v>
      </c>
      <c r="AR81" s="112">
        <f t="shared" si="55"/>
        <v>1</v>
      </c>
      <c r="AS81" s="113">
        <f t="shared" si="56"/>
        <v>2028</v>
      </c>
      <c r="AT81" s="109">
        <v>55167.355520088116</v>
      </c>
      <c r="AU81" s="114">
        <v>1</v>
      </c>
      <c r="AV81" s="113">
        <v>2028</v>
      </c>
      <c r="AW81" s="112">
        <f t="shared" si="57"/>
        <v>0.94823964651751491</v>
      </c>
      <c r="AX81" s="109">
        <f t="shared" si="58"/>
        <v>55167.355520088116</v>
      </c>
      <c r="AY81" s="109">
        <f t="shared" si="59"/>
        <v>0</v>
      </c>
      <c r="AZ81" s="109">
        <f t="shared" si="60"/>
        <v>55167.355520088116</v>
      </c>
      <c r="BA81" s="111">
        <f t="shared" si="61"/>
        <v>0</v>
      </c>
      <c r="BB81" s="117"/>
      <c r="BC81" s="115" t="str">
        <f t="shared" si="62"/>
        <v>N</v>
      </c>
      <c r="BD81" s="115" t="str">
        <f t="shared" si="63"/>
        <v>Y</v>
      </c>
      <c r="BE81" s="115" t="str">
        <f t="shared" si="64"/>
        <v>N</v>
      </c>
      <c r="BF81" s="109" t="str">
        <f t="shared" si="65"/>
        <v/>
      </c>
      <c r="BG81" s="111" t="s">
        <v>2499</v>
      </c>
      <c r="BH81" s="115" t="s">
        <v>1168</v>
      </c>
      <c r="BI81" s="116"/>
      <c r="BJ81" s="222">
        <v>0.94823964651751491</v>
      </c>
      <c r="BK81" s="265">
        <f t="shared" si="66"/>
        <v>0</v>
      </c>
      <c r="BL81" s="265">
        <f t="shared" si="67"/>
        <v>0</v>
      </c>
      <c r="BM81" s="265">
        <f t="shared" si="68"/>
        <v>2.1827872842550278E-11</v>
      </c>
      <c r="BN81" s="265">
        <f t="shared" si="69"/>
        <v>1801.912626159472</v>
      </c>
      <c r="BO81" s="109"/>
      <c r="BP81" s="265">
        <f t="shared" si="70"/>
        <v>1801.912626159472</v>
      </c>
      <c r="BQ81" s="265">
        <v>1801.912626159472</v>
      </c>
      <c r="BR81" s="265" t="e">
        <f t="shared" si="71"/>
        <v>#REF!</v>
      </c>
      <c r="BS81" s="265">
        <v>203.00210032583578</v>
      </c>
      <c r="BT81" s="475">
        <v>115946.48537040886</v>
      </c>
      <c r="BU81" s="475">
        <v>55167.355520088116</v>
      </c>
      <c r="BV81" s="475">
        <v>0</v>
      </c>
      <c r="BW81" s="483">
        <f t="shared" si="72"/>
        <v>0</v>
      </c>
      <c r="BX81" s="483">
        <f t="shared" si="73"/>
        <v>0</v>
      </c>
    </row>
    <row r="82" spans="1:76" s="103" customFormat="1" ht="29">
      <c r="A82" s="100" t="s">
        <v>2502</v>
      </c>
      <c r="B82" s="91" t="str">
        <f t="shared" si="37"/>
        <v xml:space="preserve">CI </v>
      </c>
      <c r="C82" s="92" t="s">
        <v>463</v>
      </c>
      <c r="D82" s="448"/>
      <c r="E82" s="449" t="s">
        <v>2038</v>
      </c>
      <c r="F82" s="467" t="s">
        <v>4875</v>
      </c>
      <c r="G82" s="502" t="s">
        <v>5243</v>
      </c>
      <c r="H82" s="470">
        <v>1</v>
      </c>
      <c r="I82" s="95" t="s">
        <v>962</v>
      </c>
      <c r="J82" s="95" t="s">
        <v>1166</v>
      </c>
      <c r="K82" s="469">
        <v>1018000</v>
      </c>
      <c r="L82" s="471">
        <v>0.82153339882121812</v>
      </c>
      <c r="M82" s="266">
        <v>1</v>
      </c>
      <c r="N82" s="267">
        <f t="shared" si="38"/>
        <v>0</v>
      </c>
      <c r="O82" s="96">
        <f t="shared" si="39"/>
        <v>181678.99999999994</v>
      </c>
      <c r="P82" s="96">
        <f t="shared" si="40"/>
        <v>836321</v>
      </c>
      <c r="Q82" s="96">
        <f t="shared" si="41"/>
        <v>0</v>
      </c>
      <c r="R82" s="187" t="s">
        <v>2455</v>
      </c>
      <c r="S82" s="187" t="s">
        <v>3607</v>
      </c>
      <c r="T82" s="94" t="s">
        <v>2857</v>
      </c>
      <c r="U82" s="395">
        <f>COUNTIF(Aggregation_of_rev_to_allocate!$A$3:$A$137,$T82)</f>
        <v>1</v>
      </c>
      <c r="V82" s="100"/>
      <c r="W82" s="100">
        <v>109</v>
      </c>
      <c r="X82" s="109">
        <v>836321.19185653445</v>
      </c>
      <c r="Y82" s="109">
        <v>0</v>
      </c>
      <c r="Z82" s="110">
        <v>0.4896058382723168</v>
      </c>
      <c r="AA82" s="110">
        <v>1</v>
      </c>
      <c r="AB82" s="110">
        <v>0</v>
      </c>
      <c r="AC82" s="109">
        <f>IF(ISERROR((X82*SUMIF('Rev_for_allocation(Hard)'!$A$3:$A$249,$T82,'Rev_for_allocation(Hard)'!$I$3:$I$249)/SUMIF(Historic_capex_list!$T$9:$T$586,$T82,Historic_capex_list!$X$9:$X$586))=TRUE),0,X82*SUMIF('Rev_for_allocation(Hard)'!$A$3:$A$249,$T82,'Rev_for_allocation(Hard)'!$I$3:$I$249)/SUMIF(Historic_capex_list!$T$9:$T$586,$T82,Historic_capex_list!$X$9:$X$586))</f>
        <v>8.2400765593707917E-3</v>
      </c>
      <c r="AD82" s="109">
        <f t="shared" si="42"/>
        <v>836321.20009661105</v>
      </c>
      <c r="AE82" s="109">
        <f t="shared" si="43"/>
        <v>836321.20009661105</v>
      </c>
      <c r="AF82" s="109">
        <f t="shared" si="44"/>
        <v>836321.20009661105</v>
      </c>
      <c r="AG82" s="332" t="str">
        <f t="shared" si="45"/>
        <v>N</v>
      </c>
      <c r="AH82" s="332">
        <f t="shared" si="46"/>
        <v>0</v>
      </c>
      <c r="AI82" s="332">
        <f t="shared" si="47"/>
        <v>0</v>
      </c>
      <c r="AJ82" s="109">
        <f t="shared" si="48"/>
        <v>836321.20009661105</v>
      </c>
      <c r="AK82" s="109">
        <f t="shared" si="49"/>
        <v>0</v>
      </c>
      <c r="AL82" s="109">
        <v>0</v>
      </c>
      <c r="AM82" s="111">
        <f t="shared" si="50"/>
        <v>0</v>
      </c>
      <c r="AN82" s="111">
        <f t="shared" si="51"/>
        <v>0</v>
      </c>
      <c r="AO82" s="111" t="str">
        <f t="shared" si="52"/>
        <v>Use deduct 3yrs</v>
      </c>
      <c r="AP82" s="111">
        <f t="shared" si="53"/>
        <v>0</v>
      </c>
      <c r="AQ82" s="112">
        <f t="shared" si="54"/>
        <v>0</v>
      </c>
      <c r="AR82" s="112">
        <f t="shared" si="55"/>
        <v>1</v>
      </c>
      <c r="AS82" s="113">
        <f t="shared" si="56"/>
        <v>2028</v>
      </c>
      <c r="AT82" s="109">
        <v>836321.20155543776</v>
      </c>
      <c r="AU82" s="114">
        <v>1</v>
      </c>
      <c r="AV82" s="113">
        <v>2028</v>
      </c>
      <c r="AW82" s="112">
        <f t="shared" si="57"/>
        <v>0.82153359681280724</v>
      </c>
      <c r="AX82" s="109">
        <f t="shared" si="58"/>
        <v>836321.20155543776</v>
      </c>
      <c r="AY82" s="109">
        <f t="shared" si="59"/>
        <v>0</v>
      </c>
      <c r="AZ82" s="109">
        <f t="shared" si="60"/>
        <v>836321.20155543776</v>
      </c>
      <c r="BA82" s="111">
        <f t="shared" si="61"/>
        <v>0</v>
      </c>
      <c r="BB82" s="117"/>
      <c r="BC82" s="115" t="str">
        <f t="shared" si="62"/>
        <v>N</v>
      </c>
      <c r="BD82" s="115" t="str">
        <f t="shared" si="63"/>
        <v>Y</v>
      </c>
      <c r="BE82" s="115" t="str">
        <f t="shared" si="64"/>
        <v>N</v>
      </c>
      <c r="BF82" s="109" t="str">
        <f t="shared" si="65"/>
        <v/>
      </c>
      <c r="BG82" s="111" t="s">
        <v>2499</v>
      </c>
      <c r="BH82" s="115" t="s">
        <v>1168</v>
      </c>
      <c r="BI82" s="116"/>
      <c r="BJ82" s="222">
        <v>0.4896058439503263</v>
      </c>
      <c r="BK82" s="265">
        <f t="shared" si="66"/>
        <v>0</v>
      </c>
      <c r="BL82" s="265">
        <f t="shared" si="67"/>
        <v>0</v>
      </c>
      <c r="BM82" s="265">
        <f t="shared" si="68"/>
        <v>0</v>
      </c>
      <c r="BN82" s="265">
        <f t="shared" si="69"/>
        <v>0.19185653445310891</v>
      </c>
      <c r="BO82" s="109"/>
      <c r="BP82" s="265">
        <f t="shared" si="70"/>
        <v>-9.6989033045247197E-3</v>
      </c>
      <c r="BQ82" s="265">
        <v>-9.6989033045247197E-3</v>
      </c>
      <c r="BR82" s="265" t="e">
        <f t="shared" si="71"/>
        <v>#REF!</v>
      </c>
      <c r="BS82" s="265">
        <v>-1.0926710391458553E-3</v>
      </c>
      <c r="BT82" s="475">
        <v>871830.79844456213</v>
      </c>
      <c r="BU82" s="475">
        <v>836321.20155543776</v>
      </c>
      <c r="BV82" s="475">
        <v>0</v>
      </c>
      <c r="BW82" s="483">
        <f t="shared" si="72"/>
        <v>-0.20155543775763363</v>
      </c>
      <c r="BX82" s="483">
        <f t="shared" si="73"/>
        <v>0</v>
      </c>
    </row>
    <row r="83" spans="1:76" s="103" customFormat="1" ht="29">
      <c r="A83" s="100" t="s">
        <v>2502</v>
      </c>
      <c r="B83" s="91" t="str">
        <f t="shared" si="37"/>
        <v xml:space="preserve">CI </v>
      </c>
      <c r="C83" s="92" t="s">
        <v>463</v>
      </c>
      <c r="D83" s="448"/>
      <c r="E83" s="449">
        <v>2130364</v>
      </c>
      <c r="F83" s="384" t="s">
        <v>4485</v>
      </c>
      <c r="G83" s="384" t="s">
        <v>4696</v>
      </c>
      <c r="H83" s="398">
        <v>0.36</v>
      </c>
      <c r="I83" s="95" t="s">
        <v>951</v>
      </c>
      <c r="J83" s="95" t="s">
        <v>1166</v>
      </c>
      <c r="K83" s="191">
        <v>643457.32999999996</v>
      </c>
      <c r="L83" s="268">
        <v>0.29808673129873742</v>
      </c>
      <c r="M83" s="266">
        <v>1</v>
      </c>
      <c r="N83" s="267">
        <f t="shared" si="38"/>
        <v>0</v>
      </c>
      <c r="O83" s="96">
        <f t="shared" si="39"/>
        <v>574407.13679723127</v>
      </c>
      <c r="P83" s="96">
        <f t="shared" si="40"/>
        <v>69050.193202768671</v>
      </c>
      <c r="Q83" s="96">
        <f t="shared" si="41"/>
        <v>0</v>
      </c>
      <c r="R83" s="187" t="s">
        <v>2456</v>
      </c>
      <c r="S83" s="187" t="s">
        <v>3607</v>
      </c>
      <c r="T83" s="94" t="s">
        <v>2858</v>
      </c>
      <c r="U83" s="395">
        <f>COUNTIF(Aggregation_of_rev_to_allocate!$A$3:$A$137,$T83)</f>
        <v>1</v>
      </c>
      <c r="V83" s="100"/>
      <c r="W83" s="100">
        <v>131</v>
      </c>
      <c r="X83" s="109">
        <v>77919.131003845498</v>
      </c>
      <c r="Y83" s="109">
        <v>0</v>
      </c>
      <c r="Z83" s="110">
        <v>0.33637355652819673</v>
      </c>
      <c r="AA83" s="110">
        <v>1</v>
      </c>
      <c r="AB83" s="110">
        <v>0</v>
      </c>
      <c r="AC83" s="109">
        <f>IF(ISERROR((X83*SUMIF('Rev_for_allocation(Hard)'!$A$3:$A$249,$T83,'Rev_for_allocation(Hard)'!$I$3:$I$249)/SUMIF(Historic_capex_list!$T$9:$T$586,$T83,Historic_capex_list!$X$9:$X$586))=TRUE),0,X83*SUMIF('Rev_for_allocation(Hard)'!$A$3:$A$249,$T83,'Rev_for_allocation(Hard)'!$I$3:$I$249)/SUMIF(Historic_capex_list!$T$9:$T$586,$T83,Historic_capex_list!$X$9:$X$586))</f>
        <v>-8868.9378010768196</v>
      </c>
      <c r="AD83" s="109">
        <f t="shared" si="42"/>
        <v>69050.193202768685</v>
      </c>
      <c r="AE83" s="109">
        <f t="shared" si="43"/>
        <v>69050.193202768685</v>
      </c>
      <c r="AF83" s="109">
        <f t="shared" si="44"/>
        <v>69050.193202768685</v>
      </c>
      <c r="AG83" s="332" t="str">
        <f t="shared" si="45"/>
        <v>N</v>
      </c>
      <c r="AH83" s="332">
        <f t="shared" si="46"/>
        <v>0</v>
      </c>
      <c r="AI83" s="332">
        <f t="shared" si="47"/>
        <v>0</v>
      </c>
      <c r="AJ83" s="109">
        <f t="shared" si="48"/>
        <v>69050.193202768685</v>
      </c>
      <c r="AK83" s="109">
        <f t="shared" si="49"/>
        <v>0</v>
      </c>
      <c r="AL83" s="109">
        <v>0</v>
      </c>
      <c r="AM83" s="111">
        <f t="shared" si="50"/>
        <v>0</v>
      </c>
      <c r="AN83" s="111">
        <f t="shared" si="51"/>
        <v>0</v>
      </c>
      <c r="AO83" s="111" t="str">
        <f t="shared" si="52"/>
        <v>Use deduct 3yrs</v>
      </c>
      <c r="AP83" s="111">
        <f t="shared" si="53"/>
        <v>0</v>
      </c>
      <c r="AQ83" s="112">
        <f t="shared" si="54"/>
        <v>0</v>
      </c>
      <c r="AR83" s="112">
        <f t="shared" si="55"/>
        <v>1</v>
      </c>
      <c r="AS83" s="113">
        <f t="shared" si="56"/>
        <v>2028</v>
      </c>
      <c r="AT83" s="109">
        <v>69050.193202768685</v>
      </c>
      <c r="AU83" s="114">
        <v>1</v>
      </c>
      <c r="AV83" s="113">
        <v>2028</v>
      </c>
      <c r="AW83" s="112">
        <f t="shared" si="57"/>
        <v>0.29808673129873742</v>
      </c>
      <c r="AX83" s="109">
        <f t="shared" si="58"/>
        <v>69050.193202768671</v>
      </c>
      <c r="AY83" s="109">
        <f t="shared" si="59"/>
        <v>0</v>
      </c>
      <c r="AZ83" s="109">
        <f t="shared" si="60"/>
        <v>69050.193202768671</v>
      </c>
      <c r="BA83" s="111">
        <f t="shared" si="61"/>
        <v>0</v>
      </c>
      <c r="BB83" s="117"/>
      <c r="BC83" s="115" t="str">
        <f t="shared" si="62"/>
        <v>N</v>
      </c>
      <c r="BD83" s="115" t="str">
        <f t="shared" si="63"/>
        <v>Y</v>
      </c>
      <c r="BE83" s="115" t="str">
        <f t="shared" si="64"/>
        <v>N</v>
      </c>
      <c r="BF83" s="109" t="str">
        <f t="shared" si="65"/>
        <v/>
      </c>
      <c r="BG83" s="111" t="s">
        <v>2499</v>
      </c>
      <c r="BH83" s="115" t="s">
        <v>1168</v>
      </c>
      <c r="BI83" s="116"/>
      <c r="BJ83" s="222">
        <v>0.29808673129873742</v>
      </c>
      <c r="BK83" s="265">
        <f t="shared" si="66"/>
        <v>0</v>
      </c>
      <c r="BL83" s="265">
        <f t="shared" si="67"/>
        <v>0</v>
      </c>
      <c r="BM83" s="265">
        <f t="shared" si="68"/>
        <v>1.4551915228366852E-11</v>
      </c>
      <c r="BN83" s="265">
        <f t="shared" si="69"/>
        <v>8868.9378010768269</v>
      </c>
      <c r="BO83" s="109"/>
      <c r="BP83" s="265">
        <f t="shared" si="70"/>
        <v>8868.9378010768123</v>
      </c>
      <c r="BQ83" s="265">
        <v>8868.9378010768123</v>
      </c>
      <c r="BR83" s="265" t="e">
        <f t="shared" si="71"/>
        <v>#REF!</v>
      </c>
      <c r="BS83" s="265">
        <v>999.16775937972329</v>
      </c>
      <c r="BT83" s="475">
        <v>574407.13679723127</v>
      </c>
      <c r="BU83" s="475">
        <v>69050.193202768671</v>
      </c>
      <c r="BV83" s="475">
        <v>0</v>
      </c>
      <c r="BW83" s="483">
        <f t="shared" si="72"/>
        <v>0</v>
      </c>
      <c r="BX83" s="483">
        <f t="shared" si="73"/>
        <v>0</v>
      </c>
    </row>
    <row r="84" spans="1:76" s="103" customFormat="1" ht="29">
      <c r="A84" s="100" t="s">
        <v>2502</v>
      </c>
      <c r="B84" s="91" t="str">
        <f t="shared" si="37"/>
        <v xml:space="preserve">CI </v>
      </c>
      <c r="C84" s="92" t="s">
        <v>463</v>
      </c>
      <c r="D84" s="448" t="s">
        <v>2269</v>
      </c>
      <c r="E84" s="449">
        <v>2130198</v>
      </c>
      <c r="F84" s="467" t="s">
        <v>4482</v>
      </c>
      <c r="G84" s="384" t="s">
        <v>4697</v>
      </c>
      <c r="H84" s="398">
        <v>0.5</v>
      </c>
      <c r="I84" s="95" t="s">
        <v>953</v>
      </c>
      <c r="J84" s="95" t="s">
        <v>1166</v>
      </c>
      <c r="K84" s="191">
        <v>1273526.51</v>
      </c>
      <c r="L84" s="268">
        <v>0.38530454739326703</v>
      </c>
      <c r="M84" s="266">
        <v>1</v>
      </c>
      <c r="N84" s="267">
        <f t="shared" si="38"/>
        <v>0</v>
      </c>
      <c r="O84" s="96">
        <f t="shared" si="39"/>
        <v>1028178.7322355616</v>
      </c>
      <c r="P84" s="96">
        <f t="shared" si="40"/>
        <v>245347.77776443848</v>
      </c>
      <c r="Q84" s="96">
        <f t="shared" si="41"/>
        <v>0</v>
      </c>
      <c r="R84" s="187" t="s">
        <v>2458</v>
      </c>
      <c r="S84" s="187" t="s">
        <v>3607</v>
      </c>
      <c r="T84" s="94" t="s">
        <v>2860</v>
      </c>
      <c r="U84" s="395">
        <f>COUNTIF(Aggregation_of_rev_to_allocate!$A$3:$A$137,$T84)</f>
        <v>1</v>
      </c>
      <c r="V84" s="100"/>
      <c r="W84" s="100">
        <v>146</v>
      </c>
      <c r="X84" s="109">
        <v>311763.00724528404</v>
      </c>
      <c r="Y84" s="109">
        <v>0</v>
      </c>
      <c r="Z84" s="110">
        <v>0.48960583827231685</v>
      </c>
      <c r="AA84" s="110">
        <v>1</v>
      </c>
      <c r="AB84" s="110">
        <v>0</v>
      </c>
      <c r="AC84" s="109">
        <f>IF(ISERROR((X84*SUMIF('Rev_for_allocation(Hard)'!$A$3:$A$249,$T84,'Rev_for_allocation(Hard)'!$I$3:$I$249)/SUMIF(Historic_capex_list!$T$9:$T$586,$T84,Historic_capex_list!$X$9:$X$586))=TRUE),0,X84*SUMIF('Rev_for_allocation(Hard)'!$A$3:$A$249,$T84,'Rev_for_allocation(Hard)'!$I$3:$I$249)/SUMIF(Historic_capex_list!$T$9:$T$586,$T84,Historic_capex_list!$X$9:$X$586))</f>
        <v>-66415.229480845548</v>
      </c>
      <c r="AD84" s="109">
        <f t="shared" si="42"/>
        <v>245347.77776443848</v>
      </c>
      <c r="AE84" s="109">
        <f t="shared" si="43"/>
        <v>245347.77776443848</v>
      </c>
      <c r="AF84" s="109">
        <f t="shared" si="44"/>
        <v>245347.77776443848</v>
      </c>
      <c r="AG84" s="332" t="str">
        <f t="shared" si="45"/>
        <v>N</v>
      </c>
      <c r="AH84" s="332">
        <f t="shared" si="46"/>
        <v>0</v>
      </c>
      <c r="AI84" s="332">
        <f t="shared" si="47"/>
        <v>0</v>
      </c>
      <c r="AJ84" s="109">
        <f t="shared" si="48"/>
        <v>245347.77776443848</v>
      </c>
      <c r="AK84" s="109">
        <f t="shared" si="49"/>
        <v>0</v>
      </c>
      <c r="AL84" s="109">
        <v>0</v>
      </c>
      <c r="AM84" s="111">
        <f t="shared" si="50"/>
        <v>0</v>
      </c>
      <c r="AN84" s="111">
        <f t="shared" si="51"/>
        <v>0</v>
      </c>
      <c r="AO84" s="111" t="str">
        <f t="shared" si="52"/>
        <v>Use deduct 3yrs</v>
      </c>
      <c r="AP84" s="111">
        <f t="shared" si="53"/>
        <v>0</v>
      </c>
      <c r="AQ84" s="112">
        <f t="shared" si="54"/>
        <v>0</v>
      </c>
      <c r="AR84" s="112">
        <f t="shared" si="55"/>
        <v>1</v>
      </c>
      <c r="AS84" s="113">
        <f t="shared" si="56"/>
        <v>2028</v>
      </c>
      <c r="AT84" s="109">
        <v>245347.77776443848</v>
      </c>
      <c r="AU84" s="114">
        <v>1</v>
      </c>
      <c r="AV84" s="113">
        <v>2028</v>
      </c>
      <c r="AW84" s="112">
        <f t="shared" si="57"/>
        <v>0.38530454739326703</v>
      </c>
      <c r="AX84" s="109">
        <f t="shared" si="58"/>
        <v>245347.77776443848</v>
      </c>
      <c r="AY84" s="109">
        <f t="shared" si="59"/>
        <v>0</v>
      </c>
      <c r="AZ84" s="109">
        <f t="shared" si="60"/>
        <v>245347.77776443848</v>
      </c>
      <c r="BA84" s="111">
        <f t="shared" si="61"/>
        <v>0</v>
      </c>
      <c r="BB84" s="117"/>
      <c r="BC84" s="115" t="str">
        <f t="shared" si="62"/>
        <v>N</v>
      </c>
      <c r="BD84" s="115" t="str">
        <f t="shared" si="63"/>
        <v>Y</v>
      </c>
      <c r="BE84" s="115" t="str">
        <f t="shared" si="64"/>
        <v>N</v>
      </c>
      <c r="BF84" s="109" t="str">
        <f t="shared" si="65"/>
        <v/>
      </c>
      <c r="BG84" s="111" t="s">
        <v>2499</v>
      </c>
      <c r="BH84" s="115" t="s">
        <v>1168</v>
      </c>
      <c r="BI84" s="116"/>
      <c r="BJ84" s="222">
        <v>0.38530454739326703</v>
      </c>
      <c r="BK84" s="265">
        <f t="shared" si="66"/>
        <v>0</v>
      </c>
      <c r="BL84" s="265">
        <f t="shared" si="67"/>
        <v>0</v>
      </c>
      <c r="BM84" s="265">
        <f t="shared" si="68"/>
        <v>-5.8207660913467407E-11</v>
      </c>
      <c r="BN84" s="265">
        <f t="shared" si="69"/>
        <v>66415.229480845563</v>
      </c>
      <c r="BO84" s="109"/>
      <c r="BP84" s="265">
        <f t="shared" si="70"/>
        <v>66415.229480845563</v>
      </c>
      <c r="BQ84" s="265">
        <v>66415.229480845563</v>
      </c>
      <c r="BR84" s="265" t="e">
        <f t="shared" si="71"/>
        <v>#REF!</v>
      </c>
      <c r="BS84" s="265">
        <v>7482.2890313888074</v>
      </c>
      <c r="BT84" s="475">
        <v>1028178.7322355616</v>
      </c>
      <c r="BU84" s="475">
        <v>245347.77776443848</v>
      </c>
      <c r="BV84" s="475">
        <v>0</v>
      </c>
      <c r="BW84" s="483">
        <f t="shared" si="72"/>
        <v>0</v>
      </c>
      <c r="BX84" s="483">
        <f t="shared" si="73"/>
        <v>0</v>
      </c>
    </row>
    <row r="85" spans="1:76" s="103" customFormat="1" ht="29">
      <c r="A85" s="100" t="s">
        <v>2502</v>
      </c>
      <c r="B85" s="91" t="str">
        <f t="shared" si="37"/>
        <v xml:space="preserve">CI </v>
      </c>
      <c r="C85" s="92" t="s">
        <v>2274</v>
      </c>
      <c r="D85" s="448" t="s">
        <v>2269</v>
      </c>
      <c r="E85" s="451">
        <v>2130174</v>
      </c>
      <c r="F85" s="498" t="s">
        <v>27</v>
      </c>
      <c r="G85" s="467" t="s">
        <v>4676</v>
      </c>
      <c r="H85" s="398">
        <v>0.8</v>
      </c>
      <c r="I85" s="151" t="s">
        <v>956</v>
      </c>
      <c r="J85" s="95" t="s">
        <v>1166</v>
      </c>
      <c r="K85" s="191">
        <v>51516.24</v>
      </c>
      <c r="L85" s="269">
        <v>0.95839763906496955</v>
      </c>
      <c r="M85" s="267">
        <v>1</v>
      </c>
      <c r="N85" s="267">
        <f t="shared" si="38"/>
        <v>0</v>
      </c>
      <c r="O85" s="96">
        <f t="shared" si="39"/>
        <v>12017.80576839652</v>
      </c>
      <c r="P85" s="96">
        <f t="shared" si="40"/>
        <v>39498.434231603482</v>
      </c>
      <c r="Q85" s="96">
        <f t="shared" si="41"/>
        <v>0</v>
      </c>
      <c r="R85" s="187" t="s">
        <v>2549</v>
      </c>
      <c r="S85" s="187" t="s">
        <v>3607</v>
      </c>
      <c r="T85" s="94" t="s">
        <v>2855</v>
      </c>
      <c r="U85" s="395">
        <f>COUNTIF(Aggregation_of_rev_to_allocate!$A$3:$A$137,$T85)</f>
        <v>1</v>
      </c>
      <c r="V85" s="100"/>
      <c r="W85" s="100">
        <v>52</v>
      </c>
      <c r="X85" s="109">
        <v>40356.242991740583</v>
      </c>
      <c r="Y85" s="109">
        <v>0</v>
      </c>
      <c r="Z85" s="110">
        <v>0.9792116765446337</v>
      </c>
      <c r="AA85" s="110">
        <v>1</v>
      </c>
      <c r="AB85" s="110">
        <v>0</v>
      </c>
      <c r="AC85" s="109">
        <f>IF(ISERROR((X85*SUMIF('Rev_for_allocation(Hard)'!$A$3:$A$249,$T85,'Rev_for_allocation(Hard)'!$I$3:$I$249)/SUMIF(Historic_capex_list!$T$9:$T$586,$T85,Historic_capex_list!$X$9:$X$586))=TRUE),0,X85*SUMIF('Rev_for_allocation(Hard)'!$A$3:$A$249,$T85,'Rev_for_allocation(Hard)'!$I$3:$I$249)/SUMIF(Historic_capex_list!$T$9:$T$586,$T85,Historic_capex_list!$X$9:$X$586))</f>
        <v>-857.80876013710713</v>
      </c>
      <c r="AD85" s="109">
        <f t="shared" si="42"/>
        <v>39498.434231603474</v>
      </c>
      <c r="AE85" s="109">
        <f t="shared" si="43"/>
        <v>39498.434231603474</v>
      </c>
      <c r="AF85" s="109">
        <f t="shared" si="44"/>
        <v>39498.434231603474</v>
      </c>
      <c r="AG85" s="332" t="str">
        <f t="shared" si="45"/>
        <v>N</v>
      </c>
      <c r="AH85" s="332">
        <f t="shared" si="46"/>
        <v>0</v>
      </c>
      <c r="AI85" s="332">
        <f t="shared" si="47"/>
        <v>0</v>
      </c>
      <c r="AJ85" s="109">
        <f t="shared" si="48"/>
        <v>39498.434231603474</v>
      </c>
      <c r="AK85" s="109">
        <f t="shared" si="49"/>
        <v>0</v>
      </c>
      <c r="AL85" s="109">
        <v>0</v>
      </c>
      <c r="AM85" s="111">
        <f t="shared" si="50"/>
        <v>0</v>
      </c>
      <c r="AN85" s="111">
        <f t="shared" si="51"/>
        <v>0</v>
      </c>
      <c r="AO85" s="111" t="str">
        <f t="shared" si="52"/>
        <v>Use deduct 3yrs</v>
      </c>
      <c r="AP85" s="111">
        <f t="shared" si="53"/>
        <v>0</v>
      </c>
      <c r="AQ85" s="112">
        <f t="shared" si="54"/>
        <v>0</v>
      </c>
      <c r="AR85" s="112">
        <f t="shared" si="55"/>
        <v>1</v>
      </c>
      <c r="AS85" s="113">
        <f t="shared" si="56"/>
        <v>2028</v>
      </c>
      <c r="AT85" s="109">
        <v>39498.434231603474</v>
      </c>
      <c r="AU85" s="114">
        <v>1</v>
      </c>
      <c r="AV85" s="113">
        <v>2028</v>
      </c>
      <c r="AW85" s="112">
        <f t="shared" si="57"/>
        <v>0.95839763906496955</v>
      </c>
      <c r="AX85" s="109">
        <f t="shared" si="58"/>
        <v>39498.434231603482</v>
      </c>
      <c r="AY85" s="109">
        <f t="shared" si="59"/>
        <v>0</v>
      </c>
      <c r="AZ85" s="109">
        <f t="shared" si="60"/>
        <v>39498.434231603482</v>
      </c>
      <c r="BA85" s="111">
        <f t="shared" si="61"/>
        <v>0</v>
      </c>
      <c r="BB85" s="117"/>
      <c r="BC85" s="115" t="str">
        <f t="shared" si="62"/>
        <v>N</v>
      </c>
      <c r="BD85" s="115" t="str">
        <f t="shared" si="63"/>
        <v>Y</v>
      </c>
      <c r="BE85" s="115" t="str">
        <f t="shared" si="64"/>
        <v>N</v>
      </c>
      <c r="BF85" s="109" t="str">
        <f t="shared" si="65"/>
        <v/>
      </c>
      <c r="BG85" s="111" t="s">
        <v>2499</v>
      </c>
      <c r="BH85" s="115" t="s">
        <v>1168</v>
      </c>
      <c r="BI85" s="116"/>
      <c r="BJ85" s="222">
        <v>0.95839763906496955</v>
      </c>
      <c r="BK85" s="265">
        <f t="shared" si="66"/>
        <v>0</v>
      </c>
      <c r="BL85" s="265">
        <f t="shared" si="67"/>
        <v>0</v>
      </c>
      <c r="BM85" s="265">
        <f t="shared" si="68"/>
        <v>-7.2759576141834259E-12</v>
      </c>
      <c r="BN85" s="265">
        <f t="shared" si="69"/>
        <v>857.80876013710076</v>
      </c>
      <c r="BO85" s="109"/>
      <c r="BP85" s="265">
        <f t="shared" si="70"/>
        <v>857.80876013710804</v>
      </c>
      <c r="BQ85" s="265">
        <v>857.80876013710804</v>
      </c>
      <c r="BR85" s="265" t="e">
        <f t="shared" si="71"/>
        <v>#REF!</v>
      </c>
      <c r="BS85" s="265">
        <v>96.640079800585525</v>
      </c>
      <c r="BT85" s="475">
        <v>12017.80576839652</v>
      </c>
      <c r="BU85" s="475">
        <v>39498.434231603482</v>
      </c>
      <c r="BV85" s="475">
        <v>0</v>
      </c>
      <c r="BW85" s="483">
        <f t="shared" si="72"/>
        <v>0</v>
      </c>
      <c r="BX85" s="483">
        <f t="shared" si="73"/>
        <v>0</v>
      </c>
    </row>
    <row r="86" spans="1:76" s="103" customFormat="1" ht="14.5">
      <c r="A86" s="100" t="s">
        <v>2502</v>
      </c>
      <c r="B86" s="91" t="str">
        <f t="shared" si="37"/>
        <v xml:space="preserve">CI </v>
      </c>
      <c r="C86" s="92"/>
      <c r="D86" s="448" t="s">
        <v>2269</v>
      </c>
      <c r="E86" s="449">
        <v>2130390</v>
      </c>
      <c r="F86" s="467" t="s">
        <v>2317</v>
      </c>
      <c r="G86" s="502" t="s">
        <v>5244</v>
      </c>
      <c r="H86" s="470">
        <v>1</v>
      </c>
      <c r="I86" s="95" t="s">
        <v>962</v>
      </c>
      <c r="J86" s="95" t="s">
        <v>1166</v>
      </c>
      <c r="K86" s="469">
        <v>910116.29</v>
      </c>
      <c r="L86" s="471">
        <v>0.37493340548821502</v>
      </c>
      <c r="M86" s="266">
        <v>1</v>
      </c>
      <c r="N86" s="267">
        <f t="shared" si="38"/>
        <v>0</v>
      </c>
      <c r="O86" s="96">
        <f t="shared" si="39"/>
        <v>568883.29000000015</v>
      </c>
      <c r="P86" s="96">
        <f t="shared" si="40"/>
        <v>341232.99999999988</v>
      </c>
      <c r="Q86" s="96">
        <f t="shared" si="41"/>
        <v>0</v>
      </c>
      <c r="R86" s="187" t="s">
        <v>2455</v>
      </c>
      <c r="S86" s="187" t="s">
        <v>3607</v>
      </c>
      <c r="T86" s="94" t="s">
        <v>2857</v>
      </c>
      <c r="U86" s="395">
        <f>COUNTIF(Aggregation_of_rev_to_allocate!$A$3:$A$137,$T86)</f>
        <v>1</v>
      </c>
      <c r="V86" s="100"/>
      <c r="W86" s="100">
        <v>110</v>
      </c>
      <c r="X86" s="109">
        <v>341233.2783048554</v>
      </c>
      <c r="Y86" s="109">
        <v>0</v>
      </c>
      <c r="Z86" s="110">
        <v>0.85813547259683409</v>
      </c>
      <c r="AA86" s="110">
        <v>1</v>
      </c>
      <c r="AB86" s="110">
        <v>0</v>
      </c>
      <c r="AC86" s="109">
        <f>IF(ISERROR((X86*SUMIF('Rev_for_allocation(Hard)'!$A$3:$A$249,$T86,'Rev_for_allocation(Hard)'!$I$3:$I$249)/SUMIF(Historic_capex_list!$T$9:$T$586,$T86,Historic_capex_list!$X$9:$X$586))=TRUE),0,X86*SUMIF('Rev_for_allocation(Hard)'!$A$3:$A$249,$T86,'Rev_for_allocation(Hard)'!$I$3:$I$249)/SUMIF(Historic_capex_list!$T$9:$T$586,$T86,Historic_capex_list!$X$9:$X$586))</f>
        <v>3.3620914610512863E-3</v>
      </c>
      <c r="AD86" s="109">
        <f t="shared" si="42"/>
        <v>341233.28166694683</v>
      </c>
      <c r="AE86" s="109">
        <f t="shared" si="43"/>
        <v>341233.28166694683</v>
      </c>
      <c r="AF86" s="109">
        <f t="shared" si="44"/>
        <v>341233.28166694683</v>
      </c>
      <c r="AG86" s="332" t="str">
        <f t="shared" si="45"/>
        <v>N</v>
      </c>
      <c r="AH86" s="332">
        <f t="shared" si="46"/>
        <v>0</v>
      </c>
      <c r="AI86" s="332">
        <f t="shared" si="47"/>
        <v>0</v>
      </c>
      <c r="AJ86" s="109">
        <f t="shared" si="48"/>
        <v>341233.28166694683</v>
      </c>
      <c r="AK86" s="109">
        <f t="shared" si="49"/>
        <v>0</v>
      </c>
      <c r="AL86" s="109">
        <v>0</v>
      </c>
      <c r="AM86" s="111">
        <f t="shared" si="50"/>
        <v>0</v>
      </c>
      <c r="AN86" s="111">
        <f t="shared" si="51"/>
        <v>0</v>
      </c>
      <c r="AO86" s="111" t="str">
        <f t="shared" si="52"/>
        <v>Use deduct 3yrs</v>
      </c>
      <c r="AP86" s="111">
        <f t="shared" si="53"/>
        <v>0</v>
      </c>
      <c r="AQ86" s="112">
        <f t="shared" si="54"/>
        <v>0</v>
      </c>
      <c r="AR86" s="112">
        <f t="shared" si="55"/>
        <v>1</v>
      </c>
      <c r="AS86" s="113">
        <f t="shared" si="56"/>
        <v>2028</v>
      </c>
      <c r="AT86" s="109">
        <v>341233.28226217302</v>
      </c>
      <c r="AU86" s="114">
        <v>1</v>
      </c>
      <c r="AV86" s="113">
        <v>2028</v>
      </c>
      <c r="AW86" s="112">
        <f t="shared" si="57"/>
        <v>0.37493371562679423</v>
      </c>
      <c r="AX86" s="109">
        <f t="shared" si="58"/>
        <v>341233.28226217302</v>
      </c>
      <c r="AY86" s="109">
        <f t="shared" si="59"/>
        <v>0</v>
      </c>
      <c r="AZ86" s="109">
        <f t="shared" si="60"/>
        <v>341233.28226217302</v>
      </c>
      <c r="BA86" s="111">
        <f t="shared" si="61"/>
        <v>0</v>
      </c>
      <c r="BB86" s="117"/>
      <c r="BC86" s="115" t="str">
        <f t="shared" si="62"/>
        <v>N</v>
      </c>
      <c r="BD86" s="115" t="str">
        <f t="shared" si="63"/>
        <v>Y</v>
      </c>
      <c r="BE86" s="115" t="str">
        <f t="shared" si="64"/>
        <v>N</v>
      </c>
      <c r="BF86" s="109" t="str">
        <f t="shared" si="65"/>
        <v/>
      </c>
      <c r="BG86" s="111" t="s">
        <v>2499</v>
      </c>
      <c r="BH86" s="115" t="s">
        <v>1168</v>
      </c>
      <c r="BI86" s="116"/>
      <c r="BJ86" s="222">
        <v>0.85813548254871985</v>
      </c>
      <c r="BK86" s="265">
        <f t="shared" si="66"/>
        <v>0</v>
      </c>
      <c r="BL86" s="265">
        <f t="shared" si="67"/>
        <v>0</v>
      </c>
      <c r="BM86" s="265">
        <f t="shared" si="68"/>
        <v>0</v>
      </c>
      <c r="BN86" s="265">
        <f t="shared" si="69"/>
        <v>0.27830485551385209</v>
      </c>
      <c r="BO86" s="109"/>
      <c r="BP86" s="265">
        <f t="shared" si="70"/>
        <v>-3.9573176181875169E-3</v>
      </c>
      <c r="BQ86" s="265">
        <v>-3.9573176181875169E-3</v>
      </c>
      <c r="BR86" s="265" t="e">
        <f t="shared" si="71"/>
        <v>#REF!</v>
      </c>
      <c r="BS86" s="265">
        <v>-4.4582838062504521E-4</v>
      </c>
      <c r="BT86" s="475">
        <v>56411.715761550833</v>
      </c>
      <c r="BU86" s="475">
        <v>341233.28226217302</v>
      </c>
      <c r="BV86" s="475">
        <v>0</v>
      </c>
      <c r="BW86" s="483">
        <f t="shared" si="72"/>
        <v>-0.28226217313203961</v>
      </c>
      <c r="BX86" s="483">
        <f t="shared" si="73"/>
        <v>0</v>
      </c>
    </row>
    <row r="87" spans="1:76" s="103" customFormat="1" ht="29">
      <c r="A87" s="100" t="s">
        <v>2502</v>
      </c>
      <c r="B87" s="91" t="str">
        <f t="shared" si="37"/>
        <v xml:space="preserve">CI </v>
      </c>
      <c r="C87" s="92" t="s">
        <v>2274</v>
      </c>
      <c r="D87" s="448" t="s">
        <v>2269</v>
      </c>
      <c r="E87" s="451">
        <v>3200236</v>
      </c>
      <c r="F87" s="409" t="s">
        <v>2930</v>
      </c>
      <c r="G87" s="589" t="s">
        <v>5241</v>
      </c>
      <c r="H87" s="398">
        <v>1</v>
      </c>
      <c r="I87" s="151"/>
      <c r="J87" s="95" t="s">
        <v>1166</v>
      </c>
      <c r="K87" s="191">
        <v>280710.89999999997</v>
      </c>
      <c r="L87" s="269">
        <v>0.96279497188554397</v>
      </c>
      <c r="M87" s="267">
        <v>1</v>
      </c>
      <c r="N87" s="267">
        <f t="shared" si="38"/>
        <v>0</v>
      </c>
      <c r="O87" s="96">
        <f t="shared" si="39"/>
        <v>10443.856926534254</v>
      </c>
      <c r="P87" s="96">
        <f t="shared" si="40"/>
        <v>270267.0430734657</v>
      </c>
      <c r="Q87" s="96">
        <f t="shared" si="41"/>
        <v>0</v>
      </c>
      <c r="R87" s="187" t="s">
        <v>2551</v>
      </c>
      <c r="S87" s="187" t="s">
        <v>3607</v>
      </c>
      <c r="T87" s="94" t="s">
        <v>2865</v>
      </c>
      <c r="U87" s="395">
        <f>COUNTIF(Aggregation_of_rev_to_allocate!$A$3:$A$137,$T87)</f>
        <v>1</v>
      </c>
      <c r="V87" s="100"/>
      <c r="W87" s="100">
        <v>68</v>
      </c>
      <c r="X87" s="109">
        <v>274875.39101335296</v>
      </c>
      <c r="Y87" s="109">
        <v>0</v>
      </c>
      <c r="Z87" s="110">
        <v>0.97921167654463359</v>
      </c>
      <c r="AA87" s="110">
        <v>1</v>
      </c>
      <c r="AB87" s="110">
        <v>0</v>
      </c>
      <c r="AC87" s="109">
        <f>IF(ISERROR((X87*SUMIF('Rev_for_allocation(Hard)'!$A$3:$A$249,$T87,'Rev_for_allocation(Hard)'!$I$3:$I$249)/SUMIF(Historic_capex_list!$T$9:$T$586,$T87,Historic_capex_list!$X$9:$X$586))=TRUE),0,X87*SUMIF('Rev_for_allocation(Hard)'!$A$3:$A$249,$T87,'Rev_for_allocation(Hard)'!$I$3:$I$249)/SUMIF(Historic_capex_list!$T$9:$T$586,$T87,Historic_capex_list!$X$9:$X$586))</f>
        <v>-4608.3479398872514</v>
      </c>
      <c r="AD87" s="109">
        <f t="shared" si="42"/>
        <v>270267.0430734657</v>
      </c>
      <c r="AE87" s="109">
        <f t="shared" si="43"/>
        <v>270267.0430734657</v>
      </c>
      <c r="AF87" s="109">
        <f t="shared" si="44"/>
        <v>270267.0430734657</v>
      </c>
      <c r="AG87" s="332" t="str">
        <f t="shared" si="45"/>
        <v>N</v>
      </c>
      <c r="AH87" s="332">
        <f t="shared" si="46"/>
        <v>0</v>
      </c>
      <c r="AI87" s="332">
        <f t="shared" si="47"/>
        <v>0</v>
      </c>
      <c r="AJ87" s="109">
        <f t="shared" si="48"/>
        <v>270267.0430734657</v>
      </c>
      <c r="AK87" s="109">
        <f t="shared" si="49"/>
        <v>0</v>
      </c>
      <c r="AL87" s="109">
        <v>0</v>
      </c>
      <c r="AM87" s="111">
        <f t="shared" si="50"/>
        <v>0</v>
      </c>
      <c r="AN87" s="111">
        <f t="shared" si="51"/>
        <v>0</v>
      </c>
      <c r="AO87" s="111" t="str">
        <f t="shared" si="52"/>
        <v>Use deduct 3yrs</v>
      </c>
      <c r="AP87" s="111">
        <f t="shared" si="53"/>
        <v>0</v>
      </c>
      <c r="AQ87" s="112">
        <f t="shared" si="54"/>
        <v>0</v>
      </c>
      <c r="AR87" s="112">
        <f t="shared" si="55"/>
        <v>1</v>
      </c>
      <c r="AS87" s="113">
        <f t="shared" si="56"/>
        <v>2028</v>
      </c>
      <c r="AT87" s="109">
        <v>270267.0430734657</v>
      </c>
      <c r="AU87" s="114">
        <v>1</v>
      </c>
      <c r="AV87" s="113">
        <v>2028</v>
      </c>
      <c r="AW87" s="112">
        <f t="shared" si="57"/>
        <v>0.96279497188554397</v>
      </c>
      <c r="AX87" s="109">
        <f t="shared" si="58"/>
        <v>270267.0430734657</v>
      </c>
      <c r="AY87" s="109">
        <f t="shared" si="59"/>
        <v>0</v>
      </c>
      <c r="AZ87" s="109">
        <f t="shared" si="60"/>
        <v>270267.0430734657</v>
      </c>
      <c r="BA87" s="111">
        <f t="shared" si="61"/>
        <v>0</v>
      </c>
      <c r="BB87" s="117"/>
      <c r="BC87" s="115" t="str">
        <f t="shared" si="62"/>
        <v>N</v>
      </c>
      <c r="BD87" s="115" t="str">
        <f t="shared" si="63"/>
        <v>Y</v>
      </c>
      <c r="BE87" s="115" t="str">
        <f t="shared" si="64"/>
        <v>N</v>
      </c>
      <c r="BF87" s="109" t="str">
        <f t="shared" si="65"/>
        <v/>
      </c>
      <c r="BG87" s="111" t="s">
        <v>2499</v>
      </c>
      <c r="BH87" s="115" t="s">
        <v>1168</v>
      </c>
      <c r="BI87" s="116"/>
      <c r="BJ87" s="222">
        <v>0.96279497188554397</v>
      </c>
      <c r="BK87" s="265">
        <f t="shared" si="66"/>
        <v>0</v>
      </c>
      <c r="BL87" s="265">
        <f t="shared" si="67"/>
        <v>0</v>
      </c>
      <c r="BM87" s="265">
        <f t="shared" si="68"/>
        <v>0</v>
      </c>
      <c r="BN87" s="265">
        <f t="shared" si="69"/>
        <v>4608.3479398872587</v>
      </c>
      <c r="BO87" s="109"/>
      <c r="BP87" s="265">
        <f t="shared" si="70"/>
        <v>4608.3479398872587</v>
      </c>
      <c r="BQ87" s="265">
        <v>4608.3479398872587</v>
      </c>
      <c r="BR87" s="265" t="e">
        <f t="shared" si="71"/>
        <v>#REF!</v>
      </c>
      <c r="BS87" s="265">
        <v>519.17295946987747</v>
      </c>
      <c r="BT87" s="475">
        <v>10443.856926534254</v>
      </c>
      <c r="BU87" s="475">
        <v>270267.0430734657</v>
      </c>
      <c r="BV87" s="475">
        <v>0</v>
      </c>
      <c r="BW87" s="483">
        <f t="shared" si="72"/>
        <v>0</v>
      </c>
      <c r="BX87" s="483">
        <f t="shared" si="73"/>
        <v>0</v>
      </c>
    </row>
    <row r="88" spans="1:76" s="103" customFormat="1" ht="14.5">
      <c r="A88" s="100" t="s">
        <v>2504</v>
      </c>
      <c r="B88" s="91" t="str">
        <f t="shared" si="37"/>
        <v xml:space="preserve">CI </v>
      </c>
      <c r="C88" s="92" t="s">
        <v>463</v>
      </c>
      <c r="D88" s="448" t="s">
        <v>2269</v>
      </c>
      <c r="E88" s="449">
        <v>2310129</v>
      </c>
      <c r="F88" s="384" t="s">
        <v>2892</v>
      </c>
      <c r="G88" s="589" t="s">
        <v>5245</v>
      </c>
      <c r="H88" s="398">
        <v>1</v>
      </c>
      <c r="I88" s="95" t="s">
        <v>951</v>
      </c>
      <c r="J88" s="95" t="s">
        <v>1166</v>
      </c>
      <c r="K88" s="191">
        <v>4218662.79</v>
      </c>
      <c r="L88" s="268">
        <v>0.82414522404524271</v>
      </c>
      <c r="M88" s="266">
        <v>1</v>
      </c>
      <c r="N88" s="267">
        <f t="shared" si="38"/>
        <v>0</v>
      </c>
      <c r="O88" s="96">
        <f t="shared" si="39"/>
        <v>741871.99976412137</v>
      </c>
      <c r="P88" s="96">
        <f t="shared" si="40"/>
        <v>3476790.7902358789</v>
      </c>
      <c r="Q88" s="96">
        <f t="shared" si="41"/>
        <v>0</v>
      </c>
      <c r="R88" s="187" t="s">
        <v>2456</v>
      </c>
      <c r="S88" s="187" t="s">
        <v>3607</v>
      </c>
      <c r="T88" s="94" t="s">
        <v>2858</v>
      </c>
      <c r="U88" s="395">
        <f>COUNTIF(Aggregation_of_rev_to_allocate!$A$3:$A$137,$T88)</f>
        <v>1</v>
      </c>
      <c r="V88" s="100"/>
      <c r="W88" s="100">
        <v>132</v>
      </c>
      <c r="X88" s="109">
        <v>3923356.3947000001</v>
      </c>
      <c r="Y88" s="109">
        <v>0</v>
      </c>
      <c r="Z88" s="110">
        <v>0.93</v>
      </c>
      <c r="AA88" s="110">
        <v>1</v>
      </c>
      <c r="AB88" s="110">
        <v>0</v>
      </c>
      <c r="AC88" s="109">
        <f>IF(ISERROR((X88*SUMIF('Rev_for_allocation(Hard)'!$A$3:$A$249,$T88,'Rev_for_allocation(Hard)'!$I$3:$I$249)/SUMIF(Historic_capex_list!$T$9:$T$586,$T88,Historic_capex_list!$X$9:$X$586))=TRUE),0,X88*SUMIF('Rev_for_allocation(Hard)'!$A$3:$A$249,$T88,'Rev_for_allocation(Hard)'!$I$3:$I$249)/SUMIF(Historic_capex_list!$T$9:$T$586,$T88,Historic_capex_list!$X$9:$X$586))</f>
        <v>-446565.6044641211</v>
      </c>
      <c r="AD88" s="109">
        <f t="shared" si="42"/>
        <v>3476790.7902358789</v>
      </c>
      <c r="AE88" s="109">
        <f t="shared" si="43"/>
        <v>3476790.7902358789</v>
      </c>
      <c r="AF88" s="109">
        <f t="shared" si="44"/>
        <v>3476790.7902358789</v>
      </c>
      <c r="AG88" s="332" t="str">
        <f t="shared" si="45"/>
        <v>N</v>
      </c>
      <c r="AH88" s="332">
        <f t="shared" si="46"/>
        <v>0</v>
      </c>
      <c r="AI88" s="332">
        <f t="shared" si="47"/>
        <v>0</v>
      </c>
      <c r="AJ88" s="109">
        <f t="shared" si="48"/>
        <v>3476790.7902358789</v>
      </c>
      <c r="AK88" s="109">
        <f t="shared" si="49"/>
        <v>0</v>
      </c>
      <c r="AL88" s="109">
        <v>0</v>
      </c>
      <c r="AM88" s="111">
        <f t="shared" si="50"/>
        <v>0</v>
      </c>
      <c r="AN88" s="111">
        <f t="shared" si="51"/>
        <v>0</v>
      </c>
      <c r="AO88" s="111" t="str">
        <f t="shared" si="52"/>
        <v>Use deduct 3yrs</v>
      </c>
      <c r="AP88" s="111">
        <f t="shared" si="53"/>
        <v>0</v>
      </c>
      <c r="AQ88" s="112">
        <f t="shared" si="54"/>
        <v>0</v>
      </c>
      <c r="AR88" s="112">
        <f t="shared" si="55"/>
        <v>1</v>
      </c>
      <c r="AS88" s="113">
        <f t="shared" si="56"/>
        <v>2028</v>
      </c>
      <c r="AT88" s="109">
        <v>3476790.7902358789</v>
      </c>
      <c r="AU88" s="114">
        <v>1</v>
      </c>
      <c r="AV88" s="113">
        <v>2028</v>
      </c>
      <c r="AW88" s="112">
        <f t="shared" si="57"/>
        <v>0.82414522404524271</v>
      </c>
      <c r="AX88" s="109">
        <f t="shared" si="58"/>
        <v>3476790.7902358789</v>
      </c>
      <c r="AY88" s="109">
        <f t="shared" si="59"/>
        <v>0</v>
      </c>
      <c r="AZ88" s="109">
        <f t="shared" si="60"/>
        <v>3476790.7902358789</v>
      </c>
      <c r="BA88" s="111">
        <f t="shared" si="61"/>
        <v>0</v>
      </c>
      <c r="BB88" s="117"/>
      <c r="BC88" s="115" t="str">
        <f t="shared" si="62"/>
        <v>N</v>
      </c>
      <c r="BD88" s="115" t="str">
        <f t="shared" si="63"/>
        <v>Y</v>
      </c>
      <c r="BE88" s="115" t="str">
        <f t="shared" si="64"/>
        <v>N</v>
      </c>
      <c r="BF88" s="109" t="str">
        <f t="shared" si="65"/>
        <v/>
      </c>
      <c r="BG88" s="111" t="s">
        <v>2499</v>
      </c>
      <c r="BH88" s="115" t="s">
        <v>1168</v>
      </c>
      <c r="BI88" s="116"/>
      <c r="BJ88" s="222">
        <v>0.82414522404524271</v>
      </c>
      <c r="BK88" s="265">
        <f t="shared" si="66"/>
        <v>0</v>
      </c>
      <c r="BL88" s="265">
        <f t="shared" si="67"/>
        <v>0</v>
      </c>
      <c r="BM88" s="265">
        <f t="shared" si="68"/>
        <v>0</v>
      </c>
      <c r="BN88" s="265">
        <f t="shared" si="69"/>
        <v>446565.60446412116</v>
      </c>
      <c r="BO88" s="109"/>
      <c r="BP88" s="265">
        <f t="shared" si="70"/>
        <v>446565.60446412116</v>
      </c>
      <c r="BQ88" s="265">
        <v>446565.60446412116</v>
      </c>
      <c r="BR88" s="265" t="e">
        <f t="shared" si="71"/>
        <v>#REF!</v>
      </c>
      <c r="BS88" s="265">
        <v>50309.739952657415</v>
      </c>
      <c r="BT88" s="475">
        <v>741871.99976412137</v>
      </c>
      <c r="BU88" s="475">
        <v>3476790.7902358789</v>
      </c>
      <c r="BV88" s="475">
        <v>0</v>
      </c>
      <c r="BW88" s="483">
        <f t="shared" si="72"/>
        <v>0</v>
      </c>
      <c r="BX88" s="483">
        <f t="shared" si="73"/>
        <v>0</v>
      </c>
    </row>
    <row r="89" spans="1:76" s="103" customFormat="1" ht="29">
      <c r="A89" s="100" t="s">
        <v>2502</v>
      </c>
      <c r="B89" s="91" t="str">
        <f t="shared" si="37"/>
        <v xml:space="preserve">CI </v>
      </c>
      <c r="C89" s="92" t="s">
        <v>2268</v>
      </c>
      <c r="D89" s="448" t="s">
        <v>2269</v>
      </c>
      <c r="E89" s="451">
        <v>3200803</v>
      </c>
      <c r="F89" s="409" t="s">
        <v>2931</v>
      </c>
      <c r="G89" s="467" t="s">
        <v>5011</v>
      </c>
      <c r="H89" s="398">
        <v>0.4</v>
      </c>
      <c r="I89" s="151"/>
      <c r="J89" s="95" t="s">
        <v>1166</v>
      </c>
      <c r="K89" s="191">
        <v>1071171.02</v>
      </c>
      <c r="L89" s="269">
        <v>0.88418658309757026</v>
      </c>
      <c r="M89" s="267">
        <v>1</v>
      </c>
      <c r="N89" s="267">
        <f t="shared" si="38"/>
        <v>0</v>
      </c>
      <c r="O89" s="96">
        <f t="shared" si="39"/>
        <v>692325.0023652243</v>
      </c>
      <c r="P89" s="96">
        <f t="shared" si="40"/>
        <v>378846.01763477566</v>
      </c>
      <c r="Q89" s="96">
        <f t="shared" si="41"/>
        <v>0</v>
      </c>
      <c r="R89" s="187" t="s">
        <v>2268</v>
      </c>
      <c r="S89" s="187" t="s">
        <v>3608</v>
      </c>
      <c r="T89" s="94" t="s">
        <v>2842</v>
      </c>
      <c r="U89" s="395">
        <f>COUNTIF(Aggregation_of_rev_to_allocate!$A$3:$A$137,$T89)</f>
        <v>1</v>
      </c>
      <c r="V89" s="100"/>
      <c r="W89" s="100">
        <v>31</v>
      </c>
      <c r="X89" s="109">
        <v>419561.26814409019</v>
      </c>
      <c r="Y89" s="109">
        <v>0</v>
      </c>
      <c r="Z89" s="110">
        <v>0.9792116765446337</v>
      </c>
      <c r="AA89" s="110">
        <v>1</v>
      </c>
      <c r="AB89" s="110">
        <v>0</v>
      </c>
      <c r="AC89" s="109">
        <f>IF(ISERROR((X89*SUMIF('Rev_for_allocation(Hard)'!$A$3:$A$249,$T89,'Rev_for_allocation(Hard)'!$I$3:$I$249)/SUMIF(Historic_capex_list!$T$9:$T$586,$T89,Historic_capex_list!$X$9:$X$586))=TRUE),0,X89*SUMIF('Rev_for_allocation(Hard)'!$A$3:$A$249,$T89,'Rev_for_allocation(Hard)'!$I$3:$I$249)/SUMIF(Historic_capex_list!$T$9:$T$586,$T89,Historic_capex_list!$X$9:$X$586))</f>
        <v>-32353.893900658772</v>
      </c>
      <c r="AD89" s="109">
        <f t="shared" si="42"/>
        <v>387207.37424343143</v>
      </c>
      <c r="AE89" s="109">
        <f t="shared" si="43"/>
        <v>387207.37424343143</v>
      </c>
      <c r="AF89" s="109">
        <f t="shared" si="44"/>
        <v>387207.37424343143</v>
      </c>
      <c r="AG89" s="332" t="str">
        <f t="shared" si="45"/>
        <v>N</v>
      </c>
      <c r="AH89" s="332">
        <f t="shared" si="46"/>
        <v>0</v>
      </c>
      <c r="AI89" s="332">
        <f t="shared" si="47"/>
        <v>0</v>
      </c>
      <c r="AJ89" s="109">
        <f t="shared" si="48"/>
        <v>387207.37424343143</v>
      </c>
      <c r="AK89" s="109">
        <f t="shared" si="49"/>
        <v>0</v>
      </c>
      <c r="AL89" s="109">
        <v>0</v>
      </c>
      <c r="AM89" s="111">
        <f t="shared" si="50"/>
        <v>0</v>
      </c>
      <c r="AN89" s="111">
        <f t="shared" si="51"/>
        <v>0</v>
      </c>
      <c r="AO89" s="111" t="str">
        <f t="shared" si="52"/>
        <v>Use deduct 3yrs</v>
      </c>
      <c r="AP89" s="111">
        <f t="shared" si="53"/>
        <v>0</v>
      </c>
      <c r="AQ89" s="112">
        <f t="shared" si="54"/>
        <v>0</v>
      </c>
      <c r="AR89" s="112">
        <f t="shared" si="55"/>
        <v>1</v>
      </c>
      <c r="AS89" s="113">
        <f t="shared" si="56"/>
        <v>2028</v>
      </c>
      <c r="AT89" s="109">
        <v>378846.01763477566</v>
      </c>
      <c r="AU89" s="114">
        <v>1</v>
      </c>
      <c r="AV89" s="113">
        <v>2028</v>
      </c>
      <c r="AW89" s="112">
        <f t="shared" si="57"/>
        <v>0.88418658309757026</v>
      </c>
      <c r="AX89" s="109">
        <f t="shared" si="58"/>
        <v>378846.01763477566</v>
      </c>
      <c r="AY89" s="109">
        <f t="shared" si="59"/>
        <v>0</v>
      </c>
      <c r="AZ89" s="109">
        <f t="shared" si="60"/>
        <v>378846.01763477566</v>
      </c>
      <c r="BA89" s="111">
        <f t="shared" si="61"/>
        <v>0</v>
      </c>
      <c r="BB89" s="117"/>
      <c r="BC89" s="115" t="str">
        <f t="shared" si="62"/>
        <v>N</v>
      </c>
      <c r="BD89" s="115" t="str">
        <f t="shared" si="63"/>
        <v>Y</v>
      </c>
      <c r="BE89" s="115" t="str">
        <f t="shared" si="64"/>
        <v>N</v>
      </c>
      <c r="BF89" s="109" t="str">
        <f t="shared" si="65"/>
        <v/>
      </c>
      <c r="BG89" s="111" t="s">
        <v>2499</v>
      </c>
      <c r="BH89" s="115" t="s">
        <v>1168</v>
      </c>
      <c r="BI89" s="116"/>
      <c r="BJ89" s="222">
        <v>0.88418658309757026</v>
      </c>
      <c r="BK89" s="265">
        <f t="shared" si="66"/>
        <v>0</v>
      </c>
      <c r="BL89" s="265">
        <f t="shared" si="67"/>
        <v>0</v>
      </c>
      <c r="BM89" s="265">
        <f t="shared" si="68"/>
        <v>5.8207660913467407E-11</v>
      </c>
      <c r="BN89" s="265">
        <f t="shared" si="69"/>
        <v>40715.25050931453</v>
      </c>
      <c r="BO89" s="109"/>
      <c r="BP89" s="265">
        <f t="shared" si="70"/>
        <v>40715.25050931453</v>
      </c>
      <c r="BQ89" s="265">
        <v>40715.25050931453</v>
      </c>
      <c r="BR89" s="265" t="e">
        <f t="shared" si="71"/>
        <v>#REF!</v>
      </c>
      <c r="BS89" s="265">
        <v>4586.9490277670739</v>
      </c>
      <c r="BT89" s="475">
        <v>692325.0023652243</v>
      </c>
      <c r="BU89" s="475">
        <v>378846.01763477566</v>
      </c>
      <c r="BV89" s="475">
        <v>0</v>
      </c>
      <c r="BW89" s="483">
        <f t="shared" si="72"/>
        <v>0</v>
      </c>
      <c r="BX89" s="483">
        <f t="shared" si="73"/>
        <v>0</v>
      </c>
    </row>
    <row r="90" spans="1:76" s="103" customFormat="1" ht="29">
      <c r="A90" s="100" t="s">
        <v>2507</v>
      </c>
      <c r="B90" s="91" t="str">
        <f t="shared" si="37"/>
        <v xml:space="preserve">CI </v>
      </c>
      <c r="C90" s="92" t="s">
        <v>464</v>
      </c>
      <c r="D90" s="448" t="s">
        <v>2269</v>
      </c>
      <c r="E90" s="449">
        <v>2130100</v>
      </c>
      <c r="F90" s="620" t="s">
        <v>2538</v>
      </c>
      <c r="G90" s="620" t="s">
        <v>5313</v>
      </c>
      <c r="H90" s="398">
        <v>1</v>
      </c>
      <c r="I90" s="95" t="s">
        <v>890</v>
      </c>
      <c r="J90" s="95" t="s">
        <v>1166</v>
      </c>
      <c r="K90" s="191">
        <v>444230.88</v>
      </c>
      <c r="L90" s="268">
        <v>0.4420941699746514</v>
      </c>
      <c r="M90" s="266">
        <v>1</v>
      </c>
      <c r="N90" s="267">
        <f t="shared" si="38"/>
        <v>0</v>
      </c>
      <c r="O90" s="96">
        <f t="shared" si="39"/>
        <v>247838.99782929101</v>
      </c>
      <c r="P90" s="96">
        <f t="shared" si="40"/>
        <v>196391.88217070897</v>
      </c>
      <c r="Q90" s="96">
        <f t="shared" si="41"/>
        <v>0</v>
      </c>
      <c r="R90" s="187" t="s">
        <v>2268</v>
      </c>
      <c r="S90" s="187" t="s">
        <v>3608</v>
      </c>
      <c r="T90" s="94" t="s">
        <v>2842</v>
      </c>
      <c r="U90" s="395">
        <f>COUNTIF(Aggregation_of_rev_to_allocate!$A$3:$A$137,$T90)</f>
        <v>1</v>
      </c>
      <c r="V90" s="100"/>
      <c r="W90" s="100">
        <v>27</v>
      </c>
      <c r="X90" s="109">
        <v>217498.46455079573</v>
      </c>
      <c r="Y90" s="109">
        <v>0</v>
      </c>
      <c r="Z90" s="110">
        <v>0.48960681110416215</v>
      </c>
      <c r="AA90" s="110">
        <v>1</v>
      </c>
      <c r="AB90" s="110">
        <v>0</v>
      </c>
      <c r="AC90" s="109">
        <f>IF(ISERROR((X90*SUMIF('Rev_for_allocation(Hard)'!$A$3:$A$249,$T90,'Rev_for_allocation(Hard)'!$I$3:$I$249)/SUMIF(Historic_capex_list!$T$9:$T$586,$T90,Historic_capex_list!$X$9:$X$586))=TRUE),0,X90*SUMIF('Rev_for_allocation(Hard)'!$A$3:$A$249,$T90,'Rev_for_allocation(Hard)'!$I$3:$I$249)/SUMIF(Historic_capex_list!$T$9:$T$586,$T90,Historic_capex_list!$X$9:$X$586))</f>
        <v>-16772.096901985584</v>
      </c>
      <c r="AD90" s="109">
        <f t="shared" si="42"/>
        <v>200726.36764881015</v>
      </c>
      <c r="AE90" s="109">
        <f t="shared" si="43"/>
        <v>200726.36764881015</v>
      </c>
      <c r="AF90" s="109">
        <f t="shared" si="44"/>
        <v>200726.36764881015</v>
      </c>
      <c r="AG90" s="332" t="str">
        <f t="shared" si="45"/>
        <v>N</v>
      </c>
      <c r="AH90" s="332">
        <f t="shared" si="46"/>
        <v>0</v>
      </c>
      <c r="AI90" s="332">
        <f t="shared" si="47"/>
        <v>0</v>
      </c>
      <c r="AJ90" s="109">
        <f t="shared" si="48"/>
        <v>200726.36764881015</v>
      </c>
      <c r="AK90" s="109">
        <f t="shared" si="49"/>
        <v>0</v>
      </c>
      <c r="AL90" s="109">
        <v>0</v>
      </c>
      <c r="AM90" s="111">
        <f t="shared" si="50"/>
        <v>0</v>
      </c>
      <c r="AN90" s="111">
        <f t="shared" si="51"/>
        <v>0</v>
      </c>
      <c r="AO90" s="111" t="str">
        <f t="shared" si="52"/>
        <v>Use deduct 3yrs</v>
      </c>
      <c r="AP90" s="111">
        <f t="shared" si="53"/>
        <v>0</v>
      </c>
      <c r="AQ90" s="112">
        <f t="shared" si="54"/>
        <v>0</v>
      </c>
      <c r="AR90" s="112">
        <f t="shared" si="55"/>
        <v>1</v>
      </c>
      <c r="AS90" s="113">
        <f t="shared" si="56"/>
        <v>2028</v>
      </c>
      <c r="AT90" s="109">
        <v>196391.88217070897</v>
      </c>
      <c r="AU90" s="114">
        <v>1</v>
      </c>
      <c r="AV90" s="113">
        <v>2028</v>
      </c>
      <c r="AW90" s="112">
        <f t="shared" si="57"/>
        <v>0.4420941699746514</v>
      </c>
      <c r="AX90" s="109">
        <f t="shared" si="58"/>
        <v>196391.88217070897</v>
      </c>
      <c r="AY90" s="109">
        <f t="shared" si="59"/>
        <v>0</v>
      </c>
      <c r="AZ90" s="109">
        <f t="shared" si="60"/>
        <v>196391.88217070897</v>
      </c>
      <c r="BA90" s="111">
        <f t="shared" si="61"/>
        <v>0</v>
      </c>
      <c r="BB90" s="117"/>
      <c r="BC90" s="115" t="str">
        <f t="shared" si="62"/>
        <v>N</v>
      </c>
      <c r="BD90" s="115" t="str">
        <f t="shared" si="63"/>
        <v>Y</v>
      </c>
      <c r="BE90" s="115" t="str">
        <f t="shared" si="64"/>
        <v>N</v>
      </c>
      <c r="BF90" s="109" t="str">
        <f t="shared" si="65"/>
        <v/>
      </c>
      <c r="BG90" s="111" t="s">
        <v>2499</v>
      </c>
      <c r="BH90" s="115" t="s">
        <v>1168</v>
      </c>
      <c r="BI90" s="116"/>
      <c r="BJ90" s="222">
        <v>0.4420941699746514</v>
      </c>
      <c r="BK90" s="265">
        <f t="shared" si="66"/>
        <v>0</v>
      </c>
      <c r="BL90" s="265">
        <f t="shared" si="67"/>
        <v>0</v>
      </c>
      <c r="BM90" s="265">
        <f t="shared" si="68"/>
        <v>2.9103830456733704E-11</v>
      </c>
      <c r="BN90" s="265">
        <f t="shared" si="69"/>
        <v>21106.582380086766</v>
      </c>
      <c r="BO90" s="109"/>
      <c r="BP90" s="265">
        <f t="shared" si="70"/>
        <v>21106.582380086766</v>
      </c>
      <c r="BQ90" s="265">
        <v>21106.582380086766</v>
      </c>
      <c r="BR90" s="265" t="e">
        <f t="shared" si="71"/>
        <v>#REF!</v>
      </c>
      <c r="BS90" s="265">
        <v>2377.8514516489608</v>
      </c>
      <c r="BT90" s="475">
        <v>247838.99782929101</v>
      </c>
      <c r="BU90" s="475">
        <v>196391.88217070897</v>
      </c>
      <c r="BV90" s="475">
        <v>0</v>
      </c>
      <c r="BW90" s="483">
        <f t="shared" si="72"/>
        <v>0</v>
      </c>
      <c r="BX90" s="483">
        <f t="shared" si="73"/>
        <v>0</v>
      </c>
    </row>
    <row r="91" spans="1:76" s="103" customFormat="1" ht="29">
      <c r="A91" s="100" t="s">
        <v>2502</v>
      </c>
      <c r="B91" s="91" t="str">
        <f t="shared" si="37"/>
        <v xml:space="preserve">CI </v>
      </c>
      <c r="C91" s="92" t="s">
        <v>463</v>
      </c>
      <c r="D91" s="448" t="s">
        <v>2269</v>
      </c>
      <c r="E91" s="449" t="s">
        <v>2241</v>
      </c>
      <c r="F91" s="467" t="s">
        <v>2539</v>
      </c>
      <c r="G91" s="467" t="s">
        <v>5012</v>
      </c>
      <c r="H91" s="398">
        <v>1</v>
      </c>
      <c r="I91" s="95" t="s">
        <v>890</v>
      </c>
      <c r="J91" s="95" t="s">
        <v>1166</v>
      </c>
      <c r="K91" s="191">
        <v>185000</v>
      </c>
      <c r="L91" s="268">
        <v>0.55087691759140023</v>
      </c>
      <c r="M91" s="266">
        <v>1</v>
      </c>
      <c r="N91" s="267">
        <f t="shared" si="38"/>
        <v>0</v>
      </c>
      <c r="O91" s="96">
        <f t="shared" si="39"/>
        <v>83087.77024559096</v>
      </c>
      <c r="P91" s="96">
        <f t="shared" si="40"/>
        <v>101912.22975440904</v>
      </c>
      <c r="Q91" s="96">
        <f t="shared" si="41"/>
        <v>0</v>
      </c>
      <c r="R91" s="187" t="s">
        <v>2268</v>
      </c>
      <c r="S91" s="187" t="s">
        <v>3608</v>
      </c>
      <c r="T91" s="94" t="s">
        <v>2842</v>
      </c>
      <c r="U91" s="395">
        <f>COUNTIF(Aggregation_of_rev_to_allocate!$A$3:$A$137,$T91)</f>
        <v>1</v>
      </c>
      <c r="V91" s="100"/>
      <c r="W91" s="100">
        <v>28</v>
      </c>
      <c r="X91" s="109">
        <v>112864.91705021102</v>
      </c>
      <c r="Y91" s="109">
        <v>0</v>
      </c>
      <c r="Z91" s="110">
        <v>0.61008063270384338</v>
      </c>
      <c r="AA91" s="110">
        <v>1</v>
      </c>
      <c r="AB91" s="110">
        <v>0</v>
      </c>
      <c r="AC91" s="109">
        <f>IF(ISERROR((X91*SUMIF('Rev_for_allocation(Hard)'!$A$3:$A$249,$T91,'Rev_for_allocation(Hard)'!$I$3:$I$249)/SUMIF(Historic_capex_list!$T$9:$T$586,$T91,Historic_capex_list!$X$9:$X$586))=TRUE),0,X91*SUMIF('Rev_for_allocation(Hard)'!$A$3:$A$249,$T91,'Rev_for_allocation(Hard)'!$I$3:$I$249)/SUMIF(Historic_capex_list!$T$9:$T$586,$T91,Historic_capex_list!$X$9:$X$586))</f>
        <v>-8703.4238586939882</v>
      </c>
      <c r="AD91" s="109">
        <f t="shared" si="42"/>
        <v>104161.49319151703</v>
      </c>
      <c r="AE91" s="109">
        <f t="shared" si="43"/>
        <v>104161.49319151703</v>
      </c>
      <c r="AF91" s="109">
        <f t="shared" si="44"/>
        <v>104161.49319151703</v>
      </c>
      <c r="AG91" s="332" t="str">
        <f t="shared" si="45"/>
        <v>N</v>
      </c>
      <c r="AH91" s="332">
        <f t="shared" si="46"/>
        <v>0</v>
      </c>
      <c r="AI91" s="332">
        <f t="shared" si="47"/>
        <v>0</v>
      </c>
      <c r="AJ91" s="109">
        <f t="shared" si="48"/>
        <v>104161.49319151703</v>
      </c>
      <c r="AK91" s="109">
        <f t="shared" si="49"/>
        <v>0</v>
      </c>
      <c r="AL91" s="109">
        <v>0</v>
      </c>
      <c r="AM91" s="111">
        <f t="shared" si="50"/>
        <v>0</v>
      </c>
      <c r="AN91" s="111">
        <f t="shared" si="51"/>
        <v>0</v>
      </c>
      <c r="AO91" s="111" t="str">
        <f t="shared" si="52"/>
        <v>Use deduct 3yrs</v>
      </c>
      <c r="AP91" s="111">
        <f t="shared" si="53"/>
        <v>0</v>
      </c>
      <c r="AQ91" s="112">
        <f t="shared" si="54"/>
        <v>0</v>
      </c>
      <c r="AR91" s="112">
        <f t="shared" si="55"/>
        <v>1</v>
      </c>
      <c r="AS91" s="113">
        <f t="shared" si="56"/>
        <v>2028</v>
      </c>
      <c r="AT91" s="109">
        <v>101912.22975440904</v>
      </c>
      <c r="AU91" s="114">
        <v>1</v>
      </c>
      <c r="AV91" s="113">
        <v>2028</v>
      </c>
      <c r="AW91" s="112">
        <f t="shared" si="57"/>
        <v>0.55087691759140023</v>
      </c>
      <c r="AX91" s="109">
        <f t="shared" si="58"/>
        <v>101912.22975440904</v>
      </c>
      <c r="AY91" s="109">
        <f t="shared" si="59"/>
        <v>0</v>
      </c>
      <c r="AZ91" s="109">
        <f t="shared" si="60"/>
        <v>101912.22975440904</v>
      </c>
      <c r="BA91" s="111">
        <f t="shared" si="61"/>
        <v>0</v>
      </c>
      <c r="BB91" s="117"/>
      <c r="BC91" s="115" t="str">
        <f t="shared" si="62"/>
        <v>N</v>
      </c>
      <c r="BD91" s="115" t="str">
        <f t="shared" si="63"/>
        <v>Y</v>
      </c>
      <c r="BE91" s="115" t="str">
        <f t="shared" si="64"/>
        <v>N</v>
      </c>
      <c r="BF91" s="109" t="str">
        <f t="shared" si="65"/>
        <v/>
      </c>
      <c r="BG91" s="111" t="s">
        <v>2499</v>
      </c>
      <c r="BH91" s="115" t="s">
        <v>1168</v>
      </c>
      <c r="BI91" s="116"/>
      <c r="BJ91" s="222">
        <v>0.55087691759140023</v>
      </c>
      <c r="BK91" s="265">
        <f t="shared" si="66"/>
        <v>0</v>
      </c>
      <c r="BL91" s="265">
        <f t="shared" si="67"/>
        <v>0</v>
      </c>
      <c r="BM91" s="265">
        <f t="shared" si="68"/>
        <v>0</v>
      </c>
      <c r="BN91" s="265">
        <f t="shared" si="69"/>
        <v>10952.687295801981</v>
      </c>
      <c r="BO91" s="109"/>
      <c r="BP91" s="265">
        <f t="shared" si="70"/>
        <v>10952.687295801981</v>
      </c>
      <c r="BQ91" s="265">
        <v>10952.687295801981</v>
      </c>
      <c r="BR91" s="265" t="e">
        <f t="shared" si="71"/>
        <v>#REF!</v>
      </c>
      <c r="BS91" s="265">
        <v>1233.9213860767547</v>
      </c>
      <c r="BT91" s="475">
        <v>83087.77024559096</v>
      </c>
      <c r="BU91" s="475">
        <v>101912.22975440904</v>
      </c>
      <c r="BV91" s="475">
        <v>0</v>
      </c>
      <c r="BW91" s="483">
        <f t="shared" si="72"/>
        <v>0</v>
      </c>
      <c r="BX91" s="483">
        <f t="shared" si="73"/>
        <v>0</v>
      </c>
    </row>
    <row r="92" spans="1:76" s="103" customFormat="1" ht="29">
      <c r="A92" s="100" t="s">
        <v>2502</v>
      </c>
      <c r="B92" s="91" t="str">
        <f t="shared" si="37"/>
        <v xml:space="preserve">CI </v>
      </c>
      <c r="C92" s="92" t="s">
        <v>463</v>
      </c>
      <c r="D92" s="448" t="s">
        <v>2269</v>
      </c>
      <c r="E92" s="449" t="s">
        <v>2240</v>
      </c>
      <c r="F92" s="467" t="s">
        <v>2540</v>
      </c>
      <c r="G92" s="467" t="s">
        <v>5012</v>
      </c>
      <c r="H92" s="398">
        <v>1</v>
      </c>
      <c r="I92" s="95" t="s">
        <v>890</v>
      </c>
      <c r="J92" s="95" t="s">
        <v>1166</v>
      </c>
      <c r="K92" s="191">
        <v>185000</v>
      </c>
      <c r="L92" s="268">
        <v>0.53051194985854211</v>
      </c>
      <c r="M92" s="266">
        <v>1</v>
      </c>
      <c r="N92" s="267">
        <f t="shared" si="38"/>
        <v>0</v>
      </c>
      <c r="O92" s="96">
        <f t="shared" si="39"/>
        <v>86855.289276169715</v>
      </c>
      <c r="P92" s="96">
        <f t="shared" si="40"/>
        <v>98144.710723830285</v>
      </c>
      <c r="Q92" s="96">
        <f t="shared" si="41"/>
        <v>0</v>
      </c>
      <c r="R92" s="187" t="s">
        <v>2268</v>
      </c>
      <c r="S92" s="187" t="s">
        <v>3608</v>
      </c>
      <c r="T92" s="94" t="s">
        <v>2842</v>
      </c>
      <c r="U92" s="395">
        <f>COUNTIF(Aggregation_of_rev_to_allocate!$A$3:$A$137,$T92)</f>
        <v>1</v>
      </c>
      <c r="V92" s="100"/>
      <c r="W92" s="100">
        <v>29</v>
      </c>
      <c r="X92" s="109">
        <v>108692.49609645434</v>
      </c>
      <c r="Y92" s="109">
        <v>0</v>
      </c>
      <c r="Z92" s="110">
        <v>0.5875270059267802</v>
      </c>
      <c r="AA92" s="110">
        <v>1</v>
      </c>
      <c r="AB92" s="110">
        <v>0</v>
      </c>
      <c r="AC92" s="109">
        <f>IF(ISERROR((X92*SUMIF('Rev_for_allocation(Hard)'!$A$3:$A$249,$T92,'Rev_for_allocation(Hard)'!$I$3:$I$249)/SUMIF(Historic_capex_list!$T$9:$T$586,$T92,Historic_capex_list!$X$9:$X$586))=TRUE),0,X92*SUMIF('Rev_for_allocation(Hard)'!$A$3:$A$249,$T92,'Rev_for_allocation(Hard)'!$I$3:$I$249)/SUMIF(Historic_capex_list!$T$9:$T$586,$T92,Historic_capex_list!$X$9:$X$586))</f>
        <v>-8381.6733180783849</v>
      </c>
      <c r="AD92" s="109">
        <f t="shared" si="42"/>
        <v>100310.82277837596</v>
      </c>
      <c r="AE92" s="109">
        <f t="shared" si="43"/>
        <v>100310.82277837596</v>
      </c>
      <c r="AF92" s="109">
        <f t="shared" si="44"/>
        <v>100310.82277837596</v>
      </c>
      <c r="AG92" s="332" t="str">
        <f t="shared" si="45"/>
        <v>N</v>
      </c>
      <c r="AH92" s="332">
        <f t="shared" si="46"/>
        <v>0</v>
      </c>
      <c r="AI92" s="332">
        <f t="shared" si="47"/>
        <v>0</v>
      </c>
      <c r="AJ92" s="109">
        <f t="shared" si="48"/>
        <v>100310.82277837596</v>
      </c>
      <c r="AK92" s="109">
        <f t="shared" si="49"/>
        <v>0</v>
      </c>
      <c r="AL92" s="109">
        <v>0</v>
      </c>
      <c r="AM92" s="111">
        <f t="shared" si="50"/>
        <v>0</v>
      </c>
      <c r="AN92" s="111">
        <f t="shared" si="51"/>
        <v>0</v>
      </c>
      <c r="AO92" s="111" t="str">
        <f t="shared" si="52"/>
        <v>Use deduct 3yrs</v>
      </c>
      <c r="AP92" s="111">
        <f t="shared" si="53"/>
        <v>0</v>
      </c>
      <c r="AQ92" s="112">
        <f t="shared" si="54"/>
        <v>0</v>
      </c>
      <c r="AR92" s="112">
        <f t="shared" si="55"/>
        <v>1</v>
      </c>
      <c r="AS92" s="113">
        <f t="shared" si="56"/>
        <v>2028</v>
      </c>
      <c r="AT92" s="109">
        <v>98144.7107238303</v>
      </c>
      <c r="AU92" s="114">
        <v>1</v>
      </c>
      <c r="AV92" s="113">
        <v>2028</v>
      </c>
      <c r="AW92" s="112">
        <f t="shared" si="57"/>
        <v>0.53051194985854211</v>
      </c>
      <c r="AX92" s="109">
        <f t="shared" si="58"/>
        <v>98144.710723830285</v>
      </c>
      <c r="AY92" s="109">
        <f t="shared" si="59"/>
        <v>0</v>
      </c>
      <c r="AZ92" s="109">
        <f t="shared" si="60"/>
        <v>98144.710723830285</v>
      </c>
      <c r="BA92" s="111">
        <f t="shared" si="61"/>
        <v>0</v>
      </c>
      <c r="BB92" s="117"/>
      <c r="BC92" s="115" t="str">
        <f t="shared" si="62"/>
        <v>N</v>
      </c>
      <c r="BD92" s="115" t="str">
        <f t="shared" si="63"/>
        <v>Y</v>
      </c>
      <c r="BE92" s="115" t="str">
        <f t="shared" si="64"/>
        <v>N</v>
      </c>
      <c r="BF92" s="109" t="str">
        <f t="shared" si="65"/>
        <v/>
      </c>
      <c r="BG92" s="111" t="s">
        <v>2499</v>
      </c>
      <c r="BH92" s="115" t="s">
        <v>1168</v>
      </c>
      <c r="BI92" s="116"/>
      <c r="BJ92" s="222">
        <v>0.53051194985854211</v>
      </c>
      <c r="BK92" s="265">
        <f t="shared" si="66"/>
        <v>0</v>
      </c>
      <c r="BL92" s="265">
        <f t="shared" si="67"/>
        <v>0</v>
      </c>
      <c r="BM92" s="265">
        <f t="shared" si="68"/>
        <v>0</v>
      </c>
      <c r="BN92" s="265">
        <f t="shared" si="69"/>
        <v>10547.785372624057</v>
      </c>
      <c r="BO92" s="109"/>
      <c r="BP92" s="265">
        <f t="shared" si="70"/>
        <v>10547.785372624043</v>
      </c>
      <c r="BQ92" s="265">
        <v>10547.785372624043</v>
      </c>
      <c r="BR92" s="265" t="e">
        <f t="shared" si="71"/>
        <v>#REF!</v>
      </c>
      <c r="BS92" s="265">
        <v>1188.305444638861</v>
      </c>
      <c r="BT92" s="475">
        <v>86855.289276169715</v>
      </c>
      <c r="BU92" s="475">
        <v>98144.710723830285</v>
      </c>
      <c r="BV92" s="475">
        <v>0</v>
      </c>
      <c r="BW92" s="483">
        <f t="shared" si="72"/>
        <v>0</v>
      </c>
      <c r="BX92" s="483">
        <f t="shared" si="73"/>
        <v>0</v>
      </c>
    </row>
    <row r="93" spans="1:76" s="103" customFormat="1" ht="29">
      <c r="A93" s="100" t="s">
        <v>2502</v>
      </c>
      <c r="B93" s="91" t="str">
        <f t="shared" si="37"/>
        <v xml:space="preserve">CI </v>
      </c>
      <c r="C93" s="92" t="s">
        <v>463</v>
      </c>
      <c r="D93" s="448" t="s">
        <v>2269</v>
      </c>
      <c r="E93" s="449" t="s">
        <v>2242</v>
      </c>
      <c r="F93" s="467" t="s">
        <v>2541</v>
      </c>
      <c r="G93" s="467" t="s">
        <v>5012</v>
      </c>
      <c r="H93" s="398">
        <v>1</v>
      </c>
      <c r="I93" s="95" t="s">
        <v>890</v>
      </c>
      <c r="J93" s="95" t="s">
        <v>1166</v>
      </c>
      <c r="K93" s="191">
        <v>185000</v>
      </c>
      <c r="L93" s="268">
        <v>0.64304261525871675</v>
      </c>
      <c r="M93" s="266">
        <v>1</v>
      </c>
      <c r="N93" s="267">
        <f t="shared" si="38"/>
        <v>0</v>
      </c>
      <c r="O93" s="96">
        <f t="shared" si="39"/>
        <v>66037.116177137403</v>
      </c>
      <c r="P93" s="96">
        <f t="shared" si="40"/>
        <v>118962.8838228626</v>
      </c>
      <c r="Q93" s="96">
        <f t="shared" si="41"/>
        <v>0</v>
      </c>
      <c r="R93" s="187" t="s">
        <v>2268</v>
      </c>
      <c r="S93" s="187" t="s">
        <v>3608</v>
      </c>
      <c r="T93" s="94" t="s">
        <v>2842</v>
      </c>
      <c r="U93" s="395">
        <f>COUNTIF(Aggregation_of_rev_to_allocate!$A$3:$A$137,$T93)</f>
        <v>1</v>
      </c>
      <c r="V93" s="100"/>
      <c r="W93" s="100">
        <v>30</v>
      </c>
      <c r="X93" s="109">
        <v>131748.03502069775</v>
      </c>
      <c r="Y93" s="109">
        <v>0</v>
      </c>
      <c r="Z93" s="110">
        <v>0.71215154065242026</v>
      </c>
      <c r="AA93" s="110">
        <v>1</v>
      </c>
      <c r="AB93" s="110">
        <v>0</v>
      </c>
      <c r="AC93" s="109">
        <f>IF(ISERROR((X93*SUMIF('Rev_for_allocation(Hard)'!$A$3:$A$249,$T93,'Rev_for_allocation(Hard)'!$I$3:$I$249)/SUMIF(Historic_capex_list!$T$9:$T$586,$T93,Historic_capex_list!$X$9:$X$586))=TRUE),0,X93*SUMIF('Rev_for_allocation(Hard)'!$A$3:$A$249,$T93,'Rev_for_allocation(Hard)'!$I$3:$I$249)/SUMIF(Historic_capex_list!$T$9:$T$586,$T93,Historic_capex_list!$X$9:$X$586))</f>
        <v>-10159.569698926633</v>
      </c>
      <c r="AD93" s="109">
        <f t="shared" si="42"/>
        <v>121588.46532177112</v>
      </c>
      <c r="AE93" s="109">
        <f t="shared" si="43"/>
        <v>121588.46532177112</v>
      </c>
      <c r="AF93" s="109">
        <f t="shared" si="44"/>
        <v>121588.46532177112</v>
      </c>
      <c r="AG93" s="332" t="str">
        <f t="shared" si="45"/>
        <v>N</v>
      </c>
      <c r="AH93" s="332">
        <f t="shared" si="46"/>
        <v>0</v>
      </c>
      <c r="AI93" s="332">
        <f t="shared" si="47"/>
        <v>0</v>
      </c>
      <c r="AJ93" s="109">
        <f t="shared" si="48"/>
        <v>121588.46532177112</v>
      </c>
      <c r="AK93" s="109">
        <f t="shared" si="49"/>
        <v>0</v>
      </c>
      <c r="AL93" s="109">
        <v>0</v>
      </c>
      <c r="AM93" s="111">
        <f t="shared" si="50"/>
        <v>0</v>
      </c>
      <c r="AN93" s="111">
        <f t="shared" si="51"/>
        <v>0</v>
      </c>
      <c r="AO93" s="111" t="str">
        <f t="shared" si="52"/>
        <v>Use deduct 3yrs</v>
      </c>
      <c r="AP93" s="111">
        <f t="shared" si="53"/>
        <v>0</v>
      </c>
      <c r="AQ93" s="112">
        <f t="shared" si="54"/>
        <v>0</v>
      </c>
      <c r="AR93" s="112">
        <f t="shared" si="55"/>
        <v>1</v>
      </c>
      <c r="AS93" s="113">
        <f t="shared" si="56"/>
        <v>2028</v>
      </c>
      <c r="AT93" s="109">
        <v>118962.8838228626</v>
      </c>
      <c r="AU93" s="114">
        <v>1</v>
      </c>
      <c r="AV93" s="113">
        <v>2028</v>
      </c>
      <c r="AW93" s="112">
        <f t="shared" si="57"/>
        <v>0.64304261525871675</v>
      </c>
      <c r="AX93" s="109">
        <f t="shared" si="58"/>
        <v>118962.8838228626</v>
      </c>
      <c r="AY93" s="109">
        <f t="shared" si="59"/>
        <v>0</v>
      </c>
      <c r="AZ93" s="109">
        <f t="shared" si="60"/>
        <v>118962.8838228626</v>
      </c>
      <c r="BA93" s="111">
        <f t="shared" si="61"/>
        <v>0</v>
      </c>
      <c r="BB93" s="117"/>
      <c r="BC93" s="115" t="str">
        <f t="shared" si="62"/>
        <v>N</v>
      </c>
      <c r="BD93" s="115" t="str">
        <f t="shared" si="63"/>
        <v>Y</v>
      </c>
      <c r="BE93" s="115" t="str">
        <f t="shared" si="64"/>
        <v>N</v>
      </c>
      <c r="BF93" s="109" t="str">
        <f t="shared" si="65"/>
        <v/>
      </c>
      <c r="BG93" s="111" t="s">
        <v>2499</v>
      </c>
      <c r="BH93" s="115" t="s">
        <v>1168</v>
      </c>
      <c r="BI93" s="116"/>
      <c r="BJ93" s="222">
        <v>0.64304261525871675</v>
      </c>
      <c r="BK93" s="265">
        <f t="shared" si="66"/>
        <v>0</v>
      </c>
      <c r="BL93" s="265">
        <f t="shared" si="67"/>
        <v>0</v>
      </c>
      <c r="BM93" s="265">
        <f t="shared" si="68"/>
        <v>0</v>
      </c>
      <c r="BN93" s="265">
        <f t="shared" si="69"/>
        <v>12785.151197835148</v>
      </c>
      <c r="BO93" s="109"/>
      <c r="BP93" s="265">
        <f t="shared" si="70"/>
        <v>12785.151197835148</v>
      </c>
      <c r="BQ93" s="265">
        <v>12785.151197835148</v>
      </c>
      <c r="BR93" s="265" t="e">
        <f t="shared" si="71"/>
        <v>#REF!</v>
      </c>
      <c r="BS93" s="265">
        <v>1440.3653698102298</v>
      </c>
      <c r="BT93" s="475">
        <v>66037.116177137403</v>
      </c>
      <c r="BU93" s="475">
        <v>118962.8838228626</v>
      </c>
      <c r="BV93" s="475">
        <v>0</v>
      </c>
      <c r="BW93" s="483">
        <f t="shared" si="72"/>
        <v>0</v>
      </c>
      <c r="BX93" s="483">
        <f t="shared" si="73"/>
        <v>0</v>
      </c>
    </row>
    <row r="94" spans="1:76" s="103" customFormat="1" ht="29">
      <c r="A94" s="100" t="s">
        <v>2502</v>
      </c>
      <c r="B94" s="91" t="str">
        <f t="shared" si="37"/>
        <v xml:space="preserve">CI </v>
      </c>
      <c r="C94" s="92" t="s">
        <v>2268</v>
      </c>
      <c r="D94" s="448" t="s">
        <v>2269</v>
      </c>
      <c r="E94" s="451">
        <v>3200803</v>
      </c>
      <c r="F94" s="409" t="s">
        <v>2542</v>
      </c>
      <c r="G94" s="467" t="s">
        <v>5013</v>
      </c>
      <c r="H94" s="398">
        <v>0.4</v>
      </c>
      <c r="I94" s="151"/>
      <c r="J94" s="95" t="s">
        <v>1166</v>
      </c>
      <c r="K94" s="191">
        <v>1122104.7699999998</v>
      </c>
      <c r="L94" s="269">
        <v>0.88418658309757026</v>
      </c>
      <c r="M94" s="267">
        <v>1</v>
      </c>
      <c r="N94" s="267">
        <f t="shared" si="38"/>
        <v>0</v>
      </c>
      <c r="O94" s="96">
        <f t="shared" si="39"/>
        <v>725244.77701448591</v>
      </c>
      <c r="P94" s="96">
        <f t="shared" si="40"/>
        <v>396859.99298551393</v>
      </c>
      <c r="Q94" s="96">
        <f t="shared" si="41"/>
        <v>0</v>
      </c>
      <c r="R94" s="187" t="s">
        <v>2268</v>
      </c>
      <c r="S94" s="187" t="s">
        <v>3608</v>
      </c>
      <c r="T94" s="94" t="s">
        <v>2842</v>
      </c>
      <c r="U94" s="395">
        <f>COUNTIF(Aggregation_of_rev_to_allocate!$A$3:$A$137,$T94)</f>
        <v>1</v>
      </c>
      <c r="V94" s="100"/>
      <c r="W94" s="100">
        <v>32</v>
      </c>
      <c r="X94" s="109">
        <v>439511.23723617219</v>
      </c>
      <c r="Y94" s="109">
        <v>0</v>
      </c>
      <c r="Z94" s="110">
        <v>0.97921167654463359</v>
      </c>
      <c r="AA94" s="110">
        <v>1</v>
      </c>
      <c r="AB94" s="110">
        <v>0</v>
      </c>
      <c r="AC94" s="109">
        <f>IF(ISERROR((X94*SUMIF('Rev_for_allocation(Hard)'!$A$3:$A$249,$T94,'Rev_for_allocation(Hard)'!$I$3:$I$249)/SUMIF(Historic_capex_list!$T$9:$T$586,$T94,Historic_capex_list!$X$9:$X$586))=TRUE),0,X94*SUMIF('Rev_for_allocation(Hard)'!$A$3:$A$249,$T94,'Rev_for_allocation(Hard)'!$I$3:$I$249)/SUMIF(Historic_capex_list!$T$9:$T$586,$T94,Historic_capex_list!$X$9:$X$586))</f>
        <v>-33892.308507378308</v>
      </c>
      <c r="AD94" s="109">
        <f t="shared" si="42"/>
        <v>405618.92872879386</v>
      </c>
      <c r="AE94" s="109">
        <f t="shared" si="43"/>
        <v>405618.92872879386</v>
      </c>
      <c r="AF94" s="109">
        <f t="shared" si="44"/>
        <v>405618.92872879386</v>
      </c>
      <c r="AG94" s="332" t="str">
        <f t="shared" si="45"/>
        <v>N</v>
      </c>
      <c r="AH94" s="332">
        <f t="shared" si="46"/>
        <v>0</v>
      </c>
      <c r="AI94" s="332">
        <f t="shared" si="47"/>
        <v>0</v>
      </c>
      <c r="AJ94" s="109">
        <f t="shared" si="48"/>
        <v>405618.92872879386</v>
      </c>
      <c r="AK94" s="109">
        <f t="shared" si="49"/>
        <v>0</v>
      </c>
      <c r="AL94" s="109">
        <v>0</v>
      </c>
      <c r="AM94" s="111">
        <f t="shared" si="50"/>
        <v>0</v>
      </c>
      <c r="AN94" s="111">
        <f t="shared" si="51"/>
        <v>0</v>
      </c>
      <c r="AO94" s="111" t="str">
        <f t="shared" si="52"/>
        <v>Use deduct 3yrs</v>
      </c>
      <c r="AP94" s="111">
        <f t="shared" si="53"/>
        <v>0</v>
      </c>
      <c r="AQ94" s="112">
        <f t="shared" si="54"/>
        <v>0</v>
      </c>
      <c r="AR94" s="112">
        <f t="shared" si="55"/>
        <v>1</v>
      </c>
      <c r="AS94" s="113">
        <f t="shared" si="56"/>
        <v>2028</v>
      </c>
      <c r="AT94" s="109">
        <v>396859.99298551393</v>
      </c>
      <c r="AU94" s="114">
        <v>1</v>
      </c>
      <c r="AV94" s="113">
        <v>2028</v>
      </c>
      <c r="AW94" s="112">
        <f t="shared" si="57"/>
        <v>0.88418658309757026</v>
      </c>
      <c r="AX94" s="109">
        <f t="shared" si="58"/>
        <v>396859.99298551393</v>
      </c>
      <c r="AY94" s="109">
        <f t="shared" si="59"/>
        <v>0</v>
      </c>
      <c r="AZ94" s="109">
        <f t="shared" si="60"/>
        <v>396859.99298551393</v>
      </c>
      <c r="BA94" s="111">
        <f t="shared" si="61"/>
        <v>0</v>
      </c>
      <c r="BB94" s="117"/>
      <c r="BC94" s="115" t="str">
        <f t="shared" si="62"/>
        <v>N</v>
      </c>
      <c r="BD94" s="115" t="str">
        <f t="shared" si="63"/>
        <v>Y</v>
      </c>
      <c r="BE94" s="115" t="str">
        <f t="shared" si="64"/>
        <v>N</v>
      </c>
      <c r="BF94" s="109" t="str">
        <f t="shared" si="65"/>
        <v/>
      </c>
      <c r="BG94" s="111" t="s">
        <v>2499</v>
      </c>
      <c r="BH94" s="115" t="s">
        <v>1168</v>
      </c>
      <c r="BI94" s="116"/>
      <c r="BJ94" s="222">
        <v>0.88418658309757026</v>
      </c>
      <c r="BK94" s="265">
        <f t="shared" si="66"/>
        <v>0</v>
      </c>
      <c r="BL94" s="265">
        <f t="shared" si="67"/>
        <v>0</v>
      </c>
      <c r="BM94" s="265">
        <f t="shared" si="68"/>
        <v>-5.8207660913467407E-11</v>
      </c>
      <c r="BN94" s="265">
        <f t="shared" si="69"/>
        <v>42651.244250658259</v>
      </c>
      <c r="BO94" s="109"/>
      <c r="BP94" s="265">
        <f t="shared" si="70"/>
        <v>42651.244250658259</v>
      </c>
      <c r="BQ94" s="265">
        <v>42651.244250658259</v>
      </c>
      <c r="BR94" s="265" t="e">
        <f t="shared" si="71"/>
        <v>#REF!</v>
      </c>
      <c r="BS94" s="265">
        <v>4805.0566041305838</v>
      </c>
      <c r="BT94" s="475">
        <v>725244.77701448591</v>
      </c>
      <c r="BU94" s="475">
        <v>396859.99298551393</v>
      </c>
      <c r="BV94" s="475">
        <v>0</v>
      </c>
      <c r="BW94" s="483">
        <f t="shared" si="72"/>
        <v>0</v>
      </c>
      <c r="BX94" s="483">
        <f t="shared" si="73"/>
        <v>0</v>
      </c>
    </row>
    <row r="95" spans="1:76" s="103" customFormat="1" ht="29">
      <c r="A95" s="100" t="s">
        <v>2502</v>
      </c>
      <c r="B95" s="91" t="str">
        <f t="shared" si="37"/>
        <v xml:space="preserve">CI </v>
      </c>
      <c r="C95" s="92" t="s">
        <v>463</v>
      </c>
      <c r="D95" s="448" t="s">
        <v>2269</v>
      </c>
      <c r="E95" s="453">
        <v>41365</v>
      </c>
      <c r="F95" s="467" t="s">
        <v>4937</v>
      </c>
      <c r="G95" s="620" t="s">
        <v>5311</v>
      </c>
      <c r="H95" s="398">
        <v>1</v>
      </c>
      <c r="I95" s="95" t="s">
        <v>952</v>
      </c>
      <c r="J95" s="95" t="s">
        <v>1166</v>
      </c>
      <c r="K95" s="191">
        <v>240000</v>
      </c>
      <c r="L95" s="268">
        <v>0.18508150704688858</v>
      </c>
      <c r="M95" s="266">
        <v>1</v>
      </c>
      <c r="N95" s="267">
        <f t="shared" si="38"/>
        <v>0</v>
      </c>
      <c r="O95" s="96">
        <f t="shared" si="39"/>
        <v>195580.43830874676</v>
      </c>
      <c r="P95" s="96">
        <f t="shared" si="40"/>
        <v>44419.561691253257</v>
      </c>
      <c r="Q95" s="96">
        <f t="shared" si="41"/>
        <v>0</v>
      </c>
      <c r="R95" s="187" t="s">
        <v>2454</v>
      </c>
      <c r="S95" s="187" t="s">
        <v>3607</v>
      </c>
      <c r="T95" s="94" t="s">
        <v>2856</v>
      </c>
      <c r="U95" s="395">
        <f>COUNTIF(Aggregation_of_rev_to_allocate!$A$3:$A$137,$T95)</f>
        <v>1</v>
      </c>
      <c r="V95" s="100"/>
      <c r="W95" s="100">
        <v>74</v>
      </c>
      <c r="X95" s="109">
        <v>148056.8054935486</v>
      </c>
      <c r="Y95" s="109">
        <v>0</v>
      </c>
      <c r="Z95" s="110">
        <v>0.6169033562231192</v>
      </c>
      <c r="AA95" s="110">
        <v>1</v>
      </c>
      <c r="AB95" s="110">
        <v>0</v>
      </c>
      <c r="AC95" s="109">
        <f>IF(ISERROR((X95*SUMIF('Rev_for_allocation(Hard)'!$A$3:$A$249,$T95,'Rev_for_allocation(Hard)'!$I$3:$I$249)/SUMIF(Historic_capex_list!$T$9:$T$586,$T95,Historic_capex_list!$X$9:$X$586))=TRUE),0,X95*SUMIF('Rev_for_allocation(Hard)'!$A$3:$A$249,$T95,'Rev_for_allocation(Hard)'!$I$3:$I$249)/SUMIF(Historic_capex_list!$T$9:$T$586,$T95,Historic_capex_list!$X$9:$X$586))</f>
        <v>-103637.24380229534</v>
      </c>
      <c r="AD95" s="109">
        <f t="shared" si="42"/>
        <v>44419.561691253257</v>
      </c>
      <c r="AE95" s="109">
        <f t="shared" si="43"/>
        <v>44419.561691253257</v>
      </c>
      <c r="AF95" s="109">
        <f t="shared" si="44"/>
        <v>44419.561691253257</v>
      </c>
      <c r="AG95" s="332" t="str">
        <f t="shared" si="45"/>
        <v>N</v>
      </c>
      <c r="AH95" s="332">
        <f t="shared" si="46"/>
        <v>0</v>
      </c>
      <c r="AI95" s="332">
        <f t="shared" si="47"/>
        <v>0</v>
      </c>
      <c r="AJ95" s="109">
        <f t="shared" si="48"/>
        <v>44419.561691253257</v>
      </c>
      <c r="AK95" s="109">
        <f t="shared" si="49"/>
        <v>0</v>
      </c>
      <c r="AL95" s="109">
        <v>0</v>
      </c>
      <c r="AM95" s="111">
        <f t="shared" si="50"/>
        <v>0</v>
      </c>
      <c r="AN95" s="111">
        <f t="shared" si="51"/>
        <v>0</v>
      </c>
      <c r="AO95" s="111">
        <f t="shared" si="52"/>
        <v>-13.331442242191859</v>
      </c>
      <c r="AP95" s="111">
        <f t="shared" si="53"/>
        <v>0</v>
      </c>
      <c r="AQ95" s="112">
        <f t="shared" si="54"/>
        <v>0</v>
      </c>
      <c r="AR95" s="112">
        <f t="shared" si="55"/>
        <v>1</v>
      </c>
      <c r="AS95" s="113">
        <f t="shared" si="56"/>
        <v>2028</v>
      </c>
      <c r="AT95" s="109">
        <v>44419.561691253257</v>
      </c>
      <c r="AU95" s="114">
        <v>1</v>
      </c>
      <c r="AV95" s="113">
        <v>2028</v>
      </c>
      <c r="AW95" s="112">
        <f t="shared" si="57"/>
        <v>0.18508150704688858</v>
      </c>
      <c r="AX95" s="109">
        <f t="shared" si="58"/>
        <v>44419.561691253257</v>
      </c>
      <c r="AY95" s="109">
        <f t="shared" si="59"/>
        <v>0</v>
      </c>
      <c r="AZ95" s="109">
        <f t="shared" si="60"/>
        <v>44419.561691253257</v>
      </c>
      <c r="BA95" s="111">
        <f t="shared" si="61"/>
        <v>0</v>
      </c>
      <c r="BB95" s="117"/>
      <c r="BC95" s="115" t="str">
        <f t="shared" si="62"/>
        <v>N</v>
      </c>
      <c r="BD95" s="115" t="str">
        <f t="shared" si="63"/>
        <v>Y</v>
      </c>
      <c r="BE95" s="115" t="str">
        <f t="shared" si="64"/>
        <v>N</v>
      </c>
      <c r="BF95" s="109" t="str">
        <f t="shared" si="65"/>
        <v/>
      </c>
      <c r="BG95" s="111" t="s">
        <v>2499</v>
      </c>
      <c r="BH95" s="115" t="s">
        <v>1168</v>
      </c>
      <c r="BI95" s="116"/>
      <c r="BJ95" s="222">
        <v>0.18508150704688858</v>
      </c>
      <c r="BK95" s="265">
        <f t="shared" si="66"/>
        <v>0</v>
      </c>
      <c r="BL95" s="265">
        <f t="shared" si="67"/>
        <v>0</v>
      </c>
      <c r="BM95" s="265">
        <f t="shared" si="68"/>
        <v>-1.4551915228366852E-11</v>
      </c>
      <c r="BN95" s="265">
        <f t="shared" si="69"/>
        <v>103637.24380229534</v>
      </c>
      <c r="BO95" s="109"/>
      <c r="BP95" s="265">
        <f t="shared" si="70"/>
        <v>103637.24380229534</v>
      </c>
      <c r="BQ95" s="265">
        <v>103637.24380229534</v>
      </c>
      <c r="BR95" s="265" t="e">
        <f t="shared" si="71"/>
        <v>#REF!</v>
      </c>
      <c r="BS95" s="265">
        <v>11675.692738047732</v>
      </c>
      <c r="BT95" s="475">
        <v>195580.43830874676</v>
      </c>
      <c r="BU95" s="475">
        <v>44419.561691253257</v>
      </c>
      <c r="BV95" s="475">
        <v>0</v>
      </c>
      <c r="BW95" s="483">
        <f t="shared" si="72"/>
        <v>0</v>
      </c>
      <c r="BX95" s="483">
        <f t="shared" si="73"/>
        <v>0</v>
      </c>
    </row>
    <row r="96" spans="1:76" s="103" customFormat="1" ht="29">
      <c r="A96" s="100" t="s">
        <v>2502</v>
      </c>
      <c r="B96" s="91" t="str">
        <f t="shared" si="37"/>
        <v xml:space="preserve">CI </v>
      </c>
      <c r="C96" s="92" t="s">
        <v>463</v>
      </c>
      <c r="D96" s="448" t="s">
        <v>2269</v>
      </c>
      <c r="E96" s="449">
        <v>2132002</v>
      </c>
      <c r="F96" s="467" t="s">
        <v>4495</v>
      </c>
      <c r="G96" s="467" t="s">
        <v>4676</v>
      </c>
      <c r="H96" s="398">
        <v>1</v>
      </c>
      <c r="I96" s="95" t="s">
        <v>956</v>
      </c>
      <c r="J96" s="95" t="s">
        <v>1166</v>
      </c>
      <c r="K96" s="191">
        <v>32563.31</v>
      </c>
      <c r="L96" s="268">
        <v>0.95839763906496933</v>
      </c>
      <c r="M96" s="266">
        <v>1</v>
      </c>
      <c r="N96" s="267">
        <f t="shared" si="38"/>
        <v>0</v>
      </c>
      <c r="O96" s="96">
        <f t="shared" si="39"/>
        <v>1354.7105758592936</v>
      </c>
      <c r="P96" s="96">
        <f t="shared" si="40"/>
        <v>31208.599424140706</v>
      </c>
      <c r="Q96" s="96">
        <f t="shared" si="41"/>
        <v>0</v>
      </c>
      <c r="R96" s="187" t="s">
        <v>2549</v>
      </c>
      <c r="S96" s="187" t="s">
        <v>3607</v>
      </c>
      <c r="T96" s="94" t="s">
        <v>2855</v>
      </c>
      <c r="U96" s="395">
        <f>COUNTIF(Aggregation_of_rev_to_allocate!$A$3:$A$137,$T96)</f>
        <v>1</v>
      </c>
      <c r="V96" s="100"/>
      <c r="W96" s="100">
        <v>53</v>
      </c>
      <c r="X96" s="109">
        <v>31886.373378942633</v>
      </c>
      <c r="Y96" s="109">
        <v>0</v>
      </c>
      <c r="Z96" s="110">
        <v>0.97921167654463359</v>
      </c>
      <c r="AA96" s="110">
        <v>1</v>
      </c>
      <c r="AB96" s="110">
        <v>0</v>
      </c>
      <c r="AC96" s="109">
        <f>IF(ISERROR((X96*SUMIF('Rev_for_allocation(Hard)'!$A$3:$A$249,$T96,'Rev_for_allocation(Hard)'!$I$3:$I$249)/SUMIF(Historic_capex_list!$T$9:$T$586,$T96,Historic_capex_list!$X$9:$X$586))=TRUE),0,X96*SUMIF('Rev_for_allocation(Hard)'!$A$3:$A$249,$T96,'Rev_for_allocation(Hard)'!$I$3:$I$249)/SUMIF(Historic_capex_list!$T$9:$T$586,$T96,Historic_capex_list!$X$9:$X$586))</f>
        <v>-677.77395480192877</v>
      </c>
      <c r="AD96" s="109">
        <f t="shared" si="42"/>
        <v>31208.599424140706</v>
      </c>
      <c r="AE96" s="109">
        <f t="shared" si="43"/>
        <v>31208.599424140706</v>
      </c>
      <c r="AF96" s="109">
        <f t="shared" si="44"/>
        <v>31208.599424140706</v>
      </c>
      <c r="AG96" s="332" t="str">
        <f t="shared" si="45"/>
        <v>N</v>
      </c>
      <c r="AH96" s="332">
        <f t="shared" si="46"/>
        <v>0</v>
      </c>
      <c r="AI96" s="332">
        <f t="shared" si="47"/>
        <v>0</v>
      </c>
      <c r="AJ96" s="109">
        <f t="shared" si="48"/>
        <v>31208.599424140706</v>
      </c>
      <c r="AK96" s="109">
        <f t="shared" si="49"/>
        <v>0</v>
      </c>
      <c r="AL96" s="109">
        <v>0</v>
      </c>
      <c r="AM96" s="111">
        <f t="shared" si="50"/>
        <v>0</v>
      </c>
      <c r="AN96" s="111">
        <f t="shared" si="51"/>
        <v>0</v>
      </c>
      <c r="AO96" s="111" t="str">
        <f t="shared" si="52"/>
        <v>Use deduct 3yrs</v>
      </c>
      <c r="AP96" s="111">
        <f t="shared" si="53"/>
        <v>0</v>
      </c>
      <c r="AQ96" s="112">
        <f t="shared" si="54"/>
        <v>0</v>
      </c>
      <c r="AR96" s="112">
        <f t="shared" si="55"/>
        <v>1</v>
      </c>
      <c r="AS96" s="113">
        <f t="shared" si="56"/>
        <v>2028</v>
      </c>
      <c r="AT96" s="109">
        <v>31208.599424140706</v>
      </c>
      <c r="AU96" s="114">
        <v>1</v>
      </c>
      <c r="AV96" s="113">
        <v>2028</v>
      </c>
      <c r="AW96" s="112">
        <f t="shared" si="57"/>
        <v>0.95839763906496933</v>
      </c>
      <c r="AX96" s="109">
        <f t="shared" si="58"/>
        <v>31208.599424140706</v>
      </c>
      <c r="AY96" s="109">
        <f t="shared" si="59"/>
        <v>0</v>
      </c>
      <c r="AZ96" s="109">
        <f t="shared" si="60"/>
        <v>31208.599424140706</v>
      </c>
      <c r="BA96" s="111">
        <f t="shared" si="61"/>
        <v>0</v>
      </c>
      <c r="BB96" s="117"/>
      <c r="BC96" s="115" t="str">
        <f t="shared" si="62"/>
        <v>N</v>
      </c>
      <c r="BD96" s="115" t="str">
        <f t="shared" si="63"/>
        <v>Y</v>
      </c>
      <c r="BE96" s="115" t="str">
        <f t="shared" si="64"/>
        <v>N</v>
      </c>
      <c r="BF96" s="109" t="str">
        <f t="shared" si="65"/>
        <v/>
      </c>
      <c r="BG96" s="111" t="s">
        <v>2499</v>
      </c>
      <c r="BH96" s="115" t="s">
        <v>1168</v>
      </c>
      <c r="BI96" s="116"/>
      <c r="BJ96" s="222">
        <v>0.95839763906496933</v>
      </c>
      <c r="BK96" s="265">
        <f t="shared" si="66"/>
        <v>0</v>
      </c>
      <c r="BL96" s="265">
        <f t="shared" si="67"/>
        <v>0</v>
      </c>
      <c r="BM96" s="265">
        <f t="shared" si="68"/>
        <v>0</v>
      </c>
      <c r="BN96" s="265">
        <f t="shared" si="69"/>
        <v>677.77395480192718</v>
      </c>
      <c r="BO96" s="109"/>
      <c r="BP96" s="265">
        <f t="shared" si="70"/>
        <v>677.77395480192718</v>
      </c>
      <c r="BQ96" s="265">
        <v>677.77395480192718</v>
      </c>
      <c r="BR96" s="265" t="e">
        <f t="shared" si="71"/>
        <v>#REF!</v>
      </c>
      <c r="BS96" s="265">
        <v>76.357496125765223</v>
      </c>
      <c r="BT96" s="475">
        <v>1354.7105758592936</v>
      </c>
      <c r="BU96" s="475">
        <v>31208.599424140706</v>
      </c>
      <c r="BV96" s="475">
        <v>0</v>
      </c>
      <c r="BW96" s="483">
        <f t="shared" si="72"/>
        <v>0</v>
      </c>
      <c r="BX96" s="483">
        <f t="shared" si="73"/>
        <v>0</v>
      </c>
    </row>
    <row r="97" spans="1:76" s="511" customFormat="1" ht="29">
      <c r="A97" s="100" t="s">
        <v>2502</v>
      </c>
      <c r="B97" s="91" t="str">
        <f t="shared" si="37"/>
        <v xml:space="preserve">CI </v>
      </c>
      <c r="C97" s="92" t="s">
        <v>2274</v>
      </c>
      <c r="D97" s="448" t="s">
        <v>2269</v>
      </c>
      <c r="E97" s="451">
        <v>2130200</v>
      </c>
      <c r="F97" s="512" t="s">
        <v>4481</v>
      </c>
      <c r="G97" s="467" t="s">
        <v>4702</v>
      </c>
      <c r="H97" s="398">
        <v>0.5</v>
      </c>
      <c r="I97" s="151" t="s">
        <v>953</v>
      </c>
      <c r="J97" s="95" t="s">
        <v>1166</v>
      </c>
      <c r="K97" s="191">
        <v>14340520.869999999</v>
      </c>
      <c r="L97" s="269">
        <v>0.74042519662188666</v>
      </c>
      <c r="M97" s="267">
        <v>1</v>
      </c>
      <c r="N97" s="267">
        <f t="shared" si="38"/>
        <v>0</v>
      </c>
      <c r="O97" s="96">
        <f t="shared" si="39"/>
        <v>9031479.3775849901</v>
      </c>
      <c r="P97" s="96">
        <f t="shared" si="40"/>
        <v>5309041.4924150091</v>
      </c>
      <c r="Q97" s="96">
        <f t="shared" si="41"/>
        <v>0</v>
      </c>
      <c r="R97" s="187" t="s">
        <v>2268</v>
      </c>
      <c r="S97" s="187" t="s">
        <v>3608</v>
      </c>
      <c r="T97" s="94" t="s">
        <v>2842</v>
      </c>
      <c r="U97" s="395">
        <f>COUNTIF(Aggregation_of_rev_to_allocate!$A$3:$A$137,$T97)</f>
        <v>1</v>
      </c>
      <c r="V97" s="100"/>
      <c r="W97" s="100">
        <v>34</v>
      </c>
      <c r="X97" s="109">
        <v>5879613.5566999996</v>
      </c>
      <c r="Y97" s="109">
        <v>0</v>
      </c>
      <c r="Z97" s="110">
        <v>0.82</v>
      </c>
      <c r="AA97" s="110">
        <v>1</v>
      </c>
      <c r="AB97" s="110">
        <v>0</v>
      </c>
      <c r="AC97" s="109">
        <f>IF(ISERROR((X97*SUMIF('Rev_for_allocation(Hard)'!$A$3:$A$249,$T97,'Rev_for_allocation(Hard)'!$I$3:$I$249)/SUMIF(Historic_capex_list!$T$9:$T$586,$T97,Historic_capex_list!$X$9:$X$586))=TRUE),0,X97*SUMIF('Rev_for_allocation(Hard)'!$A$3:$A$249,$T97,'Rev_for_allocation(Hard)'!$I$3:$I$249)/SUMIF(Historic_capex_list!$T$9:$T$586,$T97,Historic_capex_list!$X$9:$X$586))</f>
        <v>-453398.36546832172</v>
      </c>
      <c r="AD97" s="109">
        <f t="shared" si="42"/>
        <v>5426215.1912316782</v>
      </c>
      <c r="AE97" s="109">
        <f t="shared" si="43"/>
        <v>5426215.1912316782</v>
      </c>
      <c r="AF97" s="109">
        <f t="shared" si="44"/>
        <v>5426215.1912316782</v>
      </c>
      <c r="AG97" s="332" t="str">
        <f t="shared" si="45"/>
        <v>N</v>
      </c>
      <c r="AH97" s="332">
        <f t="shared" si="46"/>
        <v>0</v>
      </c>
      <c r="AI97" s="332">
        <f t="shared" si="47"/>
        <v>0</v>
      </c>
      <c r="AJ97" s="109">
        <f t="shared" si="48"/>
        <v>5426215.1912316782</v>
      </c>
      <c r="AK97" s="109">
        <f t="shared" si="49"/>
        <v>0</v>
      </c>
      <c r="AL97" s="109">
        <v>0</v>
      </c>
      <c r="AM97" s="111">
        <f t="shared" si="50"/>
        <v>0</v>
      </c>
      <c r="AN97" s="111">
        <f t="shared" si="51"/>
        <v>0</v>
      </c>
      <c r="AO97" s="111" t="str">
        <f t="shared" si="52"/>
        <v>Use deduct 3yrs</v>
      </c>
      <c r="AP97" s="111">
        <f t="shared" si="53"/>
        <v>0</v>
      </c>
      <c r="AQ97" s="112">
        <f t="shared" si="54"/>
        <v>0</v>
      </c>
      <c r="AR97" s="112">
        <f t="shared" si="55"/>
        <v>1</v>
      </c>
      <c r="AS97" s="113">
        <f t="shared" si="56"/>
        <v>2028</v>
      </c>
      <c r="AT97" s="109">
        <v>5309041.4924150091</v>
      </c>
      <c r="AU97" s="114">
        <v>1</v>
      </c>
      <c r="AV97" s="113">
        <v>2028</v>
      </c>
      <c r="AW97" s="112">
        <f t="shared" si="57"/>
        <v>0.74042519662188666</v>
      </c>
      <c r="AX97" s="109">
        <f t="shared" si="58"/>
        <v>5309041.4924150091</v>
      </c>
      <c r="AY97" s="109">
        <f t="shared" si="59"/>
        <v>0</v>
      </c>
      <c r="AZ97" s="109">
        <f t="shared" si="60"/>
        <v>5309041.4924150091</v>
      </c>
      <c r="BA97" s="111">
        <f t="shared" si="61"/>
        <v>0</v>
      </c>
      <c r="BB97" s="117"/>
      <c r="BC97" s="115" t="str">
        <f t="shared" si="62"/>
        <v>N</v>
      </c>
      <c r="BD97" s="115" t="str">
        <f t="shared" si="63"/>
        <v>Y</v>
      </c>
      <c r="BE97" s="115" t="str">
        <f t="shared" si="64"/>
        <v>N</v>
      </c>
      <c r="BF97" s="109" t="str">
        <f t="shared" si="65"/>
        <v/>
      </c>
      <c r="BG97" s="111" t="s">
        <v>2499</v>
      </c>
      <c r="BH97" s="115" t="s">
        <v>1168</v>
      </c>
      <c r="BI97" s="116"/>
      <c r="BJ97" s="222">
        <v>0.74042519662188666</v>
      </c>
      <c r="BK97" s="265">
        <f t="shared" si="66"/>
        <v>0</v>
      </c>
      <c r="BL97" s="265">
        <f t="shared" si="67"/>
        <v>0</v>
      </c>
      <c r="BM97" s="265">
        <f t="shared" si="68"/>
        <v>0</v>
      </c>
      <c r="BN97" s="265">
        <f t="shared" si="69"/>
        <v>570572.06428499054</v>
      </c>
      <c r="BO97" s="109"/>
      <c r="BP97" s="265">
        <f t="shared" si="70"/>
        <v>570572.06428499054</v>
      </c>
      <c r="BQ97" s="265">
        <v>570572.06428499054</v>
      </c>
      <c r="BR97" s="265" t="e">
        <f t="shared" si="71"/>
        <v>#REF!</v>
      </c>
      <c r="BS97" s="265">
        <v>64280.213011199572</v>
      </c>
      <c r="BT97" s="475">
        <v>9031479.3775849901</v>
      </c>
      <c r="BU97" s="475">
        <v>5309041.4924150091</v>
      </c>
      <c r="BV97" s="475">
        <v>0</v>
      </c>
      <c r="BW97" s="483">
        <f t="shared" si="72"/>
        <v>0</v>
      </c>
      <c r="BX97" s="483">
        <f t="shared" si="73"/>
        <v>0</v>
      </c>
    </row>
    <row r="98" spans="1:76" s="103" customFormat="1" ht="29">
      <c r="A98" s="100" t="s">
        <v>2502</v>
      </c>
      <c r="B98" s="91" t="str">
        <f t="shared" si="37"/>
        <v xml:space="preserve">CI </v>
      </c>
      <c r="C98" s="92" t="s">
        <v>463</v>
      </c>
      <c r="D98" s="448" t="s">
        <v>2269</v>
      </c>
      <c r="E98" s="449">
        <v>2130398</v>
      </c>
      <c r="F98" s="467" t="s">
        <v>4882</v>
      </c>
      <c r="G98" s="467" t="s">
        <v>5001</v>
      </c>
      <c r="H98" s="470">
        <v>1</v>
      </c>
      <c r="I98" s="95" t="s">
        <v>962</v>
      </c>
      <c r="J98" s="95" t="s">
        <v>1166</v>
      </c>
      <c r="K98" s="469">
        <v>698000</v>
      </c>
      <c r="L98" s="471">
        <v>0.35346418338108881</v>
      </c>
      <c r="M98" s="266">
        <v>1</v>
      </c>
      <c r="N98" s="267">
        <f t="shared" si="38"/>
        <v>0</v>
      </c>
      <c r="O98" s="96">
        <f t="shared" si="39"/>
        <v>451282.00000000006</v>
      </c>
      <c r="P98" s="96">
        <f t="shared" si="40"/>
        <v>246718</v>
      </c>
      <c r="Q98" s="96">
        <f t="shared" si="41"/>
        <v>0</v>
      </c>
      <c r="R98" s="187" t="s">
        <v>2268</v>
      </c>
      <c r="S98" s="187" t="s">
        <v>3608</v>
      </c>
      <c r="T98" s="94" t="s">
        <v>2842</v>
      </c>
      <c r="U98" s="395">
        <f>COUNTIF(Aggregation_of_rev_to_allocate!$A$3:$A$137,$T98)</f>
        <v>1</v>
      </c>
      <c r="V98" s="100"/>
      <c r="W98" s="100">
        <v>3</v>
      </c>
      <c r="X98" s="109">
        <v>273232.95926828473</v>
      </c>
      <c r="Y98" s="109">
        <v>0</v>
      </c>
      <c r="Z98" s="110">
        <v>0.3916846706178535</v>
      </c>
      <c r="AA98" s="110">
        <v>1</v>
      </c>
      <c r="AB98" s="110">
        <v>0</v>
      </c>
      <c r="AC98" s="109">
        <f>IF(ISERROR((X98*SUMIF('Rev_for_allocation(Hard)'!$A$3:$A$249,$T98,'Rev_for_allocation(Hard)'!$I$3:$I$249)/SUMIF(Historic_capex_list!$T$9:$T$586,$T98,Historic_capex_list!$X$9:$X$586))=TRUE),0,X98*SUMIF('Rev_for_allocation(Hard)'!$A$3:$A$249,$T98,'Rev_for_allocation(Hard)'!$I$3:$I$249)/SUMIF(Historic_capex_list!$T$9:$T$586,$T98,Historic_capex_list!$X$9:$X$586))</f>
        <v>-21069.986306012222</v>
      </c>
      <c r="AD98" s="109">
        <f t="shared" si="42"/>
        <v>252162.9729622725</v>
      </c>
      <c r="AE98" s="109">
        <f t="shared" si="43"/>
        <v>252162.9729622725</v>
      </c>
      <c r="AF98" s="109">
        <f t="shared" si="44"/>
        <v>252162.9729622725</v>
      </c>
      <c r="AG98" s="332" t="str">
        <f t="shared" si="45"/>
        <v>N</v>
      </c>
      <c r="AH98" s="332">
        <f t="shared" si="46"/>
        <v>0</v>
      </c>
      <c r="AI98" s="332">
        <f t="shared" si="47"/>
        <v>0</v>
      </c>
      <c r="AJ98" s="109">
        <f t="shared" si="48"/>
        <v>252162.9729622725</v>
      </c>
      <c r="AK98" s="109">
        <f t="shared" si="49"/>
        <v>0</v>
      </c>
      <c r="AL98" s="109">
        <v>0</v>
      </c>
      <c r="AM98" s="111">
        <f t="shared" si="50"/>
        <v>0</v>
      </c>
      <c r="AN98" s="111">
        <f t="shared" si="51"/>
        <v>0</v>
      </c>
      <c r="AO98" s="111" t="str">
        <f t="shared" si="52"/>
        <v>Use deduct 3yrs</v>
      </c>
      <c r="AP98" s="111">
        <f t="shared" si="53"/>
        <v>0</v>
      </c>
      <c r="AQ98" s="112">
        <f t="shared" si="54"/>
        <v>0</v>
      </c>
      <c r="AR98" s="112">
        <f t="shared" si="55"/>
        <v>1</v>
      </c>
      <c r="AS98" s="113">
        <f t="shared" si="56"/>
        <v>2028</v>
      </c>
      <c r="AT98" s="109">
        <v>246717.7653534142</v>
      </c>
      <c r="AU98" s="114">
        <v>1</v>
      </c>
      <c r="AV98" s="113">
        <v>2028</v>
      </c>
      <c r="AW98" s="112">
        <f t="shared" si="57"/>
        <v>0.35346384721119511</v>
      </c>
      <c r="AX98" s="109">
        <f t="shared" si="58"/>
        <v>246717.7653534142</v>
      </c>
      <c r="AY98" s="109">
        <f t="shared" si="59"/>
        <v>0</v>
      </c>
      <c r="AZ98" s="109">
        <f t="shared" si="60"/>
        <v>246717.7653534142</v>
      </c>
      <c r="BA98" s="111">
        <f t="shared" si="61"/>
        <v>0</v>
      </c>
      <c r="BB98" s="117"/>
      <c r="BC98" s="115" t="str">
        <f t="shared" si="62"/>
        <v>N</v>
      </c>
      <c r="BD98" s="115" t="str">
        <f t="shared" si="63"/>
        <v>Y</v>
      </c>
      <c r="BE98" s="115" t="str">
        <f t="shared" si="64"/>
        <v>N</v>
      </c>
      <c r="BF98" s="109" t="str">
        <f t="shared" si="65"/>
        <v/>
      </c>
      <c r="BG98" s="111" t="s">
        <v>2499</v>
      </c>
      <c r="BH98" s="115" t="s">
        <v>1168</v>
      </c>
      <c r="BI98" s="116"/>
      <c r="BJ98" s="222">
        <v>0.35367463323902815</v>
      </c>
      <c r="BK98" s="265">
        <f t="shared" si="66"/>
        <v>0</v>
      </c>
      <c r="BL98" s="265">
        <f t="shared" si="67"/>
        <v>0</v>
      </c>
      <c r="BM98" s="265">
        <f t="shared" si="68"/>
        <v>-5.8207660913467407E-11</v>
      </c>
      <c r="BN98" s="265">
        <f t="shared" si="69"/>
        <v>26514.959268284729</v>
      </c>
      <c r="BO98" s="109"/>
      <c r="BP98" s="265">
        <f t="shared" si="70"/>
        <v>26515.193914870528</v>
      </c>
      <c r="BQ98" s="265">
        <v>26515.193914870528</v>
      </c>
      <c r="BR98" s="265" t="e">
        <f t="shared" si="71"/>
        <v>#REF!</v>
      </c>
      <c r="BS98" s="265">
        <v>2987.1814965511908</v>
      </c>
      <c r="BT98" s="475">
        <v>450866.23464658577</v>
      </c>
      <c r="BU98" s="475">
        <v>246717.7653534142</v>
      </c>
      <c r="BV98" s="475">
        <v>0</v>
      </c>
      <c r="BW98" s="483">
        <f t="shared" si="72"/>
        <v>0.23464658579905517</v>
      </c>
      <c r="BX98" s="483">
        <f t="shared" si="73"/>
        <v>0</v>
      </c>
    </row>
    <row r="99" spans="1:76" s="103" customFormat="1" ht="29">
      <c r="A99" s="100" t="s">
        <v>2507</v>
      </c>
      <c r="B99" s="91" t="str">
        <f t="shared" si="37"/>
        <v xml:space="preserve">CI </v>
      </c>
      <c r="C99" s="92" t="s">
        <v>463</v>
      </c>
      <c r="D99" s="448" t="s">
        <v>2269</v>
      </c>
      <c r="E99" s="453">
        <v>2130268</v>
      </c>
      <c r="F99" s="467" t="s">
        <v>4938</v>
      </c>
      <c r="G99" s="467" t="s">
        <v>5001</v>
      </c>
      <c r="H99" s="398">
        <v>1</v>
      </c>
      <c r="I99" s="95" t="s">
        <v>952</v>
      </c>
      <c r="J99" s="95" t="s">
        <v>1166</v>
      </c>
      <c r="K99" s="191">
        <v>665055.5</v>
      </c>
      <c r="L99" s="268">
        <v>0.46869992222928181</v>
      </c>
      <c r="M99" s="266">
        <v>0.91331269349845201</v>
      </c>
      <c r="N99" s="267">
        <f t="shared" si="38"/>
        <v>8.6687306501547989E-2</v>
      </c>
      <c r="O99" s="96">
        <f t="shared" si="39"/>
        <v>353344.03887184389</v>
      </c>
      <c r="P99" s="96">
        <f t="shared" si="40"/>
        <v>284690.03415729426</v>
      </c>
      <c r="Q99" s="96">
        <f t="shared" si="41"/>
        <v>27021.42697086183</v>
      </c>
      <c r="R99" s="187" t="s">
        <v>2268</v>
      </c>
      <c r="S99" s="187" t="s">
        <v>3608</v>
      </c>
      <c r="T99" s="94" t="s">
        <v>2842</v>
      </c>
      <c r="U99" s="395">
        <f>COUNTIF(Aggregation_of_rev_to_allocate!$A$3:$A$137,$T99)</f>
        <v>1</v>
      </c>
      <c r="V99" s="100"/>
      <c r="W99" s="100">
        <v>22</v>
      </c>
      <c r="X99" s="109">
        <v>240171.03869029335</v>
      </c>
      <c r="Y99" s="109">
        <v>94847.206804810761</v>
      </c>
      <c r="Z99" s="110">
        <v>0.50374479347228029</v>
      </c>
      <c r="AA99" s="110">
        <v>0.71688942891859053</v>
      </c>
      <c r="AB99" s="110">
        <v>0.28311057108140947</v>
      </c>
      <c r="AC99" s="109">
        <f>IF(ISERROR((X99*SUMIF('Rev_for_allocation(Hard)'!$A$3:$A$249,$T99,'Rev_for_allocation(Hard)'!$I$3:$I$249)/SUMIF(Historic_capex_list!$T$9:$T$586,$T99,Historic_capex_list!$X$9:$X$586))=TRUE),0,X99*SUMIF('Rev_for_allocation(Hard)'!$A$3:$A$249,$T99,'Rev_for_allocation(Hard)'!$I$3:$I$249)/SUMIF(Historic_capex_list!$T$9:$T$586,$T99,Historic_capex_list!$X$9:$X$586))</f>
        <v>-18520.461476744669</v>
      </c>
      <c r="AD99" s="109">
        <f t="shared" si="42"/>
        <v>221650.57721354868</v>
      </c>
      <c r="AE99" s="109">
        <f t="shared" si="43"/>
        <v>221650.57721354868</v>
      </c>
      <c r="AF99" s="109">
        <f t="shared" si="44"/>
        <v>316497.78401835944</v>
      </c>
      <c r="AG99" s="332" t="str">
        <f t="shared" si="45"/>
        <v>N</v>
      </c>
      <c r="AH99" s="332">
        <f t="shared" si="46"/>
        <v>0</v>
      </c>
      <c r="AI99" s="332">
        <f t="shared" si="47"/>
        <v>0</v>
      </c>
      <c r="AJ99" s="109">
        <f t="shared" si="48"/>
        <v>316497.78401835944</v>
      </c>
      <c r="AK99" s="109">
        <f t="shared" si="49"/>
        <v>0</v>
      </c>
      <c r="AL99" s="109">
        <v>0</v>
      </c>
      <c r="AM99" s="111">
        <f t="shared" si="50"/>
        <v>3.9491525423728815</v>
      </c>
      <c r="AN99" s="111">
        <f t="shared" si="51"/>
        <v>0.94915254237288149</v>
      </c>
      <c r="AO99" s="111" t="str">
        <f t="shared" si="52"/>
        <v>Use deduct 3yrs</v>
      </c>
      <c r="AP99" s="111">
        <f t="shared" si="53"/>
        <v>0.94915254237288149</v>
      </c>
      <c r="AQ99" s="112">
        <f t="shared" si="54"/>
        <v>8.6687306501547989E-2</v>
      </c>
      <c r="AR99" s="112">
        <f t="shared" si="55"/>
        <v>0.91331269349845201</v>
      </c>
      <c r="AS99" s="113">
        <f t="shared" si="56"/>
        <v>2029</v>
      </c>
      <c r="AT99" s="109">
        <v>311711.46112815611</v>
      </c>
      <c r="AU99" s="114">
        <v>0.91331269349845201</v>
      </c>
      <c r="AV99" s="113">
        <v>2029</v>
      </c>
      <c r="AW99" s="112">
        <f t="shared" si="57"/>
        <v>0.46869992222928181</v>
      </c>
      <c r="AX99" s="109">
        <f t="shared" si="58"/>
        <v>284690.03415729426</v>
      </c>
      <c r="AY99" s="109">
        <f t="shared" si="59"/>
        <v>27021.42697086183</v>
      </c>
      <c r="AZ99" s="109">
        <f t="shared" si="60"/>
        <v>311711.46112815611</v>
      </c>
      <c r="BA99" s="111">
        <f t="shared" si="61"/>
        <v>0</v>
      </c>
      <c r="BB99" s="117"/>
      <c r="BC99" s="115" t="str">
        <f t="shared" si="62"/>
        <v>N</v>
      </c>
      <c r="BD99" s="115" t="str">
        <f t="shared" si="63"/>
        <v>Y</v>
      </c>
      <c r="BE99" s="115" t="str">
        <f t="shared" si="64"/>
        <v>N</v>
      </c>
      <c r="BF99" s="109" t="str">
        <f t="shared" si="65"/>
        <v/>
      </c>
      <c r="BG99" s="111" t="s">
        <v>2499</v>
      </c>
      <c r="BH99" s="115" t="s">
        <v>1168</v>
      </c>
      <c r="BI99" s="116"/>
      <c r="BJ99" s="222">
        <v>0.46869992222928181</v>
      </c>
      <c r="BK99" s="265">
        <f t="shared" si="66"/>
        <v>0</v>
      </c>
      <c r="BL99" s="265">
        <f t="shared" si="67"/>
        <v>0</v>
      </c>
      <c r="BM99" s="265">
        <f t="shared" si="68"/>
        <v>0</v>
      </c>
      <c r="BN99" s="265">
        <f t="shared" si="69"/>
        <v>-44518.995467000903</v>
      </c>
      <c r="BO99" s="109"/>
      <c r="BP99" s="265">
        <f t="shared" si="70"/>
        <v>23306.784366948006</v>
      </c>
      <c r="BQ99" s="265">
        <v>23306.784366948006</v>
      </c>
      <c r="BR99" s="265" t="e">
        <f t="shared" si="71"/>
        <v>#REF!</v>
      </c>
      <c r="BS99" s="265">
        <v>2625.7245271741999</v>
      </c>
      <c r="BT99" s="475">
        <v>353344.03887184389</v>
      </c>
      <c r="BU99" s="475">
        <v>284690.03415729426</v>
      </c>
      <c r="BV99" s="475">
        <v>27021.42697086183</v>
      </c>
      <c r="BW99" s="483">
        <f t="shared" si="72"/>
        <v>0</v>
      </c>
      <c r="BX99" s="483">
        <f t="shared" si="73"/>
        <v>0</v>
      </c>
    </row>
    <row r="100" spans="1:76" s="103" customFormat="1" ht="29">
      <c r="A100" s="100" t="s">
        <v>2502</v>
      </c>
      <c r="B100" s="91" t="str">
        <f t="shared" si="37"/>
        <v xml:space="preserve">CI </v>
      </c>
      <c r="C100" s="92" t="s">
        <v>463</v>
      </c>
      <c r="D100" s="448" t="s">
        <v>2269</v>
      </c>
      <c r="E100" s="449" t="s">
        <v>2031</v>
      </c>
      <c r="F100" s="467" t="s">
        <v>4883</v>
      </c>
      <c r="G100" s="467" t="s">
        <v>5001</v>
      </c>
      <c r="H100" s="470">
        <v>1</v>
      </c>
      <c r="I100" s="95" t="s">
        <v>962</v>
      </c>
      <c r="J100" s="95" t="s">
        <v>1166</v>
      </c>
      <c r="K100" s="469">
        <v>269000</v>
      </c>
      <c r="L100" s="471">
        <v>0.35940148698884755</v>
      </c>
      <c r="M100" s="266">
        <v>1</v>
      </c>
      <c r="N100" s="267">
        <f t="shared" si="38"/>
        <v>0</v>
      </c>
      <c r="O100" s="96">
        <f t="shared" si="39"/>
        <v>172321</v>
      </c>
      <c r="P100" s="96">
        <f t="shared" si="40"/>
        <v>96678.999999999985</v>
      </c>
      <c r="Q100" s="96">
        <f t="shared" si="41"/>
        <v>0</v>
      </c>
      <c r="R100" s="187" t="s">
        <v>2268</v>
      </c>
      <c r="S100" s="187" t="s">
        <v>3608</v>
      </c>
      <c r="T100" s="94" t="s">
        <v>2842</v>
      </c>
      <c r="U100" s="395">
        <f>COUNTIF(Aggregation_of_rev_to_allocate!$A$3:$A$137,$T100)</f>
        <v>1</v>
      </c>
      <c r="V100" s="100"/>
      <c r="W100" s="100">
        <v>24</v>
      </c>
      <c r="X100" s="109">
        <v>107069.35482141396</v>
      </c>
      <c r="Y100" s="109">
        <v>0</v>
      </c>
      <c r="Z100" s="110">
        <v>0.3916846706178535</v>
      </c>
      <c r="AA100" s="110">
        <v>1</v>
      </c>
      <c r="AB100" s="110">
        <v>0</v>
      </c>
      <c r="AC100" s="109">
        <f>IF(ISERROR((X100*SUMIF('Rev_for_allocation(Hard)'!$A$3:$A$249,$T100,'Rev_for_allocation(Hard)'!$I$3:$I$249)/SUMIF(Historic_capex_list!$T$9:$T$586,$T100,Historic_capex_list!$X$9:$X$586))=TRUE),0,X100*SUMIF('Rev_for_allocation(Hard)'!$A$3:$A$249,$T100,'Rev_for_allocation(Hard)'!$I$3:$I$249)/SUMIF(Historic_capex_list!$T$9:$T$586,$T100,Historic_capex_list!$X$9:$X$586))</f>
        <v>-8256.5069965284147</v>
      </c>
      <c r="AD100" s="109">
        <f t="shared" si="42"/>
        <v>98812.847824885539</v>
      </c>
      <c r="AE100" s="109">
        <f t="shared" si="43"/>
        <v>98812.847824885539</v>
      </c>
      <c r="AF100" s="109">
        <f t="shared" si="44"/>
        <v>98812.847824885539</v>
      </c>
      <c r="AG100" s="332" t="str">
        <f t="shared" si="45"/>
        <v>N</v>
      </c>
      <c r="AH100" s="332">
        <f t="shared" si="46"/>
        <v>0</v>
      </c>
      <c r="AI100" s="332">
        <f t="shared" si="47"/>
        <v>0</v>
      </c>
      <c r="AJ100" s="109">
        <f t="shared" si="48"/>
        <v>98812.847824885539</v>
      </c>
      <c r="AK100" s="109">
        <f t="shared" si="49"/>
        <v>0</v>
      </c>
      <c r="AL100" s="109">
        <v>0</v>
      </c>
      <c r="AM100" s="111">
        <f t="shared" si="50"/>
        <v>0</v>
      </c>
      <c r="AN100" s="111">
        <f t="shared" si="51"/>
        <v>0</v>
      </c>
      <c r="AO100" s="111" t="str">
        <f t="shared" si="52"/>
        <v>Use deduct 3yrs</v>
      </c>
      <c r="AP100" s="111">
        <f t="shared" si="53"/>
        <v>0</v>
      </c>
      <c r="AQ100" s="112">
        <f t="shared" si="54"/>
        <v>0</v>
      </c>
      <c r="AR100" s="112">
        <f t="shared" si="55"/>
        <v>1</v>
      </c>
      <c r="AS100" s="113">
        <f t="shared" si="56"/>
        <v>2028</v>
      </c>
      <c r="AT100" s="109">
        <v>96679.083043687773</v>
      </c>
      <c r="AU100" s="114">
        <v>1</v>
      </c>
      <c r="AV100" s="113">
        <v>2028</v>
      </c>
      <c r="AW100" s="112">
        <f t="shared" si="57"/>
        <v>0.35940179570144154</v>
      </c>
      <c r="AX100" s="109">
        <f t="shared" si="58"/>
        <v>96679.083043687773</v>
      </c>
      <c r="AY100" s="109">
        <f t="shared" si="59"/>
        <v>0</v>
      </c>
      <c r="AZ100" s="109">
        <f t="shared" si="60"/>
        <v>96679.083043687773</v>
      </c>
      <c r="BA100" s="111">
        <f t="shared" si="61"/>
        <v>0</v>
      </c>
      <c r="BB100" s="117"/>
      <c r="BC100" s="115" t="str">
        <f t="shared" si="62"/>
        <v>N</v>
      </c>
      <c r="BD100" s="115" t="str">
        <f t="shared" si="63"/>
        <v>Y</v>
      </c>
      <c r="BE100" s="115" t="str">
        <f t="shared" si="64"/>
        <v>N</v>
      </c>
      <c r="BF100" s="109" t="str">
        <f t="shared" si="65"/>
        <v/>
      </c>
      <c r="BG100" s="111" t="s">
        <v>2499</v>
      </c>
      <c r="BH100" s="115" t="s">
        <v>1168</v>
      </c>
      <c r="BI100" s="116"/>
      <c r="BJ100" s="222">
        <v>0.35367463323902815</v>
      </c>
      <c r="BK100" s="265">
        <f t="shared" si="66"/>
        <v>0</v>
      </c>
      <c r="BL100" s="265">
        <f t="shared" si="67"/>
        <v>0</v>
      </c>
      <c r="BM100" s="265">
        <f t="shared" si="68"/>
        <v>1.4551915228366852E-11</v>
      </c>
      <c r="BN100" s="265">
        <f t="shared" si="69"/>
        <v>10390.354821413974</v>
      </c>
      <c r="BO100" s="109"/>
      <c r="BP100" s="265">
        <f t="shared" si="70"/>
        <v>10390.271777726186</v>
      </c>
      <c r="BQ100" s="265">
        <v>10390.271777726186</v>
      </c>
      <c r="BR100" s="265" t="e">
        <f t="shared" si="71"/>
        <v>#REF!</v>
      </c>
      <c r="BS100" s="265">
        <v>1170.5600833322535</v>
      </c>
      <c r="BT100" s="475">
        <v>176676.91695631223</v>
      </c>
      <c r="BU100" s="475">
        <v>96679.083043687773</v>
      </c>
      <c r="BV100" s="475">
        <v>0</v>
      </c>
      <c r="BW100" s="483">
        <f t="shared" si="72"/>
        <v>-8.3043687787721865E-2</v>
      </c>
      <c r="BX100" s="483">
        <f t="shared" si="73"/>
        <v>0</v>
      </c>
    </row>
    <row r="101" spans="1:76" s="103" customFormat="1" ht="29">
      <c r="A101" s="100" t="s">
        <v>2502</v>
      </c>
      <c r="B101" s="91" t="str">
        <f t="shared" si="37"/>
        <v xml:space="preserve">CI </v>
      </c>
      <c r="C101" s="92" t="s">
        <v>463</v>
      </c>
      <c r="D101" s="448" t="s">
        <v>2269</v>
      </c>
      <c r="E101" s="449" t="s">
        <v>2032</v>
      </c>
      <c r="F101" s="467" t="s">
        <v>4884</v>
      </c>
      <c r="G101" s="467" t="s">
        <v>5001</v>
      </c>
      <c r="H101" s="470">
        <v>1</v>
      </c>
      <c r="I101" s="95" t="s">
        <v>962</v>
      </c>
      <c r="J101" s="95" t="s">
        <v>1166</v>
      </c>
      <c r="K101" s="469">
        <v>234754</v>
      </c>
      <c r="L101" s="471">
        <v>0.36324833655656558</v>
      </c>
      <c r="M101" s="266">
        <v>1</v>
      </c>
      <c r="N101" s="267">
        <f t="shared" si="38"/>
        <v>0</v>
      </c>
      <c r="O101" s="96">
        <f t="shared" si="39"/>
        <v>149480.00000000003</v>
      </c>
      <c r="P101" s="96">
        <f t="shared" si="40"/>
        <v>85274</v>
      </c>
      <c r="Q101" s="96">
        <f t="shared" si="41"/>
        <v>0</v>
      </c>
      <c r="R101" s="187" t="s">
        <v>2268</v>
      </c>
      <c r="S101" s="187" t="s">
        <v>3608</v>
      </c>
      <c r="T101" s="94" t="s">
        <v>2842</v>
      </c>
      <c r="U101" s="395">
        <f>COUNTIF(Aggregation_of_rev_to_allocate!$A$3:$A$137,$T101)</f>
        <v>1</v>
      </c>
      <c r="V101" s="100"/>
      <c r="W101" s="100">
        <v>25</v>
      </c>
      <c r="X101" s="109">
        <v>94438.699248000034</v>
      </c>
      <c r="Y101" s="109">
        <v>0</v>
      </c>
      <c r="Z101" s="110">
        <v>0.39168467061785345</v>
      </c>
      <c r="AA101" s="110">
        <v>1</v>
      </c>
      <c r="AB101" s="110">
        <v>0</v>
      </c>
      <c r="AC101" s="109">
        <f>IF(ISERROR((X101*SUMIF('Rev_for_allocation(Hard)'!$A$3:$A$249,$T101,'Rev_for_allocation(Hard)'!$I$3:$I$249)/SUMIF(Historic_capex_list!$T$9:$T$586,$T101,Historic_capex_list!$X$9:$X$586))=TRUE),0,X101*SUMIF('Rev_for_allocation(Hard)'!$A$3:$A$249,$T101,'Rev_for_allocation(Hard)'!$I$3:$I$249)/SUMIF(Historic_capex_list!$T$9:$T$586,$T101,Historic_capex_list!$X$9:$X$586))</f>
        <v>-7282.5112506254454</v>
      </c>
      <c r="AD101" s="109">
        <f t="shared" si="42"/>
        <v>87156.187997374582</v>
      </c>
      <c r="AE101" s="109">
        <f t="shared" si="43"/>
        <v>87156.187997374582</v>
      </c>
      <c r="AF101" s="109">
        <f t="shared" si="44"/>
        <v>87156.187997374582</v>
      </c>
      <c r="AG101" s="332" t="str">
        <f t="shared" si="45"/>
        <v>N</v>
      </c>
      <c r="AH101" s="332">
        <f t="shared" si="46"/>
        <v>0</v>
      </c>
      <c r="AI101" s="332">
        <f t="shared" si="47"/>
        <v>0</v>
      </c>
      <c r="AJ101" s="109">
        <f t="shared" si="48"/>
        <v>87156.187997374582</v>
      </c>
      <c r="AK101" s="109">
        <f t="shared" si="49"/>
        <v>0</v>
      </c>
      <c r="AL101" s="109">
        <v>0</v>
      </c>
      <c r="AM101" s="111">
        <f t="shared" si="50"/>
        <v>0</v>
      </c>
      <c r="AN101" s="111">
        <f t="shared" si="51"/>
        <v>0</v>
      </c>
      <c r="AO101" s="111" t="str">
        <f t="shared" si="52"/>
        <v>Use deduct 3yrs</v>
      </c>
      <c r="AP101" s="111">
        <f t="shared" si="53"/>
        <v>0</v>
      </c>
      <c r="AQ101" s="112">
        <f t="shared" si="54"/>
        <v>0</v>
      </c>
      <c r="AR101" s="112">
        <f t="shared" si="55"/>
        <v>1</v>
      </c>
      <c r="AS101" s="113">
        <f t="shared" si="56"/>
        <v>2028</v>
      </c>
      <c r="AT101" s="109">
        <v>85274.137145628833</v>
      </c>
      <c r="AU101" s="114">
        <v>1</v>
      </c>
      <c r="AV101" s="113">
        <v>2028</v>
      </c>
      <c r="AW101" s="112">
        <f t="shared" si="57"/>
        <v>0.36324892076654214</v>
      </c>
      <c r="AX101" s="109">
        <f t="shared" si="58"/>
        <v>85274.137145628833</v>
      </c>
      <c r="AY101" s="109">
        <f t="shared" si="59"/>
        <v>0</v>
      </c>
      <c r="AZ101" s="109">
        <f t="shared" si="60"/>
        <v>85274.137145628833</v>
      </c>
      <c r="BA101" s="111">
        <f t="shared" si="61"/>
        <v>0</v>
      </c>
      <c r="BB101" s="117"/>
      <c r="BC101" s="115" t="str">
        <f t="shared" si="62"/>
        <v>N</v>
      </c>
      <c r="BD101" s="115" t="str">
        <f t="shared" si="63"/>
        <v>Y</v>
      </c>
      <c r="BE101" s="115" t="str">
        <f t="shared" si="64"/>
        <v>N</v>
      </c>
      <c r="BF101" s="109" t="str">
        <f t="shared" si="65"/>
        <v/>
      </c>
      <c r="BG101" s="111" t="s">
        <v>2499</v>
      </c>
      <c r="BH101" s="115" t="s">
        <v>1168</v>
      </c>
      <c r="BI101" s="116"/>
      <c r="BJ101" s="222">
        <v>0.35367463323902815</v>
      </c>
      <c r="BK101" s="265">
        <f t="shared" si="66"/>
        <v>0</v>
      </c>
      <c r="BL101" s="265">
        <f t="shared" si="67"/>
        <v>0</v>
      </c>
      <c r="BM101" s="265">
        <f t="shared" si="68"/>
        <v>-2.9103830456733704E-11</v>
      </c>
      <c r="BN101" s="265">
        <f t="shared" si="69"/>
        <v>9164.6992480000335</v>
      </c>
      <c r="BO101" s="109"/>
      <c r="BP101" s="265">
        <f t="shared" si="70"/>
        <v>9164.562102371201</v>
      </c>
      <c r="BQ101" s="265">
        <v>9164.562102371201</v>
      </c>
      <c r="BR101" s="265" t="e">
        <f t="shared" si="71"/>
        <v>#REF!</v>
      </c>
      <c r="BS101" s="265">
        <v>1032.4725673925439</v>
      </c>
      <c r="BT101" s="475">
        <v>155834.86285437117</v>
      </c>
      <c r="BU101" s="475">
        <v>85274.137145628833</v>
      </c>
      <c r="BV101" s="475">
        <v>0</v>
      </c>
      <c r="BW101" s="483">
        <f t="shared" si="72"/>
        <v>-0.13714562883251347</v>
      </c>
      <c r="BX101" s="483">
        <f t="shared" si="73"/>
        <v>0</v>
      </c>
    </row>
    <row r="102" spans="1:76" s="103" customFormat="1" ht="29">
      <c r="A102" s="100" t="s">
        <v>2502</v>
      </c>
      <c r="B102" s="91" t="str">
        <f t="shared" si="37"/>
        <v xml:space="preserve">CI </v>
      </c>
      <c r="C102" s="92" t="s">
        <v>463</v>
      </c>
      <c r="D102" s="448" t="s">
        <v>2269</v>
      </c>
      <c r="E102" s="449" t="s">
        <v>2035</v>
      </c>
      <c r="F102" s="467" t="s">
        <v>4885</v>
      </c>
      <c r="G102" s="467" t="s">
        <v>5001</v>
      </c>
      <c r="H102" s="470">
        <v>1</v>
      </c>
      <c r="I102" s="95" t="s">
        <v>962</v>
      </c>
      <c r="J102" s="95" t="s">
        <v>1166</v>
      </c>
      <c r="K102" s="469">
        <v>502000</v>
      </c>
      <c r="L102" s="471">
        <v>0.35477091633466135</v>
      </c>
      <c r="M102" s="266">
        <v>1</v>
      </c>
      <c r="N102" s="267">
        <f t="shared" si="38"/>
        <v>0</v>
      </c>
      <c r="O102" s="96">
        <f t="shared" si="39"/>
        <v>323905.00000000006</v>
      </c>
      <c r="P102" s="96">
        <f t="shared" si="40"/>
        <v>178095</v>
      </c>
      <c r="Q102" s="96">
        <f t="shared" si="41"/>
        <v>0</v>
      </c>
      <c r="R102" s="187" t="s">
        <v>2268</v>
      </c>
      <c r="S102" s="187" t="s">
        <v>3608</v>
      </c>
      <c r="T102" s="94" t="s">
        <v>2842</v>
      </c>
      <c r="U102" s="395">
        <f>COUNTIF(Aggregation_of_rev_to_allocate!$A$3:$A$137,$T102)</f>
        <v>1</v>
      </c>
      <c r="V102" s="100"/>
      <c r="W102" s="100">
        <v>26</v>
      </c>
      <c r="X102" s="109">
        <v>197234.7743129732</v>
      </c>
      <c r="Y102" s="109">
        <v>0</v>
      </c>
      <c r="Z102" s="110">
        <v>0.39168467061785345</v>
      </c>
      <c r="AA102" s="110">
        <v>1</v>
      </c>
      <c r="AB102" s="110">
        <v>0</v>
      </c>
      <c r="AC102" s="109">
        <f>IF(ISERROR((X102*SUMIF('Rev_for_allocation(Hard)'!$A$3:$A$249,$T102,'Rev_for_allocation(Hard)'!$I$3:$I$249)/SUMIF(Historic_capex_list!$T$9:$T$586,$T102,Historic_capex_list!$X$9:$X$586))=TRUE),0,X102*SUMIF('Rev_for_allocation(Hard)'!$A$3:$A$249,$T102,'Rev_for_allocation(Hard)'!$I$3:$I$249)/SUMIF(Historic_capex_list!$T$9:$T$586,$T102,Historic_capex_list!$X$9:$X$586))</f>
        <v>-15209.490117783642</v>
      </c>
      <c r="AD102" s="109">
        <f t="shared" si="42"/>
        <v>182025.28419518957</v>
      </c>
      <c r="AE102" s="109">
        <f t="shared" si="43"/>
        <v>182025.28419518957</v>
      </c>
      <c r="AF102" s="109">
        <f t="shared" si="44"/>
        <v>182025.28419518957</v>
      </c>
      <c r="AG102" s="332" t="str">
        <f t="shared" si="45"/>
        <v>N</v>
      </c>
      <c r="AH102" s="332">
        <f t="shared" si="46"/>
        <v>0</v>
      </c>
      <c r="AI102" s="332">
        <f t="shared" si="47"/>
        <v>0</v>
      </c>
      <c r="AJ102" s="109">
        <f t="shared" si="48"/>
        <v>182025.28419518957</v>
      </c>
      <c r="AK102" s="109">
        <f t="shared" si="49"/>
        <v>0</v>
      </c>
      <c r="AL102" s="109">
        <v>0</v>
      </c>
      <c r="AM102" s="111">
        <f t="shared" si="50"/>
        <v>0</v>
      </c>
      <c r="AN102" s="111">
        <f t="shared" si="51"/>
        <v>0</v>
      </c>
      <c r="AO102" s="111" t="str">
        <f t="shared" si="52"/>
        <v>Use deduct 3yrs</v>
      </c>
      <c r="AP102" s="111">
        <f t="shared" si="53"/>
        <v>0</v>
      </c>
      <c r="AQ102" s="112">
        <f t="shared" si="54"/>
        <v>0</v>
      </c>
      <c r="AR102" s="112">
        <f t="shared" si="55"/>
        <v>1</v>
      </c>
      <c r="AS102" s="113">
        <f t="shared" si="56"/>
        <v>2028</v>
      </c>
      <c r="AT102" s="109">
        <v>178094.62994067877</v>
      </c>
      <c r="AU102" s="114">
        <v>1</v>
      </c>
      <c r="AV102" s="113">
        <v>2028</v>
      </c>
      <c r="AW102" s="112">
        <f t="shared" si="57"/>
        <v>0.35477017916469877</v>
      </c>
      <c r="AX102" s="109">
        <f t="shared" si="58"/>
        <v>178094.62994067877</v>
      </c>
      <c r="AY102" s="109">
        <f t="shared" si="59"/>
        <v>0</v>
      </c>
      <c r="AZ102" s="109">
        <f t="shared" si="60"/>
        <v>178094.62994067877</v>
      </c>
      <c r="BA102" s="111">
        <f t="shared" si="61"/>
        <v>0</v>
      </c>
      <c r="BB102" s="117"/>
      <c r="BC102" s="115" t="str">
        <f t="shared" si="62"/>
        <v>N</v>
      </c>
      <c r="BD102" s="115" t="str">
        <f t="shared" si="63"/>
        <v>Y</v>
      </c>
      <c r="BE102" s="115" t="str">
        <f t="shared" si="64"/>
        <v>N</v>
      </c>
      <c r="BF102" s="109" t="str">
        <f t="shared" si="65"/>
        <v/>
      </c>
      <c r="BG102" s="111" t="s">
        <v>2499</v>
      </c>
      <c r="BH102" s="115" t="s">
        <v>1168</v>
      </c>
      <c r="BI102" s="116"/>
      <c r="BJ102" s="222">
        <v>0.35367463323902804</v>
      </c>
      <c r="BK102" s="265">
        <f t="shared" si="66"/>
        <v>0</v>
      </c>
      <c r="BL102" s="265">
        <f t="shared" si="67"/>
        <v>0</v>
      </c>
      <c r="BM102" s="265">
        <f t="shared" si="68"/>
        <v>-5.8207660913467407E-11</v>
      </c>
      <c r="BN102" s="265">
        <f t="shared" si="69"/>
        <v>19139.774312973197</v>
      </c>
      <c r="BO102" s="109"/>
      <c r="BP102" s="265">
        <f t="shared" si="70"/>
        <v>19140.144372294424</v>
      </c>
      <c r="BQ102" s="265">
        <v>19140.144372294424</v>
      </c>
      <c r="BR102" s="265" t="e">
        <f t="shared" si="71"/>
        <v>#REF!</v>
      </c>
      <c r="BS102" s="265">
        <v>2156.314047477917</v>
      </c>
      <c r="BT102" s="475">
        <v>325460.37005932123</v>
      </c>
      <c r="BU102" s="475">
        <v>178094.62994067877</v>
      </c>
      <c r="BV102" s="475">
        <v>0</v>
      </c>
      <c r="BW102" s="483">
        <f t="shared" si="72"/>
        <v>0.37005932122701779</v>
      </c>
      <c r="BX102" s="483">
        <f t="shared" si="73"/>
        <v>0</v>
      </c>
    </row>
    <row r="103" spans="1:76" s="103" customFormat="1" ht="29">
      <c r="A103" s="100" t="s">
        <v>2502</v>
      </c>
      <c r="B103" s="91" t="str">
        <f t="shared" si="37"/>
        <v xml:space="preserve">CI </v>
      </c>
      <c r="C103" s="92" t="s">
        <v>463</v>
      </c>
      <c r="D103" s="448" t="s">
        <v>2269</v>
      </c>
      <c r="E103" s="449" t="s">
        <v>2033</v>
      </c>
      <c r="F103" s="467" t="s">
        <v>4886</v>
      </c>
      <c r="G103" s="467" t="s">
        <v>5001</v>
      </c>
      <c r="H103" s="470">
        <v>1</v>
      </c>
      <c r="I103" s="95" t="s">
        <v>962</v>
      </c>
      <c r="J103" s="95" t="s">
        <v>1166</v>
      </c>
      <c r="K103" s="469">
        <v>50902</v>
      </c>
      <c r="L103" s="471">
        <v>0.76038269616125109</v>
      </c>
      <c r="M103" s="266">
        <v>1</v>
      </c>
      <c r="N103" s="267">
        <f t="shared" si="38"/>
        <v>0</v>
      </c>
      <c r="O103" s="96">
        <f t="shared" si="39"/>
        <v>12196.999999999996</v>
      </c>
      <c r="P103" s="96">
        <f t="shared" si="40"/>
        <v>38705</v>
      </c>
      <c r="Q103" s="96">
        <f t="shared" si="41"/>
        <v>0</v>
      </c>
      <c r="R103" s="187" t="s">
        <v>2268</v>
      </c>
      <c r="S103" s="187" t="s">
        <v>3608</v>
      </c>
      <c r="T103" s="94" t="s">
        <v>2842</v>
      </c>
      <c r="U103" s="395">
        <f>COUNTIF(Aggregation_of_rev_to_allocate!$A$3:$A$137,$T103)</f>
        <v>1</v>
      </c>
      <c r="V103" s="100"/>
      <c r="W103" s="100">
        <v>38</v>
      </c>
      <c r="X103" s="109">
        <v>42864.403613735412</v>
      </c>
      <c r="Y103" s="109">
        <v>0</v>
      </c>
      <c r="Z103" s="110">
        <v>0.39168467061785345</v>
      </c>
      <c r="AA103" s="110">
        <v>1</v>
      </c>
      <c r="AB103" s="110">
        <v>0</v>
      </c>
      <c r="AC103" s="109">
        <f>IF(ISERROR((X103*SUMIF('Rev_for_allocation(Hard)'!$A$3:$A$249,$T103,'Rev_for_allocation(Hard)'!$I$3:$I$249)/SUMIF(Historic_capex_list!$T$9:$T$586,$T103,Historic_capex_list!$X$9:$X$586))=TRUE),0,X103*SUMIF('Rev_for_allocation(Hard)'!$A$3:$A$249,$T103,'Rev_for_allocation(Hard)'!$I$3:$I$249)/SUMIF(Historic_capex_list!$T$9:$T$586,$T103,Historic_capex_list!$X$9:$X$586))</f>
        <v>-3305.429914368382</v>
      </c>
      <c r="AD103" s="109">
        <f t="shared" si="42"/>
        <v>39558.97369936703</v>
      </c>
      <c r="AE103" s="109">
        <f t="shared" si="43"/>
        <v>39558.97369936703</v>
      </c>
      <c r="AF103" s="109">
        <f t="shared" si="44"/>
        <v>39558.97369936703</v>
      </c>
      <c r="AG103" s="332" t="str">
        <f t="shared" si="45"/>
        <v>N</v>
      </c>
      <c r="AH103" s="332">
        <f t="shared" si="46"/>
        <v>0</v>
      </c>
      <c r="AI103" s="332">
        <f t="shared" si="47"/>
        <v>0</v>
      </c>
      <c r="AJ103" s="109">
        <f t="shared" si="48"/>
        <v>39558.97369936703</v>
      </c>
      <c r="AK103" s="109">
        <f t="shared" si="49"/>
        <v>0</v>
      </c>
      <c r="AL103" s="109">
        <v>0</v>
      </c>
      <c r="AM103" s="111">
        <f t="shared" si="50"/>
        <v>0</v>
      </c>
      <c r="AN103" s="111">
        <f t="shared" si="51"/>
        <v>0</v>
      </c>
      <c r="AO103" s="111" t="str">
        <f t="shared" si="52"/>
        <v>Use deduct 3yrs</v>
      </c>
      <c r="AP103" s="111">
        <f t="shared" si="53"/>
        <v>0</v>
      </c>
      <c r="AQ103" s="112">
        <f t="shared" si="54"/>
        <v>0</v>
      </c>
      <c r="AR103" s="112">
        <f t="shared" si="55"/>
        <v>1</v>
      </c>
      <c r="AS103" s="113">
        <f t="shared" si="56"/>
        <v>2028</v>
      </c>
      <c r="AT103" s="109">
        <v>38704.737163146281</v>
      </c>
      <c r="AU103" s="114">
        <v>1</v>
      </c>
      <c r="AV103" s="113">
        <v>2028</v>
      </c>
      <c r="AW103" s="112">
        <f t="shared" si="57"/>
        <v>0.76037753257526774</v>
      </c>
      <c r="AX103" s="109">
        <f t="shared" si="58"/>
        <v>38704.737163146281</v>
      </c>
      <c r="AY103" s="109">
        <f t="shared" si="59"/>
        <v>0</v>
      </c>
      <c r="AZ103" s="109">
        <f t="shared" si="60"/>
        <v>38704.737163146281</v>
      </c>
      <c r="BA103" s="111">
        <f t="shared" si="61"/>
        <v>0</v>
      </c>
      <c r="BB103" s="117"/>
      <c r="BC103" s="115" t="str">
        <f t="shared" si="62"/>
        <v>N</v>
      </c>
      <c r="BD103" s="115" t="str">
        <f t="shared" si="63"/>
        <v>Y</v>
      </c>
      <c r="BE103" s="115" t="str">
        <f t="shared" si="64"/>
        <v>N</v>
      </c>
      <c r="BF103" s="109" t="str">
        <f t="shared" si="65"/>
        <v/>
      </c>
      <c r="BG103" s="111" t="s">
        <v>2499</v>
      </c>
      <c r="BH103" s="115" t="s">
        <v>1168</v>
      </c>
      <c r="BI103" s="116"/>
      <c r="BJ103" s="222">
        <v>0.35367463323902809</v>
      </c>
      <c r="BK103" s="265">
        <f t="shared" si="66"/>
        <v>0</v>
      </c>
      <c r="BL103" s="265">
        <f t="shared" si="67"/>
        <v>0</v>
      </c>
      <c r="BM103" s="265">
        <f t="shared" si="68"/>
        <v>0</v>
      </c>
      <c r="BN103" s="265">
        <f t="shared" si="69"/>
        <v>4159.4036137354124</v>
      </c>
      <c r="BO103" s="109"/>
      <c r="BP103" s="265">
        <f t="shared" si="70"/>
        <v>4159.6664505891313</v>
      </c>
      <c r="BQ103" s="265">
        <v>4159.6664505891313</v>
      </c>
      <c r="BR103" s="265" t="e">
        <f t="shared" si="71"/>
        <v>#REF!</v>
      </c>
      <c r="BS103" s="265">
        <v>468.62484554774164</v>
      </c>
      <c r="BT103" s="475">
        <v>70731.262836853712</v>
      </c>
      <c r="BU103" s="475">
        <v>38704.737163146281</v>
      </c>
      <c r="BV103" s="475">
        <v>0</v>
      </c>
      <c r="BW103" s="483">
        <f t="shared" si="72"/>
        <v>0.26283685371890897</v>
      </c>
      <c r="BX103" s="483">
        <f t="shared" si="73"/>
        <v>0</v>
      </c>
    </row>
    <row r="104" spans="1:76" s="103" customFormat="1" ht="29">
      <c r="A104" s="100" t="s">
        <v>2502</v>
      </c>
      <c r="B104" s="91" t="str">
        <f t="shared" si="37"/>
        <v xml:space="preserve">CI </v>
      </c>
      <c r="C104" s="92" t="s">
        <v>463</v>
      </c>
      <c r="D104" s="448" t="s">
        <v>2269</v>
      </c>
      <c r="E104" s="449" t="s">
        <v>2034</v>
      </c>
      <c r="F104" s="467" t="s">
        <v>4887</v>
      </c>
      <c r="G104" s="467" t="s">
        <v>5001</v>
      </c>
      <c r="H104" s="470">
        <v>1</v>
      </c>
      <c r="I104" s="95" t="s">
        <v>962</v>
      </c>
      <c r="J104" s="95" t="s">
        <v>1166</v>
      </c>
      <c r="K104" s="469">
        <v>241000</v>
      </c>
      <c r="L104" s="471">
        <v>0.35367634854771784</v>
      </c>
      <c r="M104" s="266">
        <v>1</v>
      </c>
      <c r="N104" s="267">
        <f t="shared" si="38"/>
        <v>0</v>
      </c>
      <c r="O104" s="96">
        <f t="shared" si="39"/>
        <v>155764</v>
      </c>
      <c r="P104" s="96">
        <f t="shared" si="40"/>
        <v>85236</v>
      </c>
      <c r="Q104" s="96">
        <f t="shared" si="41"/>
        <v>0</v>
      </c>
      <c r="R104" s="187" t="s">
        <v>2268</v>
      </c>
      <c r="S104" s="187" t="s">
        <v>3608</v>
      </c>
      <c r="T104" s="94" t="s">
        <v>2842</v>
      </c>
      <c r="U104" s="395">
        <f>COUNTIF(Aggregation_of_rev_to_allocate!$A$3:$A$137,$T104)</f>
        <v>1</v>
      </c>
      <c r="V104" s="100"/>
      <c r="W104" s="100">
        <v>42</v>
      </c>
      <c r="X104" s="109">
        <v>94396.00561890268</v>
      </c>
      <c r="Y104" s="109">
        <v>0</v>
      </c>
      <c r="Z104" s="110">
        <v>0.39168467061785345</v>
      </c>
      <c r="AA104" s="110">
        <v>1</v>
      </c>
      <c r="AB104" s="110">
        <v>0</v>
      </c>
      <c r="AC104" s="109">
        <f>IF(ISERROR((X104*SUMIF('Rev_for_allocation(Hard)'!$A$3:$A$249,$T104,'Rev_for_allocation(Hard)'!$I$3:$I$249)/SUMIF(Historic_capex_list!$T$9:$T$586,$T104,Historic_capex_list!$X$9:$X$586))=TRUE),0,X104*SUMIF('Rev_for_allocation(Hard)'!$A$3:$A$249,$T104,'Rev_for_allocation(Hard)'!$I$3:$I$249)/SUMIF(Historic_capex_list!$T$9:$T$586,$T104,Historic_capex_list!$X$9:$X$586))</f>
        <v>-7279.2189897545604</v>
      </c>
      <c r="AD104" s="109">
        <f t="shared" si="42"/>
        <v>87116.786629148119</v>
      </c>
      <c r="AE104" s="109">
        <f t="shared" si="43"/>
        <v>87116.786629148119</v>
      </c>
      <c r="AF104" s="109">
        <f t="shared" si="44"/>
        <v>87116.786629148119</v>
      </c>
      <c r="AG104" s="332" t="str">
        <f t="shared" si="45"/>
        <v>N</v>
      </c>
      <c r="AH104" s="332">
        <f t="shared" si="46"/>
        <v>0</v>
      </c>
      <c r="AI104" s="332">
        <f t="shared" si="47"/>
        <v>0</v>
      </c>
      <c r="AJ104" s="109">
        <f t="shared" si="48"/>
        <v>87116.786629148119</v>
      </c>
      <c r="AK104" s="109">
        <f t="shared" si="49"/>
        <v>0</v>
      </c>
      <c r="AL104" s="109">
        <v>0</v>
      </c>
      <c r="AM104" s="111">
        <f t="shared" si="50"/>
        <v>0</v>
      </c>
      <c r="AN104" s="111">
        <f t="shared" si="51"/>
        <v>0</v>
      </c>
      <c r="AO104" s="111" t="str">
        <f t="shared" si="52"/>
        <v>Use deduct 3yrs</v>
      </c>
      <c r="AP104" s="111">
        <f t="shared" si="53"/>
        <v>0</v>
      </c>
      <c r="AQ104" s="112">
        <f t="shared" si="54"/>
        <v>0</v>
      </c>
      <c r="AR104" s="112">
        <f t="shared" si="55"/>
        <v>1</v>
      </c>
      <c r="AS104" s="113">
        <f t="shared" si="56"/>
        <v>2028</v>
      </c>
      <c r="AT104" s="109">
        <v>85235.586610605766</v>
      </c>
      <c r="AU104" s="114">
        <v>1</v>
      </c>
      <c r="AV104" s="113">
        <v>2028</v>
      </c>
      <c r="AW104" s="112">
        <f t="shared" si="57"/>
        <v>0.35367463323902809</v>
      </c>
      <c r="AX104" s="109">
        <f t="shared" si="58"/>
        <v>85235.586610605766</v>
      </c>
      <c r="AY104" s="109">
        <f t="shared" si="59"/>
        <v>0</v>
      </c>
      <c r="AZ104" s="109">
        <f t="shared" si="60"/>
        <v>85235.586610605766</v>
      </c>
      <c r="BA104" s="111">
        <f t="shared" si="61"/>
        <v>0</v>
      </c>
      <c r="BB104" s="117"/>
      <c r="BC104" s="115" t="str">
        <f t="shared" si="62"/>
        <v>N</v>
      </c>
      <c r="BD104" s="115" t="str">
        <f t="shared" si="63"/>
        <v>Y</v>
      </c>
      <c r="BE104" s="115" t="str">
        <f t="shared" si="64"/>
        <v>N</v>
      </c>
      <c r="BF104" s="109" t="str">
        <f t="shared" si="65"/>
        <v/>
      </c>
      <c r="BG104" s="111" t="s">
        <v>2499</v>
      </c>
      <c r="BH104" s="115" t="s">
        <v>1168</v>
      </c>
      <c r="BI104" s="116"/>
      <c r="BJ104" s="222">
        <v>0.35367463323902809</v>
      </c>
      <c r="BK104" s="265">
        <f t="shared" si="66"/>
        <v>0</v>
      </c>
      <c r="BL104" s="265">
        <f t="shared" si="67"/>
        <v>0</v>
      </c>
      <c r="BM104" s="265">
        <f t="shared" si="68"/>
        <v>0</v>
      </c>
      <c r="BN104" s="265">
        <f t="shared" si="69"/>
        <v>9160.00561890268</v>
      </c>
      <c r="BO104" s="109"/>
      <c r="BP104" s="265">
        <f t="shared" si="70"/>
        <v>9160.4190082969144</v>
      </c>
      <c r="BQ104" s="265">
        <v>9160.4190082969144</v>
      </c>
      <c r="BR104" s="265" t="e">
        <f t="shared" si="71"/>
        <v>#REF!</v>
      </c>
      <c r="BS104" s="265">
        <v>1032.005809578254</v>
      </c>
      <c r="BT104" s="475">
        <v>155764.41338939421</v>
      </c>
      <c r="BU104" s="475">
        <v>85235.586610605766</v>
      </c>
      <c r="BV104" s="475">
        <v>0</v>
      </c>
      <c r="BW104" s="483">
        <f t="shared" si="72"/>
        <v>0.41338939423440024</v>
      </c>
      <c r="BX104" s="483">
        <f t="shared" si="73"/>
        <v>0</v>
      </c>
    </row>
    <row r="105" spans="1:76" s="103" customFormat="1" ht="29">
      <c r="A105" s="100" t="s">
        <v>2502</v>
      </c>
      <c r="B105" s="91" t="str">
        <f t="shared" si="37"/>
        <v xml:space="preserve">CI </v>
      </c>
      <c r="C105" s="92" t="s">
        <v>2274</v>
      </c>
      <c r="D105" s="448" t="s">
        <v>2269</v>
      </c>
      <c r="E105" s="451">
        <v>2130230</v>
      </c>
      <c r="F105" s="409" t="s">
        <v>2934</v>
      </c>
      <c r="G105" s="467" t="s">
        <v>5001</v>
      </c>
      <c r="H105" s="398">
        <v>0.75</v>
      </c>
      <c r="I105" s="151"/>
      <c r="J105" s="95" t="s">
        <v>1166</v>
      </c>
      <c r="K105" s="191">
        <v>2083448.9500000002</v>
      </c>
      <c r="L105" s="269">
        <v>0.88418658309757026</v>
      </c>
      <c r="M105" s="267">
        <v>1</v>
      </c>
      <c r="N105" s="267">
        <f t="shared" si="38"/>
        <v>0</v>
      </c>
      <c r="O105" s="96">
        <f t="shared" si="39"/>
        <v>701830.74388095969</v>
      </c>
      <c r="P105" s="96">
        <f t="shared" si="40"/>
        <v>1381618.2061190405</v>
      </c>
      <c r="Q105" s="96">
        <f t="shared" si="41"/>
        <v>0</v>
      </c>
      <c r="R105" s="187" t="s">
        <v>2268</v>
      </c>
      <c r="S105" s="187" t="s">
        <v>3608</v>
      </c>
      <c r="T105" s="94" t="s">
        <v>2842</v>
      </c>
      <c r="U105" s="395">
        <f>COUNTIF(Aggregation_of_rev_to_allocate!$A$3:$A$137,$T105)</f>
        <v>1</v>
      </c>
      <c r="V105" s="100"/>
      <c r="W105" s="100">
        <v>35</v>
      </c>
      <c r="X105" s="109">
        <v>1530103.1544934926</v>
      </c>
      <c r="Y105" s="109">
        <v>0</v>
      </c>
      <c r="Z105" s="110">
        <v>0.97921167654463359</v>
      </c>
      <c r="AA105" s="110">
        <v>1</v>
      </c>
      <c r="AB105" s="110">
        <v>0</v>
      </c>
      <c r="AC105" s="109">
        <f>IF(ISERROR((X105*SUMIF('Rev_for_allocation(Hard)'!$A$3:$A$249,$T105,'Rev_for_allocation(Hard)'!$I$3:$I$249)/SUMIF(Historic_capex_list!$T$9:$T$586,$T105,Historic_capex_list!$X$9:$X$586))=TRUE),0,X105*SUMIF('Rev_for_allocation(Hard)'!$A$3:$A$249,$T105,'Rev_for_allocation(Hard)'!$I$3:$I$249)/SUMIF(Historic_capex_list!$T$9:$T$586,$T105,Historic_capex_list!$X$9:$X$586))</f>
        <v>-117991.81401211774</v>
      </c>
      <c r="AD105" s="109">
        <f t="shared" si="42"/>
        <v>1412111.3404813749</v>
      </c>
      <c r="AE105" s="109">
        <f t="shared" si="43"/>
        <v>1412111.3404813749</v>
      </c>
      <c r="AF105" s="109">
        <f t="shared" si="44"/>
        <v>1412111.3404813749</v>
      </c>
      <c r="AG105" s="332" t="str">
        <f t="shared" si="45"/>
        <v>N</v>
      </c>
      <c r="AH105" s="332">
        <f t="shared" si="46"/>
        <v>0</v>
      </c>
      <c r="AI105" s="332">
        <f t="shared" si="47"/>
        <v>0</v>
      </c>
      <c r="AJ105" s="109">
        <f t="shared" si="48"/>
        <v>1412111.3404813749</v>
      </c>
      <c r="AK105" s="109">
        <f t="shared" si="49"/>
        <v>0</v>
      </c>
      <c r="AL105" s="109">
        <v>0</v>
      </c>
      <c r="AM105" s="111">
        <f t="shared" si="50"/>
        <v>0</v>
      </c>
      <c r="AN105" s="111">
        <f t="shared" si="51"/>
        <v>0</v>
      </c>
      <c r="AO105" s="111" t="str">
        <f t="shared" si="52"/>
        <v>Use deduct 3yrs</v>
      </c>
      <c r="AP105" s="111">
        <f t="shared" si="53"/>
        <v>0</v>
      </c>
      <c r="AQ105" s="112">
        <f t="shared" si="54"/>
        <v>0</v>
      </c>
      <c r="AR105" s="112">
        <f t="shared" si="55"/>
        <v>1</v>
      </c>
      <c r="AS105" s="113">
        <f t="shared" si="56"/>
        <v>2028</v>
      </c>
      <c r="AT105" s="109">
        <v>1381618.2061190405</v>
      </c>
      <c r="AU105" s="114">
        <v>1</v>
      </c>
      <c r="AV105" s="113">
        <v>2028</v>
      </c>
      <c r="AW105" s="112">
        <f t="shared" si="57"/>
        <v>0.88418658309757026</v>
      </c>
      <c r="AX105" s="109">
        <f t="shared" si="58"/>
        <v>1381618.2061190405</v>
      </c>
      <c r="AY105" s="109">
        <f t="shared" si="59"/>
        <v>0</v>
      </c>
      <c r="AZ105" s="109">
        <f t="shared" si="60"/>
        <v>1381618.2061190405</v>
      </c>
      <c r="BA105" s="111">
        <f t="shared" si="61"/>
        <v>0</v>
      </c>
      <c r="BB105" s="117"/>
      <c r="BC105" s="115" t="str">
        <f t="shared" si="62"/>
        <v>N</v>
      </c>
      <c r="BD105" s="115" t="str">
        <f t="shared" si="63"/>
        <v>Y</v>
      </c>
      <c r="BE105" s="115" t="str">
        <f t="shared" si="64"/>
        <v>N</v>
      </c>
      <c r="BF105" s="109" t="str">
        <f t="shared" si="65"/>
        <v/>
      </c>
      <c r="BG105" s="111" t="s">
        <v>2499</v>
      </c>
      <c r="BH105" s="115" t="s">
        <v>1168</v>
      </c>
      <c r="BI105" s="116"/>
      <c r="BJ105" s="222">
        <v>0.88418658309757026</v>
      </c>
      <c r="BK105" s="265">
        <f t="shared" si="66"/>
        <v>0</v>
      </c>
      <c r="BL105" s="265">
        <f t="shared" si="67"/>
        <v>0</v>
      </c>
      <c r="BM105" s="265">
        <f t="shared" si="68"/>
        <v>0</v>
      </c>
      <c r="BN105" s="265">
        <f t="shared" si="69"/>
        <v>148484.94837445207</v>
      </c>
      <c r="BO105" s="109"/>
      <c r="BP105" s="265">
        <f t="shared" si="70"/>
        <v>148484.94837445207</v>
      </c>
      <c r="BQ105" s="265">
        <v>148484.94837445207</v>
      </c>
      <c r="BR105" s="265" t="e">
        <f t="shared" si="71"/>
        <v>#REF!</v>
      </c>
      <c r="BS105" s="265">
        <v>16728.200884541329</v>
      </c>
      <c r="BT105" s="475">
        <v>701830.74388095969</v>
      </c>
      <c r="BU105" s="475">
        <v>1381618.2061190405</v>
      </c>
      <c r="BV105" s="475">
        <v>0</v>
      </c>
      <c r="BW105" s="483">
        <f t="shared" si="72"/>
        <v>0</v>
      </c>
      <c r="BX105" s="483">
        <f t="shared" si="73"/>
        <v>0</v>
      </c>
    </row>
    <row r="106" spans="1:76" s="103" customFormat="1" ht="29">
      <c r="A106" s="100" t="s">
        <v>2502</v>
      </c>
      <c r="B106" s="91" t="str">
        <f t="shared" si="37"/>
        <v xml:space="preserve">CI </v>
      </c>
      <c r="C106" s="92" t="s">
        <v>463</v>
      </c>
      <c r="D106" s="448" t="s">
        <v>2269</v>
      </c>
      <c r="E106" s="449">
        <v>2130376</v>
      </c>
      <c r="F106" s="384" t="s">
        <v>2932</v>
      </c>
      <c r="G106" s="467" t="s">
        <v>5001</v>
      </c>
      <c r="H106" s="398">
        <v>1</v>
      </c>
      <c r="I106" s="95" t="s">
        <v>951</v>
      </c>
      <c r="J106" s="95" t="s">
        <v>1166</v>
      </c>
      <c r="K106" s="191">
        <v>96637.61</v>
      </c>
      <c r="L106" s="268">
        <v>0.84369734664902896</v>
      </c>
      <c r="M106" s="266">
        <v>1</v>
      </c>
      <c r="N106" s="267">
        <f t="shared" si="38"/>
        <v>0</v>
      </c>
      <c r="O106" s="96">
        <f t="shared" si="39"/>
        <v>15104.714856496334</v>
      </c>
      <c r="P106" s="96">
        <f t="shared" si="40"/>
        <v>81532.895143503672</v>
      </c>
      <c r="Q106" s="96">
        <f t="shared" si="41"/>
        <v>0</v>
      </c>
      <c r="R106" s="187" t="s">
        <v>2268</v>
      </c>
      <c r="S106" s="187" t="s">
        <v>3608</v>
      </c>
      <c r="T106" s="94" t="s">
        <v>2842</v>
      </c>
      <c r="U106" s="395">
        <f>COUNTIF(Aggregation_of_rev_to_allocate!$A$3:$A$137,$T106)</f>
        <v>1</v>
      </c>
      <c r="V106" s="100"/>
      <c r="W106" s="100">
        <v>33</v>
      </c>
      <c r="X106" s="109">
        <v>90295.379361346757</v>
      </c>
      <c r="Y106" s="109">
        <v>0</v>
      </c>
      <c r="Z106" s="110">
        <v>0.93437099035610216</v>
      </c>
      <c r="AA106" s="110">
        <v>1</v>
      </c>
      <c r="AB106" s="110">
        <v>0</v>
      </c>
      <c r="AC106" s="109">
        <f>IF(ISERROR((X106*SUMIF('Rev_for_allocation(Hard)'!$A$3:$A$249,$T106,'Rev_for_allocation(Hard)'!$I$3:$I$249)/SUMIF(Historic_capex_list!$T$9:$T$586,$T106,Historic_capex_list!$X$9:$X$586))=TRUE),0,X106*SUMIF('Rev_for_allocation(Hard)'!$A$3:$A$249,$T106,'Rev_for_allocation(Hard)'!$I$3:$I$249)/SUMIF(Historic_capex_list!$T$9:$T$586,$T106,Historic_capex_list!$X$9:$X$586))</f>
        <v>-6963.0047990355633</v>
      </c>
      <c r="AD106" s="109">
        <f t="shared" si="42"/>
        <v>83332.37456231119</v>
      </c>
      <c r="AE106" s="109">
        <f t="shared" si="43"/>
        <v>83332.37456231119</v>
      </c>
      <c r="AF106" s="109">
        <f t="shared" si="44"/>
        <v>83332.37456231119</v>
      </c>
      <c r="AG106" s="332" t="str">
        <f t="shared" si="45"/>
        <v>N</v>
      </c>
      <c r="AH106" s="332">
        <f t="shared" si="46"/>
        <v>0</v>
      </c>
      <c r="AI106" s="332">
        <f t="shared" si="47"/>
        <v>0</v>
      </c>
      <c r="AJ106" s="109">
        <f t="shared" si="48"/>
        <v>83332.37456231119</v>
      </c>
      <c r="AK106" s="109">
        <f t="shared" si="49"/>
        <v>0</v>
      </c>
      <c r="AL106" s="109">
        <v>0</v>
      </c>
      <c r="AM106" s="111">
        <f t="shared" si="50"/>
        <v>0</v>
      </c>
      <c r="AN106" s="111">
        <f t="shared" si="51"/>
        <v>0</v>
      </c>
      <c r="AO106" s="111" t="str">
        <f t="shared" si="52"/>
        <v>Use deduct 3yrs</v>
      </c>
      <c r="AP106" s="111">
        <f t="shared" si="53"/>
        <v>0</v>
      </c>
      <c r="AQ106" s="112">
        <f t="shared" si="54"/>
        <v>0</v>
      </c>
      <c r="AR106" s="112">
        <f t="shared" si="55"/>
        <v>1</v>
      </c>
      <c r="AS106" s="113">
        <f t="shared" si="56"/>
        <v>2028</v>
      </c>
      <c r="AT106" s="109">
        <v>81532.895143503672</v>
      </c>
      <c r="AU106" s="114">
        <v>1</v>
      </c>
      <c r="AV106" s="113">
        <v>2028</v>
      </c>
      <c r="AW106" s="112">
        <f t="shared" si="57"/>
        <v>0.84369734664902896</v>
      </c>
      <c r="AX106" s="109">
        <f t="shared" si="58"/>
        <v>81532.895143503672</v>
      </c>
      <c r="AY106" s="109">
        <f t="shared" si="59"/>
        <v>0</v>
      </c>
      <c r="AZ106" s="109">
        <f t="shared" si="60"/>
        <v>81532.895143503672</v>
      </c>
      <c r="BA106" s="111">
        <f t="shared" si="61"/>
        <v>0</v>
      </c>
      <c r="BB106" s="117"/>
      <c r="BC106" s="115" t="str">
        <f t="shared" si="62"/>
        <v>N</v>
      </c>
      <c r="BD106" s="115" t="str">
        <f t="shared" si="63"/>
        <v>Y</v>
      </c>
      <c r="BE106" s="115" t="str">
        <f t="shared" si="64"/>
        <v>N</v>
      </c>
      <c r="BF106" s="109" t="str">
        <f t="shared" si="65"/>
        <v/>
      </c>
      <c r="BG106" s="111" t="s">
        <v>2499</v>
      </c>
      <c r="BH106" s="115" t="s">
        <v>1168</v>
      </c>
      <c r="BI106" s="116"/>
      <c r="BJ106" s="222">
        <v>0.84369734664902896</v>
      </c>
      <c r="BK106" s="265">
        <f t="shared" si="66"/>
        <v>0</v>
      </c>
      <c r="BL106" s="265">
        <f t="shared" si="67"/>
        <v>0</v>
      </c>
      <c r="BM106" s="265">
        <f t="shared" si="68"/>
        <v>0</v>
      </c>
      <c r="BN106" s="265">
        <f t="shared" si="69"/>
        <v>8762.4842178430845</v>
      </c>
      <c r="BO106" s="109"/>
      <c r="BP106" s="265">
        <f t="shared" si="70"/>
        <v>8762.4842178430845</v>
      </c>
      <c r="BQ106" s="265">
        <v>8762.4842178430845</v>
      </c>
      <c r="BR106" s="265" t="e">
        <f t="shared" si="71"/>
        <v>#REF!</v>
      </c>
      <c r="BS106" s="265">
        <v>987.17477999219477</v>
      </c>
      <c r="BT106" s="475">
        <v>15104.714856496334</v>
      </c>
      <c r="BU106" s="475">
        <v>81532.895143503672</v>
      </c>
      <c r="BV106" s="475">
        <v>0</v>
      </c>
      <c r="BW106" s="483">
        <f t="shared" si="72"/>
        <v>0</v>
      </c>
      <c r="BX106" s="483">
        <f t="shared" si="73"/>
        <v>0</v>
      </c>
    </row>
    <row r="107" spans="1:76" s="103" customFormat="1" ht="29">
      <c r="A107" s="100" t="s">
        <v>2502</v>
      </c>
      <c r="B107" s="91" t="str">
        <f t="shared" si="37"/>
        <v xml:space="preserve">CI </v>
      </c>
      <c r="C107" s="92" t="s">
        <v>2272</v>
      </c>
      <c r="D107" s="448" t="s">
        <v>2269</v>
      </c>
      <c r="E107" s="451">
        <v>2130117</v>
      </c>
      <c r="F107" s="409" t="s">
        <v>2935</v>
      </c>
      <c r="G107" s="467" t="s">
        <v>5001</v>
      </c>
      <c r="H107" s="398">
        <v>1</v>
      </c>
      <c r="I107" s="151"/>
      <c r="J107" s="95" t="s">
        <v>1166</v>
      </c>
      <c r="K107" s="191">
        <v>3710122.53</v>
      </c>
      <c r="L107" s="269">
        <v>0.88418658309757014</v>
      </c>
      <c r="M107" s="267">
        <v>1</v>
      </c>
      <c r="N107" s="267">
        <f t="shared" si="38"/>
        <v>0</v>
      </c>
      <c r="O107" s="96">
        <f t="shared" si="39"/>
        <v>429681.96732598782</v>
      </c>
      <c r="P107" s="96">
        <f t="shared" si="40"/>
        <v>3280440.562674012</v>
      </c>
      <c r="Q107" s="96">
        <f t="shared" si="41"/>
        <v>0</v>
      </c>
      <c r="R107" s="187" t="s">
        <v>2268</v>
      </c>
      <c r="S107" s="187" t="s">
        <v>3608</v>
      </c>
      <c r="T107" s="94" t="s">
        <v>2842</v>
      </c>
      <c r="U107" s="395">
        <f>COUNTIF(Aggregation_of_rev_to_allocate!$A$3:$A$137,$T107)</f>
        <v>1</v>
      </c>
      <c r="V107" s="100"/>
      <c r="W107" s="100">
        <v>23</v>
      </c>
      <c r="X107" s="109">
        <v>3632995.3027873174</v>
      </c>
      <c r="Y107" s="109">
        <v>0</v>
      </c>
      <c r="Z107" s="110">
        <v>0.97921167654463359</v>
      </c>
      <c r="AA107" s="110">
        <v>1</v>
      </c>
      <c r="AB107" s="110">
        <v>0</v>
      </c>
      <c r="AC107" s="109">
        <f>IF(ISERROR((X107*SUMIF('Rev_for_allocation(Hard)'!$A$3:$A$249,$T107,'Rev_for_allocation(Hard)'!$I$3:$I$249)/SUMIF(Historic_capex_list!$T$9:$T$586,$T107,Historic_capex_list!$X$9:$X$586))=TRUE),0,X107*SUMIF('Rev_for_allocation(Hard)'!$A$3:$A$249,$T107,'Rev_for_allocation(Hard)'!$I$3:$I$249)/SUMIF(Historic_capex_list!$T$9:$T$586,$T107,Historic_capex_list!$X$9:$X$586))</f>
        <v>-280153.46861713933</v>
      </c>
      <c r="AD107" s="109">
        <f t="shared" si="42"/>
        <v>3352841.834170178</v>
      </c>
      <c r="AE107" s="109">
        <f t="shared" si="43"/>
        <v>3352841.834170178</v>
      </c>
      <c r="AF107" s="109">
        <f t="shared" si="44"/>
        <v>3352841.834170178</v>
      </c>
      <c r="AG107" s="332" t="str">
        <f t="shared" si="45"/>
        <v>N</v>
      </c>
      <c r="AH107" s="332">
        <f t="shared" si="46"/>
        <v>0</v>
      </c>
      <c r="AI107" s="332">
        <f t="shared" si="47"/>
        <v>0</v>
      </c>
      <c r="AJ107" s="109">
        <f t="shared" si="48"/>
        <v>3352841.834170178</v>
      </c>
      <c r="AK107" s="109">
        <f t="shared" si="49"/>
        <v>0</v>
      </c>
      <c r="AL107" s="109">
        <v>0</v>
      </c>
      <c r="AM107" s="111">
        <f t="shared" si="50"/>
        <v>0</v>
      </c>
      <c r="AN107" s="111">
        <f t="shared" si="51"/>
        <v>0</v>
      </c>
      <c r="AO107" s="111" t="str">
        <f t="shared" si="52"/>
        <v>Use deduct 3yrs</v>
      </c>
      <c r="AP107" s="111">
        <f t="shared" si="53"/>
        <v>0</v>
      </c>
      <c r="AQ107" s="112">
        <f t="shared" si="54"/>
        <v>0</v>
      </c>
      <c r="AR107" s="112">
        <f t="shared" si="55"/>
        <v>1</v>
      </c>
      <c r="AS107" s="113">
        <f t="shared" si="56"/>
        <v>2028</v>
      </c>
      <c r="AT107" s="109">
        <v>3280440.562674012</v>
      </c>
      <c r="AU107" s="114">
        <v>1</v>
      </c>
      <c r="AV107" s="113">
        <v>2028</v>
      </c>
      <c r="AW107" s="112">
        <f t="shared" si="57"/>
        <v>0.88418658309757014</v>
      </c>
      <c r="AX107" s="109">
        <f t="shared" si="58"/>
        <v>3280440.562674012</v>
      </c>
      <c r="AY107" s="109">
        <f t="shared" si="59"/>
        <v>0</v>
      </c>
      <c r="AZ107" s="109">
        <f t="shared" si="60"/>
        <v>3280440.562674012</v>
      </c>
      <c r="BA107" s="111">
        <f t="shared" si="61"/>
        <v>0</v>
      </c>
      <c r="BB107" s="117"/>
      <c r="BC107" s="115" t="str">
        <f t="shared" si="62"/>
        <v>N</v>
      </c>
      <c r="BD107" s="115" t="str">
        <f t="shared" si="63"/>
        <v>Y</v>
      </c>
      <c r="BE107" s="115" t="str">
        <f t="shared" si="64"/>
        <v>N</v>
      </c>
      <c r="BF107" s="109" t="str">
        <f t="shared" si="65"/>
        <v/>
      </c>
      <c r="BG107" s="111" t="s">
        <v>2499</v>
      </c>
      <c r="BH107" s="115" t="s">
        <v>1168</v>
      </c>
      <c r="BI107" s="116"/>
      <c r="BJ107" s="222">
        <v>0.88418658309757014</v>
      </c>
      <c r="BK107" s="265">
        <f t="shared" si="66"/>
        <v>0</v>
      </c>
      <c r="BL107" s="265">
        <f t="shared" si="67"/>
        <v>0</v>
      </c>
      <c r="BM107" s="265">
        <f t="shared" si="68"/>
        <v>0</v>
      </c>
      <c r="BN107" s="265">
        <f t="shared" si="69"/>
        <v>352554.74011330539</v>
      </c>
      <c r="BO107" s="109"/>
      <c r="BP107" s="265">
        <f t="shared" si="70"/>
        <v>352554.74011330539</v>
      </c>
      <c r="BQ107" s="265">
        <v>352554.74011330539</v>
      </c>
      <c r="BR107" s="265" t="e">
        <f t="shared" si="71"/>
        <v>#REF!</v>
      </c>
      <c r="BS107" s="265">
        <v>39718.547771858604</v>
      </c>
      <c r="BT107" s="475">
        <v>429681.96732598782</v>
      </c>
      <c r="BU107" s="475">
        <v>3280440.562674012</v>
      </c>
      <c r="BV107" s="475">
        <v>0</v>
      </c>
      <c r="BW107" s="483">
        <f t="shared" si="72"/>
        <v>0</v>
      </c>
      <c r="BX107" s="483">
        <f t="shared" si="73"/>
        <v>0</v>
      </c>
    </row>
    <row r="108" spans="1:76" s="103" customFormat="1" ht="29">
      <c r="A108" s="100" t="s">
        <v>2502</v>
      </c>
      <c r="B108" s="91" t="str">
        <f t="shared" si="37"/>
        <v xml:space="preserve">CI </v>
      </c>
      <c r="C108" s="92" t="s">
        <v>3626</v>
      </c>
      <c r="D108" s="448" t="s">
        <v>2269</v>
      </c>
      <c r="E108" s="451">
        <v>2130117</v>
      </c>
      <c r="F108" s="409" t="s">
        <v>2935</v>
      </c>
      <c r="G108" s="467" t="s">
        <v>5001</v>
      </c>
      <c r="H108" s="398">
        <v>1</v>
      </c>
      <c r="I108" s="151"/>
      <c r="J108" s="95" t="s">
        <v>1166</v>
      </c>
      <c r="K108" s="191">
        <v>30992.57</v>
      </c>
      <c r="L108" s="269">
        <v>0.88418658309757026</v>
      </c>
      <c r="M108" s="267">
        <v>1</v>
      </c>
      <c r="N108" s="267">
        <f t="shared" si="38"/>
        <v>0</v>
      </c>
      <c r="O108" s="96">
        <f t="shared" si="39"/>
        <v>3589.3554302877369</v>
      </c>
      <c r="P108" s="96">
        <f t="shared" si="40"/>
        <v>27403.214569712261</v>
      </c>
      <c r="Q108" s="96">
        <f t="shared" si="41"/>
        <v>0</v>
      </c>
      <c r="R108" s="187" t="s">
        <v>2268</v>
      </c>
      <c r="S108" s="187" t="s">
        <v>3608</v>
      </c>
      <c r="T108" s="94" t="s">
        <v>2842</v>
      </c>
      <c r="U108" s="395">
        <f>COUNTIF(Aggregation_of_rev_to_allocate!$A$3:$A$137,$T108)</f>
        <v>1</v>
      </c>
      <c r="V108" s="100"/>
      <c r="W108" s="100"/>
      <c r="X108" s="109">
        <v>30348.286430126915</v>
      </c>
      <c r="Y108" s="109">
        <v>0</v>
      </c>
      <c r="Z108" s="110">
        <v>0.97921167654463359</v>
      </c>
      <c r="AA108" s="110">
        <v>1</v>
      </c>
      <c r="AB108" s="110">
        <v>0</v>
      </c>
      <c r="AC108" s="109">
        <f>IF(ISERROR((X108*SUMIF('Rev_for_allocation(Hard)'!$A$3:$A$249,$T108,'Rev_for_allocation(Hard)'!$I$3:$I$249)/SUMIF(Historic_capex_list!$T$9:$T$586,$T108,Historic_capex_list!$X$9:$X$586))=TRUE),0,X108*SUMIF('Rev_for_allocation(Hard)'!$A$3:$A$249,$T108,'Rev_for_allocation(Hard)'!$I$3:$I$249)/SUMIF(Historic_capex_list!$T$9:$T$586,$T108,Historic_capex_list!$X$9:$X$586))</f>
        <v>-2340.2666398889778</v>
      </c>
      <c r="AD108" s="109">
        <f t="shared" si="42"/>
        <v>28008.019790237937</v>
      </c>
      <c r="AE108" s="109">
        <f t="shared" si="43"/>
        <v>28008.019790237937</v>
      </c>
      <c r="AF108" s="109">
        <f t="shared" si="44"/>
        <v>28008.019790237937</v>
      </c>
      <c r="AG108" s="332" t="str">
        <f t="shared" si="45"/>
        <v>N</v>
      </c>
      <c r="AH108" s="332">
        <f t="shared" si="46"/>
        <v>0</v>
      </c>
      <c r="AI108" s="332">
        <f t="shared" si="47"/>
        <v>0</v>
      </c>
      <c r="AJ108" s="109">
        <f t="shared" si="48"/>
        <v>28008.019790237937</v>
      </c>
      <c r="AK108" s="109">
        <f t="shared" si="49"/>
        <v>0</v>
      </c>
      <c r="AL108" s="109">
        <v>0</v>
      </c>
      <c r="AM108" s="111">
        <f t="shared" si="50"/>
        <v>0</v>
      </c>
      <c r="AN108" s="111">
        <f t="shared" si="51"/>
        <v>0</v>
      </c>
      <c r="AO108" s="111" t="str">
        <f t="shared" si="52"/>
        <v>Use deduct 3yrs</v>
      </c>
      <c r="AP108" s="111">
        <f t="shared" si="53"/>
        <v>0</v>
      </c>
      <c r="AQ108" s="112">
        <f t="shared" si="54"/>
        <v>0</v>
      </c>
      <c r="AR108" s="112">
        <f t="shared" si="55"/>
        <v>1</v>
      </c>
      <c r="AS108" s="113">
        <f t="shared" si="56"/>
        <v>2028</v>
      </c>
      <c r="AT108" s="109">
        <v>27403.214569712261</v>
      </c>
      <c r="AU108" s="114">
        <v>1</v>
      </c>
      <c r="AV108" s="113">
        <v>2028</v>
      </c>
      <c r="AW108" s="112">
        <f t="shared" si="57"/>
        <v>0.88418658309757026</v>
      </c>
      <c r="AX108" s="109">
        <f t="shared" si="58"/>
        <v>27403.214569712261</v>
      </c>
      <c r="AY108" s="109">
        <f t="shared" si="59"/>
        <v>0</v>
      </c>
      <c r="AZ108" s="109">
        <f t="shared" si="60"/>
        <v>27403.214569712261</v>
      </c>
      <c r="BA108" s="111">
        <f t="shared" si="61"/>
        <v>0</v>
      </c>
      <c r="BB108" s="117"/>
      <c r="BC108" s="115" t="str">
        <f t="shared" si="62"/>
        <v>N</v>
      </c>
      <c r="BD108" s="115" t="str">
        <f t="shared" si="63"/>
        <v>Y</v>
      </c>
      <c r="BE108" s="115" t="str">
        <f t="shared" si="64"/>
        <v>N</v>
      </c>
      <c r="BF108" s="109" t="str">
        <f t="shared" si="65"/>
        <v/>
      </c>
      <c r="BG108" s="111" t="s">
        <v>2499</v>
      </c>
      <c r="BH108" s="115" t="s">
        <v>1168</v>
      </c>
      <c r="BI108" s="116"/>
      <c r="BJ108" s="222">
        <v>0.88418658309757026</v>
      </c>
      <c r="BK108" s="265">
        <f t="shared" si="66"/>
        <v>0</v>
      </c>
      <c r="BL108" s="265">
        <f t="shared" si="67"/>
        <v>0</v>
      </c>
      <c r="BM108" s="265">
        <f t="shared" si="68"/>
        <v>0</v>
      </c>
      <c r="BN108" s="265">
        <f t="shared" si="69"/>
        <v>2945.0718604146532</v>
      </c>
      <c r="BO108" s="109"/>
      <c r="BP108" s="265">
        <f t="shared" si="70"/>
        <v>2945.0718604146532</v>
      </c>
      <c r="BQ108" s="265">
        <v>2945.0718604146532</v>
      </c>
      <c r="BR108" s="265" t="e">
        <f t="shared" si="71"/>
        <v>#REF!</v>
      </c>
      <c r="BS108" s="265">
        <v>331.78954661577478</v>
      </c>
      <c r="BT108" s="475">
        <v>3589.3554302877369</v>
      </c>
      <c r="BU108" s="475">
        <v>27403.214569712261</v>
      </c>
      <c r="BV108" s="475">
        <v>0</v>
      </c>
      <c r="BW108" s="483">
        <f t="shared" si="72"/>
        <v>0</v>
      </c>
      <c r="BX108" s="483">
        <f t="shared" si="73"/>
        <v>0</v>
      </c>
    </row>
    <row r="109" spans="1:76" s="103" customFormat="1" ht="29">
      <c r="A109" s="100" t="s">
        <v>2502</v>
      </c>
      <c r="B109" s="91" t="str">
        <f t="shared" si="37"/>
        <v xml:space="preserve">CI </v>
      </c>
      <c r="C109" s="92" t="s">
        <v>2273</v>
      </c>
      <c r="D109" s="448" t="s">
        <v>2269</v>
      </c>
      <c r="E109" s="451">
        <v>2140146</v>
      </c>
      <c r="F109" s="409" t="s">
        <v>2318</v>
      </c>
      <c r="G109" s="467" t="s">
        <v>5021</v>
      </c>
      <c r="H109" s="398">
        <v>0.36999999999999994</v>
      </c>
      <c r="I109" s="151"/>
      <c r="J109" s="95" t="s">
        <v>1166</v>
      </c>
      <c r="K109" s="191">
        <v>33683032.729999997</v>
      </c>
      <c r="L109" s="269">
        <v>0.97921168790065272</v>
      </c>
      <c r="M109" s="267">
        <v>1</v>
      </c>
      <c r="N109" s="267">
        <f t="shared" si="38"/>
        <v>0</v>
      </c>
      <c r="O109" s="96">
        <f t="shared" si="39"/>
        <v>21479389.576732196</v>
      </c>
      <c r="P109" s="96">
        <f t="shared" si="40"/>
        <v>12203643.153267803</v>
      </c>
      <c r="Q109" s="96">
        <f t="shared" si="41"/>
        <v>0</v>
      </c>
      <c r="R109" s="187" t="s">
        <v>2455</v>
      </c>
      <c r="S109" s="187" t="s">
        <v>3608</v>
      </c>
      <c r="T109" s="94" t="s">
        <v>2857</v>
      </c>
      <c r="U109" s="395">
        <f>COUNTIF(Aggregation_of_rev_to_allocate!$A$3:$A$137,$T109)</f>
        <v>1</v>
      </c>
      <c r="V109" s="100"/>
      <c r="W109" s="100">
        <v>112</v>
      </c>
      <c r="X109" s="109">
        <v>12203643.011740893</v>
      </c>
      <c r="Y109" s="109">
        <v>0</v>
      </c>
      <c r="Z109" s="110">
        <v>0.9792116765446337</v>
      </c>
      <c r="AA109" s="110">
        <v>1</v>
      </c>
      <c r="AB109" s="110">
        <v>0</v>
      </c>
      <c r="AC109" s="109">
        <f>IF(ISERROR((X109*SUMIF('Rev_for_allocation(Hard)'!$A$3:$A$249,$T109,'Rev_for_allocation(Hard)'!$I$3:$I$249)/SUMIF(Historic_capex_list!$T$9:$T$586,$T109,Historic_capex_list!$X$9:$X$586))=TRUE),0,X109*SUMIF('Rev_for_allocation(Hard)'!$A$3:$A$249,$T109,'Rev_for_allocation(Hard)'!$I$3:$I$249)/SUMIF(Historic_capex_list!$T$9:$T$586,$T109,Historic_capex_list!$X$9:$X$586))</f>
        <v>0.12023963245119534</v>
      </c>
      <c r="AD109" s="109">
        <f t="shared" si="42"/>
        <v>12203643.131980525</v>
      </c>
      <c r="AE109" s="109">
        <f t="shared" si="43"/>
        <v>12203643.131980525</v>
      </c>
      <c r="AF109" s="109">
        <f t="shared" si="44"/>
        <v>12203643.131980525</v>
      </c>
      <c r="AG109" s="332" t="str">
        <f t="shared" si="45"/>
        <v>N</v>
      </c>
      <c r="AH109" s="332">
        <f t="shared" si="46"/>
        <v>0</v>
      </c>
      <c r="AI109" s="332">
        <f t="shared" si="47"/>
        <v>0</v>
      </c>
      <c r="AJ109" s="109">
        <f t="shared" si="48"/>
        <v>12203643.131980525</v>
      </c>
      <c r="AK109" s="109">
        <f t="shared" si="49"/>
        <v>0</v>
      </c>
      <c r="AL109" s="109">
        <v>0</v>
      </c>
      <c r="AM109" s="111">
        <f t="shared" si="50"/>
        <v>0</v>
      </c>
      <c r="AN109" s="111">
        <f t="shared" si="51"/>
        <v>0</v>
      </c>
      <c r="AO109" s="111" t="str">
        <f t="shared" si="52"/>
        <v>Use deduct 3yrs</v>
      </c>
      <c r="AP109" s="111">
        <f t="shared" si="53"/>
        <v>0</v>
      </c>
      <c r="AQ109" s="112">
        <f t="shared" si="54"/>
        <v>0</v>
      </c>
      <c r="AR109" s="112">
        <f t="shared" si="55"/>
        <v>1</v>
      </c>
      <c r="AS109" s="113">
        <f t="shared" si="56"/>
        <v>2028</v>
      </c>
      <c r="AT109" s="109">
        <v>12203643.153267803</v>
      </c>
      <c r="AU109" s="114">
        <v>1</v>
      </c>
      <c r="AV109" s="113">
        <v>2028</v>
      </c>
      <c r="AW109" s="112">
        <f t="shared" si="57"/>
        <v>0.97921168790065272</v>
      </c>
      <c r="AX109" s="109">
        <f t="shared" si="58"/>
        <v>12203643.153267803</v>
      </c>
      <c r="AY109" s="109">
        <f t="shared" si="59"/>
        <v>0</v>
      </c>
      <c r="AZ109" s="109">
        <f t="shared" si="60"/>
        <v>12203643.153267803</v>
      </c>
      <c r="BA109" s="111">
        <f t="shared" si="61"/>
        <v>0</v>
      </c>
      <c r="BB109" s="117"/>
      <c r="BC109" s="115" t="str">
        <f t="shared" si="62"/>
        <v>N</v>
      </c>
      <c r="BD109" s="115" t="str">
        <f t="shared" si="63"/>
        <v>Y</v>
      </c>
      <c r="BE109" s="115" t="str">
        <f t="shared" si="64"/>
        <v>N</v>
      </c>
      <c r="BF109" s="109" t="str">
        <f t="shared" si="65"/>
        <v/>
      </c>
      <c r="BG109" s="111" t="s">
        <v>2499</v>
      </c>
      <c r="BH109" s="115" t="s">
        <v>1168</v>
      </c>
      <c r="BI109" s="116"/>
      <c r="BJ109" s="222">
        <v>0.97921168790065272</v>
      </c>
      <c r="BK109" s="265">
        <f t="shared" si="66"/>
        <v>0</v>
      </c>
      <c r="BL109" s="265">
        <f t="shared" si="67"/>
        <v>0</v>
      </c>
      <c r="BM109" s="265">
        <f t="shared" si="68"/>
        <v>-1.862645149230957E-9</v>
      </c>
      <c r="BN109" s="265">
        <f t="shared" si="69"/>
        <v>-0.14152690954506397</v>
      </c>
      <c r="BO109" s="109"/>
      <c r="BP109" s="265">
        <f t="shared" si="70"/>
        <v>-0.14152690954506397</v>
      </c>
      <c r="BQ109" s="265">
        <v>-0.14152690954506397</v>
      </c>
      <c r="BR109" s="265" t="e">
        <f t="shared" si="71"/>
        <v>#REF!</v>
      </c>
      <c r="BS109" s="265">
        <v>-1.5944313543940887E-2</v>
      </c>
      <c r="BT109" s="475">
        <v>21479389.576732196</v>
      </c>
      <c r="BU109" s="475">
        <v>12203643.153267803</v>
      </c>
      <c r="BV109" s="475">
        <v>0</v>
      </c>
      <c r="BW109" s="483">
        <f t="shared" si="72"/>
        <v>0</v>
      </c>
      <c r="BX109" s="483">
        <f t="shared" si="73"/>
        <v>0</v>
      </c>
    </row>
    <row r="110" spans="1:76" s="103" customFormat="1" ht="29">
      <c r="A110" s="100" t="s">
        <v>2502</v>
      </c>
      <c r="B110" s="91" t="str">
        <f t="shared" si="37"/>
        <v xml:space="preserve">CI </v>
      </c>
      <c r="C110" s="92" t="s">
        <v>463</v>
      </c>
      <c r="D110" s="448" t="s">
        <v>2269</v>
      </c>
      <c r="E110" s="449">
        <v>2130371</v>
      </c>
      <c r="F110" s="384" t="s">
        <v>960</v>
      </c>
      <c r="G110" s="467" t="s">
        <v>5001</v>
      </c>
      <c r="H110" s="398">
        <v>1</v>
      </c>
      <c r="I110" s="95" t="s">
        <v>951</v>
      </c>
      <c r="J110" s="95" t="s">
        <v>1166</v>
      </c>
      <c r="K110" s="191">
        <v>71652</v>
      </c>
      <c r="L110" s="268">
        <v>0.82801869805204842</v>
      </c>
      <c r="M110" s="266">
        <v>1</v>
      </c>
      <c r="N110" s="267">
        <f t="shared" si="38"/>
        <v>0</v>
      </c>
      <c r="O110" s="96">
        <f t="shared" si="39"/>
        <v>12322.804247174627</v>
      </c>
      <c r="P110" s="96">
        <f t="shared" si="40"/>
        <v>59329.19575282537</v>
      </c>
      <c r="Q110" s="96">
        <f t="shared" si="41"/>
        <v>0</v>
      </c>
      <c r="R110" s="187" t="s">
        <v>2456</v>
      </c>
      <c r="S110" s="187" t="s">
        <v>3607</v>
      </c>
      <c r="T110" s="94" t="s">
        <v>2858</v>
      </c>
      <c r="U110" s="395">
        <f>COUNTIF(Aggregation_of_rev_to_allocate!$A$3:$A$137,$T110)</f>
        <v>1</v>
      </c>
      <c r="V110" s="100"/>
      <c r="W110" s="100">
        <v>133</v>
      </c>
      <c r="X110" s="109">
        <v>66949.550200995422</v>
      </c>
      <c r="Y110" s="109">
        <v>0</v>
      </c>
      <c r="Z110" s="110">
        <v>0.93437099035610205</v>
      </c>
      <c r="AA110" s="110">
        <v>1</v>
      </c>
      <c r="AB110" s="110">
        <v>0</v>
      </c>
      <c r="AC110" s="109">
        <f>IF(ISERROR((X110*SUMIF('Rev_for_allocation(Hard)'!$A$3:$A$249,$T110,'Rev_for_allocation(Hard)'!$I$3:$I$249)/SUMIF(Historic_capex_list!$T$9:$T$586,$T110,Historic_capex_list!$X$9:$X$586))=TRUE),0,X110*SUMIF('Rev_for_allocation(Hard)'!$A$3:$A$249,$T110,'Rev_for_allocation(Hard)'!$I$3:$I$249)/SUMIF(Historic_capex_list!$T$9:$T$586,$T110,Historic_capex_list!$X$9:$X$586))</f>
        <v>-7620.3544481700455</v>
      </c>
      <c r="AD110" s="109">
        <f t="shared" si="42"/>
        <v>59329.195752825377</v>
      </c>
      <c r="AE110" s="109">
        <f t="shared" si="43"/>
        <v>59329.195752825377</v>
      </c>
      <c r="AF110" s="109">
        <f t="shared" si="44"/>
        <v>59329.195752825377</v>
      </c>
      <c r="AG110" s="332" t="str">
        <f t="shared" si="45"/>
        <v>N</v>
      </c>
      <c r="AH110" s="332">
        <f t="shared" si="46"/>
        <v>0</v>
      </c>
      <c r="AI110" s="332">
        <f t="shared" si="47"/>
        <v>0</v>
      </c>
      <c r="AJ110" s="109">
        <f t="shared" si="48"/>
        <v>59329.195752825377</v>
      </c>
      <c r="AK110" s="109">
        <f t="shared" si="49"/>
        <v>0</v>
      </c>
      <c r="AL110" s="109">
        <v>0</v>
      </c>
      <c r="AM110" s="111">
        <f t="shared" si="50"/>
        <v>0</v>
      </c>
      <c r="AN110" s="111">
        <f t="shared" si="51"/>
        <v>0</v>
      </c>
      <c r="AO110" s="111" t="str">
        <f t="shared" si="52"/>
        <v>Use deduct 3yrs</v>
      </c>
      <c r="AP110" s="111">
        <f t="shared" si="53"/>
        <v>0</v>
      </c>
      <c r="AQ110" s="112">
        <f t="shared" si="54"/>
        <v>0</v>
      </c>
      <c r="AR110" s="112">
        <f t="shared" si="55"/>
        <v>1</v>
      </c>
      <c r="AS110" s="113">
        <f t="shared" si="56"/>
        <v>2028</v>
      </c>
      <c r="AT110" s="109">
        <v>59329.195752825377</v>
      </c>
      <c r="AU110" s="114">
        <v>1</v>
      </c>
      <c r="AV110" s="113">
        <v>2028</v>
      </c>
      <c r="AW110" s="112">
        <f t="shared" si="57"/>
        <v>0.82801869805204842</v>
      </c>
      <c r="AX110" s="109">
        <f t="shared" si="58"/>
        <v>59329.19575282537</v>
      </c>
      <c r="AY110" s="109">
        <f t="shared" si="59"/>
        <v>0</v>
      </c>
      <c r="AZ110" s="109">
        <f t="shared" si="60"/>
        <v>59329.19575282537</v>
      </c>
      <c r="BA110" s="111">
        <f t="shared" si="61"/>
        <v>0</v>
      </c>
      <c r="BB110" s="117"/>
      <c r="BC110" s="115" t="str">
        <f t="shared" si="62"/>
        <v>N</v>
      </c>
      <c r="BD110" s="115" t="str">
        <f t="shared" si="63"/>
        <v>Y</v>
      </c>
      <c r="BE110" s="115" t="str">
        <f t="shared" si="64"/>
        <v>N</v>
      </c>
      <c r="BF110" s="109" t="str">
        <f t="shared" si="65"/>
        <v/>
      </c>
      <c r="BG110" s="111" t="s">
        <v>2499</v>
      </c>
      <c r="BH110" s="115" t="s">
        <v>1168</v>
      </c>
      <c r="BI110" s="116"/>
      <c r="BJ110" s="222">
        <v>0.82801869805204842</v>
      </c>
      <c r="BK110" s="265">
        <f t="shared" si="66"/>
        <v>0</v>
      </c>
      <c r="BL110" s="265">
        <f t="shared" si="67"/>
        <v>0</v>
      </c>
      <c r="BM110" s="265">
        <f t="shared" si="68"/>
        <v>0</v>
      </c>
      <c r="BN110" s="265">
        <f t="shared" si="69"/>
        <v>7620.3544481700519</v>
      </c>
      <c r="BO110" s="109"/>
      <c r="BP110" s="265">
        <f t="shared" si="70"/>
        <v>7620.3544481700446</v>
      </c>
      <c r="BQ110" s="265">
        <v>7620.3544481700446</v>
      </c>
      <c r="BR110" s="265" t="e">
        <f t="shared" si="71"/>
        <v>#REF!</v>
      </c>
      <c r="BS110" s="265">
        <v>858.50331239586819</v>
      </c>
      <c r="BT110" s="475">
        <v>12322.804247174627</v>
      </c>
      <c r="BU110" s="475">
        <v>59329.19575282537</v>
      </c>
      <c r="BV110" s="475">
        <v>0</v>
      </c>
      <c r="BW110" s="483">
        <f t="shared" si="72"/>
        <v>0</v>
      </c>
      <c r="BX110" s="483">
        <f t="shared" si="73"/>
        <v>0</v>
      </c>
    </row>
    <row r="111" spans="1:76" s="103" customFormat="1" ht="29">
      <c r="A111" s="100" t="s">
        <v>2502</v>
      </c>
      <c r="B111" s="91" t="str">
        <f t="shared" si="37"/>
        <v xml:space="preserve">CI </v>
      </c>
      <c r="C111" s="92" t="s">
        <v>2273</v>
      </c>
      <c r="D111" s="448"/>
      <c r="E111" s="451">
        <v>2130469</v>
      </c>
      <c r="F111" s="409" t="s">
        <v>2530</v>
      </c>
      <c r="G111" s="384" t="s">
        <v>5246</v>
      </c>
      <c r="H111" s="398">
        <v>1</v>
      </c>
      <c r="I111" s="151"/>
      <c r="J111" s="95" t="s">
        <v>1166</v>
      </c>
      <c r="K111" s="191">
        <v>427976</v>
      </c>
      <c r="L111" s="269">
        <v>0.97921168790065272</v>
      </c>
      <c r="M111" s="267">
        <v>1</v>
      </c>
      <c r="N111" s="267">
        <f t="shared" si="38"/>
        <v>0</v>
      </c>
      <c r="O111" s="96">
        <f t="shared" si="39"/>
        <v>8896.8986590302538</v>
      </c>
      <c r="P111" s="96">
        <f t="shared" si="40"/>
        <v>419079.10134096973</v>
      </c>
      <c r="Q111" s="96">
        <f t="shared" si="41"/>
        <v>0</v>
      </c>
      <c r="R111" s="187" t="s">
        <v>2455</v>
      </c>
      <c r="S111" s="187" t="s">
        <v>3607</v>
      </c>
      <c r="T111" s="94" t="s">
        <v>2857</v>
      </c>
      <c r="U111" s="395">
        <f>COUNTIF(Aggregation_of_rev_to_allocate!$A$3:$A$137,$T111)</f>
        <v>1</v>
      </c>
      <c r="V111" s="100"/>
      <c r="W111" s="100">
        <v>114</v>
      </c>
      <c r="X111" s="109">
        <v>419079.09648086614</v>
      </c>
      <c r="Y111" s="109">
        <v>0</v>
      </c>
      <c r="Z111" s="110">
        <v>0.9792116765446337</v>
      </c>
      <c r="AA111" s="110">
        <v>1</v>
      </c>
      <c r="AB111" s="110">
        <v>0</v>
      </c>
      <c r="AC111" s="109">
        <f>IF(ISERROR((X111*SUMIF('Rev_for_allocation(Hard)'!$A$3:$A$249,$T111,'Rev_for_allocation(Hard)'!$I$3:$I$249)/SUMIF(Historic_capex_list!$T$9:$T$586,$T111,Historic_capex_list!$X$9:$X$586))=TRUE),0,X111*SUMIF('Rev_for_allocation(Hard)'!$A$3:$A$249,$T111,'Rev_for_allocation(Hard)'!$I$3:$I$249)/SUMIF(Historic_capex_list!$T$9:$T$586,$T111,Historic_capex_list!$X$9:$X$586))</f>
        <v>4.1290880502124813E-3</v>
      </c>
      <c r="AD111" s="109">
        <f t="shared" si="42"/>
        <v>419079.10060995421</v>
      </c>
      <c r="AE111" s="109">
        <f t="shared" si="43"/>
        <v>419079.10060995421</v>
      </c>
      <c r="AF111" s="109">
        <f t="shared" si="44"/>
        <v>419079.10060995421</v>
      </c>
      <c r="AG111" s="332" t="str">
        <f t="shared" si="45"/>
        <v>N</v>
      </c>
      <c r="AH111" s="332">
        <f t="shared" si="46"/>
        <v>0</v>
      </c>
      <c r="AI111" s="332">
        <f t="shared" si="47"/>
        <v>0</v>
      </c>
      <c r="AJ111" s="109">
        <f t="shared" si="48"/>
        <v>419079.10060995421</v>
      </c>
      <c r="AK111" s="109">
        <f t="shared" si="49"/>
        <v>0</v>
      </c>
      <c r="AL111" s="109">
        <v>0</v>
      </c>
      <c r="AM111" s="111">
        <f t="shared" si="50"/>
        <v>0</v>
      </c>
      <c r="AN111" s="111">
        <f t="shared" si="51"/>
        <v>0</v>
      </c>
      <c r="AO111" s="111" t="str">
        <f t="shared" si="52"/>
        <v>Use deduct 3yrs</v>
      </c>
      <c r="AP111" s="111">
        <f t="shared" si="53"/>
        <v>0</v>
      </c>
      <c r="AQ111" s="112">
        <f t="shared" si="54"/>
        <v>0</v>
      </c>
      <c r="AR111" s="112">
        <f t="shared" si="55"/>
        <v>1</v>
      </c>
      <c r="AS111" s="113">
        <f t="shared" si="56"/>
        <v>2028</v>
      </c>
      <c r="AT111" s="109">
        <v>419079.10134096973</v>
      </c>
      <c r="AU111" s="114">
        <v>1</v>
      </c>
      <c r="AV111" s="113">
        <v>2028</v>
      </c>
      <c r="AW111" s="112">
        <f t="shared" si="57"/>
        <v>0.97921168790065272</v>
      </c>
      <c r="AX111" s="109">
        <f t="shared" si="58"/>
        <v>419079.10134096973</v>
      </c>
      <c r="AY111" s="109">
        <f t="shared" si="59"/>
        <v>0</v>
      </c>
      <c r="AZ111" s="109">
        <f t="shared" si="60"/>
        <v>419079.10134096973</v>
      </c>
      <c r="BA111" s="111">
        <f t="shared" si="61"/>
        <v>0</v>
      </c>
      <c r="BB111" s="117"/>
      <c r="BC111" s="115" t="str">
        <f t="shared" si="62"/>
        <v>N</v>
      </c>
      <c r="BD111" s="115" t="str">
        <f t="shared" si="63"/>
        <v>Y</v>
      </c>
      <c r="BE111" s="115" t="str">
        <f t="shared" si="64"/>
        <v>N</v>
      </c>
      <c r="BF111" s="109" t="str">
        <f t="shared" si="65"/>
        <v/>
      </c>
      <c r="BG111" s="111" t="s">
        <v>2499</v>
      </c>
      <c r="BH111" s="115" t="s">
        <v>1168</v>
      </c>
      <c r="BI111" s="116"/>
      <c r="BJ111" s="222">
        <v>0.97921168790065272</v>
      </c>
      <c r="BK111" s="265">
        <f t="shared" si="66"/>
        <v>0</v>
      </c>
      <c r="BL111" s="265">
        <f t="shared" si="67"/>
        <v>0</v>
      </c>
      <c r="BM111" s="265">
        <f t="shared" si="68"/>
        <v>0</v>
      </c>
      <c r="BN111" s="265">
        <f t="shared" si="69"/>
        <v>-4.8601035960018635E-3</v>
      </c>
      <c r="BO111" s="109"/>
      <c r="BP111" s="265">
        <f t="shared" si="70"/>
        <v>-4.8601035960018635E-3</v>
      </c>
      <c r="BQ111" s="265">
        <v>-4.8601035960018635E-3</v>
      </c>
      <c r="BR111" s="265" t="e">
        <f t="shared" si="71"/>
        <v>#REF!</v>
      </c>
      <c r="BS111" s="265">
        <v>-5.4753555941963251E-4</v>
      </c>
      <c r="BT111" s="475">
        <v>8896.8986590302538</v>
      </c>
      <c r="BU111" s="475">
        <v>419079.10134096973</v>
      </c>
      <c r="BV111" s="475">
        <v>0</v>
      </c>
      <c r="BW111" s="483">
        <f t="shared" si="72"/>
        <v>0</v>
      </c>
      <c r="BX111" s="483">
        <f t="shared" si="73"/>
        <v>0</v>
      </c>
    </row>
    <row r="112" spans="1:76" s="103" customFormat="1" ht="14.5">
      <c r="A112" s="100" t="s">
        <v>2503</v>
      </c>
      <c r="B112" s="91" t="str">
        <f t="shared" si="37"/>
        <v xml:space="preserve">CI </v>
      </c>
      <c r="C112" s="92" t="s">
        <v>3626</v>
      </c>
      <c r="D112" s="448"/>
      <c r="E112" s="451">
        <v>3201319</v>
      </c>
      <c r="F112" s="409" t="s">
        <v>2936</v>
      </c>
      <c r="G112" s="467" t="s">
        <v>5027</v>
      </c>
      <c r="H112" s="398">
        <v>0.3</v>
      </c>
      <c r="I112" s="151"/>
      <c r="J112" s="95" t="s">
        <v>1166</v>
      </c>
      <c r="K112" s="191">
        <v>138190</v>
      </c>
      <c r="L112" s="269">
        <v>1.0000000074729425</v>
      </c>
      <c r="M112" s="267">
        <v>1</v>
      </c>
      <c r="N112" s="267">
        <f t="shared" si="38"/>
        <v>0</v>
      </c>
      <c r="O112" s="96">
        <f t="shared" si="39"/>
        <v>96732.999690194221</v>
      </c>
      <c r="P112" s="96">
        <f t="shared" si="40"/>
        <v>41457.000309805771</v>
      </c>
      <c r="Q112" s="96">
        <f t="shared" si="41"/>
        <v>0</v>
      </c>
      <c r="R112" s="187" t="s">
        <v>2457</v>
      </c>
      <c r="S112" s="187" t="s">
        <v>3607</v>
      </c>
      <c r="T112" s="94" t="s">
        <v>2859</v>
      </c>
      <c r="U112" s="395">
        <f>COUNTIF(Aggregation_of_rev_to_allocate!$A$3:$A$137,$T112)</f>
        <v>1</v>
      </c>
      <c r="V112" s="100"/>
      <c r="W112" s="100"/>
      <c r="X112" s="109">
        <v>41457</v>
      </c>
      <c r="Y112" s="109">
        <v>0</v>
      </c>
      <c r="Z112" s="110">
        <v>1</v>
      </c>
      <c r="AA112" s="110">
        <v>1</v>
      </c>
      <c r="AB112" s="110">
        <v>0</v>
      </c>
      <c r="AC112" s="109">
        <f>IF(ISERROR((X112*SUMIF('Rev_for_allocation(Hard)'!$A$3:$A$249,$T112,'Rev_for_allocation(Hard)'!$I$3:$I$249)/SUMIF(Historic_capex_list!$T$9:$T$586,$T112,Historic_capex_list!$X$9:$X$586))=TRUE),0,X112*SUMIF('Rev_for_allocation(Hard)'!$A$3:$A$249,$T112,'Rev_for_allocation(Hard)'!$I$3:$I$249)/SUMIF(Historic_capex_list!$T$9:$T$586,$T112,Historic_capex_list!$X$9:$X$586))</f>
        <v>3.0980577849863867E-4</v>
      </c>
      <c r="AD112" s="109">
        <f t="shared" si="42"/>
        <v>41457.000309805779</v>
      </c>
      <c r="AE112" s="109">
        <f t="shared" si="43"/>
        <v>41457.000309805779</v>
      </c>
      <c r="AF112" s="109">
        <f t="shared" si="44"/>
        <v>41457.000309805779</v>
      </c>
      <c r="AG112" s="332" t="str">
        <f t="shared" si="45"/>
        <v>N</v>
      </c>
      <c r="AH112" s="332">
        <f t="shared" si="46"/>
        <v>0</v>
      </c>
      <c r="AI112" s="332">
        <f t="shared" si="47"/>
        <v>0</v>
      </c>
      <c r="AJ112" s="109">
        <f t="shared" si="48"/>
        <v>41457.000309805779</v>
      </c>
      <c r="AK112" s="109">
        <f t="shared" si="49"/>
        <v>0</v>
      </c>
      <c r="AL112" s="109">
        <v>0</v>
      </c>
      <c r="AM112" s="111">
        <f t="shared" si="50"/>
        <v>0</v>
      </c>
      <c r="AN112" s="111">
        <f t="shared" si="51"/>
        <v>0</v>
      </c>
      <c r="AO112" s="111" t="str">
        <f t="shared" si="52"/>
        <v>Use deduct 3yrs</v>
      </c>
      <c r="AP112" s="111">
        <f t="shared" si="53"/>
        <v>0</v>
      </c>
      <c r="AQ112" s="112">
        <f t="shared" si="54"/>
        <v>0</v>
      </c>
      <c r="AR112" s="112">
        <f t="shared" si="55"/>
        <v>1</v>
      </c>
      <c r="AS112" s="113">
        <f t="shared" si="56"/>
        <v>2028</v>
      </c>
      <c r="AT112" s="109">
        <v>41457.000309805779</v>
      </c>
      <c r="AU112" s="114">
        <v>1</v>
      </c>
      <c r="AV112" s="113">
        <v>2028</v>
      </c>
      <c r="AW112" s="112">
        <f t="shared" si="57"/>
        <v>1.0000000074729425</v>
      </c>
      <c r="AX112" s="109">
        <f t="shared" si="58"/>
        <v>41457.000309805771</v>
      </c>
      <c r="AY112" s="109">
        <f t="shared" si="59"/>
        <v>0</v>
      </c>
      <c r="AZ112" s="109">
        <f t="shared" si="60"/>
        <v>41457.000309805771</v>
      </c>
      <c r="BA112" s="111">
        <f t="shared" si="61"/>
        <v>0</v>
      </c>
      <c r="BB112" s="117"/>
      <c r="BC112" s="115" t="str">
        <f t="shared" si="62"/>
        <v>N</v>
      </c>
      <c r="BD112" s="115" t="str">
        <f t="shared" si="63"/>
        <v>Y</v>
      </c>
      <c r="BE112" s="115" t="str">
        <f t="shared" si="64"/>
        <v>N</v>
      </c>
      <c r="BF112" s="109" t="str">
        <f t="shared" si="65"/>
        <v/>
      </c>
      <c r="BG112" s="111" t="s">
        <v>2499</v>
      </c>
      <c r="BH112" s="115" t="s">
        <v>1168</v>
      </c>
      <c r="BI112" s="116"/>
      <c r="BJ112" s="222">
        <v>1.0000000074729425</v>
      </c>
      <c r="BK112" s="265">
        <f t="shared" si="66"/>
        <v>0</v>
      </c>
      <c r="BL112" s="265">
        <f t="shared" si="67"/>
        <v>0</v>
      </c>
      <c r="BM112" s="265">
        <f t="shared" si="68"/>
        <v>7.2759576141834259E-12</v>
      </c>
      <c r="BN112" s="265">
        <f t="shared" si="69"/>
        <v>-3.098057713941671E-4</v>
      </c>
      <c r="BO112" s="109"/>
      <c r="BP112" s="265">
        <f t="shared" si="70"/>
        <v>-3.0980577867012471E-4</v>
      </c>
      <c r="BQ112" s="265">
        <v>-3.0980577867012471E-4</v>
      </c>
      <c r="BR112" s="265" t="e">
        <f t="shared" si="71"/>
        <v>#REF!</v>
      </c>
      <c r="BS112" s="265">
        <v>-3.4902482423445964E-5</v>
      </c>
      <c r="BT112" s="475">
        <v>96732.999690194221</v>
      </c>
      <c r="BU112" s="475">
        <v>41457.000309805771</v>
      </c>
      <c r="BV112" s="475">
        <v>0</v>
      </c>
      <c r="BW112" s="483">
        <f t="shared" si="72"/>
        <v>0</v>
      </c>
      <c r="BX112" s="483">
        <f t="shared" si="73"/>
        <v>0</v>
      </c>
    </row>
    <row r="113" spans="1:76" s="103" customFormat="1" ht="29">
      <c r="A113" s="100" t="s">
        <v>2502</v>
      </c>
      <c r="B113" s="91" t="str">
        <f t="shared" si="37"/>
        <v xml:space="preserve">CI </v>
      </c>
      <c r="C113" s="92" t="s">
        <v>2273</v>
      </c>
      <c r="D113" s="448"/>
      <c r="E113" s="451">
        <v>2130415</v>
      </c>
      <c r="F113" s="409" t="s">
        <v>2527</v>
      </c>
      <c r="G113" s="384" t="s">
        <v>5246</v>
      </c>
      <c r="H113" s="398">
        <v>1</v>
      </c>
      <c r="I113" s="151"/>
      <c r="J113" s="95" t="s">
        <v>1166</v>
      </c>
      <c r="K113" s="191">
        <v>152637.16</v>
      </c>
      <c r="L113" s="269">
        <v>0.97921168790065261</v>
      </c>
      <c r="M113" s="267">
        <v>1</v>
      </c>
      <c r="N113" s="267">
        <f t="shared" si="38"/>
        <v>0</v>
      </c>
      <c r="O113" s="96">
        <f t="shared" si="39"/>
        <v>3173.0689200380243</v>
      </c>
      <c r="P113" s="96">
        <f t="shared" si="40"/>
        <v>149464.09107996197</v>
      </c>
      <c r="Q113" s="96">
        <f t="shared" si="41"/>
        <v>0</v>
      </c>
      <c r="R113" s="187" t="s">
        <v>2455</v>
      </c>
      <c r="S113" s="187" t="s">
        <v>3607</v>
      </c>
      <c r="T113" s="94" t="s">
        <v>2857</v>
      </c>
      <c r="U113" s="395">
        <f>COUNTIF(Aggregation_of_rev_to_allocate!$A$3:$A$137,$T113)</f>
        <v>1</v>
      </c>
      <c r="V113" s="100"/>
      <c r="W113" s="100">
        <v>115</v>
      </c>
      <c r="X113" s="109">
        <v>149464.08934661149</v>
      </c>
      <c r="Y113" s="109">
        <v>0</v>
      </c>
      <c r="Z113" s="110">
        <v>0.97921167654463359</v>
      </c>
      <c r="AA113" s="110">
        <v>1</v>
      </c>
      <c r="AB113" s="110">
        <v>0</v>
      </c>
      <c r="AC113" s="109">
        <f>IF(ISERROR((X113*SUMIF('Rev_for_allocation(Hard)'!$A$3:$A$249,$T113,'Rev_for_allocation(Hard)'!$I$3:$I$249)/SUMIF(Historic_capex_list!$T$9:$T$586,$T113,Historic_capex_list!$X$9:$X$586))=TRUE),0,X113*SUMIF('Rev_for_allocation(Hard)'!$A$3:$A$249,$T113,'Rev_for_allocation(Hard)'!$I$3:$I$249)/SUMIF(Historic_capex_list!$T$9:$T$586,$T113,Historic_capex_list!$X$9:$X$586))</f>
        <v>1.4726346182364677E-3</v>
      </c>
      <c r="AD113" s="109">
        <f t="shared" si="42"/>
        <v>149464.09081924611</v>
      </c>
      <c r="AE113" s="109">
        <f t="shared" si="43"/>
        <v>149464.09081924611</v>
      </c>
      <c r="AF113" s="109">
        <f t="shared" si="44"/>
        <v>149464.09081924611</v>
      </c>
      <c r="AG113" s="332" t="str">
        <f t="shared" si="45"/>
        <v>N</v>
      </c>
      <c r="AH113" s="332">
        <f t="shared" si="46"/>
        <v>0</v>
      </c>
      <c r="AI113" s="332">
        <f t="shared" si="47"/>
        <v>0</v>
      </c>
      <c r="AJ113" s="109">
        <f t="shared" si="48"/>
        <v>149464.09081924611</v>
      </c>
      <c r="AK113" s="109">
        <f t="shared" si="49"/>
        <v>0</v>
      </c>
      <c r="AL113" s="109">
        <v>0</v>
      </c>
      <c r="AM113" s="111">
        <f t="shared" si="50"/>
        <v>0</v>
      </c>
      <c r="AN113" s="111">
        <f t="shared" si="51"/>
        <v>0</v>
      </c>
      <c r="AO113" s="111" t="str">
        <f t="shared" si="52"/>
        <v>Use deduct 3yrs</v>
      </c>
      <c r="AP113" s="111">
        <f t="shared" si="53"/>
        <v>0</v>
      </c>
      <c r="AQ113" s="112">
        <f t="shared" si="54"/>
        <v>0</v>
      </c>
      <c r="AR113" s="112">
        <f t="shared" si="55"/>
        <v>1</v>
      </c>
      <c r="AS113" s="113">
        <f t="shared" si="56"/>
        <v>2028</v>
      </c>
      <c r="AT113" s="109">
        <v>149464.09107996197</v>
      </c>
      <c r="AU113" s="114">
        <v>1</v>
      </c>
      <c r="AV113" s="113">
        <v>2028</v>
      </c>
      <c r="AW113" s="112">
        <f t="shared" si="57"/>
        <v>0.97921168790065261</v>
      </c>
      <c r="AX113" s="109">
        <f t="shared" si="58"/>
        <v>149464.09107996197</v>
      </c>
      <c r="AY113" s="109">
        <f t="shared" si="59"/>
        <v>0</v>
      </c>
      <c r="AZ113" s="109">
        <f t="shared" si="60"/>
        <v>149464.09107996197</v>
      </c>
      <c r="BA113" s="111">
        <f t="shared" si="61"/>
        <v>0</v>
      </c>
      <c r="BB113" s="117"/>
      <c r="BC113" s="115" t="str">
        <f t="shared" si="62"/>
        <v>N</v>
      </c>
      <c r="BD113" s="115" t="str">
        <f t="shared" si="63"/>
        <v>Y</v>
      </c>
      <c r="BE113" s="115" t="str">
        <f t="shared" si="64"/>
        <v>N</v>
      </c>
      <c r="BF113" s="109" t="str">
        <f t="shared" si="65"/>
        <v/>
      </c>
      <c r="BG113" s="111" t="s">
        <v>2499</v>
      </c>
      <c r="BH113" s="115" t="s">
        <v>1168</v>
      </c>
      <c r="BI113" s="116"/>
      <c r="BJ113" s="222">
        <v>0.97921168790065261</v>
      </c>
      <c r="BK113" s="265">
        <f t="shared" si="66"/>
        <v>0</v>
      </c>
      <c r="BL113" s="265">
        <f t="shared" si="67"/>
        <v>0</v>
      </c>
      <c r="BM113" s="265">
        <f t="shared" si="68"/>
        <v>0</v>
      </c>
      <c r="BN113" s="265">
        <f t="shared" si="69"/>
        <v>-1.7333504802081734E-3</v>
      </c>
      <c r="BO113" s="109"/>
      <c r="BP113" s="265">
        <f t="shared" si="70"/>
        <v>-1.7333504802081734E-3</v>
      </c>
      <c r="BQ113" s="265">
        <v>-1.7333504802081734E-3</v>
      </c>
      <c r="BR113" s="265" t="e">
        <f t="shared" si="71"/>
        <v>#REF!</v>
      </c>
      <c r="BS113" s="265">
        <v>-1.9527794132450564E-4</v>
      </c>
      <c r="BT113" s="475">
        <v>3173.0689200380243</v>
      </c>
      <c r="BU113" s="475">
        <v>149464.09107996197</v>
      </c>
      <c r="BV113" s="475">
        <v>0</v>
      </c>
      <c r="BW113" s="483">
        <f t="shared" si="72"/>
        <v>0</v>
      </c>
      <c r="BX113" s="483">
        <f t="shared" si="73"/>
        <v>0</v>
      </c>
    </row>
    <row r="114" spans="1:76" s="103" customFormat="1" ht="29">
      <c r="A114" s="100" t="s">
        <v>2502</v>
      </c>
      <c r="B114" s="91" t="str">
        <f t="shared" si="37"/>
        <v xml:space="preserve">CI </v>
      </c>
      <c r="C114" s="92" t="s">
        <v>463</v>
      </c>
      <c r="D114" s="448"/>
      <c r="E114" s="449" t="s">
        <v>2041</v>
      </c>
      <c r="F114" s="467" t="s">
        <v>4895</v>
      </c>
      <c r="G114" s="384" t="s">
        <v>5246</v>
      </c>
      <c r="H114" s="470">
        <v>1</v>
      </c>
      <c r="I114" s="95" t="s">
        <v>962</v>
      </c>
      <c r="J114" s="95" t="s">
        <v>1166</v>
      </c>
      <c r="K114" s="469">
        <v>186000</v>
      </c>
      <c r="L114" s="471">
        <v>0.33949462365591404</v>
      </c>
      <c r="M114" s="266">
        <v>1</v>
      </c>
      <c r="N114" s="267">
        <f t="shared" si="38"/>
        <v>0</v>
      </c>
      <c r="O114" s="96">
        <f t="shared" si="39"/>
        <v>122854</v>
      </c>
      <c r="P114" s="96">
        <f t="shared" si="40"/>
        <v>63146.000000000015</v>
      </c>
      <c r="Q114" s="96">
        <f t="shared" si="41"/>
        <v>0</v>
      </c>
      <c r="R114" s="187" t="s">
        <v>2455</v>
      </c>
      <c r="S114" s="187" t="s">
        <v>3607</v>
      </c>
      <c r="T114" s="94" t="s">
        <v>2857</v>
      </c>
      <c r="U114" s="395">
        <f>COUNTIF(Aggregation_of_rev_to_allocate!$A$3:$A$137,$T114)</f>
        <v>1</v>
      </c>
      <c r="V114" s="100"/>
      <c r="W114" s="100">
        <v>116</v>
      </c>
      <c r="X114" s="109">
        <v>63146.283497951423</v>
      </c>
      <c r="Y114" s="109">
        <v>0</v>
      </c>
      <c r="Z114" s="110">
        <v>0.55954952945407632</v>
      </c>
      <c r="AA114" s="110">
        <v>1</v>
      </c>
      <c r="AB114" s="110">
        <v>0</v>
      </c>
      <c r="AC114" s="109">
        <f>IF(ISERROR((X114*SUMIF('Rev_for_allocation(Hard)'!$A$3:$A$249,$T114,'Rev_for_allocation(Hard)'!$I$3:$I$249)/SUMIF(Historic_capex_list!$T$9:$T$586,$T114,Historic_capex_list!$X$9:$X$586))=TRUE),0,X114*SUMIF('Rev_for_allocation(Hard)'!$A$3:$A$249,$T114,'Rev_for_allocation(Hard)'!$I$3:$I$249)/SUMIF(Historic_capex_list!$T$9:$T$586,$T114,Historic_capex_list!$X$9:$X$586))</f>
        <v>6.2216552148795909E-4</v>
      </c>
      <c r="AD114" s="109">
        <f t="shared" si="42"/>
        <v>63146.284120116943</v>
      </c>
      <c r="AE114" s="109">
        <f t="shared" si="43"/>
        <v>63146.284120116943</v>
      </c>
      <c r="AF114" s="109">
        <f t="shared" si="44"/>
        <v>63146.284120116943</v>
      </c>
      <c r="AG114" s="332" t="str">
        <f t="shared" si="45"/>
        <v>N</v>
      </c>
      <c r="AH114" s="332">
        <f t="shared" si="46"/>
        <v>0</v>
      </c>
      <c r="AI114" s="332">
        <f t="shared" si="47"/>
        <v>0</v>
      </c>
      <c r="AJ114" s="109">
        <f t="shared" si="48"/>
        <v>63146.284120116943</v>
      </c>
      <c r="AK114" s="109">
        <f t="shared" si="49"/>
        <v>0</v>
      </c>
      <c r="AL114" s="109">
        <v>0</v>
      </c>
      <c r="AM114" s="111">
        <f t="shared" si="50"/>
        <v>0</v>
      </c>
      <c r="AN114" s="111">
        <f t="shared" si="51"/>
        <v>0</v>
      </c>
      <c r="AO114" s="111" t="str">
        <f t="shared" si="52"/>
        <v>Use deduct 3yrs</v>
      </c>
      <c r="AP114" s="111">
        <f t="shared" si="53"/>
        <v>0</v>
      </c>
      <c r="AQ114" s="112">
        <f t="shared" si="54"/>
        <v>0</v>
      </c>
      <c r="AR114" s="112">
        <f t="shared" si="55"/>
        <v>1</v>
      </c>
      <c r="AS114" s="113">
        <f t="shared" si="56"/>
        <v>2028</v>
      </c>
      <c r="AT114" s="109">
        <v>63146.284230265395</v>
      </c>
      <c r="AU114" s="114">
        <v>1</v>
      </c>
      <c r="AV114" s="113">
        <v>2028</v>
      </c>
      <c r="AW114" s="112">
        <f t="shared" si="57"/>
        <v>0.33949615177562043</v>
      </c>
      <c r="AX114" s="109">
        <f t="shared" si="58"/>
        <v>63146.284230265403</v>
      </c>
      <c r="AY114" s="109">
        <f t="shared" si="59"/>
        <v>0</v>
      </c>
      <c r="AZ114" s="109">
        <f t="shared" si="60"/>
        <v>63146.284230265403</v>
      </c>
      <c r="BA114" s="111">
        <f t="shared" si="61"/>
        <v>0</v>
      </c>
      <c r="BB114" s="117"/>
      <c r="BC114" s="115" t="str">
        <f t="shared" si="62"/>
        <v>N</v>
      </c>
      <c r="BD114" s="115" t="str">
        <f t="shared" si="63"/>
        <v>Y</v>
      </c>
      <c r="BE114" s="115" t="str">
        <f t="shared" si="64"/>
        <v>N</v>
      </c>
      <c r="BF114" s="109" t="str">
        <f t="shared" si="65"/>
        <v/>
      </c>
      <c r="BG114" s="111" t="s">
        <v>2499</v>
      </c>
      <c r="BH114" s="115" t="s">
        <v>1168</v>
      </c>
      <c r="BI114" s="116"/>
      <c r="BJ114" s="222">
        <v>0.55954953594322998</v>
      </c>
      <c r="BK114" s="265">
        <f t="shared" si="66"/>
        <v>0</v>
      </c>
      <c r="BL114" s="265">
        <f t="shared" si="67"/>
        <v>0</v>
      </c>
      <c r="BM114" s="265">
        <f t="shared" si="68"/>
        <v>-1.4551915228366852E-11</v>
      </c>
      <c r="BN114" s="265">
        <f t="shared" si="69"/>
        <v>0.28349795140820788</v>
      </c>
      <c r="BO114" s="109"/>
      <c r="BP114" s="265">
        <f t="shared" si="70"/>
        <v>-7.3231397254858166E-4</v>
      </c>
      <c r="BQ114" s="265">
        <v>-7.3231397254858166E-4</v>
      </c>
      <c r="BR114" s="265" t="e">
        <f t="shared" si="71"/>
        <v>#REF!</v>
      </c>
      <c r="BS114" s="265">
        <v>-8.2501932872388781E-5</v>
      </c>
      <c r="BT114" s="475">
        <v>49705.715769734612</v>
      </c>
      <c r="BU114" s="475">
        <v>63146.284230265388</v>
      </c>
      <c r="BV114" s="475">
        <v>0</v>
      </c>
      <c r="BW114" s="483">
        <f t="shared" si="72"/>
        <v>-0.28423026537348051</v>
      </c>
      <c r="BX114" s="483">
        <f t="shared" si="73"/>
        <v>0</v>
      </c>
    </row>
    <row r="115" spans="1:76" s="103" customFormat="1" ht="29">
      <c r="A115" s="100" t="s">
        <v>2502</v>
      </c>
      <c r="B115" s="91" t="str">
        <f t="shared" si="37"/>
        <v xml:space="preserve">CI </v>
      </c>
      <c r="C115" s="92" t="s">
        <v>463</v>
      </c>
      <c r="D115" s="448"/>
      <c r="E115" s="453">
        <v>40473</v>
      </c>
      <c r="F115" s="467" t="s">
        <v>4940</v>
      </c>
      <c r="G115" s="384" t="s">
        <v>5246</v>
      </c>
      <c r="H115" s="398">
        <v>1</v>
      </c>
      <c r="I115" s="95" t="s">
        <v>952</v>
      </c>
      <c r="J115" s="95" t="s">
        <v>1166</v>
      </c>
      <c r="K115" s="191">
        <v>393762.61</v>
      </c>
      <c r="L115" s="268">
        <v>0.33461389074391507</v>
      </c>
      <c r="M115" s="266">
        <v>1</v>
      </c>
      <c r="N115" s="267">
        <f t="shared" si="38"/>
        <v>0</v>
      </c>
      <c r="O115" s="96">
        <f t="shared" si="39"/>
        <v>262004.17103842113</v>
      </c>
      <c r="P115" s="96">
        <f t="shared" si="40"/>
        <v>131758.43896157882</v>
      </c>
      <c r="Q115" s="96">
        <f t="shared" si="41"/>
        <v>0</v>
      </c>
      <c r="R115" s="187" t="s">
        <v>2454</v>
      </c>
      <c r="S115" s="187" t="s">
        <v>3607</v>
      </c>
      <c r="T115" s="94" t="s">
        <v>2856</v>
      </c>
      <c r="U115" s="395">
        <f>COUNTIF(Aggregation_of_rev_to_allocate!$A$3:$A$137,$T115)</f>
        <v>1</v>
      </c>
      <c r="V115" s="100"/>
      <c r="W115" s="100">
        <v>75</v>
      </c>
      <c r="X115" s="109">
        <v>189598.96337694296</v>
      </c>
      <c r="Y115" s="109">
        <v>74875.522825131717</v>
      </c>
      <c r="Z115" s="110">
        <v>0.67165972462970691</v>
      </c>
      <c r="AA115" s="110">
        <v>0.71688942891859053</v>
      </c>
      <c r="AB115" s="110">
        <v>0.28311057108140947</v>
      </c>
      <c r="AC115" s="109">
        <f>IF(ISERROR((X115*SUMIF('Rev_for_allocation(Hard)'!$A$3:$A$249,$T115,'Rev_for_allocation(Hard)'!$I$3:$I$249)/SUMIF(Historic_capex_list!$T$9:$T$586,$T115,Historic_capex_list!$X$9:$X$586))=TRUE),0,X115*SUMIF('Rev_for_allocation(Hard)'!$A$3:$A$249,$T115,'Rev_for_allocation(Hard)'!$I$3:$I$249)/SUMIF(Historic_capex_list!$T$9:$T$586,$T115,Historic_capex_list!$X$9:$X$586))</f>
        <v>-132716.04724049586</v>
      </c>
      <c r="AD115" s="109">
        <f t="shared" si="42"/>
        <v>56882.916136447107</v>
      </c>
      <c r="AE115" s="109">
        <f t="shared" si="43"/>
        <v>56882.916136447107</v>
      </c>
      <c r="AF115" s="109">
        <f t="shared" si="44"/>
        <v>131758.43896157882</v>
      </c>
      <c r="AG115" s="332" t="str">
        <f t="shared" si="45"/>
        <v>N</v>
      </c>
      <c r="AH115" s="332">
        <f t="shared" si="46"/>
        <v>0</v>
      </c>
      <c r="AI115" s="332">
        <f t="shared" si="47"/>
        <v>0</v>
      </c>
      <c r="AJ115" s="109">
        <f t="shared" si="48"/>
        <v>131758.43896157882</v>
      </c>
      <c r="AK115" s="109">
        <f t="shared" si="49"/>
        <v>0</v>
      </c>
      <c r="AL115" s="109">
        <v>0</v>
      </c>
      <c r="AM115" s="111">
        <f t="shared" si="50"/>
        <v>3.9491525423728815</v>
      </c>
      <c r="AN115" s="111">
        <f t="shared" si="51"/>
        <v>0.94915254237288149</v>
      </c>
      <c r="AO115" s="111">
        <f t="shared" si="52"/>
        <v>-0.10138116437724361</v>
      </c>
      <c r="AP115" s="111">
        <f t="shared" si="53"/>
        <v>0</v>
      </c>
      <c r="AQ115" s="112">
        <f t="shared" si="54"/>
        <v>0</v>
      </c>
      <c r="AR115" s="112">
        <f t="shared" si="55"/>
        <v>1</v>
      </c>
      <c r="AS115" s="113">
        <f t="shared" si="56"/>
        <v>2028</v>
      </c>
      <c r="AT115" s="109">
        <v>131758.43896157882</v>
      </c>
      <c r="AU115" s="114">
        <v>1</v>
      </c>
      <c r="AV115" s="113">
        <v>2028</v>
      </c>
      <c r="AW115" s="112">
        <f t="shared" si="57"/>
        <v>0.33461389074391507</v>
      </c>
      <c r="AX115" s="109">
        <f t="shared" si="58"/>
        <v>131758.43896157882</v>
      </c>
      <c r="AY115" s="109">
        <f t="shared" si="59"/>
        <v>0</v>
      </c>
      <c r="AZ115" s="109">
        <f t="shared" si="60"/>
        <v>131758.43896157882</v>
      </c>
      <c r="BA115" s="111">
        <f t="shared" si="61"/>
        <v>0</v>
      </c>
      <c r="BB115" s="117"/>
      <c r="BC115" s="115" t="str">
        <f t="shared" si="62"/>
        <v>N</v>
      </c>
      <c r="BD115" s="115" t="str">
        <f t="shared" si="63"/>
        <v>Y</v>
      </c>
      <c r="BE115" s="115" t="str">
        <f t="shared" si="64"/>
        <v>N</v>
      </c>
      <c r="BF115" s="109" t="str">
        <f t="shared" si="65"/>
        <v/>
      </c>
      <c r="BG115" s="111" t="s">
        <v>2499</v>
      </c>
      <c r="BH115" s="115" t="s">
        <v>1168</v>
      </c>
      <c r="BI115" s="116"/>
      <c r="BJ115" s="222">
        <v>0.33461389074391507</v>
      </c>
      <c r="BK115" s="265">
        <f t="shared" si="66"/>
        <v>0</v>
      </c>
      <c r="BL115" s="265">
        <f t="shared" si="67"/>
        <v>0</v>
      </c>
      <c r="BM115" s="265">
        <f t="shared" si="68"/>
        <v>2.9103830456733704E-11</v>
      </c>
      <c r="BN115" s="265">
        <f t="shared" si="69"/>
        <v>57840.52441536414</v>
      </c>
      <c r="BO115" s="109"/>
      <c r="BP115" s="265">
        <f t="shared" si="70"/>
        <v>132716.04724049586</v>
      </c>
      <c r="BQ115" s="265">
        <v>132716.04724049586</v>
      </c>
      <c r="BR115" s="265" t="e">
        <f t="shared" si="71"/>
        <v>#REF!</v>
      </c>
      <c r="BS115" s="265">
        <v>14951.688525645042</v>
      </c>
      <c r="BT115" s="475">
        <v>262004.17103842113</v>
      </c>
      <c r="BU115" s="475">
        <v>131758.43896157882</v>
      </c>
      <c r="BV115" s="475">
        <v>0</v>
      </c>
      <c r="BW115" s="483">
        <f t="shared" si="72"/>
        <v>0</v>
      </c>
      <c r="BX115" s="483">
        <f t="shared" si="73"/>
        <v>0</v>
      </c>
    </row>
    <row r="116" spans="1:76" s="103" customFormat="1" ht="29">
      <c r="A116" s="100" t="s">
        <v>2502</v>
      </c>
      <c r="B116" s="91" t="str">
        <f t="shared" si="37"/>
        <v xml:space="preserve">CI </v>
      </c>
      <c r="C116" s="92" t="s">
        <v>463</v>
      </c>
      <c r="D116" s="448"/>
      <c r="E116" s="449" t="s">
        <v>2040</v>
      </c>
      <c r="F116" s="467" t="s">
        <v>4896</v>
      </c>
      <c r="G116" s="384" t="s">
        <v>5246</v>
      </c>
      <c r="H116" s="470">
        <v>1</v>
      </c>
      <c r="I116" s="95" t="s">
        <v>962</v>
      </c>
      <c r="J116" s="95" t="s">
        <v>1166</v>
      </c>
      <c r="K116" s="469">
        <v>152280</v>
      </c>
      <c r="L116" s="471">
        <v>0.90408458103493561</v>
      </c>
      <c r="M116" s="266">
        <v>1</v>
      </c>
      <c r="N116" s="267">
        <f t="shared" si="38"/>
        <v>0</v>
      </c>
      <c r="O116" s="96">
        <f t="shared" si="39"/>
        <v>14606.000000000005</v>
      </c>
      <c r="P116" s="96">
        <f t="shared" si="40"/>
        <v>137674</v>
      </c>
      <c r="Q116" s="96">
        <f t="shared" si="41"/>
        <v>0</v>
      </c>
      <c r="R116" s="187" t="s">
        <v>2455</v>
      </c>
      <c r="S116" s="187" t="s">
        <v>3607</v>
      </c>
      <c r="T116" s="94" t="s">
        <v>2857</v>
      </c>
      <c r="U116" s="395">
        <f>COUNTIF(Aggregation_of_rev_to_allocate!$A$3:$A$137,$T116)</f>
        <v>1</v>
      </c>
      <c r="V116" s="100"/>
      <c r="W116" s="100">
        <v>117</v>
      </c>
      <c r="X116" s="109">
        <v>137673.80442499876</v>
      </c>
      <c r="Y116" s="109">
        <v>0</v>
      </c>
      <c r="Z116" s="110">
        <v>0.55954952945407632</v>
      </c>
      <c r="AA116" s="110">
        <v>1</v>
      </c>
      <c r="AB116" s="110">
        <v>0</v>
      </c>
      <c r="AC116" s="109">
        <f>IF(ISERROR((X116*SUMIF('Rev_for_allocation(Hard)'!$A$3:$A$249,$T116,'Rev_for_allocation(Hard)'!$I$3:$I$249)/SUMIF(Historic_capex_list!$T$9:$T$586,$T116,Historic_capex_list!$X$9:$X$586))=TRUE),0,X116*SUMIF('Rev_for_allocation(Hard)'!$A$3:$A$249,$T116,'Rev_for_allocation(Hard)'!$I$3:$I$249)/SUMIF(Historic_capex_list!$T$9:$T$586,$T116,Historic_capex_list!$X$9:$X$586))</f>
        <v>1.3564677061016501E-3</v>
      </c>
      <c r="AD116" s="109">
        <f t="shared" si="42"/>
        <v>137673.80578146645</v>
      </c>
      <c r="AE116" s="109">
        <f t="shared" si="43"/>
        <v>137673.80578146645</v>
      </c>
      <c r="AF116" s="109">
        <f t="shared" si="44"/>
        <v>137673.80578146645</v>
      </c>
      <c r="AG116" s="332" t="str">
        <f t="shared" si="45"/>
        <v>N</v>
      </c>
      <c r="AH116" s="332">
        <f t="shared" si="46"/>
        <v>0</v>
      </c>
      <c r="AI116" s="332">
        <f t="shared" si="47"/>
        <v>0</v>
      </c>
      <c r="AJ116" s="109">
        <f t="shared" si="48"/>
        <v>137673.80578146645</v>
      </c>
      <c r="AK116" s="109">
        <f t="shared" si="49"/>
        <v>0</v>
      </c>
      <c r="AL116" s="109">
        <v>0</v>
      </c>
      <c r="AM116" s="111">
        <f t="shared" si="50"/>
        <v>0</v>
      </c>
      <c r="AN116" s="111">
        <f t="shared" si="51"/>
        <v>0</v>
      </c>
      <c r="AO116" s="111" t="str">
        <f t="shared" si="52"/>
        <v>Use deduct 3yrs</v>
      </c>
      <c r="AP116" s="111">
        <f t="shared" si="53"/>
        <v>0</v>
      </c>
      <c r="AQ116" s="112">
        <f t="shared" si="54"/>
        <v>0</v>
      </c>
      <c r="AR116" s="112">
        <f t="shared" si="55"/>
        <v>1</v>
      </c>
      <c r="AS116" s="113">
        <f t="shared" si="56"/>
        <v>2028</v>
      </c>
      <c r="AT116" s="109">
        <v>137673.8060216161</v>
      </c>
      <c r="AU116" s="114">
        <v>1</v>
      </c>
      <c r="AV116" s="113">
        <v>2028</v>
      </c>
      <c r="AW116" s="112">
        <f t="shared" si="57"/>
        <v>0.90408330720788088</v>
      </c>
      <c r="AX116" s="109">
        <f t="shared" si="58"/>
        <v>137673.8060216161</v>
      </c>
      <c r="AY116" s="109">
        <f t="shared" si="59"/>
        <v>0</v>
      </c>
      <c r="AZ116" s="109">
        <f t="shared" si="60"/>
        <v>137673.8060216161</v>
      </c>
      <c r="BA116" s="111">
        <f t="shared" si="61"/>
        <v>0</v>
      </c>
      <c r="BB116" s="117"/>
      <c r="BC116" s="115" t="str">
        <f t="shared" si="62"/>
        <v>N</v>
      </c>
      <c r="BD116" s="115" t="str">
        <f t="shared" si="63"/>
        <v>Y</v>
      </c>
      <c r="BE116" s="115" t="str">
        <f t="shared" si="64"/>
        <v>N</v>
      </c>
      <c r="BF116" s="109" t="str">
        <f t="shared" si="65"/>
        <v/>
      </c>
      <c r="BG116" s="111" t="s">
        <v>2499</v>
      </c>
      <c r="BH116" s="115" t="s">
        <v>1168</v>
      </c>
      <c r="BI116" s="116"/>
      <c r="BJ116" s="222">
        <v>0.55954953594323009</v>
      </c>
      <c r="BK116" s="265">
        <f t="shared" si="66"/>
        <v>0</v>
      </c>
      <c r="BL116" s="265">
        <f t="shared" si="67"/>
        <v>0</v>
      </c>
      <c r="BM116" s="265">
        <f t="shared" si="68"/>
        <v>0</v>
      </c>
      <c r="BN116" s="265">
        <f t="shared" si="69"/>
        <v>-0.19557500124210492</v>
      </c>
      <c r="BO116" s="109"/>
      <c r="BP116" s="265">
        <f t="shared" si="70"/>
        <v>-1.5966173377819359E-3</v>
      </c>
      <c r="BQ116" s="265">
        <v>-1.5966173377819359E-3</v>
      </c>
      <c r="BR116" s="265" t="e">
        <f t="shared" si="71"/>
        <v>#REF!</v>
      </c>
      <c r="BS116" s="265">
        <v>-1.798736899231276E-4</v>
      </c>
      <c r="BT116" s="475">
        <v>108370.19397838389</v>
      </c>
      <c r="BU116" s="475">
        <v>137673.8060216161</v>
      </c>
      <c r="BV116" s="475">
        <v>0</v>
      </c>
      <c r="BW116" s="483">
        <f t="shared" si="72"/>
        <v>0.19397838390432298</v>
      </c>
      <c r="BX116" s="483">
        <f t="shared" si="73"/>
        <v>0</v>
      </c>
    </row>
    <row r="117" spans="1:76" s="103" customFormat="1" ht="29">
      <c r="A117" s="100" t="s">
        <v>2502</v>
      </c>
      <c r="B117" s="91" t="str">
        <f t="shared" si="37"/>
        <v xml:space="preserve">CI </v>
      </c>
      <c r="C117" s="92" t="s">
        <v>2273</v>
      </c>
      <c r="D117" s="448"/>
      <c r="E117" s="451">
        <v>2130467</v>
      </c>
      <c r="F117" s="409" t="s">
        <v>2537</v>
      </c>
      <c r="G117" s="384" t="s">
        <v>5246</v>
      </c>
      <c r="H117" s="398">
        <v>1</v>
      </c>
      <c r="I117" s="151"/>
      <c r="J117" s="95" t="s">
        <v>1166</v>
      </c>
      <c r="K117" s="191">
        <v>129531.25</v>
      </c>
      <c r="L117" s="269">
        <v>0.97921168790065261</v>
      </c>
      <c r="M117" s="267">
        <v>1</v>
      </c>
      <c r="N117" s="267">
        <f t="shared" si="38"/>
        <v>0</v>
      </c>
      <c r="O117" s="96">
        <f t="shared" si="39"/>
        <v>2692.7360516185922</v>
      </c>
      <c r="P117" s="96">
        <f t="shared" si="40"/>
        <v>126838.51394838141</v>
      </c>
      <c r="Q117" s="96">
        <f t="shared" si="41"/>
        <v>0</v>
      </c>
      <c r="R117" s="187" t="s">
        <v>2455</v>
      </c>
      <c r="S117" s="187" t="s">
        <v>3607</v>
      </c>
      <c r="T117" s="94" t="s">
        <v>2857</v>
      </c>
      <c r="U117" s="395">
        <f>COUNTIF(Aggregation_of_rev_to_allocate!$A$3:$A$137,$T117)</f>
        <v>1</v>
      </c>
      <c r="V117" s="100"/>
      <c r="W117" s="100">
        <v>118</v>
      </c>
      <c r="X117" s="109">
        <v>126838.51247742207</v>
      </c>
      <c r="Y117" s="109">
        <v>0</v>
      </c>
      <c r="Z117" s="110">
        <v>0.97921167654463359</v>
      </c>
      <c r="AA117" s="110">
        <v>1</v>
      </c>
      <c r="AB117" s="110">
        <v>0</v>
      </c>
      <c r="AC117" s="109">
        <f>IF(ISERROR((X117*SUMIF('Rev_for_allocation(Hard)'!$A$3:$A$249,$T117,'Rev_for_allocation(Hard)'!$I$3:$I$249)/SUMIF(Historic_capex_list!$T$9:$T$586,$T117,Historic_capex_list!$X$9:$X$586))=TRUE),0,X117*SUMIF('Rev_for_allocation(Hard)'!$A$3:$A$249,$T117,'Rev_for_allocation(Hard)'!$I$3:$I$249)/SUMIF(Historic_capex_list!$T$9:$T$586,$T117,Historic_capex_list!$X$9:$X$586))</f>
        <v>1.2497101157637003E-3</v>
      </c>
      <c r="AD117" s="109">
        <f t="shared" si="42"/>
        <v>126838.51372713219</v>
      </c>
      <c r="AE117" s="109">
        <f t="shared" si="43"/>
        <v>126838.51372713219</v>
      </c>
      <c r="AF117" s="109">
        <f t="shared" si="44"/>
        <v>126838.51372713219</v>
      </c>
      <c r="AG117" s="332" t="str">
        <f t="shared" si="45"/>
        <v>N</v>
      </c>
      <c r="AH117" s="332">
        <f t="shared" si="46"/>
        <v>0</v>
      </c>
      <c r="AI117" s="332">
        <f t="shared" si="47"/>
        <v>0</v>
      </c>
      <c r="AJ117" s="109">
        <f t="shared" si="48"/>
        <v>126838.51372713219</v>
      </c>
      <c r="AK117" s="109">
        <f t="shared" si="49"/>
        <v>0</v>
      </c>
      <c r="AL117" s="109">
        <v>0</v>
      </c>
      <c r="AM117" s="111">
        <f t="shared" si="50"/>
        <v>0</v>
      </c>
      <c r="AN117" s="111">
        <f t="shared" si="51"/>
        <v>0</v>
      </c>
      <c r="AO117" s="111" t="str">
        <f t="shared" si="52"/>
        <v>Use deduct 3yrs</v>
      </c>
      <c r="AP117" s="111">
        <f t="shared" si="53"/>
        <v>0</v>
      </c>
      <c r="AQ117" s="112">
        <f t="shared" si="54"/>
        <v>0</v>
      </c>
      <c r="AR117" s="112">
        <f t="shared" si="55"/>
        <v>1</v>
      </c>
      <c r="AS117" s="113">
        <f t="shared" si="56"/>
        <v>2028</v>
      </c>
      <c r="AT117" s="109">
        <v>126838.51394838141</v>
      </c>
      <c r="AU117" s="114">
        <v>1</v>
      </c>
      <c r="AV117" s="113">
        <v>2028</v>
      </c>
      <c r="AW117" s="112">
        <f t="shared" si="57"/>
        <v>0.97921168790065261</v>
      </c>
      <c r="AX117" s="109">
        <f t="shared" si="58"/>
        <v>126838.51394838141</v>
      </c>
      <c r="AY117" s="109">
        <f t="shared" si="59"/>
        <v>0</v>
      </c>
      <c r="AZ117" s="109">
        <f t="shared" si="60"/>
        <v>126838.51394838141</v>
      </c>
      <c r="BA117" s="111">
        <f t="shared" si="61"/>
        <v>0</v>
      </c>
      <c r="BB117" s="117"/>
      <c r="BC117" s="115" t="str">
        <f t="shared" si="62"/>
        <v>N</v>
      </c>
      <c r="BD117" s="115" t="str">
        <f t="shared" si="63"/>
        <v>Y</v>
      </c>
      <c r="BE117" s="115" t="str">
        <f t="shared" si="64"/>
        <v>N</v>
      </c>
      <c r="BF117" s="109" t="str">
        <f t="shared" si="65"/>
        <v/>
      </c>
      <c r="BG117" s="111" t="s">
        <v>2499</v>
      </c>
      <c r="BH117" s="115" t="s">
        <v>1168</v>
      </c>
      <c r="BI117" s="116"/>
      <c r="BJ117" s="222">
        <v>0.97921168790065261</v>
      </c>
      <c r="BK117" s="265">
        <f t="shared" si="66"/>
        <v>0</v>
      </c>
      <c r="BL117" s="265">
        <f t="shared" si="67"/>
        <v>0</v>
      </c>
      <c r="BM117" s="265">
        <f t="shared" si="68"/>
        <v>0</v>
      </c>
      <c r="BN117" s="265">
        <f t="shared" si="69"/>
        <v>-1.4709593378938735E-3</v>
      </c>
      <c r="BO117" s="109"/>
      <c r="BP117" s="265">
        <f t="shared" si="70"/>
        <v>-1.4709593378938735E-3</v>
      </c>
      <c r="BQ117" s="265">
        <v>-1.4709593378938735E-3</v>
      </c>
      <c r="BR117" s="265" t="e">
        <f t="shared" si="71"/>
        <v>#REF!</v>
      </c>
      <c r="BS117" s="265">
        <v>-1.6571715562191185E-4</v>
      </c>
      <c r="BT117" s="475">
        <v>2692.7360516185922</v>
      </c>
      <c r="BU117" s="475">
        <v>126838.51394838141</v>
      </c>
      <c r="BV117" s="475">
        <v>0</v>
      </c>
      <c r="BW117" s="483">
        <f t="shared" si="72"/>
        <v>0</v>
      </c>
      <c r="BX117" s="483">
        <f t="shared" si="73"/>
        <v>0</v>
      </c>
    </row>
    <row r="118" spans="1:76" s="103" customFormat="1" ht="29">
      <c r="A118" s="100" t="s">
        <v>2502</v>
      </c>
      <c r="B118" s="91" t="str">
        <f t="shared" si="37"/>
        <v xml:space="preserve">CI </v>
      </c>
      <c r="C118" s="92" t="s">
        <v>463</v>
      </c>
      <c r="D118" s="448"/>
      <c r="E118" s="449" t="s">
        <v>2042</v>
      </c>
      <c r="F118" s="467" t="s">
        <v>4897</v>
      </c>
      <c r="G118" s="384" t="s">
        <v>5246</v>
      </c>
      <c r="H118" s="470">
        <v>1</v>
      </c>
      <c r="I118" s="95" t="s">
        <v>962</v>
      </c>
      <c r="J118" s="95" t="s">
        <v>1166</v>
      </c>
      <c r="K118" s="469">
        <v>314000</v>
      </c>
      <c r="L118" s="471">
        <v>0.13566560509554138</v>
      </c>
      <c r="M118" s="266">
        <v>1</v>
      </c>
      <c r="N118" s="267">
        <f t="shared" si="38"/>
        <v>0</v>
      </c>
      <c r="O118" s="96">
        <f t="shared" si="39"/>
        <v>271401</v>
      </c>
      <c r="P118" s="96">
        <f t="shared" si="40"/>
        <v>42598.999999999993</v>
      </c>
      <c r="Q118" s="96">
        <f t="shared" si="41"/>
        <v>0</v>
      </c>
      <c r="R118" s="187" t="s">
        <v>2455</v>
      </c>
      <c r="S118" s="187" t="s">
        <v>3607</v>
      </c>
      <c r="T118" s="94" t="s">
        <v>2857</v>
      </c>
      <c r="U118" s="395">
        <f>COUNTIF(Aggregation_of_rev_to_allocate!$A$3:$A$137,$T118)</f>
        <v>1</v>
      </c>
      <c r="V118" s="100"/>
      <c r="W118" s="100">
        <v>119</v>
      </c>
      <c r="X118" s="109">
        <v>42598.561508221967</v>
      </c>
      <c r="Y118" s="109">
        <v>0</v>
      </c>
      <c r="Z118" s="110">
        <v>0.75246522836539897</v>
      </c>
      <c r="AA118" s="110">
        <v>1</v>
      </c>
      <c r="AB118" s="110">
        <v>0</v>
      </c>
      <c r="AC118" s="109">
        <f>IF(ISERROR((X118*SUMIF('Rev_for_allocation(Hard)'!$A$3:$A$249,$T118,'Rev_for_allocation(Hard)'!$I$3:$I$249)/SUMIF(Historic_capex_list!$T$9:$T$586,$T118,Historic_capex_list!$X$9:$X$586))=TRUE),0,X118*SUMIF('Rev_for_allocation(Hard)'!$A$3:$A$249,$T118,'Rev_for_allocation(Hard)'!$I$3:$I$249)/SUMIF(Historic_capex_list!$T$9:$T$586,$T118,Historic_capex_list!$X$9:$X$586))</f>
        <v>4.1971363581927407E-4</v>
      </c>
      <c r="AD118" s="109">
        <f t="shared" si="42"/>
        <v>42598.561927935603</v>
      </c>
      <c r="AE118" s="109">
        <f t="shared" si="43"/>
        <v>42598.561927935603</v>
      </c>
      <c r="AF118" s="109">
        <f t="shared" si="44"/>
        <v>42598.561927935603</v>
      </c>
      <c r="AG118" s="332" t="str">
        <f t="shared" si="45"/>
        <v>N</v>
      </c>
      <c r="AH118" s="332">
        <f t="shared" si="46"/>
        <v>0</v>
      </c>
      <c r="AI118" s="332">
        <f t="shared" si="47"/>
        <v>0</v>
      </c>
      <c r="AJ118" s="109">
        <f t="shared" si="48"/>
        <v>42598.561927935603</v>
      </c>
      <c r="AK118" s="109">
        <f t="shared" si="49"/>
        <v>0</v>
      </c>
      <c r="AL118" s="109">
        <v>0</v>
      </c>
      <c r="AM118" s="111">
        <f t="shared" si="50"/>
        <v>0</v>
      </c>
      <c r="AN118" s="111">
        <f t="shared" si="51"/>
        <v>0</v>
      </c>
      <c r="AO118" s="111" t="str">
        <f t="shared" si="52"/>
        <v>Use deduct 3yrs</v>
      </c>
      <c r="AP118" s="111">
        <f t="shared" si="53"/>
        <v>0</v>
      </c>
      <c r="AQ118" s="112">
        <f t="shared" si="54"/>
        <v>0</v>
      </c>
      <c r="AR118" s="112">
        <f t="shared" si="55"/>
        <v>1</v>
      </c>
      <c r="AS118" s="113">
        <f t="shared" si="56"/>
        <v>2028</v>
      </c>
      <c r="AT118" s="109">
        <v>42598.562002241888</v>
      </c>
      <c r="AU118" s="114">
        <v>1</v>
      </c>
      <c r="AV118" s="113">
        <v>2028</v>
      </c>
      <c r="AW118" s="112">
        <f t="shared" si="57"/>
        <v>0.13566421019822258</v>
      </c>
      <c r="AX118" s="109">
        <f t="shared" si="58"/>
        <v>42598.562002241888</v>
      </c>
      <c r="AY118" s="109">
        <f t="shared" si="59"/>
        <v>0</v>
      </c>
      <c r="AZ118" s="109">
        <f t="shared" si="60"/>
        <v>42598.562002241888</v>
      </c>
      <c r="BA118" s="111">
        <f t="shared" si="61"/>
        <v>0</v>
      </c>
      <c r="BB118" s="117"/>
      <c r="BC118" s="115" t="str">
        <f t="shared" si="62"/>
        <v>N</v>
      </c>
      <c r="BD118" s="115" t="str">
        <f t="shared" si="63"/>
        <v>Y</v>
      </c>
      <c r="BE118" s="115" t="str">
        <f t="shared" si="64"/>
        <v>N</v>
      </c>
      <c r="BF118" s="109" t="str">
        <f t="shared" si="65"/>
        <v/>
      </c>
      <c r="BG118" s="111" t="s">
        <v>2499</v>
      </c>
      <c r="BH118" s="115" t="s">
        <v>1168</v>
      </c>
      <c r="BI118" s="116"/>
      <c r="BJ118" s="222">
        <v>0.75246523709181601</v>
      </c>
      <c r="BK118" s="265">
        <f t="shared" si="66"/>
        <v>0</v>
      </c>
      <c r="BL118" s="265">
        <f t="shared" si="67"/>
        <v>0</v>
      </c>
      <c r="BM118" s="265">
        <f t="shared" si="68"/>
        <v>7.2759576141834259E-12</v>
      </c>
      <c r="BN118" s="265">
        <f t="shared" si="69"/>
        <v>-0.43849177802621853</v>
      </c>
      <c r="BO118" s="109"/>
      <c r="BP118" s="265">
        <f t="shared" si="70"/>
        <v>-4.9401992146158591E-4</v>
      </c>
      <c r="BQ118" s="265">
        <v>-4.9401992146158591E-4</v>
      </c>
      <c r="BR118" s="265" t="e">
        <f t="shared" si="71"/>
        <v>#REF!</v>
      </c>
      <c r="BS118" s="265">
        <v>-5.5655907064292263E-5</v>
      </c>
      <c r="BT118" s="475">
        <v>14013.437997758112</v>
      </c>
      <c r="BU118" s="475">
        <v>42598.562002241888</v>
      </c>
      <c r="BV118" s="475">
        <v>0</v>
      </c>
      <c r="BW118" s="483">
        <f t="shared" si="72"/>
        <v>0.43799775810475694</v>
      </c>
      <c r="BX118" s="483">
        <f t="shared" si="73"/>
        <v>0</v>
      </c>
    </row>
    <row r="119" spans="1:76" s="103" customFormat="1" ht="29">
      <c r="A119" s="100" t="s">
        <v>2502</v>
      </c>
      <c r="B119" s="91" t="str">
        <f t="shared" si="37"/>
        <v xml:space="preserve">CI </v>
      </c>
      <c r="C119" s="92" t="s">
        <v>463</v>
      </c>
      <c r="D119" s="448"/>
      <c r="E119" s="449" t="s">
        <v>2043</v>
      </c>
      <c r="F119" s="467" t="s">
        <v>4898</v>
      </c>
      <c r="G119" s="384" t="s">
        <v>5246</v>
      </c>
      <c r="H119" s="470">
        <v>1</v>
      </c>
      <c r="I119" s="95" t="s">
        <v>962</v>
      </c>
      <c r="J119" s="95" t="s">
        <v>1166</v>
      </c>
      <c r="K119" s="469">
        <v>246538.04</v>
      </c>
      <c r="L119" s="471">
        <v>4.883222078020899E-2</v>
      </c>
      <c r="M119" s="266">
        <v>1</v>
      </c>
      <c r="N119" s="267">
        <f t="shared" si="38"/>
        <v>0</v>
      </c>
      <c r="O119" s="96">
        <f t="shared" si="39"/>
        <v>234499.04</v>
      </c>
      <c r="P119" s="96">
        <f t="shared" si="40"/>
        <v>12038.999999999996</v>
      </c>
      <c r="Q119" s="96">
        <f t="shared" si="41"/>
        <v>0</v>
      </c>
      <c r="R119" s="187" t="s">
        <v>2455</v>
      </c>
      <c r="S119" s="187" t="s">
        <v>3607</v>
      </c>
      <c r="T119" s="94" t="s">
        <v>2857</v>
      </c>
      <c r="U119" s="395">
        <f>COUNTIF(Aggregation_of_rev_to_allocate!$A$3:$A$137,$T119)</f>
        <v>1</v>
      </c>
      <c r="V119" s="100"/>
      <c r="W119" s="100">
        <v>120</v>
      </c>
      <c r="X119" s="109">
        <v>12039.443653846383</v>
      </c>
      <c r="Y119" s="109">
        <v>0</v>
      </c>
      <c r="Z119" s="110">
        <v>0.75246522836539897</v>
      </c>
      <c r="AA119" s="110">
        <v>1</v>
      </c>
      <c r="AB119" s="110">
        <v>0</v>
      </c>
      <c r="AC119" s="109">
        <f>IF(ISERROR((X119*SUMIF('Rev_for_allocation(Hard)'!$A$3:$A$249,$T119,'Rev_for_allocation(Hard)'!$I$3:$I$249)/SUMIF(Historic_capex_list!$T$9:$T$586,$T119,Historic_capex_list!$X$9:$X$586))=TRUE),0,X119*SUMIF('Rev_for_allocation(Hard)'!$A$3:$A$249,$T119,'Rev_for_allocation(Hard)'!$I$3:$I$249)/SUMIF(Historic_capex_list!$T$9:$T$586,$T119,Historic_capex_list!$X$9:$X$586))</f>
        <v>1.1862181468784685E-4</v>
      </c>
      <c r="AD119" s="109">
        <f t="shared" si="42"/>
        <v>12039.443772468197</v>
      </c>
      <c r="AE119" s="109">
        <f t="shared" si="43"/>
        <v>12039.443772468197</v>
      </c>
      <c r="AF119" s="109">
        <f t="shared" si="44"/>
        <v>12039.443772468197</v>
      </c>
      <c r="AG119" s="332" t="str">
        <f t="shared" si="45"/>
        <v>N</v>
      </c>
      <c r="AH119" s="332">
        <f t="shared" si="46"/>
        <v>0</v>
      </c>
      <c r="AI119" s="332">
        <f t="shared" si="47"/>
        <v>0</v>
      </c>
      <c r="AJ119" s="109">
        <f t="shared" si="48"/>
        <v>12039.443772468197</v>
      </c>
      <c r="AK119" s="109">
        <f t="shared" si="49"/>
        <v>0</v>
      </c>
      <c r="AL119" s="109">
        <v>0</v>
      </c>
      <c r="AM119" s="111">
        <f t="shared" si="50"/>
        <v>0</v>
      </c>
      <c r="AN119" s="111">
        <f t="shared" si="51"/>
        <v>0</v>
      </c>
      <c r="AO119" s="111" t="str">
        <f t="shared" si="52"/>
        <v>Use deduct 3yrs</v>
      </c>
      <c r="AP119" s="111">
        <f t="shared" si="53"/>
        <v>0</v>
      </c>
      <c r="AQ119" s="112">
        <f t="shared" si="54"/>
        <v>0</v>
      </c>
      <c r="AR119" s="112">
        <f t="shared" si="55"/>
        <v>1</v>
      </c>
      <c r="AS119" s="113">
        <f t="shared" si="56"/>
        <v>2028</v>
      </c>
      <c r="AT119" s="109">
        <v>12039.443793469056</v>
      </c>
      <c r="AU119" s="114">
        <v>1</v>
      </c>
      <c r="AV119" s="113">
        <v>2028</v>
      </c>
      <c r="AW119" s="112">
        <f t="shared" si="57"/>
        <v>4.8834020881601298E-2</v>
      </c>
      <c r="AX119" s="109">
        <f t="shared" si="58"/>
        <v>12039.443793469056</v>
      </c>
      <c r="AY119" s="109">
        <f t="shared" si="59"/>
        <v>0</v>
      </c>
      <c r="AZ119" s="109">
        <f t="shared" si="60"/>
        <v>12039.443793469056</v>
      </c>
      <c r="BA119" s="111">
        <f t="shared" si="61"/>
        <v>0</v>
      </c>
      <c r="BB119" s="117"/>
      <c r="BC119" s="115" t="str">
        <f t="shared" si="62"/>
        <v>N</v>
      </c>
      <c r="BD119" s="115" t="str">
        <f t="shared" si="63"/>
        <v>Y</v>
      </c>
      <c r="BE119" s="115" t="str">
        <f t="shared" si="64"/>
        <v>N</v>
      </c>
      <c r="BF119" s="109" t="str">
        <f t="shared" si="65"/>
        <v/>
      </c>
      <c r="BG119" s="111" t="s">
        <v>2499</v>
      </c>
      <c r="BH119" s="115" t="s">
        <v>1168</v>
      </c>
      <c r="BI119" s="116"/>
      <c r="BJ119" s="222">
        <v>0.75246523709181601</v>
      </c>
      <c r="BK119" s="265">
        <f t="shared" si="66"/>
        <v>0</v>
      </c>
      <c r="BL119" s="265">
        <f t="shared" si="67"/>
        <v>0</v>
      </c>
      <c r="BM119" s="265">
        <f t="shared" si="68"/>
        <v>3.637978807091713E-12</v>
      </c>
      <c r="BN119" s="265">
        <f t="shared" si="69"/>
        <v>0.44365384638695105</v>
      </c>
      <c r="BO119" s="109"/>
      <c r="BP119" s="265">
        <f t="shared" si="70"/>
        <v>-1.3962267257738858E-4</v>
      </c>
      <c r="BQ119" s="265">
        <v>-1.3962267257738858E-4</v>
      </c>
      <c r="BR119" s="265" t="e">
        <f t="shared" si="71"/>
        <v>#REF!</v>
      </c>
      <c r="BS119" s="265">
        <v>-1.5729783661445914E-5</v>
      </c>
      <c r="BT119" s="475">
        <v>3960.5562065309437</v>
      </c>
      <c r="BU119" s="475">
        <v>12039.443793469056</v>
      </c>
      <c r="BV119" s="475">
        <v>0</v>
      </c>
      <c r="BW119" s="483">
        <f t="shared" si="72"/>
        <v>-0.44379346905952843</v>
      </c>
      <c r="BX119" s="483">
        <f t="shared" si="73"/>
        <v>0</v>
      </c>
    </row>
    <row r="120" spans="1:76" s="103" customFormat="1" ht="29">
      <c r="A120" s="100" t="s">
        <v>2502</v>
      </c>
      <c r="B120" s="91" t="str">
        <f t="shared" si="37"/>
        <v xml:space="preserve">CI </v>
      </c>
      <c r="C120" s="92" t="s">
        <v>2273</v>
      </c>
      <c r="D120" s="448"/>
      <c r="E120" s="451">
        <v>2130256</v>
      </c>
      <c r="F120" s="409" t="s">
        <v>2307</v>
      </c>
      <c r="G120" s="384" t="s">
        <v>5247</v>
      </c>
      <c r="H120" s="398">
        <v>0.34</v>
      </c>
      <c r="I120" s="151"/>
      <c r="J120" s="95" t="s">
        <v>1166</v>
      </c>
      <c r="K120" s="191">
        <v>391219</v>
      </c>
      <c r="L120" s="269">
        <v>0.98000001136516124</v>
      </c>
      <c r="M120" s="267">
        <v>1</v>
      </c>
      <c r="N120" s="267">
        <f t="shared" si="38"/>
        <v>0</v>
      </c>
      <c r="O120" s="96">
        <f t="shared" si="39"/>
        <v>260864.8276882692</v>
      </c>
      <c r="P120" s="96">
        <f t="shared" si="40"/>
        <v>130354.1723117308</v>
      </c>
      <c r="Q120" s="96">
        <f t="shared" si="41"/>
        <v>0</v>
      </c>
      <c r="R120" s="187" t="s">
        <v>2455</v>
      </c>
      <c r="S120" s="187" t="s">
        <v>3607</v>
      </c>
      <c r="T120" s="94" t="s">
        <v>2857</v>
      </c>
      <c r="U120" s="395">
        <f>COUNTIF(Aggregation_of_rev_to_allocate!$A$3:$A$137,$T120)</f>
        <v>1</v>
      </c>
      <c r="V120" s="100"/>
      <c r="W120" s="100">
        <v>121</v>
      </c>
      <c r="X120" s="109">
        <v>130354.17080000001</v>
      </c>
      <c r="Y120" s="109">
        <v>0</v>
      </c>
      <c r="Z120" s="110">
        <v>0.98</v>
      </c>
      <c r="AA120" s="110">
        <v>1</v>
      </c>
      <c r="AB120" s="110">
        <v>0</v>
      </c>
      <c r="AC120" s="109">
        <f>IF(ISERROR((X120*SUMIF('Rev_for_allocation(Hard)'!$A$3:$A$249,$T120,'Rev_for_allocation(Hard)'!$I$3:$I$249)/SUMIF(Historic_capex_list!$T$9:$T$586,$T120,Historic_capex_list!$X$9:$X$586))=TRUE),0,X120*SUMIF('Rev_for_allocation(Hard)'!$A$3:$A$249,$T120,'Rev_for_allocation(Hard)'!$I$3:$I$249)/SUMIF(Historic_capex_list!$T$9:$T$586,$T120,Historic_capex_list!$X$9:$X$586))</f>
        <v>1.2843490726820619E-3</v>
      </c>
      <c r="AD120" s="109">
        <f t="shared" si="42"/>
        <v>130354.17208434908</v>
      </c>
      <c r="AE120" s="109">
        <f t="shared" si="43"/>
        <v>130354.17208434908</v>
      </c>
      <c r="AF120" s="109">
        <f t="shared" si="44"/>
        <v>130354.17208434908</v>
      </c>
      <c r="AG120" s="332" t="str">
        <f t="shared" si="45"/>
        <v>N</v>
      </c>
      <c r="AH120" s="332">
        <f t="shared" si="46"/>
        <v>0</v>
      </c>
      <c r="AI120" s="332">
        <f t="shared" si="47"/>
        <v>0</v>
      </c>
      <c r="AJ120" s="109">
        <f t="shared" si="48"/>
        <v>130354.17208434908</v>
      </c>
      <c r="AK120" s="109">
        <f t="shared" si="49"/>
        <v>0</v>
      </c>
      <c r="AL120" s="109">
        <v>0</v>
      </c>
      <c r="AM120" s="111">
        <f t="shared" si="50"/>
        <v>0</v>
      </c>
      <c r="AN120" s="111">
        <f t="shared" si="51"/>
        <v>0</v>
      </c>
      <c r="AO120" s="111" t="str">
        <f t="shared" si="52"/>
        <v>Use deduct 3yrs</v>
      </c>
      <c r="AP120" s="111">
        <f t="shared" si="53"/>
        <v>0</v>
      </c>
      <c r="AQ120" s="112">
        <f t="shared" si="54"/>
        <v>0</v>
      </c>
      <c r="AR120" s="112">
        <f t="shared" si="55"/>
        <v>1</v>
      </c>
      <c r="AS120" s="113">
        <f t="shared" si="56"/>
        <v>2028</v>
      </c>
      <c r="AT120" s="109">
        <v>130354.1723117308</v>
      </c>
      <c r="AU120" s="114">
        <v>1</v>
      </c>
      <c r="AV120" s="113">
        <v>2028</v>
      </c>
      <c r="AW120" s="112">
        <f t="shared" si="57"/>
        <v>0.98000001136516124</v>
      </c>
      <c r="AX120" s="109">
        <f t="shared" si="58"/>
        <v>130354.1723117308</v>
      </c>
      <c r="AY120" s="109">
        <f t="shared" si="59"/>
        <v>0</v>
      </c>
      <c r="AZ120" s="109">
        <f t="shared" si="60"/>
        <v>130354.1723117308</v>
      </c>
      <c r="BA120" s="111">
        <f t="shared" si="61"/>
        <v>0</v>
      </c>
      <c r="BB120" s="117"/>
      <c r="BC120" s="115" t="str">
        <f t="shared" si="62"/>
        <v>N</v>
      </c>
      <c r="BD120" s="115" t="str">
        <f t="shared" si="63"/>
        <v>Y</v>
      </c>
      <c r="BE120" s="115" t="str">
        <f t="shared" si="64"/>
        <v>N</v>
      </c>
      <c r="BF120" s="109" t="str">
        <f t="shared" si="65"/>
        <v/>
      </c>
      <c r="BG120" s="111" t="s">
        <v>2499</v>
      </c>
      <c r="BH120" s="115" t="s">
        <v>1168</v>
      </c>
      <c r="BI120" s="116"/>
      <c r="BJ120" s="222">
        <v>0.98000001136516124</v>
      </c>
      <c r="BK120" s="265">
        <f t="shared" si="66"/>
        <v>0</v>
      </c>
      <c r="BL120" s="265">
        <f t="shared" si="67"/>
        <v>0</v>
      </c>
      <c r="BM120" s="265">
        <f t="shared" si="68"/>
        <v>0</v>
      </c>
      <c r="BN120" s="265">
        <f t="shared" si="69"/>
        <v>-1.5117307921173051E-3</v>
      </c>
      <c r="BO120" s="109"/>
      <c r="BP120" s="265">
        <f t="shared" si="70"/>
        <v>-1.5117307921173051E-3</v>
      </c>
      <c r="BQ120" s="265">
        <v>-1.5117307921173051E-3</v>
      </c>
      <c r="BR120" s="265" t="e">
        <f t="shared" si="71"/>
        <v>#REF!</v>
      </c>
      <c r="BS120" s="265">
        <v>-1.7031043651718805E-4</v>
      </c>
      <c r="BT120" s="475">
        <v>260864.8276882692</v>
      </c>
      <c r="BU120" s="475">
        <v>130354.1723117308</v>
      </c>
      <c r="BV120" s="475">
        <v>0</v>
      </c>
      <c r="BW120" s="483">
        <f t="shared" si="72"/>
        <v>0</v>
      </c>
      <c r="BX120" s="483">
        <f t="shared" si="73"/>
        <v>0</v>
      </c>
    </row>
    <row r="121" spans="1:76" s="103" customFormat="1" ht="29">
      <c r="A121" s="100" t="s">
        <v>2502</v>
      </c>
      <c r="B121" s="91" t="str">
        <f t="shared" si="37"/>
        <v xml:space="preserve">CI </v>
      </c>
      <c r="C121" s="92" t="s">
        <v>463</v>
      </c>
      <c r="D121" s="448"/>
      <c r="E121" s="453">
        <v>40836</v>
      </c>
      <c r="F121" s="467" t="s">
        <v>4941</v>
      </c>
      <c r="G121" s="384" t="s">
        <v>5246</v>
      </c>
      <c r="H121" s="398">
        <v>1</v>
      </c>
      <c r="I121" s="95" t="s">
        <v>952</v>
      </c>
      <c r="J121" s="95" t="s">
        <v>1166</v>
      </c>
      <c r="K121" s="191">
        <v>300000</v>
      </c>
      <c r="L121" s="268">
        <v>0.53101420204980843</v>
      </c>
      <c r="M121" s="266">
        <v>1</v>
      </c>
      <c r="N121" s="267">
        <f t="shared" si="38"/>
        <v>0</v>
      </c>
      <c r="O121" s="96">
        <f t="shared" si="39"/>
        <v>140695.73938505747</v>
      </c>
      <c r="P121" s="96">
        <f t="shared" si="40"/>
        <v>159304.26061494253</v>
      </c>
      <c r="Q121" s="96">
        <f t="shared" si="41"/>
        <v>0</v>
      </c>
      <c r="R121" s="187" t="s">
        <v>2460</v>
      </c>
      <c r="S121" s="187" t="s">
        <v>3607</v>
      </c>
      <c r="T121" s="94" t="s">
        <v>2862</v>
      </c>
      <c r="U121" s="395">
        <f>COUNTIF(Aggregation_of_rev_to_allocate!$A$3:$A$137,$T121)</f>
        <v>1</v>
      </c>
      <c r="V121" s="100"/>
      <c r="W121" s="100">
        <v>63</v>
      </c>
      <c r="X121" s="109">
        <v>164507.56165949849</v>
      </c>
      <c r="Y121" s="109">
        <v>0</v>
      </c>
      <c r="Z121" s="110">
        <v>0.54835853886499497</v>
      </c>
      <c r="AA121" s="110">
        <v>1</v>
      </c>
      <c r="AB121" s="110">
        <v>0</v>
      </c>
      <c r="AC121" s="109">
        <f>IF(ISERROR((X121*SUMIF('Rev_for_allocation(Hard)'!$A$3:$A$249,$T121,'Rev_for_allocation(Hard)'!$I$3:$I$249)/SUMIF(Historic_capex_list!$T$9:$T$586,$T121,Historic_capex_list!$X$9:$X$586))=TRUE),0,X121*SUMIF('Rev_for_allocation(Hard)'!$A$3:$A$249,$T121,'Rev_for_allocation(Hard)'!$I$3:$I$249)/SUMIF(Historic_capex_list!$T$9:$T$586,$T121,Historic_capex_list!$X$9:$X$586))</f>
        <v>-5037.2066157198797</v>
      </c>
      <c r="AD121" s="109">
        <f t="shared" si="42"/>
        <v>159470.3550437786</v>
      </c>
      <c r="AE121" s="109">
        <f t="shared" si="43"/>
        <v>159470.3550437786</v>
      </c>
      <c r="AF121" s="109">
        <f t="shared" si="44"/>
        <v>159470.3550437786</v>
      </c>
      <c r="AG121" s="332" t="str">
        <f t="shared" si="45"/>
        <v>N</v>
      </c>
      <c r="AH121" s="332">
        <f t="shared" si="46"/>
        <v>0</v>
      </c>
      <c r="AI121" s="332">
        <f t="shared" si="47"/>
        <v>0</v>
      </c>
      <c r="AJ121" s="109">
        <f t="shared" si="48"/>
        <v>159470.3550437786</v>
      </c>
      <c r="AK121" s="109">
        <f t="shared" si="49"/>
        <v>0</v>
      </c>
      <c r="AL121" s="109">
        <v>0</v>
      </c>
      <c r="AM121" s="111">
        <f t="shared" si="50"/>
        <v>0</v>
      </c>
      <c r="AN121" s="111">
        <f t="shared" si="51"/>
        <v>0</v>
      </c>
      <c r="AO121" s="111" t="str">
        <f t="shared" si="52"/>
        <v>Use deduct 3yrs</v>
      </c>
      <c r="AP121" s="111">
        <f t="shared" si="53"/>
        <v>0</v>
      </c>
      <c r="AQ121" s="112">
        <f t="shared" si="54"/>
        <v>0</v>
      </c>
      <c r="AR121" s="112">
        <f t="shared" si="55"/>
        <v>1</v>
      </c>
      <c r="AS121" s="113">
        <f t="shared" si="56"/>
        <v>2028</v>
      </c>
      <c r="AT121" s="109">
        <v>159304.26061494253</v>
      </c>
      <c r="AU121" s="114">
        <v>1</v>
      </c>
      <c r="AV121" s="113">
        <v>2028</v>
      </c>
      <c r="AW121" s="112">
        <f t="shared" si="57"/>
        <v>0.53101420204980843</v>
      </c>
      <c r="AX121" s="109">
        <f t="shared" si="58"/>
        <v>159304.26061494253</v>
      </c>
      <c r="AY121" s="109">
        <f t="shared" si="59"/>
        <v>0</v>
      </c>
      <c r="AZ121" s="109">
        <f t="shared" si="60"/>
        <v>159304.26061494253</v>
      </c>
      <c r="BA121" s="111">
        <f t="shared" si="61"/>
        <v>0</v>
      </c>
      <c r="BB121" s="117"/>
      <c r="BC121" s="115" t="str">
        <f t="shared" si="62"/>
        <v>N</v>
      </c>
      <c r="BD121" s="115" t="str">
        <f t="shared" si="63"/>
        <v>Y</v>
      </c>
      <c r="BE121" s="115" t="str">
        <f t="shared" si="64"/>
        <v>N</v>
      </c>
      <c r="BF121" s="109" t="str">
        <f t="shared" si="65"/>
        <v/>
      </c>
      <c r="BG121" s="111" t="s">
        <v>2499</v>
      </c>
      <c r="BH121" s="115" t="s">
        <v>1168</v>
      </c>
      <c r="BI121" s="116"/>
      <c r="BJ121" s="222">
        <v>0.53101420204980843</v>
      </c>
      <c r="BK121" s="265">
        <f t="shared" si="66"/>
        <v>0</v>
      </c>
      <c r="BL121" s="265">
        <f t="shared" si="67"/>
        <v>0</v>
      </c>
      <c r="BM121" s="265">
        <f t="shared" si="68"/>
        <v>0</v>
      </c>
      <c r="BN121" s="265">
        <f t="shared" si="69"/>
        <v>5203.301044555963</v>
      </c>
      <c r="BO121" s="109"/>
      <c r="BP121" s="265">
        <f t="shared" si="70"/>
        <v>5203.301044555963</v>
      </c>
      <c r="BQ121" s="265">
        <v>5203.301044555963</v>
      </c>
      <c r="BR121" s="265" t="e">
        <f t="shared" si="71"/>
        <v>#REF!</v>
      </c>
      <c r="BS121" s="265">
        <v>586.19992187068078</v>
      </c>
      <c r="BT121" s="475">
        <v>140695.73938505747</v>
      </c>
      <c r="BU121" s="475">
        <v>159304.26061494253</v>
      </c>
      <c r="BV121" s="475">
        <v>0</v>
      </c>
      <c r="BW121" s="483">
        <f t="shared" si="72"/>
        <v>0</v>
      </c>
      <c r="BX121" s="483">
        <f t="shared" si="73"/>
        <v>0</v>
      </c>
    </row>
    <row r="122" spans="1:76" s="103" customFormat="1" ht="29">
      <c r="A122" s="100" t="s">
        <v>2502</v>
      </c>
      <c r="B122" s="91" t="str">
        <f t="shared" si="37"/>
        <v xml:space="preserve">CI </v>
      </c>
      <c r="C122" s="92" t="s">
        <v>2274</v>
      </c>
      <c r="D122" s="448"/>
      <c r="E122" s="451">
        <v>2130149</v>
      </c>
      <c r="F122" s="409" t="s">
        <v>2529</v>
      </c>
      <c r="G122" s="467" t="s">
        <v>4710</v>
      </c>
      <c r="H122" s="398">
        <v>0.3</v>
      </c>
      <c r="I122" s="151"/>
      <c r="J122" s="95" t="s">
        <v>1166</v>
      </c>
      <c r="K122" s="191">
        <v>158039.46000000002</v>
      </c>
      <c r="L122" s="269">
        <v>0.88418658309757026</v>
      </c>
      <c r="M122" s="267">
        <v>1</v>
      </c>
      <c r="N122" s="267">
        <f t="shared" si="38"/>
        <v>0</v>
      </c>
      <c r="O122" s="96">
        <f t="shared" si="39"/>
        <v>116118.54896040447</v>
      </c>
      <c r="P122" s="96">
        <f t="shared" si="40"/>
        <v>41920.911039595543</v>
      </c>
      <c r="Q122" s="96">
        <f t="shared" si="41"/>
        <v>0</v>
      </c>
      <c r="R122" s="187" t="s">
        <v>2268</v>
      </c>
      <c r="S122" s="187" t="s">
        <v>3608</v>
      </c>
      <c r="T122" s="94" t="s">
        <v>2842</v>
      </c>
      <c r="U122" s="395">
        <f>COUNTIF(Aggregation_of_rev_to_allocate!$A$3:$A$137,$T122)</f>
        <v>1</v>
      </c>
      <c r="V122" s="100"/>
      <c r="W122" s="100">
        <v>37</v>
      </c>
      <c r="X122" s="109">
        <v>46426.225376042581</v>
      </c>
      <c r="Y122" s="109">
        <v>0</v>
      </c>
      <c r="Z122" s="110">
        <v>0.9792116765446337</v>
      </c>
      <c r="AA122" s="110">
        <v>1</v>
      </c>
      <c r="AB122" s="110">
        <v>0</v>
      </c>
      <c r="AC122" s="109">
        <f>IF(ISERROR((X122*SUMIF('Rev_for_allocation(Hard)'!$A$3:$A$249,$T122,'Rev_for_allocation(Hard)'!$I$3:$I$249)/SUMIF(Historic_capex_list!$T$9:$T$586,$T122,Historic_capex_list!$X$9:$X$586))=TRUE),0,X122*SUMIF('Rev_for_allocation(Hard)'!$A$3:$A$249,$T122,'Rev_for_allocation(Hard)'!$I$3:$I$249)/SUMIF(Historic_capex_list!$T$9:$T$586,$T122,Historic_capex_list!$X$9:$X$586))</f>
        <v>-3580.0949326635578</v>
      </c>
      <c r="AD122" s="109">
        <f t="shared" si="42"/>
        <v>42846.130443379021</v>
      </c>
      <c r="AE122" s="109">
        <f t="shared" si="43"/>
        <v>42846.130443379021</v>
      </c>
      <c r="AF122" s="109">
        <f t="shared" si="44"/>
        <v>42846.130443379021</v>
      </c>
      <c r="AG122" s="332" t="str">
        <f t="shared" si="45"/>
        <v>N</v>
      </c>
      <c r="AH122" s="332">
        <f t="shared" si="46"/>
        <v>0</v>
      </c>
      <c r="AI122" s="332">
        <f t="shared" si="47"/>
        <v>0</v>
      </c>
      <c r="AJ122" s="109">
        <f t="shared" si="48"/>
        <v>42846.130443379021</v>
      </c>
      <c r="AK122" s="109">
        <f t="shared" si="49"/>
        <v>0</v>
      </c>
      <c r="AL122" s="109">
        <v>0</v>
      </c>
      <c r="AM122" s="111">
        <f t="shared" si="50"/>
        <v>0</v>
      </c>
      <c r="AN122" s="111">
        <f t="shared" si="51"/>
        <v>0</v>
      </c>
      <c r="AO122" s="111" t="str">
        <f t="shared" si="52"/>
        <v>Use deduct 3yrs</v>
      </c>
      <c r="AP122" s="111">
        <f t="shared" si="53"/>
        <v>0</v>
      </c>
      <c r="AQ122" s="112">
        <f t="shared" si="54"/>
        <v>0</v>
      </c>
      <c r="AR122" s="112">
        <f t="shared" si="55"/>
        <v>1</v>
      </c>
      <c r="AS122" s="113">
        <f t="shared" si="56"/>
        <v>2028</v>
      </c>
      <c r="AT122" s="109">
        <v>41920.911039595543</v>
      </c>
      <c r="AU122" s="114">
        <v>1</v>
      </c>
      <c r="AV122" s="113">
        <v>2028</v>
      </c>
      <c r="AW122" s="112">
        <f t="shared" si="57"/>
        <v>0.88418658309757026</v>
      </c>
      <c r="AX122" s="109">
        <f t="shared" si="58"/>
        <v>41920.911039595543</v>
      </c>
      <c r="AY122" s="109">
        <f t="shared" si="59"/>
        <v>0</v>
      </c>
      <c r="AZ122" s="109">
        <f t="shared" si="60"/>
        <v>41920.911039595543</v>
      </c>
      <c r="BA122" s="111">
        <f t="shared" si="61"/>
        <v>0</v>
      </c>
      <c r="BB122" s="117"/>
      <c r="BC122" s="115" t="str">
        <f t="shared" si="62"/>
        <v>N</v>
      </c>
      <c r="BD122" s="115" t="str">
        <f t="shared" si="63"/>
        <v>Y</v>
      </c>
      <c r="BE122" s="115" t="str">
        <f t="shared" si="64"/>
        <v>N</v>
      </c>
      <c r="BF122" s="109" t="str">
        <f t="shared" si="65"/>
        <v/>
      </c>
      <c r="BG122" s="111" t="s">
        <v>2499</v>
      </c>
      <c r="BH122" s="115" t="s">
        <v>1168</v>
      </c>
      <c r="BI122" s="116"/>
      <c r="BJ122" s="222">
        <v>0.88418658309757026</v>
      </c>
      <c r="BK122" s="265">
        <f t="shared" si="66"/>
        <v>0</v>
      </c>
      <c r="BL122" s="265">
        <f t="shared" si="67"/>
        <v>0</v>
      </c>
      <c r="BM122" s="265">
        <f t="shared" si="68"/>
        <v>7.2759576141834259E-12</v>
      </c>
      <c r="BN122" s="265">
        <f t="shared" si="69"/>
        <v>4505.3143364470379</v>
      </c>
      <c r="BO122" s="109"/>
      <c r="BP122" s="265">
        <f t="shared" si="70"/>
        <v>4505.3143364470379</v>
      </c>
      <c r="BQ122" s="265">
        <v>4505.3143364470379</v>
      </c>
      <c r="BR122" s="265" t="e">
        <f t="shared" si="71"/>
        <v>#REF!</v>
      </c>
      <c r="BS122" s="265">
        <v>507.56527239401532</v>
      </c>
      <c r="BT122" s="475">
        <v>116118.54896040447</v>
      </c>
      <c r="BU122" s="475">
        <v>41920.911039595543</v>
      </c>
      <c r="BV122" s="475">
        <v>0</v>
      </c>
      <c r="BW122" s="483">
        <f t="shared" si="72"/>
        <v>0</v>
      </c>
      <c r="BX122" s="483">
        <f t="shared" si="73"/>
        <v>0</v>
      </c>
    </row>
    <row r="123" spans="1:76" s="103" customFormat="1" ht="29">
      <c r="A123" s="100" t="s">
        <v>2502</v>
      </c>
      <c r="B123" s="91" t="str">
        <f t="shared" si="37"/>
        <v xml:space="preserve">CI </v>
      </c>
      <c r="C123" s="92" t="s">
        <v>463</v>
      </c>
      <c r="D123" s="448"/>
      <c r="E123" s="453">
        <v>40459</v>
      </c>
      <c r="F123" s="622" t="s">
        <v>4942</v>
      </c>
      <c r="G123" s="622" t="s">
        <v>5312</v>
      </c>
      <c r="H123" s="621">
        <v>0.8</v>
      </c>
      <c r="I123" s="95" t="s">
        <v>952</v>
      </c>
      <c r="J123" s="95" t="s">
        <v>1166</v>
      </c>
      <c r="K123" s="191">
        <v>268044.52</v>
      </c>
      <c r="L123" s="268">
        <v>0.65642991160438136</v>
      </c>
      <c r="M123" s="266">
        <v>0.91331269349845201</v>
      </c>
      <c r="N123" s="267">
        <f t="shared" si="38"/>
        <v>8.6687306501547989E-2</v>
      </c>
      <c r="O123" s="96">
        <f t="shared" si="39"/>
        <v>127282.56754428895</v>
      </c>
      <c r="P123" s="96">
        <f t="shared" si="40"/>
        <v>128559.67793942653</v>
      </c>
      <c r="Q123" s="96">
        <f t="shared" si="41"/>
        <v>12202.274516284553</v>
      </c>
      <c r="R123" s="187" t="s">
        <v>2460</v>
      </c>
      <c r="S123" s="187" t="s">
        <v>3607</v>
      </c>
      <c r="T123" s="94" t="s">
        <v>2862</v>
      </c>
      <c r="U123" s="395">
        <f>COUNTIF(Aggregation_of_rev_to_allocate!$A$3:$A$137,$T123)</f>
        <v>1</v>
      </c>
      <c r="V123" s="100"/>
      <c r="W123" s="100">
        <v>64</v>
      </c>
      <c r="X123" s="109">
        <v>129064.97935614119</v>
      </c>
      <c r="Y123" s="109">
        <v>50969.729135560847</v>
      </c>
      <c r="Z123" s="110">
        <v>0.67165972462970713</v>
      </c>
      <c r="AA123" s="110">
        <v>0.71688942891859053</v>
      </c>
      <c r="AB123" s="110">
        <v>0.28311057108140947</v>
      </c>
      <c r="AC123" s="109">
        <f>IF(ISERROR((X123*SUMIF('Rev_for_allocation(Hard)'!$A$3:$A$249,$T123,'Rev_for_allocation(Hard)'!$I$3:$I$249)/SUMIF(Historic_capex_list!$T$9:$T$586,$T123,Historic_capex_list!$X$9:$X$586))=TRUE),0,X123*SUMIF('Rev_for_allocation(Hard)'!$A$3:$A$249,$T123,'Rev_for_allocation(Hard)'!$I$3:$I$249)/SUMIF(Historic_capex_list!$T$9:$T$586,$T123,Historic_capex_list!$X$9:$X$586))</f>
        <v>-3951.9579605474419</v>
      </c>
      <c r="AD123" s="109">
        <f t="shared" si="42"/>
        <v>125113.02139559375</v>
      </c>
      <c r="AE123" s="109">
        <f t="shared" si="43"/>
        <v>125113.02139559375</v>
      </c>
      <c r="AF123" s="109">
        <f t="shared" si="44"/>
        <v>176082.7505311546</v>
      </c>
      <c r="AG123" s="332" t="str">
        <f t="shared" si="45"/>
        <v>N</v>
      </c>
      <c r="AH123" s="332">
        <f t="shared" si="46"/>
        <v>0</v>
      </c>
      <c r="AI123" s="332">
        <f t="shared" si="47"/>
        <v>0</v>
      </c>
      <c r="AJ123" s="109">
        <f t="shared" si="48"/>
        <v>176082.7505311546</v>
      </c>
      <c r="AK123" s="109">
        <f t="shared" si="49"/>
        <v>0</v>
      </c>
      <c r="AL123" s="109">
        <v>0</v>
      </c>
      <c r="AM123" s="111">
        <f t="shared" si="50"/>
        <v>3.9491525423728815</v>
      </c>
      <c r="AN123" s="111">
        <f t="shared" si="51"/>
        <v>0.94915254237288149</v>
      </c>
      <c r="AO123" s="111" t="str">
        <f t="shared" si="52"/>
        <v>Use deduct 3yrs</v>
      </c>
      <c r="AP123" s="111">
        <f t="shared" si="53"/>
        <v>0.94915254237288149</v>
      </c>
      <c r="AQ123" s="112">
        <f t="shared" si="54"/>
        <v>8.6687306501547989E-2</v>
      </c>
      <c r="AR123" s="112">
        <f t="shared" si="55"/>
        <v>0.91331269349845201</v>
      </c>
      <c r="AS123" s="113">
        <f t="shared" si="56"/>
        <v>2029</v>
      </c>
      <c r="AT123" s="109">
        <v>175952.44056963886</v>
      </c>
      <c r="AU123" s="114">
        <v>0.91331269349845201</v>
      </c>
      <c r="AV123" s="113">
        <v>2029</v>
      </c>
      <c r="AW123" s="112">
        <f t="shared" si="57"/>
        <v>0.82053738950547672</v>
      </c>
      <c r="AX123" s="109">
        <f t="shared" si="58"/>
        <v>160699.59742428316</v>
      </c>
      <c r="AY123" s="109">
        <f t="shared" si="59"/>
        <v>15252.843145355691</v>
      </c>
      <c r="AZ123" s="109">
        <f t="shared" si="60"/>
        <v>175952.44056963886</v>
      </c>
      <c r="BA123" s="111">
        <f t="shared" si="61"/>
        <v>0</v>
      </c>
      <c r="BB123" s="117"/>
      <c r="BC123" s="115" t="str">
        <f t="shared" si="62"/>
        <v>N</v>
      </c>
      <c r="BD123" s="115" t="str">
        <f t="shared" si="63"/>
        <v>Y</v>
      </c>
      <c r="BE123" s="115" t="str">
        <f t="shared" si="64"/>
        <v>N</v>
      </c>
      <c r="BF123" s="109" t="str">
        <f t="shared" si="65"/>
        <v/>
      </c>
      <c r="BG123" s="111" t="s">
        <v>2499</v>
      </c>
      <c r="BH123" s="115" t="s">
        <v>1168</v>
      </c>
      <c r="BI123" s="116"/>
      <c r="BJ123" s="222">
        <v>0.65642991160438136</v>
      </c>
      <c r="BK123" s="265">
        <f t="shared" si="66"/>
        <v>3050.5686290711383</v>
      </c>
      <c r="BL123" s="265">
        <f t="shared" si="67"/>
        <v>-3050.5686290711383</v>
      </c>
      <c r="BM123" s="265">
        <f t="shared" si="68"/>
        <v>0</v>
      </c>
      <c r="BN123" s="265">
        <f t="shared" si="69"/>
        <v>505.30141671466117</v>
      </c>
      <c r="BO123" s="109"/>
      <c r="BP123" s="265">
        <f t="shared" si="70"/>
        <v>4082.2679220631835</v>
      </c>
      <c r="BQ123" s="265">
        <v>4082.2679220631835</v>
      </c>
      <c r="BR123" s="265" t="e">
        <f t="shared" si="71"/>
        <v>#REF!</v>
      </c>
      <c r="BS123" s="265">
        <v>459.90518643397843</v>
      </c>
      <c r="BT123" s="475">
        <v>92092.079430361176</v>
      </c>
      <c r="BU123" s="475">
        <v>160699.59742428316</v>
      </c>
      <c r="BV123" s="475">
        <v>15252.843145355691</v>
      </c>
      <c r="BW123" s="483">
        <f t="shared" si="72"/>
        <v>-32139.919484856626</v>
      </c>
      <c r="BX123" s="483">
        <f t="shared" si="73"/>
        <v>-3050.5686290711383</v>
      </c>
    </row>
    <row r="124" spans="1:76" s="103" customFormat="1" ht="29">
      <c r="A124" s="100" t="s">
        <v>2502</v>
      </c>
      <c r="B124" s="91" t="str">
        <f t="shared" si="37"/>
        <v xml:space="preserve">CI </v>
      </c>
      <c r="C124" s="92" t="s">
        <v>463</v>
      </c>
      <c r="D124" s="448"/>
      <c r="E124" s="453">
        <v>41012</v>
      </c>
      <c r="F124" s="622" t="s">
        <v>4943</v>
      </c>
      <c r="G124" s="622" t="s">
        <v>5312</v>
      </c>
      <c r="H124" s="621">
        <v>0.8</v>
      </c>
      <c r="I124" s="95" t="s">
        <v>952</v>
      </c>
      <c r="J124" s="95" t="s">
        <v>1166</v>
      </c>
      <c r="K124" s="191">
        <v>285104</v>
      </c>
      <c r="L124" s="268">
        <v>0.65642991160438124</v>
      </c>
      <c r="M124" s="266">
        <v>0.91331269349845201</v>
      </c>
      <c r="N124" s="267">
        <f t="shared" si="38"/>
        <v>8.6687306501547989E-2</v>
      </c>
      <c r="O124" s="96">
        <f t="shared" si="39"/>
        <v>135383.36518555559</v>
      </c>
      <c r="P124" s="96">
        <f t="shared" si="40"/>
        <v>136741.75625467833</v>
      </c>
      <c r="Q124" s="96">
        <f t="shared" si="41"/>
        <v>12978.878559766081</v>
      </c>
      <c r="R124" s="187" t="s">
        <v>2460</v>
      </c>
      <c r="S124" s="187" t="s">
        <v>3607</v>
      </c>
      <c r="T124" s="94" t="s">
        <v>2862</v>
      </c>
      <c r="U124" s="395">
        <f>COUNTIF(Aggregation_of_rev_to_allocate!$A$3:$A$137,$T124)</f>
        <v>1</v>
      </c>
      <c r="V124" s="100"/>
      <c r="W124" s="100">
        <v>65</v>
      </c>
      <c r="X124" s="109">
        <v>137279.2171776288</v>
      </c>
      <c r="Y124" s="109">
        <v>54213.65695319917</v>
      </c>
      <c r="Z124" s="110">
        <v>0.67165972462970702</v>
      </c>
      <c r="AA124" s="110">
        <v>0.71688942891859053</v>
      </c>
      <c r="AB124" s="110">
        <v>0.28311057108140947</v>
      </c>
      <c r="AC124" s="109">
        <f>IF(ISERROR((X124*SUMIF('Rev_for_allocation(Hard)'!$A$3:$A$249,$T124,'Rev_for_allocation(Hard)'!$I$3:$I$249)/SUMIF(Historic_capex_list!$T$9:$T$586,$T124,Historic_capex_list!$X$9:$X$586))=TRUE),0,X124*SUMIF('Rev_for_allocation(Hard)'!$A$3:$A$249,$T124,'Rev_for_allocation(Hard)'!$I$3:$I$249)/SUMIF(Historic_capex_list!$T$9:$T$586,$T124,Historic_capex_list!$X$9:$X$586))</f>
        <v>-4203.4771775372146</v>
      </c>
      <c r="AD124" s="109">
        <f t="shared" si="42"/>
        <v>133075.74000009158</v>
      </c>
      <c r="AE124" s="109">
        <f t="shared" si="43"/>
        <v>133075.74000009158</v>
      </c>
      <c r="AF124" s="109">
        <f t="shared" si="44"/>
        <v>187289.39695329074</v>
      </c>
      <c r="AG124" s="332" t="str">
        <f t="shared" si="45"/>
        <v>N</v>
      </c>
      <c r="AH124" s="332">
        <f t="shared" si="46"/>
        <v>0</v>
      </c>
      <c r="AI124" s="332">
        <f t="shared" si="47"/>
        <v>0</v>
      </c>
      <c r="AJ124" s="109">
        <f t="shared" si="48"/>
        <v>187289.39695329074</v>
      </c>
      <c r="AK124" s="109">
        <f t="shared" si="49"/>
        <v>0</v>
      </c>
      <c r="AL124" s="109">
        <v>0</v>
      </c>
      <c r="AM124" s="111">
        <f t="shared" si="50"/>
        <v>3.9491525423728815</v>
      </c>
      <c r="AN124" s="111">
        <f t="shared" si="51"/>
        <v>0.94915254237288149</v>
      </c>
      <c r="AO124" s="111" t="str">
        <f t="shared" si="52"/>
        <v>Use deduct 3yrs</v>
      </c>
      <c r="AP124" s="111">
        <f t="shared" si="53"/>
        <v>0.94915254237288149</v>
      </c>
      <c r="AQ124" s="112">
        <f t="shared" si="54"/>
        <v>8.6687306501547989E-2</v>
      </c>
      <c r="AR124" s="112">
        <f t="shared" si="55"/>
        <v>0.91331269349845201</v>
      </c>
      <c r="AS124" s="113">
        <f t="shared" si="56"/>
        <v>2029</v>
      </c>
      <c r="AT124" s="109">
        <v>187150.79351805552</v>
      </c>
      <c r="AU124" s="114">
        <v>0.91331269349845201</v>
      </c>
      <c r="AV124" s="113">
        <v>2029</v>
      </c>
      <c r="AW124" s="112">
        <f t="shared" si="57"/>
        <v>0.82053738950547661</v>
      </c>
      <c r="AX124" s="109">
        <f t="shared" si="58"/>
        <v>170927.19531834795</v>
      </c>
      <c r="AY124" s="109">
        <f t="shared" si="59"/>
        <v>16223.598199707601</v>
      </c>
      <c r="AZ124" s="109">
        <f t="shared" si="60"/>
        <v>187150.79351805555</v>
      </c>
      <c r="BA124" s="111">
        <f t="shared" si="61"/>
        <v>0</v>
      </c>
      <c r="BB124" s="117"/>
      <c r="BC124" s="115" t="str">
        <f t="shared" si="62"/>
        <v>N</v>
      </c>
      <c r="BD124" s="115" t="str">
        <f t="shared" si="63"/>
        <v>Y</v>
      </c>
      <c r="BE124" s="115" t="str">
        <f t="shared" si="64"/>
        <v>N</v>
      </c>
      <c r="BF124" s="109" t="str">
        <f t="shared" si="65"/>
        <v/>
      </c>
      <c r="BG124" s="111" t="s">
        <v>2499</v>
      </c>
      <c r="BH124" s="115" t="s">
        <v>1168</v>
      </c>
      <c r="BI124" s="116"/>
      <c r="BJ124" s="222">
        <v>0.65642991160438124</v>
      </c>
      <c r="BK124" s="265">
        <f t="shared" si="66"/>
        <v>3244.7196399415207</v>
      </c>
      <c r="BL124" s="265">
        <f t="shared" si="67"/>
        <v>-3244.7196399415207</v>
      </c>
      <c r="BM124" s="265">
        <f t="shared" si="68"/>
        <v>0</v>
      </c>
      <c r="BN124" s="265">
        <f t="shared" si="69"/>
        <v>537.46092295047129</v>
      </c>
      <c r="BO124" s="109"/>
      <c r="BP124" s="265">
        <f t="shared" si="70"/>
        <v>4342.0806127724354</v>
      </c>
      <c r="BQ124" s="265">
        <v>4342.0806127724354</v>
      </c>
      <c r="BR124" s="265" t="e">
        <f t="shared" si="71"/>
        <v>#REF!</v>
      </c>
      <c r="BS124" s="265">
        <v>489.17548574793477</v>
      </c>
      <c r="BT124" s="475">
        <v>97953.206481944493</v>
      </c>
      <c r="BU124" s="475">
        <v>170927.19531834792</v>
      </c>
      <c r="BV124" s="475">
        <v>16223.5981997076</v>
      </c>
      <c r="BW124" s="483">
        <f t="shared" si="72"/>
        <v>-34185.43906366959</v>
      </c>
      <c r="BX124" s="483">
        <f t="shared" si="73"/>
        <v>-3244.7196399415188</v>
      </c>
    </row>
    <row r="125" spans="1:76" s="103" customFormat="1" ht="29">
      <c r="A125" s="100" t="s">
        <v>2502</v>
      </c>
      <c r="B125" s="91" t="str">
        <f t="shared" si="37"/>
        <v xml:space="preserve">CI </v>
      </c>
      <c r="C125" s="92" t="s">
        <v>2273</v>
      </c>
      <c r="D125" s="448"/>
      <c r="E125" s="451">
        <v>2130322</v>
      </c>
      <c r="F125" s="409" t="s">
        <v>2528</v>
      </c>
      <c r="G125" s="384" t="s">
        <v>5247</v>
      </c>
      <c r="H125" s="398">
        <v>0.34</v>
      </c>
      <c r="I125" s="151"/>
      <c r="J125" s="95" t="s">
        <v>1166</v>
      </c>
      <c r="K125" s="191">
        <v>1026708</v>
      </c>
      <c r="L125" s="269">
        <v>0.29378016991569622</v>
      </c>
      <c r="M125" s="267">
        <v>1</v>
      </c>
      <c r="N125" s="267">
        <f t="shared" si="38"/>
        <v>0</v>
      </c>
      <c r="O125" s="96">
        <f t="shared" si="39"/>
        <v>924155.00676410634</v>
      </c>
      <c r="P125" s="96">
        <f t="shared" si="40"/>
        <v>102552.99323589359</v>
      </c>
      <c r="Q125" s="96">
        <f t="shared" si="41"/>
        <v>0</v>
      </c>
      <c r="R125" s="187" t="s">
        <v>2454</v>
      </c>
      <c r="S125" s="187" t="s">
        <v>3607</v>
      </c>
      <c r="T125" s="94" t="s">
        <v>2856</v>
      </c>
      <c r="U125" s="395">
        <f>COUNTIF(Aggregation_of_rev_to_allocate!$A$3:$A$137,$T125)</f>
        <v>1</v>
      </c>
      <c r="V125" s="100"/>
      <c r="W125" s="100">
        <v>76</v>
      </c>
      <c r="X125" s="109">
        <v>341823.91708060785</v>
      </c>
      <c r="Y125" s="109">
        <v>0</v>
      </c>
      <c r="Z125" s="110">
        <v>0.9792116765446337</v>
      </c>
      <c r="AA125" s="110">
        <v>1</v>
      </c>
      <c r="AB125" s="110">
        <v>0</v>
      </c>
      <c r="AC125" s="109">
        <f>IF(ISERROR((X125*SUMIF('Rev_for_allocation(Hard)'!$A$3:$A$249,$T125,'Rev_for_allocation(Hard)'!$I$3:$I$249)/SUMIF(Historic_capex_list!$T$9:$T$586,$T125,Historic_capex_list!$X$9:$X$586))=TRUE),0,X125*SUMIF('Rev_for_allocation(Hard)'!$A$3:$A$249,$T125,'Rev_for_allocation(Hard)'!$I$3:$I$249)/SUMIF(Historic_capex_list!$T$9:$T$586,$T125,Historic_capex_list!$X$9:$X$586))</f>
        <v>-239270.92384471427</v>
      </c>
      <c r="AD125" s="109">
        <f t="shared" si="42"/>
        <v>102552.99323589358</v>
      </c>
      <c r="AE125" s="109">
        <f t="shared" si="43"/>
        <v>102552.99323589358</v>
      </c>
      <c r="AF125" s="109">
        <f t="shared" si="44"/>
        <v>102552.99323589358</v>
      </c>
      <c r="AG125" s="332" t="str">
        <f t="shared" si="45"/>
        <v>N</v>
      </c>
      <c r="AH125" s="332">
        <f t="shared" si="46"/>
        <v>0</v>
      </c>
      <c r="AI125" s="332">
        <f t="shared" si="47"/>
        <v>0</v>
      </c>
      <c r="AJ125" s="109">
        <f t="shared" si="48"/>
        <v>102552.99323589358</v>
      </c>
      <c r="AK125" s="109">
        <f t="shared" si="49"/>
        <v>0</v>
      </c>
      <c r="AL125" s="109">
        <v>0</v>
      </c>
      <c r="AM125" s="111">
        <f t="shared" si="50"/>
        <v>0</v>
      </c>
      <c r="AN125" s="111">
        <f t="shared" si="51"/>
        <v>0</v>
      </c>
      <c r="AO125" s="111">
        <f t="shared" si="52"/>
        <v>-13.331442242191853</v>
      </c>
      <c r="AP125" s="111">
        <f t="shared" si="53"/>
        <v>0</v>
      </c>
      <c r="AQ125" s="112">
        <f t="shared" si="54"/>
        <v>0</v>
      </c>
      <c r="AR125" s="112">
        <f t="shared" si="55"/>
        <v>1</v>
      </c>
      <c r="AS125" s="113">
        <f t="shared" si="56"/>
        <v>2028</v>
      </c>
      <c r="AT125" s="109">
        <v>102552.99323589358</v>
      </c>
      <c r="AU125" s="114">
        <v>1</v>
      </c>
      <c r="AV125" s="113">
        <v>2028</v>
      </c>
      <c r="AW125" s="112">
        <f t="shared" si="57"/>
        <v>0.29378016991569622</v>
      </c>
      <c r="AX125" s="109">
        <f t="shared" si="58"/>
        <v>102552.99323589359</v>
      </c>
      <c r="AY125" s="109">
        <f t="shared" si="59"/>
        <v>0</v>
      </c>
      <c r="AZ125" s="109">
        <f t="shared" si="60"/>
        <v>102552.99323589359</v>
      </c>
      <c r="BA125" s="111">
        <f t="shared" si="61"/>
        <v>0</v>
      </c>
      <c r="BB125" s="117"/>
      <c r="BC125" s="115" t="str">
        <f t="shared" si="62"/>
        <v>N</v>
      </c>
      <c r="BD125" s="115" t="str">
        <f t="shared" si="63"/>
        <v>Y</v>
      </c>
      <c r="BE125" s="115" t="str">
        <f t="shared" si="64"/>
        <v>N</v>
      </c>
      <c r="BF125" s="109" t="str">
        <f t="shared" si="65"/>
        <v/>
      </c>
      <c r="BG125" s="111" t="s">
        <v>2499</v>
      </c>
      <c r="BH125" s="115" t="s">
        <v>1168</v>
      </c>
      <c r="BI125" s="116"/>
      <c r="BJ125" s="222">
        <v>0.29378016991569622</v>
      </c>
      <c r="BK125" s="265">
        <f t="shared" si="66"/>
        <v>0</v>
      </c>
      <c r="BL125" s="265">
        <f t="shared" si="67"/>
        <v>0</v>
      </c>
      <c r="BM125" s="265">
        <f t="shared" si="68"/>
        <v>7.2759576141834259E-11</v>
      </c>
      <c r="BN125" s="265">
        <f t="shared" si="69"/>
        <v>239270.92384471424</v>
      </c>
      <c r="BO125" s="109"/>
      <c r="BP125" s="265">
        <f t="shared" si="70"/>
        <v>239270.92384471427</v>
      </c>
      <c r="BQ125" s="265">
        <v>239270.92384471427</v>
      </c>
      <c r="BR125" s="265" t="e">
        <f t="shared" si="71"/>
        <v>#REF!</v>
      </c>
      <c r="BS125" s="265">
        <v>26956.07954693435</v>
      </c>
      <c r="BT125" s="475">
        <v>924155.00676410634</v>
      </c>
      <c r="BU125" s="475">
        <v>102552.99323589359</v>
      </c>
      <c r="BV125" s="475">
        <v>0</v>
      </c>
      <c r="BW125" s="483">
        <f t="shared" si="72"/>
        <v>0</v>
      </c>
      <c r="BX125" s="483">
        <f t="shared" si="73"/>
        <v>0</v>
      </c>
    </row>
    <row r="126" spans="1:76" s="103" customFormat="1" ht="58">
      <c r="A126" s="100" t="s">
        <v>2504</v>
      </c>
      <c r="B126" s="91" t="str">
        <f t="shared" si="37"/>
        <v xml:space="preserve">CI </v>
      </c>
      <c r="C126" s="92" t="s">
        <v>2275</v>
      </c>
      <c r="D126" s="448" t="s">
        <v>2269</v>
      </c>
      <c r="E126" s="451">
        <v>2200114</v>
      </c>
      <c r="F126" s="409" t="s">
        <v>2217</v>
      </c>
      <c r="G126" s="467" t="s">
        <v>5036</v>
      </c>
      <c r="H126" s="398">
        <v>0.625</v>
      </c>
      <c r="I126" s="151" t="s">
        <v>951</v>
      </c>
      <c r="J126" s="95" t="s">
        <v>1166</v>
      </c>
      <c r="K126" s="191">
        <v>9110420</v>
      </c>
      <c r="L126" s="269">
        <v>0.96772950172435079</v>
      </c>
      <c r="M126" s="267">
        <v>1</v>
      </c>
      <c r="N126" s="267">
        <f t="shared" si="38"/>
        <v>0</v>
      </c>
      <c r="O126" s="96">
        <f t="shared" si="39"/>
        <v>3600156.1205627751</v>
      </c>
      <c r="P126" s="96">
        <f t="shared" si="40"/>
        <v>5510263.8794372249</v>
      </c>
      <c r="Q126" s="96">
        <f t="shared" si="41"/>
        <v>0</v>
      </c>
      <c r="R126" s="187" t="s">
        <v>2407</v>
      </c>
      <c r="S126" s="187" t="s">
        <v>3607</v>
      </c>
      <c r="T126" s="94" t="s">
        <v>2848</v>
      </c>
      <c r="U126" s="395">
        <f>COUNTIF(Aggregation_of_rev_to_allocate!$A$3:$A$137,$T126)</f>
        <v>1</v>
      </c>
      <c r="V126" s="100"/>
      <c r="W126" s="100">
        <v>57</v>
      </c>
      <c r="X126" s="109">
        <v>4753953.1508870181</v>
      </c>
      <c r="Y126" s="109">
        <v>756310.7285502071</v>
      </c>
      <c r="Z126" s="110">
        <v>0.96772950172435079</v>
      </c>
      <c r="AA126" s="110">
        <v>0.86274509803921573</v>
      </c>
      <c r="AB126" s="110">
        <v>0.13725490196078427</v>
      </c>
      <c r="AC126" s="109">
        <f>IF(ISERROR((X126*SUMIF('Rev_for_allocation(Hard)'!$A$3:$A$249,$T126,'Rev_for_allocation(Hard)'!$I$3:$I$249)/SUMIF(Historic_capex_list!$T$9:$T$586,$T126,Historic_capex_list!$X$9:$X$586))=TRUE),0,X126*SUMIF('Rev_for_allocation(Hard)'!$A$3:$A$249,$T126,'Rev_for_allocation(Hard)'!$I$3:$I$249)/SUMIF(Historic_capex_list!$T$9:$T$586,$T126,Historic_capex_list!$X$9:$X$586))</f>
        <v>0</v>
      </c>
      <c r="AD126" s="109">
        <f t="shared" si="42"/>
        <v>4753953.1508870181</v>
      </c>
      <c r="AE126" s="109">
        <f t="shared" si="43"/>
        <v>4753953.1508870181</v>
      </c>
      <c r="AF126" s="109">
        <f t="shared" si="44"/>
        <v>5510263.8794372249</v>
      </c>
      <c r="AG126" s="332" t="str">
        <f t="shared" si="45"/>
        <v>N</v>
      </c>
      <c r="AH126" s="332">
        <f t="shared" si="46"/>
        <v>0</v>
      </c>
      <c r="AI126" s="332">
        <f t="shared" si="47"/>
        <v>0</v>
      </c>
      <c r="AJ126" s="109">
        <f t="shared" si="48"/>
        <v>5510263.8794372249</v>
      </c>
      <c r="AK126" s="109">
        <f t="shared" si="49"/>
        <v>0</v>
      </c>
      <c r="AL126" s="109">
        <v>0</v>
      </c>
      <c r="AM126" s="111">
        <f t="shared" si="50"/>
        <v>1.5909090909090904</v>
      </c>
      <c r="AN126" s="111">
        <f t="shared" si="51"/>
        <v>-1.4090909090909096</v>
      </c>
      <c r="AO126" s="111" t="str">
        <f t="shared" si="52"/>
        <v>Use deduct 3yrs</v>
      </c>
      <c r="AP126" s="111">
        <f t="shared" si="53"/>
        <v>-1.4090909090909096</v>
      </c>
      <c r="AQ126" s="112">
        <f t="shared" si="54"/>
        <v>0</v>
      </c>
      <c r="AR126" s="112">
        <f t="shared" si="55"/>
        <v>1</v>
      </c>
      <c r="AS126" s="113">
        <f t="shared" si="56"/>
        <v>2028</v>
      </c>
      <c r="AT126" s="109">
        <v>5510263.8794372249</v>
      </c>
      <c r="AU126" s="114">
        <v>1</v>
      </c>
      <c r="AV126" s="113">
        <v>2028</v>
      </c>
      <c r="AW126" s="112">
        <f t="shared" si="57"/>
        <v>0.96772950172435079</v>
      </c>
      <c r="AX126" s="109">
        <f t="shared" si="58"/>
        <v>5510263.8794372249</v>
      </c>
      <c r="AY126" s="109">
        <f t="shared" si="59"/>
        <v>0</v>
      </c>
      <c r="AZ126" s="109">
        <f t="shared" si="60"/>
        <v>5510263.8794372249</v>
      </c>
      <c r="BA126" s="111">
        <f t="shared" si="61"/>
        <v>0</v>
      </c>
      <c r="BB126" s="117"/>
      <c r="BC126" s="115" t="str">
        <f t="shared" si="62"/>
        <v>N</v>
      </c>
      <c r="BD126" s="115" t="str">
        <f t="shared" si="63"/>
        <v>Y</v>
      </c>
      <c r="BE126" s="115" t="str">
        <f t="shared" si="64"/>
        <v>N</v>
      </c>
      <c r="BF126" s="109" t="str">
        <f t="shared" si="65"/>
        <v/>
      </c>
      <c r="BG126" s="111" t="s">
        <v>2499</v>
      </c>
      <c r="BH126" s="115" t="s">
        <v>1168</v>
      </c>
      <c r="BI126" s="116"/>
      <c r="BJ126" s="222">
        <v>0.96772950172435079</v>
      </c>
      <c r="BK126" s="265">
        <f t="shared" si="66"/>
        <v>0</v>
      </c>
      <c r="BL126" s="265">
        <f t="shared" si="67"/>
        <v>0</v>
      </c>
      <c r="BM126" s="265">
        <f t="shared" si="68"/>
        <v>0</v>
      </c>
      <c r="BN126" s="265">
        <f t="shared" si="69"/>
        <v>-756310.72855020687</v>
      </c>
      <c r="BO126" s="109"/>
      <c r="BP126" s="265">
        <f t="shared" si="70"/>
        <v>0</v>
      </c>
      <c r="BQ126" s="265">
        <v>0</v>
      </c>
      <c r="BR126" s="265" t="e">
        <f t="shared" si="71"/>
        <v>#REF!</v>
      </c>
      <c r="BS126" s="265">
        <v>0</v>
      </c>
      <c r="BT126" s="475">
        <v>3600156.1205627751</v>
      </c>
      <c r="BU126" s="475">
        <v>5510263.8794372249</v>
      </c>
      <c r="BV126" s="475">
        <v>0</v>
      </c>
      <c r="BW126" s="483">
        <f t="shared" si="72"/>
        <v>0</v>
      </c>
      <c r="BX126" s="483">
        <f t="shared" si="73"/>
        <v>0</v>
      </c>
    </row>
    <row r="127" spans="1:76" s="103" customFormat="1" ht="14.5">
      <c r="A127" s="100" t="s">
        <v>2502</v>
      </c>
      <c r="B127" s="91" t="str">
        <f t="shared" si="37"/>
        <v xml:space="preserve">CI </v>
      </c>
      <c r="C127" s="92" t="s">
        <v>462</v>
      </c>
      <c r="D127" s="448" t="s">
        <v>2269</v>
      </c>
      <c r="E127" s="449" t="s">
        <v>2230</v>
      </c>
      <c r="F127" s="467" t="s">
        <v>4480</v>
      </c>
      <c r="G127" s="467" t="s">
        <v>4712</v>
      </c>
      <c r="H127" s="398">
        <v>4.7604615384615384E-2</v>
      </c>
      <c r="I127" s="95" t="s">
        <v>890</v>
      </c>
      <c r="J127" s="95" t="s">
        <v>1166</v>
      </c>
      <c r="K127" s="191">
        <v>6056825.0552579993</v>
      </c>
      <c r="L127" s="268">
        <v>0.90861847124050676</v>
      </c>
      <c r="M127" s="266">
        <v>1</v>
      </c>
      <c r="N127" s="267">
        <f t="shared" si="38"/>
        <v>0</v>
      </c>
      <c r="O127" s="96">
        <f t="shared" si="39"/>
        <v>5794840.5225923043</v>
      </c>
      <c r="P127" s="96">
        <f t="shared" si="40"/>
        <v>261984.53266569448</v>
      </c>
      <c r="Q127" s="96">
        <f t="shared" si="41"/>
        <v>0</v>
      </c>
      <c r="R127" s="187" t="s">
        <v>2552</v>
      </c>
      <c r="S127" s="187" t="s">
        <v>3608</v>
      </c>
      <c r="T127" s="94" t="s">
        <v>2867</v>
      </c>
      <c r="U127" s="395">
        <f>COUNTIF(Aggregation_of_rev_to_allocate!$A$3:$A$137,$T127)</f>
        <v>1</v>
      </c>
      <c r="V127" s="100"/>
      <c r="W127" s="100">
        <v>70</v>
      </c>
      <c r="X127" s="109">
        <v>263248.32948722964</v>
      </c>
      <c r="Y127" s="109">
        <v>0</v>
      </c>
      <c r="Z127" s="110">
        <v>0.91300158929811825</v>
      </c>
      <c r="AA127" s="110">
        <v>1</v>
      </c>
      <c r="AB127" s="110">
        <v>0</v>
      </c>
      <c r="AC127" s="109">
        <f>IF(ISERROR((X127*SUMIF('Rev_for_allocation(Hard)'!$A$3:$A$249,$T127,'Rev_for_allocation(Hard)'!$I$3:$I$249)/SUMIF(Historic_capex_list!$T$9:$T$586,$T127,Historic_capex_list!$X$9:$X$586))=TRUE),0,X127*SUMIF('Rev_for_allocation(Hard)'!$A$3:$A$249,$T127,'Rev_for_allocation(Hard)'!$I$3:$I$249)/SUMIF(Historic_capex_list!$T$9:$T$586,$T127,Historic_capex_list!$X$9:$X$586))</f>
        <v>-1263.7968215351357</v>
      </c>
      <c r="AD127" s="109">
        <f t="shared" si="42"/>
        <v>261984.53266569451</v>
      </c>
      <c r="AE127" s="109">
        <f t="shared" si="43"/>
        <v>261984.53266569451</v>
      </c>
      <c r="AF127" s="109">
        <f t="shared" si="44"/>
        <v>261984.53266569451</v>
      </c>
      <c r="AG127" s="332" t="str">
        <f t="shared" si="45"/>
        <v>N</v>
      </c>
      <c r="AH127" s="332">
        <f t="shared" si="46"/>
        <v>0</v>
      </c>
      <c r="AI127" s="332">
        <f t="shared" si="47"/>
        <v>0</v>
      </c>
      <c r="AJ127" s="109">
        <f t="shared" si="48"/>
        <v>261984.53266569451</v>
      </c>
      <c r="AK127" s="109">
        <f t="shared" si="49"/>
        <v>0</v>
      </c>
      <c r="AL127" s="109">
        <v>0</v>
      </c>
      <c r="AM127" s="111">
        <f t="shared" si="50"/>
        <v>0</v>
      </c>
      <c r="AN127" s="111">
        <f t="shared" si="51"/>
        <v>0</v>
      </c>
      <c r="AO127" s="111" t="str">
        <f t="shared" si="52"/>
        <v>Use deduct 3yrs</v>
      </c>
      <c r="AP127" s="111">
        <f t="shared" si="53"/>
        <v>0</v>
      </c>
      <c r="AQ127" s="112">
        <f t="shared" si="54"/>
        <v>0</v>
      </c>
      <c r="AR127" s="112">
        <f t="shared" si="55"/>
        <v>1</v>
      </c>
      <c r="AS127" s="113">
        <f t="shared" si="56"/>
        <v>2028</v>
      </c>
      <c r="AT127" s="109">
        <v>261984.53266569451</v>
      </c>
      <c r="AU127" s="114">
        <v>1</v>
      </c>
      <c r="AV127" s="113">
        <v>2028</v>
      </c>
      <c r="AW127" s="112">
        <f t="shared" si="57"/>
        <v>0.90861847124050676</v>
      </c>
      <c r="AX127" s="109">
        <f t="shared" si="58"/>
        <v>261984.53266569448</v>
      </c>
      <c r="AY127" s="109">
        <f t="shared" si="59"/>
        <v>0</v>
      </c>
      <c r="AZ127" s="109">
        <f t="shared" si="60"/>
        <v>261984.53266569448</v>
      </c>
      <c r="BA127" s="111">
        <f t="shared" si="61"/>
        <v>0</v>
      </c>
      <c r="BB127" s="117"/>
      <c r="BC127" s="115" t="str">
        <f t="shared" si="62"/>
        <v>N</v>
      </c>
      <c r="BD127" s="115" t="str">
        <f t="shared" si="63"/>
        <v>Y</v>
      </c>
      <c r="BE127" s="115" t="str">
        <f t="shared" si="64"/>
        <v>N</v>
      </c>
      <c r="BF127" s="109" t="str">
        <f t="shared" si="65"/>
        <v/>
      </c>
      <c r="BG127" s="111" t="s">
        <v>2499</v>
      </c>
      <c r="BH127" s="115" t="s">
        <v>1168</v>
      </c>
      <c r="BI127" s="116"/>
      <c r="BJ127" s="222">
        <v>0.90861847124050676</v>
      </c>
      <c r="BK127" s="265">
        <f t="shared" si="66"/>
        <v>0</v>
      </c>
      <c r="BL127" s="265">
        <f t="shared" si="67"/>
        <v>0</v>
      </c>
      <c r="BM127" s="265">
        <f t="shared" si="68"/>
        <v>5.8207660913467407E-10</v>
      </c>
      <c r="BN127" s="265">
        <f t="shared" si="69"/>
        <v>1263.7968215351575</v>
      </c>
      <c r="BO127" s="109"/>
      <c r="BP127" s="265">
        <f t="shared" si="70"/>
        <v>1263.7968215351284</v>
      </c>
      <c r="BQ127" s="265">
        <v>1263.7968215351284</v>
      </c>
      <c r="BR127" s="265" t="e">
        <f t="shared" si="71"/>
        <v>#REF!</v>
      </c>
      <c r="BS127" s="265">
        <v>142.37838474085987</v>
      </c>
      <c r="BT127" s="475">
        <v>5794840.5225923043</v>
      </c>
      <c r="BU127" s="475">
        <v>261984.53266569448</v>
      </c>
      <c r="BV127" s="475">
        <v>0</v>
      </c>
      <c r="BW127" s="483">
        <f t="shared" si="72"/>
        <v>0</v>
      </c>
      <c r="BX127" s="483">
        <f t="shared" si="73"/>
        <v>0</v>
      </c>
    </row>
    <row r="128" spans="1:76" s="103" customFormat="1" ht="58">
      <c r="A128" s="100" t="s">
        <v>2502</v>
      </c>
      <c r="B128" s="91" t="str">
        <f t="shared" si="37"/>
        <v xml:space="preserve">CI </v>
      </c>
      <c r="C128" s="92" t="s">
        <v>2273</v>
      </c>
      <c r="D128" s="448" t="s">
        <v>2269</v>
      </c>
      <c r="E128" s="451">
        <v>2130427</v>
      </c>
      <c r="F128" s="409" t="s">
        <v>2319</v>
      </c>
      <c r="G128" s="467" t="s">
        <v>5014</v>
      </c>
      <c r="H128" s="398">
        <v>1</v>
      </c>
      <c r="I128" s="151"/>
      <c r="J128" s="95" t="s">
        <v>1166</v>
      </c>
      <c r="K128" s="191">
        <v>31342.31</v>
      </c>
      <c r="L128" s="269">
        <v>0.88418658309757014</v>
      </c>
      <c r="M128" s="267">
        <v>1</v>
      </c>
      <c r="N128" s="267">
        <f t="shared" si="38"/>
        <v>0</v>
      </c>
      <c r="O128" s="96">
        <f t="shared" si="39"/>
        <v>3629.8600147151965</v>
      </c>
      <c r="P128" s="96">
        <f t="shared" si="40"/>
        <v>27712.449985284806</v>
      </c>
      <c r="Q128" s="96">
        <f t="shared" si="41"/>
        <v>0</v>
      </c>
      <c r="R128" s="187" t="s">
        <v>2268</v>
      </c>
      <c r="S128" s="187" t="s">
        <v>3608</v>
      </c>
      <c r="T128" s="94" t="s">
        <v>2842</v>
      </c>
      <c r="U128" s="395">
        <f>COUNTIF(Aggregation_of_rev_to_allocate!$A$3:$A$137,$T128)</f>
        <v>1</v>
      </c>
      <c r="V128" s="100"/>
      <c r="W128" s="100">
        <v>43</v>
      </c>
      <c r="X128" s="109">
        <v>30690.755921881639</v>
      </c>
      <c r="Y128" s="109">
        <v>0</v>
      </c>
      <c r="Z128" s="110">
        <v>0.9792116765446337</v>
      </c>
      <c r="AA128" s="110">
        <v>1</v>
      </c>
      <c r="AB128" s="110">
        <v>0</v>
      </c>
      <c r="AC128" s="109">
        <f>IF(ISERROR((X128*SUMIF('Rev_for_allocation(Hard)'!$A$3:$A$249,$T128,'Rev_for_allocation(Hard)'!$I$3:$I$249)/SUMIF(Historic_capex_list!$T$9:$T$586,$T128,Historic_capex_list!$X$9:$X$586))=TRUE),0,X128*SUMIF('Rev_for_allocation(Hard)'!$A$3:$A$249,$T128,'Rev_for_allocation(Hard)'!$I$3:$I$249)/SUMIF(Historic_capex_list!$T$9:$T$586,$T128,Historic_capex_list!$X$9:$X$586))</f>
        <v>-2366.675706792264</v>
      </c>
      <c r="AD128" s="109">
        <f t="shared" si="42"/>
        <v>28324.080215089376</v>
      </c>
      <c r="AE128" s="109">
        <f t="shared" si="43"/>
        <v>28324.080215089376</v>
      </c>
      <c r="AF128" s="109">
        <f t="shared" si="44"/>
        <v>28324.080215089376</v>
      </c>
      <c r="AG128" s="332" t="str">
        <f t="shared" si="45"/>
        <v>N</v>
      </c>
      <c r="AH128" s="332">
        <f t="shared" si="46"/>
        <v>0</v>
      </c>
      <c r="AI128" s="332">
        <f t="shared" si="47"/>
        <v>0</v>
      </c>
      <c r="AJ128" s="109">
        <f t="shared" si="48"/>
        <v>28324.080215089376</v>
      </c>
      <c r="AK128" s="109">
        <f t="shared" si="49"/>
        <v>0</v>
      </c>
      <c r="AL128" s="109">
        <v>0</v>
      </c>
      <c r="AM128" s="111">
        <f t="shared" si="50"/>
        <v>0</v>
      </c>
      <c r="AN128" s="111">
        <f t="shared" si="51"/>
        <v>0</v>
      </c>
      <c r="AO128" s="111" t="str">
        <f t="shared" si="52"/>
        <v>Use deduct 3yrs</v>
      </c>
      <c r="AP128" s="111">
        <f t="shared" si="53"/>
        <v>0</v>
      </c>
      <c r="AQ128" s="112">
        <f t="shared" si="54"/>
        <v>0</v>
      </c>
      <c r="AR128" s="112">
        <f t="shared" si="55"/>
        <v>1</v>
      </c>
      <c r="AS128" s="113">
        <f t="shared" si="56"/>
        <v>2028</v>
      </c>
      <c r="AT128" s="109">
        <v>27712.449985284806</v>
      </c>
      <c r="AU128" s="114">
        <v>1</v>
      </c>
      <c r="AV128" s="113">
        <v>2028</v>
      </c>
      <c r="AW128" s="112">
        <f t="shared" si="57"/>
        <v>0.88418658309757014</v>
      </c>
      <c r="AX128" s="109">
        <f t="shared" si="58"/>
        <v>27712.449985284806</v>
      </c>
      <c r="AY128" s="109">
        <f t="shared" si="59"/>
        <v>0</v>
      </c>
      <c r="AZ128" s="109">
        <f t="shared" si="60"/>
        <v>27712.449985284806</v>
      </c>
      <c r="BA128" s="111">
        <f t="shared" si="61"/>
        <v>0</v>
      </c>
      <c r="BB128" s="117"/>
      <c r="BC128" s="115" t="str">
        <f t="shared" si="62"/>
        <v>N</v>
      </c>
      <c r="BD128" s="115" t="str">
        <f t="shared" si="63"/>
        <v>Y</v>
      </c>
      <c r="BE128" s="115" t="str">
        <f t="shared" si="64"/>
        <v>N</v>
      </c>
      <c r="BF128" s="109" t="str">
        <f t="shared" si="65"/>
        <v/>
      </c>
      <c r="BG128" s="111" t="s">
        <v>2499</v>
      </c>
      <c r="BH128" s="115" t="s">
        <v>1168</v>
      </c>
      <c r="BI128" s="116"/>
      <c r="BJ128" s="222">
        <v>0.88418658309757014</v>
      </c>
      <c r="BK128" s="265">
        <f t="shared" si="66"/>
        <v>0</v>
      </c>
      <c r="BL128" s="265">
        <f t="shared" si="67"/>
        <v>0</v>
      </c>
      <c r="BM128" s="265">
        <f t="shared" si="68"/>
        <v>0</v>
      </c>
      <c r="BN128" s="265">
        <f t="shared" si="69"/>
        <v>2978.3059365968329</v>
      </c>
      <c r="BO128" s="109"/>
      <c r="BP128" s="265">
        <f t="shared" si="70"/>
        <v>2978.3059365968329</v>
      </c>
      <c r="BQ128" s="265">
        <v>2978.3059365968329</v>
      </c>
      <c r="BR128" s="265" t="e">
        <f t="shared" si="71"/>
        <v>#REF!</v>
      </c>
      <c r="BS128" s="265">
        <v>335.53367225728869</v>
      </c>
      <c r="BT128" s="475">
        <v>3629.8600147151965</v>
      </c>
      <c r="BU128" s="475">
        <v>27712.449985284806</v>
      </c>
      <c r="BV128" s="475">
        <v>0</v>
      </c>
      <c r="BW128" s="483">
        <f t="shared" si="72"/>
        <v>0</v>
      </c>
      <c r="BX128" s="483">
        <f t="shared" si="73"/>
        <v>0</v>
      </c>
    </row>
    <row r="129" spans="1:76" s="103" customFormat="1" ht="43.5">
      <c r="A129" s="100" t="s">
        <v>2502</v>
      </c>
      <c r="B129" s="91" t="str">
        <f t="shared" si="37"/>
        <v xml:space="preserve">CI </v>
      </c>
      <c r="C129" s="92" t="s">
        <v>2273</v>
      </c>
      <c r="D129" s="448" t="s">
        <v>2269</v>
      </c>
      <c r="E129" s="451">
        <v>2130420</v>
      </c>
      <c r="F129" s="409" t="s">
        <v>2320</v>
      </c>
      <c r="G129" s="467" t="s">
        <v>5015</v>
      </c>
      <c r="H129" s="398">
        <v>1</v>
      </c>
      <c r="I129" s="151"/>
      <c r="J129" s="95" t="s">
        <v>1166</v>
      </c>
      <c r="K129" s="191">
        <v>547987.27</v>
      </c>
      <c r="L129" s="269">
        <v>0.88418658309757014</v>
      </c>
      <c r="M129" s="267">
        <v>1</v>
      </c>
      <c r="N129" s="267">
        <f t="shared" si="38"/>
        <v>0</v>
      </c>
      <c r="O129" s="96">
        <f t="shared" si="39"/>
        <v>63464.278157734392</v>
      </c>
      <c r="P129" s="96">
        <f t="shared" si="40"/>
        <v>484522.99184226565</v>
      </c>
      <c r="Q129" s="96">
        <f t="shared" si="41"/>
        <v>0</v>
      </c>
      <c r="R129" s="187" t="s">
        <v>2268</v>
      </c>
      <c r="S129" s="187" t="s">
        <v>3608</v>
      </c>
      <c r="T129" s="94" t="s">
        <v>2842</v>
      </c>
      <c r="U129" s="395">
        <f>COUNTIF(Aggregation_of_rev_to_allocate!$A$3:$A$137,$T129)</f>
        <v>1</v>
      </c>
      <c r="V129" s="100"/>
      <c r="W129" s="100">
        <v>44</v>
      </c>
      <c r="X129" s="109">
        <v>536595.53338181681</v>
      </c>
      <c r="Y129" s="109">
        <v>0</v>
      </c>
      <c r="Z129" s="110">
        <v>0.97921167654463359</v>
      </c>
      <c r="AA129" s="110">
        <v>1</v>
      </c>
      <c r="AB129" s="110">
        <v>0</v>
      </c>
      <c r="AC129" s="109">
        <f>IF(ISERROR((X129*SUMIF('Rev_for_allocation(Hard)'!$A$3:$A$249,$T129,'Rev_for_allocation(Hard)'!$I$3:$I$249)/SUMIF(Historic_capex_list!$T$9:$T$586,$T129,Historic_capex_list!$X$9:$X$586))=TRUE),0,X129*SUMIF('Rev_for_allocation(Hard)'!$A$3:$A$249,$T129,'Rev_for_allocation(Hard)'!$I$3:$I$249)/SUMIF(Historic_capex_list!$T$9:$T$586,$T129,Historic_capex_list!$X$9:$X$586))</f>
        <v>-41378.831347798332</v>
      </c>
      <c r="AD129" s="109">
        <f t="shared" si="42"/>
        <v>495216.70203401847</v>
      </c>
      <c r="AE129" s="109">
        <f t="shared" si="43"/>
        <v>495216.70203401847</v>
      </c>
      <c r="AF129" s="109">
        <f t="shared" si="44"/>
        <v>495216.70203401847</v>
      </c>
      <c r="AG129" s="332" t="str">
        <f t="shared" si="45"/>
        <v>N</v>
      </c>
      <c r="AH129" s="332">
        <f t="shared" si="46"/>
        <v>0</v>
      </c>
      <c r="AI129" s="332">
        <f t="shared" si="47"/>
        <v>0</v>
      </c>
      <c r="AJ129" s="109">
        <f t="shared" si="48"/>
        <v>495216.70203401847</v>
      </c>
      <c r="AK129" s="109">
        <f t="shared" si="49"/>
        <v>0</v>
      </c>
      <c r="AL129" s="109">
        <v>0</v>
      </c>
      <c r="AM129" s="111">
        <f t="shared" si="50"/>
        <v>0</v>
      </c>
      <c r="AN129" s="111">
        <f t="shared" si="51"/>
        <v>0</v>
      </c>
      <c r="AO129" s="111" t="str">
        <f t="shared" si="52"/>
        <v>Use deduct 3yrs</v>
      </c>
      <c r="AP129" s="111">
        <f t="shared" si="53"/>
        <v>0</v>
      </c>
      <c r="AQ129" s="112">
        <f t="shared" si="54"/>
        <v>0</v>
      </c>
      <c r="AR129" s="112">
        <f t="shared" si="55"/>
        <v>1</v>
      </c>
      <c r="AS129" s="113">
        <f t="shared" si="56"/>
        <v>2028</v>
      </c>
      <c r="AT129" s="109">
        <v>484522.99184226565</v>
      </c>
      <c r="AU129" s="114">
        <v>1</v>
      </c>
      <c r="AV129" s="113">
        <v>2028</v>
      </c>
      <c r="AW129" s="112">
        <f t="shared" si="57"/>
        <v>0.88418658309757014</v>
      </c>
      <c r="AX129" s="109">
        <f t="shared" si="58"/>
        <v>484522.99184226565</v>
      </c>
      <c r="AY129" s="109">
        <f t="shared" si="59"/>
        <v>0</v>
      </c>
      <c r="AZ129" s="109">
        <f t="shared" si="60"/>
        <v>484522.99184226565</v>
      </c>
      <c r="BA129" s="111">
        <f t="shared" si="61"/>
        <v>0</v>
      </c>
      <c r="BB129" s="117"/>
      <c r="BC129" s="115" t="str">
        <f t="shared" si="62"/>
        <v>N</v>
      </c>
      <c r="BD129" s="115" t="str">
        <f t="shared" si="63"/>
        <v>Y</v>
      </c>
      <c r="BE129" s="115" t="str">
        <f t="shared" si="64"/>
        <v>N</v>
      </c>
      <c r="BF129" s="109" t="str">
        <f t="shared" si="65"/>
        <v/>
      </c>
      <c r="BG129" s="111" t="s">
        <v>2499</v>
      </c>
      <c r="BH129" s="115" t="s">
        <v>1168</v>
      </c>
      <c r="BI129" s="116"/>
      <c r="BJ129" s="222">
        <v>0.88418658309757014</v>
      </c>
      <c r="BK129" s="265">
        <f t="shared" si="66"/>
        <v>0</v>
      </c>
      <c r="BL129" s="265">
        <f t="shared" si="67"/>
        <v>0</v>
      </c>
      <c r="BM129" s="265">
        <f t="shared" si="68"/>
        <v>0</v>
      </c>
      <c r="BN129" s="265">
        <f t="shared" si="69"/>
        <v>52072.541539551166</v>
      </c>
      <c r="BO129" s="109"/>
      <c r="BP129" s="265">
        <f t="shared" si="70"/>
        <v>52072.541539551166</v>
      </c>
      <c r="BQ129" s="265">
        <v>52072.541539551166</v>
      </c>
      <c r="BR129" s="265" t="e">
        <f t="shared" si="71"/>
        <v>#REF!</v>
      </c>
      <c r="BS129" s="265">
        <v>5866.4527615656334</v>
      </c>
      <c r="BT129" s="475">
        <v>63464.278157734392</v>
      </c>
      <c r="BU129" s="475">
        <v>484522.99184226565</v>
      </c>
      <c r="BV129" s="475">
        <v>0</v>
      </c>
      <c r="BW129" s="483">
        <f t="shared" si="72"/>
        <v>0</v>
      </c>
      <c r="BX129" s="483">
        <f t="shared" si="73"/>
        <v>0</v>
      </c>
    </row>
    <row r="130" spans="1:76" s="103" customFormat="1" ht="29">
      <c r="A130" s="100" t="s">
        <v>2502</v>
      </c>
      <c r="B130" s="91" t="str">
        <f t="shared" si="37"/>
        <v xml:space="preserve">CI </v>
      </c>
      <c r="C130" s="92" t="s">
        <v>463</v>
      </c>
      <c r="D130" s="448" t="s">
        <v>2269</v>
      </c>
      <c r="E130" s="449" t="s">
        <v>2050</v>
      </c>
      <c r="F130" s="467" t="s">
        <v>4899</v>
      </c>
      <c r="G130" s="384" t="s">
        <v>5248</v>
      </c>
      <c r="H130" s="470">
        <v>0.75</v>
      </c>
      <c r="I130" s="95" t="s">
        <v>962</v>
      </c>
      <c r="J130" s="95" t="s">
        <v>1166</v>
      </c>
      <c r="K130" s="469">
        <v>313569</v>
      </c>
      <c r="L130" s="489">
        <v>0.9</v>
      </c>
      <c r="M130" s="266">
        <v>1</v>
      </c>
      <c r="N130" s="267">
        <f t="shared" si="38"/>
        <v>0</v>
      </c>
      <c r="O130" s="96">
        <f t="shared" si="39"/>
        <v>101909.92499999999</v>
      </c>
      <c r="P130" s="96">
        <f t="shared" si="40"/>
        <v>211659.07500000001</v>
      </c>
      <c r="Q130" s="96">
        <f t="shared" si="41"/>
        <v>0</v>
      </c>
      <c r="R130" s="187" t="s">
        <v>2455</v>
      </c>
      <c r="S130" s="187" t="s">
        <v>3608</v>
      </c>
      <c r="T130" s="94" t="s">
        <v>2857</v>
      </c>
      <c r="U130" s="395">
        <f>COUNTIF(Aggregation_of_rev_to_allocate!$A$3:$A$137,$T130)</f>
        <v>1</v>
      </c>
      <c r="V130" s="100"/>
      <c r="W130" s="100">
        <v>123</v>
      </c>
      <c r="X130" s="109">
        <v>292543.0491374422</v>
      </c>
      <c r="Y130" s="109">
        <v>0</v>
      </c>
      <c r="Z130" s="110">
        <v>0.44509621661119714</v>
      </c>
      <c r="AA130" s="110">
        <v>1</v>
      </c>
      <c r="AB130" s="110">
        <v>0</v>
      </c>
      <c r="AC130" s="109">
        <f>IF(ISERROR((X130*SUMIF('Rev_for_allocation(Hard)'!$A$3:$A$249,$T130,'Rev_for_allocation(Hard)'!$I$3:$I$249)/SUMIF(Historic_capex_list!$T$9:$T$586,$T130,Historic_capex_list!$X$9:$X$586))=TRUE),0,X130*SUMIF('Rev_for_allocation(Hard)'!$A$3:$A$249,$T130,'Rev_for_allocation(Hard)'!$I$3:$I$249)/SUMIF(Historic_capex_list!$T$9:$T$586,$T130,Historic_capex_list!$X$9:$X$586))</f>
        <v>2.8823580524763442E-3</v>
      </c>
      <c r="AD130" s="109">
        <f t="shared" si="42"/>
        <v>292543.05201980023</v>
      </c>
      <c r="AE130" s="109">
        <f t="shared" si="43"/>
        <v>292543.05201980023</v>
      </c>
      <c r="AF130" s="109">
        <f t="shared" si="44"/>
        <v>292543.05201980023</v>
      </c>
      <c r="AG130" s="332" t="str">
        <f t="shared" si="45"/>
        <v>N</v>
      </c>
      <c r="AH130" s="332">
        <f t="shared" si="46"/>
        <v>0</v>
      </c>
      <c r="AI130" s="332">
        <f t="shared" si="47"/>
        <v>0</v>
      </c>
      <c r="AJ130" s="109">
        <f t="shared" si="48"/>
        <v>292543.05201980023</v>
      </c>
      <c r="AK130" s="109">
        <f t="shared" si="49"/>
        <v>0</v>
      </c>
      <c r="AL130" s="109">
        <v>0</v>
      </c>
      <c r="AM130" s="111">
        <f t="shared" si="50"/>
        <v>0</v>
      </c>
      <c r="AN130" s="111">
        <f t="shared" si="51"/>
        <v>0</v>
      </c>
      <c r="AO130" s="111" t="str">
        <f t="shared" si="52"/>
        <v>Use deduct 3yrs</v>
      </c>
      <c r="AP130" s="111">
        <f t="shared" si="53"/>
        <v>0</v>
      </c>
      <c r="AQ130" s="112">
        <f t="shared" si="54"/>
        <v>0</v>
      </c>
      <c r="AR130" s="112">
        <f t="shared" si="55"/>
        <v>1</v>
      </c>
      <c r="AS130" s="113">
        <f t="shared" si="56"/>
        <v>2028</v>
      </c>
      <c r="AT130" s="109">
        <v>292543.05253009417</v>
      </c>
      <c r="AU130" s="114">
        <v>1</v>
      </c>
      <c r="AV130" s="113">
        <v>2028</v>
      </c>
      <c r="AW130" s="112">
        <f t="shared" si="57"/>
        <v>1.2439284603180125</v>
      </c>
      <c r="AX130" s="109">
        <f t="shared" si="58"/>
        <v>292543.05253009417</v>
      </c>
      <c r="AY130" s="109">
        <f t="shared" si="59"/>
        <v>0</v>
      </c>
      <c r="AZ130" s="109">
        <f t="shared" si="60"/>
        <v>292543.05253009417</v>
      </c>
      <c r="BA130" s="111">
        <f t="shared" si="61"/>
        <v>0</v>
      </c>
      <c r="BB130" s="117"/>
      <c r="BC130" s="115" t="str">
        <f t="shared" si="62"/>
        <v>N</v>
      </c>
      <c r="BD130" s="115" t="str">
        <f t="shared" si="63"/>
        <v>Y</v>
      </c>
      <c r="BE130" s="115" t="str">
        <f t="shared" si="64"/>
        <v>N</v>
      </c>
      <c r="BF130" s="109" t="str">
        <f t="shared" si="65"/>
        <v/>
      </c>
      <c r="BG130" s="111" t="s">
        <v>2499</v>
      </c>
      <c r="BH130" s="115" t="s">
        <v>1168</v>
      </c>
      <c r="BI130" s="116"/>
      <c r="BJ130" s="222">
        <v>0.44509622177302394</v>
      </c>
      <c r="BK130" s="265">
        <f t="shared" si="66"/>
        <v>0</v>
      </c>
      <c r="BL130" s="265">
        <f t="shared" si="67"/>
        <v>0</v>
      </c>
      <c r="BM130" s="265">
        <f t="shared" si="68"/>
        <v>0</v>
      </c>
      <c r="BN130" s="265">
        <f t="shared" si="69"/>
        <v>80883.974137442186</v>
      </c>
      <c r="BO130" s="109"/>
      <c r="BP130" s="265">
        <f t="shared" si="70"/>
        <v>-3.3926519681699574E-3</v>
      </c>
      <c r="BQ130" s="265">
        <v>-3.3926519681699574E-3</v>
      </c>
      <c r="BR130" s="265" t="e">
        <f t="shared" si="71"/>
        <v>#REF!</v>
      </c>
      <c r="BS130" s="265">
        <v>-3.8221357973443137E-4</v>
      </c>
      <c r="BT130" s="475">
        <v>364714.94746990589</v>
      </c>
      <c r="BU130" s="475">
        <v>292543.05253009417</v>
      </c>
      <c r="BV130" s="475">
        <v>0</v>
      </c>
      <c r="BW130" s="483">
        <f t="shared" si="72"/>
        <v>-80883.977530094155</v>
      </c>
      <c r="BX130" s="483">
        <f t="shared" si="73"/>
        <v>0</v>
      </c>
    </row>
    <row r="131" spans="1:76" s="103" customFormat="1" ht="29">
      <c r="A131" s="100" t="s">
        <v>2502</v>
      </c>
      <c r="B131" s="91" t="str">
        <f t="shared" si="37"/>
        <v xml:space="preserve">CI </v>
      </c>
      <c r="C131" s="92" t="s">
        <v>463</v>
      </c>
      <c r="D131" s="448" t="s">
        <v>2269</v>
      </c>
      <c r="E131" s="449" t="s">
        <v>2053</v>
      </c>
      <c r="F131" s="467" t="s">
        <v>4900</v>
      </c>
      <c r="G131" s="384" t="s">
        <v>5248</v>
      </c>
      <c r="H131" s="470">
        <v>0.75</v>
      </c>
      <c r="I131" s="95" t="s">
        <v>962</v>
      </c>
      <c r="J131" s="95" t="s">
        <v>1166</v>
      </c>
      <c r="K131" s="469">
        <v>1046000</v>
      </c>
      <c r="L131" s="471">
        <v>0.48088209050350583</v>
      </c>
      <c r="M131" s="266">
        <v>1</v>
      </c>
      <c r="N131" s="267">
        <f t="shared" si="38"/>
        <v>0</v>
      </c>
      <c r="O131" s="96">
        <f t="shared" si="39"/>
        <v>668747.99999999965</v>
      </c>
      <c r="P131" s="96">
        <f t="shared" si="40"/>
        <v>377252.00000000035</v>
      </c>
      <c r="Q131" s="96">
        <f t="shared" si="41"/>
        <v>0</v>
      </c>
      <c r="R131" s="187" t="s">
        <v>2455</v>
      </c>
      <c r="S131" s="187" t="s">
        <v>3608</v>
      </c>
      <c r="T131" s="94" t="s">
        <v>2857</v>
      </c>
      <c r="U131" s="395">
        <f>COUNTIF(Aggregation_of_rev_to_allocate!$A$3:$A$137,$T131)</f>
        <v>1</v>
      </c>
      <c r="V131" s="100"/>
      <c r="W131" s="100">
        <v>122</v>
      </c>
      <c r="X131" s="109">
        <v>377252.42579423537</v>
      </c>
      <c r="Y131" s="109">
        <v>0</v>
      </c>
      <c r="Z131" s="110">
        <v>0.44509621661119708</v>
      </c>
      <c r="AA131" s="110">
        <v>1</v>
      </c>
      <c r="AB131" s="110">
        <v>0</v>
      </c>
      <c r="AC131" s="109">
        <f>IF(ISERROR((X131*SUMIF('Rev_for_allocation(Hard)'!$A$3:$A$249,$T131,'Rev_for_allocation(Hard)'!$I$3:$I$249)/SUMIF(Historic_capex_list!$T$9:$T$586,$T131,Historic_capex_list!$X$9:$X$586))=TRUE),0,X131*SUMIF('Rev_for_allocation(Hard)'!$A$3:$A$249,$T131,'Rev_for_allocation(Hard)'!$I$3:$I$249)/SUMIF(Historic_capex_list!$T$9:$T$586,$T131,Historic_capex_list!$X$9:$X$586))</f>
        <v>3.71697967362533E-3</v>
      </c>
      <c r="AD131" s="109">
        <f t="shared" si="42"/>
        <v>377252.42951121507</v>
      </c>
      <c r="AE131" s="109">
        <f t="shared" si="43"/>
        <v>377252.42951121507</v>
      </c>
      <c r="AF131" s="109">
        <f t="shared" si="44"/>
        <v>377252.42951121507</v>
      </c>
      <c r="AG131" s="332" t="str">
        <f t="shared" si="45"/>
        <v>N</v>
      </c>
      <c r="AH131" s="332">
        <f t="shared" si="46"/>
        <v>0</v>
      </c>
      <c r="AI131" s="332">
        <f t="shared" si="47"/>
        <v>0</v>
      </c>
      <c r="AJ131" s="109">
        <f t="shared" si="48"/>
        <v>377252.42951121507</v>
      </c>
      <c r="AK131" s="109">
        <f t="shared" si="49"/>
        <v>0</v>
      </c>
      <c r="AL131" s="109">
        <v>0</v>
      </c>
      <c r="AM131" s="111">
        <f t="shared" si="50"/>
        <v>0</v>
      </c>
      <c r="AN131" s="111">
        <f t="shared" si="51"/>
        <v>0</v>
      </c>
      <c r="AO131" s="111" t="str">
        <f t="shared" si="52"/>
        <v>Use deduct 3yrs</v>
      </c>
      <c r="AP131" s="111">
        <f t="shared" si="53"/>
        <v>0</v>
      </c>
      <c r="AQ131" s="112">
        <f t="shared" si="54"/>
        <v>0</v>
      </c>
      <c r="AR131" s="112">
        <f t="shared" si="55"/>
        <v>1</v>
      </c>
      <c r="AS131" s="113">
        <f t="shared" si="56"/>
        <v>2028</v>
      </c>
      <c r="AT131" s="109">
        <v>377252.43016927072</v>
      </c>
      <c r="AU131" s="114">
        <v>1</v>
      </c>
      <c r="AV131" s="113">
        <v>2028</v>
      </c>
      <c r="AW131" s="112">
        <f t="shared" si="57"/>
        <v>0.48088263883909588</v>
      </c>
      <c r="AX131" s="109">
        <f t="shared" si="58"/>
        <v>377252.43016927072</v>
      </c>
      <c r="AY131" s="109">
        <f t="shared" si="59"/>
        <v>0</v>
      </c>
      <c r="AZ131" s="109">
        <f t="shared" si="60"/>
        <v>377252.43016927072</v>
      </c>
      <c r="BA131" s="111">
        <f t="shared" si="61"/>
        <v>0</v>
      </c>
      <c r="BB131" s="117"/>
      <c r="BC131" s="115" t="str">
        <f t="shared" si="62"/>
        <v>N</v>
      </c>
      <c r="BD131" s="115" t="str">
        <f t="shared" si="63"/>
        <v>Y</v>
      </c>
      <c r="BE131" s="115" t="str">
        <f t="shared" si="64"/>
        <v>N</v>
      </c>
      <c r="BF131" s="109" t="str">
        <f t="shared" si="65"/>
        <v/>
      </c>
      <c r="BG131" s="111" t="s">
        <v>2499</v>
      </c>
      <c r="BH131" s="115" t="s">
        <v>1168</v>
      </c>
      <c r="BI131" s="116"/>
      <c r="BJ131" s="222">
        <v>0.44509622177302388</v>
      </c>
      <c r="BK131" s="265">
        <f t="shared" si="66"/>
        <v>0</v>
      </c>
      <c r="BL131" s="265">
        <f t="shared" si="67"/>
        <v>0</v>
      </c>
      <c r="BM131" s="265">
        <f t="shared" si="68"/>
        <v>0</v>
      </c>
      <c r="BN131" s="265">
        <f t="shared" si="69"/>
        <v>0.42579423502320424</v>
      </c>
      <c r="BO131" s="109"/>
      <c r="BP131" s="265">
        <f t="shared" si="70"/>
        <v>-4.375035350676626E-3</v>
      </c>
      <c r="BQ131" s="265">
        <v>-4.375035350676626E-3</v>
      </c>
      <c r="BR131" s="265" t="e">
        <f t="shared" si="71"/>
        <v>#REF!</v>
      </c>
      <c r="BS131" s="265">
        <v>-4.928881413523836E-4</v>
      </c>
      <c r="BT131" s="475">
        <v>470322.56983072928</v>
      </c>
      <c r="BU131" s="475">
        <v>377252.43016927072</v>
      </c>
      <c r="BV131" s="475">
        <v>0</v>
      </c>
      <c r="BW131" s="483">
        <f t="shared" si="72"/>
        <v>-0.43016927037388086</v>
      </c>
      <c r="BX131" s="483">
        <f t="shared" si="73"/>
        <v>0</v>
      </c>
    </row>
    <row r="132" spans="1:76" s="103" customFormat="1" ht="29">
      <c r="A132" s="100" t="s">
        <v>2502</v>
      </c>
      <c r="B132" s="91" t="str">
        <f t="shared" si="37"/>
        <v xml:space="preserve">CI </v>
      </c>
      <c r="C132" s="92" t="s">
        <v>463</v>
      </c>
      <c r="D132" s="448" t="s">
        <v>2269</v>
      </c>
      <c r="E132" s="449">
        <v>2130210</v>
      </c>
      <c r="F132" s="384" t="s">
        <v>5017</v>
      </c>
      <c r="G132" s="467" t="s">
        <v>5012</v>
      </c>
      <c r="H132" s="398">
        <v>0.12</v>
      </c>
      <c r="I132" s="95" t="s">
        <v>957</v>
      </c>
      <c r="J132" s="95" t="s">
        <v>1166</v>
      </c>
      <c r="K132" s="191">
        <v>4625339.1500000004</v>
      </c>
      <c r="L132" s="268">
        <v>8.3283857902803127E-2</v>
      </c>
      <c r="M132" s="266">
        <v>1</v>
      </c>
      <c r="N132" s="267">
        <f t="shared" si="38"/>
        <v>0</v>
      </c>
      <c r="O132" s="96">
        <f t="shared" si="39"/>
        <v>4579113.2193774953</v>
      </c>
      <c r="P132" s="96">
        <f t="shared" si="40"/>
        <v>46225.930622504668</v>
      </c>
      <c r="Q132" s="96">
        <f t="shared" si="41"/>
        <v>0</v>
      </c>
      <c r="R132" s="187" t="s">
        <v>2550</v>
      </c>
      <c r="S132" s="187" t="s">
        <v>3607</v>
      </c>
      <c r="T132" s="94" t="s">
        <v>2853</v>
      </c>
      <c r="U132" s="395">
        <f>COUNTIF(Aggregation_of_rev_to_allocate!$A$3:$A$137,$T132)</f>
        <v>1</v>
      </c>
      <c r="V132" s="100"/>
      <c r="W132" s="100">
        <v>60</v>
      </c>
      <c r="X132" s="109">
        <v>65220.279892690043</v>
      </c>
      <c r="Y132" s="109">
        <v>0</v>
      </c>
      <c r="Z132" s="110">
        <v>0.11750540118535603</v>
      </c>
      <c r="AA132" s="110">
        <v>1</v>
      </c>
      <c r="AB132" s="110">
        <v>0</v>
      </c>
      <c r="AC132" s="109">
        <f>IF(ISERROR((X132*SUMIF('Rev_for_allocation(Hard)'!$A$3:$A$249,$T132,'Rev_for_allocation(Hard)'!$I$3:$I$249)/SUMIF(Historic_capex_list!$T$9:$T$586,$T132,Historic_capex_list!$X$9:$X$586))=TRUE),0,X132*SUMIF('Rev_for_allocation(Hard)'!$A$3:$A$249,$T132,'Rev_for_allocation(Hard)'!$I$3:$I$249)/SUMIF(Historic_capex_list!$T$9:$T$586,$T132,Historic_capex_list!$X$9:$X$586))</f>
        <v>-18994.349270185383</v>
      </c>
      <c r="AD132" s="109">
        <f t="shared" si="42"/>
        <v>46225.93062250466</v>
      </c>
      <c r="AE132" s="109">
        <f t="shared" si="43"/>
        <v>46225.93062250466</v>
      </c>
      <c r="AF132" s="109">
        <f t="shared" si="44"/>
        <v>46225.93062250466</v>
      </c>
      <c r="AG132" s="332" t="str">
        <f t="shared" si="45"/>
        <v>N</v>
      </c>
      <c r="AH132" s="332">
        <f t="shared" si="46"/>
        <v>0</v>
      </c>
      <c r="AI132" s="332">
        <f t="shared" si="47"/>
        <v>0</v>
      </c>
      <c r="AJ132" s="109">
        <f t="shared" si="48"/>
        <v>46225.93062250466</v>
      </c>
      <c r="AK132" s="109">
        <f t="shared" si="49"/>
        <v>0</v>
      </c>
      <c r="AL132" s="109">
        <v>0</v>
      </c>
      <c r="AM132" s="111">
        <f t="shared" si="50"/>
        <v>0</v>
      </c>
      <c r="AN132" s="111">
        <f t="shared" si="51"/>
        <v>0</v>
      </c>
      <c r="AO132" s="111" t="str">
        <f t="shared" si="52"/>
        <v>Use deduct 3yrs</v>
      </c>
      <c r="AP132" s="111">
        <f t="shared" si="53"/>
        <v>0</v>
      </c>
      <c r="AQ132" s="112">
        <f t="shared" si="54"/>
        <v>0</v>
      </c>
      <c r="AR132" s="112">
        <f t="shared" si="55"/>
        <v>1</v>
      </c>
      <c r="AS132" s="113">
        <f t="shared" si="56"/>
        <v>2028</v>
      </c>
      <c r="AT132" s="109">
        <v>46225.93062250466</v>
      </c>
      <c r="AU132" s="114">
        <v>1</v>
      </c>
      <c r="AV132" s="113">
        <v>2028</v>
      </c>
      <c r="AW132" s="112">
        <f t="shared" si="57"/>
        <v>8.3283857902803127E-2</v>
      </c>
      <c r="AX132" s="109">
        <f t="shared" si="58"/>
        <v>46225.930622504668</v>
      </c>
      <c r="AY132" s="109">
        <f t="shared" si="59"/>
        <v>0</v>
      </c>
      <c r="AZ132" s="109">
        <f t="shared" si="60"/>
        <v>46225.930622504668</v>
      </c>
      <c r="BA132" s="111">
        <f t="shared" si="61"/>
        <v>0</v>
      </c>
      <c r="BB132" s="117"/>
      <c r="BC132" s="115" t="str">
        <f t="shared" si="62"/>
        <v>N</v>
      </c>
      <c r="BD132" s="115" t="str">
        <f t="shared" si="63"/>
        <v>Y</v>
      </c>
      <c r="BE132" s="115" t="str">
        <f t="shared" si="64"/>
        <v>N</v>
      </c>
      <c r="BF132" s="109" t="str">
        <f t="shared" si="65"/>
        <v/>
      </c>
      <c r="BG132" s="111" t="s">
        <v>2499</v>
      </c>
      <c r="BH132" s="115" t="s">
        <v>1168</v>
      </c>
      <c r="BI132" s="116"/>
      <c r="BJ132" s="222">
        <v>8.3283857902803127E-2</v>
      </c>
      <c r="BK132" s="265">
        <f t="shared" si="66"/>
        <v>0</v>
      </c>
      <c r="BL132" s="265">
        <f t="shared" si="67"/>
        <v>0</v>
      </c>
      <c r="BM132" s="265">
        <f t="shared" si="68"/>
        <v>3.5652192309498787E-10</v>
      </c>
      <c r="BN132" s="265">
        <f t="shared" si="69"/>
        <v>18994.349270185376</v>
      </c>
      <c r="BO132" s="109"/>
      <c r="BP132" s="265">
        <f t="shared" si="70"/>
        <v>18994.349270185383</v>
      </c>
      <c r="BQ132" s="265">
        <v>18994.349270185383</v>
      </c>
      <c r="BR132" s="265" t="e">
        <f t="shared" si="71"/>
        <v>#REF!</v>
      </c>
      <c r="BS132" s="265">
        <v>2139.8888826193765</v>
      </c>
      <c r="BT132" s="475">
        <v>4579113.2193774953</v>
      </c>
      <c r="BU132" s="475">
        <v>46225.930622504668</v>
      </c>
      <c r="BV132" s="475">
        <v>0</v>
      </c>
      <c r="BW132" s="483">
        <f t="shared" si="72"/>
        <v>0</v>
      </c>
      <c r="BX132" s="483">
        <f t="shared" si="73"/>
        <v>0</v>
      </c>
    </row>
    <row r="133" spans="1:76" s="103" customFormat="1" ht="29">
      <c r="A133" s="100" t="s">
        <v>2502</v>
      </c>
      <c r="B133" s="91" t="str">
        <f t="shared" si="37"/>
        <v xml:space="preserve">CI </v>
      </c>
      <c r="C133" s="92" t="s">
        <v>463</v>
      </c>
      <c r="D133" s="448" t="s">
        <v>2269</v>
      </c>
      <c r="E133" s="449" t="s">
        <v>2054</v>
      </c>
      <c r="F133" s="467" t="s">
        <v>4902</v>
      </c>
      <c r="G133" s="384" t="s">
        <v>5248</v>
      </c>
      <c r="H133" s="470">
        <v>0.89</v>
      </c>
      <c r="I133" s="95" t="s">
        <v>962</v>
      </c>
      <c r="J133" s="95" t="s">
        <v>1166</v>
      </c>
      <c r="K133" s="469">
        <v>460000</v>
      </c>
      <c r="L133" s="471">
        <v>0.34202595778857869</v>
      </c>
      <c r="M133" s="266">
        <v>0.91331269349845201</v>
      </c>
      <c r="N133" s="267">
        <f t="shared" si="38"/>
        <v>8.6687306501547989E-2</v>
      </c>
      <c r="O133" s="96">
        <f t="shared" si="39"/>
        <v>319974.57288135588</v>
      </c>
      <c r="P133" s="96">
        <f t="shared" si="40"/>
        <v>127887.00000000006</v>
      </c>
      <c r="Q133" s="96">
        <f t="shared" si="41"/>
        <v>12138.427118644073</v>
      </c>
      <c r="R133" s="187" t="s">
        <v>2455</v>
      </c>
      <c r="S133" s="187" t="s">
        <v>3608</v>
      </c>
      <c r="T133" s="94" t="s">
        <v>2857</v>
      </c>
      <c r="U133" s="395">
        <f>COUNTIF(Aggregation_of_rev_to_allocate!$A$3:$A$137,$T133)</f>
        <v>1</v>
      </c>
      <c r="V133" s="100"/>
      <c r="W133" s="100">
        <v>81</v>
      </c>
      <c r="X133" s="109">
        <v>100382.48579025781</v>
      </c>
      <c r="Y133" s="109">
        <v>39642.574896830629</v>
      </c>
      <c r="Z133" s="110">
        <v>0.79959491027346075</v>
      </c>
      <c r="AA133" s="110">
        <v>0.71688942891859053</v>
      </c>
      <c r="AB133" s="110">
        <v>0.28311057108140947</v>
      </c>
      <c r="AC133" s="109">
        <f>IF(ISERROR((X133*SUMIF('Rev_for_allocation(Hard)'!$A$3:$A$249,$T133,'Rev_for_allocation(Hard)'!$I$3:$I$249)/SUMIF(Historic_capex_list!$T$9:$T$586,$T133,Historic_capex_list!$X$9:$X$586))=TRUE),0,X133*SUMIF('Rev_for_allocation(Hard)'!$A$3:$A$249,$T133,'Rev_for_allocation(Hard)'!$I$3:$I$249)/SUMIF(Historic_capex_list!$T$9:$T$586,$T133,Historic_capex_list!$X$9:$X$586))</f>
        <v>9.8904508959707068E-4</v>
      </c>
      <c r="AD133" s="109">
        <f t="shared" si="42"/>
        <v>100382.4867793029</v>
      </c>
      <c r="AE133" s="109">
        <f t="shared" si="43"/>
        <v>100382.4867793029</v>
      </c>
      <c r="AF133" s="109">
        <f t="shared" si="44"/>
        <v>140025.06167613354</v>
      </c>
      <c r="AG133" s="332" t="str">
        <f t="shared" si="45"/>
        <v>N</v>
      </c>
      <c r="AH133" s="332">
        <f t="shared" si="46"/>
        <v>0</v>
      </c>
      <c r="AI133" s="332">
        <f t="shared" si="47"/>
        <v>0</v>
      </c>
      <c r="AJ133" s="109">
        <f t="shared" si="48"/>
        <v>140025.06167613354</v>
      </c>
      <c r="AK133" s="109">
        <f t="shared" si="49"/>
        <v>0</v>
      </c>
      <c r="AL133" s="109">
        <v>0</v>
      </c>
      <c r="AM133" s="111">
        <f t="shared" si="50"/>
        <v>3.9491525423728815</v>
      </c>
      <c r="AN133" s="111">
        <f t="shared" si="51"/>
        <v>0.94915254237288149</v>
      </c>
      <c r="AO133" s="111" t="str">
        <f t="shared" si="52"/>
        <v>Use deduct 3yrs</v>
      </c>
      <c r="AP133" s="111">
        <f t="shared" si="53"/>
        <v>0.94915254237288149</v>
      </c>
      <c r="AQ133" s="112">
        <f t="shared" si="54"/>
        <v>8.6687306501547989E-2</v>
      </c>
      <c r="AR133" s="112">
        <f t="shared" si="55"/>
        <v>0.91331269349845201</v>
      </c>
      <c r="AS133" s="113">
        <f t="shared" si="56"/>
        <v>2029</v>
      </c>
      <c r="AT133" s="109">
        <v>140025.0618512345</v>
      </c>
      <c r="AU133" s="114">
        <v>0.91331269349845201</v>
      </c>
      <c r="AV133" s="113">
        <v>2029</v>
      </c>
      <c r="AW133" s="112">
        <f t="shared" si="57"/>
        <v>0.34202506558679652</v>
      </c>
      <c r="AX133" s="109">
        <f t="shared" si="58"/>
        <v>127886.66639663833</v>
      </c>
      <c r="AY133" s="109">
        <f t="shared" si="59"/>
        <v>12138.395454596181</v>
      </c>
      <c r="AZ133" s="109">
        <f t="shared" si="60"/>
        <v>140025.06185123452</v>
      </c>
      <c r="BA133" s="111">
        <f t="shared" si="61"/>
        <v>0</v>
      </c>
      <c r="BB133" s="117"/>
      <c r="BC133" s="115" t="str">
        <f t="shared" si="62"/>
        <v>N</v>
      </c>
      <c r="BD133" s="115" t="str">
        <f t="shared" si="63"/>
        <v>Y</v>
      </c>
      <c r="BE133" s="115" t="str">
        <f t="shared" si="64"/>
        <v>N</v>
      </c>
      <c r="BF133" s="109" t="str">
        <f t="shared" si="65"/>
        <v/>
      </c>
      <c r="BG133" s="111" t="s">
        <v>2499</v>
      </c>
      <c r="BH133" s="115" t="s">
        <v>1168</v>
      </c>
      <c r="BI133" s="116"/>
      <c r="BJ133" s="222">
        <v>0.79959491692116547</v>
      </c>
      <c r="BK133" s="265">
        <f t="shared" si="66"/>
        <v>-3.1664047892263625E-2</v>
      </c>
      <c r="BL133" s="265">
        <f t="shared" si="67"/>
        <v>3.1664047892263625E-2</v>
      </c>
      <c r="BM133" s="265">
        <f t="shared" si="68"/>
        <v>0</v>
      </c>
      <c r="BN133" s="265">
        <f t="shared" si="69"/>
        <v>-27504.51420974225</v>
      </c>
      <c r="BO133" s="109"/>
      <c r="BP133" s="265">
        <f t="shared" si="70"/>
        <v>-1.1641460587270558E-3</v>
      </c>
      <c r="BQ133" s="265">
        <v>-1.1641460587270558E-3</v>
      </c>
      <c r="BR133" s="265" t="e">
        <f t="shared" si="71"/>
        <v>#REF!</v>
      </c>
      <c r="BS133" s="265">
        <v>-1.3115180590710898E-4</v>
      </c>
      <c r="BT133" s="475">
        <v>35094.938148765505</v>
      </c>
      <c r="BU133" s="475">
        <v>127886.66639663832</v>
      </c>
      <c r="BV133" s="475">
        <v>12138.395454596179</v>
      </c>
      <c r="BW133" s="483">
        <f t="shared" si="72"/>
        <v>0.33360336173791438</v>
      </c>
      <c r="BX133" s="483">
        <f t="shared" si="73"/>
        <v>3.1664047894082614E-2</v>
      </c>
    </row>
    <row r="134" spans="1:76" s="103" customFormat="1" ht="14.5">
      <c r="A134" s="100" t="s">
        <v>2502</v>
      </c>
      <c r="B134" s="91" t="str">
        <f t="shared" si="37"/>
        <v xml:space="preserve">CI </v>
      </c>
      <c r="C134" s="92" t="s">
        <v>463</v>
      </c>
      <c r="D134" s="448" t="s">
        <v>2269</v>
      </c>
      <c r="E134" s="449">
        <v>2130254</v>
      </c>
      <c r="F134" s="384" t="s">
        <v>2899</v>
      </c>
      <c r="G134" s="384" t="s">
        <v>5249</v>
      </c>
      <c r="H134" s="398">
        <v>0.6</v>
      </c>
      <c r="I134" s="95" t="s">
        <v>952</v>
      </c>
      <c r="J134" s="95" t="s">
        <v>1166</v>
      </c>
      <c r="K134" s="191">
        <v>190382.81</v>
      </c>
      <c r="L134" s="268">
        <v>0.17626810194941769</v>
      </c>
      <c r="M134" s="266">
        <v>1</v>
      </c>
      <c r="N134" s="267">
        <f t="shared" si="38"/>
        <v>0</v>
      </c>
      <c r="O134" s="96">
        <f t="shared" si="39"/>
        <v>170247.76006250203</v>
      </c>
      <c r="P134" s="96">
        <f t="shared" si="40"/>
        <v>20135.04993749797</v>
      </c>
      <c r="Q134" s="96">
        <f t="shared" si="41"/>
        <v>0</v>
      </c>
      <c r="R134" s="187" t="s">
        <v>2454</v>
      </c>
      <c r="S134" s="187" t="s">
        <v>3608</v>
      </c>
      <c r="T134" s="94" t="s">
        <v>2856</v>
      </c>
      <c r="U134" s="395">
        <f>COUNTIF(Aggregation_of_rev_to_allocate!$A$3:$A$137,$T134)</f>
        <v>1</v>
      </c>
      <c r="V134" s="100"/>
      <c r="W134" s="100">
        <v>71</v>
      </c>
      <c r="X134" s="109">
        <v>67113.02540353623</v>
      </c>
      <c r="Y134" s="109">
        <v>0</v>
      </c>
      <c r="Z134" s="110">
        <v>0.5875270059267802</v>
      </c>
      <c r="AA134" s="110">
        <v>1</v>
      </c>
      <c r="AB134" s="110">
        <v>0</v>
      </c>
      <c r="AC134" s="109">
        <f>IF(ISERROR((X134*SUMIF('Rev_for_allocation(Hard)'!$A$3:$A$249,$T134,'Rev_for_allocation(Hard)'!$I$3:$I$249)/SUMIF(Historic_capex_list!$T$9:$T$586,$T134,Historic_capex_list!$X$9:$X$586))=TRUE),0,X134*SUMIF('Rev_for_allocation(Hard)'!$A$3:$A$249,$T134,'Rev_for_allocation(Hard)'!$I$3:$I$249)/SUMIF(Historic_capex_list!$T$9:$T$586,$T134,Historic_capex_list!$X$9:$X$586))</f>
        <v>-46977.97546603826</v>
      </c>
      <c r="AD134" s="109">
        <f t="shared" si="42"/>
        <v>20135.04993749797</v>
      </c>
      <c r="AE134" s="109">
        <f t="shared" si="43"/>
        <v>20135.04993749797</v>
      </c>
      <c r="AF134" s="109">
        <f t="shared" si="44"/>
        <v>20135.04993749797</v>
      </c>
      <c r="AG134" s="332" t="str">
        <f t="shared" si="45"/>
        <v>N</v>
      </c>
      <c r="AH134" s="332">
        <f t="shared" si="46"/>
        <v>0</v>
      </c>
      <c r="AI134" s="332">
        <f t="shared" si="47"/>
        <v>0</v>
      </c>
      <c r="AJ134" s="109">
        <f t="shared" si="48"/>
        <v>20135.04993749797</v>
      </c>
      <c r="AK134" s="109">
        <f t="shared" si="49"/>
        <v>0</v>
      </c>
      <c r="AL134" s="109">
        <v>0</v>
      </c>
      <c r="AM134" s="111">
        <f t="shared" si="50"/>
        <v>0</v>
      </c>
      <c r="AN134" s="111">
        <f t="shared" si="51"/>
        <v>0</v>
      </c>
      <c r="AO134" s="111">
        <f t="shared" si="52"/>
        <v>-13.331442242191855</v>
      </c>
      <c r="AP134" s="111">
        <f t="shared" si="53"/>
        <v>0</v>
      </c>
      <c r="AQ134" s="112">
        <f t="shared" si="54"/>
        <v>0</v>
      </c>
      <c r="AR134" s="112">
        <f t="shared" si="55"/>
        <v>1</v>
      </c>
      <c r="AS134" s="113">
        <f t="shared" si="56"/>
        <v>2028</v>
      </c>
      <c r="AT134" s="109">
        <v>20135.04993749797</v>
      </c>
      <c r="AU134" s="114">
        <v>1</v>
      </c>
      <c r="AV134" s="113">
        <v>2028</v>
      </c>
      <c r="AW134" s="112">
        <f t="shared" si="57"/>
        <v>0.17626810194941769</v>
      </c>
      <c r="AX134" s="109">
        <f t="shared" si="58"/>
        <v>20135.04993749797</v>
      </c>
      <c r="AY134" s="109">
        <f t="shared" si="59"/>
        <v>0</v>
      </c>
      <c r="AZ134" s="109">
        <f t="shared" si="60"/>
        <v>20135.04993749797</v>
      </c>
      <c r="BA134" s="111">
        <f t="shared" si="61"/>
        <v>0</v>
      </c>
      <c r="BB134" s="117"/>
      <c r="BC134" s="115" t="str">
        <f t="shared" si="62"/>
        <v>N</v>
      </c>
      <c r="BD134" s="115" t="str">
        <f t="shared" si="63"/>
        <v>Y</v>
      </c>
      <c r="BE134" s="115" t="str">
        <f t="shared" si="64"/>
        <v>N</v>
      </c>
      <c r="BF134" s="109" t="str">
        <f t="shared" si="65"/>
        <v/>
      </c>
      <c r="BG134" s="111" t="s">
        <v>2499</v>
      </c>
      <c r="BH134" s="115" t="s">
        <v>1168</v>
      </c>
      <c r="BI134" s="116"/>
      <c r="BJ134" s="222">
        <v>0.17626810194941769</v>
      </c>
      <c r="BK134" s="265">
        <f t="shared" si="66"/>
        <v>0</v>
      </c>
      <c r="BL134" s="265">
        <f t="shared" si="67"/>
        <v>0</v>
      </c>
      <c r="BM134" s="265">
        <f t="shared" si="68"/>
        <v>0</v>
      </c>
      <c r="BN134" s="265">
        <f t="shared" si="69"/>
        <v>46977.97546603826</v>
      </c>
      <c r="BO134" s="109"/>
      <c r="BP134" s="265">
        <f t="shared" si="70"/>
        <v>46977.97546603826</v>
      </c>
      <c r="BQ134" s="265">
        <v>46977.97546603826</v>
      </c>
      <c r="BR134" s="265" t="e">
        <f t="shared" si="71"/>
        <v>#REF!</v>
      </c>
      <c r="BS134" s="265">
        <v>5292.5028384907637</v>
      </c>
      <c r="BT134" s="475">
        <v>170247.76006250203</v>
      </c>
      <c r="BU134" s="475">
        <v>20135.04993749797</v>
      </c>
      <c r="BV134" s="475">
        <v>0</v>
      </c>
      <c r="BW134" s="483">
        <f t="shared" si="72"/>
        <v>0</v>
      </c>
      <c r="BX134" s="483">
        <f t="shared" si="73"/>
        <v>0</v>
      </c>
    </row>
    <row r="135" spans="1:76" s="103" customFormat="1" ht="14.5">
      <c r="A135" s="100" t="s">
        <v>2502</v>
      </c>
      <c r="B135" s="91" t="str">
        <f t="shared" si="37"/>
        <v xml:space="preserve">CI </v>
      </c>
      <c r="C135" s="92" t="s">
        <v>463</v>
      </c>
      <c r="D135" s="448" t="s">
        <v>2269</v>
      </c>
      <c r="E135" s="449">
        <v>2130111</v>
      </c>
      <c r="F135" s="467" t="s">
        <v>2898</v>
      </c>
      <c r="G135" s="467" t="s">
        <v>5004</v>
      </c>
      <c r="H135" s="398">
        <v>0.5</v>
      </c>
      <c r="I135" s="95" t="s">
        <v>890</v>
      </c>
      <c r="J135" s="95" t="s">
        <v>1166</v>
      </c>
      <c r="K135" s="191">
        <v>783077</v>
      </c>
      <c r="L135" s="268">
        <v>0.87503905748255939</v>
      </c>
      <c r="M135" s="266">
        <v>1</v>
      </c>
      <c r="N135" s="267">
        <f t="shared" si="38"/>
        <v>0</v>
      </c>
      <c r="O135" s="96">
        <f t="shared" si="39"/>
        <v>440465.51999186492</v>
      </c>
      <c r="P135" s="96">
        <f t="shared" si="40"/>
        <v>342611.48000813508</v>
      </c>
      <c r="Q135" s="96">
        <f t="shared" si="41"/>
        <v>0</v>
      </c>
      <c r="R135" s="187" t="s">
        <v>2457</v>
      </c>
      <c r="S135" s="187" t="s">
        <v>3608</v>
      </c>
      <c r="T135" s="94" t="s">
        <v>2859</v>
      </c>
      <c r="U135" s="395">
        <f>COUNTIF(Aggregation_of_rev_to_allocate!$A$3:$A$137,$T135)</f>
        <v>1</v>
      </c>
      <c r="V135" s="100"/>
      <c r="W135" s="100">
        <v>138</v>
      </c>
      <c r="X135" s="109">
        <v>342611.4774478192</v>
      </c>
      <c r="Y135" s="109">
        <v>0</v>
      </c>
      <c r="Z135" s="110">
        <v>0.87503905094344281</v>
      </c>
      <c r="AA135" s="110">
        <v>1</v>
      </c>
      <c r="AB135" s="110">
        <v>0</v>
      </c>
      <c r="AC135" s="109">
        <f>IF(ISERROR((X135*SUMIF('Rev_for_allocation(Hard)'!$A$3:$A$249,$T135,'Rev_for_allocation(Hard)'!$I$3:$I$249)/SUMIF(Historic_capex_list!$T$9:$T$586,$T135,Historic_capex_list!$X$9:$X$586))=TRUE),0,X135*SUMIF('Rev_for_allocation(Hard)'!$A$3:$A$249,$T135,'Rev_for_allocation(Hard)'!$I$3:$I$249)/SUMIF(Historic_capex_list!$T$9:$T$586,$T135,Historic_capex_list!$X$9:$X$586))</f>
        <v>2.560315881353943E-3</v>
      </c>
      <c r="AD135" s="109">
        <f t="shared" si="42"/>
        <v>342611.48000813508</v>
      </c>
      <c r="AE135" s="109">
        <f t="shared" si="43"/>
        <v>342611.48000813508</v>
      </c>
      <c r="AF135" s="109">
        <f t="shared" si="44"/>
        <v>342611.48000813508</v>
      </c>
      <c r="AG135" s="332" t="str">
        <f t="shared" si="45"/>
        <v>N</v>
      </c>
      <c r="AH135" s="332">
        <f t="shared" si="46"/>
        <v>0</v>
      </c>
      <c r="AI135" s="332">
        <f t="shared" si="47"/>
        <v>0</v>
      </c>
      <c r="AJ135" s="109">
        <f t="shared" si="48"/>
        <v>342611.48000813508</v>
      </c>
      <c r="AK135" s="109">
        <f t="shared" si="49"/>
        <v>0</v>
      </c>
      <c r="AL135" s="109">
        <v>0</v>
      </c>
      <c r="AM135" s="111">
        <f t="shared" si="50"/>
        <v>0</v>
      </c>
      <c r="AN135" s="111">
        <f t="shared" si="51"/>
        <v>0</v>
      </c>
      <c r="AO135" s="111" t="str">
        <f t="shared" si="52"/>
        <v>Use deduct 3yrs</v>
      </c>
      <c r="AP135" s="111">
        <f t="shared" si="53"/>
        <v>0</v>
      </c>
      <c r="AQ135" s="112">
        <f t="shared" si="54"/>
        <v>0</v>
      </c>
      <c r="AR135" s="112">
        <f t="shared" si="55"/>
        <v>1</v>
      </c>
      <c r="AS135" s="113">
        <f t="shared" si="56"/>
        <v>2028</v>
      </c>
      <c r="AT135" s="109">
        <v>342611.48000813508</v>
      </c>
      <c r="AU135" s="114">
        <v>1</v>
      </c>
      <c r="AV135" s="113">
        <v>2028</v>
      </c>
      <c r="AW135" s="112">
        <f t="shared" si="57"/>
        <v>0.87503905748255939</v>
      </c>
      <c r="AX135" s="109">
        <f t="shared" si="58"/>
        <v>342611.48000813508</v>
      </c>
      <c r="AY135" s="109">
        <f t="shared" si="59"/>
        <v>0</v>
      </c>
      <c r="AZ135" s="109">
        <f t="shared" si="60"/>
        <v>342611.48000813508</v>
      </c>
      <c r="BA135" s="111">
        <f t="shared" si="61"/>
        <v>0</v>
      </c>
      <c r="BB135" s="117"/>
      <c r="BC135" s="115" t="str">
        <f t="shared" si="62"/>
        <v>N</v>
      </c>
      <c r="BD135" s="115" t="str">
        <f t="shared" si="63"/>
        <v>Y</v>
      </c>
      <c r="BE135" s="115" t="str">
        <f t="shared" si="64"/>
        <v>N</v>
      </c>
      <c r="BF135" s="109" t="str">
        <f t="shared" si="65"/>
        <v/>
      </c>
      <c r="BG135" s="111" t="s">
        <v>2499</v>
      </c>
      <c r="BH135" s="115" t="s">
        <v>1168</v>
      </c>
      <c r="BI135" s="116"/>
      <c r="BJ135" s="222">
        <v>0.87503905748255939</v>
      </c>
      <c r="BK135" s="265">
        <f t="shared" si="66"/>
        <v>0</v>
      </c>
      <c r="BL135" s="265">
        <f t="shared" si="67"/>
        <v>0</v>
      </c>
      <c r="BM135" s="265">
        <f t="shared" si="68"/>
        <v>0</v>
      </c>
      <c r="BN135" s="265">
        <f t="shared" si="69"/>
        <v>-2.5603158865123987E-3</v>
      </c>
      <c r="BO135" s="109"/>
      <c r="BP135" s="265">
        <f t="shared" si="70"/>
        <v>-2.5603158865123987E-3</v>
      </c>
      <c r="BQ135" s="265">
        <v>-2.5603158865123987E-3</v>
      </c>
      <c r="BR135" s="265" t="e">
        <f t="shared" si="71"/>
        <v>#REF!</v>
      </c>
      <c r="BS135" s="265">
        <v>-2.8844323243763239E-4</v>
      </c>
      <c r="BT135" s="475">
        <v>440465.51999186492</v>
      </c>
      <c r="BU135" s="475">
        <v>342611.48000813508</v>
      </c>
      <c r="BV135" s="475">
        <v>0</v>
      </c>
      <c r="BW135" s="483">
        <f t="shared" si="72"/>
        <v>0</v>
      </c>
      <c r="BX135" s="483">
        <f t="shared" si="73"/>
        <v>0</v>
      </c>
    </row>
    <row r="136" spans="1:76" s="103" customFormat="1" ht="29">
      <c r="A136" s="100" t="s">
        <v>2502</v>
      </c>
      <c r="B136" s="91" t="str">
        <f t="shared" si="37"/>
        <v xml:space="preserve">CI </v>
      </c>
      <c r="C136" s="92" t="s">
        <v>463</v>
      </c>
      <c r="D136" s="448" t="s">
        <v>2269</v>
      </c>
      <c r="E136" s="449" t="s">
        <v>2057</v>
      </c>
      <c r="F136" s="467" t="s">
        <v>4903</v>
      </c>
      <c r="G136" s="384" t="s">
        <v>5248</v>
      </c>
      <c r="H136" s="470">
        <v>0.89</v>
      </c>
      <c r="I136" s="95" t="s">
        <v>962</v>
      </c>
      <c r="J136" s="95" t="s">
        <v>1166</v>
      </c>
      <c r="K136" s="469">
        <v>165000</v>
      </c>
      <c r="L136" s="471">
        <v>0.27128696987009687</v>
      </c>
      <c r="M136" s="266">
        <v>0.91331269349845201</v>
      </c>
      <c r="N136" s="267">
        <f t="shared" si="38"/>
        <v>8.6687306501547989E-2</v>
      </c>
      <c r="O136" s="96">
        <f t="shared" si="39"/>
        <v>125161.50847457629</v>
      </c>
      <c r="P136" s="96">
        <f t="shared" si="40"/>
        <v>36385</v>
      </c>
      <c r="Q136" s="96">
        <f t="shared" si="41"/>
        <v>3453.4915254237285</v>
      </c>
      <c r="R136" s="187" t="s">
        <v>2455</v>
      </c>
      <c r="S136" s="187" t="s">
        <v>3608</v>
      </c>
      <c r="T136" s="94" t="s">
        <v>2857</v>
      </c>
      <c r="U136" s="395">
        <f>COUNTIF(Aggregation_of_rev_to_allocate!$A$3:$A$137,$T136)</f>
        <v>1</v>
      </c>
      <c r="V136" s="100"/>
      <c r="W136" s="100">
        <v>95</v>
      </c>
      <c r="X136" s="109">
        <v>28560.170009215431</v>
      </c>
      <c r="Y136" s="109">
        <v>11278.846800249483</v>
      </c>
      <c r="Z136" s="110">
        <v>0.79959491027346086</v>
      </c>
      <c r="AA136" s="110">
        <v>0.71688942891859053</v>
      </c>
      <c r="AB136" s="110">
        <v>0.28311057108140947</v>
      </c>
      <c r="AC136" s="109">
        <f>IF(ISERROR((X136*SUMIF('Rev_for_allocation(Hard)'!$A$3:$A$249,$T136,'Rev_for_allocation(Hard)'!$I$3:$I$249)/SUMIF(Historic_capex_list!$T$9:$T$586,$T136,Historic_capex_list!$X$9:$X$586))=TRUE),0,X136*SUMIF('Rev_for_allocation(Hard)'!$A$3:$A$249,$T136,'Rev_for_allocation(Hard)'!$I$3:$I$249)/SUMIF(Historic_capex_list!$T$9:$T$586,$T136,Historic_capex_list!$X$9:$X$586))</f>
        <v>2.8139665683008484E-4</v>
      </c>
      <c r="AD136" s="109">
        <f t="shared" si="42"/>
        <v>28560.170290612088</v>
      </c>
      <c r="AE136" s="109">
        <f t="shared" si="43"/>
        <v>28560.170290612088</v>
      </c>
      <c r="AF136" s="109">
        <f t="shared" si="44"/>
        <v>39839.017090861569</v>
      </c>
      <c r="AG136" s="332" t="str">
        <f t="shared" si="45"/>
        <v>N</v>
      </c>
      <c r="AH136" s="332">
        <f t="shared" si="46"/>
        <v>0</v>
      </c>
      <c r="AI136" s="332">
        <f t="shared" si="47"/>
        <v>0</v>
      </c>
      <c r="AJ136" s="109">
        <f t="shared" si="48"/>
        <v>39839.017090861569</v>
      </c>
      <c r="AK136" s="109">
        <f t="shared" si="49"/>
        <v>0</v>
      </c>
      <c r="AL136" s="109">
        <v>0</v>
      </c>
      <c r="AM136" s="111">
        <f t="shared" si="50"/>
        <v>3.9491525423728815</v>
      </c>
      <c r="AN136" s="111">
        <f t="shared" si="51"/>
        <v>0.94915254237288149</v>
      </c>
      <c r="AO136" s="111" t="str">
        <f t="shared" si="52"/>
        <v>Use deduct 3yrs</v>
      </c>
      <c r="AP136" s="111">
        <f t="shared" si="53"/>
        <v>0.94915254237288149</v>
      </c>
      <c r="AQ136" s="112">
        <f t="shared" si="54"/>
        <v>8.6687306501547989E-2</v>
      </c>
      <c r="AR136" s="112">
        <f t="shared" si="55"/>
        <v>0.91331269349845201</v>
      </c>
      <c r="AS136" s="113">
        <f t="shared" si="56"/>
        <v>2029</v>
      </c>
      <c r="AT136" s="109">
        <v>39839.01714068016</v>
      </c>
      <c r="AU136" s="114">
        <v>0.91331269349845201</v>
      </c>
      <c r="AV136" s="113">
        <v>2029</v>
      </c>
      <c r="AW136" s="112">
        <f t="shared" si="57"/>
        <v>0.27129054913639877</v>
      </c>
      <c r="AX136" s="109">
        <f t="shared" si="58"/>
        <v>36385.4800510856</v>
      </c>
      <c r="AY136" s="109">
        <f t="shared" si="59"/>
        <v>3453.5370895945653</v>
      </c>
      <c r="AZ136" s="109">
        <f t="shared" si="60"/>
        <v>39839.017140680167</v>
      </c>
      <c r="BA136" s="111">
        <f t="shared" si="61"/>
        <v>0</v>
      </c>
      <c r="BB136" s="117"/>
      <c r="BC136" s="115" t="str">
        <f t="shared" si="62"/>
        <v>N</v>
      </c>
      <c r="BD136" s="115" t="str">
        <f t="shared" si="63"/>
        <v>Y</v>
      </c>
      <c r="BE136" s="115" t="str">
        <f t="shared" si="64"/>
        <v>N</v>
      </c>
      <c r="BF136" s="109" t="str">
        <f t="shared" si="65"/>
        <v/>
      </c>
      <c r="BG136" s="111" t="s">
        <v>2499</v>
      </c>
      <c r="BH136" s="115" t="s">
        <v>1168</v>
      </c>
      <c r="BI136" s="116"/>
      <c r="BJ136" s="222">
        <v>0.79959491692116569</v>
      </c>
      <c r="BK136" s="265">
        <f t="shared" si="66"/>
        <v>4.5564170836769335E-2</v>
      </c>
      <c r="BL136" s="265">
        <f t="shared" si="67"/>
        <v>-4.5564170836769335E-2</v>
      </c>
      <c r="BM136" s="265">
        <f t="shared" si="68"/>
        <v>-1.546140993013978E-11</v>
      </c>
      <c r="BN136" s="265">
        <f t="shared" si="69"/>
        <v>-7824.8299907845685</v>
      </c>
      <c r="BO136" s="109"/>
      <c r="BP136" s="265">
        <f t="shared" si="70"/>
        <v>-3.3121524757007137E-4</v>
      </c>
      <c r="BQ136" s="265">
        <v>-3.3121524757007137E-4</v>
      </c>
      <c r="BR136" s="265" t="e">
        <f t="shared" si="71"/>
        <v>#REF!</v>
      </c>
      <c r="BS136" s="265">
        <v>-3.7314456839105115E-5</v>
      </c>
      <c r="BT136" s="475">
        <v>9984.9828593198399</v>
      </c>
      <c r="BU136" s="475">
        <v>36385.480051085593</v>
      </c>
      <c r="BV136" s="475">
        <v>3453.5370895945648</v>
      </c>
      <c r="BW136" s="483">
        <f t="shared" si="72"/>
        <v>-0.48005108559300425</v>
      </c>
      <c r="BX136" s="483">
        <f t="shared" si="73"/>
        <v>-4.5564170836314588E-2</v>
      </c>
    </row>
    <row r="137" spans="1:76" s="103" customFormat="1" ht="29">
      <c r="A137" s="100" t="s">
        <v>2502</v>
      </c>
      <c r="B137" s="91" t="str">
        <f t="shared" ref="B137:B198" si="74">LEFT(T137,3)</f>
        <v xml:space="preserve">CI </v>
      </c>
      <c r="C137" s="92" t="s">
        <v>463</v>
      </c>
      <c r="D137" s="448" t="s">
        <v>2269</v>
      </c>
      <c r="E137" s="449" t="s">
        <v>2055</v>
      </c>
      <c r="F137" s="467" t="s">
        <v>4904</v>
      </c>
      <c r="G137" s="384" t="s">
        <v>5248</v>
      </c>
      <c r="H137" s="470">
        <v>0.89</v>
      </c>
      <c r="I137" s="95" t="s">
        <v>962</v>
      </c>
      <c r="J137" s="95" t="s">
        <v>1166</v>
      </c>
      <c r="K137" s="469">
        <v>1919558.98</v>
      </c>
      <c r="L137" s="471">
        <v>0.11061902604863554</v>
      </c>
      <c r="M137" s="266">
        <v>0.91331269349845201</v>
      </c>
      <c r="N137" s="267">
        <f t="shared" ref="N137:N198" si="75">100%-M137</f>
        <v>8.6687306501547989E-2</v>
      </c>
      <c r="O137" s="96">
        <f t="shared" ref="O137:O198" si="76">(K137*(100%-H137))+(K137*H137*(100%-L137))</f>
        <v>1730576.6071186441</v>
      </c>
      <c r="P137" s="96">
        <f t="shared" ref="P137:P198" si="77">(+K137*L137*M137*H137)</f>
        <v>172600</v>
      </c>
      <c r="Q137" s="96">
        <f t="shared" ref="Q137:Q198" si="78">+K137*L137*N137*H137</f>
        <v>16382.37288135593</v>
      </c>
      <c r="R137" s="187" t="s">
        <v>2455</v>
      </c>
      <c r="S137" s="187" t="s">
        <v>3608</v>
      </c>
      <c r="T137" s="94" t="s">
        <v>2857</v>
      </c>
      <c r="U137" s="395">
        <f>COUNTIF(Aggregation_of_rev_to_allocate!$A$3:$A$137,$T137)</f>
        <v>1</v>
      </c>
      <c r="V137" s="100"/>
      <c r="W137" s="100">
        <v>96</v>
      </c>
      <c r="X137" s="109">
        <v>135479.09644283957</v>
      </c>
      <c r="Y137" s="109">
        <v>53502.761815562066</v>
      </c>
      <c r="Z137" s="110">
        <v>0.79959491027346075</v>
      </c>
      <c r="AA137" s="110">
        <v>0.71688942891859053</v>
      </c>
      <c r="AB137" s="110">
        <v>0.28311057108140947</v>
      </c>
      <c r="AC137" s="109">
        <f>IF(ISERROR((X137*SUMIF('Rev_for_allocation(Hard)'!$A$3:$A$249,$T137,'Rev_for_allocation(Hard)'!$I$3:$I$249)/SUMIF(Historic_capex_list!$T$9:$T$586,$T137,Historic_capex_list!$X$9:$X$586))=TRUE),0,X137*SUMIF('Rev_for_allocation(Hard)'!$A$3:$A$249,$T137,'Rev_for_allocation(Hard)'!$I$3:$I$249)/SUMIF(Historic_capex_list!$T$9:$T$586,$T137,Historic_capex_list!$X$9:$X$586))</f>
        <v>1.3348437630824514E-3</v>
      </c>
      <c r="AD137" s="109">
        <f t="shared" ref="AD137:AD198" si="79">+AC137+X137</f>
        <v>135479.09777768332</v>
      </c>
      <c r="AE137" s="109">
        <f t="shared" ref="AE137:AE198" si="80">IF(AD137&lt;0,+Q137+P137+AC137,+AD137)</f>
        <v>135479.09777768332</v>
      </c>
      <c r="AF137" s="109">
        <f t="shared" ref="AF137:AF198" si="81">+Y137+AD137</f>
        <v>188981.85959324538</v>
      </c>
      <c r="AG137" s="332" t="str">
        <f t="shared" ref="AG137:AG198" si="82">IF(AF137&lt;0,"Y","N")</f>
        <v>N</v>
      </c>
      <c r="AH137" s="332">
        <f t="shared" ref="AH137:AH200" si="83">SUMIFS($AF$9:$AF$506,$T$9:$T$506,$T137,$AG$9:$AG$506,"Y")</f>
        <v>0</v>
      </c>
      <c r="AI137" s="332">
        <f t="shared" ref="AI137:AI200" si="84">IF(AND(AH137&lt;0,AG137="N"),AH137*AF137/SUMIFS($AE$9:$AE$506,$T$9:$T$506,$T137,$AG$9:$AG$506,"N"),0)</f>
        <v>0</v>
      </c>
      <c r="AJ137" s="109">
        <f t="shared" ref="AJ137:AJ200" si="85">IF(AND(AI137&lt;0,AF137&gt;0),AI137+AF137,IF(AND(AI137=0,AF137&lt;0,COUNTIFS($T$9:$T$506,$T137,$AF$9:$AF$506,"&gt;0")&gt;0),0,+AF137))</f>
        <v>188981.85959324538</v>
      </c>
      <c r="AK137" s="109">
        <f t="shared" ref="AK137:AK198" si="86">IF(AJ137&lt;0,+AJ137,0)</f>
        <v>0</v>
      </c>
      <c r="AL137" s="109">
        <v>0</v>
      </c>
      <c r="AM137" s="111">
        <f t="shared" ref="AM137:AM198" si="87">AB137/(1-AB137)*10</f>
        <v>3.9491525423728815</v>
      </c>
      <c r="AN137" s="111">
        <f t="shared" ref="AN137:AN198" si="88">IF(AM137=0,0,IF(AD137&lt;0,AM137-10,AM137-3))</f>
        <v>0.94915254237288149</v>
      </c>
      <c r="AO137" s="111" t="str">
        <f t="shared" ref="AO137:AO198" si="89">IF(-AC137&gt;AE137,((AE137+Y137+AC137)/(AE137+Y137))*(AM137+10),"Use deduct 3yrs")</f>
        <v>Use deduct 3yrs</v>
      </c>
      <c r="AP137" s="111">
        <f t="shared" ref="AP137:AP198" si="90">IF(AO137&lt;=10,0,AN137)</f>
        <v>0.94915254237288149</v>
      </c>
      <c r="AQ137" s="112">
        <f t="shared" ref="AQ137:AQ198" si="91">IF(AN137&lt;=0,0,(AP137/(AP137+10)))</f>
        <v>8.6687306501547989E-2</v>
      </c>
      <c r="AR137" s="112">
        <f t="shared" ref="AR137:AR198" si="92">IF(O137=0,1,1-AQ137)</f>
        <v>0.91331269349845201</v>
      </c>
      <c r="AS137" s="113">
        <f t="shared" ref="AS137:AS198" si="93">ROUND(IF(+$AS$7+AP137&lt;+$AS$7,+$AS$7,+$AS$7+AP137),0)</f>
        <v>2029</v>
      </c>
      <c r="AT137" s="109">
        <v>188981.8598295667</v>
      </c>
      <c r="AU137" s="114">
        <v>0.91331269349845201</v>
      </c>
      <c r="AV137" s="113">
        <v>2029</v>
      </c>
      <c r="AW137" s="112">
        <f t="shared" ref="AW137:AW198" si="94">IF(ISERR($AT137/($K137*$H137)),0,($AT137/($K137*$H137)))</f>
        <v>0.11061872573867346</v>
      </c>
      <c r="AX137" s="109">
        <f t="shared" ref="AX137:AX198" si="95">$K137*$AW137*$AU137*$H137</f>
        <v>172599.53142328848</v>
      </c>
      <c r="AY137" s="109">
        <f t="shared" ref="AY137:AY198" si="96">$K137*$AW137*(1-$AU137)*$H137</f>
        <v>16382.328406278228</v>
      </c>
      <c r="AZ137" s="109">
        <f t="shared" ref="AZ137:AZ198" si="97">IF(K137&lt;1,+AF137,+AY137+AX137)</f>
        <v>188981.8598295667</v>
      </c>
      <c r="BA137" s="111">
        <f t="shared" ref="BA137:BA198" si="98">+AZ137-AT137</f>
        <v>0</v>
      </c>
      <c r="BB137" s="117"/>
      <c r="BC137" s="115" t="str">
        <f t="shared" ref="BC137:BC198" si="99">IF(P137&lt;=BC$7,"Y","N")</f>
        <v>N</v>
      </c>
      <c r="BD137" s="115" t="str">
        <f t="shared" ref="BD137:BD198" si="100">IF(Q137&lt;=BD$7,"Y","N")</f>
        <v>Y</v>
      </c>
      <c r="BE137" s="115" t="str">
        <f t="shared" ref="BE137:BE198" si="101">IF(AND(BC137="Y",Q137=0),"Y","N")</f>
        <v>N</v>
      </c>
      <c r="BF137" s="109" t="str">
        <f t="shared" ref="BF137:BF198" si="102">IF(BE137="Y",+P137,"")</f>
        <v/>
      </c>
      <c r="BG137" s="111" t="s">
        <v>2499</v>
      </c>
      <c r="BH137" s="115" t="s">
        <v>1168</v>
      </c>
      <c r="BI137" s="116"/>
      <c r="BJ137" s="222">
        <v>0.79959491692116547</v>
      </c>
      <c r="BK137" s="265">
        <f t="shared" ref="BK137:BK198" si="103">+AY137-Q137</f>
        <v>-4.4475077702372801E-2</v>
      </c>
      <c r="BL137" s="265">
        <f t="shared" ref="BL137:BL198" si="104">+Q137-AY137</f>
        <v>4.4475077702372801E-2</v>
      </c>
      <c r="BM137" s="265">
        <f t="shared" ref="BM137:BM198" si="105">+K137-O137-P137-Q137</f>
        <v>0</v>
      </c>
      <c r="BN137" s="265">
        <f t="shared" ref="BN137:BN198" si="106">+X137-P137</f>
        <v>-37120.903557160433</v>
      </c>
      <c r="BO137" s="109"/>
      <c r="BP137" s="265">
        <f t="shared" ref="BP137:BP198" si="107">+X137+Y137-AT137</f>
        <v>-1.5711650776211172E-3</v>
      </c>
      <c r="BQ137" s="265">
        <v>-1.5711650776211172E-3</v>
      </c>
      <c r="BR137" s="265" t="e">
        <f t="shared" ref="BR137:BR198" si="108">+BQ137*$BR$7</f>
        <v>#REF!</v>
      </c>
      <c r="BS137" s="265">
        <v>-1.7700625773153558E-4</v>
      </c>
      <c r="BT137" s="475">
        <v>47365.140170433304</v>
      </c>
      <c r="BU137" s="475">
        <v>172599.53142328848</v>
      </c>
      <c r="BV137" s="475">
        <v>16382.328406278228</v>
      </c>
      <c r="BW137" s="483">
        <f t="shared" ref="BW137:BW198" si="109">P137-BU137</f>
        <v>0.46857671151519753</v>
      </c>
      <c r="BX137" s="483">
        <f t="shared" ref="BX137:BX198" si="110">Q137-BV137</f>
        <v>4.4475077702372801E-2</v>
      </c>
    </row>
    <row r="138" spans="1:76" s="103" customFormat="1" ht="29">
      <c r="A138" s="100" t="s">
        <v>2502</v>
      </c>
      <c r="B138" s="91" t="str">
        <f t="shared" si="74"/>
        <v xml:space="preserve">CI </v>
      </c>
      <c r="C138" s="92" t="s">
        <v>463</v>
      </c>
      <c r="D138" s="448" t="s">
        <v>2269</v>
      </c>
      <c r="E138" s="449" t="s">
        <v>2059</v>
      </c>
      <c r="F138" s="467" t="s">
        <v>4905</v>
      </c>
      <c r="G138" s="384" t="s">
        <v>5248</v>
      </c>
      <c r="H138" s="470">
        <v>0.89</v>
      </c>
      <c r="I138" s="95" t="s">
        <v>962</v>
      </c>
      <c r="J138" s="95" t="s">
        <v>1166</v>
      </c>
      <c r="K138" s="469">
        <v>670379</v>
      </c>
      <c r="L138" s="471">
        <v>8.9426556879225405E-2</v>
      </c>
      <c r="M138" s="266">
        <v>0.91331269349845201</v>
      </c>
      <c r="N138" s="267">
        <f t="shared" si="75"/>
        <v>8.6687306501547989E-2</v>
      </c>
      <c r="O138" s="96">
        <f t="shared" si="76"/>
        <v>617023.779661017</v>
      </c>
      <c r="P138" s="96">
        <f t="shared" si="77"/>
        <v>48729.999999999993</v>
      </c>
      <c r="Q138" s="96">
        <f t="shared" si="78"/>
        <v>4625.2203389830502</v>
      </c>
      <c r="R138" s="187" t="s">
        <v>2455</v>
      </c>
      <c r="S138" s="187" t="s">
        <v>3608</v>
      </c>
      <c r="T138" s="94" t="s">
        <v>2857</v>
      </c>
      <c r="U138" s="395">
        <f>COUNTIF(Aggregation_of_rev_to_allocate!$A$3:$A$137,$T138)</f>
        <v>1</v>
      </c>
      <c r="V138" s="100"/>
      <c r="W138" s="100">
        <v>97</v>
      </c>
      <c r="X138" s="109">
        <v>38249.900135977179</v>
      </c>
      <c r="Y138" s="109">
        <v>15105.469036750308</v>
      </c>
      <c r="Z138" s="110">
        <v>0.79959491027346075</v>
      </c>
      <c r="AA138" s="110">
        <v>0.71688942891859053</v>
      </c>
      <c r="AB138" s="110">
        <v>0.28311057108140947</v>
      </c>
      <c r="AC138" s="109">
        <f>IF(ISERROR((X138*SUMIF('Rev_for_allocation(Hard)'!$A$3:$A$249,$T138,'Rev_for_allocation(Hard)'!$I$3:$I$249)/SUMIF(Historic_capex_list!$T$9:$T$586,$T138,Historic_capex_list!$X$9:$X$586))=TRUE),0,X138*SUMIF('Rev_for_allocation(Hard)'!$A$3:$A$249,$T138,'Rev_for_allocation(Hard)'!$I$3:$I$249)/SUMIF(Historic_capex_list!$T$9:$T$586,$T138,Historic_capex_list!$X$9:$X$586))</f>
        <v>3.7686729521832653E-4</v>
      </c>
      <c r="AD138" s="109">
        <f t="shared" si="79"/>
        <v>38249.900512844477</v>
      </c>
      <c r="AE138" s="109">
        <f t="shared" si="80"/>
        <v>38249.900512844477</v>
      </c>
      <c r="AF138" s="109">
        <f t="shared" si="81"/>
        <v>53355.369549594783</v>
      </c>
      <c r="AG138" s="332" t="str">
        <f t="shared" si="82"/>
        <v>N</v>
      </c>
      <c r="AH138" s="332">
        <f t="shared" si="83"/>
        <v>0</v>
      </c>
      <c r="AI138" s="332">
        <f t="shared" si="84"/>
        <v>0</v>
      </c>
      <c r="AJ138" s="109">
        <f t="shared" si="85"/>
        <v>53355.369549594783</v>
      </c>
      <c r="AK138" s="109">
        <f t="shared" si="86"/>
        <v>0</v>
      </c>
      <c r="AL138" s="109">
        <v>0</v>
      </c>
      <c r="AM138" s="111">
        <f t="shared" si="87"/>
        <v>3.9491525423728815</v>
      </c>
      <c r="AN138" s="111">
        <f t="shared" si="88"/>
        <v>0.94915254237288149</v>
      </c>
      <c r="AO138" s="111" t="str">
        <f t="shared" si="89"/>
        <v>Use deduct 3yrs</v>
      </c>
      <c r="AP138" s="111">
        <f t="shared" si="90"/>
        <v>0.94915254237288149</v>
      </c>
      <c r="AQ138" s="112">
        <f t="shared" si="91"/>
        <v>8.6687306501547989E-2</v>
      </c>
      <c r="AR138" s="112">
        <f t="shared" si="92"/>
        <v>0.91331269349845201</v>
      </c>
      <c r="AS138" s="113">
        <f t="shared" si="93"/>
        <v>2029</v>
      </c>
      <c r="AT138" s="109">
        <v>53355.369616315533</v>
      </c>
      <c r="AU138" s="114">
        <v>0.91331269349845201</v>
      </c>
      <c r="AV138" s="113">
        <v>2029</v>
      </c>
      <c r="AW138" s="112">
        <f t="shared" si="94"/>
        <v>8.9426807077008855E-2</v>
      </c>
      <c r="AX138" s="109">
        <f t="shared" si="95"/>
        <v>48730.136336882599</v>
      </c>
      <c r="AY138" s="109">
        <f t="shared" si="96"/>
        <v>4625.233279432925</v>
      </c>
      <c r="AZ138" s="109">
        <f t="shared" si="97"/>
        <v>53355.369616315525</v>
      </c>
      <c r="BA138" s="111">
        <f t="shared" si="98"/>
        <v>0</v>
      </c>
      <c r="BB138" s="117"/>
      <c r="BC138" s="115" t="str">
        <f t="shared" si="99"/>
        <v>N</v>
      </c>
      <c r="BD138" s="115" t="str">
        <f t="shared" si="100"/>
        <v>Y</v>
      </c>
      <c r="BE138" s="115" t="str">
        <f t="shared" si="101"/>
        <v>N</v>
      </c>
      <c r="BF138" s="109" t="str">
        <f t="shared" si="102"/>
        <v/>
      </c>
      <c r="BG138" s="111" t="s">
        <v>2499</v>
      </c>
      <c r="BH138" s="115" t="s">
        <v>1168</v>
      </c>
      <c r="BI138" s="116"/>
      <c r="BJ138" s="222">
        <v>0.79959491692116547</v>
      </c>
      <c r="BK138" s="265">
        <f t="shared" si="103"/>
        <v>1.2940449874804472E-2</v>
      </c>
      <c r="BL138" s="265">
        <f t="shared" si="104"/>
        <v>-1.2940449874804472E-2</v>
      </c>
      <c r="BM138" s="265">
        <f t="shared" si="105"/>
        <v>-4.7293724492192268E-11</v>
      </c>
      <c r="BN138" s="265">
        <f t="shared" si="106"/>
        <v>-10480.099864022814</v>
      </c>
      <c r="BO138" s="109"/>
      <c r="BP138" s="265">
        <f t="shared" si="107"/>
        <v>-4.4358804734656587E-4</v>
      </c>
      <c r="BQ138" s="265">
        <v>-4.4358804734656587E-4</v>
      </c>
      <c r="BR138" s="265" t="e">
        <f t="shared" si="108"/>
        <v>#REF!</v>
      </c>
      <c r="BS138" s="265">
        <v>-4.9974290641781461E-5</v>
      </c>
      <c r="BT138" s="475">
        <v>13372.630383684471</v>
      </c>
      <c r="BU138" s="475">
        <v>48730.136336882606</v>
      </c>
      <c r="BV138" s="475">
        <v>4625.2332794329259</v>
      </c>
      <c r="BW138" s="483">
        <f t="shared" si="109"/>
        <v>-0.13633688261325005</v>
      </c>
      <c r="BX138" s="483">
        <f t="shared" si="110"/>
        <v>-1.2940449875713966E-2</v>
      </c>
    </row>
    <row r="139" spans="1:76" s="103" customFormat="1" ht="29">
      <c r="A139" s="100" t="s">
        <v>2502</v>
      </c>
      <c r="B139" s="91" t="str">
        <f t="shared" si="74"/>
        <v xml:space="preserve">CI </v>
      </c>
      <c r="C139" s="92" t="s">
        <v>463</v>
      </c>
      <c r="D139" s="448" t="s">
        <v>2269</v>
      </c>
      <c r="E139" s="449">
        <v>2130404</v>
      </c>
      <c r="F139" s="467" t="s">
        <v>4906</v>
      </c>
      <c r="G139" s="384" t="s">
        <v>5248</v>
      </c>
      <c r="H139" s="470">
        <v>0.89</v>
      </c>
      <c r="I139" s="95" t="s">
        <v>962</v>
      </c>
      <c r="J139" s="95" t="s">
        <v>1166</v>
      </c>
      <c r="K139" s="469">
        <v>416238.47</v>
      </c>
      <c r="L139" s="471">
        <v>9.6028024485469432E-3</v>
      </c>
      <c r="M139" s="266">
        <v>0.91331269349845201</v>
      </c>
      <c r="N139" s="267">
        <f t="shared" si="75"/>
        <v>8.6687306501547989E-2</v>
      </c>
      <c r="O139" s="96">
        <f t="shared" si="76"/>
        <v>412681.09033898305</v>
      </c>
      <c r="P139" s="96">
        <f t="shared" si="77"/>
        <v>3248.9999999999873</v>
      </c>
      <c r="Q139" s="96">
        <f t="shared" si="78"/>
        <v>308.37966101694792</v>
      </c>
      <c r="R139" s="187" t="s">
        <v>2455</v>
      </c>
      <c r="S139" s="187" t="s">
        <v>3608</v>
      </c>
      <c r="T139" s="94" t="s">
        <v>2857</v>
      </c>
      <c r="U139" s="395">
        <f>COUNTIF(Aggregation_of_rev_to_allocate!$A$3:$A$137,$T139)</f>
        <v>1</v>
      </c>
      <c r="V139" s="100"/>
      <c r="W139" s="100">
        <v>100</v>
      </c>
      <c r="X139" s="109">
        <v>2550.2608455964887</v>
      </c>
      <c r="Y139" s="109">
        <v>1007.1369102101387</v>
      </c>
      <c r="Z139" s="110">
        <v>0.79959491027346086</v>
      </c>
      <c r="AA139" s="110">
        <v>0.71688942891859053</v>
      </c>
      <c r="AB139" s="110">
        <v>0.28311057108140947</v>
      </c>
      <c r="AC139" s="109">
        <f>IF(ISERROR((X139*SUMIF('Rev_for_allocation(Hard)'!$A$3:$A$249,$T139,'Rev_for_allocation(Hard)'!$I$3:$I$249)/SUMIF(Historic_capex_list!$T$9:$T$586,$T139,Historic_capex_list!$X$9:$X$586))=TRUE),0,X139*SUMIF('Rev_for_allocation(Hard)'!$A$3:$A$249,$T139,'Rev_for_allocation(Hard)'!$I$3:$I$249)/SUMIF(Historic_capex_list!$T$9:$T$586,$T139,Historic_capex_list!$X$9:$X$586))</f>
        <v>2.5127121994160398E-5</v>
      </c>
      <c r="AD139" s="109">
        <f t="shared" si="79"/>
        <v>2550.2608707236109</v>
      </c>
      <c r="AE139" s="109">
        <f t="shared" si="80"/>
        <v>2550.2608707236109</v>
      </c>
      <c r="AF139" s="109">
        <f t="shared" si="81"/>
        <v>3557.3977809337493</v>
      </c>
      <c r="AG139" s="332" t="str">
        <f t="shared" si="82"/>
        <v>N</v>
      </c>
      <c r="AH139" s="332">
        <f t="shared" si="83"/>
        <v>0</v>
      </c>
      <c r="AI139" s="332">
        <f t="shared" si="84"/>
        <v>0</v>
      </c>
      <c r="AJ139" s="109">
        <f t="shared" si="85"/>
        <v>3557.3977809337493</v>
      </c>
      <c r="AK139" s="109">
        <f t="shared" si="86"/>
        <v>0</v>
      </c>
      <c r="AL139" s="109">
        <v>0</v>
      </c>
      <c r="AM139" s="111">
        <f t="shared" si="87"/>
        <v>3.9491525423728815</v>
      </c>
      <c r="AN139" s="111">
        <f t="shared" si="88"/>
        <v>0.94915254237288149</v>
      </c>
      <c r="AO139" s="111" t="str">
        <f t="shared" si="89"/>
        <v>Use deduct 3yrs</v>
      </c>
      <c r="AP139" s="111">
        <f t="shared" si="90"/>
        <v>0.94915254237288149</v>
      </c>
      <c r="AQ139" s="112">
        <f t="shared" si="91"/>
        <v>8.6687306501547989E-2</v>
      </c>
      <c r="AR139" s="112">
        <f t="shared" si="92"/>
        <v>0.91331269349845201</v>
      </c>
      <c r="AS139" s="113">
        <f t="shared" si="93"/>
        <v>2029</v>
      </c>
      <c r="AT139" s="109">
        <v>3557.3977853822662</v>
      </c>
      <c r="AU139" s="114">
        <v>0.91331269349845201</v>
      </c>
      <c r="AV139" s="113">
        <v>2029</v>
      </c>
      <c r="AW139" s="112">
        <f t="shared" si="94"/>
        <v>9.6028513735187931E-3</v>
      </c>
      <c r="AX139" s="109">
        <f t="shared" si="95"/>
        <v>3249.0165532129054</v>
      </c>
      <c r="AY139" s="109">
        <f t="shared" si="96"/>
        <v>308.38123216936054</v>
      </c>
      <c r="AZ139" s="109">
        <f t="shared" si="97"/>
        <v>3557.3977853822657</v>
      </c>
      <c r="BA139" s="111">
        <f t="shared" si="98"/>
        <v>0</v>
      </c>
      <c r="BB139" s="117"/>
      <c r="BC139" s="115" t="str">
        <f t="shared" si="99"/>
        <v>Y</v>
      </c>
      <c r="BD139" s="115" t="str">
        <f t="shared" si="100"/>
        <v>Y</v>
      </c>
      <c r="BE139" s="115" t="str">
        <f t="shared" si="101"/>
        <v>N</v>
      </c>
      <c r="BF139" s="109" t="str">
        <f t="shared" si="102"/>
        <v/>
      </c>
      <c r="BG139" s="111" t="s">
        <v>2499</v>
      </c>
      <c r="BH139" s="115" t="s">
        <v>1168</v>
      </c>
      <c r="BI139" s="116"/>
      <c r="BJ139" s="222">
        <v>0.79959491692116569</v>
      </c>
      <c r="BK139" s="265">
        <f t="shared" si="103"/>
        <v>1.571152412623178E-3</v>
      </c>
      <c r="BL139" s="265">
        <f t="shared" si="104"/>
        <v>-1.571152412623178E-3</v>
      </c>
      <c r="BM139" s="265">
        <f t="shared" si="105"/>
        <v>-1.2278178473934531E-11</v>
      </c>
      <c r="BN139" s="265">
        <f t="shared" si="106"/>
        <v>-698.73915440349856</v>
      </c>
      <c r="BO139" s="109"/>
      <c r="BP139" s="265">
        <f t="shared" si="107"/>
        <v>-2.9575639018730726E-5</v>
      </c>
      <c r="BQ139" s="265">
        <v>-2.9575639018730726E-5</v>
      </c>
      <c r="BR139" s="265" t="e">
        <f t="shared" si="108"/>
        <v>#REF!</v>
      </c>
      <c r="BS139" s="265">
        <v>-3.3319689046619303E-6</v>
      </c>
      <c r="BT139" s="475">
        <v>891.60221461773381</v>
      </c>
      <c r="BU139" s="475">
        <v>3249.0165532129058</v>
      </c>
      <c r="BV139" s="475">
        <v>308.38123216936054</v>
      </c>
      <c r="BW139" s="483">
        <f t="shared" si="109"/>
        <v>-1.6553212918552163E-2</v>
      </c>
      <c r="BX139" s="483">
        <f t="shared" si="110"/>
        <v>-1.571152412623178E-3</v>
      </c>
    </row>
    <row r="140" spans="1:76" s="103" customFormat="1" ht="29">
      <c r="A140" s="100" t="s">
        <v>2502</v>
      </c>
      <c r="B140" s="91" t="str">
        <f t="shared" si="74"/>
        <v xml:space="preserve">CI </v>
      </c>
      <c r="C140" s="92" t="s">
        <v>2273</v>
      </c>
      <c r="D140" s="448" t="s">
        <v>2269</v>
      </c>
      <c r="E140" s="451">
        <v>2130404</v>
      </c>
      <c r="F140" s="409" t="s">
        <v>2900</v>
      </c>
      <c r="G140" s="384" t="s">
        <v>5248</v>
      </c>
      <c r="H140" s="398">
        <v>0.89</v>
      </c>
      <c r="I140" s="151"/>
      <c r="J140" s="95" t="s">
        <v>1166</v>
      </c>
      <c r="K140" s="191">
        <v>590908.82999999996</v>
      </c>
      <c r="L140" s="269">
        <v>0.97921168790065249</v>
      </c>
      <c r="M140" s="267">
        <v>1</v>
      </c>
      <c r="N140" s="267">
        <f t="shared" si="75"/>
        <v>0</v>
      </c>
      <c r="O140" s="96">
        <f t="shared" si="76"/>
        <v>75932.728790467241</v>
      </c>
      <c r="P140" s="96">
        <f t="shared" si="77"/>
        <v>514976.1012095327</v>
      </c>
      <c r="Q140" s="96">
        <f t="shared" si="78"/>
        <v>0</v>
      </c>
      <c r="R140" s="187" t="s">
        <v>2455</v>
      </c>
      <c r="S140" s="187" t="s">
        <v>3608</v>
      </c>
      <c r="T140" s="94" t="s">
        <v>2857</v>
      </c>
      <c r="U140" s="395">
        <f>COUNTIF(Aggregation_of_rev_to_allocate!$A$3:$A$137,$T140)</f>
        <v>1</v>
      </c>
      <c r="V140" s="100"/>
      <c r="W140" s="100">
        <v>101</v>
      </c>
      <c r="X140" s="109">
        <v>514976.09523730178</v>
      </c>
      <c r="Y140" s="109">
        <v>0</v>
      </c>
      <c r="Z140" s="110">
        <v>0.97921167654463359</v>
      </c>
      <c r="AA140" s="110">
        <v>1</v>
      </c>
      <c r="AB140" s="110">
        <v>0</v>
      </c>
      <c r="AC140" s="109">
        <f>IF(ISERROR((X140*SUMIF('Rev_for_allocation(Hard)'!$A$3:$A$249,$T140,'Rev_for_allocation(Hard)'!$I$3:$I$249)/SUMIF(Historic_capex_list!$T$9:$T$586,$T140,Historic_capex_list!$X$9:$X$586))=TRUE),0,X140*SUMIF('Rev_for_allocation(Hard)'!$A$3:$A$249,$T140,'Rev_for_allocation(Hard)'!$I$3:$I$249)/SUMIF(Historic_capex_list!$T$9:$T$586,$T140,Historic_capex_list!$X$9:$X$586))</f>
        <v>5.0739386880550635E-3</v>
      </c>
      <c r="AD140" s="109">
        <f t="shared" si="79"/>
        <v>514976.10031124047</v>
      </c>
      <c r="AE140" s="109">
        <f t="shared" si="80"/>
        <v>514976.10031124047</v>
      </c>
      <c r="AF140" s="109">
        <f t="shared" si="81"/>
        <v>514976.10031124047</v>
      </c>
      <c r="AG140" s="332" t="str">
        <f t="shared" si="82"/>
        <v>N</v>
      </c>
      <c r="AH140" s="332">
        <f t="shared" si="83"/>
        <v>0</v>
      </c>
      <c r="AI140" s="332">
        <f t="shared" si="84"/>
        <v>0</v>
      </c>
      <c r="AJ140" s="109">
        <f t="shared" si="85"/>
        <v>514976.10031124047</v>
      </c>
      <c r="AK140" s="109">
        <f t="shared" si="86"/>
        <v>0</v>
      </c>
      <c r="AL140" s="109">
        <v>0</v>
      </c>
      <c r="AM140" s="111">
        <f t="shared" si="87"/>
        <v>0</v>
      </c>
      <c r="AN140" s="111">
        <f t="shared" si="88"/>
        <v>0</v>
      </c>
      <c r="AO140" s="111" t="str">
        <f t="shared" si="89"/>
        <v>Use deduct 3yrs</v>
      </c>
      <c r="AP140" s="111">
        <f t="shared" si="90"/>
        <v>0</v>
      </c>
      <c r="AQ140" s="112">
        <f t="shared" si="91"/>
        <v>0</v>
      </c>
      <c r="AR140" s="112">
        <f t="shared" si="92"/>
        <v>1</v>
      </c>
      <c r="AS140" s="113">
        <f t="shared" si="93"/>
        <v>2028</v>
      </c>
      <c r="AT140" s="109">
        <v>514976.10120953276</v>
      </c>
      <c r="AU140" s="114">
        <v>1</v>
      </c>
      <c r="AV140" s="113">
        <v>2028</v>
      </c>
      <c r="AW140" s="112">
        <f t="shared" si="94"/>
        <v>0.97921168790065249</v>
      </c>
      <c r="AX140" s="109">
        <f t="shared" si="95"/>
        <v>514976.1012095327</v>
      </c>
      <c r="AY140" s="109">
        <f t="shared" si="96"/>
        <v>0</v>
      </c>
      <c r="AZ140" s="109">
        <f t="shared" si="97"/>
        <v>514976.1012095327</v>
      </c>
      <c r="BA140" s="111">
        <f t="shared" si="98"/>
        <v>0</v>
      </c>
      <c r="BB140" s="117"/>
      <c r="BC140" s="115" t="str">
        <f t="shared" si="99"/>
        <v>N</v>
      </c>
      <c r="BD140" s="115" t="str">
        <f t="shared" si="100"/>
        <v>Y</v>
      </c>
      <c r="BE140" s="115" t="str">
        <f t="shared" si="101"/>
        <v>N</v>
      </c>
      <c r="BF140" s="109" t="str">
        <f t="shared" si="102"/>
        <v/>
      </c>
      <c r="BG140" s="111" t="s">
        <v>2499</v>
      </c>
      <c r="BH140" s="115" t="s">
        <v>1168</v>
      </c>
      <c r="BI140" s="116"/>
      <c r="BJ140" s="222">
        <v>0.97921168790065249</v>
      </c>
      <c r="BK140" s="265">
        <f t="shared" si="103"/>
        <v>0</v>
      </c>
      <c r="BL140" s="265">
        <f t="shared" si="104"/>
        <v>0</v>
      </c>
      <c r="BM140" s="265">
        <f t="shared" si="105"/>
        <v>0</v>
      </c>
      <c r="BN140" s="265">
        <f t="shared" si="106"/>
        <v>-5.9722309233620763E-3</v>
      </c>
      <c r="BO140" s="109"/>
      <c r="BP140" s="265">
        <f t="shared" si="107"/>
        <v>-5.9722309815697372E-3</v>
      </c>
      <c r="BQ140" s="265">
        <v>-5.9722309815697372E-3</v>
      </c>
      <c r="BR140" s="265" t="e">
        <f t="shared" si="108"/>
        <v>#REF!</v>
      </c>
      <c r="BS140" s="265">
        <v>-6.7282698133576846E-4</v>
      </c>
      <c r="BT140" s="475">
        <v>75932.728790467241</v>
      </c>
      <c r="BU140" s="475">
        <v>514976.1012095327</v>
      </c>
      <c r="BV140" s="475">
        <v>0</v>
      </c>
      <c r="BW140" s="483">
        <f t="shared" si="109"/>
        <v>0</v>
      </c>
      <c r="BX140" s="483">
        <f t="shared" si="110"/>
        <v>0</v>
      </c>
    </row>
    <row r="141" spans="1:76" s="103" customFormat="1" ht="29">
      <c r="A141" s="100" t="s">
        <v>2502</v>
      </c>
      <c r="B141" s="91" t="str">
        <f t="shared" si="74"/>
        <v xml:space="preserve">CI </v>
      </c>
      <c r="C141" s="92" t="s">
        <v>463</v>
      </c>
      <c r="D141" s="448" t="s">
        <v>2269</v>
      </c>
      <c r="E141" s="449" t="s">
        <v>2058</v>
      </c>
      <c r="F141" s="467" t="s">
        <v>4907</v>
      </c>
      <c r="G141" s="384" t="s">
        <v>5248</v>
      </c>
      <c r="H141" s="470">
        <v>0.89</v>
      </c>
      <c r="I141" s="95" t="s">
        <v>962</v>
      </c>
      <c r="J141" s="95" t="s">
        <v>1166</v>
      </c>
      <c r="K141" s="469">
        <v>489292.7</v>
      </c>
      <c r="L141" s="471">
        <v>8.3317254623928E-2</v>
      </c>
      <c r="M141" s="266">
        <v>0.91331269349845201</v>
      </c>
      <c r="N141" s="267">
        <f t="shared" si="75"/>
        <v>8.6687306501547989E-2</v>
      </c>
      <c r="O141" s="96">
        <f t="shared" si="76"/>
        <v>453010.49322033901</v>
      </c>
      <c r="P141" s="96">
        <f t="shared" si="77"/>
        <v>33136.999999999985</v>
      </c>
      <c r="Q141" s="96">
        <f t="shared" si="78"/>
        <v>3145.2067796610154</v>
      </c>
      <c r="R141" s="187" t="s">
        <v>2455</v>
      </c>
      <c r="S141" s="187" t="s">
        <v>3608</v>
      </c>
      <c r="T141" s="94" t="s">
        <v>2857</v>
      </c>
      <c r="U141" s="395">
        <f>COUNTIF(Aggregation_of_rev_to_allocate!$A$3:$A$137,$T141)</f>
        <v>1</v>
      </c>
      <c r="V141" s="100"/>
      <c r="W141" s="100">
        <v>105</v>
      </c>
      <c r="X141" s="109">
        <v>26010.482384757528</v>
      </c>
      <c r="Y141" s="109">
        <v>10271.936263811023</v>
      </c>
      <c r="Z141" s="110">
        <v>0.79959491027346064</v>
      </c>
      <c r="AA141" s="110">
        <v>0.71688942891859053</v>
      </c>
      <c r="AB141" s="110">
        <v>0.28311057108140947</v>
      </c>
      <c r="AC141" s="109">
        <f>IF(ISERROR((X141*SUMIF('Rev_for_allocation(Hard)'!$A$3:$A$249,$T141,'Rev_for_allocation(Hard)'!$I$3:$I$249)/SUMIF(Historic_capex_list!$T$9:$T$586,$T141,Historic_capex_list!$X$9:$X$586))=TRUE),0,X141*SUMIF('Rev_for_allocation(Hard)'!$A$3:$A$249,$T141,'Rev_for_allocation(Hard)'!$I$3:$I$249)/SUMIF(Historic_capex_list!$T$9:$T$586,$T141,Historic_capex_list!$X$9:$X$586))</f>
        <v>2.5627518264936431E-4</v>
      </c>
      <c r="AD141" s="109">
        <f t="shared" si="79"/>
        <v>26010.482641032711</v>
      </c>
      <c r="AE141" s="109">
        <f t="shared" si="80"/>
        <v>26010.482641032711</v>
      </c>
      <c r="AF141" s="109">
        <f t="shared" si="81"/>
        <v>36282.418904843733</v>
      </c>
      <c r="AG141" s="332" t="str">
        <f t="shared" si="82"/>
        <v>N</v>
      </c>
      <c r="AH141" s="332">
        <f t="shared" si="83"/>
        <v>0</v>
      </c>
      <c r="AI141" s="332">
        <f t="shared" si="84"/>
        <v>0</v>
      </c>
      <c r="AJ141" s="109">
        <f t="shared" si="85"/>
        <v>36282.418904843733</v>
      </c>
      <c r="AK141" s="109">
        <f t="shared" si="86"/>
        <v>0</v>
      </c>
      <c r="AL141" s="109">
        <v>0</v>
      </c>
      <c r="AM141" s="111">
        <f t="shared" si="87"/>
        <v>3.9491525423728815</v>
      </c>
      <c r="AN141" s="111">
        <f t="shared" si="88"/>
        <v>0.94915254237288149</v>
      </c>
      <c r="AO141" s="111" t="str">
        <f t="shared" si="89"/>
        <v>Use deduct 3yrs</v>
      </c>
      <c r="AP141" s="111">
        <f t="shared" si="90"/>
        <v>0.94915254237288149</v>
      </c>
      <c r="AQ141" s="112">
        <f t="shared" si="91"/>
        <v>8.6687306501547989E-2</v>
      </c>
      <c r="AR141" s="112">
        <f t="shared" si="92"/>
        <v>0.91331269349845201</v>
      </c>
      <c r="AS141" s="113">
        <f t="shared" si="93"/>
        <v>2029</v>
      </c>
      <c r="AT141" s="109">
        <v>36282.4189502148</v>
      </c>
      <c r="AU141" s="114">
        <v>0.91331269349845201</v>
      </c>
      <c r="AV141" s="113">
        <v>2029</v>
      </c>
      <c r="AW141" s="112">
        <f t="shared" si="94"/>
        <v>8.3317741845341006E-2</v>
      </c>
      <c r="AX141" s="109">
        <f t="shared" si="95"/>
        <v>33137.193778059955</v>
      </c>
      <c r="AY141" s="109">
        <f t="shared" si="96"/>
        <v>3145.2251721548428</v>
      </c>
      <c r="AZ141" s="109">
        <f t="shared" si="97"/>
        <v>36282.4189502148</v>
      </c>
      <c r="BA141" s="111">
        <f t="shared" si="98"/>
        <v>0</v>
      </c>
      <c r="BB141" s="117"/>
      <c r="BC141" s="115" t="str">
        <f t="shared" si="99"/>
        <v>N</v>
      </c>
      <c r="BD141" s="115" t="str">
        <f t="shared" si="100"/>
        <v>Y</v>
      </c>
      <c r="BE141" s="115" t="str">
        <f t="shared" si="101"/>
        <v>N</v>
      </c>
      <c r="BF141" s="109" t="str">
        <f t="shared" si="102"/>
        <v/>
      </c>
      <c r="BG141" s="111" t="s">
        <v>2499</v>
      </c>
      <c r="BH141" s="115" t="s">
        <v>1168</v>
      </c>
      <c r="BI141" s="116"/>
      <c r="BJ141" s="222">
        <v>0.79959491692116536</v>
      </c>
      <c r="BK141" s="265">
        <f t="shared" si="103"/>
        <v>1.8392493827377621E-2</v>
      </c>
      <c r="BL141" s="265">
        <f t="shared" si="104"/>
        <v>-1.8392493827377621E-2</v>
      </c>
      <c r="BM141" s="265">
        <f t="shared" si="105"/>
        <v>5.4569682106375694E-12</v>
      </c>
      <c r="BN141" s="265">
        <f t="shared" si="106"/>
        <v>-7126.5176152424574</v>
      </c>
      <c r="BO141" s="109"/>
      <c r="BP141" s="265">
        <f t="shared" si="107"/>
        <v>-3.0164625059114769E-4</v>
      </c>
      <c r="BQ141" s="265">
        <v>-3.0164625059114769E-4</v>
      </c>
      <c r="BR141" s="265" t="e">
        <f t="shared" si="108"/>
        <v>#REF!</v>
      </c>
      <c r="BS141" s="265">
        <v>-3.3983236221575263E-5</v>
      </c>
      <c r="BT141" s="475">
        <v>9093.5810497852017</v>
      </c>
      <c r="BU141" s="475">
        <v>33137.193778059955</v>
      </c>
      <c r="BV141" s="475">
        <v>3145.2251721548432</v>
      </c>
      <c r="BW141" s="483">
        <f t="shared" si="109"/>
        <v>-0.19377805996919051</v>
      </c>
      <c r="BX141" s="483">
        <f t="shared" si="110"/>
        <v>-1.8392493827832368E-2</v>
      </c>
    </row>
    <row r="142" spans="1:76" s="103" customFormat="1" ht="29">
      <c r="A142" s="100" t="s">
        <v>2502</v>
      </c>
      <c r="B142" s="91" t="str">
        <f t="shared" si="74"/>
        <v xml:space="preserve">CI </v>
      </c>
      <c r="C142" s="92" t="s">
        <v>463</v>
      </c>
      <c r="D142" s="448" t="s">
        <v>2269</v>
      </c>
      <c r="E142" s="449">
        <v>2130437</v>
      </c>
      <c r="F142" s="467" t="s">
        <v>4908</v>
      </c>
      <c r="G142" s="384" t="s">
        <v>5248</v>
      </c>
      <c r="H142" s="470">
        <v>0.89</v>
      </c>
      <c r="I142" s="95" t="s">
        <v>962</v>
      </c>
      <c r="J142" s="95" t="s">
        <v>1166</v>
      </c>
      <c r="K142" s="469">
        <v>1098748.68</v>
      </c>
      <c r="L142" s="471">
        <v>3.7814797004951439E-2</v>
      </c>
      <c r="M142" s="266">
        <v>0.91331269349845201</v>
      </c>
      <c r="N142" s="267">
        <f t="shared" si="75"/>
        <v>8.6687306501547989E-2</v>
      </c>
      <c r="O142" s="96">
        <f t="shared" si="76"/>
        <v>1061770.1071186441</v>
      </c>
      <c r="P142" s="96">
        <f t="shared" si="77"/>
        <v>33773</v>
      </c>
      <c r="Q142" s="96">
        <f t="shared" si="78"/>
        <v>3205.5728813559322</v>
      </c>
      <c r="R142" s="187" t="s">
        <v>2455</v>
      </c>
      <c r="S142" s="187" t="s">
        <v>3608</v>
      </c>
      <c r="T142" s="94" t="s">
        <v>2857</v>
      </c>
      <c r="U142" s="395">
        <f>COUNTIF(Aggregation_of_rev_to_allocate!$A$3:$A$137,$T142)</f>
        <v>1</v>
      </c>
      <c r="V142" s="100"/>
      <c r="W142" s="100">
        <v>111</v>
      </c>
      <c r="X142" s="109">
        <v>26509.184775332702</v>
      </c>
      <c r="Y142" s="109">
        <v>10468.881445173762</v>
      </c>
      <c r="Z142" s="110">
        <v>0.79959491027346075</v>
      </c>
      <c r="AA142" s="110">
        <v>0.71688942891859053</v>
      </c>
      <c r="AB142" s="110">
        <v>0.28311057108140947</v>
      </c>
      <c r="AC142" s="109">
        <f>IF(ISERROR((X142*SUMIF('Rev_for_allocation(Hard)'!$A$3:$A$249,$T142,'Rev_for_allocation(Hard)'!$I$3:$I$249)/SUMIF(Historic_capex_list!$T$9:$T$586,$T142,Historic_capex_list!$X$9:$X$586))=TRUE),0,X142*SUMIF('Rev_for_allocation(Hard)'!$A$3:$A$249,$T142,'Rev_for_allocation(Hard)'!$I$3:$I$249)/SUMIF(Historic_capex_list!$T$9:$T$586,$T142,Historic_capex_list!$X$9:$X$586))</f>
        <v>2.6118878034208618E-4</v>
      </c>
      <c r="AD142" s="109">
        <f t="shared" si="79"/>
        <v>26509.185036521481</v>
      </c>
      <c r="AE142" s="109">
        <f t="shared" si="80"/>
        <v>26509.185036521481</v>
      </c>
      <c r="AF142" s="109">
        <f t="shared" si="81"/>
        <v>36978.066481695241</v>
      </c>
      <c r="AG142" s="332" t="str">
        <f t="shared" si="82"/>
        <v>N</v>
      </c>
      <c r="AH142" s="332">
        <f t="shared" si="83"/>
        <v>0</v>
      </c>
      <c r="AI142" s="332">
        <f t="shared" si="84"/>
        <v>0</v>
      </c>
      <c r="AJ142" s="109">
        <f t="shared" si="85"/>
        <v>36978.066481695241</v>
      </c>
      <c r="AK142" s="109">
        <f t="shared" si="86"/>
        <v>0</v>
      </c>
      <c r="AL142" s="109">
        <v>0</v>
      </c>
      <c r="AM142" s="111">
        <f t="shared" si="87"/>
        <v>3.9491525423728815</v>
      </c>
      <c r="AN142" s="111">
        <f t="shared" si="88"/>
        <v>0.94915254237288149</v>
      </c>
      <c r="AO142" s="111" t="str">
        <f t="shared" si="89"/>
        <v>Use deduct 3yrs</v>
      </c>
      <c r="AP142" s="111">
        <f t="shared" si="90"/>
        <v>0.94915254237288149</v>
      </c>
      <c r="AQ142" s="112">
        <f t="shared" si="91"/>
        <v>8.6687306501547989E-2</v>
      </c>
      <c r="AR142" s="112">
        <f t="shared" si="92"/>
        <v>0.91331269349845201</v>
      </c>
      <c r="AS142" s="113">
        <f t="shared" si="93"/>
        <v>2029</v>
      </c>
      <c r="AT142" s="109">
        <v>36978.066527936222</v>
      </c>
      <c r="AU142" s="114">
        <v>0.91331269349845201</v>
      </c>
      <c r="AV142" s="113">
        <v>2029</v>
      </c>
      <c r="AW142" s="112">
        <f t="shared" si="94"/>
        <v>3.7814279200983167E-2</v>
      </c>
      <c r="AX142" s="109">
        <f t="shared" si="95"/>
        <v>33772.537540994388</v>
      </c>
      <c r="AY142" s="109">
        <f t="shared" si="96"/>
        <v>3205.5289869418398</v>
      </c>
      <c r="AZ142" s="109">
        <f t="shared" si="97"/>
        <v>36978.066527936229</v>
      </c>
      <c r="BA142" s="111">
        <f t="shared" si="98"/>
        <v>0</v>
      </c>
      <c r="BB142" s="117"/>
      <c r="BC142" s="115" t="str">
        <f t="shared" si="99"/>
        <v>N</v>
      </c>
      <c r="BD142" s="115" t="str">
        <f t="shared" si="100"/>
        <v>Y</v>
      </c>
      <c r="BE142" s="115" t="str">
        <f t="shared" si="101"/>
        <v>N</v>
      </c>
      <c r="BF142" s="109" t="str">
        <f t="shared" si="102"/>
        <v/>
      </c>
      <c r="BG142" s="111" t="s">
        <v>2499</v>
      </c>
      <c r="BH142" s="115" t="s">
        <v>1168</v>
      </c>
      <c r="BI142" s="116"/>
      <c r="BJ142" s="222">
        <v>0.79959491692116558</v>
      </c>
      <c r="BK142" s="265">
        <f t="shared" si="103"/>
        <v>-4.3894414092392253E-2</v>
      </c>
      <c r="BL142" s="265">
        <f t="shared" si="104"/>
        <v>4.3894414092392253E-2</v>
      </c>
      <c r="BM142" s="265">
        <f t="shared" si="105"/>
        <v>-5.0476955948397517E-11</v>
      </c>
      <c r="BN142" s="265">
        <f t="shared" si="106"/>
        <v>-7263.815224667298</v>
      </c>
      <c r="BO142" s="109"/>
      <c r="BP142" s="265">
        <f t="shared" si="107"/>
        <v>-3.074297565035522E-4</v>
      </c>
      <c r="BQ142" s="265">
        <v>-3.074297565035522E-4</v>
      </c>
      <c r="BR142" s="265" t="e">
        <f t="shared" si="108"/>
        <v>#REF!</v>
      </c>
      <c r="BS142" s="265">
        <v>-3.4634801580749951E-5</v>
      </c>
      <c r="BT142" s="475">
        <v>9267.9334720637762</v>
      </c>
      <c r="BU142" s="475">
        <v>33772.537540994381</v>
      </c>
      <c r="BV142" s="475">
        <v>3205.5289869418398</v>
      </c>
      <c r="BW142" s="483">
        <f t="shared" si="109"/>
        <v>0.46245900561916642</v>
      </c>
      <c r="BX142" s="483">
        <f t="shared" si="110"/>
        <v>4.3894414092392253E-2</v>
      </c>
    </row>
    <row r="143" spans="1:76" s="103" customFormat="1" ht="14.5">
      <c r="A143" s="100" t="s">
        <v>2502</v>
      </c>
      <c r="B143" s="91" t="str">
        <f t="shared" si="74"/>
        <v xml:space="preserve">CI </v>
      </c>
      <c r="C143" s="92" t="s">
        <v>463</v>
      </c>
      <c r="D143" s="448" t="s">
        <v>2269</v>
      </c>
      <c r="E143" s="449">
        <v>2130399</v>
      </c>
      <c r="F143" s="467" t="s">
        <v>4909</v>
      </c>
      <c r="G143" s="467" t="s">
        <v>5004</v>
      </c>
      <c r="H143" s="470">
        <v>0.89</v>
      </c>
      <c r="I143" s="95" t="s">
        <v>962</v>
      </c>
      <c r="J143" s="95" t="s">
        <v>1166</v>
      </c>
      <c r="K143" s="469">
        <v>494000</v>
      </c>
      <c r="L143" s="489">
        <v>0.9</v>
      </c>
      <c r="M143" s="266">
        <v>0.91331269349845201</v>
      </c>
      <c r="N143" s="267">
        <f t="shared" si="75"/>
        <v>8.6687306501547989E-2</v>
      </c>
      <c r="O143" s="96">
        <f t="shared" si="76"/>
        <v>98305.999999999985</v>
      </c>
      <c r="P143" s="96">
        <f t="shared" si="77"/>
        <v>361392.35294117645</v>
      </c>
      <c r="Q143" s="96">
        <f t="shared" si="78"/>
        <v>34301.647058823532</v>
      </c>
      <c r="R143" s="187" t="s">
        <v>2455</v>
      </c>
      <c r="S143" s="187" t="s">
        <v>3608</v>
      </c>
      <c r="T143" s="94" t="s">
        <v>2857</v>
      </c>
      <c r="U143" s="395">
        <f>COUNTIF(Aggregation_of_rev_to_allocate!$A$3:$A$137,$T143)</f>
        <v>1</v>
      </c>
      <c r="V143" s="100"/>
      <c r="W143" s="100">
        <v>113</v>
      </c>
      <c r="X143" s="109">
        <v>340394.1890667624</v>
      </c>
      <c r="Y143" s="109">
        <v>134426.85771619598</v>
      </c>
      <c r="Z143" s="110">
        <v>0.79959491027346075</v>
      </c>
      <c r="AA143" s="110">
        <v>0.71688942891859053</v>
      </c>
      <c r="AB143" s="110">
        <v>0.28311057108140947</v>
      </c>
      <c r="AC143" s="109">
        <f>IF(ISERROR((X143*SUMIF('Rev_for_allocation(Hard)'!$A$3:$A$249,$T143,'Rev_for_allocation(Hard)'!$I$3:$I$249)/SUMIF(Historic_capex_list!$T$9:$T$586,$T143,Historic_capex_list!$X$9:$X$586))=TRUE),0,X143*SUMIF('Rev_for_allocation(Hard)'!$A$3:$A$249,$T143,'Rev_for_allocation(Hard)'!$I$3:$I$249)/SUMIF(Historic_capex_list!$T$9:$T$586,$T143,Historic_capex_list!$X$9:$X$586))</f>
        <v>3.3538241115815431E-3</v>
      </c>
      <c r="AD143" s="109">
        <f t="shared" si="79"/>
        <v>340394.19242058654</v>
      </c>
      <c r="AE143" s="109">
        <f t="shared" si="80"/>
        <v>340394.19242058654</v>
      </c>
      <c r="AF143" s="109">
        <f t="shared" si="81"/>
        <v>474821.05013678252</v>
      </c>
      <c r="AG143" s="332" t="str">
        <f t="shared" si="82"/>
        <v>N</v>
      </c>
      <c r="AH143" s="332">
        <f t="shared" si="83"/>
        <v>0</v>
      </c>
      <c r="AI143" s="332">
        <f t="shared" si="84"/>
        <v>0</v>
      </c>
      <c r="AJ143" s="109">
        <f t="shared" si="85"/>
        <v>474821.05013678252</v>
      </c>
      <c r="AK143" s="109">
        <f t="shared" si="86"/>
        <v>0</v>
      </c>
      <c r="AL143" s="109">
        <v>0</v>
      </c>
      <c r="AM143" s="111">
        <f t="shared" si="87"/>
        <v>3.9491525423728815</v>
      </c>
      <c r="AN143" s="111">
        <f t="shared" si="88"/>
        <v>0.94915254237288149</v>
      </c>
      <c r="AO143" s="111" t="str">
        <f t="shared" si="89"/>
        <v>Use deduct 3yrs</v>
      </c>
      <c r="AP143" s="111">
        <f t="shared" si="90"/>
        <v>0.94915254237288149</v>
      </c>
      <c r="AQ143" s="112">
        <f t="shared" si="91"/>
        <v>8.6687306501547989E-2</v>
      </c>
      <c r="AR143" s="112">
        <f t="shared" si="92"/>
        <v>0.91331269349845201</v>
      </c>
      <c r="AS143" s="113">
        <f t="shared" si="93"/>
        <v>2029</v>
      </c>
      <c r="AT143" s="109">
        <v>474821.05073054496</v>
      </c>
      <c r="AU143" s="114">
        <v>0.91331269349845201</v>
      </c>
      <c r="AV143" s="113">
        <v>2029</v>
      </c>
      <c r="AW143" s="112">
        <f t="shared" si="94"/>
        <v>1.0799732764648704</v>
      </c>
      <c r="AX143" s="109">
        <f t="shared" si="95"/>
        <v>433660.09277247911</v>
      </c>
      <c r="AY143" s="109">
        <f t="shared" si="96"/>
        <v>41160.957958065817</v>
      </c>
      <c r="AZ143" s="109">
        <f t="shared" si="97"/>
        <v>474821.05073054496</v>
      </c>
      <c r="BA143" s="111">
        <f t="shared" si="98"/>
        <v>0</v>
      </c>
      <c r="BB143" s="117"/>
      <c r="BC143" s="115" t="str">
        <f t="shared" si="99"/>
        <v>N</v>
      </c>
      <c r="BD143" s="115" t="str">
        <f t="shared" si="100"/>
        <v>N</v>
      </c>
      <c r="BE143" s="115" t="str">
        <f t="shared" si="101"/>
        <v>N</v>
      </c>
      <c r="BF143" s="109" t="str">
        <f t="shared" si="102"/>
        <v/>
      </c>
      <c r="BG143" s="111" t="s">
        <v>2499</v>
      </c>
      <c r="BH143" s="115" t="s">
        <v>1168</v>
      </c>
      <c r="BI143" s="116"/>
      <c r="BJ143" s="222">
        <v>0.79959491692116547</v>
      </c>
      <c r="BK143" s="265">
        <f t="shared" si="103"/>
        <v>6859.3108992422858</v>
      </c>
      <c r="BL143" s="265">
        <f t="shared" si="104"/>
        <v>-6859.3108992422858</v>
      </c>
      <c r="BM143" s="265">
        <f t="shared" si="105"/>
        <v>0</v>
      </c>
      <c r="BN143" s="265">
        <f t="shared" si="106"/>
        <v>-20998.163874414051</v>
      </c>
      <c r="BO143" s="109"/>
      <c r="BP143" s="265">
        <f t="shared" si="107"/>
        <v>-3.9475865778513253E-3</v>
      </c>
      <c r="BQ143" s="265">
        <v>-3.9475865778513253E-3</v>
      </c>
      <c r="BR143" s="265" t="e">
        <f t="shared" si="108"/>
        <v>#REF!</v>
      </c>
      <c r="BS143" s="265">
        <v>-4.4473208905245512E-4</v>
      </c>
      <c r="BT143" s="475">
        <v>119005.94926945507</v>
      </c>
      <c r="BU143" s="475">
        <v>433660.09277247911</v>
      </c>
      <c r="BV143" s="475">
        <v>41160.95795806581</v>
      </c>
      <c r="BW143" s="483">
        <f t="shared" si="109"/>
        <v>-72267.739831302664</v>
      </c>
      <c r="BX143" s="483">
        <f t="shared" si="110"/>
        <v>-6859.3108992422785</v>
      </c>
    </row>
    <row r="144" spans="1:76" s="103" customFormat="1" ht="29">
      <c r="A144" s="100" t="s">
        <v>2502</v>
      </c>
      <c r="B144" s="91" t="str">
        <f t="shared" si="74"/>
        <v xml:space="preserve">CI </v>
      </c>
      <c r="C144" s="92" t="s">
        <v>2302</v>
      </c>
      <c r="D144" s="448" t="s">
        <v>2269</v>
      </c>
      <c r="E144" s="451">
        <v>2130399</v>
      </c>
      <c r="F144" s="409" t="s">
        <v>2933</v>
      </c>
      <c r="G144" s="384" t="s">
        <v>5248</v>
      </c>
      <c r="H144" s="398">
        <v>0.89</v>
      </c>
      <c r="I144" s="151"/>
      <c r="J144" s="95" t="s">
        <v>1166</v>
      </c>
      <c r="K144" s="191">
        <v>5904.9056866808023</v>
      </c>
      <c r="L144" s="269">
        <v>0.11858840124093074</v>
      </c>
      <c r="M144" s="267">
        <v>1</v>
      </c>
      <c r="N144" s="267">
        <f t="shared" si="75"/>
        <v>0</v>
      </c>
      <c r="O144" s="96">
        <f t="shared" si="76"/>
        <v>5281.6802275536611</v>
      </c>
      <c r="P144" s="96">
        <f t="shared" si="77"/>
        <v>623.22545912714145</v>
      </c>
      <c r="Q144" s="96">
        <f t="shared" si="78"/>
        <v>0</v>
      </c>
      <c r="R144" s="187" t="s">
        <v>2441</v>
      </c>
      <c r="S144" s="187" t="s">
        <v>3608</v>
      </c>
      <c r="T144" s="94" t="s">
        <v>2857</v>
      </c>
      <c r="U144" s="395">
        <f>COUNTIF(Aggregation_of_rev_to_allocate!$A$3:$A$137,$T144)</f>
        <v>1</v>
      </c>
      <c r="V144" s="100"/>
      <c r="W144" s="100">
        <v>177</v>
      </c>
      <c r="X144" s="109">
        <v>2403.8595729449794</v>
      </c>
      <c r="Y144" s="109">
        <v>1682.7017010614857</v>
      </c>
      <c r="Z144" s="110">
        <v>0.77759783551888384</v>
      </c>
      <c r="AA144" s="110">
        <v>0.58823529411764708</v>
      </c>
      <c r="AB144" s="110">
        <v>0.41176470588235292</v>
      </c>
      <c r="AC144" s="109">
        <f>IF(ISERROR((X144*SUMIF('Rev_for_allocation(Hard)'!$A$3:$A$249,$T144,'Rev_for_allocation(Hard)'!$I$3:$I$249)/SUMIF(Historic_capex_list!$T$9:$T$586,$T144,Historic_capex_list!$X$9:$X$586))=TRUE),0,X144*SUMIF('Rev_for_allocation(Hard)'!$A$3:$A$249,$T144,'Rev_for_allocation(Hard)'!$I$3:$I$249)/SUMIF(Historic_capex_list!$T$9:$T$586,$T144,Historic_capex_list!$X$9:$X$586))</f>
        <v>2.3684664590492575E-5</v>
      </c>
      <c r="AD144" s="109">
        <f t="shared" si="79"/>
        <v>2403.8595966296439</v>
      </c>
      <c r="AE144" s="109">
        <f t="shared" si="80"/>
        <v>2403.8595966296439</v>
      </c>
      <c r="AF144" s="109">
        <f t="shared" si="81"/>
        <v>4086.5612976911298</v>
      </c>
      <c r="AG144" s="332" t="str">
        <f t="shared" si="82"/>
        <v>N</v>
      </c>
      <c r="AH144" s="332">
        <f t="shared" si="83"/>
        <v>0</v>
      </c>
      <c r="AI144" s="332">
        <f t="shared" si="84"/>
        <v>0</v>
      </c>
      <c r="AJ144" s="109">
        <f t="shared" si="85"/>
        <v>4086.5612976911298</v>
      </c>
      <c r="AK144" s="109">
        <f t="shared" si="86"/>
        <v>0</v>
      </c>
      <c r="AL144" s="109">
        <v>0</v>
      </c>
      <c r="AM144" s="111">
        <f t="shared" si="87"/>
        <v>7</v>
      </c>
      <c r="AN144" s="111">
        <f t="shared" si="88"/>
        <v>4</v>
      </c>
      <c r="AO144" s="111" t="str">
        <f t="shared" si="89"/>
        <v>Use deduct 3yrs</v>
      </c>
      <c r="AP144" s="111">
        <f t="shared" si="90"/>
        <v>4</v>
      </c>
      <c r="AQ144" s="112">
        <f t="shared" si="91"/>
        <v>0.2857142857142857</v>
      </c>
      <c r="AR144" s="112">
        <f t="shared" si="92"/>
        <v>0.7142857142857143</v>
      </c>
      <c r="AS144" s="113">
        <f t="shared" si="93"/>
        <v>2032</v>
      </c>
      <c r="AT144" s="109">
        <v>623.22545912714145</v>
      </c>
      <c r="AU144" s="114">
        <v>1</v>
      </c>
      <c r="AV144" s="113">
        <v>2028</v>
      </c>
      <c r="AW144" s="112">
        <f t="shared" si="94"/>
        <v>0.11858840124093074</v>
      </c>
      <c r="AX144" s="109">
        <f t="shared" si="95"/>
        <v>623.22545912714145</v>
      </c>
      <c r="AY144" s="109">
        <f t="shared" si="96"/>
        <v>0</v>
      </c>
      <c r="AZ144" s="109">
        <f t="shared" si="97"/>
        <v>623.22545912714145</v>
      </c>
      <c r="BA144" s="111">
        <f t="shared" si="98"/>
        <v>0</v>
      </c>
      <c r="BB144" s="117"/>
      <c r="BC144" s="115" t="str">
        <f t="shared" si="99"/>
        <v>Y</v>
      </c>
      <c r="BD144" s="115" t="str">
        <f t="shared" si="100"/>
        <v>Y</v>
      </c>
      <c r="BE144" s="115" t="str">
        <f t="shared" si="101"/>
        <v>Y</v>
      </c>
      <c r="BF144" s="109">
        <f t="shared" si="102"/>
        <v>623.22545912714145</v>
      </c>
      <c r="BG144" s="111" t="s">
        <v>2499</v>
      </c>
      <c r="BH144" s="115" t="s">
        <v>1168</v>
      </c>
      <c r="BI144" s="116"/>
      <c r="BJ144" s="222">
        <v>0.11858840124093074</v>
      </c>
      <c r="BK144" s="265">
        <f t="shared" si="103"/>
        <v>0</v>
      </c>
      <c r="BL144" s="265">
        <f t="shared" si="104"/>
        <v>0</v>
      </c>
      <c r="BM144" s="265">
        <f t="shared" si="105"/>
        <v>-2.2737367544323206E-13</v>
      </c>
      <c r="BN144" s="265">
        <f t="shared" si="106"/>
        <v>1780.6341138178379</v>
      </c>
      <c r="BO144" s="109"/>
      <c r="BP144" s="265">
        <f t="shared" si="107"/>
        <v>3463.3358148793241</v>
      </c>
      <c r="BQ144" s="265">
        <v>3463.3358148793241</v>
      </c>
      <c r="BR144" s="265" t="e">
        <f t="shared" si="108"/>
        <v>#REF!</v>
      </c>
      <c r="BS144" s="265">
        <v>390.17676792280304</v>
      </c>
      <c r="BT144" s="475">
        <v>5281.6802275536611</v>
      </c>
      <c r="BU144" s="475">
        <v>623.22545912714145</v>
      </c>
      <c r="BV144" s="475">
        <v>0</v>
      </c>
      <c r="BW144" s="483">
        <f t="shared" si="109"/>
        <v>0</v>
      </c>
      <c r="BX144" s="483">
        <f t="shared" si="110"/>
        <v>0</v>
      </c>
    </row>
    <row r="145" spans="1:76" s="103" customFormat="1" ht="29">
      <c r="A145" s="100" t="s">
        <v>2502</v>
      </c>
      <c r="B145" s="91" t="str">
        <f t="shared" si="74"/>
        <v xml:space="preserve">CI </v>
      </c>
      <c r="C145" s="92" t="s">
        <v>463</v>
      </c>
      <c r="D145" s="448" t="s">
        <v>2269</v>
      </c>
      <c r="E145" s="449" t="s">
        <v>2056</v>
      </c>
      <c r="F145" s="467" t="s">
        <v>4910</v>
      </c>
      <c r="G145" s="384" t="s">
        <v>5248</v>
      </c>
      <c r="H145" s="470">
        <v>0.89</v>
      </c>
      <c r="I145" s="95" t="s">
        <v>962</v>
      </c>
      <c r="J145" s="95" t="s">
        <v>1166</v>
      </c>
      <c r="K145" s="469">
        <v>572046</v>
      </c>
      <c r="L145" s="471">
        <v>0.89842155602290508</v>
      </c>
      <c r="M145" s="266">
        <v>0.91331269349845201</v>
      </c>
      <c r="N145" s="267">
        <f t="shared" si="75"/>
        <v>8.6687306501547989E-2</v>
      </c>
      <c r="O145" s="96">
        <f t="shared" si="76"/>
        <v>114640.77288135589</v>
      </c>
      <c r="P145" s="96">
        <f t="shared" si="77"/>
        <v>417754</v>
      </c>
      <c r="Q145" s="96">
        <f t="shared" si="78"/>
        <v>39651.22711864407</v>
      </c>
      <c r="R145" s="187" t="s">
        <v>2455</v>
      </c>
      <c r="S145" s="187" t="s">
        <v>3608</v>
      </c>
      <c r="T145" s="94" t="s">
        <v>2857</v>
      </c>
      <c r="U145" s="395">
        <f>COUNTIF(Aggregation_of_rev_to_allocate!$A$3:$A$137,$T145)</f>
        <v>1</v>
      </c>
      <c r="V145" s="100"/>
      <c r="W145" s="100">
        <v>88</v>
      </c>
      <c r="X145" s="109">
        <v>327908.8594470867</v>
      </c>
      <c r="Y145" s="109">
        <v>129496.21059520543</v>
      </c>
      <c r="Z145" s="110">
        <v>0.79959491027346075</v>
      </c>
      <c r="AA145" s="110">
        <v>0.71688942891859053</v>
      </c>
      <c r="AB145" s="110">
        <v>0.28311057108140947</v>
      </c>
      <c r="AC145" s="109">
        <f>IF(ISERROR((X145*SUMIF('Rev_for_allocation(Hard)'!$A$3:$A$249,$T145,'Rev_for_allocation(Hard)'!$I$3:$I$249)/SUMIF(Historic_capex_list!$T$9:$T$586,$T145,Historic_capex_list!$X$9:$X$586))=TRUE),0,X145*SUMIF('Rev_for_allocation(Hard)'!$A$3:$A$249,$T145,'Rev_for_allocation(Hard)'!$I$3:$I$249)/SUMIF(Historic_capex_list!$T$9:$T$586,$T145,Historic_capex_list!$X$9:$X$586))</f>
        <v>3.2308090870468587E-3</v>
      </c>
      <c r="AD145" s="109">
        <f t="shared" si="79"/>
        <v>327908.86267789576</v>
      </c>
      <c r="AE145" s="109">
        <f t="shared" si="80"/>
        <v>327908.86267789576</v>
      </c>
      <c r="AF145" s="109">
        <f t="shared" si="81"/>
        <v>457405.07327310118</v>
      </c>
      <c r="AG145" s="332" t="str">
        <f t="shared" si="82"/>
        <v>N</v>
      </c>
      <c r="AH145" s="332">
        <f t="shared" si="83"/>
        <v>0</v>
      </c>
      <c r="AI145" s="332">
        <f t="shared" si="84"/>
        <v>0</v>
      </c>
      <c r="AJ145" s="109">
        <f t="shared" si="85"/>
        <v>457405.07327310118</v>
      </c>
      <c r="AK145" s="109">
        <f t="shared" si="86"/>
        <v>0</v>
      </c>
      <c r="AL145" s="109">
        <v>0</v>
      </c>
      <c r="AM145" s="111">
        <f t="shared" si="87"/>
        <v>3.9491525423728815</v>
      </c>
      <c r="AN145" s="111">
        <f t="shared" si="88"/>
        <v>0.94915254237288149</v>
      </c>
      <c r="AO145" s="111" t="str">
        <f t="shared" si="89"/>
        <v>Use deduct 3yrs</v>
      </c>
      <c r="AP145" s="111">
        <f t="shared" si="90"/>
        <v>0.94915254237288149</v>
      </c>
      <c r="AQ145" s="112">
        <f t="shared" si="91"/>
        <v>8.6687306501547989E-2</v>
      </c>
      <c r="AR145" s="112">
        <f t="shared" si="92"/>
        <v>0.91331269349845201</v>
      </c>
      <c r="AS145" s="113">
        <f t="shared" si="93"/>
        <v>2029</v>
      </c>
      <c r="AT145" s="109">
        <v>457405.07384508505</v>
      </c>
      <c r="AU145" s="114">
        <v>0.91331269349845201</v>
      </c>
      <c r="AV145" s="113">
        <v>2029</v>
      </c>
      <c r="AW145" s="112">
        <f t="shared" si="94"/>
        <v>0.89842125496760172</v>
      </c>
      <c r="AX145" s="109">
        <f t="shared" si="95"/>
        <v>417753.86001331295</v>
      </c>
      <c r="AY145" s="109">
        <f t="shared" si="96"/>
        <v>39651.213831772082</v>
      </c>
      <c r="AZ145" s="109">
        <f t="shared" si="97"/>
        <v>457405.07384508505</v>
      </c>
      <c r="BA145" s="111">
        <f t="shared" si="98"/>
        <v>0</v>
      </c>
      <c r="BB145" s="117"/>
      <c r="BC145" s="115" t="str">
        <f t="shared" si="99"/>
        <v>N</v>
      </c>
      <c r="BD145" s="115" t="str">
        <f t="shared" si="100"/>
        <v>N</v>
      </c>
      <c r="BE145" s="115" t="str">
        <f t="shared" si="101"/>
        <v>N</v>
      </c>
      <c r="BF145" s="109" t="str">
        <f t="shared" si="102"/>
        <v/>
      </c>
      <c r="BG145" s="111" t="s">
        <v>2499</v>
      </c>
      <c r="BH145" s="115" t="s">
        <v>1168</v>
      </c>
      <c r="BI145" s="116"/>
      <c r="BJ145" s="222">
        <v>0.79959491692116547</v>
      </c>
      <c r="BK145" s="265">
        <f t="shared" si="103"/>
        <v>-1.3286871988384519E-2</v>
      </c>
      <c r="BL145" s="265">
        <f t="shared" si="104"/>
        <v>1.3286871988384519E-2</v>
      </c>
      <c r="BM145" s="265">
        <f t="shared" si="105"/>
        <v>0</v>
      </c>
      <c r="BN145" s="265">
        <f t="shared" si="106"/>
        <v>-89845.140552913304</v>
      </c>
      <c r="BO145" s="109"/>
      <c r="BP145" s="265">
        <f t="shared" si="107"/>
        <v>-3.8027929258532822E-3</v>
      </c>
      <c r="BQ145" s="265">
        <v>-3.8027929258532822E-3</v>
      </c>
      <c r="BR145" s="265" t="e">
        <f t="shared" si="108"/>
        <v>#REF!</v>
      </c>
      <c r="BS145" s="265">
        <v>-4.2841974679860292E-4</v>
      </c>
      <c r="BT145" s="475">
        <v>114640.92615491498</v>
      </c>
      <c r="BU145" s="475">
        <v>417753.86001331295</v>
      </c>
      <c r="BV145" s="475">
        <v>39651.213831772082</v>
      </c>
      <c r="BW145" s="483">
        <f t="shared" si="109"/>
        <v>0.13998668704880401</v>
      </c>
      <c r="BX145" s="483">
        <f t="shared" si="110"/>
        <v>1.3286871988384519E-2</v>
      </c>
    </row>
    <row r="146" spans="1:76" s="103" customFormat="1" ht="14.5">
      <c r="A146" s="100" t="s">
        <v>2502</v>
      </c>
      <c r="B146" s="91" t="str">
        <f t="shared" si="74"/>
        <v xml:space="preserve">CI </v>
      </c>
      <c r="C146" s="92" t="s">
        <v>463</v>
      </c>
      <c r="D146" s="448" t="s">
        <v>2269</v>
      </c>
      <c r="E146" s="449" t="s">
        <v>2048</v>
      </c>
      <c r="F146" s="467" t="s">
        <v>4911</v>
      </c>
      <c r="G146" s="467" t="s">
        <v>5004</v>
      </c>
      <c r="H146" s="470">
        <v>0.75</v>
      </c>
      <c r="I146" s="95" t="s">
        <v>962</v>
      </c>
      <c r="J146" s="95" t="s">
        <v>1166</v>
      </c>
      <c r="K146" s="469">
        <v>74581</v>
      </c>
      <c r="L146" s="471">
        <v>0.73439615987986218</v>
      </c>
      <c r="M146" s="266">
        <v>1</v>
      </c>
      <c r="N146" s="267">
        <f t="shared" si="75"/>
        <v>0</v>
      </c>
      <c r="O146" s="96">
        <f t="shared" si="76"/>
        <v>33502</v>
      </c>
      <c r="P146" s="96">
        <f t="shared" si="77"/>
        <v>41079</v>
      </c>
      <c r="Q146" s="96">
        <f t="shared" si="78"/>
        <v>0</v>
      </c>
      <c r="R146" s="187" t="s">
        <v>2455</v>
      </c>
      <c r="S146" s="187" t="s">
        <v>3608</v>
      </c>
      <c r="T146" s="94" t="s">
        <v>2857</v>
      </c>
      <c r="U146" s="395">
        <f>COUNTIF(Aggregation_of_rev_to_allocate!$A$3:$A$137,$T146)</f>
        <v>1</v>
      </c>
      <c r="V146" s="100"/>
      <c r="W146" s="100">
        <v>98</v>
      </c>
      <c r="X146" s="109">
        <v>41078.820023480599</v>
      </c>
      <c r="Y146" s="109">
        <v>0</v>
      </c>
      <c r="Z146" s="110">
        <v>0.44509621661119708</v>
      </c>
      <c r="AA146" s="110">
        <v>1</v>
      </c>
      <c r="AB146" s="110">
        <v>0</v>
      </c>
      <c r="AC146" s="109">
        <f>IF(ISERROR((X146*SUMIF('Rev_for_allocation(Hard)'!$A$3:$A$249,$T146,'Rev_for_allocation(Hard)'!$I$3:$I$249)/SUMIF(Historic_capex_list!$T$9:$T$586,$T146,Historic_capex_list!$X$9:$X$586))=TRUE),0,X146*SUMIF('Rev_for_allocation(Hard)'!$A$3:$A$249,$T146,'Rev_for_allocation(Hard)'!$I$3:$I$249)/SUMIF(Historic_capex_list!$T$9:$T$586,$T146,Historic_capex_list!$X$9:$X$586))</f>
        <v>4.0473997939796349E-4</v>
      </c>
      <c r="AD146" s="109">
        <f t="shared" si="79"/>
        <v>41078.820428220577</v>
      </c>
      <c r="AE146" s="109">
        <f t="shared" si="80"/>
        <v>41078.820428220577</v>
      </c>
      <c r="AF146" s="109">
        <f t="shared" si="81"/>
        <v>41078.820428220577</v>
      </c>
      <c r="AG146" s="332" t="str">
        <f t="shared" si="82"/>
        <v>N</v>
      </c>
      <c r="AH146" s="332">
        <f t="shared" si="83"/>
        <v>0</v>
      </c>
      <c r="AI146" s="332">
        <f t="shared" si="84"/>
        <v>0</v>
      </c>
      <c r="AJ146" s="109">
        <f t="shared" si="85"/>
        <v>41078.820428220577</v>
      </c>
      <c r="AK146" s="109">
        <f t="shared" si="86"/>
        <v>0</v>
      </c>
      <c r="AL146" s="109">
        <v>0</v>
      </c>
      <c r="AM146" s="111">
        <f t="shared" si="87"/>
        <v>0</v>
      </c>
      <c r="AN146" s="111">
        <f t="shared" si="88"/>
        <v>0</v>
      </c>
      <c r="AO146" s="111" t="str">
        <f t="shared" si="89"/>
        <v>Use deduct 3yrs</v>
      </c>
      <c r="AP146" s="111">
        <f t="shared" si="90"/>
        <v>0</v>
      </c>
      <c r="AQ146" s="112">
        <f t="shared" si="91"/>
        <v>0</v>
      </c>
      <c r="AR146" s="112">
        <f t="shared" si="92"/>
        <v>1</v>
      </c>
      <c r="AS146" s="113">
        <f t="shared" si="93"/>
        <v>2028</v>
      </c>
      <c r="AT146" s="109">
        <v>41078.820499875917</v>
      </c>
      <c r="AU146" s="114">
        <v>1</v>
      </c>
      <c r="AV146" s="113">
        <v>2028</v>
      </c>
      <c r="AW146" s="112">
        <f t="shared" si="94"/>
        <v>0.73439295083870182</v>
      </c>
      <c r="AX146" s="109">
        <f t="shared" si="95"/>
        <v>41078.820499875917</v>
      </c>
      <c r="AY146" s="109">
        <f t="shared" si="96"/>
        <v>0</v>
      </c>
      <c r="AZ146" s="109">
        <f t="shared" si="97"/>
        <v>41078.820499875917</v>
      </c>
      <c r="BA146" s="111">
        <f t="shared" si="98"/>
        <v>0</v>
      </c>
      <c r="BB146" s="117"/>
      <c r="BC146" s="115" t="str">
        <f t="shared" si="99"/>
        <v>N</v>
      </c>
      <c r="BD146" s="115" t="str">
        <f t="shared" si="100"/>
        <v>Y</v>
      </c>
      <c r="BE146" s="115" t="str">
        <f t="shared" si="101"/>
        <v>N</v>
      </c>
      <c r="BF146" s="109" t="str">
        <f t="shared" si="102"/>
        <v/>
      </c>
      <c r="BG146" s="111" t="s">
        <v>2499</v>
      </c>
      <c r="BH146" s="115" t="s">
        <v>1168</v>
      </c>
      <c r="BI146" s="116"/>
      <c r="BJ146" s="222">
        <v>0.44509622177302383</v>
      </c>
      <c r="BK146" s="265">
        <f t="shared" si="103"/>
        <v>0</v>
      </c>
      <c r="BL146" s="265">
        <f t="shared" si="104"/>
        <v>0</v>
      </c>
      <c r="BM146" s="265">
        <f t="shared" si="105"/>
        <v>0</v>
      </c>
      <c r="BN146" s="265">
        <f t="shared" si="106"/>
        <v>-0.17997651940095238</v>
      </c>
      <c r="BO146" s="109"/>
      <c r="BP146" s="265">
        <f t="shared" si="107"/>
        <v>-4.763953184010461E-4</v>
      </c>
      <c r="BQ146" s="265">
        <v>-4.763953184010461E-4</v>
      </c>
      <c r="BR146" s="265" t="e">
        <f t="shared" si="108"/>
        <v>#REF!</v>
      </c>
      <c r="BS146" s="265">
        <v>-5.3670332743563747E-5</v>
      </c>
      <c r="BT146" s="475">
        <v>51213.179500124083</v>
      </c>
      <c r="BU146" s="475">
        <v>41078.820499875917</v>
      </c>
      <c r="BV146" s="475">
        <v>0</v>
      </c>
      <c r="BW146" s="483">
        <f t="shared" si="109"/>
        <v>0.17950012408255134</v>
      </c>
      <c r="BX146" s="483">
        <f t="shared" si="110"/>
        <v>0</v>
      </c>
    </row>
    <row r="147" spans="1:76" s="511" customFormat="1" ht="29">
      <c r="A147" s="100" t="s">
        <v>2502</v>
      </c>
      <c r="B147" s="91" t="str">
        <f t="shared" si="74"/>
        <v xml:space="preserve">CI </v>
      </c>
      <c r="C147" s="92" t="s">
        <v>2273</v>
      </c>
      <c r="D147" s="448" t="s">
        <v>2269</v>
      </c>
      <c r="E147" s="451">
        <v>2130404</v>
      </c>
      <c r="F147" s="409" t="s">
        <v>2900</v>
      </c>
      <c r="G147" s="384" t="s">
        <v>5248</v>
      </c>
      <c r="H147" s="398">
        <v>0.89</v>
      </c>
      <c r="I147" s="151"/>
      <c r="J147" s="95" t="s">
        <v>1166</v>
      </c>
      <c r="K147" s="191">
        <v>21001.84</v>
      </c>
      <c r="L147" s="269">
        <v>0.98515120895678132</v>
      </c>
      <c r="M147" s="267">
        <v>1</v>
      </c>
      <c r="N147" s="267">
        <f t="shared" si="75"/>
        <v>0</v>
      </c>
      <c r="O147" s="96">
        <f t="shared" si="76"/>
        <v>2587.750620977969</v>
      </c>
      <c r="P147" s="96">
        <f t="shared" si="77"/>
        <v>18414.089379022029</v>
      </c>
      <c r="Q147" s="96">
        <f t="shared" si="78"/>
        <v>0</v>
      </c>
      <c r="R147" s="187" t="s">
        <v>2455</v>
      </c>
      <c r="S147" s="187" t="s">
        <v>3608</v>
      </c>
      <c r="T147" s="94" t="s">
        <v>2857</v>
      </c>
      <c r="U147" s="395">
        <f>COUNTIF(Aggregation_of_rev_to_allocate!$A$3:$A$137,$T147)</f>
        <v>1</v>
      </c>
      <c r="V147" s="100"/>
      <c r="W147" s="100">
        <v>124</v>
      </c>
      <c r="X147" s="109">
        <v>20689.987826372962</v>
      </c>
      <c r="Y147" s="109">
        <v>0</v>
      </c>
      <c r="Z147" s="110">
        <v>0.98515119753188107</v>
      </c>
      <c r="AA147" s="110">
        <v>1</v>
      </c>
      <c r="AB147" s="110">
        <v>0</v>
      </c>
      <c r="AC147" s="109">
        <f>IF(ISERROR((X147*SUMIF('Rev_for_allocation(Hard)'!$A$3:$A$249,$T147,'Rev_for_allocation(Hard)'!$I$3:$I$249)/SUMIF(Historic_capex_list!$T$9:$T$586,$T147,Historic_capex_list!$X$9:$X$586))=TRUE),0,X147*SUMIF('Rev_for_allocation(Hard)'!$A$3:$A$249,$T147,'Rev_for_allocation(Hard)'!$I$3:$I$249)/SUMIF(Historic_capex_list!$T$9:$T$586,$T147,Historic_capex_list!$X$9:$X$586))</f>
        <v>2.0385359759125758E-4</v>
      </c>
      <c r="AD147" s="109">
        <f t="shared" si="79"/>
        <v>20689.988030226559</v>
      </c>
      <c r="AE147" s="109">
        <f t="shared" si="80"/>
        <v>20689.988030226559</v>
      </c>
      <c r="AF147" s="109">
        <f t="shared" si="81"/>
        <v>20689.988030226559</v>
      </c>
      <c r="AG147" s="332" t="str">
        <f t="shared" si="82"/>
        <v>N</v>
      </c>
      <c r="AH147" s="332">
        <f t="shared" si="83"/>
        <v>0</v>
      </c>
      <c r="AI147" s="332">
        <f t="shared" si="84"/>
        <v>0</v>
      </c>
      <c r="AJ147" s="109">
        <f t="shared" si="85"/>
        <v>20689.988030226559</v>
      </c>
      <c r="AK147" s="109">
        <f t="shared" si="86"/>
        <v>0</v>
      </c>
      <c r="AL147" s="109">
        <v>0</v>
      </c>
      <c r="AM147" s="111">
        <f t="shared" si="87"/>
        <v>0</v>
      </c>
      <c r="AN147" s="111">
        <f t="shared" si="88"/>
        <v>0</v>
      </c>
      <c r="AO147" s="111" t="str">
        <f t="shared" si="89"/>
        <v>Use deduct 3yrs</v>
      </c>
      <c r="AP147" s="111">
        <f t="shared" si="90"/>
        <v>0</v>
      </c>
      <c r="AQ147" s="112">
        <f t="shared" si="91"/>
        <v>0</v>
      </c>
      <c r="AR147" s="112">
        <f t="shared" si="92"/>
        <v>1</v>
      </c>
      <c r="AS147" s="113">
        <f t="shared" si="93"/>
        <v>2028</v>
      </c>
      <c r="AT147" s="109">
        <v>20689.988066316888</v>
      </c>
      <c r="AU147" s="114">
        <v>1</v>
      </c>
      <c r="AV147" s="113">
        <v>2028</v>
      </c>
      <c r="AW147" s="112">
        <f t="shared" si="94"/>
        <v>1.1069114707379564</v>
      </c>
      <c r="AX147" s="109">
        <f t="shared" si="95"/>
        <v>20689.988066316884</v>
      </c>
      <c r="AY147" s="109">
        <f t="shared" si="96"/>
        <v>0</v>
      </c>
      <c r="AZ147" s="109">
        <f t="shared" si="97"/>
        <v>20689.988066316884</v>
      </c>
      <c r="BA147" s="111">
        <f t="shared" si="98"/>
        <v>0</v>
      </c>
      <c r="BB147" s="117"/>
      <c r="BC147" s="115" t="str">
        <f t="shared" si="99"/>
        <v>N</v>
      </c>
      <c r="BD147" s="115" t="str">
        <f t="shared" si="100"/>
        <v>Y</v>
      </c>
      <c r="BE147" s="115" t="str">
        <f t="shared" si="101"/>
        <v>N</v>
      </c>
      <c r="BF147" s="109" t="str">
        <f t="shared" si="102"/>
        <v/>
      </c>
      <c r="BG147" s="111" t="s">
        <v>2499</v>
      </c>
      <c r="BH147" s="115" t="s">
        <v>1168</v>
      </c>
      <c r="BI147" s="116"/>
      <c r="BJ147" s="222">
        <v>0.98515120895678132</v>
      </c>
      <c r="BK147" s="265">
        <f t="shared" si="103"/>
        <v>0</v>
      </c>
      <c r="BL147" s="265">
        <f t="shared" si="104"/>
        <v>0</v>
      </c>
      <c r="BM147" s="265">
        <f t="shared" si="105"/>
        <v>3.637978807091713E-12</v>
      </c>
      <c r="BN147" s="265">
        <f t="shared" si="106"/>
        <v>2275.8984473509336</v>
      </c>
      <c r="BO147" s="109"/>
      <c r="BP147" s="265">
        <f t="shared" si="107"/>
        <v>-2.3994392540771514E-4</v>
      </c>
      <c r="BQ147" s="265">
        <v>-2.3994392540771514E-4</v>
      </c>
      <c r="BR147" s="265" t="e">
        <f t="shared" si="108"/>
        <v>#REF!</v>
      </c>
      <c r="BS147" s="265">
        <v>-2.7031899389044528E-5</v>
      </c>
      <c r="BT147" s="475">
        <v>311.85193368311178</v>
      </c>
      <c r="BU147" s="475">
        <v>20689.988066316888</v>
      </c>
      <c r="BV147" s="475">
        <v>0</v>
      </c>
      <c r="BW147" s="483">
        <f t="shared" si="109"/>
        <v>-2275.898687294859</v>
      </c>
      <c r="BX147" s="483">
        <f t="shared" si="110"/>
        <v>0</v>
      </c>
    </row>
    <row r="148" spans="1:76" s="511" customFormat="1" ht="48">
      <c r="A148" s="100" t="s">
        <v>2507</v>
      </c>
      <c r="B148" s="91" t="str">
        <f t="shared" si="74"/>
        <v xml:space="preserve">CI </v>
      </c>
      <c r="C148" s="92" t="s">
        <v>2273</v>
      </c>
      <c r="D148" s="448" t="s">
        <v>2269</v>
      </c>
      <c r="E148" s="451">
        <v>2130319</v>
      </c>
      <c r="F148" s="409" t="s">
        <v>2511</v>
      </c>
      <c r="G148" s="500" t="s">
        <v>5053</v>
      </c>
      <c r="H148" s="398">
        <v>1</v>
      </c>
      <c r="I148" s="151"/>
      <c r="J148" s="95" t="s">
        <v>1166</v>
      </c>
      <c r="K148" s="191">
        <v>7795569</v>
      </c>
      <c r="L148" s="269">
        <v>0.88489840571884004</v>
      </c>
      <c r="M148" s="267">
        <v>1</v>
      </c>
      <c r="N148" s="267">
        <f t="shared" si="75"/>
        <v>0</v>
      </c>
      <c r="O148" s="96">
        <f t="shared" si="76"/>
        <v>897282.42022878781</v>
      </c>
      <c r="P148" s="96">
        <f t="shared" si="77"/>
        <v>6898286.5797712123</v>
      </c>
      <c r="Q148" s="96">
        <f t="shared" si="78"/>
        <v>0</v>
      </c>
      <c r="R148" s="187" t="s">
        <v>2268</v>
      </c>
      <c r="S148" s="187" t="s">
        <v>3608</v>
      </c>
      <c r="T148" s="94" t="s">
        <v>2842</v>
      </c>
      <c r="U148" s="395">
        <f>COUNTIF(Aggregation_of_rev_to_allocate!$A$3:$A$137,$T148)</f>
        <v>1</v>
      </c>
      <c r="V148" s="100"/>
      <c r="W148" s="100">
        <v>47</v>
      </c>
      <c r="X148" s="109">
        <v>7639657.6200000001</v>
      </c>
      <c r="Y148" s="109">
        <v>0</v>
      </c>
      <c r="Z148" s="110">
        <v>0.98</v>
      </c>
      <c r="AA148" s="110">
        <v>1</v>
      </c>
      <c r="AB148" s="110">
        <v>0</v>
      </c>
      <c r="AC148" s="109">
        <f>IF(ISERROR((X148*SUMIF('Rev_for_allocation(Hard)'!$A$3:$A$249,$T148,'Rev_for_allocation(Hard)'!$I$3:$I$249)/SUMIF(Historic_capex_list!$T$9:$T$586,$T148,Historic_capex_list!$X$9:$X$586))=TRUE),0,X148*SUMIF('Rev_for_allocation(Hard)'!$A$3:$A$249,$T148,'Rev_for_allocation(Hard)'!$I$3:$I$249)/SUMIF(Historic_capex_list!$T$9:$T$586,$T148,Historic_capex_list!$X$9:$X$586))</f>
        <v>-589121.75846973702</v>
      </c>
      <c r="AD148" s="109">
        <f t="shared" si="79"/>
        <v>7050535.861530263</v>
      </c>
      <c r="AE148" s="109">
        <f t="shared" si="80"/>
        <v>7050535.861530263</v>
      </c>
      <c r="AF148" s="109">
        <f t="shared" si="81"/>
        <v>7050535.861530263</v>
      </c>
      <c r="AG148" s="332" t="str">
        <f t="shared" si="82"/>
        <v>N</v>
      </c>
      <c r="AH148" s="332">
        <f t="shared" si="83"/>
        <v>0</v>
      </c>
      <c r="AI148" s="332">
        <f t="shared" si="84"/>
        <v>0</v>
      </c>
      <c r="AJ148" s="109">
        <f t="shared" si="85"/>
        <v>7050535.861530263</v>
      </c>
      <c r="AK148" s="109">
        <f t="shared" si="86"/>
        <v>0</v>
      </c>
      <c r="AL148" s="109">
        <v>0</v>
      </c>
      <c r="AM148" s="111">
        <f t="shared" si="87"/>
        <v>0</v>
      </c>
      <c r="AN148" s="111">
        <f t="shared" si="88"/>
        <v>0</v>
      </c>
      <c r="AO148" s="111" t="str">
        <f t="shared" si="89"/>
        <v>Use deduct 3yrs</v>
      </c>
      <c r="AP148" s="111">
        <f t="shared" si="90"/>
        <v>0</v>
      </c>
      <c r="AQ148" s="112">
        <f t="shared" si="91"/>
        <v>0</v>
      </c>
      <c r="AR148" s="112">
        <f t="shared" si="92"/>
        <v>1</v>
      </c>
      <c r="AS148" s="113">
        <f t="shared" si="93"/>
        <v>2028</v>
      </c>
      <c r="AT148" s="109">
        <v>6898286.5797712123</v>
      </c>
      <c r="AU148" s="114">
        <v>1</v>
      </c>
      <c r="AV148" s="113">
        <v>2028</v>
      </c>
      <c r="AW148" s="112">
        <f t="shared" si="94"/>
        <v>0.88489840571884004</v>
      </c>
      <c r="AX148" s="109">
        <f t="shared" si="95"/>
        <v>6898286.5797712123</v>
      </c>
      <c r="AY148" s="109">
        <f t="shared" si="96"/>
        <v>0</v>
      </c>
      <c r="AZ148" s="109">
        <f t="shared" si="97"/>
        <v>6898286.5797712123</v>
      </c>
      <c r="BA148" s="111">
        <f t="shared" si="98"/>
        <v>0</v>
      </c>
      <c r="BB148" s="117"/>
      <c r="BC148" s="115" t="str">
        <f t="shared" si="99"/>
        <v>N</v>
      </c>
      <c r="BD148" s="115" t="str">
        <f t="shared" si="100"/>
        <v>Y</v>
      </c>
      <c r="BE148" s="115" t="str">
        <f t="shared" si="101"/>
        <v>N</v>
      </c>
      <c r="BF148" s="109" t="str">
        <f t="shared" si="102"/>
        <v/>
      </c>
      <c r="BG148" s="111" t="s">
        <v>2499</v>
      </c>
      <c r="BH148" s="115" t="s">
        <v>1168</v>
      </c>
      <c r="BI148" s="116"/>
      <c r="BJ148" s="222">
        <v>0.88489840571884004</v>
      </c>
      <c r="BK148" s="265">
        <f t="shared" si="103"/>
        <v>0</v>
      </c>
      <c r="BL148" s="265">
        <f t="shared" si="104"/>
        <v>0</v>
      </c>
      <c r="BM148" s="265">
        <f t="shared" si="105"/>
        <v>0</v>
      </c>
      <c r="BN148" s="265">
        <f t="shared" si="106"/>
        <v>741371.04022878781</v>
      </c>
      <c r="BO148" s="109"/>
      <c r="BP148" s="265">
        <f t="shared" si="107"/>
        <v>741371.04022878781</v>
      </c>
      <c r="BQ148" s="265">
        <v>741371.04022878781</v>
      </c>
      <c r="BR148" s="265" t="e">
        <f t="shared" si="108"/>
        <v>#REF!</v>
      </c>
      <c r="BS148" s="265">
        <v>83522.29520027469</v>
      </c>
      <c r="BT148" s="475">
        <v>897282.42022878781</v>
      </c>
      <c r="BU148" s="475">
        <v>6898286.5797712123</v>
      </c>
      <c r="BV148" s="475">
        <v>0</v>
      </c>
      <c r="BW148" s="483">
        <f t="shared" si="109"/>
        <v>0</v>
      </c>
      <c r="BX148" s="483">
        <f t="shared" si="110"/>
        <v>0</v>
      </c>
    </row>
    <row r="149" spans="1:76" s="103" customFormat="1" ht="48">
      <c r="A149" s="100" t="s">
        <v>2507</v>
      </c>
      <c r="B149" s="91" t="str">
        <f t="shared" si="74"/>
        <v xml:space="preserve">CI </v>
      </c>
      <c r="C149" s="92" t="s">
        <v>3626</v>
      </c>
      <c r="D149" s="448" t="s">
        <v>2269</v>
      </c>
      <c r="E149" s="451">
        <v>2130319</v>
      </c>
      <c r="F149" s="409" t="s">
        <v>2511</v>
      </c>
      <c r="G149" s="500" t="s">
        <v>5053</v>
      </c>
      <c r="H149" s="398">
        <v>1</v>
      </c>
      <c r="I149" s="151"/>
      <c r="J149" s="95" t="s">
        <v>1166</v>
      </c>
      <c r="K149" s="191">
        <v>170254.22999999998</v>
      </c>
      <c r="L149" s="269">
        <v>0.88489840571884004</v>
      </c>
      <c r="M149" s="267">
        <v>1</v>
      </c>
      <c r="N149" s="267">
        <f t="shared" si="75"/>
        <v>0</v>
      </c>
      <c r="O149" s="96">
        <f t="shared" si="76"/>
        <v>19596.533306111291</v>
      </c>
      <c r="P149" s="96">
        <f t="shared" si="77"/>
        <v>150657.69669388869</v>
      </c>
      <c r="Q149" s="96">
        <f t="shared" si="78"/>
        <v>0</v>
      </c>
      <c r="R149" s="187" t="s">
        <v>2268</v>
      </c>
      <c r="S149" s="187" t="s">
        <v>3608</v>
      </c>
      <c r="T149" s="94" t="s">
        <v>2842</v>
      </c>
      <c r="U149" s="395">
        <f>COUNTIF(Aggregation_of_rev_to_allocate!$A$3:$A$137,$T149)</f>
        <v>1</v>
      </c>
      <c r="V149" s="100"/>
      <c r="W149" s="100"/>
      <c r="X149" s="109">
        <v>166849.14539999998</v>
      </c>
      <c r="Y149" s="109">
        <v>0</v>
      </c>
      <c r="Z149" s="110">
        <v>0.98</v>
      </c>
      <c r="AA149" s="110">
        <v>1</v>
      </c>
      <c r="AB149" s="110">
        <v>0</v>
      </c>
      <c r="AC149" s="109">
        <f>IF(ISERROR((X149*SUMIF('Rev_for_allocation(Hard)'!$A$3:$A$249,$T149,'Rev_for_allocation(Hard)'!$I$3:$I$249)/SUMIF(Historic_capex_list!$T$9:$T$586,$T149,Historic_capex_list!$X$9:$X$586))=TRUE),0,X149*SUMIF('Rev_for_allocation(Hard)'!$A$3:$A$249,$T149,'Rev_for_allocation(Hard)'!$I$3:$I$249)/SUMIF(Historic_capex_list!$T$9:$T$586,$T149,Historic_capex_list!$X$9:$X$586))</f>
        <v>-12866.343863355076</v>
      </c>
      <c r="AD149" s="109">
        <f t="shared" si="79"/>
        <v>153982.8015366449</v>
      </c>
      <c r="AE149" s="109">
        <f t="shared" si="80"/>
        <v>153982.8015366449</v>
      </c>
      <c r="AF149" s="109">
        <f t="shared" si="81"/>
        <v>153982.8015366449</v>
      </c>
      <c r="AG149" s="332" t="str">
        <f t="shared" si="82"/>
        <v>N</v>
      </c>
      <c r="AH149" s="332">
        <f t="shared" si="83"/>
        <v>0</v>
      </c>
      <c r="AI149" s="332">
        <f t="shared" si="84"/>
        <v>0</v>
      </c>
      <c r="AJ149" s="109">
        <f t="shared" si="85"/>
        <v>153982.8015366449</v>
      </c>
      <c r="AK149" s="109">
        <f t="shared" si="86"/>
        <v>0</v>
      </c>
      <c r="AL149" s="109">
        <v>0</v>
      </c>
      <c r="AM149" s="111">
        <f t="shared" si="87"/>
        <v>0</v>
      </c>
      <c r="AN149" s="111">
        <f t="shared" si="88"/>
        <v>0</v>
      </c>
      <c r="AO149" s="111" t="str">
        <f t="shared" si="89"/>
        <v>Use deduct 3yrs</v>
      </c>
      <c r="AP149" s="111">
        <f t="shared" si="90"/>
        <v>0</v>
      </c>
      <c r="AQ149" s="112">
        <f t="shared" si="91"/>
        <v>0</v>
      </c>
      <c r="AR149" s="112">
        <f t="shared" si="92"/>
        <v>1</v>
      </c>
      <c r="AS149" s="113">
        <f t="shared" si="93"/>
        <v>2028</v>
      </c>
      <c r="AT149" s="109">
        <v>150657.69669388869</v>
      </c>
      <c r="AU149" s="114">
        <v>1</v>
      </c>
      <c r="AV149" s="113">
        <v>2028</v>
      </c>
      <c r="AW149" s="112">
        <f t="shared" si="94"/>
        <v>0.88489840571884004</v>
      </c>
      <c r="AX149" s="109">
        <f t="shared" si="95"/>
        <v>150657.69669388869</v>
      </c>
      <c r="AY149" s="109">
        <f t="shared" si="96"/>
        <v>0</v>
      </c>
      <c r="AZ149" s="109">
        <f t="shared" si="97"/>
        <v>150657.69669388869</v>
      </c>
      <c r="BA149" s="111">
        <f t="shared" si="98"/>
        <v>0</v>
      </c>
      <c r="BB149" s="117"/>
      <c r="BC149" s="115" t="str">
        <f t="shared" si="99"/>
        <v>N</v>
      </c>
      <c r="BD149" s="115" t="str">
        <f t="shared" si="100"/>
        <v>Y</v>
      </c>
      <c r="BE149" s="115" t="str">
        <f t="shared" si="101"/>
        <v>N</v>
      </c>
      <c r="BF149" s="109" t="str">
        <f t="shared" si="102"/>
        <v/>
      </c>
      <c r="BG149" s="111" t="s">
        <v>2499</v>
      </c>
      <c r="BH149" s="115" t="s">
        <v>1168</v>
      </c>
      <c r="BI149" s="116"/>
      <c r="BJ149" s="222">
        <v>0.88489840571884004</v>
      </c>
      <c r="BK149" s="265">
        <f t="shared" si="103"/>
        <v>0</v>
      </c>
      <c r="BL149" s="265">
        <f t="shared" si="104"/>
        <v>0</v>
      </c>
      <c r="BM149" s="265">
        <f t="shared" si="105"/>
        <v>0</v>
      </c>
      <c r="BN149" s="265">
        <f t="shared" si="106"/>
        <v>16191.448706111289</v>
      </c>
      <c r="BO149" s="109"/>
      <c r="BP149" s="265">
        <f t="shared" si="107"/>
        <v>16191.448706111289</v>
      </c>
      <c r="BQ149" s="265">
        <v>16191.448706111289</v>
      </c>
      <c r="BR149" s="265" t="e">
        <f t="shared" si="108"/>
        <v>#REF!</v>
      </c>
      <c r="BS149" s="265">
        <v>1824.1162456717991</v>
      </c>
      <c r="BT149" s="475">
        <v>19596.533306111291</v>
      </c>
      <c r="BU149" s="475">
        <v>150657.69669388869</v>
      </c>
      <c r="BV149" s="475">
        <v>0</v>
      </c>
      <c r="BW149" s="483">
        <f t="shared" si="109"/>
        <v>0</v>
      </c>
      <c r="BX149" s="483">
        <f t="shared" si="110"/>
        <v>0</v>
      </c>
    </row>
    <row r="150" spans="1:76" s="103" customFormat="1" ht="43.5">
      <c r="A150" s="100" t="s">
        <v>2507</v>
      </c>
      <c r="B150" s="91" t="str">
        <f t="shared" si="74"/>
        <v xml:space="preserve">CI </v>
      </c>
      <c r="C150" s="92" t="s">
        <v>463</v>
      </c>
      <c r="D150" s="448" t="s">
        <v>2269</v>
      </c>
      <c r="E150" s="453">
        <v>2130319</v>
      </c>
      <c r="F150" s="384" t="s">
        <v>4950</v>
      </c>
      <c r="G150" s="620" t="s">
        <v>5314</v>
      </c>
      <c r="H150" s="470">
        <v>1</v>
      </c>
      <c r="I150" s="95" t="s">
        <v>952</v>
      </c>
      <c r="J150" s="95" t="s">
        <v>1166</v>
      </c>
      <c r="K150" s="191">
        <v>624855.64</v>
      </c>
      <c r="L150" s="268">
        <v>0.39058326852440134</v>
      </c>
      <c r="M150" s="266">
        <v>0.91331269349845201</v>
      </c>
      <c r="N150" s="267">
        <f t="shared" si="75"/>
        <v>8.6687306501547989E-2</v>
      </c>
      <c r="O150" s="96">
        <f t="shared" si="76"/>
        <v>380797.4817728934</v>
      </c>
      <c r="P150" s="96">
        <f t="shared" si="77"/>
        <v>222901.41386067017</v>
      </c>
      <c r="Q150" s="96">
        <f t="shared" si="78"/>
        <v>21156.744366436491</v>
      </c>
      <c r="R150" s="187" t="s">
        <v>2268</v>
      </c>
      <c r="S150" s="187" t="s">
        <v>3608</v>
      </c>
      <c r="T150" s="94" t="s">
        <v>2842</v>
      </c>
      <c r="U150" s="395">
        <f>COUNTIF(Aggregation_of_rev_to_allocate!$A$3:$A$137,$T150)</f>
        <v>1</v>
      </c>
      <c r="V150" s="100"/>
      <c r="W150" s="100">
        <v>49</v>
      </c>
      <c r="X150" s="109">
        <v>188044.74224367738</v>
      </c>
      <c r="Y150" s="109">
        <v>74261.737191147171</v>
      </c>
      <c r="Z150" s="110">
        <v>0.41978732789356682</v>
      </c>
      <c r="AA150" s="110">
        <v>0.71688942891859053</v>
      </c>
      <c r="AB150" s="110">
        <v>0.28311057108140947</v>
      </c>
      <c r="AC150" s="109">
        <f>IF(ISERROR((X150*SUMIF('Rev_for_allocation(Hard)'!$A$3:$A$249,$T150,'Rev_for_allocation(Hard)'!$I$3:$I$249)/SUMIF(Historic_capex_list!$T$9:$T$586,$T150,Historic_capex_list!$X$9:$X$586))=TRUE),0,X150*SUMIF('Rev_for_allocation(Hard)'!$A$3:$A$249,$T150,'Rev_for_allocation(Hard)'!$I$3:$I$249)/SUMIF(Historic_capex_list!$T$9:$T$586,$T150,Historic_capex_list!$X$9:$X$586))</f>
        <v>-14500.813352101986</v>
      </c>
      <c r="AD150" s="109">
        <f t="shared" si="79"/>
        <v>173543.9288915754</v>
      </c>
      <c r="AE150" s="109">
        <f t="shared" si="80"/>
        <v>173543.9288915754</v>
      </c>
      <c r="AF150" s="109">
        <f t="shared" si="81"/>
        <v>247805.66608272257</v>
      </c>
      <c r="AG150" s="332" t="str">
        <f t="shared" si="82"/>
        <v>N</v>
      </c>
      <c r="AH150" s="332">
        <f t="shared" si="83"/>
        <v>0</v>
      </c>
      <c r="AI150" s="332">
        <f t="shared" si="84"/>
        <v>0</v>
      </c>
      <c r="AJ150" s="109">
        <f t="shared" si="85"/>
        <v>247805.66608272257</v>
      </c>
      <c r="AK150" s="109">
        <f t="shared" si="86"/>
        <v>0</v>
      </c>
      <c r="AL150" s="109">
        <v>0</v>
      </c>
      <c r="AM150" s="111">
        <f t="shared" si="87"/>
        <v>3.9491525423728815</v>
      </c>
      <c r="AN150" s="111">
        <f t="shared" si="88"/>
        <v>0.94915254237288149</v>
      </c>
      <c r="AO150" s="111" t="str">
        <f t="shared" si="89"/>
        <v>Use deduct 3yrs</v>
      </c>
      <c r="AP150" s="111">
        <f t="shared" si="90"/>
        <v>0.94915254237288149</v>
      </c>
      <c r="AQ150" s="112">
        <f t="shared" si="91"/>
        <v>8.6687306501547989E-2</v>
      </c>
      <c r="AR150" s="112">
        <f t="shared" si="92"/>
        <v>0.91331269349845201</v>
      </c>
      <c r="AS150" s="113">
        <f t="shared" si="93"/>
        <v>2029</v>
      </c>
      <c r="AT150" s="109">
        <v>244058.15822710667</v>
      </c>
      <c r="AU150" s="114">
        <v>0.91331269349845201</v>
      </c>
      <c r="AV150" s="113">
        <v>2029</v>
      </c>
      <c r="AW150" s="112">
        <f t="shared" si="94"/>
        <v>0.39058326852440134</v>
      </c>
      <c r="AX150" s="109">
        <f t="shared" si="95"/>
        <v>222901.41386067017</v>
      </c>
      <c r="AY150" s="109">
        <f t="shared" si="96"/>
        <v>21156.744366436491</v>
      </c>
      <c r="AZ150" s="109">
        <f t="shared" si="97"/>
        <v>244058.15822710667</v>
      </c>
      <c r="BA150" s="111">
        <f t="shared" si="98"/>
        <v>0</v>
      </c>
      <c r="BB150" s="117"/>
      <c r="BC150" s="115" t="str">
        <f t="shared" si="99"/>
        <v>N</v>
      </c>
      <c r="BD150" s="115" t="str">
        <f t="shared" si="100"/>
        <v>Y</v>
      </c>
      <c r="BE150" s="115" t="str">
        <f t="shared" si="101"/>
        <v>N</v>
      </c>
      <c r="BF150" s="109" t="str">
        <f t="shared" si="102"/>
        <v/>
      </c>
      <c r="BG150" s="111" t="s">
        <v>2499</v>
      </c>
      <c r="BH150" s="115" t="s">
        <v>1168</v>
      </c>
      <c r="BI150" s="116"/>
      <c r="BJ150" s="222">
        <v>0.39058326852440134</v>
      </c>
      <c r="BK150" s="265">
        <f t="shared" si="103"/>
        <v>0</v>
      </c>
      <c r="BL150" s="265">
        <f t="shared" si="104"/>
        <v>0</v>
      </c>
      <c r="BM150" s="265">
        <f t="shared" si="105"/>
        <v>-5.0931703299283981E-11</v>
      </c>
      <c r="BN150" s="265">
        <f t="shared" si="106"/>
        <v>-34856.671616992797</v>
      </c>
      <c r="BO150" s="109"/>
      <c r="BP150" s="265">
        <f t="shared" si="107"/>
        <v>18248.321207717876</v>
      </c>
      <c r="BQ150" s="265">
        <v>18248.321207717876</v>
      </c>
      <c r="BR150" s="265" t="e">
        <f t="shared" si="108"/>
        <v>#REF!</v>
      </c>
      <c r="BS150" s="207">
        <v>2055.8419308502985</v>
      </c>
      <c r="BT150" s="475">
        <v>380797.4817728934</v>
      </c>
      <c r="BU150" s="475">
        <v>222901.41386067017</v>
      </c>
      <c r="BV150" s="475">
        <v>21156.744366436491</v>
      </c>
      <c r="BW150" s="483">
        <f t="shared" si="109"/>
        <v>0</v>
      </c>
      <c r="BX150" s="483">
        <f t="shared" si="110"/>
        <v>0</v>
      </c>
    </row>
    <row r="151" spans="1:76" s="103" customFormat="1" ht="43.5">
      <c r="A151" s="100" t="s">
        <v>2507</v>
      </c>
      <c r="B151" s="91" t="str">
        <f t="shared" si="74"/>
        <v xml:space="preserve">CI </v>
      </c>
      <c r="C151" s="92" t="s">
        <v>463</v>
      </c>
      <c r="D151" s="448" t="s">
        <v>2269</v>
      </c>
      <c r="E151" s="453">
        <v>2130319</v>
      </c>
      <c r="F151" s="384" t="s">
        <v>4945</v>
      </c>
      <c r="G151" s="620" t="s">
        <v>5314</v>
      </c>
      <c r="H151" s="398">
        <v>1</v>
      </c>
      <c r="I151" s="95" t="s">
        <v>952</v>
      </c>
      <c r="J151" s="95" t="s">
        <v>1166</v>
      </c>
      <c r="K151" s="191">
        <v>2925000</v>
      </c>
      <c r="L151" s="268">
        <v>0.37135836490097951</v>
      </c>
      <c r="M151" s="266">
        <v>1</v>
      </c>
      <c r="N151" s="267">
        <f t="shared" si="75"/>
        <v>0</v>
      </c>
      <c r="O151" s="96">
        <f t="shared" si="76"/>
        <v>1838776.782664635</v>
      </c>
      <c r="P151" s="96">
        <f t="shared" si="77"/>
        <v>1086223.217335365</v>
      </c>
      <c r="Q151" s="96">
        <f t="shared" si="78"/>
        <v>0</v>
      </c>
      <c r="R151" s="187" t="s">
        <v>2268</v>
      </c>
      <c r="S151" s="187" t="s">
        <v>3608</v>
      </c>
      <c r="T151" s="94" t="s">
        <v>2842</v>
      </c>
      <c r="U151" s="395">
        <f>COUNTIF(Aggregation_of_rev_to_allocate!$A$3:$A$137,$T151)</f>
        <v>1</v>
      </c>
      <c r="V151" s="100"/>
      <c r="W151" s="100">
        <v>48</v>
      </c>
      <c r="X151" s="109">
        <v>1202961.5446350824</v>
      </c>
      <c r="Y151" s="109">
        <v>0</v>
      </c>
      <c r="Z151" s="110">
        <v>0.41126890414874612</v>
      </c>
      <c r="AA151" s="110">
        <v>1</v>
      </c>
      <c r="AB151" s="110">
        <v>0</v>
      </c>
      <c r="AC151" s="109">
        <f>IF(ISERROR((X151*SUMIF('Rev_for_allocation(Hard)'!$A$3:$A$249,$T151,'Rev_for_allocation(Hard)'!$I$3:$I$249)/SUMIF(Historic_capex_list!$T$9:$T$586,$T151,Historic_capex_list!$X$9:$X$586))=TRUE),0,X151*SUMIF('Rev_for_allocation(Hard)'!$A$3:$A$249,$T151,'Rev_for_allocation(Hard)'!$I$3:$I$249)/SUMIF(Historic_capex_list!$T$9:$T$586,$T151,Historic_capex_list!$X$9:$X$586))</f>
        <v>-92764.735777110749</v>
      </c>
      <c r="AD151" s="109">
        <f t="shared" si="79"/>
        <v>1110196.8088579716</v>
      </c>
      <c r="AE151" s="109">
        <f t="shared" si="80"/>
        <v>1110196.8088579716</v>
      </c>
      <c r="AF151" s="109">
        <f t="shared" si="81"/>
        <v>1110196.8088579716</v>
      </c>
      <c r="AG151" s="332" t="str">
        <f t="shared" si="82"/>
        <v>N</v>
      </c>
      <c r="AH151" s="332">
        <f t="shared" si="83"/>
        <v>0</v>
      </c>
      <c r="AI151" s="332">
        <f t="shared" si="84"/>
        <v>0</v>
      </c>
      <c r="AJ151" s="109">
        <f t="shared" si="85"/>
        <v>1110196.8088579716</v>
      </c>
      <c r="AK151" s="109">
        <f t="shared" si="86"/>
        <v>0</v>
      </c>
      <c r="AL151" s="109">
        <v>0</v>
      </c>
      <c r="AM151" s="111">
        <f t="shared" si="87"/>
        <v>0</v>
      </c>
      <c r="AN151" s="111">
        <f t="shared" si="88"/>
        <v>0</v>
      </c>
      <c r="AO151" s="111" t="str">
        <f t="shared" si="89"/>
        <v>Use deduct 3yrs</v>
      </c>
      <c r="AP151" s="111">
        <f t="shared" si="90"/>
        <v>0</v>
      </c>
      <c r="AQ151" s="112">
        <f t="shared" si="91"/>
        <v>0</v>
      </c>
      <c r="AR151" s="112">
        <f t="shared" si="92"/>
        <v>1</v>
      </c>
      <c r="AS151" s="113">
        <f t="shared" si="93"/>
        <v>2028</v>
      </c>
      <c r="AT151" s="109">
        <v>1086223.217335365</v>
      </c>
      <c r="AU151" s="114">
        <v>1</v>
      </c>
      <c r="AV151" s="113">
        <v>2028</v>
      </c>
      <c r="AW151" s="112">
        <f t="shared" si="94"/>
        <v>0.37135836490097951</v>
      </c>
      <c r="AX151" s="109">
        <f t="shared" si="95"/>
        <v>1086223.217335365</v>
      </c>
      <c r="AY151" s="109">
        <f t="shared" si="96"/>
        <v>0</v>
      </c>
      <c r="AZ151" s="109">
        <f t="shared" si="97"/>
        <v>1086223.217335365</v>
      </c>
      <c r="BA151" s="111">
        <f t="shared" si="98"/>
        <v>0</v>
      </c>
      <c r="BB151" s="117"/>
      <c r="BC151" s="115" t="str">
        <f t="shared" si="99"/>
        <v>N</v>
      </c>
      <c r="BD151" s="115" t="str">
        <f t="shared" si="100"/>
        <v>Y</v>
      </c>
      <c r="BE151" s="115" t="str">
        <f t="shared" si="101"/>
        <v>N</v>
      </c>
      <c r="BF151" s="109" t="str">
        <f t="shared" si="102"/>
        <v/>
      </c>
      <c r="BG151" s="111" t="s">
        <v>2499</v>
      </c>
      <c r="BH151" s="115" t="s">
        <v>1168</v>
      </c>
      <c r="BI151" s="116"/>
      <c r="BJ151" s="222">
        <v>0.37135836490097951</v>
      </c>
      <c r="BK151" s="265">
        <f t="shared" si="103"/>
        <v>0</v>
      </c>
      <c r="BL151" s="265">
        <f t="shared" si="104"/>
        <v>0</v>
      </c>
      <c r="BM151" s="265">
        <f t="shared" si="105"/>
        <v>0</v>
      </c>
      <c r="BN151" s="265">
        <f t="shared" si="106"/>
        <v>116738.32729971735</v>
      </c>
      <c r="BO151" s="109"/>
      <c r="BP151" s="265">
        <f t="shared" si="107"/>
        <v>116738.32729971735</v>
      </c>
      <c r="BQ151" s="265">
        <v>116738.32729971735</v>
      </c>
      <c r="BR151" s="265" t="e">
        <f t="shared" si="108"/>
        <v>#REF!</v>
      </c>
      <c r="BS151" s="265">
        <v>13151.650799449006</v>
      </c>
      <c r="BT151" s="475">
        <v>1838776.782664635</v>
      </c>
      <c r="BU151" s="475">
        <v>1086223.217335365</v>
      </c>
      <c r="BV151" s="475">
        <v>0</v>
      </c>
      <c r="BW151" s="483">
        <f t="shared" si="109"/>
        <v>0</v>
      </c>
      <c r="BX151" s="483">
        <f t="shared" si="110"/>
        <v>0</v>
      </c>
    </row>
    <row r="152" spans="1:76" s="103" customFormat="1" ht="43.5">
      <c r="A152" s="100" t="s">
        <v>2503</v>
      </c>
      <c r="B152" s="91" t="str">
        <f t="shared" si="74"/>
        <v xml:space="preserve">CI </v>
      </c>
      <c r="C152" s="92" t="s">
        <v>462</v>
      </c>
      <c r="D152" s="448"/>
      <c r="E152" s="449">
        <v>2010172</v>
      </c>
      <c r="F152" s="468" t="s">
        <v>2513</v>
      </c>
      <c r="G152" s="467" t="s">
        <v>5024</v>
      </c>
      <c r="H152" s="486">
        <v>1</v>
      </c>
      <c r="I152" s="95" t="s">
        <v>951</v>
      </c>
      <c r="J152" s="95" t="s">
        <v>1166</v>
      </c>
      <c r="K152" s="191">
        <v>307570</v>
      </c>
      <c r="L152" s="268">
        <v>0.89123968049018509</v>
      </c>
      <c r="M152" s="266">
        <v>0.25345622119815669</v>
      </c>
      <c r="N152" s="267">
        <f t="shared" si="75"/>
        <v>0.74654377880184331</v>
      </c>
      <c r="O152" s="96">
        <f t="shared" si="76"/>
        <v>33451.411471633772</v>
      </c>
      <c r="P152" s="96">
        <f t="shared" si="77"/>
        <v>69477.061608572098</v>
      </c>
      <c r="Q152" s="96">
        <f t="shared" si="78"/>
        <v>204641.52691979415</v>
      </c>
      <c r="R152" s="187" t="s">
        <v>2456</v>
      </c>
      <c r="S152" s="187" t="s">
        <v>3607</v>
      </c>
      <c r="T152" s="94" t="s">
        <v>2858</v>
      </c>
      <c r="U152" s="395">
        <f>COUNTIF(Aggregation_of_rev_to_allocate!$A$3:$A$137,$T152)</f>
        <v>1</v>
      </c>
      <c r="V152" s="100"/>
      <c r="W152" s="100">
        <v>134</v>
      </c>
      <c r="X152" s="109">
        <v>66346.319052548177</v>
      </c>
      <c r="Y152" s="109">
        <v>215323.96274327001</v>
      </c>
      <c r="Z152" s="110">
        <v>0.91579244333263377</v>
      </c>
      <c r="AA152" s="110">
        <v>0.23554603854389722</v>
      </c>
      <c r="AB152" s="110">
        <v>0.76445396145610278</v>
      </c>
      <c r="AC152" s="109">
        <f>IF(ISERROR((X152*SUMIF('Rev_for_allocation(Hard)'!$A$3:$A$249,$T152,'Rev_for_allocation(Hard)'!$I$3:$I$249)/SUMIF(Historic_capex_list!$T$9:$T$586,$T152,Historic_capex_list!$X$9:$X$586))=TRUE),0,X152*SUMIF('Rev_for_allocation(Hard)'!$A$3:$A$249,$T152,'Rev_for_allocation(Hard)'!$I$3:$I$249)/SUMIF(Historic_capex_list!$T$9:$T$586,$T152,Historic_capex_list!$X$9:$X$586))</f>
        <v>-7551.6932674519649</v>
      </c>
      <c r="AD152" s="109">
        <f t="shared" si="79"/>
        <v>58794.625785096214</v>
      </c>
      <c r="AE152" s="109">
        <f t="shared" si="80"/>
        <v>58794.625785096214</v>
      </c>
      <c r="AF152" s="109">
        <f t="shared" si="81"/>
        <v>274118.58852836624</v>
      </c>
      <c r="AG152" s="332" t="str">
        <f t="shared" si="82"/>
        <v>N</v>
      </c>
      <c r="AH152" s="332">
        <f t="shared" si="83"/>
        <v>0</v>
      </c>
      <c r="AI152" s="332">
        <f t="shared" si="84"/>
        <v>0</v>
      </c>
      <c r="AJ152" s="109">
        <f t="shared" si="85"/>
        <v>274118.58852836624</v>
      </c>
      <c r="AK152" s="109">
        <f t="shared" si="86"/>
        <v>0</v>
      </c>
      <c r="AL152" s="109">
        <v>0</v>
      </c>
      <c r="AM152" s="111">
        <f t="shared" si="87"/>
        <v>32.454545454545453</v>
      </c>
      <c r="AN152" s="111">
        <f t="shared" si="88"/>
        <v>29.454545454545453</v>
      </c>
      <c r="AO152" s="111" t="str">
        <f t="shared" si="89"/>
        <v>Use deduct 3yrs</v>
      </c>
      <c r="AP152" s="111">
        <f t="shared" si="90"/>
        <v>29.454545454545453</v>
      </c>
      <c r="AQ152" s="112">
        <f t="shared" si="91"/>
        <v>0.74654377880184331</v>
      </c>
      <c r="AR152" s="112">
        <f t="shared" si="92"/>
        <v>0.25345622119815669</v>
      </c>
      <c r="AS152" s="113">
        <f t="shared" si="93"/>
        <v>2057</v>
      </c>
      <c r="AT152" s="109">
        <v>274118.58852836624</v>
      </c>
      <c r="AU152" s="114">
        <v>0.25345622119815669</v>
      </c>
      <c r="AV152" s="113">
        <v>2057</v>
      </c>
      <c r="AW152" s="112">
        <f t="shared" si="94"/>
        <v>0.89123968049018509</v>
      </c>
      <c r="AX152" s="109">
        <f t="shared" si="95"/>
        <v>69477.061608572098</v>
      </c>
      <c r="AY152" s="109">
        <f t="shared" si="96"/>
        <v>204641.52691979415</v>
      </c>
      <c r="AZ152" s="109">
        <f t="shared" si="97"/>
        <v>274118.58852836624</v>
      </c>
      <c r="BA152" s="111">
        <f t="shared" si="98"/>
        <v>0</v>
      </c>
      <c r="BB152" s="117"/>
      <c r="BC152" s="115" t="str">
        <f t="shared" si="99"/>
        <v>N</v>
      </c>
      <c r="BD152" s="115" t="str">
        <f t="shared" si="100"/>
        <v>N</v>
      </c>
      <c r="BE152" s="115" t="str">
        <f t="shared" si="101"/>
        <v>N</v>
      </c>
      <c r="BF152" s="109" t="str">
        <f t="shared" si="102"/>
        <v/>
      </c>
      <c r="BG152" s="111" t="s">
        <v>2499</v>
      </c>
      <c r="BH152" s="115" t="s">
        <v>1168</v>
      </c>
      <c r="BI152" s="116"/>
      <c r="BJ152" s="222">
        <v>0.89123968049018509</v>
      </c>
      <c r="BK152" s="265">
        <f t="shared" si="103"/>
        <v>0</v>
      </c>
      <c r="BL152" s="265">
        <f t="shared" si="104"/>
        <v>0</v>
      </c>
      <c r="BM152" s="265">
        <f t="shared" si="105"/>
        <v>0</v>
      </c>
      <c r="BN152" s="265">
        <f t="shared" si="106"/>
        <v>-3130.7425560239208</v>
      </c>
      <c r="BO152" s="109"/>
      <c r="BP152" s="265">
        <f t="shared" si="107"/>
        <v>7551.6932674519485</v>
      </c>
      <c r="BQ152" s="265">
        <v>7551.6932674519485</v>
      </c>
      <c r="BR152" s="265" t="e">
        <f t="shared" si="108"/>
        <v>#REF!</v>
      </c>
      <c r="BS152" s="207">
        <v>850.76799621334442</v>
      </c>
      <c r="BT152" s="475">
        <v>33451.411471633772</v>
      </c>
      <c r="BU152" s="475">
        <v>69477.061608572098</v>
      </c>
      <c r="BV152" s="475">
        <v>204641.52691979415</v>
      </c>
      <c r="BW152" s="483">
        <f t="shared" si="109"/>
        <v>0</v>
      </c>
      <c r="BX152" s="483">
        <f t="shared" si="110"/>
        <v>0</v>
      </c>
    </row>
    <row r="153" spans="1:76" s="103" customFormat="1" ht="29">
      <c r="A153" s="100" t="s">
        <v>2502</v>
      </c>
      <c r="B153" s="91" t="str">
        <f t="shared" si="74"/>
        <v xml:space="preserve">CI </v>
      </c>
      <c r="C153" s="92" t="s">
        <v>463</v>
      </c>
      <c r="D153" s="448" t="s">
        <v>2269</v>
      </c>
      <c r="E153" s="449" t="s">
        <v>2236</v>
      </c>
      <c r="F153" s="467" t="s">
        <v>2237</v>
      </c>
      <c r="G153" s="467" t="s">
        <v>5001</v>
      </c>
      <c r="H153" s="398">
        <v>1</v>
      </c>
      <c r="I153" s="95" t="s">
        <v>890</v>
      </c>
      <c r="J153" s="95" t="s">
        <v>1166</v>
      </c>
      <c r="K153" s="191">
        <v>314229.84000000003</v>
      </c>
      <c r="L153" s="268">
        <v>0.53051221998537657</v>
      </c>
      <c r="M153" s="266">
        <v>1</v>
      </c>
      <c r="N153" s="267">
        <f t="shared" si="75"/>
        <v>0</v>
      </c>
      <c r="O153" s="96">
        <f t="shared" si="76"/>
        <v>147527.06999595033</v>
      </c>
      <c r="P153" s="96">
        <f t="shared" si="77"/>
        <v>166702.7700040497</v>
      </c>
      <c r="Q153" s="96">
        <f t="shared" si="78"/>
        <v>0</v>
      </c>
      <c r="R153" s="187" t="s">
        <v>2268</v>
      </c>
      <c r="S153" s="187" t="s">
        <v>3608</v>
      </c>
      <c r="T153" s="94" t="s">
        <v>2842</v>
      </c>
      <c r="U153" s="395">
        <f>COUNTIF(Aggregation_of_rev_to_allocate!$A$3:$A$137,$T153)</f>
        <v>1</v>
      </c>
      <c r="V153" s="100"/>
      <c r="W153" s="100">
        <v>45</v>
      </c>
      <c r="X153" s="109">
        <v>184618.61107237215</v>
      </c>
      <c r="Y153" s="109">
        <v>0</v>
      </c>
      <c r="Z153" s="110">
        <v>0.58752730508462259</v>
      </c>
      <c r="AA153" s="110">
        <v>1</v>
      </c>
      <c r="AB153" s="110">
        <v>0</v>
      </c>
      <c r="AC153" s="109">
        <f>IF(ISERROR((X153*SUMIF('Rev_for_allocation(Hard)'!$A$3:$A$249,$T153,'Rev_for_allocation(Hard)'!$I$3:$I$249)/SUMIF(Historic_capex_list!$T$9:$T$586,$T153,Historic_capex_list!$X$9:$X$586))=TRUE),0,X153*SUMIF('Rev_for_allocation(Hard)'!$A$3:$A$249,$T153,'Rev_for_allocation(Hard)'!$I$3:$I$249)/SUMIF(Historic_capex_list!$T$9:$T$586,$T153,Historic_capex_list!$X$9:$X$586))</f>
        <v>-14236.611928323086</v>
      </c>
      <c r="AD153" s="109">
        <f t="shared" si="79"/>
        <v>170381.99914404907</v>
      </c>
      <c r="AE153" s="109">
        <f t="shared" si="80"/>
        <v>170381.99914404907</v>
      </c>
      <c r="AF153" s="109">
        <f t="shared" si="81"/>
        <v>170381.99914404907</v>
      </c>
      <c r="AG153" s="332" t="str">
        <f t="shared" si="82"/>
        <v>N</v>
      </c>
      <c r="AH153" s="332">
        <f t="shared" si="83"/>
        <v>0</v>
      </c>
      <c r="AI153" s="332">
        <f t="shared" si="84"/>
        <v>0</v>
      </c>
      <c r="AJ153" s="109">
        <f t="shared" si="85"/>
        <v>170381.99914404907</v>
      </c>
      <c r="AK153" s="109">
        <f t="shared" si="86"/>
        <v>0</v>
      </c>
      <c r="AL153" s="109">
        <v>0</v>
      </c>
      <c r="AM153" s="111">
        <f t="shared" si="87"/>
        <v>0</v>
      </c>
      <c r="AN153" s="111">
        <f t="shared" si="88"/>
        <v>0</v>
      </c>
      <c r="AO153" s="111" t="str">
        <f t="shared" si="89"/>
        <v>Use deduct 3yrs</v>
      </c>
      <c r="AP153" s="111">
        <f t="shared" si="90"/>
        <v>0</v>
      </c>
      <c r="AQ153" s="112">
        <f t="shared" si="91"/>
        <v>0</v>
      </c>
      <c r="AR153" s="112">
        <f t="shared" si="92"/>
        <v>1</v>
      </c>
      <c r="AS153" s="113">
        <f t="shared" si="93"/>
        <v>2028</v>
      </c>
      <c r="AT153" s="109">
        <v>166702.7700040497</v>
      </c>
      <c r="AU153" s="114">
        <v>1</v>
      </c>
      <c r="AV153" s="113">
        <v>2028</v>
      </c>
      <c r="AW153" s="112">
        <f t="shared" si="94"/>
        <v>0.53051221998537657</v>
      </c>
      <c r="AX153" s="109">
        <f t="shared" si="95"/>
        <v>166702.7700040497</v>
      </c>
      <c r="AY153" s="109">
        <f t="shared" si="96"/>
        <v>0</v>
      </c>
      <c r="AZ153" s="109">
        <f t="shared" si="97"/>
        <v>166702.7700040497</v>
      </c>
      <c r="BA153" s="111">
        <f t="shared" si="98"/>
        <v>0</v>
      </c>
      <c r="BB153" s="117"/>
      <c r="BC153" s="115" t="str">
        <f t="shared" si="99"/>
        <v>N</v>
      </c>
      <c r="BD153" s="115" t="str">
        <f t="shared" si="100"/>
        <v>Y</v>
      </c>
      <c r="BE153" s="115" t="str">
        <f t="shared" si="101"/>
        <v>N</v>
      </c>
      <c r="BF153" s="109" t="str">
        <f t="shared" si="102"/>
        <v/>
      </c>
      <c r="BG153" s="111" t="s">
        <v>2499</v>
      </c>
      <c r="BH153" s="115" t="s">
        <v>1168</v>
      </c>
      <c r="BI153" s="116"/>
      <c r="BJ153" s="222">
        <v>0.53051221998537657</v>
      </c>
      <c r="BK153" s="265">
        <f t="shared" si="103"/>
        <v>0</v>
      </c>
      <c r="BL153" s="265">
        <f t="shared" si="104"/>
        <v>0</v>
      </c>
      <c r="BM153" s="265">
        <f t="shared" si="105"/>
        <v>0</v>
      </c>
      <c r="BN153" s="265">
        <f t="shared" si="106"/>
        <v>17915.84106832245</v>
      </c>
      <c r="BO153" s="109"/>
      <c r="BP153" s="265">
        <f t="shared" si="107"/>
        <v>17915.84106832245</v>
      </c>
      <c r="BQ153" s="265">
        <v>17915.84106832245</v>
      </c>
      <c r="BR153" s="265" t="e">
        <f t="shared" si="108"/>
        <v>#REF!</v>
      </c>
      <c r="BS153" s="207">
        <v>2018.3849722641587</v>
      </c>
      <c r="BT153" s="475">
        <v>147527.06999595033</v>
      </c>
      <c r="BU153" s="475">
        <v>166702.7700040497</v>
      </c>
      <c r="BV153" s="475">
        <v>0</v>
      </c>
      <c r="BW153" s="483">
        <f t="shared" si="109"/>
        <v>0</v>
      </c>
      <c r="BX153" s="483">
        <f t="shared" si="110"/>
        <v>0</v>
      </c>
    </row>
    <row r="154" spans="1:76" s="103" customFormat="1" ht="14.5">
      <c r="A154" s="100" t="s">
        <v>2502</v>
      </c>
      <c r="B154" s="91" t="str">
        <f t="shared" si="74"/>
        <v xml:space="preserve">CI </v>
      </c>
      <c r="C154" s="92" t="s">
        <v>463</v>
      </c>
      <c r="D154" s="448" t="s">
        <v>2269</v>
      </c>
      <c r="E154" s="453">
        <v>795569</v>
      </c>
      <c r="F154" s="467" t="s">
        <v>4946</v>
      </c>
      <c r="G154" s="384" t="s">
        <v>4713</v>
      </c>
      <c r="H154" s="398">
        <v>1</v>
      </c>
      <c r="I154" s="95" t="s">
        <v>952</v>
      </c>
      <c r="J154" s="95" t="s">
        <v>1166</v>
      </c>
      <c r="K154" s="191">
        <v>485834.1899999993</v>
      </c>
      <c r="L154" s="268">
        <v>4.7004827186511403E-2</v>
      </c>
      <c r="M154" s="266">
        <v>1</v>
      </c>
      <c r="N154" s="267">
        <f t="shared" si="75"/>
        <v>0</v>
      </c>
      <c r="O154" s="96">
        <f t="shared" si="76"/>
        <v>462997.63785775058</v>
      </c>
      <c r="P154" s="96">
        <f t="shared" si="77"/>
        <v>22836.552142248715</v>
      </c>
      <c r="Q154" s="96">
        <f t="shared" si="78"/>
        <v>0</v>
      </c>
      <c r="R154" s="187" t="s">
        <v>2454</v>
      </c>
      <c r="S154" s="187" t="s">
        <v>3607</v>
      </c>
      <c r="T154" s="94" t="s">
        <v>2856</v>
      </c>
      <c r="U154" s="395">
        <f>COUNTIF(Aggregation_of_rev_to_allocate!$A$3:$A$137,$T154)</f>
        <v>1</v>
      </c>
      <c r="V154" s="100"/>
      <c r="W154" s="100">
        <v>77</v>
      </c>
      <c r="X154" s="109">
        <v>76117.521874016558</v>
      </c>
      <c r="Y154" s="109">
        <v>0</v>
      </c>
      <c r="Z154" s="110">
        <v>0.15667386824714141</v>
      </c>
      <c r="AA154" s="110">
        <v>1</v>
      </c>
      <c r="AB154" s="110">
        <v>0</v>
      </c>
      <c r="AC154" s="109">
        <f>IF(ISERROR((X154*SUMIF('Rev_for_allocation(Hard)'!$A$3:$A$249,$T154,'Rev_for_allocation(Hard)'!$I$3:$I$249)/SUMIF(Historic_capex_list!$T$9:$T$586,$T154,Historic_capex_list!$X$9:$X$586))=TRUE),0,X154*SUMIF('Rev_for_allocation(Hard)'!$A$3:$A$249,$T154,'Rev_for_allocation(Hard)'!$I$3:$I$249)/SUMIF(Historic_capex_list!$T$9:$T$586,$T154,Historic_capex_list!$X$9:$X$586))</f>
        <v>-53280.969731767844</v>
      </c>
      <c r="AD154" s="109">
        <f t="shared" si="79"/>
        <v>22836.552142248715</v>
      </c>
      <c r="AE154" s="109">
        <f t="shared" si="80"/>
        <v>22836.552142248715</v>
      </c>
      <c r="AF154" s="109">
        <f t="shared" si="81"/>
        <v>22836.552142248715</v>
      </c>
      <c r="AG154" s="332" t="str">
        <f t="shared" si="82"/>
        <v>N</v>
      </c>
      <c r="AH154" s="332">
        <f t="shared" si="83"/>
        <v>0</v>
      </c>
      <c r="AI154" s="332">
        <f t="shared" si="84"/>
        <v>0</v>
      </c>
      <c r="AJ154" s="109">
        <f t="shared" si="85"/>
        <v>22836.552142248715</v>
      </c>
      <c r="AK154" s="109">
        <f t="shared" si="86"/>
        <v>0</v>
      </c>
      <c r="AL154" s="109">
        <v>0</v>
      </c>
      <c r="AM154" s="111">
        <f t="shared" si="87"/>
        <v>0</v>
      </c>
      <c r="AN154" s="111">
        <f t="shared" si="88"/>
        <v>0</v>
      </c>
      <c r="AO154" s="111">
        <f t="shared" si="89"/>
        <v>-13.331442242191848</v>
      </c>
      <c r="AP154" s="111">
        <f t="shared" si="90"/>
        <v>0</v>
      </c>
      <c r="AQ154" s="112">
        <f t="shared" si="91"/>
        <v>0</v>
      </c>
      <c r="AR154" s="112">
        <f t="shared" si="92"/>
        <v>1</v>
      </c>
      <c r="AS154" s="113">
        <f t="shared" si="93"/>
        <v>2028</v>
      </c>
      <c r="AT154" s="109">
        <v>22836.552142248715</v>
      </c>
      <c r="AU154" s="114">
        <v>1</v>
      </c>
      <c r="AV154" s="113">
        <v>2028</v>
      </c>
      <c r="AW154" s="112">
        <f t="shared" si="94"/>
        <v>4.7004827186511403E-2</v>
      </c>
      <c r="AX154" s="109">
        <f t="shared" si="95"/>
        <v>22836.552142248715</v>
      </c>
      <c r="AY154" s="109">
        <f t="shared" si="96"/>
        <v>0</v>
      </c>
      <c r="AZ154" s="109">
        <f t="shared" si="97"/>
        <v>22836.552142248715</v>
      </c>
      <c r="BA154" s="111">
        <f t="shared" si="98"/>
        <v>0</v>
      </c>
      <c r="BB154" s="117"/>
      <c r="BC154" s="115" t="str">
        <f t="shared" si="99"/>
        <v>N</v>
      </c>
      <c r="BD154" s="115" t="str">
        <f t="shared" si="100"/>
        <v>Y</v>
      </c>
      <c r="BE154" s="115" t="str">
        <f t="shared" si="101"/>
        <v>N</v>
      </c>
      <c r="BF154" s="109" t="str">
        <f t="shared" si="102"/>
        <v/>
      </c>
      <c r="BG154" s="111" t="s">
        <v>2499</v>
      </c>
      <c r="BH154" s="115" t="s">
        <v>1168</v>
      </c>
      <c r="BI154" s="116"/>
      <c r="BJ154" s="222">
        <v>4.7004827186511403E-2</v>
      </c>
      <c r="BK154" s="265">
        <f t="shared" si="103"/>
        <v>0</v>
      </c>
      <c r="BL154" s="265">
        <f t="shared" si="104"/>
        <v>0</v>
      </c>
      <c r="BM154" s="265">
        <f t="shared" si="105"/>
        <v>7.2759576141834259E-12</v>
      </c>
      <c r="BN154" s="265">
        <f t="shared" si="106"/>
        <v>53280.969731767844</v>
      </c>
      <c r="BO154" s="109"/>
      <c r="BP154" s="265">
        <f t="shared" si="107"/>
        <v>53280.969731767844</v>
      </c>
      <c r="BQ154" s="265">
        <v>53280.969731767844</v>
      </c>
      <c r="BR154" s="265" t="e">
        <f t="shared" si="108"/>
        <v>#REF!</v>
      </c>
      <c r="BS154" s="207">
        <v>6002.5933588130101</v>
      </c>
      <c r="BT154" s="475">
        <v>462997.63785775058</v>
      </c>
      <c r="BU154" s="475">
        <v>22836.552142248715</v>
      </c>
      <c r="BV154" s="475">
        <v>0</v>
      </c>
      <c r="BW154" s="483">
        <f t="shared" si="109"/>
        <v>0</v>
      </c>
      <c r="BX154" s="483">
        <f t="shared" si="110"/>
        <v>0</v>
      </c>
    </row>
    <row r="155" spans="1:76" s="103" customFormat="1" ht="29">
      <c r="A155" s="100" t="s">
        <v>2502</v>
      </c>
      <c r="B155" s="91" t="str">
        <f t="shared" si="74"/>
        <v xml:space="preserve">CI </v>
      </c>
      <c r="C155" s="92" t="s">
        <v>463</v>
      </c>
      <c r="D155" s="448" t="s">
        <v>2269</v>
      </c>
      <c r="E155" s="449" t="s">
        <v>2036</v>
      </c>
      <c r="F155" s="467" t="s">
        <v>4913</v>
      </c>
      <c r="G155" s="589" t="s">
        <v>5238</v>
      </c>
      <c r="H155" s="470">
        <v>1</v>
      </c>
      <c r="I155" s="95" t="s">
        <v>962</v>
      </c>
      <c r="J155" s="95" t="s">
        <v>1166</v>
      </c>
      <c r="K155" s="469">
        <v>670792.27</v>
      </c>
      <c r="L155" s="471">
        <v>5.1592723332962664E-2</v>
      </c>
      <c r="M155" s="266">
        <v>1</v>
      </c>
      <c r="N155" s="267">
        <f t="shared" si="75"/>
        <v>0</v>
      </c>
      <c r="O155" s="96">
        <f t="shared" si="76"/>
        <v>636184.27</v>
      </c>
      <c r="P155" s="96">
        <f t="shared" si="77"/>
        <v>34607.999999999993</v>
      </c>
      <c r="Q155" s="96">
        <f t="shared" si="78"/>
        <v>0</v>
      </c>
      <c r="R155" s="187" t="s">
        <v>2268</v>
      </c>
      <c r="S155" s="187" t="s">
        <v>3608</v>
      </c>
      <c r="T155" s="94" t="s">
        <v>2842</v>
      </c>
      <c r="U155" s="395">
        <f>COUNTIF(Aggregation_of_rev_to_allocate!$A$3:$A$137,$T155)</f>
        <v>1</v>
      </c>
      <c r="V155" s="100"/>
      <c r="W155" s="100">
        <v>46</v>
      </c>
      <c r="X155" s="109">
        <v>38327.081969749794</v>
      </c>
      <c r="Y155" s="109">
        <v>0</v>
      </c>
      <c r="Z155" s="110">
        <v>0.73705926864903448</v>
      </c>
      <c r="AA155" s="110">
        <v>1</v>
      </c>
      <c r="AB155" s="110">
        <v>0</v>
      </c>
      <c r="AC155" s="109">
        <f>IF(ISERROR((X155*SUMIF('Rev_for_allocation(Hard)'!$A$3:$A$249,$T155,'Rev_for_allocation(Hard)'!$I$3:$I$249)/SUMIF(Historic_capex_list!$T$9:$T$586,$T155,Historic_capex_list!$X$9:$X$586))=TRUE),0,X155*SUMIF('Rev_for_allocation(Hard)'!$A$3:$A$249,$T155,'Rev_for_allocation(Hard)'!$I$3:$I$249)/SUMIF(Historic_capex_list!$T$9:$T$586,$T155,Historic_capex_list!$X$9:$X$586))</f>
        <v>-2955.5405556293445</v>
      </c>
      <c r="AD155" s="109">
        <f t="shared" si="79"/>
        <v>35371.541414120453</v>
      </c>
      <c r="AE155" s="109">
        <f t="shared" si="80"/>
        <v>35371.541414120453</v>
      </c>
      <c r="AF155" s="109">
        <f t="shared" si="81"/>
        <v>35371.541414120453</v>
      </c>
      <c r="AG155" s="332" t="str">
        <f t="shared" si="82"/>
        <v>N</v>
      </c>
      <c r="AH155" s="332">
        <f t="shared" si="83"/>
        <v>0</v>
      </c>
      <c r="AI155" s="332">
        <f t="shared" si="84"/>
        <v>0</v>
      </c>
      <c r="AJ155" s="109">
        <f t="shared" si="85"/>
        <v>35371.541414120453</v>
      </c>
      <c r="AK155" s="109">
        <f t="shared" si="86"/>
        <v>0</v>
      </c>
      <c r="AL155" s="109">
        <v>0</v>
      </c>
      <c r="AM155" s="111">
        <f t="shared" si="87"/>
        <v>0</v>
      </c>
      <c r="AN155" s="111">
        <f t="shared" si="88"/>
        <v>0</v>
      </c>
      <c r="AO155" s="111" t="str">
        <f t="shared" si="89"/>
        <v>Use deduct 3yrs</v>
      </c>
      <c r="AP155" s="111">
        <f t="shared" si="90"/>
        <v>0</v>
      </c>
      <c r="AQ155" s="112">
        <f t="shared" si="91"/>
        <v>0</v>
      </c>
      <c r="AR155" s="112">
        <f t="shared" si="92"/>
        <v>1</v>
      </c>
      <c r="AS155" s="113">
        <f t="shared" si="93"/>
        <v>2028</v>
      </c>
      <c r="AT155" s="109">
        <v>34607.728296823356</v>
      </c>
      <c r="AU155" s="114">
        <v>1</v>
      </c>
      <c r="AV155" s="113">
        <v>2028</v>
      </c>
      <c r="AW155" s="112">
        <f t="shared" si="94"/>
        <v>5.1592318284799786E-2</v>
      </c>
      <c r="AX155" s="109">
        <f t="shared" si="95"/>
        <v>34607.728296823356</v>
      </c>
      <c r="AY155" s="109">
        <f t="shared" si="96"/>
        <v>0</v>
      </c>
      <c r="AZ155" s="109">
        <f t="shared" si="97"/>
        <v>34607.728296823356</v>
      </c>
      <c r="BA155" s="111">
        <f t="shared" si="98"/>
        <v>0</v>
      </c>
      <c r="BB155" s="117"/>
      <c r="BC155" s="115" t="str">
        <f t="shared" si="99"/>
        <v>N</v>
      </c>
      <c r="BD155" s="115" t="str">
        <f t="shared" si="100"/>
        <v>Y</v>
      </c>
      <c r="BE155" s="115" t="str">
        <f t="shared" si="101"/>
        <v>N</v>
      </c>
      <c r="BF155" s="109" t="str">
        <f t="shared" si="102"/>
        <v/>
      </c>
      <c r="BG155" s="111" t="s">
        <v>2499</v>
      </c>
      <c r="BH155" s="115" t="s">
        <v>1168</v>
      </c>
      <c r="BI155" s="116"/>
      <c r="BJ155" s="222">
        <v>0.66553323647737228</v>
      </c>
      <c r="BK155" s="265">
        <f t="shared" si="103"/>
        <v>0</v>
      </c>
      <c r="BL155" s="265">
        <f t="shared" si="104"/>
        <v>0</v>
      </c>
      <c r="BM155" s="265">
        <f t="shared" si="105"/>
        <v>7.2759576141834259E-12</v>
      </c>
      <c r="BN155" s="265">
        <f t="shared" si="106"/>
        <v>3719.0819697498009</v>
      </c>
      <c r="BO155" s="109"/>
      <c r="BP155" s="265">
        <f t="shared" si="107"/>
        <v>3719.3536729264379</v>
      </c>
      <c r="BQ155" s="265">
        <v>3719.3536729264379</v>
      </c>
      <c r="BR155" s="265" t="e">
        <f t="shared" si="108"/>
        <v>#REF!</v>
      </c>
      <c r="BS155" s="207">
        <v>419.01954428719159</v>
      </c>
      <c r="BT155" s="475">
        <v>17392.271703176641</v>
      </c>
      <c r="BU155" s="475">
        <v>34607.728296823356</v>
      </c>
      <c r="BV155" s="475">
        <v>0</v>
      </c>
      <c r="BW155" s="483">
        <f t="shared" si="109"/>
        <v>0.27170317663694732</v>
      </c>
      <c r="BX155" s="483">
        <f t="shared" si="110"/>
        <v>0</v>
      </c>
    </row>
    <row r="156" spans="1:76" s="103" customFormat="1" ht="29">
      <c r="A156" s="100" t="s">
        <v>2508</v>
      </c>
      <c r="B156" s="91" t="str">
        <f t="shared" si="74"/>
        <v xml:space="preserve">CI </v>
      </c>
      <c r="C156" s="92" t="s">
        <v>3626</v>
      </c>
      <c r="D156" s="448"/>
      <c r="E156" s="449">
        <v>3200769</v>
      </c>
      <c r="F156" s="384" t="s">
        <v>2321</v>
      </c>
      <c r="G156" s="467" t="s">
        <v>4716</v>
      </c>
      <c r="H156" s="398">
        <v>0.65</v>
      </c>
      <c r="I156" s="95"/>
      <c r="J156" s="95" t="s">
        <v>1166</v>
      </c>
      <c r="K156" s="191">
        <v>1449182.61</v>
      </c>
      <c r="L156" s="268">
        <v>0.93615575811581164</v>
      </c>
      <c r="M156" s="266">
        <v>0.58823529411764708</v>
      </c>
      <c r="N156" s="267">
        <f t="shared" si="75"/>
        <v>0.41176470588235292</v>
      </c>
      <c r="O156" s="96">
        <f t="shared" si="76"/>
        <v>567353.19080667966</v>
      </c>
      <c r="P156" s="96">
        <f t="shared" si="77"/>
        <v>518723.18776077684</v>
      </c>
      <c r="Q156" s="96">
        <f t="shared" si="78"/>
        <v>363106.23143254372</v>
      </c>
      <c r="R156" s="187" t="s">
        <v>2457</v>
      </c>
      <c r="S156" s="187" t="s">
        <v>3608</v>
      </c>
      <c r="T156" s="94" t="s">
        <v>2842</v>
      </c>
      <c r="U156" s="395">
        <f>COUNTIF(Aggregation_of_rev_to_allocate!$A$3:$A$137,$T156)</f>
        <v>1</v>
      </c>
      <c r="V156" s="100"/>
      <c r="W156" s="100">
        <v>1011</v>
      </c>
      <c r="X156" s="109">
        <v>470984.34825000004</v>
      </c>
      <c r="Y156" s="109">
        <v>470984.34825000004</v>
      </c>
      <c r="Z156" s="110">
        <v>1</v>
      </c>
      <c r="AA156" s="110">
        <v>0.5</v>
      </c>
      <c r="AB156" s="110">
        <v>0.5</v>
      </c>
      <c r="AC156" s="109">
        <f>IF(ISERROR((X156*SUMIF('Rev_for_allocation(Hard)'!$A$3:$A$249,$T156,'Rev_for_allocation(Hard)'!$I$3:$I$249)/SUMIF(Historic_capex_list!$T$9:$T$586,$T156,Historic_capex_list!$X$9:$X$586))=TRUE),0,X156*SUMIF('Rev_for_allocation(Hard)'!$A$3:$A$249,$T156,'Rev_for_allocation(Hard)'!$I$3:$I$249)/SUMIF(Historic_capex_list!$T$9:$T$586,$T156,Historic_capex_list!$X$9:$X$586))</f>
        <v>-36319.314458069006</v>
      </c>
      <c r="AD156" s="109">
        <f t="shared" si="79"/>
        <v>434665.03379193106</v>
      </c>
      <c r="AE156" s="109">
        <f t="shared" si="80"/>
        <v>434665.03379193106</v>
      </c>
      <c r="AF156" s="109">
        <f t="shared" si="81"/>
        <v>905649.38204193115</v>
      </c>
      <c r="AG156" s="332" t="str">
        <f t="shared" si="82"/>
        <v>N</v>
      </c>
      <c r="AH156" s="332">
        <f t="shared" si="83"/>
        <v>0</v>
      </c>
      <c r="AI156" s="332">
        <f t="shared" si="84"/>
        <v>0</v>
      </c>
      <c r="AJ156" s="109">
        <f t="shared" si="85"/>
        <v>905649.38204193115</v>
      </c>
      <c r="AK156" s="109">
        <f t="shared" si="86"/>
        <v>0</v>
      </c>
      <c r="AL156" s="109">
        <v>0</v>
      </c>
      <c r="AM156" s="111">
        <f t="shared" si="87"/>
        <v>10</v>
      </c>
      <c r="AN156" s="111">
        <f t="shared" si="88"/>
        <v>7</v>
      </c>
      <c r="AO156" s="111" t="str">
        <f t="shared" si="89"/>
        <v>Use deduct 3yrs</v>
      </c>
      <c r="AP156" s="111">
        <f t="shared" si="90"/>
        <v>7</v>
      </c>
      <c r="AQ156" s="112">
        <f t="shared" si="91"/>
        <v>0.41176470588235292</v>
      </c>
      <c r="AR156" s="112">
        <f t="shared" si="92"/>
        <v>0.58823529411764708</v>
      </c>
      <c r="AS156" s="113">
        <f t="shared" si="93"/>
        <v>2035</v>
      </c>
      <c r="AT156" s="109">
        <v>881829.41919332044</v>
      </c>
      <c r="AU156" s="114">
        <v>0.58823529411764708</v>
      </c>
      <c r="AV156" s="113">
        <v>2035</v>
      </c>
      <c r="AW156" s="112">
        <f t="shared" si="94"/>
        <v>0.93615575811581164</v>
      </c>
      <c r="AX156" s="109">
        <f t="shared" si="95"/>
        <v>518723.18776077684</v>
      </c>
      <c r="AY156" s="109">
        <f t="shared" si="96"/>
        <v>363106.23143254372</v>
      </c>
      <c r="AZ156" s="109">
        <f t="shared" si="97"/>
        <v>881829.41919332056</v>
      </c>
      <c r="BA156" s="111">
        <f t="shared" si="98"/>
        <v>0</v>
      </c>
      <c r="BB156" s="117"/>
      <c r="BC156" s="115" t="str">
        <f t="shared" si="99"/>
        <v>N</v>
      </c>
      <c r="BD156" s="115" t="str">
        <f t="shared" si="100"/>
        <v>N</v>
      </c>
      <c r="BE156" s="115" t="str">
        <f t="shared" si="101"/>
        <v>N</v>
      </c>
      <c r="BF156" s="109" t="str">
        <f t="shared" si="102"/>
        <v/>
      </c>
      <c r="BG156" s="111" t="s">
        <v>2499</v>
      </c>
      <c r="BH156" s="115" t="s">
        <v>1168</v>
      </c>
      <c r="BI156" s="116"/>
      <c r="BJ156" s="222">
        <v>0.93615575811581164</v>
      </c>
      <c r="BK156" s="265">
        <f t="shared" si="103"/>
        <v>0</v>
      </c>
      <c r="BL156" s="265">
        <f t="shared" si="104"/>
        <v>0</v>
      </c>
      <c r="BM156" s="265">
        <f t="shared" si="105"/>
        <v>0</v>
      </c>
      <c r="BN156" s="265">
        <f t="shared" si="106"/>
        <v>-47738.839510776801</v>
      </c>
      <c r="BO156" s="109"/>
      <c r="BP156" s="265">
        <f t="shared" si="107"/>
        <v>60139.277306679636</v>
      </c>
      <c r="BQ156" s="265">
        <v>60139.277306679636</v>
      </c>
      <c r="BR156" s="265" t="e">
        <f t="shared" si="108"/>
        <v>#REF!</v>
      </c>
      <c r="BS156" s="207">
        <v>6775.2450524498281</v>
      </c>
      <c r="BT156" s="475">
        <v>567353.19080667966</v>
      </c>
      <c r="BU156" s="475">
        <v>518723.18776077684</v>
      </c>
      <c r="BV156" s="475">
        <v>363106.23143254372</v>
      </c>
      <c r="BW156" s="483">
        <f t="shared" si="109"/>
        <v>0</v>
      </c>
      <c r="BX156" s="483">
        <f t="shared" si="110"/>
        <v>0</v>
      </c>
    </row>
    <row r="157" spans="1:76" s="103" customFormat="1" ht="29">
      <c r="A157" s="100" t="s">
        <v>2508</v>
      </c>
      <c r="B157" s="91" t="str">
        <f t="shared" si="74"/>
        <v xml:space="preserve">CI </v>
      </c>
      <c r="C157" s="92" t="s">
        <v>2272</v>
      </c>
      <c r="D157" s="448" t="s">
        <v>2269</v>
      </c>
      <c r="E157" s="451">
        <v>3200769</v>
      </c>
      <c r="F157" s="409" t="s">
        <v>2321</v>
      </c>
      <c r="G157" s="467" t="s">
        <v>4716</v>
      </c>
      <c r="H157" s="398">
        <v>0.65</v>
      </c>
      <c r="I157" s="151"/>
      <c r="J157" s="95" t="s">
        <v>1166</v>
      </c>
      <c r="K157" s="191">
        <v>32834998</v>
      </c>
      <c r="L157" s="269">
        <v>0.91541715663089118</v>
      </c>
      <c r="M157" s="267">
        <v>0.71688942891859053</v>
      </c>
      <c r="N157" s="267">
        <f t="shared" si="75"/>
        <v>0.28311057108140947</v>
      </c>
      <c r="O157" s="96">
        <f t="shared" si="76"/>
        <v>13297479.670358349</v>
      </c>
      <c r="P157" s="96">
        <f t="shared" si="77"/>
        <v>14006240.357823297</v>
      </c>
      <c r="Q157" s="96">
        <f t="shared" si="78"/>
        <v>5531277.971818353</v>
      </c>
      <c r="R157" s="187" t="s">
        <v>2448</v>
      </c>
      <c r="S157" s="187" t="s">
        <v>3608</v>
      </c>
      <c r="T157" s="94" t="s">
        <v>2842</v>
      </c>
      <c r="U157" s="395">
        <f>COUNTIF(Aggregation_of_rev_to_allocate!$A$3:$A$137,$T157)</f>
        <v>1</v>
      </c>
      <c r="V157" s="100"/>
      <c r="W157" s="100">
        <v>78</v>
      </c>
      <c r="X157" s="109">
        <v>12466299.51567</v>
      </c>
      <c r="Y157" s="109">
        <v>8663021.6973299999</v>
      </c>
      <c r="Z157" s="110">
        <v>0.99</v>
      </c>
      <c r="AA157" s="110">
        <v>0.59</v>
      </c>
      <c r="AB157" s="110">
        <v>0.41000000000000003</v>
      </c>
      <c r="AC157" s="109">
        <f>IF(ISERROR((X157*SUMIF('Rev_for_allocation(Hard)'!$A$3:$A$249,$T157,'Rev_for_allocation(Hard)'!$I$3:$I$249)/SUMIF(Historic_capex_list!$T$9:$T$586,$T157,Historic_capex_list!$X$9:$X$586))=TRUE),0,X157*SUMIF('Rev_for_allocation(Hard)'!$A$3:$A$249,$T157,'Rev_for_allocation(Hard)'!$I$3:$I$249)/SUMIF(Historic_capex_list!$T$9:$T$586,$T157,Historic_capex_list!$X$9:$X$586))</f>
        <v>-961321.65308763424</v>
      </c>
      <c r="AD157" s="109">
        <f t="shared" si="79"/>
        <v>11504977.862582365</v>
      </c>
      <c r="AE157" s="109">
        <f t="shared" si="80"/>
        <v>11504977.862582365</v>
      </c>
      <c r="AF157" s="109">
        <f t="shared" si="81"/>
        <v>20167999.559912365</v>
      </c>
      <c r="AG157" s="332" t="str">
        <f t="shared" si="82"/>
        <v>N</v>
      </c>
      <c r="AH157" s="332">
        <f t="shared" si="83"/>
        <v>0</v>
      </c>
      <c r="AI157" s="332">
        <f t="shared" si="84"/>
        <v>0</v>
      </c>
      <c r="AJ157" s="109">
        <f t="shared" si="85"/>
        <v>20167999.559912365</v>
      </c>
      <c r="AK157" s="109">
        <f t="shared" si="86"/>
        <v>0</v>
      </c>
      <c r="AL157" s="109">
        <v>0</v>
      </c>
      <c r="AM157" s="111">
        <f t="shared" si="87"/>
        <v>6.9491525423728815</v>
      </c>
      <c r="AN157" s="111">
        <f t="shared" si="88"/>
        <v>3.9491525423728815</v>
      </c>
      <c r="AO157" s="111" t="str">
        <f t="shared" si="89"/>
        <v>Use deduct 3yrs</v>
      </c>
      <c r="AP157" s="111">
        <f t="shared" si="90"/>
        <v>3.9491525423728815</v>
      </c>
      <c r="AQ157" s="112">
        <f t="shared" si="91"/>
        <v>0.28311057108140947</v>
      </c>
      <c r="AR157" s="112">
        <f t="shared" si="92"/>
        <v>0.71688942891859053</v>
      </c>
      <c r="AS157" s="113">
        <f t="shared" si="93"/>
        <v>2032</v>
      </c>
      <c r="AT157" s="109">
        <v>19537518.329641648</v>
      </c>
      <c r="AU157" s="114">
        <v>0.71688942891859053</v>
      </c>
      <c r="AV157" s="113">
        <v>2032</v>
      </c>
      <c r="AW157" s="112">
        <f t="shared" si="94"/>
        <v>0.91541715663089118</v>
      </c>
      <c r="AX157" s="109">
        <f t="shared" si="95"/>
        <v>14006240.357823297</v>
      </c>
      <c r="AY157" s="109">
        <f t="shared" si="96"/>
        <v>5531277.971818353</v>
      </c>
      <c r="AZ157" s="109">
        <f t="shared" si="97"/>
        <v>19537518.329641651</v>
      </c>
      <c r="BA157" s="111">
        <f t="shared" si="98"/>
        <v>0</v>
      </c>
      <c r="BB157" s="117"/>
      <c r="BC157" s="115" t="str">
        <f t="shared" si="99"/>
        <v>N</v>
      </c>
      <c r="BD157" s="115" t="str">
        <f t="shared" si="100"/>
        <v>N</v>
      </c>
      <c r="BE157" s="115" t="str">
        <f t="shared" si="101"/>
        <v>N</v>
      </c>
      <c r="BF157" s="109" t="str">
        <f t="shared" si="102"/>
        <v/>
      </c>
      <c r="BG157" s="111" t="s">
        <v>2499</v>
      </c>
      <c r="BH157" s="115" t="s">
        <v>1168</v>
      </c>
      <c r="BI157" s="116"/>
      <c r="BJ157" s="222">
        <v>0.91541715663089118</v>
      </c>
      <c r="BK157" s="265">
        <f t="shared" si="103"/>
        <v>0</v>
      </c>
      <c r="BL157" s="265">
        <f t="shared" si="104"/>
        <v>0</v>
      </c>
      <c r="BM157" s="265">
        <f t="shared" si="105"/>
        <v>0</v>
      </c>
      <c r="BN157" s="265">
        <f t="shared" si="106"/>
        <v>-1539940.8421532977</v>
      </c>
      <c r="BO157" s="109"/>
      <c r="BP157" s="265">
        <f t="shared" si="107"/>
        <v>1591802.8833583519</v>
      </c>
      <c r="BQ157" s="265">
        <v>1591802.8833583519</v>
      </c>
      <c r="BR157" s="265" t="e">
        <f t="shared" si="108"/>
        <v>#REF!</v>
      </c>
      <c r="BS157" s="207">
        <v>179331.29716460986</v>
      </c>
      <c r="BT157" s="475">
        <v>13297479.670358349</v>
      </c>
      <c r="BU157" s="475">
        <v>14006240.357823297</v>
      </c>
      <c r="BV157" s="475">
        <v>5531277.971818353</v>
      </c>
      <c r="BW157" s="483">
        <f t="shared" si="109"/>
        <v>0</v>
      </c>
      <c r="BX157" s="483">
        <f t="shared" si="110"/>
        <v>0</v>
      </c>
    </row>
    <row r="158" spans="1:76" s="103" customFormat="1" ht="58">
      <c r="A158" s="100" t="s">
        <v>2502</v>
      </c>
      <c r="B158" s="91" t="str">
        <f t="shared" si="74"/>
        <v xml:space="preserve">CI </v>
      </c>
      <c r="C158" s="92" t="s">
        <v>2273</v>
      </c>
      <c r="D158" s="448"/>
      <c r="E158" s="451">
        <v>2130441</v>
      </c>
      <c r="F158" s="409" t="s">
        <v>2545</v>
      </c>
      <c r="G158" s="485" t="s">
        <v>5022</v>
      </c>
      <c r="H158" s="398">
        <v>0.5</v>
      </c>
      <c r="I158" s="497" t="s">
        <v>5023</v>
      </c>
      <c r="J158" s="95" t="s">
        <v>1166</v>
      </c>
      <c r="K158" s="191">
        <v>699868.86476222007</v>
      </c>
      <c r="L158" s="269">
        <v>0.97921168790065261</v>
      </c>
      <c r="M158" s="267">
        <v>1</v>
      </c>
      <c r="N158" s="267">
        <f t="shared" si="75"/>
        <v>0</v>
      </c>
      <c r="O158" s="96">
        <f t="shared" si="76"/>
        <v>357208.97857575654</v>
      </c>
      <c r="P158" s="96">
        <f t="shared" si="77"/>
        <v>342659.88618646353</v>
      </c>
      <c r="Q158" s="96">
        <f t="shared" si="78"/>
        <v>0</v>
      </c>
      <c r="R158" s="187" t="s">
        <v>2455</v>
      </c>
      <c r="S158" s="187" t="s">
        <v>3607</v>
      </c>
      <c r="T158" s="94" t="s">
        <v>2857</v>
      </c>
      <c r="U158" s="395">
        <f>COUNTIF(Aggregation_of_rev_to_allocate!$A$3:$A$137,$T158)</f>
        <v>1</v>
      </c>
      <c r="V158" s="100"/>
      <c r="W158" s="100">
        <v>126</v>
      </c>
      <c r="X158" s="109">
        <v>342659.88221260149</v>
      </c>
      <c r="Y158" s="109">
        <v>0</v>
      </c>
      <c r="Z158" s="110">
        <v>0.97921167654463359</v>
      </c>
      <c r="AA158" s="110">
        <v>1</v>
      </c>
      <c r="AB158" s="110">
        <v>0</v>
      </c>
      <c r="AC158" s="109">
        <f>IF(ISERROR((X158*SUMIF('Rev_for_allocation(Hard)'!$A$3:$A$249,$T158,'Rev_for_allocation(Hard)'!$I$3:$I$249)/SUMIF(Historic_capex_list!$T$9:$T$586,$T158,Historic_capex_list!$X$9:$X$586))=TRUE),0,X158*SUMIF('Rev_for_allocation(Hard)'!$A$3:$A$249,$T158,'Rev_for_allocation(Hard)'!$I$3:$I$249)/SUMIF(Historic_capex_list!$T$9:$T$586,$T158,Historic_capex_list!$X$9:$X$586))</f>
        <v>3.3761474547701945E-3</v>
      </c>
      <c r="AD158" s="109">
        <f t="shared" si="79"/>
        <v>342659.88558874896</v>
      </c>
      <c r="AE158" s="109">
        <f t="shared" si="80"/>
        <v>342659.88558874896</v>
      </c>
      <c r="AF158" s="109">
        <f t="shared" si="81"/>
        <v>342659.88558874896</v>
      </c>
      <c r="AG158" s="332" t="str">
        <f t="shared" si="82"/>
        <v>N</v>
      </c>
      <c r="AH158" s="332">
        <f t="shared" si="83"/>
        <v>0</v>
      </c>
      <c r="AI158" s="332">
        <f t="shared" si="84"/>
        <v>0</v>
      </c>
      <c r="AJ158" s="109">
        <f t="shared" si="85"/>
        <v>342659.88558874896</v>
      </c>
      <c r="AK158" s="109">
        <f t="shared" si="86"/>
        <v>0</v>
      </c>
      <c r="AL158" s="109">
        <v>0</v>
      </c>
      <c r="AM158" s="111">
        <f t="shared" si="87"/>
        <v>0</v>
      </c>
      <c r="AN158" s="111">
        <f t="shared" si="88"/>
        <v>0</v>
      </c>
      <c r="AO158" s="111" t="str">
        <f t="shared" si="89"/>
        <v>Use deduct 3yrs</v>
      </c>
      <c r="AP158" s="111">
        <f t="shared" si="90"/>
        <v>0</v>
      </c>
      <c r="AQ158" s="112">
        <f t="shared" si="91"/>
        <v>0</v>
      </c>
      <c r="AR158" s="112">
        <f t="shared" si="92"/>
        <v>1</v>
      </c>
      <c r="AS158" s="113">
        <f t="shared" si="93"/>
        <v>2028</v>
      </c>
      <c r="AT158" s="109">
        <v>342659.88618646353</v>
      </c>
      <c r="AU158" s="114">
        <v>1</v>
      </c>
      <c r="AV158" s="113">
        <v>2028</v>
      </c>
      <c r="AW158" s="112">
        <f t="shared" si="94"/>
        <v>0.97921168790065261</v>
      </c>
      <c r="AX158" s="109">
        <f t="shared" si="95"/>
        <v>342659.88618646353</v>
      </c>
      <c r="AY158" s="109">
        <f t="shared" si="96"/>
        <v>0</v>
      </c>
      <c r="AZ158" s="109">
        <f t="shared" si="97"/>
        <v>342659.88618646353</v>
      </c>
      <c r="BA158" s="111">
        <f t="shared" si="98"/>
        <v>0</v>
      </c>
      <c r="BB158" s="117"/>
      <c r="BC158" s="115" t="str">
        <f t="shared" si="99"/>
        <v>N</v>
      </c>
      <c r="BD158" s="115" t="str">
        <f t="shared" si="100"/>
        <v>Y</v>
      </c>
      <c r="BE158" s="115" t="str">
        <f t="shared" si="101"/>
        <v>N</v>
      </c>
      <c r="BF158" s="109" t="str">
        <f t="shared" si="102"/>
        <v/>
      </c>
      <c r="BG158" s="111" t="s">
        <v>2499</v>
      </c>
      <c r="BH158" s="115" t="s">
        <v>1168</v>
      </c>
      <c r="BI158" s="116"/>
      <c r="BJ158" s="222">
        <v>0.97921168790065261</v>
      </c>
      <c r="BK158" s="265">
        <f t="shared" si="103"/>
        <v>0</v>
      </c>
      <c r="BL158" s="265">
        <f t="shared" si="104"/>
        <v>0</v>
      </c>
      <c r="BM158" s="265">
        <f t="shared" si="105"/>
        <v>0</v>
      </c>
      <c r="BN158" s="265">
        <f t="shared" si="106"/>
        <v>-3.9738620398566127E-3</v>
      </c>
      <c r="BO158" s="109"/>
      <c r="BP158" s="265">
        <f t="shared" si="107"/>
        <v>-3.9738620398566127E-3</v>
      </c>
      <c r="BQ158" s="265">
        <v>-3.9738620398566127E-3</v>
      </c>
      <c r="BR158" s="265" t="e">
        <f t="shared" si="108"/>
        <v>#REF!</v>
      </c>
      <c r="BS158" s="207">
        <v>-4.4769226253515813E-4</v>
      </c>
      <c r="BT158" s="475">
        <v>357208.97857575654</v>
      </c>
      <c r="BU158" s="475">
        <v>342659.88618646353</v>
      </c>
      <c r="BV158" s="475">
        <v>0</v>
      </c>
      <c r="BW158" s="483">
        <f t="shared" si="109"/>
        <v>0</v>
      </c>
      <c r="BX158" s="483">
        <f t="shared" si="110"/>
        <v>0</v>
      </c>
    </row>
    <row r="159" spans="1:76" s="103" customFormat="1" ht="29">
      <c r="A159" s="100" t="s">
        <v>2502</v>
      </c>
      <c r="B159" s="91" t="str">
        <f t="shared" si="74"/>
        <v xml:space="preserve">CI </v>
      </c>
      <c r="C159" s="92" t="s">
        <v>463</v>
      </c>
      <c r="D159" s="448" t="s">
        <v>2269</v>
      </c>
      <c r="E159" s="449">
        <v>2130164</v>
      </c>
      <c r="F159" s="467" t="s">
        <v>2546</v>
      </c>
      <c r="G159" s="467" t="s">
        <v>4676</v>
      </c>
      <c r="H159" s="398">
        <v>0.8</v>
      </c>
      <c r="I159" s="95" t="s">
        <v>956</v>
      </c>
      <c r="J159" s="95" t="s">
        <v>1166</v>
      </c>
      <c r="K159" s="191">
        <v>49579</v>
      </c>
      <c r="L159" s="268">
        <v>0.76671811125197553</v>
      </c>
      <c r="M159" s="266">
        <v>1</v>
      </c>
      <c r="N159" s="267">
        <f t="shared" si="75"/>
        <v>0</v>
      </c>
      <c r="O159" s="96">
        <f t="shared" si="76"/>
        <v>19168.506209790641</v>
      </c>
      <c r="P159" s="96">
        <f t="shared" si="77"/>
        <v>30410.493790209359</v>
      </c>
      <c r="Q159" s="96">
        <f t="shared" si="78"/>
        <v>0</v>
      </c>
      <c r="R159" s="187" t="s">
        <v>2549</v>
      </c>
      <c r="S159" s="187" t="s">
        <v>3607</v>
      </c>
      <c r="T159" s="94" t="s">
        <v>2855</v>
      </c>
      <c r="U159" s="395">
        <f>COUNTIF(Aggregation_of_rev_to_allocate!$A$3:$A$137,$T159)</f>
        <v>1</v>
      </c>
      <c r="V159" s="100"/>
      <c r="W159" s="100">
        <v>54</v>
      </c>
      <c r="X159" s="109">
        <v>31070.934855300096</v>
      </c>
      <c r="Y159" s="109">
        <v>0</v>
      </c>
      <c r="Z159" s="110">
        <v>0.78336934123570701</v>
      </c>
      <c r="AA159" s="110">
        <v>1</v>
      </c>
      <c r="AB159" s="110">
        <v>0</v>
      </c>
      <c r="AC159" s="109">
        <f>IF(ISERROR((X159*SUMIF('Rev_for_allocation(Hard)'!$A$3:$A$249,$T159,'Rev_for_allocation(Hard)'!$I$3:$I$249)/SUMIF(Historic_capex_list!$T$9:$T$586,$T159,Historic_capex_list!$X$9:$X$586))=TRUE),0,X159*SUMIF('Rev_for_allocation(Hard)'!$A$3:$A$249,$T159,'Rev_for_allocation(Hard)'!$I$3:$I$249)/SUMIF(Historic_capex_list!$T$9:$T$586,$T159,Historic_capex_list!$X$9:$X$586))</f>
        <v>-660.44106509073856</v>
      </c>
      <c r="AD159" s="109">
        <f t="shared" si="79"/>
        <v>30410.493790209359</v>
      </c>
      <c r="AE159" s="109">
        <f t="shared" si="80"/>
        <v>30410.493790209359</v>
      </c>
      <c r="AF159" s="109">
        <f t="shared" si="81"/>
        <v>30410.493790209359</v>
      </c>
      <c r="AG159" s="332" t="str">
        <f t="shared" si="82"/>
        <v>N</v>
      </c>
      <c r="AH159" s="332">
        <f t="shared" si="83"/>
        <v>0</v>
      </c>
      <c r="AI159" s="332">
        <f t="shared" si="84"/>
        <v>0</v>
      </c>
      <c r="AJ159" s="109">
        <f t="shared" si="85"/>
        <v>30410.493790209359</v>
      </c>
      <c r="AK159" s="109">
        <f t="shared" si="86"/>
        <v>0</v>
      </c>
      <c r="AL159" s="109">
        <v>0</v>
      </c>
      <c r="AM159" s="111">
        <f t="shared" si="87"/>
        <v>0</v>
      </c>
      <c r="AN159" s="111">
        <f t="shared" si="88"/>
        <v>0</v>
      </c>
      <c r="AO159" s="111" t="str">
        <f t="shared" si="89"/>
        <v>Use deduct 3yrs</v>
      </c>
      <c r="AP159" s="111">
        <f t="shared" si="90"/>
        <v>0</v>
      </c>
      <c r="AQ159" s="112">
        <f t="shared" si="91"/>
        <v>0</v>
      </c>
      <c r="AR159" s="112">
        <f t="shared" si="92"/>
        <v>1</v>
      </c>
      <c r="AS159" s="113">
        <f t="shared" si="93"/>
        <v>2028</v>
      </c>
      <c r="AT159" s="109">
        <v>30410.493790209359</v>
      </c>
      <c r="AU159" s="114">
        <v>1</v>
      </c>
      <c r="AV159" s="113">
        <v>2028</v>
      </c>
      <c r="AW159" s="112">
        <f t="shared" si="94"/>
        <v>0.76671811125197553</v>
      </c>
      <c r="AX159" s="109">
        <f t="shared" si="95"/>
        <v>30410.493790209359</v>
      </c>
      <c r="AY159" s="109">
        <f t="shared" si="96"/>
        <v>0</v>
      </c>
      <c r="AZ159" s="109">
        <f t="shared" si="97"/>
        <v>30410.493790209359</v>
      </c>
      <c r="BA159" s="111">
        <f t="shared" si="98"/>
        <v>0</v>
      </c>
      <c r="BB159" s="117"/>
      <c r="BC159" s="115" t="str">
        <f t="shared" si="99"/>
        <v>N</v>
      </c>
      <c r="BD159" s="115" t="str">
        <f t="shared" si="100"/>
        <v>Y</v>
      </c>
      <c r="BE159" s="115" t="str">
        <f t="shared" si="101"/>
        <v>N</v>
      </c>
      <c r="BF159" s="109" t="str">
        <f t="shared" si="102"/>
        <v/>
      </c>
      <c r="BG159" s="111" t="s">
        <v>2499</v>
      </c>
      <c r="BH159" s="115" t="s">
        <v>1168</v>
      </c>
      <c r="BI159" s="116"/>
      <c r="BJ159" s="222">
        <v>0.76671811125197553</v>
      </c>
      <c r="BK159" s="265">
        <f t="shared" si="103"/>
        <v>0</v>
      </c>
      <c r="BL159" s="265">
        <f t="shared" si="104"/>
        <v>0</v>
      </c>
      <c r="BM159" s="265">
        <f t="shared" si="105"/>
        <v>0</v>
      </c>
      <c r="BN159" s="265">
        <f t="shared" si="106"/>
        <v>660.44106509073754</v>
      </c>
      <c r="BO159" s="109"/>
      <c r="BP159" s="265">
        <f t="shared" si="107"/>
        <v>660.44106509073754</v>
      </c>
      <c r="BQ159" s="265">
        <v>660.44106509073754</v>
      </c>
      <c r="BR159" s="265" t="e">
        <f t="shared" si="108"/>
        <v>#REF!</v>
      </c>
      <c r="BS159" s="207">
        <v>74.404786008190314</v>
      </c>
      <c r="BT159" s="475">
        <v>19168.506209790641</v>
      </c>
      <c r="BU159" s="475">
        <v>30410.493790209359</v>
      </c>
      <c r="BV159" s="475">
        <v>0</v>
      </c>
      <c r="BW159" s="483">
        <f t="shared" si="109"/>
        <v>0</v>
      </c>
      <c r="BX159" s="483">
        <f t="shared" si="110"/>
        <v>0</v>
      </c>
    </row>
    <row r="160" spans="1:76" s="103" customFormat="1" ht="29">
      <c r="A160" s="100" t="s">
        <v>2504</v>
      </c>
      <c r="B160" s="91" t="str">
        <f t="shared" si="74"/>
        <v>OSD</v>
      </c>
      <c r="C160" s="92" t="s">
        <v>2304</v>
      </c>
      <c r="D160" s="448"/>
      <c r="E160" s="451">
        <v>2133002</v>
      </c>
      <c r="F160" s="409" t="s">
        <v>2928</v>
      </c>
      <c r="G160" s="384" t="s">
        <v>5250</v>
      </c>
      <c r="H160" s="398">
        <v>0.5</v>
      </c>
      <c r="I160" s="151"/>
      <c r="J160" s="95" t="s">
        <v>1166</v>
      </c>
      <c r="K160" s="191">
        <v>10471180.470000001</v>
      </c>
      <c r="L160" s="269">
        <v>0.78</v>
      </c>
      <c r="M160" s="267">
        <v>0.7142857142857143</v>
      </c>
      <c r="N160" s="267">
        <f t="shared" si="75"/>
        <v>0.2857142857142857</v>
      </c>
      <c r="O160" s="96">
        <f t="shared" si="76"/>
        <v>6387420.0866999999</v>
      </c>
      <c r="P160" s="96">
        <f t="shared" si="77"/>
        <v>2916971.7023571432</v>
      </c>
      <c r="Q160" s="96">
        <f t="shared" si="78"/>
        <v>1166788.6809428572</v>
      </c>
      <c r="R160" s="187" t="s">
        <v>2409</v>
      </c>
      <c r="S160" s="187" t="s">
        <v>3607</v>
      </c>
      <c r="T160" s="94" t="s">
        <v>2720</v>
      </c>
      <c r="U160" s="395">
        <f>COUNTIF(Aggregation_of_rev_to_allocate!$A$3:$A$137,$T160)</f>
        <v>1</v>
      </c>
      <c r="V160" s="100"/>
      <c r="W160" s="100">
        <v>169</v>
      </c>
      <c r="X160" s="109">
        <v>2402211.990176471</v>
      </c>
      <c r="Y160" s="109">
        <v>1681548.3931235294</v>
      </c>
      <c r="Z160" s="110">
        <v>0.78</v>
      </c>
      <c r="AA160" s="110">
        <v>0.58823529411764708</v>
      </c>
      <c r="AB160" s="110">
        <v>0.41176470588235292</v>
      </c>
      <c r="AC160" s="109">
        <f>IF(ISERROR((X160*SUMIF('Rev_for_allocation(Hard)'!$A$3:$A$249,$T160,'Rev_for_allocation(Hard)'!$I$3:$I$249)/SUMIF(Historic_capex_list!$T$9:$T$586,$T160,Historic_capex_list!$X$9:$X$586))=TRUE),0,X160*SUMIF('Rev_for_allocation(Hard)'!$A$3:$A$249,$T160,'Rev_for_allocation(Hard)'!$I$3:$I$249)/SUMIF(Historic_capex_list!$T$9:$T$586,$T160,Historic_capex_list!$X$9:$X$586))</f>
        <v>0</v>
      </c>
      <c r="AD160" s="109">
        <f t="shared" si="79"/>
        <v>2402211.990176471</v>
      </c>
      <c r="AE160" s="109">
        <f t="shared" si="80"/>
        <v>2402211.990176471</v>
      </c>
      <c r="AF160" s="109">
        <f t="shared" si="81"/>
        <v>4083760.3833000003</v>
      </c>
      <c r="AG160" s="332" t="str">
        <f t="shared" si="82"/>
        <v>N</v>
      </c>
      <c r="AH160" s="332">
        <f t="shared" si="83"/>
        <v>0</v>
      </c>
      <c r="AI160" s="332">
        <f t="shared" si="84"/>
        <v>0</v>
      </c>
      <c r="AJ160" s="109">
        <f t="shared" si="85"/>
        <v>4083760.3833000003</v>
      </c>
      <c r="AK160" s="109">
        <f t="shared" si="86"/>
        <v>0</v>
      </c>
      <c r="AL160" s="109">
        <v>0</v>
      </c>
      <c r="AM160" s="111">
        <f t="shared" si="87"/>
        <v>7</v>
      </c>
      <c r="AN160" s="111">
        <f t="shared" si="88"/>
        <v>4</v>
      </c>
      <c r="AO160" s="111" t="str">
        <f t="shared" si="89"/>
        <v>Use deduct 3yrs</v>
      </c>
      <c r="AP160" s="111">
        <f t="shared" si="90"/>
        <v>4</v>
      </c>
      <c r="AQ160" s="112">
        <f t="shared" si="91"/>
        <v>0.2857142857142857</v>
      </c>
      <c r="AR160" s="112">
        <f t="shared" si="92"/>
        <v>0.7142857142857143</v>
      </c>
      <c r="AS160" s="113">
        <f t="shared" si="93"/>
        <v>2032</v>
      </c>
      <c r="AT160" s="109">
        <v>4083760.3833000003</v>
      </c>
      <c r="AU160" s="114">
        <v>0.7142857142857143</v>
      </c>
      <c r="AV160" s="113">
        <v>2032</v>
      </c>
      <c r="AW160" s="112">
        <f t="shared" si="94"/>
        <v>0.78</v>
      </c>
      <c r="AX160" s="109">
        <f t="shared" si="95"/>
        <v>2916971.7023571432</v>
      </c>
      <c r="AY160" s="109">
        <f t="shared" si="96"/>
        <v>1166788.6809428572</v>
      </c>
      <c r="AZ160" s="109">
        <f t="shared" si="97"/>
        <v>4083760.3833000003</v>
      </c>
      <c r="BA160" s="111">
        <f t="shared" si="98"/>
        <v>0</v>
      </c>
      <c r="BB160" s="117"/>
      <c r="BC160" s="115" t="str">
        <f t="shared" si="99"/>
        <v>N</v>
      </c>
      <c r="BD160" s="115" t="str">
        <f t="shared" si="100"/>
        <v>N</v>
      </c>
      <c r="BE160" s="115" t="str">
        <f t="shared" si="101"/>
        <v>N</v>
      </c>
      <c r="BF160" s="109" t="str">
        <f t="shared" si="102"/>
        <v/>
      </c>
      <c r="BG160" s="111" t="s">
        <v>2499</v>
      </c>
      <c r="BH160" s="115" t="s">
        <v>1168</v>
      </c>
      <c r="BI160" s="116"/>
      <c r="BJ160" s="222">
        <v>0.78</v>
      </c>
      <c r="BK160" s="265">
        <f t="shared" si="103"/>
        <v>0</v>
      </c>
      <c r="BL160" s="265">
        <f t="shared" si="104"/>
        <v>0</v>
      </c>
      <c r="BM160" s="265">
        <f t="shared" si="105"/>
        <v>0</v>
      </c>
      <c r="BN160" s="265">
        <f t="shared" si="106"/>
        <v>-514759.71218067221</v>
      </c>
      <c r="BO160" s="109"/>
      <c r="BP160" s="265">
        <f t="shared" si="107"/>
        <v>0</v>
      </c>
      <c r="BQ160" s="265">
        <v>0</v>
      </c>
      <c r="BR160" s="265" t="e">
        <f t="shared" si="108"/>
        <v>#REF!</v>
      </c>
      <c r="BS160" s="265">
        <v>0</v>
      </c>
      <c r="BT160" s="475">
        <v>6387420.0866999999</v>
      </c>
      <c r="BU160" s="475">
        <v>2916971.7023571432</v>
      </c>
      <c r="BV160" s="475">
        <v>1166788.6809428572</v>
      </c>
      <c r="BW160" s="483">
        <f t="shared" si="109"/>
        <v>0</v>
      </c>
      <c r="BX160" s="483">
        <f t="shared" si="110"/>
        <v>0</v>
      </c>
    </row>
    <row r="161" spans="1:76" s="103" customFormat="1" ht="29">
      <c r="A161" s="100" t="s">
        <v>2504</v>
      </c>
      <c r="B161" s="91" t="str">
        <f t="shared" si="74"/>
        <v>OSD</v>
      </c>
      <c r="C161" s="92" t="s">
        <v>3626</v>
      </c>
      <c r="D161" s="448"/>
      <c r="E161" s="449">
        <v>2133002</v>
      </c>
      <c r="F161" s="384" t="s">
        <v>2928</v>
      </c>
      <c r="G161" s="384" t="s">
        <v>5250</v>
      </c>
      <c r="H161" s="398">
        <v>0.5</v>
      </c>
      <c r="I161" s="95"/>
      <c r="J161" s="95" t="s">
        <v>1166</v>
      </c>
      <c r="K161" s="191">
        <v>6829091.4399999995</v>
      </c>
      <c r="L161" s="268">
        <v>0.78</v>
      </c>
      <c r="M161" s="266">
        <v>0.71688942891859053</v>
      </c>
      <c r="N161" s="267">
        <f t="shared" si="75"/>
        <v>0.28311057108140947</v>
      </c>
      <c r="O161" s="96">
        <f t="shared" si="76"/>
        <v>4165745.7783999997</v>
      </c>
      <c r="P161" s="96">
        <f t="shared" si="77"/>
        <v>1909324.3503572296</v>
      </c>
      <c r="Q161" s="96">
        <f t="shared" si="78"/>
        <v>754021.31124277029</v>
      </c>
      <c r="R161" s="188" t="s">
        <v>2409</v>
      </c>
      <c r="S161" s="187" t="s">
        <v>3607</v>
      </c>
      <c r="T161" s="94" t="s">
        <v>2720</v>
      </c>
      <c r="U161" s="395">
        <f>COUNTIF(Aggregation_of_rev_to_allocate!$A$3:$A$137,$T161)</f>
        <v>1</v>
      </c>
      <c r="V161" s="100"/>
      <c r="W161" s="100">
        <v>1003</v>
      </c>
      <c r="X161" s="109">
        <v>1571373.9403439998</v>
      </c>
      <c r="Y161" s="109">
        <v>1091971.721256</v>
      </c>
      <c r="Z161" s="110">
        <v>0.78</v>
      </c>
      <c r="AA161" s="110">
        <v>0.59</v>
      </c>
      <c r="AB161" s="110">
        <v>0.41000000000000003</v>
      </c>
      <c r="AC161" s="109">
        <f>IF(ISERROR((X161*SUMIF('Rev_for_allocation(Hard)'!$A$3:$A$249,$T161,'Rev_for_allocation(Hard)'!$I$3:$I$249)/SUMIF(Historic_capex_list!$T$9:$T$586,$T161,Historic_capex_list!$X$9:$X$586))=TRUE),0,X161*SUMIF('Rev_for_allocation(Hard)'!$A$3:$A$249,$T161,'Rev_for_allocation(Hard)'!$I$3:$I$249)/SUMIF(Historic_capex_list!$T$9:$T$586,$T161,Historic_capex_list!$X$9:$X$586))</f>
        <v>0</v>
      </c>
      <c r="AD161" s="109">
        <f t="shared" si="79"/>
        <v>1571373.9403439998</v>
      </c>
      <c r="AE161" s="109">
        <f t="shared" si="80"/>
        <v>1571373.9403439998</v>
      </c>
      <c r="AF161" s="109">
        <f t="shared" si="81"/>
        <v>2663345.6615999998</v>
      </c>
      <c r="AG161" s="332" t="str">
        <f t="shared" si="82"/>
        <v>N</v>
      </c>
      <c r="AH161" s="332">
        <f t="shared" si="83"/>
        <v>0</v>
      </c>
      <c r="AI161" s="332">
        <f t="shared" si="84"/>
        <v>0</v>
      </c>
      <c r="AJ161" s="109">
        <f t="shared" si="85"/>
        <v>2663345.6615999998</v>
      </c>
      <c r="AK161" s="109">
        <f t="shared" si="86"/>
        <v>0</v>
      </c>
      <c r="AL161" s="109">
        <v>0</v>
      </c>
      <c r="AM161" s="111">
        <f t="shared" si="87"/>
        <v>6.9491525423728815</v>
      </c>
      <c r="AN161" s="111">
        <f t="shared" si="88"/>
        <v>3.9491525423728815</v>
      </c>
      <c r="AO161" s="111" t="str">
        <f t="shared" si="89"/>
        <v>Use deduct 3yrs</v>
      </c>
      <c r="AP161" s="111">
        <f t="shared" si="90"/>
        <v>3.9491525423728815</v>
      </c>
      <c r="AQ161" s="112">
        <f t="shared" si="91"/>
        <v>0.28311057108140947</v>
      </c>
      <c r="AR161" s="112">
        <f t="shared" si="92"/>
        <v>0.71688942891859053</v>
      </c>
      <c r="AS161" s="113">
        <f t="shared" si="93"/>
        <v>2032</v>
      </c>
      <c r="AT161" s="109">
        <v>2663345.6615999998</v>
      </c>
      <c r="AU161" s="114">
        <v>0.71688942891859053</v>
      </c>
      <c r="AV161" s="113">
        <v>2032</v>
      </c>
      <c r="AW161" s="112">
        <f t="shared" si="94"/>
        <v>0.78</v>
      </c>
      <c r="AX161" s="109">
        <f t="shared" si="95"/>
        <v>1909324.3503572296</v>
      </c>
      <c r="AY161" s="109">
        <f t="shared" si="96"/>
        <v>754021.31124277029</v>
      </c>
      <c r="AZ161" s="109">
        <f t="shared" si="97"/>
        <v>2663345.6615999998</v>
      </c>
      <c r="BA161" s="111">
        <f t="shared" si="98"/>
        <v>0</v>
      </c>
      <c r="BB161" s="117"/>
      <c r="BC161" s="115" t="str">
        <f t="shared" si="99"/>
        <v>N</v>
      </c>
      <c r="BD161" s="115" t="str">
        <f t="shared" si="100"/>
        <v>N</v>
      </c>
      <c r="BE161" s="115" t="str">
        <f t="shared" si="101"/>
        <v>N</v>
      </c>
      <c r="BF161" s="109" t="str">
        <f t="shared" si="102"/>
        <v/>
      </c>
      <c r="BG161" s="111" t="s">
        <v>2499</v>
      </c>
      <c r="BH161" s="115" t="s">
        <v>1168</v>
      </c>
      <c r="BI161" s="116"/>
      <c r="BJ161" s="222">
        <v>0.78</v>
      </c>
      <c r="BK161" s="265">
        <f t="shared" si="103"/>
        <v>0</v>
      </c>
      <c r="BL161" s="265">
        <f t="shared" si="104"/>
        <v>0</v>
      </c>
      <c r="BM161" s="265">
        <f t="shared" si="105"/>
        <v>0</v>
      </c>
      <c r="BN161" s="265">
        <f t="shared" si="106"/>
        <v>-337950.41001322982</v>
      </c>
      <c r="BO161" s="109"/>
      <c r="BP161" s="265">
        <f t="shared" si="107"/>
        <v>0</v>
      </c>
      <c r="BQ161" s="265">
        <v>0</v>
      </c>
      <c r="BR161" s="265" t="e">
        <f t="shared" si="108"/>
        <v>#REF!</v>
      </c>
      <c r="BS161" s="265">
        <v>0</v>
      </c>
      <c r="BT161" s="475">
        <v>4165745.7783999997</v>
      </c>
      <c r="BU161" s="475">
        <v>1909324.3503572296</v>
      </c>
      <c r="BV161" s="475">
        <v>754021.31124277029</v>
      </c>
      <c r="BW161" s="483">
        <f t="shared" si="109"/>
        <v>0</v>
      </c>
      <c r="BX161" s="483">
        <f t="shared" si="110"/>
        <v>0</v>
      </c>
    </row>
    <row r="162" spans="1:76" s="103" customFormat="1" ht="29">
      <c r="A162" s="100" t="s">
        <v>2504</v>
      </c>
      <c r="B162" s="91" t="str">
        <f t="shared" si="74"/>
        <v>OSD</v>
      </c>
      <c r="C162" s="92" t="s">
        <v>2304</v>
      </c>
      <c r="D162" s="448"/>
      <c r="E162" s="451">
        <v>2130386</v>
      </c>
      <c r="F162" s="409" t="s">
        <v>2891</v>
      </c>
      <c r="G162" s="384" t="s">
        <v>5250</v>
      </c>
      <c r="H162" s="398">
        <v>0.5</v>
      </c>
      <c r="I162" s="151"/>
      <c r="J162" s="95" t="s">
        <v>1166</v>
      </c>
      <c r="K162" s="191">
        <v>2647444</v>
      </c>
      <c r="L162" s="269">
        <v>0.77759783551888384</v>
      </c>
      <c r="M162" s="267">
        <v>0.7142857142857143</v>
      </c>
      <c r="N162" s="267">
        <f t="shared" si="75"/>
        <v>0.2857142857142857</v>
      </c>
      <c r="O162" s="96">
        <f t="shared" si="76"/>
        <v>1618120.637971272</v>
      </c>
      <c r="P162" s="96">
        <f t="shared" si="77"/>
        <v>735230.97287766286</v>
      </c>
      <c r="Q162" s="96">
        <f t="shared" si="78"/>
        <v>294092.38915106514</v>
      </c>
      <c r="R162" s="187" t="s">
        <v>2409</v>
      </c>
      <c r="S162" s="187" t="s">
        <v>3607</v>
      </c>
      <c r="T162" s="94" t="s">
        <v>2720</v>
      </c>
      <c r="U162" s="395">
        <f>COUNTIF(Aggregation_of_rev_to_allocate!$A$3:$A$137,$T162)</f>
        <v>1</v>
      </c>
      <c r="V162" s="100"/>
      <c r="W162" s="100">
        <v>167</v>
      </c>
      <c r="X162" s="109">
        <v>605484.33060513414</v>
      </c>
      <c r="Y162" s="109">
        <v>423839.03142359387</v>
      </c>
      <c r="Z162" s="110">
        <v>0.77759783551888384</v>
      </c>
      <c r="AA162" s="110">
        <v>0.58823529411764708</v>
      </c>
      <c r="AB162" s="110">
        <v>0.41176470588235292</v>
      </c>
      <c r="AC162" s="109">
        <f>IF(ISERROR((X162*SUMIF('Rev_for_allocation(Hard)'!$A$3:$A$249,$T162,'Rev_for_allocation(Hard)'!$I$3:$I$249)/SUMIF(Historic_capex_list!$T$9:$T$586,$T162,Historic_capex_list!$X$9:$X$586))=TRUE),0,X162*SUMIF('Rev_for_allocation(Hard)'!$A$3:$A$249,$T162,'Rev_for_allocation(Hard)'!$I$3:$I$249)/SUMIF(Historic_capex_list!$T$9:$T$586,$T162,Historic_capex_list!$X$9:$X$586))</f>
        <v>0</v>
      </c>
      <c r="AD162" s="109">
        <f t="shared" si="79"/>
        <v>605484.33060513414</v>
      </c>
      <c r="AE162" s="109">
        <f t="shared" si="80"/>
        <v>605484.33060513414</v>
      </c>
      <c r="AF162" s="109">
        <f t="shared" si="81"/>
        <v>1029323.362028728</v>
      </c>
      <c r="AG162" s="332" t="str">
        <f t="shared" si="82"/>
        <v>N</v>
      </c>
      <c r="AH162" s="332">
        <f t="shared" si="83"/>
        <v>0</v>
      </c>
      <c r="AI162" s="332">
        <f t="shared" si="84"/>
        <v>0</v>
      </c>
      <c r="AJ162" s="109">
        <f t="shared" si="85"/>
        <v>1029323.362028728</v>
      </c>
      <c r="AK162" s="109">
        <f t="shared" si="86"/>
        <v>0</v>
      </c>
      <c r="AL162" s="109">
        <v>0</v>
      </c>
      <c r="AM162" s="111">
        <f t="shared" si="87"/>
        <v>7</v>
      </c>
      <c r="AN162" s="111">
        <f t="shared" si="88"/>
        <v>4</v>
      </c>
      <c r="AO162" s="111" t="str">
        <f t="shared" si="89"/>
        <v>Use deduct 3yrs</v>
      </c>
      <c r="AP162" s="111">
        <f t="shared" si="90"/>
        <v>4</v>
      </c>
      <c r="AQ162" s="112">
        <f t="shared" si="91"/>
        <v>0.2857142857142857</v>
      </c>
      <c r="AR162" s="112">
        <f t="shared" si="92"/>
        <v>0.7142857142857143</v>
      </c>
      <c r="AS162" s="113">
        <f t="shared" si="93"/>
        <v>2032</v>
      </c>
      <c r="AT162" s="109">
        <v>1029323.362028728</v>
      </c>
      <c r="AU162" s="114">
        <v>0.7142857142857143</v>
      </c>
      <c r="AV162" s="113">
        <v>2032</v>
      </c>
      <c r="AW162" s="112">
        <f t="shared" si="94"/>
        <v>0.77759783551888384</v>
      </c>
      <c r="AX162" s="109">
        <f t="shared" si="95"/>
        <v>735230.97287766286</v>
      </c>
      <c r="AY162" s="109">
        <f t="shared" si="96"/>
        <v>294092.38915106514</v>
      </c>
      <c r="AZ162" s="109">
        <f t="shared" si="97"/>
        <v>1029323.362028728</v>
      </c>
      <c r="BA162" s="111">
        <f t="shared" si="98"/>
        <v>0</v>
      </c>
      <c r="BB162" s="117"/>
      <c r="BC162" s="115" t="str">
        <f t="shared" si="99"/>
        <v>N</v>
      </c>
      <c r="BD162" s="115" t="str">
        <f t="shared" si="100"/>
        <v>N</v>
      </c>
      <c r="BE162" s="115" t="str">
        <f t="shared" si="101"/>
        <v>N</v>
      </c>
      <c r="BF162" s="109" t="str">
        <f t="shared" si="102"/>
        <v/>
      </c>
      <c r="BG162" s="111" t="s">
        <v>2499</v>
      </c>
      <c r="BH162" s="115" t="s">
        <v>1168</v>
      </c>
      <c r="BI162" s="116"/>
      <c r="BJ162" s="222">
        <v>0.77759783551888384</v>
      </c>
      <c r="BK162" s="265">
        <f t="shared" si="103"/>
        <v>0</v>
      </c>
      <c r="BL162" s="265">
        <f t="shared" si="104"/>
        <v>0</v>
      </c>
      <c r="BM162" s="265">
        <f t="shared" si="105"/>
        <v>0</v>
      </c>
      <c r="BN162" s="265">
        <f t="shared" si="106"/>
        <v>-129746.64227252873</v>
      </c>
      <c r="BO162" s="109"/>
      <c r="BP162" s="265">
        <f t="shared" si="107"/>
        <v>0</v>
      </c>
      <c r="BQ162" s="265">
        <v>0</v>
      </c>
      <c r="BR162" s="265" t="e">
        <f t="shared" si="108"/>
        <v>#REF!</v>
      </c>
      <c r="BS162" s="265">
        <v>0</v>
      </c>
      <c r="BT162" s="475">
        <v>1618120.637971272</v>
      </c>
      <c r="BU162" s="475">
        <v>735230.97287766286</v>
      </c>
      <c r="BV162" s="475">
        <v>294092.38915106514</v>
      </c>
      <c r="BW162" s="483">
        <f t="shared" si="109"/>
        <v>0</v>
      </c>
      <c r="BX162" s="483">
        <f t="shared" si="110"/>
        <v>0</v>
      </c>
    </row>
    <row r="163" spans="1:76" s="103" customFormat="1" ht="29">
      <c r="A163" s="100" t="s">
        <v>2502</v>
      </c>
      <c r="B163" s="91" t="str">
        <f t="shared" si="74"/>
        <v>OSD</v>
      </c>
      <c r="C163" s="92" t="s">
        <v>3626</v>
      </c>
      <c r="D163" s="448"/>
      <c r="E163" s="451">
        <v>2130386</v>
      </c>
      <c r="F163" s="409" t="s">
        <v>2891</v>
      </c>
      <c r="G163" s="384" t="s">
        <v>5250</v>
      </c>
      <c r="H163" s="398">
        <v>0.5</v>
      </c>
      <c r="I163" s="151"/>
      <c r="J163" s="95" t="s">
        <v>1166</v>
      </c>
      <c r="K163" s="191">
        <v>876444.47</v>
      </c>
      <c r="L163" s="269">
        <v>0.77759783551888384</v>
      </c>
      <c r="M163" s="267">
        <v>0.7142857142857143</v>
      </c>
      <c r="N163" s="267">
        <f t="shared" si="75"/>
        <v>0.2857142857142857</v>
      </c>
      <c r="O163" s="96">
        <f t="shared" si="76"/>
        <v>535683.80858775228</v>
      </c>
      <c r="P163" s="96">
        <f t="shared" si="77"/>
        <v>243400.47243731975</v>
      </c>
      <c r="Q163" s="96">
        <f t="shared" si="78"/>
        <v>97360.188974927893</v>
      </c>
      <c r="R163" s="187" t="s">
        <v>2409</v>
      </c>
      <c r="S163" s="187" t="s">
        <v>3607</v>
      </c>
      <c r="T163" s="94" t="s">
        <v>2720</v>
      </c>
      <c r="U163" s="395">
        <f>COUNTIF(Aggregation_of_rev_to_allocate!$A$3:$A$137,$T163)</f>
        <v>1</v>
      </c>
      <c r="V163" s="100"/>
      <c r="W163" s="100"/>
      <c r="X163" s="109">
        <v>200447.44788955743</v>
      </c>
      <c r="Y163" s="109">
        <v>140313.2135226902</v>
      </c>
      <c r="Z163" s="110">
        <v>0.77759783551888384</v>
      </c>
      <c r="AA163" s="110">
        <v>0.58823529411764708</v>
      </c>
      <c r="AB163" s="110">
        <v>0.41176470588235292</v>
      </c>
      <c r="AC163" s="109">
        <f>IF(ISERROR((X163*SUMIF('Rev_for_allocation(Hard)'!$A$3:$A$249,$T163,'Rev_for_allocation(Hard)'!$I$3:$I$249)/SUMIF(Historic_capex_list!$T$9:$T$586,$T163,Historic_capex_list!$X$9:$X$586))=TRUE),0,X163*SUMIF('Rev_for_allocation(Hard)'!$A$3:$A$249,$T163,'Rev_for_allocation(Hard)'!$I$3:$I$249)/SUMIF(Historic_capex_list!$T$9:$T$586,$T163,Historic_capex_list!$X$9:$X$586))</f>
        <v>0</v>
      </c>
      <c r="AD163" s="109">
        <f t="shared" si="79"/>
        <v>200447.44788955743</v>
      </c>
      <c r="AE163" s="109">
        <f t="shared" si="80"/>
        <v>200447.44788955743</v>
      </c>
      <c r="AF163" s="109">
        <f t="shared" si="81"/>
        <v>340760.66141224763</v>
      </c>
      <c r="AG163" s="332" t="str">
        <f t="shared" si="82"/>
        <v>N</v>
      </c>
      <c r="AH163" s="332">
        <f t="shared" si="83"/>
        <v>0</v>
      </c>
      <c r="AI163" s="332">
        <f t="shared" si="84"/>
        <v>0</v>
      </c>
      <c r="AJ163" s="109">
        <f t="shared" si="85"/>
        <v>340760.66141224763</v>
      </c>
      <c r="AK163" s="109">
        <f t="shared" si="86"/>
        <v>0</v>
      </c>
      <c r="AL163" s="109">
        <v>0</v>
      </c>
      <c r="AM163" s="111">
        <f t="shared" si="87"/>
        <v>7</v>
      </c>
      <c r="AN163" s="111">
        <f t="shared" si="88"/>
        <v>4</v>
      </c>
      <c r="AO163" s="111" t="str">
        <f t="shared" si="89"/>
        <v>Use deduct 3yrs</v>
      </c>
      <c r="AP163" s="111">
        <f t="shared" si="90"/>
        <v>4</v>
      </c>
      <c r="AQ163" s="112">
        <f t="shared" si="91"/>
        <v>0.2857142857142857</v>
      </c>
      <c r="AR163" s="112">
        <f t="shared" si="92"/>
        <v>0.7142857142857143</v>
      </c>
      <c r="AS163" s="113">
        <f t="shared" si="93"/>
        <v>2032</v>
      </c>
      <c r="AT163" s="109">
        <v>340760.66141224763</v>
      </c>
      <c r="AU163" s="114">
        <v>0.7142857142857143</v>
      </c>
      <c r="AV163" s="113">
        <v>2032</v>
      </c>
      <c r="AW163" s="112">
        <f t="shared" si="94"/>
        <v>0.77759783551888384</v>
      </c>
      <c r="AX163" s="109">
        <f t="shared" si="95"/>
        <v>243400.47243731975</v>
      </c>
      <c r="AY163" s="109">
        <f t="shared" si="96"/>
        <v>97360.188974927893</v>
      </c>
      <c r="AZ163" s="109">
        <f t="shared" si="97"/>
        <v>340760.66141224763</v>
      </c>
      <c r="BA163" s="111">
        <f t="shared" si="98"/>
        <v>0</v>
      </c>
      <c r="BB163" s="117"/>
      <c r="BC163" s="115" t="str">
        <f t="shared" si="99"/>
        <v>N</v>
      </c>
      <c r="BD163" s="115" t="str">
        <f t="shared" si="100"/>
        <v>N</v>
      </c>
      <c r="BE163" s="115" t="str">
        <f t="shared" si="101"/>
        <v>N</v>
      </c>
      <c r="BF163" s="109" t="str">
        <f t="shared" si="102"/>
        <v/>
      </c>
      <c r="BG163" s="111" t="s">
        <v>2499</v>
      </c>
      <c r="BH163" s="115" t="s">
        <v>1168</v>
      </c>
      <c r="BI163" s="116"/>
      <c r="BJ163" s="222">
        <v>0.77759783551888384</v>
      </c>
      <c r="BK163" s="265">
        <f t="shared" si="103"/>
        <v>0</v>
      </c>
      <c r="BL163" s="265">
        <f t="shared" si="104"/>
        <v>0</v>
      </c>
      <c r="BM163" s="265">
        <f t="shared" si="105"/>
        <v>0</v>
      </c>
      <c r="BN163" s="265">
        <f t="shared" si="106"/>
        <v>-42953.024547762325</v>
      </c>
      <c r="BO163" s="109"/>
      <c r="BP163" s="265">
        <f t="shared" si="107"/>
        <v>0</v>
      </c>
      <c r="BQ163" s="265">
        <v>0</v>
      </c>
      <c r="BR163" s="265" t="e">
        <f t="shared" si="108"/>
        <v>#REF!</v>
      </c>
      <c r="BS163" s="265">
        <v>0</v>
      </c>
      <c r="BT163" s="475">
        <v>535683.80858775228</v>
      </c>
      <c r="BU163" s="475">
        <v>243400.47243731975</v>
      </c>
      <c r="BV163" s="475">
        <v>97360.188974927893</v>
      </c>
      <c r="BW163" s="483">
        <f t="shared" si="109"/>
        <v>0</v>
      </c>
      <c r="BX163" s="483">
        <f t="shared" si="110"/>
        <v>0</v>
      </c>
    </row>
    <row r="164" spans="1:76" s="103" customFormat="1" ht="29">
      <c r="A164" s="100" t="s">
        <v>2502</v>
      </c>
      <c r="B164" s="91" t="str">
        <f t="shared" si="74"/>
        <v>OSD</v>
      </c>
      <c r="C164" s="92" t="s">
        <v>3626</v>
      </c>
      <c r="D164" s="448"/>
      <c r="E164" s="451">
        <v>3201503</v>
      </c>
      <c r="F164" s="409" t="s">
        <v>2940</v>
      </c>
      <c r="G164" s="467" t="s">
        <v>5038</v>
      </c>
      <c r="H164" s="398">
        <v>0.75</v>
      </c>
      <c r="I164" s="151"/>
      <c r="J164" s="95" t="s">
        <v>1166</v>
      </c>
      <c r="K164" s="191">
        <v>42655.040000000001</v>
      </c>
      <c r="L164" s="269">
        <v>0.42971530448405343</v>
      </c>
      <c r="M164" s="267">
        <v>1</v>
      </c>
      <c r="N164" s="267">
        <f t="shared" si="75"/>
        <v>0</v>
      </c>
      <c r="O164" s="96">
        <f t="shared" si="76"/>
        <v>28907.897373965396</v>
      </c>
      <c r="P164" s="96">
        <f t="shared" si="77"/>
        <v>13747.142626034609</v>
      </c>
      <c r="Q164" s="96">
        <f t="shared" si="78"/>
        <v>0</v>
      </c>
      <c r="R164" s="187" t="s">
        <v>2580</v>
      </c>
      <c r="S164" s="187" t="s">
        <v>3608</v>
      </c>
      <c r="T164" s="94" t="s">
        <v>2738</v>
      </c>
      <c r="U164" s="395">
        <f>COUNTIF(Aggregation_of_rev_to_allocate!$A$3:$A$137,$T164)</f>
        <v>1</v>
      </c>
      <c r="V164" s="100"/>
      <c r="W164" s="100"/>
      <c r="X164" s="109">
        <v>31991.279999999999</v>
      </c>
      <c r="Y164" s="109">
        <v>0</v>
      </c>
      <c r="Z164" s="110">
        <v>1</v>
      </c>
      <c r="AA164" s="110">
        <v>1</v>
      </c>
      <c r="AB164" s="110">
        <v>0</v>
      </c>
      <c r="AC164" s="109">
        <f>IF(ISERROR((X164*SUMIF('Rev_for_allocation(Hard)'!$A$3:$A$249,$T164,'Rev_for_allocation(Hard)'!$I$3:$I$249)/SUMIF(Historic_capex_list!$T$9:$T$586,$T164,Historic_capex_list!$X$9:$X$586))=TRUE),0,X164*SUMIF('Rev_for_allocation(Hard)'!$A$3:$A$249,$T164,'Rev_for_allocation(Hard)'!$I$3:$I$249)/SUMIF(Historic_capex_list!$T$9:$T$586,$T164,Historic_capex_list!$X$9:$X$586))</f>
        <v>-18244.13737396539</v>
      </c>
      <c r="AD164" s="109">
        <f t="shared" si="79"/>
        <v>13747.142626034609</v>
      </c>
      <c r="AE164" s="109">
        <f t="shared" si="80"/>
        <v>13747.142626034609</v>
      </c>
      <c r="AF164" s="109">
        <f t="shared" si="81"/>
        <v>13747.142626034609</v>
      </c>
      <c r="AG164" s="332" t="str">
        <f t="shared" si="82"/>
        <v>N</v>
      </c>
      <c r="AH164" s="332">
        <f t="shared" si="83"/>
        <v>0</v>
      </c>
      <c r="AI164" s="332">
        <f t="shared" si="84"/>
        <v>0</v>
      </c>
      <c r="AJ164" s="109">
        <f t="shared" si="85"/>
        <v>13747.142626034609</v>
      </c>
      <c r="AK164" s="109">
        <f t="shared" si="86"/>
        <v>0</v>
      </c>
      <c r="AL164" s="109">
        <v>0</v>
      </c>
      <c r="AM164" s="111">
        <f t="shared" si="87"/>
        <v>0</v>
      </c>
      <c r="AN164" s="111">
        <f t="shared" si="88"/>
        <v>0</v>
      </c>
      <c r="AO164" s="111">
        <f t="shared" si="89"/>
        <v>-3.2712214241629267</v>
      </c>
      <c r="AP164" s="111">
        <f t="shared" si="90"/>
        <v>0</v>
      </c>
      <c r="AQ164" s="112">
        <f t="shared" si="91"/>
        <v>0</v>
      </c>
      <c r="AR164" s="112">
        <f t="shared" si="92"/>
        <v>1</v>
      </c>
      <c r="AS164" s="113">
        <f t="shared" si="93"/>
        <v>2028</v>
      </c>
      <c r="AT164" s="109">
        <v>13747.142626034609</v>
      </c>
      <c r="AU164" s="114">
        <v>1</v>
      </c>
      <c r="AV164" s="113">
        <v>2028</v>
      </c>
      <c r="AW164" s="112">
        <f t="shared" si="94"/>
        <v>0.42971530448405343</v>
      </c>
      <c r="AX164" s="109">
        <f t="shared" si="95"/>
        <v>13747.142626034609</v>
      </c>
      <c r="AY164" s="109">
        <f t="shared" si="96"/>
        <v>0</v>
      </c>
      <c r="AZ164" s="109">
        <f t="shared" si="97"/>
        <v>13747.142626034609</v>
      </c>
      <c r="BA164" s="111">
        <f t="shared" si="98"/>
        <v>0</v>
      </c>
      <c r="BB164" s="117"/>
      <c r="BC164" s="115" t="str">
        <f t="shared" si="99"/>
        <v>N</v>
      </c>
      <c r="BD164" s="115" t="str">
        <f t="shared" si="100"/>
        <v>Y</v>
      </c>
      <c r="BE164" s="115" t="str">
        <f t="shared" si="101"/>
        <v>N</v>
      </c>
      <c r="BF164" s="109" t="str">
        <f t="shared" si="102"/>
        <v/>
      </c>
      <c r="BG164" s="111" t="s">
        <v>2499</v>
      </c>
      <c r="BH164" s="115" t="s">
        <v>1168</v>
      </c>
      <c r="BI164" s="116"/>
      <c r="BJ164" s="222">
        <v>0.42971530448405343</v>
      </c>
      <c r="BK164" s="265">
        <f t="shared" si="103"/>
        <v>0</v>
      </c>
      <c r="BL164" s="265">
        <f t="shared" si="104"/>
        <v>0</v>
      </c>
      <c r="BM164" s="265">
        <f t="shared" si="105"/>
        <v>-3.637978807091713E-12</v>
      </c>
      <c r="BN164" s="265">
        <f t="shared" si="106"/>
        <v>18244.13737396539</v>
      </c>
      <c r="BO164" s="109"/>
      <c r="BP164" s="265">
        <f t="shared" si="107"/>
        <v>18244.13737396539</v>
      </c>
      <c r="BQ164" s="265">
        <v>18244.13737396539</v>
      </c>
      <c r="BR164" s="265" t="e">
        <f t="shared" si="108"/>
        <v>#REF!</v>
      </c>
      <c r="BS164" s="265">
        <v>2055.3705833349759</v>
      </c>
      <c r="BT164" s="475">
        <v>28907.897373965396</v>
      </c>
      <c r="BU164" s="475">
        <v>13747.142626034609</v>
      </c>
      <c r="BV164" s="475">
        <v>0</v>
      </c>
      <c r="BW164" s="483">
        <f t="shared" si="109"/>
        <v>0</v>
      </c>
      <c r="BX164" s="483">
        <f t="shared" si="110"/>
        <v>0</v>
      </c>
    </row>
    <row r="165" spans="1:76" s="103" customFormat="1" ht="29">
      <c r="A165" s="100" t="s">
        <v>2507</v>
      </c>
      <c r="B165" s="91" t="str">
        <f t="shared" si="74"/>
        <v>OSL</v>
      </c>
      <c r="C165" s="92" t="s">
        <v>465</v>
      </c>
      <c r="D165" s="448"/>
      <c r="E165" s="501" t="s">
        <v>2062</v>
      </c>
      <c r="F165" s="502" t="s">
        <v>4788</v>
      </c>
      <c r="G165" s="502" t="s">
        <v>4674</v>
      </c>
      <c r="H165" s="503">
        <v>1</v>
      </c>
      <c r="I165" s="504" t="s">
        <v>962</v>
      </c>
      <c r="J165" s="504" t="s">
        <v>1166</v>
      </c>
      <c r="K165" s="505">
        <v>12608000</v>
      </c>
      <c r="L165" s="506">
        <v>0.75780762737682761</v>
      </c>
      <c r="M165" s="507">
        <v>0.33653846153846145</v>
      </c>
      <c r="N165" s="508">
        <f t="shared" si="75"/>
        <v>0.66346153846153855</v>
      </c>
      <c r="O165" s="475">
        <f t="shared" si="76"/>
        <v>3053561.4340329575</v>
      </c>
      <c r="P165" s="475">
        <f t="shared" si="77"/>
        <v>3215436.0558542921</v>
      </c>
      <c r="Q165" s="475">
        <f t="shared" si="78"/>
        <v>6339002.5101127494</v>
      </c>
      <c r="R165" s="187" t="s">
        <v>2417</v>
      </c>
      <c r="S165" s="187" t="s">
        <v>3607</v>
      </c>
      <c r="T165" s="509" t="s">
        <v>2658</v>
      </c>
      <c r="U165" s="395">
        <f>COUNTIF(Aggregation_of_rev_to_allocate!$A$3:$A$137,$T165)</f>
        <v>1</v>
      </c>
      <c r="V165" s="100"/>
      <c r="W165" s="100">
        <v>226</v>
      </c>
      <c r="X165" s="109">
        <v>2975951.3196319472</v>
      </c>
      <c r="Y165" s="109">
        <v>6759660.8545925673</v>
      </c>
      <c r="Z165" s="110">
        <v>0.77217736153430472</v>
      </c>
      <c r="AA165" s="110">
        <v>0.30567685589519644</v>
      </c>
      <c r="AB165" s="110">
        <v>0.69432314410480356</v>
      </c>
      <c r="AC165" s="109">
        <f>IF(ISERROR((X165*SUMIF('Rev_for_allocation(Hard)'!$A$3:$A$249,$T165,'Rev_for_allocation(Hard)'!$I$3:$I$249)/SUMIF(Historic_capex_list!$T$9:$T$586,$T165,Historic_capex_list!$X$9:$X$586))=TRUE),0,X165*SUMIF('Rev_for_allocation(Hard)'!$A$3:$A$249,$T165,'Rev_for_allocation(Hard)'!$I$3:$I$249)/SUMIF(Historic_capex_list!$T$9:$T$586,$T165,Historic_capex_list!$X$9:$X$586))</f>
        <v>-181173.60825747266</v>
      </c>
      <c r="AD165" s="109">
        <f t="shared" si="79"/>
        <v>2794777.7113744747</v>
      </c>
      <c r="AE165" s="109">
        <f t="shared" si="80"/>
        <v>2794777.7113744747</v>
      </c>
      <c r="AF165" s="109">
        <f t="shared" si="81"/>
        <v>9554438.565967042</v>
      </c>
      <c r="AG165" s="332" t="str">
        <f t="shared" si="82"/>
        <v>N</v>
      </c>
      <c r="AH165" s="332">
        <f t="shared" si="83"/>
        <v>0</v>
      </c>
      <c r="AI165" s="332">
        <f t="shared" si="84"/>
        <v>0</v>
      </c>
      <c r="AJ165" s="109">
        <f t="shared" si="85"/>
        <v>9554438.565967042</v>
      </c>
      <c r="AK165" s="109">
        <f t="shared" si="86"/>
        <v>0</v>
      </c>
      <c r="AL165" s="109">
        <v>0</v>
      </c>
      <c r="AM165" s="111">
        <f t="shared" si="87"/>
        <v>22.714285714285722</v>
      </c>
      <c r="AN165" s="111">
        <f t="shared" si="88"/>
        <v>19.714285714285722</v>
      </c>
      <c r="AO165" s="111" t="str">
        <f t="shared" si="89"/>
        <v>Use deduct 3yrs</v>
      </c>
      <c r="AP165" s="111">
        <f t="shared" si="90"/>
        <v>19.714285714285722</v>
      </c>
      <c r="AQ165" s="112">
        <f t="shared" si="91"/>
        <v>0.66346153846153855</v>
      </c>
      <c r="AR165" s="112">
        <f t="shared" si="92"/>
        <v>0.33653846153846145</v>
      </c>
      <c r="AS165" s="113">
        <f t="shared" si="93"/>
        <v>2048</v>
      </c>
      <c r="AT165" s="109">
        <v>9554438.565967042</v>
      </c>
      <c r="AU165" s="114">
        <v>0.33653846153846145</v>
      </c>
      <c r="AV165" s="113">
        <v>2048</v>
      </c>
      <c r="AW165" s="112">
        <f t="shared" si="94"/>
        <v>0.75780762737682761</v>
      </c>
      <c r="AX165" s="109">
        <f t="shared" si="95"/>
        <v>3215436.0558542921</v>
      </c>
      <c r="AY165" s="109">
        <f t="shared" si="96"/>
        <v>6339002.5101127494</v>
      </c>
      <c r="AZ165" s="109">
        <f t="shared" si="97"/>
        <v>9554438.565967042</v>
      </c>
      <c r="BA165" s="111">
        <f t="shared" si="98"/>
        <v>0</v>
      </c>
      <c r="BB165" s="117"/>
      <c r="BC165" s="115" t="str">
        <f t="shared" si="99"/>
        <v>N</v>
      </c>
      <c r="BD165" s="115" t="str">
        <f t="shared" si="100"/>
        <v>N</v>
      </c>
      <c r="BE165" s="115" t="str">
        <f t="shared" si="101"/>
        <v>N</v>
      </c>
      <c r="BF165" s="109" t="str">
        <f t="shared" si="102"/>
        <v/>
      </c>
      <c r="BG165" s="111" t="s">
        <v>2499</v>
      </c>
      <c r="BH165" s="115" t="s">
        <v>1168</v>
      </c>
      <c r="BI165" s="116"/>
      <c r="BJ165" s="222">
        <v>0.75780762737682761</v>
      </c>
      <c r="BK165" s="265">
        <f t="shared" si="103"/>
        <v>0</v>
      </c>
      <c r="BL165" s="265">
        <f t="shared" si="104"/>
        <v>0</v>
      </c>
      <c r="BM165" s="265">
        <f t="shared" si="105"/>
        <v>0</v>
      </c>
      <c r="BN165" s="265">
        <f t="shared" si="106"/>
        <v>-239484.73622234492</v>
      </c>
      <c r="BO165" s="109"/>
      <c r="BP165" s="265">
        <f t="shared" si="107"/>
        <v>181173.60825747252</v>
      </c>
      <c r="BQ165" s="265">
        <v>181173.60825747252</v>
      </c>
      <c r="BR165" s="265" t="e">
        <f t="shared" si="108"/>
        <v>#REF!</v>
      </c>
      <c r="BS165" s="265">
        <v>20410.880342331395</v>
      </c>
      <c r="BT165" s="475">
        <v>3053561.4340329575</v>
      </c>
      <c r="BU165" s="475">
        <v>3215436.0558542921</v>
      </c>
      <c r="BV165" s="475">
        <v>6339002.5101127494</v>
      </c>
      <c r="BW165" s="510">
        <f t="shared" si="109"/>
        <v>0</v>
      </c>
      <c r="BX165" s="510">
        <f t="shared" si="110"/>
        <v>0</v>
      </c>
    </row>
    <row r="166" spans="1:76" s="103" customFormat="1" ht="29">
      <c r="A166" s="100" t="s">
        <v>2507</v>
      </c>
      <c r="B166" s="91" t="str">
        <f t="shared" si="74"/>
        <v>OSL</v>
      </c>
      <c r="C166" s="92" t="s">
        <v>465</v>
      </c>
      <c r="D166" s="448"/>
      <c r="E166" s="501" t="s">
        <v>2061</v>
      </c>
      <c r="F166" s="502" t="s">
        <v>4837</v>
      </c>
      <c r="G166" s="502" t="s">
        <v>5251</v>
      </c>
      <c r="H166" s="503">
        <v>1</v>
      </c>
      <c r="I166" s="504" t="s">
        <v>962</v>
      </c>
      <c r="J166" s="504" t="s">
        <v>1166</v>
      </c>
      <c r="K166" s="505">
        <v>26500000</v>
      </c>
      <c r="L166" s="506">
        <v>8.1227937399552752E-2</v>
      </c>
      <c r="M166" s="507">
        <v>0.33653846153846145</v>
      </c>
      <c r="N166" s="508">
        <f t="shared" si="75"/>
        <v>0.66346153846153855</v>
      </c>
      <c r="O166" s="475">
        <f t="shared" si="76"/>
        <v>24347459.65891185</v>
      </c>
      <c r="P166" s="475">
        <f t="shared" si="77"/>
        <v>724412.61478928034</v>
      </c>
      <c r="Q166" s="475">
        <f t="shared" si="78"/>
        <v>1428127.7262988675</v>
      </c>
      <c r="R166" s="187" t="s">
        <v>853</v>
      </c>
      <c r="S166" s="187" t="s">
        <v>3608</v>
      </c>
      <c r="T166" s="509" t="s">
        <v>2629</v>
      </c>
      <c r="U166" s="395">
        <f>COUNTIF(Aggregation_of_rev_to_allocate!$A$3:$A$137,$T166)</f>
        <v>1</v>
      </c>
      <c r="V166" s="100"/>
      <c r="W166" s="100">
        <v>212</v>
      </c>
      <c r="X166" s="109">
        <v>6254973.8237822494</v>
      </c>
      <c r="Y166" s="109">
        <v>14207726.256876828</v>
      </c>
      <c r="Z166" s="110">
        <v>0.77217736153430483</v>
      </c>
      <c r="AA166" s="110">
        <v>0.30567685589519644</v>
      </c>
      <c r="AB166" s="110">
        <v>0.69432314410480356</v>
      </c>
      <c r="AC166" s="109">
        <f>IF(ISERROR((X166*SUMIF('Rev_for_allocation(Hard)'!$A$3:$A$249,$T166,'Rev_for_allocation(Hard)'!$I$3:$I$249)/SUMIF(Historic_capex_list!$T$9:$T$586,$T166,Historic_capex_list!$X$9:$X$586))=TRUE),0,X166*SUMIF('Rev_for_allocation(Hard)'!$A$3:$A$249,$T166,'Rev_for_allocation(Hard)'!$I$3:$I$249)/SUMIF(Historic_capex_list!$T$9:$T$586,$T166,Historic_capex_list!$X$9:$X$586))</f>
        <v>-85819177.105969444</v>
      </c>
      <c r="AD166" s="109">
        <f t="shared" si="79"/>
        <v>-79564203.282187194</v>
      </c>
      <c r="AE166" s="109">
        <f t="shared" si="80"/>
        <v>-83666636.764881298</v>
      </c>
      <c r="AF166" s="109">
        <f t="shared" si="81"/>
        <v>-65356477.025310367</v>
      </c>
      <c r="AG166" s="332" t="str">
        <f t="shared" si="82"/>
        <v>Y</v>
      </c>
      <c r="AH166" s="332">
        <f t="shared" si="83"/>
        <v>-65356477.025310367</v>
      </c>
      <c r="AI166" s="332">
        <f t="shared" si="84"/>
        <v>0</v>
      </c>
      <c r="AJ166" s="109">
        <f t="shared" si="85"/>
        <v>-65356477.025310367</v>
      </c>
      <c r="AK166" s="109">
        <f t="shared" si="86"/>
        <v>-65356477.025310367</v>
      </c>
      <c r="AL166" s="109">
        <v>0</v>
      </c>
      <c r="AM166" s="111">
        <f t="shared" si="87"/>
        <v>22.714285714285722</v>
      </c>
      <c r="AN166" s="111">
        <f t="shared" si="88"/>
        <v>12.714285714285722</v>
      </c>
      <c r="AO166" s="111">
        <f t="shared" si="89"/>
        <v>73.134054165534806</v>
      </c>
      <c r="AP166" s="111">
        <f t="shared" si="90"/>
        <v>12.714285714285722</v>
      </c>
      <c r="AQ166" s="112">
        <f t="shared" si="91"/>
        <v>0.55974842767295618</v>
      </c>
      <c r="AR166" s="112">
        <f t="shared" si="92"/>
        <v>0.44025157232704382</v>
      </c>
      <c r="AS166" s="113">
        <f t="shared" si="93"/>
        <v>2041</v>
      </c>
      <c r="AT166" s="109">
        <v>2152540.3410881478</v>
      </c>
      <c r="AU166" s="114">
        <v>0.33653846153846145</v>
      </c>
      <c r="AV166" s="113">
        <v>2041</v>
      </c>
      <c r="AW166" s="112">
        <f t="shared" si="94"/>
        <v>8.1227937399552752E-2</v>
      </c>
      <c r="AX166" s="109">
        <f t="shared" si="95"/>
        <v>724412.61478928034</v>
      </c>
      <c r="AY166" s="109">
        <f t="shared" si="96"/>
        <v>1428127.7262988675</v>
      </c>
      <c r="AZ166" s="109">
        <f t="shared" si="97"/>
        <v>2152540.3410881478</v>
      </c>
      <c r="BA166" s="111">
        <f t="shared" si="98"/>
        <v>0</v>
      </c>
      <c r="BB166" s="117"/>
      <c r="BC166" s="115" t="str">
        <f t="shared" si="99"/>
        <v>N</v>
      </c>
      <c r="BD166" s="115" t="str">
        <f t="shared" si="100"/>
        <v>N</v>
      </c>
      <c r="BE166" s="115" t="str">
        <f t="shared" si="101"/>
        <v>N</v>
      </c>
      <c r="BF166" s="109" t="str">
        <f t="shared" si="102"/>
        <v/>
      </c>
      <c r="BG166" s="111" t="s">
        <v>2499</v>
      </c>
      <c r="BH166" s="115" t="s">
        <v>1168</v>
      </c>
      <c r="BI166" s="116"/>
      <c r="BJ166" s="222">
        <v>8.1227937399552752E-2</v>
      </c>
      <c r="BK166" s="265">
        <f t="shared" si="103"/>
        <v>0</v>
      </c>
      <c r="BL166" s="265">
        <f t="shared" si="104"/>
        <v>0</v>
      </c>
      <c r="BM166" s="265">
        <f t="shared" si="105"/>
        <v>1.862645149230957E-9</v>
      </c>
      <c r="BN166" s="265">
        <f t="shared" si="106"/>
        <v>5530561.2089929692</v>
      </c>
      <c r="BO166" s="109"/>
      <c r="BP166" s="265">
        <f t="shared" si="107"/>
        <v>18310159.739570931</v>
      </c>
      <c r="BQ166" s="265">
        <v>18310159.739570931</v>
      </c>
      <c r="BR166" s="265" t="e">
        <f t="shared" si="108"/>
        <v>#REF!</v>
      </c>
      <c r="BS166" s="265">
        <v>2062808.6126222068</v>
      </c>
      <c r="BT166" s="475">
        <v>24347459.65891185</v>
      </c>
      <c r="BU166" s="475">
        <v>724412.61478928034</v>
      </c>
      <c r="BV166" s="475">
        <v>1428127.7262988675</v>
      </c>
      <c r="BW166" s="510">
        <f t="shared" si="109"/>
        <v>0</v>
      </c>
      <c r="BX166" s="510">
        <f t="shared" si="110"/>
        <v>0</v>
      </c>
    </row>
    <row r="167" spans="1:76" s="103" customFormat="1" ht="29">
      <c r="A167" s="100" t="s">
        <v>2507</v>
      </c>
      <c r="B167" s="91" t="str">
        <f t="shared" si="74"/>
        <v>OSL</v>
      </c>
      <c r="C167" s="92" t="s">
        <v>465</v>
      </c>
      <c r="D167" s="448"/>
      <c r="E167" s="501" t="s">
        <v>2060</v>
      </c>
      <c r="F167" s="502" t="s">
        <v>4849</v>
      </c>
      <c r="G167" s="502" t="s">
        <v>4691</v>
      </c>
      <c r="H167" s="503">
        <v>1</v>
      </c>
      <c r="I167" s="504" t="s">
        <v>962</v>
      </c>
      <c r="J167" s="504" t="s">
        <v>1166</v>
      </c>
      <c r="K167" s="505">
        <v>2144000</v>
      </c>
      <c r="L167" s="506">
        <v>0.75780762737682761</v>
      </c>
      <c r="M167" s="507">
        <v>0.33653846153846145</v>
      </c>
      <c r="N167" s="508">
        <f t="shared" si="75"/>
        <v>0.66346153846153855</v>
      </c>
      <c r="O167" s="475">
        <f t="shared" si="76"/>
        <v>519260.44690408162</v>
      </c>
      <c r="P167" s="475">
        <f t="shared" si="77"/>
        <v>546787.34959958773</v>
      </c>
      <c r="Q167" s="475">
        <f t="shared" si="78"/>
        <v>1077952.2034963307</v>
      </c>
      <c r="R167" s="187" t="s">
        <v>2417</v>
      </c>
      <c r="S167" s="187" t="s">
        <v>3607</v>
      </c>
      <c r="T167" s="509" t="s">
        <v>2658</v>
      </c>
      <c r="U167" s="395">
        <f>COUNTIF(Aggregation_of_rev_to_allocate!$A$3:$A$137,$T167)</f>
        <v>1</v>
      </c>
      <c r="V167" s="100"/>
      <c r="W167" s="100">
        <v>227</v>
      </c>
      <c r="X167" s="109">
        <v>506062.78785619407</v>
      </c>
      <c r="Y167" s="109">
        <v>1149485.4752733554</v>
      </c>
      <c r="Z167" s="110">
        <v>0.77217736153430483</v>
      </c>
      <c r="AA167" s="110">
        <v>0.30567685589519644</v>
      </c>
      <c r="AB167" s="110">
        <v>0.69432314410480356</v>
      </c>
      <c r="AC167" s="109">
        <f>IF(ISERROR((X167*SUMIF('Rev_for_allocation(Hard)'!$A$3:$A$249,$T167,'Rev_for_allocation(Hard)'!$I$3:$I$249)/SUMIF(Historic_capex_list!$T$9:$T$586,$T167,Historic_capex_list!$X$9:$X$586))=TRUE),0,X167*SUMIF('Rev_for_allocation(Hard)'!$A$3:$A$249,$T167,'Rev_for_allocation(Hard)'!$I$3:$I$249)/SUMIF(Historic_capex_list!$T$9:$T$586,$T167,Historic_capex_list!$X$9:$X$586))</f>
        <v>-30808.710033631141</v>
      </c>
      <c r="AD167" s="109">
        <f t="shared" si="79"/>
        <v>475254.07782256295</v>
      </c>
      <c r="AE167" s="109">
        <f t="shared" si="80"/>
        <v>475254.07782256295</v>
      </c>
      <c r="AF167" s="109">
        <f t="shared" si="81"/>
        <v>1624739.5530959184</v>
      </c>
      <c r="AG167" s="332" t="str">
        <f t="shared" si="82"/>
        <v>N</v>
      </c>
      <c r="AH167" s="332">
        <f t="shared" si="83"/>
        <v>0</v>
      </c>
      <c r="AI167" s="332">
        <f t="shared" si="84"/>
        <v>0</v>
      </c>
      <c r="AJ167" s="109">
        <f t="shared" si="85"/>
        <v>1624739.5530959184</v>
      </c>
      <c r="AK167" s="109">
        <f t="shared" si="86"/>
        <v>0</v>
      </c>
      <c r="AL167" s="109">
        <v>0</v>
      </c>
      <c r="AM167" s="111">
        <f t="shared" si="87"/>
        <v>22.714285714285722</v>
      </c>
      <c r="AN167" s="111">
        <f t="shared" si="88"/>
        <v>19.714285714285722</v>
      </c>
      <c r="AO167" s="111" t="str">
        <f t="shared" si="89"/>
        <v>Use deduct 3yrs</v>
      </c>
      <c r="AP167" s="111">
        <f t="shared" si="90"/>
        <v>19.714285714285722</v>
      </c>
      <c r="AQ167" s="112">
        <f t="shared" si="91"/>
        <v>0.66346153846153855</v>
      </c>
      <c r="AR167" s="112">
        <f t="shared" si="92"/>
        <v>0.33653846153846145</v>
      </c>
      <c r="AS167" s="113">
        <f t="shared" si="93"/>
        <v>2048</v>
      </c>
      <c r="AT167" s="109">
        <v>1624739.5530959184</v>
      </c>
      <c r="AU167" s="114">
        <v>0.33653846153846145</v>
      </c>
      <c r="AV167" s="113">
        <v>2048</v>
      </c>
      <c r="AW167" s="112">
        <f t="shared" si="94"/>
        <v>0.75780762737682761</v>
      </c>
      <c r="AX167" s="109">
        <f t="shared" si="95"/>
        <v>546787.34959958773</v>
      </c>
      <c r="AY167" s="109">
        <f t="shared" si="96"/>
        <v>1077952.2034963307</v>
      </c>
      <c r="AZ167" s="109">
        <f t="shared" si="97"/>
        <v>1624739.5530959184</v>
      </c>
      <c r="BA167" s="111">
        <f t="shared" si="98"/>
        <v>0</v>
      </c>
      <c r="BB167" s="117"/>
      <c r="BC167" s="115" t="str">
        <f t="shared" si="99"/>
        <v>N</v>
      </c>
      <c r="BD167" s="115" t="str">
        <f t="shared" si="100"/>
        <v>N</v>
      </c>
      <c r="BE167" s="115" t="str">
        <f t="shared" si="101"/>
        <v>N</v>
      </c>
      <c r="BF167" s="109" t="str">
        <f t="shared" si="102"/>
        <v/>
      </c>
      <c r="BG167" s="111" t="s">
        <v>2499</v>
      </c>
      <c r="BH167" s="115" t="s">
        <v>1168</v>
      </c>
      <c r="BI167" s="116"/>
      <c r="BJ167" s="222">
        <v>0.75780762737682761</v>
      </c>
      <c r="BK167" s="265">
        <f t="shared" si="103"/>
        <v>0</v>
      </c>
      <c r="BL167" s="265">
        <f t="shared" si="104"/>
        <v>0</v>
      </c>
      <c r="BM167" s="265">
        <f t="shared" si="105"/>
        <v>0</v>
      </c>
      <c r="BN167" s="265">
        <f t="shared" si="106"/>
        <v>-40724.561743393657</v>
      </c>
      <c r="BO167" s="109"/>
      <c r="BP167" s="265">
        <f t="shared" si="107"/>
        <v>30808.710033631185</v>
      </c>
      <c r="BQ167" s="265">
        <v>30808.710033631185</v>
      </c>
      <c r="BR167" s="265" t="e">
        <f t="shared" si="108"/>
        <v>#REF!</v>
      </c>
      <c r="BS167" s="265">
        <v>3470.8857434929105</v>
      </c>
      <c r="BT167" s="475">
        <v>519260.44690408162</v>
      </c>
      <c r="BU167" s="475">
        <v>546787.34959958773</v>
      </c>
      <c r="BV167" s="475">
        <v>1077952.2034963307</v>
      </c>
      <c r="BW167" s="510">
        <f t="shared" si="109"/>
        <v>0</v>
      </c>
      <c r="BX167" s="510">
        <f t="shared" si="110"/>
        <v>0</v>
      </c>
    </row>
    <row r="168" spans="1:76" s="103" customFormat="1" ht="43.5">
      <c r="A168" s="100" t="s">
        <v>2507</v>
      </c>
      <c r="B168" s="91" t="str">
        <f t="shared" si="74"/>
        <v>OSL</v>
      </c>
      <c r="C168" s="92" t="s">
        <v>3626</v>
      </c>
      <c r="D168" s="448"/>
      <c r="E168" s="449"/>
      <c r="F168" s="384" t="s">
        <v>4326</v>
      </c>
      <c r="G168" s="384" t="s">
        <v>4656</v>
      </c>
      <c r="H168" s="398">
        <v>0.82</v>
      </c>
      <c r="I168" s="95"/>
      <c r="J168" s="95" t="s">
        <v>1166</v>
      </c>
      <c r="K168" s="191">
        <v>13878668</v>
      </c>
      <c r="L168" s="268">
        <v>1</v>
      </c>
      <c r="M168" s="266">
        <v>0.967741935483871</v>
      </c>
      <c r="N168" s="267">
        <f t="shared" si="75"/>
        <v>3.2258064516129004E-2</v>
      </c>
      <c r="O168" s="96">
        <f t="shared" si="76"/>
        <v>2498160.2400000007</v>
      </c>
      <c r="P168" s="96">
        <f t="shared" si="77"/>
        <v>11013394.606451614</v>
      </c>
      <c r="Q168" s="96">
        <f t="shared" si="78"/>
        <v>367113.15354838676</v>
      </c>
      <c r="R168" s="187"/>
      <c r="S168" s="187" t="s">
        <v>3607</v>
      </c>
      <c r="T168" s="94" t="s">
        <v>2642</v>
      </c>
      <c r="U168" s="395">
        <f>COUNTIF(Aggregation_of_rev_to_allocate!$A$3:$A$137,$T168)</f>
        <v>1</v>
      </c>
      <c r="V168" s="100"/>
      <c r="W168" s="100">
        <v>1023</v>
      </c>
      <c r="X168" s="109">
        <v>8535380.8200000003</v>
      </c>
      <c r="Y168" s="109">
        <v>2845126.94</v>
      </c>
      <c r="Z168" s="110">
        <v>1</v>
      </c>
      <c r="AA168" s="110">
        <v>0.75</v>
      </c>
      <c r="AB168" s="110">
        <v>0.25</v>
      </c>
      <c r="AC168" s="109">
        <f>IF(ISERROR((X168*SUMIF('Rev_for_allocation(Hard)'!$A$3:$A$249,$T168,'Rev_for_allocation(Hard)'!$I$3:$I$249)/SUMIF(Historic_capex_list!$T$9:$T$586,$T168,Historic_capex_list!$X$9:$X$586))=TRUE),0,X168*SUMIF('Rev_for_allocation(Hard)'!$A$3:$A$249,$T168,'Rev_for_allocation(Hard)'!$I$3:$I$249)/SUMIF(Historic_capex_list!$T$9:$T$586,$T168,Historic_capex_list!$X$9:$X$586))</f>
        <v>0</v>
      </c>
      <c r="AD168" s="109">
        <f t="shared" si="79"/>
        <v>8535380.8200000003</v>
      </c>
      <c r="AE168" s="109">
        <f t="shared" si="80"/>
        <v>8535380.8200000003</v>
      </c>
      <c r="AF168" s="109">
        <f t="shared" si="81"/>
        <v>11380507.76</v>
      </c>
      <c r="AG168" s="332" t="str">
        <f t="shared" si="82"/>
        <v>N</v>
      </c>
      <c r="AH168" s="332">
        <f t="shared" si="83"/>
        <v>0</v>
      </c>
      <c r="AI168" s="332">
        <f t="shared" si="84"/>
        <v>0</v>
      </c>
      <c r="AJ168" s="109">
        <f t="shared" si="85"/>
        <v>11380507.76</v>
      </c>
      <c r="AK168" s="109">
        <f t="shared" si="86"/>
        <v>0</v>
      </c>
      <c r="AL168" s="109">
        <v>0</v>
      </c>
      <c r="AM168" s="111">
        <f t="shared" si="87"/>
        <v>3.333333333333333</v>
      </c>
      <c r="AN168" s="111">
        <f t="shared" si="88"/>
        <v>0.33333333333333304</v>
      </c>
      <c r="AO168" s="111" t="str">
        <f t="shared" si="89"/>
        <v>Use deduct 3yrs</v>
      </c>
      <c r="AP168" s="111">
        <f t="shared" si="90"/>
        <v>0.33333333333333304</v>
      </c>
      <c r="AQ168" s="112">
        <f t="shared" si="91"/>
        <v>3.2258064516129011E-2</v>
      </c>
      <c r="AR168" s="112">
        <f t="shared" si="92"/>
        <v>0.967741935483871</v>
      </c>
      <c r="AS168" s="113">
        <f t="shared" si="93"/>
        <v>2028</v>
      </c>
      <c r="AT168" s="109">
        <v>11380507.76</v>
      </c>
      <c r="AU168" s="114">
        <v>0.967741935483871</v>
      </c>
      <c r="AV168" s="113">
        <v>2028</v>
      </c>
      <c r="AW168" s="112">
        <f t="shared" si="94"/>
        <v>1</v>
      </c>
      <c r="AX168" s="109">
        <f t="shared" si="95"/>
        <v>11013394.606451614</v>
      </c>
      <c r="AY168" s="109">
        <f t="shared" si="96"/>
        <v>367113.15354838676</v>
      </c>
      <c r="AZ168" s="109">
        <f t="shared" si="97"/>
        <v>11380507.76</v>
      </c>
      <c r="BA168" s="111">
        <f t="shared" si="98"/>
        <v>0</v>
      </c>
      <c r="BB168" s="117"/>
      <c r="BC168" s="115" t="str">
        <f t="shared" si="99"/>
        <v>N</v>
      </c>
      <c r="BD168" s="115" t="str">
        <f t="shared" si="100"/>
        <v>N</v>
      </c>
      <c r="BE168" s="115" t="str">
        <f t="shared" si="101"/>
        <v>N</v>
      </c>
      <c r="BF168" s="109" t="str">
        <f t="shared" si="102"/>
        <v/>
      </c>
      <c r="BG168" s="111" t="s">
        <v>2499</v>
      </c>
      <c r="BH168" s="115" t="s">
        <v>1168</v>
      </c>
      <c r="BI168" s="116"/>
      <c r="BJ168" s="222">
        <v>1</v>
      </c>
      <c r="BK168" s="265">
        <f t="shared" si="103"/>
        <v>0</v>
      </c>
      <c r="BL168" s="265">
        <f t="shared" si="104"/>
        <v>0</v>
      </c>
      <c r="BM168" s="265">
        <f t="shared" si="105"/>
        <v>-8.149072527885437E-10</v>
      </c>
      <c r="BN168" s="265">
        <f t="shared" si="106"/>
        <v>-2478013.7864516135</v>
      </c>
      <c r="BO168" s="109"/>
      <c r="BP168" s="265">
        <f t="shared" si="107"/>
        <v>0</v>
      </c>
      <c r="BQ168" s="265">
        <v>0</v>
      </c>
      <c r="BR168" s="265" t="e">
        <f t="shared" si="108"/>
        <v>#REF!</v>
      </c>
      <c r="BS168" s="265">
        <v>0</v>
      </c>
      <c r="BT168" s="475">
        <v>2498160.2400000007</v>
      </c>
      <c r="BU168" s="475">
        <v>11013394.606451614</v>
      </c>
      <c r="BV168" s="475">
        <v>367113.15354838676</v>
      </c>
      <c r="BW168" s="483">
        <f t="shared" si="109"/>
        <v>0</v>
      </c>
      <c r="BX168" s="483">
        <f t="shared" si="110"/>
        <v>0</v>
      </c>
    </row>
    <row r="169" spans="1:76" s="103" customFormat="1" ht="29">
      <c r="A169" s="100" t="s">
        <v>2502</v>
      </c>
      <c r="B169" s="91" t="str">
        <f t="shared" si="74"/>
        <v>OSL</v>
      </c>
      <c r="C169" s="92"/>
      <c r="D169" s="448"/>
      <c r="E169" s="449"/>
      <c r="F169" s="384" t="s">
        <v>4330</v>
      </c>
      <c r="G169" s="384" t="s">
        <v>4657</v>
      </c>
      <c r="H169" s="398">
        <v>0.82</v>
      </c>
      <c r="I169" s="95"/>
      <c r="J169" s="95" t="s">
        <v>1166</v>
      </c>
      <c r="K169" s="191">
        <v>21944110</v>
      </c>
      <c r="L169" s="268">
        <v>0.33306528989135081</v>
      </c>
      <c r="M169" s="266">
        <v>1</v>
      </c>
      <c r="N169" s="267">
        <f t="shared" si="75"/>
        <v>0</v>
      </c>
      <c r="O169" s="96">
        <f t="shared" si="76"/>
        <v>15950876.485982694</v>
      </c>
      <c r="P169" s="96">
        <f t="shared" si="77"/>
        <v>5993233.5140173053</v>
      </c>
      <c r="Q169" s="96">
        <f t="shared" si="78"/>
        <v>0</v>
      </c>
      <c r="R169" s="187"/>
      <c r="S169" s="187" t="s">
        <v>3607</v>
      </c>
      <c r="T169" s="94" t="s">
        <v>2640</v>
      </c>
      <c r="U169" s="395"/>
      <c r="V169" s="100"/>
      <c r="W169" s="100"/>
      <c r="X169" s="109">
        <v>13495627.649999999</v>
      </c>
      <c r="Y169" s="109">
        <v>4498542.55</v>
      </c>
      <c r="Z169" s="110">
        <v>1</v>
      </c>
      <c r="AA169" s="110">
        <v>0.75</v>
      </c>
      <c r="AB169" s="110">
        <v>0.25</v>
      </c>
      <c r="AC169" s="109">
        <f>IF(ISERROR((X169*SUMIF('Rev_for_allocation(Hard)'!$A$3:$A$249,$T169,'Rev_for_allocation(Hard)'!$I$3:$I$249)/SUMIF(Historic_capex_list!$T$9:$T$586,$T169,Historic_capex_list!$X$9:$X$586))=TRUE),0,X169*SUMIF('Rev_for_allocation(Hard)'!$A$3:$A$249,$T169,'Rev_for_allocation(Hard)'!$I$3:$I$249)/SUMIF(Historic_capex_list!$T$9:$T$586,$T169,Historic_capex_list!$X$9:$X$586))</f>
        <v>-12000936.685982693</v>
      </c>
      <c r="AD169" s="109">
        <f t="shared" si="79"/>
        <v>1494690.9640173055</v>
      </c>
      <c r="AE169" s="109">
        <f t="shared" si="80"/>
        <v>1494690.9640173055</v>
      </c>
      <c r="AF169" s="109">
        <f t="shared" si="81"/>
        <v>5993233.5140173053</v>
      </c>
      <c r="AG169" s="332" t="str">
        <f t="shared" si="82"/>
        <v>N</v>
      </c>
      <c r="AH169" s="332">
        <f t="shared" si="83"/>
        <v>0</v>
      </c>
      <c r="AI169" s="332">
        <f t="shared" si="84"/>
        <v>0</v>
      </c>
      <c r="AJ169" s="109">
        <f t="shared" si="85"/>
        <v>5993233.5140173053</v>
      </c>
      <c r="AK169" s="109">
        <f t="shared" si="86"/>
        <v>0</v>
      </c>
      <c r="AL169" s="109">
        <v>0</v>
      </c>
      <c r="AM169" s="111">
        <f t="shared" si="87"/>
        <v>3.333333333333333</v>
      </c>
      <c r="AN169" s="111">
        <f t="shared" si="88"/>
        <v>0.33333333333333304</v>
      </c>
      <c r="AO169" s="111">
        <f t="shared" si="89"/>
        <v>-13.365524432210069</v>
      </c>
      <c r="AP169" s="111">
        <f t="shared" si="90"/>
        <v>0</v>
      </c>
      <c r="AQ169" s="112">
        <f t="shared" si="91"/>
        <v>0</v>
      </c>
      <c r="AR169" s="112">
        <f t="shared" si="92"/>
        <v>1</v>
      </c>
      <c r="AS169" s="113">
        <f t="shared" si="93"/>
        <v>2028</v>
      </c>
      <c r="AT169" s="109">
        <v>5993233.5140173053</v>
      </c>
      <c r="AU169" s="114">
        <v>1</v>
      </c>
      <c r="AV169" s="113">
        <v>2028</v>
      </c>
      <c r="AW169" s="112">
        <f t="shared" si="94"/>
        <v>0.33306528989135081</v>
      </c>
      <c r="AX169" s="109">
        <f t="shared" si="95"/>
        <v>5993233.5140173053</v>
      </c>
      <c r="AY169" s="109">
        <f t="shared" si="96"/>
        <v>0</v>
      </c>
      <c r="AZ169" s="109">
        <f t="shared" si="97"/>
        <v>5993233.5140173053</v>
      </c>
      <c r="BA169" s="111">
        <f t="shared" si="98"/>
        <v>0</v>
      </c>
      <c r="BB169" s="117"/>
      <c r="BC169" s="115" t="str">
        <f t="shared" si="99"/>
        <v>N</v>
      </c>
      <c r="BD169" s="115" t="str">
        <f t="shared" si="100"/>
        <v>Y</v>
      </c>
      <c r="BE169" s="115" t="str">
        <f t="shared" si="101"/>
        <v>N</v>
      </c>
      <c r="BF169" s="109" t="str">
        <f t="shared" si="102"/>
        <v/>
      </c>
      <c r="BG169" s="111" t="s">
        <v>2499</v>
      </c>
      <c r="BH169" s="115" t="s">
        <v>1168</v>
      </c>
      <c r="BI169" s="116"/>
      <c r="BJ169" s="222">
        <v>0.33306528989135081</v>
      </c>
      <c r="BK169" s="265">
        <f t="shared" si="103"/>
        <v>0</v>
      </c>
      <c r="BL169" s="265">
        <f t="shared" si="104"/>
        <v>0</v>
      </c>
      <c r="BM169" s="265">
        <f t="shared" si="105"/>
        <v>9.3132257461547852E-10</v>
      </c>
      <c r="BN169" s="265">
        <f t="shared" si="106"/>
        <v>7502394.1359826932</v>
      </c>
      <c r="BO169" s="109"/>
      <c r="BP169" s="265">
        <f t="shared" si="107"/>
        <v>12000936.685982693</v>
      </c>
      <c r="BQ169" s="265">
        <v>12000936.685982693</v>
      </c>
      <c r="BR169" s="265" t="e">
        <f t="shared" si="108"/>
        <v>#REF!</v>
      </c>
      <c r="BS169" s="265">
        <v>1352016.3618167872</v>
      </c>
      <c r="BT169" s="475">
        <v>15950876.485982694</v>
      </c>
      <c r="BU169" s="475">
        <v>5993233.5140173053</v>
      </c>
      <c r="BV169" s="475">
        <v>0</v>
      </c>
      <c r="BW169" s="483">
        <f t="shared" si="109"/>
        <v>0</v>
      </c>
      <c r="BX169" s="483">
        <f t="shared" si="110"/>
        <v>0</v>
      </c>
    </row>
    <row r="170" spans="1:76" s="103" customFormat="1" ht="29">
      <c r="A170" s="100" t="s">
        <v>2502</v>
      </c>
      <c r="B170" s="91" t="str">
        <f t="shared" si="74"/>
        <v>OSL</v>
      </c>
      <c r="C170" s="92"/>
      <c r="D170" s="448"/>
      <c r="E170" s="449"/>
      <c r="F170" s="384" t="s">
        <v>4329</v>
      </c>
      <c r="G170" s="384" t="s">
        <v>4657</v>
      </c>
      <c r="H170" s="398">
        <v>0.82</v>
      </c>
      <c r="I170" s="95"/>
      <c r="J170" s="95" t="s">
        <v>1166</v>
      </c>
      <c r="K170" s="191">
        <v>3325039</v>
      </c>
      <c r="L170" s="268">
        <v>0.46847594581734825</v>
      </c>
      <c r="M170" s="266">
        <v>1</v>
      </c>
      <c r="N170" s="267">
        <f t="shared" si="75"/>
        <v>0</v>
      </c>
      <c r="O170" s="96">
        <f t="shared" si="76"/>
        <v>2047724.3518682532</v>
      </c>
      <c r="P170" s="96">
        <f t="shared" si="77"/>
        <v>1277314.6481317473</v>
      </c>
      <c r="Q170" s="96">
        <f t="shared" si="78"/>
        <v>0</v>
      </c>
      <c r="R170" s="187"/>
      <c r="S170" s="187" t="s">
        <v>3607</v>
      </c>
      <c r="T170" s="94" t="s">
        <v>2668</v>
      </c>
      <c r="U170" s="395"/>
      <c r="V170" s="100"/>
      <c r="W170" s="100"/>
      <c r="X170" s="109">
        <v>2044898.9849999999</v>
      </c>
      <c r="Y170" s="109">
        <v>681632.995</v>
      </c>
      <c r="Z170" s="110">
        <v>1</v>
      </c>
      <c r="AA170" s="110">
        <v>0.75</v>
      </c>
      <c r="AB170" s="110">
        <v>0.25</v>
      </c>
      <c r="AC170" s="109">
        <f>IF(ISERROR((X170*SUMIF('Rev_for_allocation(Hard)'!$A$3:$A$249,$T170,'Rev_for_allocation(Hard)'!$I$3:$I$249)/SUMIF(Historic_capex_list!$T$9:$T$586,$T170,Historic_capex_list!$X$9:$X$586))=TRUE),0,X170*SUMIF('Rev_for_allocation(Hard)'!$A$3:$A$249,$T170,'Rev_for_allocation(Hard)'!$I$3:$I$249)/SUMIF(Historic_capex_list!$T$9:$T$586,$T170,Historic_capex_list!$X$9:$X$586))</f>
        <v>-1449217.3318682525</v>
      </c>
      <c r="AD170" s="109">
        <f t="shared" si="79"/>
        <v>595681.65313174739</v>
      </c>
      <c r="AE170" s="109">
        <f t="shared" si="80"/>
        <v>595681.65313174739</v>
      </c>
      <c r="AF170" s="109">
        <f t="shared" si="81"/>
        <v>1277314.6481317473</v>
      </c>
      <c r="AG170" s="332" t="str">
        <f t="shared" si="82"/>
        <v>N</v>
      </c>
      <c r="AH170" s="332">
        <f t="shared" si="83"/>
        <v>0</v>
      </c>
      <c r="AI170" s="332">
        <f t="shared" si="84"/>
        <v>0</v>
      </c>
      <c r="AJ170" s="109">
        <f t="shared" si="85"/>
        <v>1277314.6481317473</v>
      </c>
      <c r="AK170" s="109">
        <f t="shared" si="86"/>
        <v>0</v>
      </c>
      <c r="AL170" s="109">
        <v>0</v>
      </c>
      <c r="AM170" s="111">
        <f t="shared" si="87"/>
        <v>3.333333333333333</v>
      </c>
      <c r="AN170" s="111">
        <f t="shared" si="88"/>
        <v>0.33333333333333304</v>
      </c>
      <c r="AO170" s="111">
        <f t="shared" si="89"/>
        <v>-1.794417519994645</v>
      </c>
      <c r="AP170" s="111">
        <f t="shared" si="90"/>
        <v>0</v>
      </c>
      <c r="AQ170" s="112">
        <f t="shared" si="91"/>
        <v>0</v>
      </c>
      <c r="AR170" s="112">
        <f t="shared" si="92"/>
        <v>1</v>
      </c>
      <c r="AS170" s="113">
        <f t="shared" si="93"/>
        <v>2028</v>
      </c>
      <c r="AT170" s="109">
        <v>1277314.6481317473</v>
      </c>
      <c r="AU170" s="114">
        <v>1</v>
      </c>
      <c r="AV170" s="113">
        <v>2028</v>
      </c>
      <c r="AW170" s="112">
        <f t="shared" si="94"/>
        <v>0.46847594581734825</v>
      </c>
      <c r="AX170" s="109">
        <f t="shared" si="95"/>
        <v>1277314.6481317473</v>
      </c>
      <c r="AY170" s="109">
        <f t="shared" si="96"/>
        <v>0</v>
      </c>
      <c r="AZ170" s="109">
        <f t="shared" si="97"/>
        <v>1277314.6481317473</v>
      </c>
      <c r="BA170" s="111">
        <f t="shared" si="98"/>
        <v>0</v>
      </c>
      <c r="BB170" s="117"/>
      <c r="BC170" s="115" t="str">
        <f t="shared" si="99"/>
        <v>N</v>
      </c>
      <c r="BD170" s="115" t="str">
        <f t="shared" si="100"/>
        <v>Y</v>
      </c>
      <c r="BE170" s="115" t="str">
        <f t="shared" si="101"/>
        <v>N</v>
      </c>
      <c r="BF170" s="109" t="str">
        <f t="shared" si="102"/>
        <v/>
      </c>
      <c r="BG170" s="111" t="s">
        <v>2499</v>
      </c>
      <c r="BH170" s="115" t="s">
        <v>1168</v>
      </c>
      <c r="BI170" s="116"/>
      <c r="BJ170" s="222">
        <v>0.46847594581734825</v>
      </c>
      <c r="BK170" s="265">
        <f t="shared" si="103"/>
        <v>0</v>
      </c>
      <c r="BL170" s="265">
        <f t="shared" si="104"/>
        <v>0</v>
      </c>
      <c r="BM170" s="265">
        <f t="shared" si="105"/>
        <v>-4.6566128730773926E-10</v>
      </c>
      <c r="BN170" s="265">
        <f t="shared" si="106"/>
        <v>767584.33686825261</v>
      </c>
      <c r="BO170" s="109"/>
      <c r="BP170" s="265">
        <f t="shared" si="107"/>
        <v>1449217.3318682527</v>
      </c>
      <c r="BQ170" s="265">
        <v>1449217.3318682527</v>
      </c>
      <c r="BR170" s="265" t="e">
        <f t="shared" si="108"/>
        <v>#REF!</v>
      </c>
      <c r="BS170" s="265">
        <v>163267.71782763593</v>
      </c>
      <c r="BT170" s="475">
        <v>2047724.3518682532</v>
      </c>
      <c r="BU170" s="475">
        <v>1277314.6481317473</v>
      </c>
      <c r="BV170" s="475">
        <v>0</v>
      </c>
      <c r="BW170" s="483">
        <f t="shared" si="109"/>
        <v>0</v>
      </c>
      <c r="BX170" s="483">
        <f t="shared" si="110"/>
        <v>0</v>
      </c>
    </row>
    <row r="171" spans="1:76" s="103" customFormat="1" ht="29">
      <c r="A171" s="100" t="s">
        <v>2502</v>
      </c>
      <c r="B171" s="91" t="str">
        <f t="shared" si="74"/>
        <v>OSL</v>
      </c>
      <c r="C171" s="92"/>
      <c r="D171" s="448"/>
      <c r="E171" s="449"/>
      <c r="F171" s="384" t="s">
        <v>4327</v>
      </c>
      <c r="G171" s="384" t="s">
        <v>4657</v>
      </c>
      <c r="H171" s="398">
        <v>0.82</v>
      </c>
      <c r="I171" s="95"/>
      <c r="J171" s="95" t="s">
        <v>1166</v>
      </c>
      <c r="K171" s="191">
        <v>22200649</v>
      </c>
      <c r="L171" s="268">
        <v>0.97697605662424436</v>
      </c>
      <c r="M171" s="266">
        <v>0.967741935483871</v>
      </c>
      <c r="N171" s="267">
        <f t="shared" si="75"/>
        <v>3.2258064516129004E-2</v>
      </c>
      <c r="O171" s="96">
        <f t="shared" si="76"/>
        <v>4415256.9380944427</v>
      </c>
      <c r="P171" s="96">
        <f t="shared" si="77"/>
        <v>17211669.737327956</v>
      </c>
      <c r="Q171" s="96">
        <f t="shared" si="78"/>
        <v>573722.32457759802</v>
      </c>
      <c r="R171" s="187"/>
      <c r="S171" s="187" t="s">
        <v>3607</v>
      </c>
      <c r="T171" s="94" t="s">
        <v>2644</v>
      </c>
      <c r="U171" s="395"/>
      <c r="V171" s="100"/>
      <c r="W171" s="100"/>
      <c r="X171" s="109">
        <v>13653399.135</v>
      </c>
      <c r="Y171" s="109">
        <v>4551133.0449999999</v>
      </c>
      <c r="Z171" s="110">
        <v>1</v>
      </c>
      <c r="AA171" s="110">
        <v>0.75</v>
      </c>
      <c r="AB171" s="110">
        <v>0.25</v>
      </c>
      <c r="AC171" s="109">
        <f>IF(ISERROR((X171*SUMIF('Rev_for_allocation(Hard)'!$A$3:$A$249,$T171,'Rev_for_allocation(Hard)'!$I$3:$I$249)/SUMIF(Historic_capex_list!$T$9:$T$586,$T171,Historic_capex_list!$X$9:$X$586))=TRUE),0,X171*SUMIF('Rev_for_allocation(Hard)'!$A$3:$A$249,$T171,'Rev_for_allocation(Hard)'!$I$3:$I$249)/SUMIF(Historic_capex_list!$T$9:$T$586,$T171,Historic_capex_list!$X$9:$X$586))</f>
        <v>-419140.11809444119</v>
      </c>
      <c r="AD171" s="109">
        <f t="shared" si="79"/>
        <v>13234259.016905559</v>
      </c>
      <c r="AE171" s="109">
        <f t="shared" si="80"/>
        <v>13234259.016905559</v>
      </c>
      <c r="AF171" s="109">
        <f t="shared" si="81"/>
        <v>17785392.061905559</v>
      </c>
      <c r="AG171" s="332" t="str">
        <f t="shared" si="82"/>
        <v>N</v>
      </c>
      <c r="AH171" s="332">
        <f t="shared" si="83"/>
        <v>0</v>
      </c>
      <c r="AI171" s="332">
        <f t="shared" si="84"/>
        <v>0</v>
      </c>
      <c r="AJ171" s="109">
        <f t="shared" si="85"/>
        <v>17785392.061905559</v>
      </c>
      <c r="AK171" s="109">
        <f t="shared" si="86"/>
        <v>0</v>
      </c>
      <c r="AL171" s="109">
        <v>0</v>
      </c>
      <c r="AM171" s="111">
        <f t="shared" si="87"/>
        <v>3.333333333333333</v>
      </c>
      <c r="AN171" s="111">
        <f t="shared" si="88"/>
        <v>0.33333333333333304</v>
      </c>
      <c r="AO171" s="111" t="str">
        <f t="shared" si="89"/>
        <v>Use deduct 3yrs</v>
      </c>
      <c r="AP171" s="111">
        <f t="shared" si="90"/>
        <v>0.33333333333333304</v>
      </c>
      <c r="AQ171" s="112">
        <f t="shared" si="91"/>
        <v>3.2258064516129011E-2</v>
      </c>
      <c r="AR171" s="112">
        <f t="shared" si="92"/>
        <v>0.967741935483871</v>
      </c>
      <c r="AS171" s="113">
        <f t="shared" si="93"/>
        <v>2028</v>
      </c>
      <c r="AT171" s="109">
        <v>17785392.061905559</v>
      </c>
      <c r="AU171" s="114">
        <v>0.967741935483871</v>
      </c>
      <c r="AV171" s="113">
        <v>2028</v>
      </c>
      <c r="AW171" s="112">
        <f t="shared" si="94"/>
        <v>0.97697605662424436</v>
      </c>
      <c r="AX171" s="109">
        <f t="shared" si="95"/>
        <v>17211669.737327956</v>
      </c>
      <c r="AY171" s="109">
        <f t="shared" si="96"/>
        <v>573722.32457759802</v>
      </c>
      <c r="AZ171" s="109">
        <f t="shared" si="97"/>
        <v>17785392.061905555</v>
      </c>
      <c r="BA171" s="111">
        <f t="shared" si="98"/>
        <v>0</v>
      </c>
      <c r="BB171" s="117"/>
      <c r="BC171" s="115" t="str">
        <f t="shared" si="99"/>
        <v>N</v>
      </c>
      <c r="BD171" s="115" t="str">
        <f t="shared" si="100"/>
        <v>N</v>
      </c>
      <c r="BE171" s="115" t="str">
        <f t="shared" si="101"/>
        <v>N</v>
      </c>
      <c r="BF171" s="109" t="str">
        <f t="shared" si="102"/>
        <v/>
      </c>
      <c r="BG171" s="111" t="s">
        <v>2499</v>
      </c>
      <c r="BH171" s="115" t="s">
        <v>1168</v>
      </c>
      <c r="BI171" s="116"/>
      <c r="BJ171" s="222">
        <v>0.97697605662424436</v>
      </c>
      <c r="BK171" s="265">
        <f t="shared" si="103"/>
        <v>0</v>
      </c>
      <c r="BL171" s="265">
        <f t="shared" si="104"/>
        <v>0</v>
      </c>
      <c r="BM171" s="265">
        <f t="shared" si="105"/>
        <v>1.7462298274040222E-9</v>
      </c>
      <c r="BN171" s="265">
        <f t="shared" si="106"/>
        <v>-3558270.6023279559</v>
      </c>
      <c r="BO171" s="109"/>
      <c r="BP171" s="265">
        <f t="shared" si="107"/>
        <v>419140.11809444055</v>
      </c>
      <c r="BQ171" s="265">
        <v>419140.11809444055</v>
      </c>
      <c r="BR171" s="265" t="e">
        <f t="shared" si="108"/>
        <v>#REF!</v>
      </c>
      <c r="BS171" s="265">
        <v>47220.005603346064</v>
      </c>
      <c r="BT171" s="475">
        <v>4415256.9380944427</v>
      </c>
      <c r="BU171" s="475">
        <v>17211669.737327956</v>
      </c>
      <c r="BV171" s="475">
        <v>573722.32457759802</v>
      </c>
      <c r="BW171" s="483">
        <f t="shared" si="109"/>
        <v>0</v>
      </c>
      <c r="BX171" s="483">
        <f t="shared" si="110"/>
        <v>0</v>
      </c>
    </row>
    <row r="172" spans="1:76" s="103" customFormat="1" ht="29">
      <c r="A172" s="100" t="s">
        <v>2502</v>
      </c>
      <c r="B172" s="91" t="str">
        <f t="shared" si="74"/>
        <v>OSL</v>
      </c>
      <c r="C172" s="92"/>
      <c r="D172" s="448"/>
      <c r="E172" s="449"/>
      <c r="F172" s="384" t="s">
        <v>4331</v>
      </c>
      <c r="G172" s="384" t="s">
        <v>4657</v>
      </c>
      <c r="H172" s="398">
        <v>0.82</v>
      </c>
      <c r="I172" s="95"/>
      <c r="J172" s="95" t="s">
        <v>1166</v>
      </c>
      <c r="K172" s="191">
        <v>19895971</v>
      </c>
      <c r="L172" s="268">
        <v>0.49686508447697647</v>
      </c>
      <c r="M172" s="266">
        <v>1</v>
      </c>
      <c r="N172" s="267">
        <f t="shared" si="75"/>
        <v>0</v>
      </c>
      <c r="O172" s="96">
        <f t="shared" si="76"/>
        <v>11789768.084433492</v>
      </c>
      <c r="P172" s="96">
        <f t="shared" si="77"/>
        <v>8106202.9155665077</v>
      </c>
      <c r="Q172" s="96">
        <f t="shared" si="78"/>
        <v>0</v>
      </c>
      <c r="R172" s="187"/>
      <c r="S172" s="187" t="s">
        <v>3608</v>
      </c>
      <c r="T172" s="94" t="s">
        <v>2633</v>
      </c>
      <c r="U172" s="395"/>
      <c r="V172" s="100"/>
      <c r="W172" s="100"/>
      <c r="X172" s="109">
        <v>12236022.164999999</v>
      </c>
      <c r="Y172" s="109">
        <v>4078674.0549999997</v>
      </c>
      <c r="Z172" s="110">
        <v>1</v>
      </c>
      <c r="AA172" s="110">
        <v>0.75</v>
      </c>
      <c r="AB172" s="110">
        <v>0.25</v>
      </c>
      <c r="AC172" s="109">
        <f>IF(ISERROR((X172*SUMIF('Rev_for_allocation(Hard)'!$A$3:$A$249,$T172,'Rev_for_allocation(Hard)'!$I$3:$I$249)/SUMIF(Historic_capex_list!$T$9:$T$586,$T172,Historic_capex_list!$X$9:$X$586))=TRUE),0,X172*SUMIF('Rev_for_allocation(Hard)'!$A$3:$A$249,$T172,'Rev_for_allocation(Hard)'!$I$3:$I$249)/SUMIF(Historic_capex_list!$T$9:$T$586,$T172,Historic_capex_list!$X$9:$X$586))</f>
        <v>-8208493.3044334911</v>
      </c>
      <c r="AD172" s="109">
        <f t="shared" si="79"/>
        <v>4027528.860566508</v>
      </c>
      <c r="AE172" s="109">
        <f t="shared" si="80"/>
        <v>4027528.860566508</v>
      </c>
      <c r="AF172" s="109">
        <f t="shared" si="81"/>
        <v>8106202.9155665077</v>
      </c>
      <c r="AG172" s="332" t="str">
        <f t="shared" si="82"/>
        <v>N</v>
      </c>
      <c r="AH172" s="332">
        <f t="shared" si="83"/>
        <v>0</v>
      </c>
      <c r="AI172" s="332">
        <f t="shared" si="84"/>
        <v>0</v>
      </c>
      <c r="AJ172" s="109">
        <f t="shared" si="85"/>
        <v>8106202.9155665077</v>
      </c>
      <c r="AK172" s="109">
        <f t="shared" si="86"/>
        <v>0</v>
      </c>
      <c r="AL172" s="109">
        <v>0</v>
      </c>
      <c r="AM172" s="111">
        <f t="shared" si="87"/>
        <v>3.333333333333333</v>
      </c>
      <c r="AN172" s="111">
        <f t="shared" si="88"/>
        <v>0.33333333333333304</v>
      </c>
      <c r="AO172" s="111">
        <f t="shared" si="89"/>
        <v>-0.16825039611834869</v>
      </c>
      <c r="AP172" s="111">
        <f t="shared" si="90"/>
        <v>0</v>
      </c>
      <c r="AQ172" s="112">
        <f t="shared" si="91"/>
        <v>0</v>
      </c>
      <c r="AR172" s="112">
        <f t="shared" si="92"/>
        <v>1</v>
      </c>
      <c r="AS172" s="113">
        <f t="shared" si="93"/>
        <v>2028</v>
      </c>
      <c r="AT172" s="109">
        <v>8106202.9155665077</v>
      </c>
      <c r="AU172" s="114">
        <v>1</v>
      </c>
      <c r="AV172" s="113">
        <v>2028</v>
      </c>
      <c r="AW172" s="112">
        <f t="shared" si="94"/>
        <v>0.49686508447697647</v>
      </c>
      <c r="AX172" s="109">
        <f t="shared" si="95"/>
        <v>8106202.9155665077</v>
      </c>
      <c r="AY172" s="109">
        <f t="shared" si="96"/>
        <v>0</v>
      </c>
      <c r="AZ172" s="109">
        <f t="shared" si="97"/>
        <v>8106202.9155665077</v>
      </c>
      <c r="BA172" s="111">
        <f t="shared" si="98"/>
        <v>0</v>
      </c>
      <c r="BB172" s="117"/>
      <c r="BC172" s="115" t="str">
        <f t="shared" si="99"/>
        <v>N</v>
      </c>
      <c r="BD172" s="115" t="str">
        <f t="shared" si="100"/>
        <v>Y</v>
      </c>
      <c r="BE172" s="115" t="str">
        <f t="shared" si="101"/>
        <v>N</v>
      </c>
      <c r="BF172" s="109" t="str">
        <f t="shared" si="102"/>
        <v/>
      </c>
      <c r="BG172" s="111" t="s">
        <v>2499</v>
      </c>
      <c r="BH172" s="115" t="s">
        <v>1168</v>
      </c>
      <c r="BI172" s="116"/>
      <c r="BJ172" s="222">
        <v>0.49686508447697647</v>
      </c>
      <c r="BK172" s="265">
        <f t="shared" si="103"/>
        <v>0</v>
      </c>
      <c r="BL172" s="265">
        <f t="shared" si="104"/>
        <v>0</v>
      </c>
      <c r="BM172" s="265">
        <f t="shared" si="105"/>
        <v>0</v>
      </c>
      <c r="BN172" s="265">
        <f t="shared" si="106"/>
        <v>4129819.2494334914</v>
      </c>
      <c r="BO172" s="109"/>
      <c r="BP172" s="265">
        <f t="shared" si="107"/>
        <v>8208493.3044334911</v>
      </c>
      <c r="BQ172" s="265">
        <v>8208493.3044334911</v>
      </c>
      <c r="BR172" s="265" t="e">
        <f t="shared" si="108"/>
        <v>#REF!</v>
      </c>
      <c r="BS172" s="265">
        <v>924762.58677543956</v>
      </c>
      <c r="BT172" s="475">
        <v>11789768.084433492</v>
      </c>
      <c r="BU172" s="475">
        <v>8106202.9155665077</v>
      </c>
      <c r="BV172" s="475">
        <v>0</v>
      </c>
      <c r="BW172" s="483">
        <f t="shared" si="109"/>
        <v>0</v>
      </c>
      <c r="BX172" s="483">
        <f t="shared" si="110"/>
        <v>0</v>
      </c>
    </row>
    <row r="173" spans="1:76" s="103" customFormat="1" ht="43.5">
      <c r="A173" s="100" t="s">
        <v>2507</v>
      </c>
      <c r="B173" s="91" t="str">
        <f t="shared" si="74"/>
        <v>OSL</v>
      </c>
      <c r="C173" s="92"/>
      <c r="D173" s="448"/>
      <c r="E173" s="449"/>
      <c r="F173" s="384" t="s">
        <v>3602</v>
      </c>
      <c r="G173" s="384" t="s">
        <v>4660</v>
      </c>
      <c r="H173" s="398">
        <v>0.82</v>
      </c>
      <c r="I173" s="95"/>
      <c r="J173" s="95" t="s">
        <v>1166</v>
      </c>
      <c r="K173" s="191">
        <v>5524522</v>
      </c>
      <c r="L173" s="268">
        <v>0.33306528989135076</v>
      </c>
      <c r="M173" s="266">
        <v>1</v>
      </c>
      <c r="N173" s="267">
        <f t="shared" si="75"/>
        <v>0</v>
      </c>
      <c r="O173" s="96">
        <f t="shared" si="76"/>
        <v>4015700.2524182615</v>
      </c>
      <c r="P173" s="96">
        <f t="shared" si="77"/>
        <v>1508821.7475817387</v>
      </c>
      <c r="Q173" s="96">
        <f t="shared" si="78"/>
        <v>0</v>
      </c>
      <c r="R173" s="187"/>
      <c r="S173" s="187" t="s">
        <v>3607</v>
      </c>
      <c r="T173" s="94" t="s">
        <v>2640</v>
      </c>
      <c r="U173" s="395"/>
      <c r="V173" s="100"/>
      <c r="W173" s="100"/>
      <c r="X173" s="109">
        <v>3397581.03</v>
      </c>
      <c r="Y173" s="109">
        <v>1132527.01</v>
      </c>
      <c r="Z173" s="110">
        <v>1</v>
      </c>
      <c r="AA173" s="110">
        <v>0.75</v>
      </c>
      <c r="AB173" s="110">
        <v>0.25</v>
      </c>
      <c r="AC173" s="109">
        <f>IF(ISERROR((X173*SUMIF('Rev_for_allocation(Hard)'!$A$3:$A$249,$T173,'Rev_for_allocation(Hard)'!$I$3:$I$249)/SUMIF(Historic_capex_list!$T$9:$T$586,$T173,Historic_capex_list!$X$9:$X$586))=TRUE),0,X173*SUMIF('Rev_for_allocation(Hard)'!$A$3:$A$249,$T173,'Rev_for_allocation(Hard)'!$I$3:$I$249)/SUMIF(Historic_capex_list!$T$9:$T$586,$T173,Historic_capex_list!$X$9:$X$586))</f>
        <v>-3021286.2924182611</v>
      </c>
      <c r="AD173" s="109">
        <f t="shared" si="79"/>
        <v>376294.73758173874</v>
      </c>
      <c r="AE173" s="109">
        <f t="shared" si="80"/>
        <v>376294.73758173874</v>
      </c>
      <c r="AF173" s="109">
        <f t="shared" si="81"/>
        <v>1508821.7475817387</v>
      </c>
      <c r="AG173" s="332" t="str">
        <f t="shared" si="82"/>
        <v>N</v>
      </c>
      <c r="AH173" s="332">
        <f t="shared" si="83"/>
        <v>0</v>
      </c>
      <c r="AI173" s="332">
        <f t="shared" si="84"/>
        <v>0</v>
      </c>
      <c r="AJ173" s="109">
        <f t="shared" si="85"/>
        <v>1508821.7475817387</v>
      </c>
      <c r="AK173" s="109">
        <f t="shared" si="86"/>
        <v>0</v>
      </c>
      <c r="AL173" s="109">
        <v>0</v>
      </c>
      <c r="AM173" s="111">
        <f t="shared" si="87"/>
        <v>3.333333333333333</v>
      </c>
      <c r="AN173" s="111">
        <f t="shared" si="88"/>
        <v>0.33333333333333304</v>
      </c>
      <c r="AO173" s="111">
        <f t="shared" si="89"/>
        <v>-13.365524432210073</v>
      </c>
      <c r="AP173" s="111">
        <f t="shared" si="90"/>
        <v>0</v>
      </c>
      <c r="AQ173" s="112">
        <f t="shared" si="91"/>
        <v>0</v>
      </c>
      <c r="AR173" s="112">
        <f t="shared" si="92"/>
        <v>1</v>
      </c>
      <c r="AS173" s="113">
        <f t="shared" si="93"/>
        <v>2028</v>
      </c>
      <c r="AT173" s="109">
        <v>1508821.7475817387</v>
      </c>
      <c r="AU173" s="114">
        <v>1</v>
      </c>
      <c r="AV173" s="113">
        <v>2028</v>
      </c>
      <c r="AW173" s="112">
        <f t="shared" si="94"/>
        <v>0.33306528989135076</v>
      </c>
      <c r="AX173" s="109">
        <f t="shared" si="95"/>
        <v>1508821.7475817387</v>
      </c>
      <c r="AY173" s="109">
        <f t="shared" si="96"/>
        <v>0</v>
      </c>
      <c r="AZ173" s="109">
        <f t="shared" si="97"/>
        <v>1508821.7475817387</v>
      </c>
      <c r="BA173" s="111">
        <f t="shared" si="98"/>
        <v>0</v>
      </c>
      <c r="BB173" s="117"/>
      <c r="BC173" s="115" t="str">
        <f t="shared" si="99"/>
        <v>N</v>
      </c>
      <c r="BD173" s="115" t="str">
        <f t="shared" si="100"/>
        <v>Y</v>
      </c>
      <c r="BE173" s="115" t="str">
        <f t="shared" si="101"/>
        <v>N</v>
      </c>
      <c r="BF173" s="109" t="str">
        <f t="shared" si="102"/>
        <v/>
      </c>
      <c r="BG173" s="111" t="s">
        <v>2499</v>
      </c>
      <c r="BH173" s="115" t="s">
        <v>1168</v>
      </c>
      <c r="BI173" s="116"/>
      <c r="BJ173" s="222">
        <v>0.33306528989135076</v>
      </c>
      <c r="BK173" s="265">
        <f t="shared" si="103"/>
        <v>0</v>
      </c>
      <c r="BL173" s="265">
        <f t="shared" si="104"/>
        <v>0</v>
      </c>
      <c r="BM173" s="265">
        <f t="shared" si="105"/>
        <v>-2.3283064365386963E-10</v>
      </c>
      <c r="BN173" s="265">
        <f t="shared" si="106"/>
        <v>1888759.282418261</v>
      </c>
      <c r="BO173" s="109"/>
      <c r="BP173" s="265">
        <f t="shared" si="107"/>
        <v>3021286.2924182611</v>
      </c>
      <c r="BQ173" s="265">
        <v>3021286.2924182611</v>
      </c>
      <c r="BR173" s="265" t="e">
        <f t="shared" si="108"/>
        <v>#REF!</v>
      </c>
      <c r="BS173" s="265">
        <v>340375.80631963664</v>
      </c>
      <c r="BT173" s="475">
        <v>4015700.2524182615</v>
      </c>
      <c r="BU173" s="475">
        <v>1508821.7475817387</v>
      </c>
      <c r="BV173" s="475">
        <v>0</v>
      </c>
      <c r="BW173" s="483">
        <f t="shared" si="109"/>
        <v>0</v>
      </c>
      <c r="BX173" s="483">
        <f t="shared" si="110"/>
        <v>0</v>
      </c>
    </row>
    <row r="174" spans="1:76" s="103" customFormat="1" ht="43.5">
      <c r="A174" s="100" t="s">
        <v>2507</v>
      </c>
      <c r="B174" s="91" t="str">
        <f t="shared" si="74"/>
        <v>OSL</v>
      </c>
      <c r="C174" s="92"/>
      <c r="D174" s="448"/>
      <c r="E174" s="449"/>
      <c r="F174" s="384" t="s">
        <v>3603</v>
      </c>
      <c r="G174" s="384" t="s">
        <v>4660</v>
      </c>
      <c r="H174" s="398">
        <v>0.82</v>
      </c>
      <c r="I174" s="95"/>
      <c r="J174" s="95" t="s">
        <v>1166</v>
      </c>
      <c r="K174" s="191">
        <v>6542401</v>
      </c>
      <c r="L174" s="268">
        <v>0.97697605662424447</v>
      </c>
      <c r="M174" s="266">
        <v>0.967741935483871</v>
      </c>
      <c r="N174" s="267">
        <f t="shared" si="75"/>
        <v>3.2258064516129004E-2</v>
      </c>
      <c r="O174" s="96">
        <f t="shared" si="76"/>
        <v>1301150.3135356992</v>
      </c>
      <c r="P174" s="96">
        <f t="shared" si="77"/>
        <v>5072178.0836751303</v>
      </c>
      <c r="Q174" s="96">
        <f t="shared" si="78"/>
        <v>169072.60278917087</v>
      </c>
      <c r="R174" s="187"/>
      <c r="S174" s="187" t="s">
        <v>3607</v>
      </c>
      <c r="T174" s="94" t="s">
        <v>2644</v>
      </c>
      <c r="U174" s="395"/>
      <c r="V174" s="100"/>
      <c r="W174" s="100"/>
      <c r="X174" s="109">
        <v>4023576.6149999998</v>
      </c>
      <c r="Y174" s="109">
        <v>1341192.2049999998</v>
      </c>
      <c r="Z174" s="110">
        <v>1</v>
      </c>
      <c r="AA174" s="110">
        <v>0.75</v>
      </c>
      <c r="AB174" s="110">
        <v>0.25</v>
      </c>
      <c r="AC174" s="109">
        <f>IF(ISERROR((X174*SUMIF('Rev_for_allocation(Hard)'!$A$3:$A$249,$T174,'Rev_for_allocation(Hard)'!$I$3:$I$249)/SUMIF(Historic_capex_list!$T$9:$T$586,$T174,Historic_capex_list!$X$9:$X$586))=TRUE),0,X174*SUMIF('Rev_for_allocation(Hard)'!$A$3:$A$249,$T174,'Rev_for_allocation(Hard)'!$I$3:$I$249)/SUMIF(Historic_capex_list!$T$9:$T$586,$T174,Historic_capex_list!$X$9:$X$586))</f>
        <v>-123518.13353569935</v>
      </c>
      <c r="AD174" s="109">
        <f t="shared" si="79"/>
        <v>3900058.4814643003</v>
      </c>
      <c r="AE174" s="109">
        <f t="shared" si="80"/>
        <v>3900058.4814643003</v>
      </c>
      <c r="AF174" s="109">
        <f t="shared" si="81"/>
        <v>5241250.6864643004</v>
      </c>
      <c r="AG174" s="332" t="str">
        <f t="shared" si="82"/>
        <v>N</v>
      </c>
      <c r="AH174" s="332">
        <f t="shared" si="83"/>
        <v>0</v>
      </c>
      <c r="AI174" s="332">
        <f t="shared" si="84"/>
        <v>0</v>
      </c>
      <c r="AJ174" s="109">
        <f t="shared" si="85"/>
        <v>5241250.6864643004</v>
      </c>
      <c r="AK174" s="109">
        <f t="shared" si="86"/>
        <v>0</v>
      </c>
      <c r="AL174" s="109">
        <v>0</v>
      </c>
      <c r="AM174" s="111">
        <f t="shared" si="87"/>
        <v>3.333333333333333</v>
      </c>
      <c r="AN174" s="111">
        <f t="shared" si="88"/>
        <v>0.33333333333333304</v>
      </c>
      <c r="AO174" s="111" t="str">
        <f t="shared" si="89"/>
        <v>Use deduct 3yrs</v>
      </c>
      <c r="AP174" s="111">
        <f t="shared" si="90"/>
        <v>0.33333333333333304</v>
      </c>
      <c r="AQ174" s="112">
        <f t="shared" si="91"/>
        <v>3.2258064516129011E-2</v>
      </c>
      <c r="AR174" s="112">
        <f t="shared" si="92"/>
        <v>0.967741935483871</v>
      </c>
      <c r="AS174" s="113">
        <f t="shared" si="93"/>
        <v>2028</v>
      </c>
      <c r="AT174" s="109">
        <v>5241250.6864643004</v>
      </c>
      <c r="AU174" s="114">
        <v>0.967741935483871</v>
      </c>
      <c r="AV174" s="113">
        <v>2028</v>
      </c>
      <c r="AW174" s="112">
        <f t="shared" si="94"/>
        <v>0.97697605662424447</v>
      </c>
      <c r="AX174" s="109">
        <f t="shared" si="95"/>
        <v>5072178.0836751303</v>
      </c>
      <c r="AY174" s="109">
        <f t="shared" si="96"/>
        <v>169072.60278917087</v>
      </c>
      <c r="AZ174" s="109">
        <f t="shared" si="97"/>
        <v>5241250.6864643013</v>
      </c>
      <c r="BA174" s="111">
        <f t="shared" si="98"/>
        <v>0</v>
      </c>
      <c r="BB174" s="117"/>
      <c r="BC174" s="115" t="str">
        <f t="shared" si="99"/>
        <v>N</v>
      </c>
      <c r="BD174" s="115" t="str">
        <f t="shared" si="100"/>
        <v>N</v>
      </c>
      <c r="BE174" s="115" t="str">
        <f t="shared" si="101"/>
        <v>N</v>
      </c>
      <c r="BF174" s="109" t="str">
        <f t="shared" si="102"/>
        <v/>
      </c>
      <c r="BG174" s="111" t="s">
        <v>2499</v>
      </c>
      <c r="BH174" s="115" t="s">
        <v>1168</v>
      </c>
      <c r="BI174" s="116"/>
      <c r="BJ174" s="222">
        <v>0.97697605662424447</v>
      </c>
      <c r="BK174" s="265">
        <f t="shared" si="103"/>
        <v>0</v>
      </c>
      <c r="BL174" s="265">
        <f t="shared" si="104"/>
        <v>0</v>
      </c>
      <c r="BM174" s="265">
        <f t="shared" si="105"/>
        <v>-7.5669959187507629E-10</v>
      </c>
      <c r="BN174" s="265">
        <f t="shared" si="106"/>
        <v>-1048601.4686751305</v>
      </c>
      <c r="BO174" s="109"/>
      <c r="BP174" s="265">
        <f t="shared" si="107"/>
        <v>123518.13353569899</v>
      </c>
      <c r="BQ174" s="265">
        <v>123518.13353569899</v>
      </c>
      <c r="BR174" s="265" t="e">
        <f t="shared" si="108"/>
        <v>#REF!</v>
      </c>
      <c r="BS174" s="265">
        <v>13915.458592194149</v>
      </c>
      <c r="BT174" s="475">
        <v>1301150.3135356992</v>
      </c>
      <c r="BU174" s="475">
        <v>5072178.0836751303</v>
      </c>
      <c r="BV174" s="475">
        <v>169072.60278917087</v>
      </c>
      <c r="BW174" s="483">
        <f t="shared" si="109"/>
        <v>0</v>
      </c>
      <c r="BX174" s="483">
        <f t="shared" si="110"/>
        <v>0</v>
      </c>
    </row>
    <row r="175" spans="1:76" s="103" customFormat="1" ht="29">
      <c r="A175" s="100" t="s">
        <v>2502</v>
      </c>
      <c r="B175" s="91" t="str">
        <f t="shared" si="74"/>
        <v>OSL</v>
      </c>
      <c r="C175" s="92" t="s">
        <v>3626</v>
      </c>
      <c r="D175" s="448"/>
      <c r="E175" s="451">
        <v>3201502</v>
      </c>
      <c r="F175" s="409" t="s">
        <v>2939</v>
      </c>
      <c r="G175" s="384" t="s">
        <v>5252</v>
      </c>
      <c r="H175" s="398">
        <v>0.75</v>
      </c>
      <c r="I175" s="151"/>
      <c r="J175" s="95" t="s">
        <v>1166</v>
      </c>
      <c r="K175" s="191">
        <v>400374.34</v>
      </c>
      <c r="L175" s="269">
        <v>0.99999991698908897</v>
      </c>
      <c r="M175" s="267">
        <v>1</v>
      </c>
      <c r="N175" s="267">
        <f t="shared" si="75"/>
        <v>0</v>
      </c>
      <c r="O175" s="96">
        <f t="shared" si="76"/>
        <v>100093.60992657904</v>
      </c>
      <c r="P175" s="96">
        <f t="shared" si="77"/>
        <v>300280.73007342103</v>
      </c>
      <c r="Q175" s="96">
        <f t="shared" si="78"/>
        <v>0</v>
      </c>
      <c r="R175" s="187" t="s">
        <v>2420</v>
      </c>
      <c r="S175" s="187" t="s">
        <v>3607</v>
      </c>
      <c r="T175" s="94" t="s">
        <v>2664</v>
      </c>
      <c r="U175" s="395">
        <f>COUNTIF(Aggregation_of_rev_to_allocate!$A$3:$A$137,$T175)</f>
        <v>1</v>
      </c>
      <c r="V175" s="100"/>
      <c r="W175" s="100"/>
      <c r="X175" s="109">
        <v>300280.755</v>
      </c>
      <c r="Y175" s="109">
        <v>0</v>
      </c>
      <c r="Z175" s="110">
        <v>1</v>
      </c>
      <c r="AA175" s="110">
        <v>1</v>
      </c>
      <c r="AB175" s="110">
        <v>0</v>
      </c>
      <c r="AC175" s="109">
        <f>IF(ISERROR((X175*SUMIF('Rev_for_allocation(Hard)'!$A$3:$A$249,$T175,'Rev_for_allocation(Hard)'!$I$3:$I$249)/SUMIF(Historic_capex_list!$T$9:$T$586,$T175,Historic_capex_list!$X$9:$X$586))=TRUE),0,X175*SUMIF('Rev_for_allocation(Hard)'!$A$3:$A$249,$T175,'Rev_for_allocation(Hard)'!$I$3:$I$249)/SUMIF(Historic_capex_list!$T$9:$T$586,$T175,Historic_capex_list!$X$9:$X$586))</f>
        <v>-2.4926579034828401E-2</v>
      </c>
      <c r="AD175" s="109">
        <f t="shared" si="79"/>
        <v>300280.73007342097</v>
      </c>
      <c r="AE175" s="109">
        <f t="shared" si="80"/>
        <v>300280.73007342097</v>
      </c>
      <c r="AF175" s="109">
        <f t="shared" si="81"/>
        <v>300280.73007342097</v>
      </c>
      <c r="AG175" s="332" t="str">
        <f t="shared" si="82"/>
        <v>N</v>
      </c>
      <c r="AH175" s="332">
        <f t="shared" si="83"/>
        <v>0</v>
      </c>
      <c r="AI175" s="332">
        <f t="shared" si="84"/>
        <v>0</v>
      </c>
      <c r="AJ175" s="109">
        <f t="shared" si="85"/>
        <v>300280.73007342097</v>
      </c>
      <c r="AK175" s="109">
        <f t="shared" si="86"/>
        <v>0</v>
      </c>
      <c r="AL175" s="109">
        <v>0</v>
      </c>
      <c r="AM175" s="111">
        <f t="shared" si="87"/>
        <v>0</v>
      </c>
      <c r="AN175" s="111">
        <f t="shared" si="88"/>
        <v>0</v>
      </c>
      <c r="AO175" s="111" t="str">
        <f t="shared" si="89"/>
        <v>Use deduct 3yrs</v>
      </c>
      <c r="AP175" s="111">
        <f t="shared" si="90"/>
        <v>0</v>
      </c>
      <c r="AQ175" s="112">
        <f t="shared" si="91"/>
        <v>0</v>
      </c>
      <c r="AR175" s="112">
        <f t="shared" si="92"/>
        <v>1</v>
      </c>
      <c r="AS175" s="113">
        <f t="shared" si="93"/>
        <v>2028</v>
      </c>
      <c r="AT175" s="109">
        <v>300280.73007342097</v>
      </c>
      <c r="AU175" s="114">
        <v>1</v>
      </c>
      <c r="AV175" s="113">
        <v>2028</v>
      </c>
      <c r="AW175" s="112">
        <f t="shared" si="94"/>
        <v>0.99999991698908897</v>
      </c>
      <c r="AX175" s="109">
        <f t="shared" si="95"/>
        <v>300280.73007342103</v>
      </c>
      <c r="AY175" s="109">
        <f t="shared" si="96"/>
        <v>0</v>
      </c>
      <c r="AZ175" s="109">
        <f t="shared" si="97"/>
        <v>300280.73007342103</v>
      </c>
      <c r="BA175" s="111">
        <f t="shared" si="98"/>
        <v>0</v>
      </c>
      <c r="BB175" s="117"/>
      <c r="BC175" s="115" t="str">
        <f t="shared" si="99"/>
        <v>N</v>
      </c>
      <c r="BD175" s="115" t="str">
        <f t="shared" si="100"/>
        <v>Y</v>
      </c>
      <c r="BE175" s="115" t="str">
        <f t="shared" si="101"/>
        <v>N</v>
      </c>
      <c r="BF175" s="109" t="str">
        <f t="shared" si="102"/>
        <v/>
      </c>
      <c r="BG175" s="111" t="s">
        <v>2499</v>
      </c>
      <c r="BH175" s="115" t="s">
        <v>1168</v>
      </c>
      <c r="BI175" s="116"/>
      <c r="BJ175" s="222">
        <v>0.99999991698908897</v>
      </c>
      <c r="BK175" s="265">
        <f t="shared" si="103"/>
        <v>0</v>
      </c>
      <c r="BL175" s="265">
        <f t="shared" si="104"/>
        <v>0</v>
      </c>
      <c r="BM175" s="265">
        <f t="shared" si="105"/>
        <v>-5.8207660913467407E-11</v>
      </c>
      <c r="BN175" s="265">
        <f t="shared" si="106"/>
        <v>2.4926578975282609E-2</v>
      </c>
      <c r="BO175" s="109"/>
      <c r="BP175" s="265">
        <f t="shared" si="107"/>
        <v>2.492657903349027E-2</v>
      </c>
      <c r="BQ175" s="265">
        <v>2.492657903349027E-2</v>
      </c>
      <c r="BR175" s="265" t="e">
        <f t="shared" si="108"/>
        <v>#REF!</v>
      </c>
      <c r="BS175" s="265">
        <v>2.8082093572547265E-3</v>
      </c>
      <c r="BT175" s="475">
        <v>100093.60992657904</v>
      </c>
      <c r="BU175" s="475">
        <v>300280.73007342103</v>
      </c>
      <c r="BV175" s="475">
        <v>0</v>
      </c>
      <c r="BW175" s="483">
        <f t="shared" si="109"/>
        <v>0</v>
      </c>
      <c r="BX175" s="483">
        <f t="shared" si="110"/>
        <v>0</v>
      </c>
    </row>
    <row r="176" spans="1:76" s="103" customFormat="1" ht="29">
      <c r="A176" s="100" t="s">
        <v>2507</v>
      </c>
      <c r="B176" s="91" t="str">
        <f t="shared" si="74"/>
        <v>OSL</v>
      </c>
      <c r="C176" s="92" t="s">
        <v>853</v>
      </c>
      <c r="D176" s="448"/>
      <c r="E176" s="451">
        <v>2132007</v>
      </c>
      <c r="F176" s="409" t="s">
        <v>2896</v>
      </c>
      <c r="G176" s="384" t="s">
        <v>5253</v>
      </c>
      <c r="H176" s="398">
        <v>1</v>
      </c>
      <c r="I176" s="151"/>
      <c r="J176" s="95" t="s">
        <v>1166</v>
      </c>
      <c r="K176" s="191">
        <v>7151781.2000000002</v>
      </c>
      <c r="L176" s="269">
        <v>0.4927672667707495</v>
      </c>
      <c r="M176" s="267">
        <v>1</v>
      </c>
      <c r="N176" s="267">
        <f t="shared" si="75"/>
        <v>0</v>
      </c>
      <c r="O176" s="96">
        <f t="shared" si="76"/>
        <v>3627617.5255335695</v>
      </c>
      <c r="P176" s="96">
        <f t="shared" si="77"/>
        <v>3524163.6744664311</v>
      </c>
      <c r="Q176" s="96">
        <f t="shared" si="78"/>
        <v>0</v>
      </c>
      <c r="R176" s="187" t="s">
        <v>2420</v>
      </c>
      <c r="S176" s="187" t="s">
        <v>3608</v>
      </c>
      <c r="T176" s="94" t="s">
        <v>2664</v>
      </c>
      <c r="U176" s="395">
        <f>COUNTIF(Aggregation_of_rev_to_allocate!$A$3:$A$137,$T176)</f>
        <v>1</v>
      </c>
      <c r="V176" s="100"/>
      <c r="W176" s="100">
        <v>235</v>
      </c>
      <c r="X176" s="109">
        <v>3524163.9670104925</v>
      </c>
      <c r="Y176" s="109">
        <v>0</v>
      </c>
      <c r="Z176" s="110">
        <v>0.49276730767581262</v>
      </c>
      <c r="AA176" s="110">
        <v>1</v>
      </c>
      <c r="AB176" s="110">
        <v>0</v>
      </c>
      <c r="AC176" s="109">
        <f>IF(ISERROR((X176*SUMIF('Rev_for_allocation(Hard)'!$A$3:$A$249,$T176,'Rev_for_allocation(Hard)'!$I$3:$I$249)/SUMIF(Historic_capex_list!$T$9:$T$586,$T176,Historic_capex_list!$X$9:$X$586))=TRUE),0,X176*SUMIF('Rev_for_allocation(Hard)'!$A$3:$A$249,$T176,'Rev_for_allocation(Hard)'!$I$3:$I$249)/SUMIF(Historic_capex_list!$T$9:$T$586,$T176,Historic_capex_list!$X$9:$X$586))</f>
        <v>-0.29254406149132473</v>
      </c>
      <c r="AD176" s="109">
        <f t="shared" si="79"/>
        <v>3524163.6744664311</v>
      </c>
      <c r="AE176" s="109">
        <f t="shared" si="80"/>
        <v>3524163.6744664311</v>
      </c>
      <c r="AF176" s="109">
        <f t="shared" si="81"/>
        <v>3524163.6744664311</v>
      </c>
      <c r="AG176" s="332" t="str">
        <f t="shared" si="82"/>
        <v>N</v>
      </c>
      <c r="AH176" s="332">
        <f t="shared" si="83"/>
        <v>0</v>
      </c>
      <c r="AI176" s="332">
        <f t="shared" si="84"/>
        <v>0</v>
      </c>
      <c r="AJ176" s="109">
        <f t="shared" si="85"/>
        <v>3524163.6744664311</v>
      </c>
      <c r="AK176" s="109">
        <f t="shared" si="86"/>
        <v>0</v>
      </c>
      <c r="AL176" s="109">
        <v>0</v>
      </c>
      <c r="AM176" s="111">
        <f t="shared" si="87"/>
        <v>0</v>
      </c>
      <c r="AN176" s="111">
        <f t="shared" si="88"/>
        <v>0</v>
      </c>
      <c r="AO176" s="111" t="str">
        <f t="shared" si="89"/>
        <v>Use deduct 3yrs</v>
      </c>
      <c r="AP176" s="111">
        <f t="shared" si="90"/>
        <v>0</v>
      </c>
      <c r="AQ176" s="112">
        <f t="shared" si="91"/>
        <v>0</v>
      </c>
      <c r="AR176" s="112">
        <f t="shared" si="92"/>
        <v>1</v>
      </c>
      <c r="AS176" s="113">
        <f t="shared" si="93"/>
        <v>2028</v>
      </c>
      <c r="AT176" s="109">
        <v>3524163.6744664311</v>
      </c>
      <c r="AU176" s="114">
        <v>1</v>
      </c>
      <c r="AV176" s="113">
        <v>2028</v>
      </c>
      <c r="AW176" s="112">
        <f t="shared" si="94"/>
        <v>0.4927672667707495</v>
      </c>
      <c r="AX176" s="109">
        <f t="shared" si="95"/>
        <v>3524163.6744664311</v>
      </c>
      <c r="AY176" s="109">
        <f t="shared" si="96"/>
        <v>0</v>
      </c>
      <c r="AZ176" s="109">
        <f t="shared" si="97"/>
        <v>3524163.6744664311</v>
      </c>
      <c r="BA176" s="111">
        <f t="shared" si="98"/>
        <v>0</v>
      </c>
      <c r="BB176" s="117"/>
      <c r="BC176" s="115" t="str">
        <f t="shared" si="99"/>
        <v>N</v>
      </c>
      <c r="BD176" s="115" t="str">
        <f t="shared" si="100"/>
        <v>Y</v>
      </c>
      <c r="BE176" s="115" t="str">
        <f t="shared" si="101"/>
        <v>N</v>
      </c>
      <c r="BF176" s="109" t="str">
        <f t="shared" si="102"/>
        <v/>
      </c>
      <c r="BG176" s="111" t="s">
        <v>2499</v>
      </c>
      <c r="BH176" s="115" t="s">
        <v>1168</v>
      </c>
      <c r="BI176" s="116"/>
      <c r="BJ176" s="222">
        <v>0.4927672667707495</v>
      </c>
      <c r="BK176" s="265">
        <f t="shared" si="103"/>
        <v>0</v>
      </c>
      <c r="BL176" s="265">
        <f t="shared" si="104"/>
        <v>0</v>
      </c>
      <c r="BM176" s="265">
        <f t="shared" si="105"/>
        <v>-4.6566128730773926E-10</v>
      </c>
      <c r="BN176" s="265">
        <f t="shared" si="106"/>
        <v>0.29254406131803989</v>
      </c>
      <c r="BO176" s="109"/>
      <c r="BP176" s="265">
        <f t="shared" si="107"/>
        <v>0.29254406131803989</v>
      </c>
      <c r="BQ176" s="265">
        <v>0.29254406131803989</v>
      </c>
      <c r="BR176" s="265" t="e">
        <f t="shared" si="108"/>
        <v>#REF!</v>
      </c>
      <c r="BS176" s="265">
        <v>3.2957790529492825E-2</v>
      </c>
      <c r="BT176" s="475">
        <v>3627617.5255335695</v>
      </c>
      <c r="BU176" s="475">
        <v>3524163.6744664311</v>
      </c>
      <c r="BV176" s="475">
        <v>0</v>
      </c>
      <c r="BW176" s="483">
        <f t="shared" si="109"/>
        <v>0</v>
      </c>
      <c r="BX176" s="483">
        <f t="shared" si="110"/>
        <v>0</v>
      </c>
    </row>
    <row r="177" spans="1:76" s="103" customFormat="1" ht="29">
      <c r="A177" s="100" t="s">
        <v>2507</v>
      </c>
      <c r="B177" s="91" t="str">
        <f t="shared" si="74"/>
        <v>OSL</v>
      </c>
      <c r="C177" s="92" t="s">
        <v>465</v>
      </c>
      <c r="D177" s="448"/>
      <c r="E177" s="501">
        <v>2130027</v>
      </c>
      <c r="F177" s="502" t="s">
        <v>2897</v>
      </c>
      <c r="G177" s="502" t="s">
        <v>4694</v>
      </c>
      <c r="H177" s="503">
        <v>1</v>
      </c>
      <c r="I177" s="504" t="s">
        <v>962</v>
      </c>
      <c r="J177" s="504" t="s">
        <v>1166</v>
      </c>
      <c r="K177" s="505">
        <v>40919456.840000004</v>
      </c>
      <c r="L177" s="506">
        <v>0.58446087227810606</v>
      </c>
      <c r="M177" s="507">
        <v>0.95338513611601372</v>
      </c>
      <c r="N177" s="508">
        <f t="shared" si="75"/>
        <v>4.6614863883986279E-2</v>
      </c>
      <c r="O177" s="475">
        <f t="shared" si="76"/>
        <v>17003635.402147289</v>
      </c>
      <c r="P177" s="475">
        <f t="shared" si="77"/>
        <v>22800988.676853489</v>
      </c>
      <c r="Q177" s="475">
        <f t="shared" si="78"/>
        <v>1114832.7609992253</v>
      </c>
      <c r="R177" s="187" t="s">
        <v>2417</v>
      </c>
      <c r="S177" s="187" t="s">
        <v>3608</v>
      </c>
      <c r="T177" s="509" t="s">
        <v>2658</v>
      </c>
      <c r="U177" s="395">
        <f>COUNTIF(Aggregation_of_rev_to_allocate!$A$3:$A$137,$T177)</f>
        <v>1</v>
      </c>
      <c r="V177" s="100"/>
      <c r="W177" s="100">
        <v>228</v>
      </c>
      <c r="X177" s="109">
        <v>18567970.567808643</v>
      </c>
      <c r="Y177" s="109">
        <v>6478254.517306854</v>
      </c>
      <c r="Z177" s="110">
        <v>0.61208596152801464</v>
      </c>
      <c r="AA177" s="110">
        <v>0.74134806761132399</v>
      </c>
      <c r="AB177" s="110">
        <v>0.25865193238867601</v>
      </c>
      <c r="AC177" s="109">
        <f>IF(ISERROR((X177*SUMIF('Rev_for_allocation(Hard)'!$A$3:$A$249,$T177,'Rev_for_allocation(Hard)'!$I$3:$I$249)/SUMIF(Historic_capex_list!$T$9:$T$586,$T177,Historic_capex_list!$X$9:$X$586))=TRUE),0,X177*SUMIF('Rev_for_allocation(Hard)'!$A$3:$A$249,$T177,'Rev_for_allocation(Hard)'!$I$3:$I$249)/SUMIF(Historic_capex_list!$T$9:$T$586,$T177,Historic_capex_list!$X$9:$X$586))</f>
        <v>-1130403.647262783</v>
      </c>
      <c r="AD177" s="109">
        <f t="shared" si="79"/>
        <v>17437566.920545861</v>
      </c>
      <c r="AE177" s="109">
        <f t="shared" si="80"/>
        <v>17437566.920545861</v>
      </c>
      <c r="AF177" s="109">
        <f t="shared" si="81"/>
        <v>23915821.437852714</v>
      </c>
      <c r="AG177" s="332" t="str">
        <f t="shared" si="82"/>
        <v>N</v>
      </c>
      <c r="AH177" s="332">
        <f t="shared" si="83"/>
        <v>0</v>
      </c>
      <c r="AI177" s="332">
        <f t="shared" si="84"/>
        <v>0</v>
      </c>
      <c r="AJ177" s="109">
        <f t="shared" si="85"/>
        <v>23915821.437852714</v>
      </c>
      <c r="AK177" s="109">
        <f t="shared" si="86"/>
        <v>0</v>
      </c>
      <c r="AL177" s="109">
        <v>0</v>
      </c>
      <c r="AM177" s="111">
        <f t="shared" si="87"/>
        <v>3.4889405353422025</v>
      </c>
      <c r="AN177" s="111">
        <f t="shared" si="88"/>
        <v>0.4889405353422025</v>
      </c>
      <c r="AO177" s="111" t="str">
        <f t="shared" si="89"/>
        <v>Use deduct 3yrs</v>
      </c>
      <c r="AP177" s="111">
        <f t="shared" si="90"/>
        <v>0.4889405353422025</v>
      </c>
      <c r="AQ177" s="112">
        <f t="shared" si="91"/>
        <v>4.6614863883986238E-2</v>
      </c>
      <c r="AR177" s="112">
        <f t="shared" si="92"/>
        <v>0.95338513611601372</v>
      </c>
      <c r="AS177" s="113">
        <f t="shared" si="93"/>
        <v>2028</v>
      </c>
      <c r="AT177" s="109">
        <v>23915821.437852714</v>
      </c>
      <c r="AU177" s="114">
        <v>0.95338513611601372</v>
      </c>
      <c r="AV177" s="113">
        <v>2028</v>
      </c>
      <c r="AW177" s="112">
        <f t="shared" si="94"/>
        <v>0.58446087227810606</v>
      </c>
      <c r="AX177" s="109">
        <f t="shared" si="95"/>
        <v>22800988.676853489</v>
      </c>
      <c r="AY177" s="109">
        <f t="shared" si="96"/>
        <v>1114832.7609992253</v>
      </c>
      <c r="AZ177" s="109">
        <f t="shared" si="97"/>
        <v>23915821.437852714</v>
      </c>
      <c r="BA177" s="111">
        <f t="shared" si="98"/>
        <v>0</v>
      </c>
      <c r="BB177" s="117"/>
      <c r="BC177" s="115" t="str">
        <f t="shared" si="99"/>
        <v>N</v>
      </c>
      <c r="BD177" s="115" t="str">
        <f t="shared" si="100"/>
        <v>N</v>
      </c>
      <c r="BE177" s="115" t="str">
        <f t="shared" si="101"/>
        <v>N</v>
      </c>
      <c r="BF177" s="109" t="str">
        <f t="shared" si="102"/>
        <v/>
      </c>
      <c r="BG177" s="111" t="s">
        <v>2499</v>
      </c>
      <c r="BH177" s="115" t="s">
        <v>1168</v>
      </c>
      <c r="BI177" s="116"/>
      <c r="BJ177" s="222">
        <v>0.58446087227810606</v>
      </c>
      <c r="BK177" s="265">
        <f t="shared" si="103"/>
        <v>0</v>
      </c>
      <c r="BL177" s="265">
        <f t="shared" si="104"/>
        <v>0</v>
      </c>
      <c r="BM177" s="265">
        <f t="shared" si="105"/>
        <v>0</v>
      </c>
      <c r="BN177" s="265">
        <f t="shared" si="106"/>
        <v>-4233018.1090448461</v>
      </c>
      <c r="BO177" s="109"/>
      <c r="BP177" s="265">
        <f t="shared" si="107"/>
        <v>1130403.6472627819</v>
      </c>
      <c r="BQ177" s="265">
        <v>1130403.6472627819</v>
      </c>
      <c r="BR177" s="265" t="e">
        <f t="shared" si="108"/>
        <v>#REF!</v>
      </c>
      <c r="BS177" s="265">
        <v>127350.41160093471</v>
      </c>
      <c r="BT177" s="475">
        <v>17003635.402147289</v>
      </c>
      <c r="BU177" s="475">
        <v>22800988.676853489</v>
      </c>
      <c r="BV177" s="475">
        <v>1114832.7609992253</v>
      </c>
      <c r="BW177" s="510">
        <f t="shared" si="109"/>
        <v>0</v>
      </c>
      <c r="BX177" s="510">
        <f t="shared" si="110"/>
        <v>0</v>
      </c>
    </row>
    <row r="178" spans="1:76" s="103" customFormat="1" ht="29">
      <c r="A178" s="100" t="s">
        <v>2507</v>
      </c>
      <c r="B178" s="91" t="str">
        <f t="shared" si="74"/>
        <v>OSL</v>
      </c>
      <c r="C178" s="92"/>
      <c r="D178" s="448"/>
      <c r="E178" s="449"/>
      <c r="F178" s="384" t="s">
        <v>3604</v>
      </c>
      <c r="G178" s="384" t="s">
        <v>4661</v>
      </c>
      <c r="H178" s="398">
        <v>0.82</v>
      </c>
      <c r="I178" s="95"/>
      <c r="J178" s="95" t="s">
        <v>1166</v>
      </c>
      <c r="K178" s="191">
        <v>3300048</v>
      </c>
      <c r="L178" s="268">
        <v>1</v>
      </c>
      <c r="M178" s="266">
        <v>0.967741935483871</v>
      </c>
      <c r="N178" s="267">
        <f t="shared" si="75"/>
        <v>3.2258064516129004E-2</v>
      </c>
      <c r="O178" s="96">
        <f t="shared" si="76"/>
        <v>594008.64000000013</v>
      </c>
      <c r="P178" s="96">
        <f t="shared" si="77"/>
        <v>2618747.7677419353</v>
      </c>
      <c r="Q178" s="96">
        <f t="shared" si="78"/>
        <v>87291.59225806444</v>
      </c>
      <c r="R178" s="187"/>
      <c r="S178" s="187" t="s">
        <v>3608</v>
      </c>
      <c r="T178" s="94" t="s">
        <v>2642</v>
      </c>
      <c r="U178" s="395"/>
      <c r="V178" s="100"/>
      <c r="W178" s="100"/>
      <c r="X178" s="109">
        <v>2029529.5199999998</v>
      </c>
      <c r="Y178" s="109">
        <v>676509.84</v>
      </c>
      <c r="Z178" s="110">
        <v>1</v>
      </c>
      <c r="AA178" s="110">
        <v>0.75</v>
      </c>
      <c r="AB178" s="110">
        <v>0.25</v>
      </c>
      <c r="AC178" s="109">
        <f>IF(ISERROR((X178*SUMIF('Rev_for_allocation(Hard)'!$A$3:$A$249,$T178,'Rev_for_allocation(Hard)'!$I$3:$I$249)/SUMIF(Historic_capex_list!$T$9:$T$586,$T178,Historic_capex_list!$X$9:$X$586))=TRUE),0,X178*SUMIF('Rev_for_allocation(Hard)'!$A$3:$A$249,$T178,'Rev_for_allocation(Hard)'!$I$3:$I$249)/SUMIF(Historic_capex_list!$T$9:$T$586,$T178,Historic_capex_list!$X$9:$X$586))</f>
        <v>0</v>
      </c>
      <c r="AD178" s="109">
        <f t="shared" si="79"/>
        <v>2029529.5199999998</v>
      </c>
      <c r="AE178" s="109">
        <f t="shared" si="80"/>
        <v>2029529.5199999998</v>
      </c>
      <c r="AF178" s="109">
        <f t="shared" si="81"/>
        <v>2706039.36</v>
      </c>
      <c r="AG178" s="332" t="str">
        <f t="shared" si="82"/>
        <v>N</v>
      </c>
      <c r="AH178" s="332">
        <f t="shared" si="83"/>
        <v>0</v>
      </c>
      <c r="AI178" s="332">
        <f t="shared" si="84"/>
        <v>0</v>
      </c>
      <c r="AJ178" s="109">
        <f t="shared" si="85"/>
        <v>2706039.36</v>
      </c>
      <c r="AK178" s="109">
        <f t="shared" si="86"/>
        <v>0</v>
      </c>
      <c r="AL178" s="109">
        <v>0</v>
      </c>
      <c r="AM178" s="111">
        <f t="shared" si="87"/>
        <v>3.333333333333333</v>
      </c>
      <c r="AN178" s="111">
        <f t="shared" si="88"/>
        <v>0.33333333333333304</v>
      </c>
      <c r="AO178" s="111" t="str">
        <f t="shared" si="89"/>
        <v>Use deduct 3yrs</v>
      </c>
      <c r="AP178" s="111">
        <f t="shared" si="90"/>
        <v>0.33333333333333304</v>
      </c>
      <c r="AQ178" s="112">
        <f t="shared" si="91"/>
        <v>3.2258064516129011E-2</v>
      </c>
      <c r="AR178" s="112">
        <f t="shared" si="92"/>
        <v>0.967741935483871</v>
      </c>
      <c r="AS178" s="113">
        <f t="shared" si="93"/>
        <v>2028</v>
      </c>
      <c r="AT178" s="109">
        <v>2706039.36</v>
      </c>
      <c r="AU178" s="114">
        <v>0.967741935483871</v>
      </c>
      <c r="AV178" s="113">
        <v>2028</v>
      </c>
      <c r="AW178" s="112">
        <f t="shared" si="94"/>
        <v>1</v>
      </c>
      <c r="AX178" s="109">
        <f t="shared" si="95"/>
        <v>2618747.7677419353</v>
      </c>
      <c r="AY178" s="109">
        <f t="shared" si="96"/>
        <v>87291.59225806444</v>
      </c>
      <c r="AZ178" s="109">
        <f t="shared" si="97"/>
        <v>2706039.36</v>
      </c>
      <c r="BA178" s="111">
        <f t="shared" si="98"/>
        <v>0</v>
      </c>
      <c r="BB178" s="117"/>
      <c r="BC178" s="115" t="str">
        <f t="shared" si="99"/>
        <v>N</v>
      </c>
      <c r="BD178" s="115" t="str">
        <f t="shared" si="100"/>
        <v>N</v>
      </c>
      <c r="BE178" s="115" t="str">
        <f t="shared" si="101"/>
        <v>N</v>
      </c>
      <c r="BF178" s="109" t="str">
        <f t="shared" si="102"/>
        <v/>
      </c>
      <c r="BG178" s="111" t="s">
        <v>2499</v>
      </c>
      <c r="BH178" s="115" t="s">
        <v>1168</v>
      </c>
      <c r="BI178" s="116"/>
      <c r="BJ178" s="222">
        <v>1</v>
      </c>
      <c r="BK178" s="265">
        <f t="shared" si="103"/>
        <v>0</v>
      </c>
      <c r="BL178" s="265">
        <f t="shared" si="104"/>
        <v>0</v>
      </c>
      <c r="BM178" s="265">
        <f t="shared" si="105"/>
        <v>0</v>
      </c>
      <c r="BN178" s="265">
        <f t="shared" si="106"/>
        <v>-589218.24774193554</v>
      </c>
      <c r="BO178" s="109"/>
      <c r="BP178" s="265">
        <f t="shared" si="107"/>
        <v>0</v>
      </c>
      <c r="BQ178" s="265">
        <v>0</v>
      </c>
      <c r="BR178" s="265" t="e">
        <f t="shared" si="108"/>
        <v>#REF!</v>
      </c>
      <c r="BS178" s="265">
        <v>0</v>
      </c>
      <c r="BT178" s="475">
        <v>594008.64000000013</v>
      </c>
      <c r="BU178" s="475">
        <v>2618747.7677419353</v>
      </c>
      <c r="BV178" s="475">
        <v>87291.59225806444</v>
      </c>
      <c r="BW178" s="483">
        <f t="shared" si="109"/>
        <v>0</v>
      </c>
      <c r="BX178" s="483">
        <f t="shared" si="110"/>
        <v>0</v>
      </c>
    </row>
    <row r="179" spans="1:76" s="103" customFormat="1" ht="29">
      <c r="A179" s="100" t="s">
        <v>2507</v>
      </c>
      <c r="B179" s="91" t="str">
        <f t="shared" si="74"/>
        <v>OSL</v>
      </c>
      <c r="C179" s="92"/>
      <c r="D179" s="448"/>
      <c r="E179" s="449"/>
      <c r="F179" s="384" t="s">
        <v>3605</v>
      </c>
      <c r="G179" s="384" t="s">
        <v>4661</v>
      </c>
      <c r="H179" s="398">
        <v>0.82</v>
      </c>
      <c r="I179" s="95"/>
      <c r="J179" s="95" t="s">
        <v>1166</v>
      </c>
      <c r="K179" s="191">
        <v>1757000</v>
      </c>
      <c r="L179" s="268">
        <v>0.33306528989135081</v>
      </c>
      <c r="M179" s="266">
        <v>1</v>
      </c>
      <c r="N179" s="267">
        <f t="shared" si="75"/>
        <v>0</v>
      </c>
      <c r="O179" s="96">
        <f t="shared" si="76"/>
        <v>1277139.5142419352</v>
      </c>
      <c r="P179" s="96">
        <f t="shared" si="77"/>
        <v>479860.48575806478</v>
      </c>
      <c r="Q179" s="96">
        <f t="shared" si="78"/>
        <v>0</v>
      </c>
      <c r="R179" s="187"/>
      <c r="S179" s="187" t="s">
        <v>3608</v>
      </c>
      <c r="T179" s="94" t="s">
        <v>2640</v>
      </c>
      <c r="U179" s="395"/>
      <c r="V179" s="100"/>
      <c r="W179" s="100"/>
      <c r="X179" s="109">
        <v>1080555</v>
      </c>
      <c r="Y179" s="109">
        <v>360185</v>
      </c>
      <c r="Z179" s="110">
        <v>1</v>
      </c>
      <c r="AA179" s="110">
        <v>0.75</v>
      </c>
      <c r="AB179" s="110">
        <v>0.25</v>
      </c>
      <c r="AC179" s="109">
        <f>IF(ISERROR((X179*SUMIF('Rev_for_allocation(Hard)'!$A$3:$A$249,$T179,'Rev_for_allocation(Hard)'!$I$3:$I$249)/SUMIF(Historic_capex_list!$T$9:$T$586,$T179,Historic_capex_list!$X$9:$X$586))=TRUE),0,X179*SUMIF('Rev_for_allocation(Hard)'!$A$3:$A$249,$T179,'Rev_for_allocation(Hard)'!$I$3:$I$249)/SUMIF(Historic_capex_list!$T$9:$T$586,$T179,Historic_capex_list!$X$9:$X$586))</f>
        <v>-960879.51424193522</v>
      </c>
      <c r="AD179" s="109">
        <f t="shared" si="79"/>
        <v>119675.48575806478</v>
      </c>
      <c r="AE179" s="109">
        <f t="shared" si="80"/>
        <v>119675.48575806478</v>
      </c>
      <c r="AF179" s="109">
        <f t="shared" si="81"/>
        <v>479860.48575806478</v>
      </c>
      <c r="AG179" s="332" t="str">
        <f t="shared" si="82"/>
        <v>N</v>
      </c>
      <c r="AH179" s="332">
        <f t="shared" si="83"/>
        <v>0</v>
      </c>
      <c r="AI179" s="332">
        <f t="shared" si="84"/>
        <v>0</v>
      </c>
      <c r="AJ179" s="109">
        <f t="shared" si="85"/>
        <v>479860.48575806478</v>
      </c>
      <c r="AK179" s="109">
        <f t="shared" si="86"/>
        <v>0</v>
      </c>
      <c r="AL179" s="109">
        <v>0</v>
      </c>
      <c r="AM179" s="111">
        <f t="shared" si="87"/>
        <v>3.333333333333333</v>
      </c>
      <c r="AN179" s="111">
        <f t="shared" si="88"/>
        <v>0.33333333333333304</v>
      </c>
      <c r="AO179" s="111">
        <f t="shared" si="89"/>
        <v>-13.365524432210066</v>
      </c>
      <c r="AP179" s="111">
        <f t="shared" si="90"/>
        <v>0</v>
      </c>
      <c r="AQ179" s="112">
        <f t="shared" si="91"/>
        <v>0</v>
      </c>
      <c r="AR179" s="112">
        <f t="shared" si="92"/>
        <v>1</v>
      </c>
      <c r="AS179" s="113">
        <f t="shared" si="93"/>
        <v>2028</v>
      </c>
      <c r="AT179" s="109">
        <v>479860.48575806478</v>
      </c>
      <c r="AU179" s="114">
        <v>1</v>
      </c>
      <c r="AV179" s="113">
        <v>2028</v>
      </c>
      <c r="AW179" s="112">
        <f t="shared" si="94"/>
        <v>0.33306528989135081</v>
      </c>
      <c r="AX179" s="109">
        <f t="shared" si="95"/>
        <v>479860.48575806478</v>
      </c>
      <c r="AY179" s="109">
        <f t="shared" si="96"/>
        <v>0</v>
      </c>
      <c r="AZ179" s="109">
        <f t="shared" si="97"/>
        <v>479860.48575806478</v>
      </c>
      <c r="BA179" s="111">
        <f t="shared" si="98"/>
        <v>0</v>
      </c>
      <c r="BB179" s="117"/>
      <c r="BC179" s="115" t="str">
        <f t="shared" si="99"/>
        <v>N</v>
      </c>
      <c r="BD179" s="115" t="str">
        <f t="shared" si="100"/>
        <v>Y</v>
      </c>
      <c r="BE179" s="115" t="str">
        <f t="shared" si="101"/>
        <v>N</v>
      </c>
      <c r="BF179" s="109" t="str">
        <f t="shared" si="102"/>
        <v/>
      </c>
      <c r="BG179" s="111" t="s">
        <v>2499</v>
      </c>
      <c r="BH179" s="115" t="s">
        <v>1168</v>
      </c>
      <c r="BI179" s="116"/>
      <c r="BJ179" s="222">
        <v>0.33306528989135081</v>
      </c>
      <c r="BK179" s="265">
        <f t="shared" si="103"/>
        <v>0</v>
      </c>
      <c r="BL179" s="265">
        <f t="shared" si="104"/>
        <v>0</v>
      </c>
      <c r="BM179" s="265">
        <f t="shared" si="105"/>
        <v>0</v>
      </c>
      <c r="BN179" s="265">
        <f t="shared" si="106"/>
        <v>600694.51424193522</v>
      </c>
      <c r="BO179" s="109"/>
      <c r="BP179" s="265">
        <f t="shared" si="107"/>
        <v>960879.51424193522</v>
      </c>
      <c r="BQ179" s="265">
        <v>960879.51424193522</v>
      </c>
      <c r="BR179" s="265" t="e">
        <f t="shared" si="108"/>
        <v>#REF!</v>
      </c>
      <c r="BS179" s="265">
        <v>108251.95224194991</v>
      </c>
      <c r="BT179" s="475">
        <v>1277139.5142419352</v>
      </c>
      <c r="BU179" s="475">
        <v>479860.48575806478</v>
      </c>
      <c r="BV179" s="475">
        <v>0</v>
      </c>
      <c r="BW179" s="483">
        <f t="shared" si="109"/>
        <v>0</v>
      </c>
      <c r="BX179" s="483">
        <f t="shared" si="110"/>
        <v>0</v>
      </c>
    </row>
    <row r="180" spans="1:76" s="103" customFormat="1" ht="29">
      <c r="A180" s="100" t="s">
        <v>2507</v>
      </c>
      <c r="B180" s="91" t="str">
        <f t="shared" si="74"/>
        <v>OSL</v>
      </c>
      <c r="C180" s="92"/>
      <c r="D180" s="448"/>
      <c r="E180" s="449"/>
      <c r="F180" s="384" t="s">
        <v>3606</v>
      </c>
      <c r="G180" s="384" t="s">
        <v>4661</v>
      </c>
      <c r="H180" s="398">
        <v>0.82</v>
      </c>
      <c r="I180" s="95"/>
      <c r="J180" s="95" t="s">
        <v>1166</v>
      </c>
      <c r="K180" s="191">
        <v>6040819</v>
      </c>
      <c r="L180" s="268">
        <v>0.97697605662424425</v>
      </c>
      <c r="M180" s="266">
        <v>0.967741935483871</v>
      </c>
      <c r="N180" s="267">
        <f t="shared" si="75"/>
        <v>3.2258064516129004E-2</v>
      </c>
      <c r="O180" s="96">
        <f t="shared" si="76"/>
        <v>1201395.8691713358</v>
      </c>
      <c r="P180" s="96">
        <f t="shared" si="77"/>
        <v>4683312.7072535465</v>
      </c>
      <c r="Q180" s="96">
        <f t="shared" si="78"/>
        <v>156110.42357511807</v>
      </c>
      <c r="R180" s="187"/>
      <c r="S180" s="187" t="s">
        <v>3608</v>
      </c>
      <c r="T180" s="94" t="s">
        <v>2644</v>
      </c>
      <c r="U180" s="395"/>
      <c r="V180" s="100"/>
      <c r="W180" s="100"/>
      <c r="X180" s="109">
        <v>3715103.6849999996</v>
      </c>
      <c r="Y180" s="109">
        <v>1238367.895</v>
      </c>
      <c r="Z180" s="110">
        <v>1</v>
      </c>
      <c r="AA180" s="110">
        <v>0.75</v>
      </c>
      <c r="AB180" s="110">
        <v>0.25</v>
      </c>
      <c r="AC180" s="109">
        <f>IF(ISERROR((X180*SUMIF('Rev_for_allocation(Hard)'!$A$3:$A$249,$T180,'Rev_for_allocation(Hard)'!$I$3:$I$249)/SUMIF(Historic_capex_list!$T$9:$T$586,$T180,Historic_capex_list!$X$9:$X$586))=TRUE),0,X180*SUMIF('Rev_for_allocation(Hard)'!$A$3:$A$249,$T180,'Rev_for_allocation(Hard)'!$I$3:$I$249)/SUMIF(Historic_capex_list!$T$9:$T$586,$T180,Historic_capex_list!$X$9:$X$586))</f>
        <v>-114048.44917133475</v>
      </c>
      <c r="AD180" s="109">
        <f t="shared" si="79"/>
        <v>3601055.2358286646</v>
      </c>
      <c r="AE180" s="109">
        <f t="shared" si="80"/>
        <v>3601055.2358286646</v>
      </c>
      <c r="AF180" s="109">
        <f t="shared" si="81"/>
        <v>4839423.1308286646</v>
      </c>
      <c r="AG180" s="332" t="str">
        <f t="shared" si="82"/>
        <v>N</v>
      </c>
      <c r="AH180" s="332">
        <f t="shared" si="83"/>
        <v>0</v>
      </c>
      <c r="AI180" s="332">
        <f t="shared" si="84"/>
        <v>0</v>
      </c>
      <c r="AJ180" s="109">
        <f t="shared" si="85"/>
        <v>4839423.1308286646</v>
      </c>
      <c r="AK180" s="109">
        <f t="shared" si="86"/>
        <v>0</v>
      </c>
      <c r="AL180" s="109">
        <v>0</v>
      </c>
      <c r="AM180" s="111">
        <f t="shared" si="87"/>
        <v>3.333333333333333</v>
      </c>
      <c r="AN180" s="111">
        <f t="shared" si="88"/>
        <v>0.33333333333333304</v>
      </c>
      <c r="AO180" s="111" t="str">
        <f t="shared" si="89"/>
        <v>Use deduct 3yrs</v>
      </c>
      <c r="AP180" s="111">
        <f t="shared" si="90"/>
        <v>0.33333333333333304</v>
      </c>
      <c r="AQ180" s="112">
        <f t="shared" si="91"/>
        <v>3.2258064516129011E-2</v>
      </c>
      <c r="AR180" s="112">
        <f t="shared" si="92"/>
        <v>0.967741935483871</v>
      </c>
      <c r="AS180" s="113">
        <f t="shared" si="93"/>
        <v>2028</v>
      </c>
      <c r="AT180" s="109">
        <v>4839423.1308286646</v>
      </c>
      <c r="AU180" s="114">
        <v>0.967741935483871</v>
      </c>
      <c r="AV180" s="113">
        <v>2028</v>
      </c>
      <c r="AW180" s="112">
        <f t="shared" si="94"/>
        <v>0.97697605662424425</v>
      </c>
      <c r="AX180" s="109">
        <f t="shared" si="95"/>
        <v>4683312.7072535465</v>
      </c>
      <c r="AY180" s="109">
        <f t="shared" si="96"/>
        <v>156110.42357511807</v>
      </c>
      <c r="AZ180" s="109">
        <f t="shared" si="97"/>
        <v>4839423.1308286646</v>
      </c>
      <c r="BA180" s="111">
        <f t="shared" si="98"/>
        <v>0</v>
      </c>
      <c r="BB180" s="117"/>
      <c r="BC180" s="115" t="str">
        <f t="shared" si="99"/>
        <v>N</v>
      </c>
      <c r="BD180" s="115" t="str">
        <f t="shared" si="100"/>
        <v>N</v>
      </c>
      <c r="BE180" s="115" t="str">
        <f t="shared" si="101"/>
        <v>N</v>
      </c>
      <c r="BF180" s="109" t="str">
        <f t="shared" si="102"/>
        <v/>
      </c>
      <c r="BG180" s="111" t="s">
        <v>2499</v>
      </c>
      <c r="BH180" s="115" t="s">
        <v>1168</v>
      </c>
      <c r="BI180" s="116"/>
      <c r="BJ180" s="222">
        <v>0.97697605662424425</v>
      </c>
      <c r="BK180" s="265">
        <f t="shared" si="103"/>
        <v>0</v>
      </c>
      <c r="BL180" s="265">
        <f t="shared" si="104"/>
        <v>0</v>
      </c>
      <c r="BM180" s="265">
        <f t="shared" si="105"/>
        <v>-8.149072527885437E-10</v>
      </c>
      <c r="BN180" s="265">
        <f t="shared" si="106"/>
        <v>-968209.02225354686</v>
      </c>
      <c r="BO180" s="109"/>
      <c r="BP180" s="265">
        <f t="shared" si="107"/>
        <v>114048.44917133544</v>
      </c>
      <c r="BQ180" s="265">
        <v>114048.44917133544</v>
      </c>
      <c r="BR180" s="265" t="e">
        <f t="shared" si="108"/>
        <v>#REF!</v>
      </c>
      <c r="BS180" s="265">
        <v>12848.611183790234</v>
      </c>
      <c r="BT180" s="475">
        <v>1201395.8691713358</v>
      </c>
      <c r="BU180" s="475">
        <v>4683312.7072535465</v>
      </c>
      <c r="BV180" s="475">
        <v>156110.42357511807</v>
      </c>
      <c r="BW180" s="483">
        <f t="shared" si="109"/>
        <v>0</v>
      </c>
      <c r="BX180" s="483">
        <f t="shared" si="110"/>
        <v>0</v>
      </c>
    </row>
    <row r="181" spans="1:76" s="103" customFormat="1" ht="29">
      <c r="A181" s="100" t="s">
        <v>2507</v>
      </c>
      <c r="B181" s="91" t="str">
        <f t="shared" si="74"/>
        <v>OSL</v>
      </c>
      <c r="C181" s="92"/>
      <c r="D181" s="448"/>
      <c r="E181" s="449"/>
      <c r="F181" s="384" t="s">
        <v>4332</v>
      </c>
      <c r="G181" s="384" t="s">
        <v>4707</v>
      </c>
      <c r="H181" s="398">
        <v>0.82</v>
      </c>
      <c r="I181" s="95"/>
      <c r="J181" s="95" t="s">
        <v>1166</v>
      </c>
      <c r="K181" s="191">
        <v>5447081</v>
      </c>
      <c r="L181" s="268">
        <v>0.49686508447697642</v>
      </c>
      <c r="M181" s="266">
        <v>1</v>
      </c>
      <c r="N181" s="267">
        <f t="shared" si="75"/>
        <v>0</v>
      </c>
      <c r="O181" s="96">
        <f t="shared" si="76"/>
        <v>3227780.2238012953</v>
      </c>
      <c r="P181" s="96">
        <f t="shared" si="77"/>
        <v>2219300.7761987052</v>
      </c>
      <c r="Q181" s="96">
        <f t="shared" si="78"/>
        <v>0</v>
      </c>
      <c r="R181" s="187"/>
      <c r="S181" s="187" t="s">
        <v>3608</v>
      </c>
      <c r="T181" s="94" t="s">
        <v>2633</v>
      </c>
      <c r="U181" s="395"/>
      <c r="V181" s="100"/>
      <c r="W181" s="100"/>
      <c r="X181" s="109">
        <v>3349954.8149999999</v>
      </c>
      <c r="Y181" s="109">
        <v>1116651.605</v>
      </c>
      <c r="Z181" s="110">
        <v>1</v>
      </c>
      <c r="AA181" s="110">
        <v>0.75</v>
      </c>
      <c r="AB181" s="110">
        <v>0.25</v>
      </c>
      <c r="AC181" s="109">
        <f>IF(ISERROR((X181*SUMIF('Rev_for_allocation(Hard)'!$A$3:$A$249,$T181,'Rev_for_allocation(Hard)'!$I$3:$I$249)/SUMIF(Historic_capex_list!$T$9:$T$586,$T181,Historic_capex_list!$X$9:$X$586))=TRUE),0,X181*SUMIF('Rev_for_allocation(Hard)'!$A$3:$A$249,$T181,'Rev_for_allocation(Hard)'!$I$3:$I$249)/SUMIF(Historic_capex_list!$T$9:$T$586,$T181,Historic_capex_list!$X$9:$X$586))</f>
        <v>-2247305.6438012947</v>
      </c>
      <c r="AD181" s="109">
        <f t="shared" si="79"/>
        <v>1102649.1711987052</v>
      </c>
      <c r="AE181" s="109">
        <f t="shared" si="80"/>
        <v>1102649.1711987052</v>
      </c>
      <c r="AF181" s="109">
        <f t="shared" si="81"/>
        <v>2219300.7761987052</v>
      </c>
      <c r="AG181" s="332" t="str">
        <f t="shared" si="82"/>
        <v>N</v>
      </c>
      <c r="AH181" s="332">
        <f t="shared" si="83"/>
        <v>0</v>
      </c>
      <c r="AI181" s="332">
        <f t="shared" si="84"/>
        <v>0</v>
      </c>
      <c r="AJ181" s="109">
        <f t="shared" si="85"/>
        <v>2219300.7761987052</v>
      </c>
      <c r="AK181" s="109">
        <f t="shared" si="86"/>
        <v>0</v>
      </c>
      <c r="AL181" s="109">
        <v>0</v>
      </c>
      <c r="AM181" s="111">
        <f t="shared" si="87"/>
        <v>3.333333333333333</v>
      </c>
      <c r="AN181" s="111">
        <f t="shared" si="88"/>
        <v>0.33333333333333304</v>
      </c>
      <c r="AO181" s="111">
        <f t="shared" si="89"/>
        <v>-0.16825039611835002</v>
      </c>
      <c r="AP181" s="111">
        <f t="shared" si="90"/>
        <v>0</v>
      </c>
      <c r="AQ181" s="112">
        <f t="shared" si="91"/>
        <v>0</v>
      </c>
      <c r="AR181" s="112">
        <f t="shared" si="92"/>
        <v>1</v>
      </c>
      <c r="AS181" s="113">
        <f t="shared" si="93"/>
        <v>2028</v>
      </c>
      <c r="AT181" s="109">
        <v>2219300.7761987052</v>
      </c>
      <c r="AU181" s="114">
        <v>1</v>
      </c>
      <c r="AV181" s="113">
        <v>2028</v>
      </c>
      <c r="AW181" s="112">
        <f t="shared" si="94"/>
        <v>0.49686508447697642</v>
      </c>
      <c r="AX181" s="109">
        <f t="shared" si="95"/>
        <v>2219300.7761987052</v>
      </c>
      <c r="AY181" s="109">
        <f t="shared" si="96"/>
        <v>0</v>
      </c>
      <c r="AZ181" s="109">
        <f t="shared" si="97"/>
        <v>2219300.7761987052</v>
      </c>
      <c r="BA181" s="111">
        <f t="shared" si="98"/>
        <v>0</v>
      </c>
      <c r="BB181" s="117"/>
      <c r="BC181" s="115" t="str">
        <f t="shared" si="99"/>
        <v>N</v>
      </c>
      <c r="BD181" s="115" t="str">
        <f t="shared" si="100"/>
        <v>Y</v>
      </c>
      <c r="BE181" s="115" t="str">
        <f t="shared" si="101"/>
        <v>N</v>
      </c>
      <c r="BF181" s="109" t="str">
        <f t="shared" si="102"/>
        <v/>
      </c>
      <c r="BG181" s="111" t="s">
        <v>2499</v>
      </c>
      <c r="BH181" s="115" t="s">
        <v>1168</v>
      </c>
      <c r="BI181" s="116"/>
      <c r="BJ181" s="222">
        <v>0.49686508447697642</v>
      </c>
      <c r="BK181" s="265">
        <f t="shared" si="103"/>
        <v>0</v>
      </c>
      <c r="BL181" s="265">
        <f t="shared" si="104"/>
        <v>0</v>
      </c>
      <c r="BM181" s="265">
        <f t="shared" si="105"/>
        <v>-4.6566128730773926E-10</v>
      </c>
      <c r="BN181" s="265">
        <f t="shared" si="106"/>
        <v>1130654.0388012948</v>
      </c>
      <c r="BO181" s="109"/>
      <c r="BP181" s="265">
        <f t="shared" si="107"/>
        <v>2247305.6438012947</v>
      </c>
      <c r="BQ181" s="265">
        <v>2247305.6438012947</v>
      </c>
      <c r="BR181" s="265" t="e">
        <f t="shared" si="108"/>
        <v>#REF!</v>
      </c>
      <c r="BS181" s="265">
        <v>253179.73754260843</v>
      </c>
      <c r="BT181" s="475">
        <v>3227780.2238012953</v>
      </c>
      <c r="BU181" s="475">
        <v>2219300.7761987052</v>
      </c>
      <c r="BV181" s="475">
        <v>0</v>
      </c>
      <c r="BW181" s="483">
        <f t="shared" si="109"/>
        <v>0</v>
      </c>
      <c r="BX181" s="483">
        <f t="shared" si="110"/>
        <v>0</v>
      </c>
    </row>
    <row r="182" spans="1:76" s="103" customFormat="1" ht="58">
      <c r="A182" s="100"/>
      <c r="B182" s="91" t="str">
        <f t="shared" si="74"/>
        <v>PTR</v>
      </c>
      <c r="C182" s="92"/>
      <c r="D182" s="448"/>
      <c r="E182" s="450"/>
      <c r="F182" s="384" t="s">
        <v>4403</v>
      </c>
      <c r="G182" s="588" t="s">
        <v>5254</v>
      </c>
      <c r="H182" s="398">
        <v>0.23</v>
      </c>
      <c r="I182" s="95"/>
      <c r="J182" s="95" t="s">
        <v>1166</v>
      </c>
      <c r="K182" s="191">
        <v>23074829</v>
      </c>
      <c r="L182" s="268">
        <v>0.79410499701058745</v>
      </c>
      <c r="M182" s="266">
        <v>0.58823529411764708</v>
      </c>
      <c r="N182" s="267">
        <f t="shared" si="75"/>
        <v>0.41176470588235292</v>
      </c>
      <c r="O182" s="96">
        <f t="shared" si="76"/>
        <v>18860346.486765094</v>
      </c>
      <c r="P182" s="96">
        <f t="shared" si="77"/>
        <v>2479107.3607264166</v>
      </c>
      <c r="Q182" s="96">
        <f t="shared" si="78"/>
        <v>1735375.1525084914</v>
      </c>
      <c r="R182" s="187" t="s">
        <v>2353</v>
      </c>
      <c r="S182" s="187" t="s">
        <v>3608</v>
      </c>
      <c r="T182" s="94" t="s">
        <v>2810</v>
      </c>
      <c r="U182" s="395">
        <f>COUNTIF(Aggregation_of_rev_to_allocate!$A$3:$A$137,$T182)</f>
        <v>1</v>
      </c>
      <c r="V182" s="100"/>
      <c r="W182" s="100">
        <v>931</v>
      </c>
      <c r="X182" s="109">
        <v>2653605.335</v>
      </c>
      <c r="Y182" s="109">
        <v>2653605.335</v>
      </c>
      <c r="Z182" s="110">
        <v>1</v>
      </c>
      <c r="AA182" s="110">
        <v>0.5</v>
      </c>
      <c r="AB182" s="110">
        <v>0.5</v>
      </c>
      <c r="AC182" s="109">
        <f>IF(ISERROR((X182*SUMIF('Rev_for_allocation(Hard)'!$A$3:$A$249,$T182,'Rev_for_allocation(Hard)'!$I$3:$I$249)/SUMIF(Historic_capex_list!$T$9:$T$586,$T182,Historic_capex_list!$X$9:$X$586))=TRUE),0,X182*SUMIF('Rev_for_allocation(Hard)'!$A$3:$A$249,$T182,'Rev_for_allocation(Hard)'!$I$3:$I$249)/SUMIF(Historic_capex_list!$T$9:$T$586,$T182,Historic_capex_list!$X$9:$X$586))</f>
        <v>-995309.93112169276</v>
      </c>
      <c r="AD182" s="109">
        <f t="shared" si="79"/>
        <v>1658295.4038783072</v>
      </c>
      <c r="AE182" s="109">
        <f t="shared" si="80"/>
        <v>1658295.4038783072</v>
      </c>
      <c r="AF182" s="109">
        <f t="shared" si="81"/>
        <v>4311900.7388783069</v>
      </c>
      <c r="AG182" s="332" t="str">
        <f t="shared" si="82"/>
        <v>N</v>
      </c>
      <c r="AH182" s="332">
        <f t="shared" si="83"/>
        <v>0</v>
      </c>
      <c r="AI182" s="332">
        <f t="shared" si="84"/>
        <v>0</v>
      </c>
      <c r="AJ182" s="109">
        <f t="shared" si="85"/>
        <v>4311900.7388783069</v>
      </c>
      <c r="AK182" s="109">
        <f t="shared" si="86"/>
        <v>0</v>
      </c>
      <c r="AL182" s="109">
        <v>0</v>
      </c>
      <c r="AM182" s="111">
        <f t="shared" si="87"/>
        <v>10</v>
      </c>
      <c r="AN182" s="111">
        <f t="shared" si="88"/>
        <v>7</v>
      </c>
      <c r="AO182" s="111" t="str">
        <f t="shared" si="89"/>
        <v>Use deduct 3yrs</v>
      </c>
      <c r="AP182" s="111">
        <f t="shared" si="90"/>
        <v>7</v>
      </c>
      <c r="AQ182" s="112">
        <f t="shared" si="91"/>
        <v>0.41176470588235292</v>
      </c>
      <c r="AR182" s="112">
        <f t="shared" si="92"/>
        <v>0.58823529411764708</v>
      </c>
      <c r="AS182" s="113">
        <f t="shared" si="93"/>
        <v>2035</v>
      </c>
      <c r="AT182" s="109">
        <v>4214482.5132349078</v>
      </c>
      <c r="AU182" s="114">
        <v>0.58823529411764708</v>
      </c>
      <c r="AV182" s="113">
        <v>2035</v>
      </c>
      <c r="AW182" s="112">
        <f t="shared" si="94"/>
        <v>0.79410499701058745</v>
      </c>
      <c r="AX182" s="109">
        <f t="shared" si="95"/>
        <v>2479107.3607264166</v>
      </c>
      <c r="AY182" s="109">
        <f t="shared" si="96"/>
        <v>1735375.1525084914</v>
      </c>
      <c r="AZ182" s="109">
        <f t="shared" si="97"/>
        <v>4214482.5132349078</v>
      </c>
      <c r="BA182" s="111">
        <f t="shared" si="98"/>
        <v>0</v>
      </c>
      <c r="BB182" s="117"/>
      <c r="BC182" s="115" t="str">
        <f t="shared" si="99"/>
        <v>N</v>
      </c>
      <c r="BD182" s="115" t="str">
        <f t="shared" si="100"/>
        <v>N</v>
      </c>
      <c r="BE182" s="115" t="str">
        <f t="shared" si="101"/>
        <v>N</v>
      </c>
      <c r="BF182" s="109" t="str">
        <f t="shared" si="102"/>
        <v/>
      </c>
      <c r="BG182" s="111" t="s">
        <v>2499</v>
      </c>
      <c r="BH182" s="115" t="s">
        <v>1168</v>
      </c>
      <c r="BI182" s="116"/>
      <c r="BJ182" s="222">
        <v>0.79410499701058745</v>
      </c>
      <c r="BK182" s="265">
        <f t="shared" si="103"/>
        <v>0</v>
      </c>
      <c r="BL182" s="265">
        <f t="shared" si="104"/>
        <v>0</v>
      </c>
      <c r="BM182" s="265">
        <f t="shared" si="105"/>
        <v>-2.0954757928848267E-9</v>
      </c>
      <c r="BN182" s="265">
        <f t="shared" si="106"/>
        <v>174497.97427358339</v>
      </c>
      <c r="BO182" s="109"/>
      <c r="BP182" s="265">
        <f t="shared" si="107"/>
        <v>1092728.1567650922</v>
      </c>
      <c r="BQ182" s="265">
        <v>1092728.1567650922</v>
      </c>
      <c r="BR182" s="265" t="e">
        <f t="shared" si="108"/>
        <v>#REF!</v>
      </c>
      <c r="BS182" s="265">
        <v>123105.91961458453</v>
      </c>
      <c r="BT182" s="475">
        <v>18860346.486765094</v>
      </c>
      <c r="BU182" s="475">
        <v>2479107.3607264166</v>
      </c>
      <c r="BV182" s="475">
        <v>1735375.1525084914</v>
      </c>
      <c r="BW182" s="483">
        <f t="shared" si="109"/>
        <v>0</v>
      </c>
      <c r="BX182" s="483">
        <f t="shared" si="110"/>
        <v>0</v>
      </c>
    </row>
    <row r="183" spans="1:76" s="103" customFormat="1" ht="29">
      <c r="A183" s="100"/>
      <c r="B183" s="91" t="str">
        <f t="shared" si="74"/>
        <v>PTR</v>
      </c>
      <c r="C183" s="92" t="s">
        <v>3626</v>
      </c>
      <c r="D183" s="448"/>
      <c r="E183" s="449"/>
      <c r="F183" s="384" t="s">
        <v>3639</v>
      </c>
      <c r="G183" s="384" t="s">
        <v>4442</v>
      </c>
      <c r="H183" s="398">
        <v>0.23</v>
      </c>
      <c r="I183" s="95"/>
      <c r="J183" s="95" t="s">
        <v>1166</v>
      </c>
      <c r="K183" s="191">
        <v>25356.3</v>
      </c>
      <c r="L183" s="268">
        <v>0.79410499701058745</v>
      </c>
      <c r="M183" s="266">
        <v>0.58823529411764708</v>
      </c>
      <c r="N183" s="267">
        <f t="shared" si="75"/>
        <v>0.41176470588235292</v>
      </c>
      <c r="O183" s="96">
        <f t="shared" si="76"/>
        <v>20725.1201567891</v>
      </c>
      <c r="P183" s="96">
        <f t="shared" si="77"/>
        <v>2724.2234371828818</v>
      </c>
      <c r="Q183" s="96">
        <f t="shared" si="78"/>
        <v>1906.956406028017</v>
      </c>
      <c r="R183" s="187" t="s">
        <v>2355</v>
      </c>
      <c r="S183" s="187" t="s">
        <v>3608</v>
      </c>
      <c r="T183" s="94" t="s">
        <v>2810</v>
      </c>
      <c r="U183" s="395">
        <f>COUNTIF(Aggregation_of_rev_to_allocate!$A$3:$A$137,$T183)</f>
        <v>1</v>
      </c>
      <c r="V183" s="100"/>
      <c r="W183" s="100">
        <v>1033</v>
      </c>
      <c r="X183" s="109">
        <v>2915.9745000000003</v>
      </c>
      <c r="Y183" s="109">
        <v>2915.9745000000003</v>
      </c>
      <c r="Z183" s="110">
        <v>1</v>
      </c>
      <c r="AA183" s="110">
        <v>0.5</v>
      </c>
      <c r="AB183" s="110">
        <v>0.5</v>
      </c>
      <c r="AC183" s="109">
        <f>IF(ISERROR((X183*SUMIF('Rev_for_allocation(Hard)'!$A$3:$A$249,$T183,'Rev_for_allocation(Hard)'!$I$3:$I$249)/SUMIF(Historic_capex_list!$T$9:$T$586,$T183,Historic_capex_list!$X$9:$X$586))=TRUE),0,X183*SUMIF('Rev_for_allocation(Hard)'!$A$3:$A$249,$T183,'Rev_for_allocation(Hard)'!$I$3:$I$249)/SUMIF(Historic_capex_list!$T$9:$T$586,$T183,Historic_capex_list!$X$9:$X$586))</f>
        <v>-1093.7189266495097</v>
      </c>
      <c r="AD183" s="109">
        <f t="shared" si="79"/>
        <v>1822.2555733504905</v>
      </c>
      <c r="AE183" s="109">
        <f t="shared" si="80"/>
        <v>1822.2555733504905</v>
      </c>
      <c r="AF183" s="109">
        <f t="shared" si="81"/>
        <v>4738.2300733504908</v>
      </c>
      <c r="AG183" s="332" t="str">
        <f t="shared" si="82"/>
        <v>N</v>
      </c>
      <c r="AH183" s="332">
        <f t="shared" si="83"/>
        <v>0</v>
      </c>
      <c r="AI183" s="332">
        <f t="shared" si="84"/>
        <v>0</v>
      </c>
      <c r="AJ183" s="109">
        <f t="shared" si="85"/>
        <v>4738.2300733504908</v>
      </c>
      <c r="AK183" s="109">
        <f t="shared" si="86"/>
        <v>0</v>
      </c>
      <c r="AL183" s="109">
        <v>0</v>
      </c>
      <c r="AM183" s="111">
        <f t="shared" si="87"/>
        <v>10</v>
      </c>
      <c r="AN183" s="111">
        <f t="shared" si="88"/>
        <v>7</v>
      </c>
      <c r="AO183" s="111" t="str">
        <f t="shared" si="89"/>
        <v>Use deduct 3yrs</v>
      </c>
      <c r="AP183" s="111">
        <f t="shared" si="90"/>
        <v>7</v>
      </c>
      <c r="AQ183" s="112">
        <f t="shared" si="91"/>
        <v>0.41176470588235292</v>
      </c>
      <c r="AR183" s="112">
        <f t="shared" si="92"/>
        <v>0.58823529411764708</v>
      </c>
      <c r="AS183" s="113">
        <f t="shared" si="93"/>
        <v>2035</v>
      </c>
      <c r="AT183" s="109">
        <v>4631.179843210899</v>
      </c>
      <c r="AU183" s="114">
        <v>0.58823529411764708</v>
      </c>
      <c r="AV183" s="113">
        <v>2035</v>
      </c>
      <c r="AW183" s="112">
        <f t="shared" si="94"/>
        <v>0.79410499701058745</v>
      </c>
      <c r="AX183" s="109">
        <f t="shared" si="95"/>
        <v>2724.2234371828818</v>
      </c>
      <c r="AY183" s="109">
        <f t="shared" si="96"/>
        <v>1906.956406028017</v>
      </c>
      <c r="AZ183" s="109">
        <f t="shared" si="97"/>
        <v>4631.179843210899</v>
      </c>
      <c r="BA183" s="111">
        <f t="shared" si="98"/>
        <v>0</v>
      </c>
      <c r="BB183" s="117"/>
      <c r="BC183" s="115" t="str">
        <f t="shared" si="99"/>
        <v>Y</v>
      </c>
      <c r="BD183" s="115" t="str">
        <f t="shared" si="100"/>
        <v>Y</v>
      </c>
      <c r="BE183" s="115" t="str">
        <f t="shared" si="101"/>
        <v>N</v>
      </c>
      <c r="BF183" s="109" t="str">
        <f t="shared" si="102"/>
        <v/>
      </c>
      <c r="BG183" s="111" t="s">
        <v>2499</v>
      </c>
      <c r="BH183" s="115" t="s">
        <v>1168</v>
      </c>
      <c r="BI183" s="116"/>
      <c r="BJ183" s="222">
        <v>0.79410499701058745</v>
      </c>
      <c r="BK183" s="265">
        <f t="shared" si="103"/>
        <v>0</v>
      </c>
      <c r="BL183" s="265">
        <f t="shared" si="104"/>
        <v>0</v>
      </c>
      <c r="BM183" s="265">
        <f t="shared" si="105"/>
        <v>0</v>
      </c>
      <c r="BN183" s="265">
        <f t="shared" si="106"/>
        <v>191.75106281711851</v>
      </c>
      <c r="BO183" s="109"/>
      <c r="BP183" s="265">
        <f t="shared" si="107"/>
        <v>1200.7691567891015</v>
      </c>
      <c r="BQ183" s="265">
        <v>1200.7691567891015</v>
      </c>
      <c r="BR183" s="265" t="e">
        <f t="shared" si="108"/>
        <v>#REF!</v>
      </c>
      <c r="BS183" s="265">
        <v>135.27773616538133</v>
      </c>
      <c r="BT183" s="475">
        <v>20725.1201567891</v>
      </c>
      <c r="BU183" s="475">
        <v>2724.2234371828818</v>
      </c>
      <c r="BV183" s="475">
        <v>1906.956406028017</v>
      </c>
      <c r="BW183" s="483">
        <f t="shared" si="109"/>
        <v>0</v>
      </c>
      <c r="BX183" s="483">
        <f t="shared" si="110"/>
        <v>0</v>
      </c>
    </row>
    <row r="184" spans="1:76" s="103" customFormat="1" ht="29">
      <c r="A184" s="100"/>
      <c r="B184" s="91" t="str">
        <f t="shared" si="74"/>
        <v>PTR</v>
      </c>
      <c r="C184" s="92" t="s">
        <v>3626</v>
      </c>
      <c r="D184" s="448"/>
      <c r="E184" s="449"/>
      <c r="F184" s="384" t="s">
        <v>4322</v>
      </c>
      <c r="G184" s="384" t="s">
        <v>4439</v>
      </c>
      <c r="H184" s="398">
        <v>0.23</v>
      </c>
      <c r="I184" s="95"/>
      <c r="J184" s="95" t="s">
        <v>1166</v>
      </c>
      <c r="K184" s="191">
        <v>2619291.16</v>
      </c>
      <c r="L184" s="268">
        <v>0.79410499701058745</v>
      </c>
      <c r="M184" s="266">
        <v>0.58823529411764708</v>
      </c>
      <c r="N184" s="267">
        <f t="shared" si="75"/>
        <v>0.41176470588235292</v>
      </c>
      <c r="O184" s="96">
        <f t="shared" si="76"/>
        <v>2140892.9542802186</v>
      </c>
      <c r="P184" s="96">
        <f t="shared" si="77"/>
        <v>281410.70924693026</v>
      </c>
      <c r="Q184" s="96">
        <f t="shared" si="78"/>
        <v>196987.49647285117</v>
      </c>
      <c r="R184" s="187" t="s">
        <v>2353</v>
      </c>
      <c r="S184" s="187" t="s">
        <v>3608</v>
      </c>
      <c r="T184" s="94" t="s">
        <v>2810</v>
      </c>
      <c r="U184" s="395">
        <f>COUNTIF(Aggregation_of_rev_to_allocate!$A$3:$A$137,$T184)</f>
        <v>1</v>
      </c>
      <c r="V184" s="100"/>
      <c r="W184" s="100">
        <v>1032</v>
      </c>
      <c r="X184" s="109">
        <v>301218.48340000003</v>
      </c>
      <c r="Y184" s="109">
        <v>301218.48340000003</v>
      </c>
      <c r="Z184" s="110">
        <v>1</v>
      </c>
      <c r="AA184" s="110">
        <v>0.5</v>
      </c>
      <c r="AB184" s="110">
        <v>0.5</v>
      </c>
      <c r="AC184" s="109">
        <f>IF(ISERROR((X184*SUMIF('Rev_for_allocation(Hard)'!$A$3:$A$249,$T184,'Rev_for_allocation(Hard)'!$I$3:$I$249)/SUMIF(Historic_capex_list!$T$9:$T$586,$T184,Historic_capex_list!$X$9:$X$586))=TRUE),0,X184*SUMIF('Rev_for_allocation(Hard)'!$A$3:$A$249,$T184,'Rev_for_allocation(Hard)'!$I$3:$I$249)/SUMIF(Historic_capex_list!$T$9:$T$586,$T184,Historic_capex_list!$X$9:$X$586))</f>
        <v>-112980.53407231139</v>
      </c>
      <c r="AD184" s="109">
        <f t="shared" si="79"/>
        <v>188237.94932768864</v>
      </c>
      <c r="AE184" s="109">
        <f t="shared" si="80"/>
        <v>188237.94932768864</v>
      </c>
      <c r="AF184" s="109">
        <f t="shared" si="81"/>
        <v>489456.43272768869</v>
      </c>
      <c r="AG184" s="332" t="str">
        <f t="shared" si="82"/>
        <v>N</v>
      </c>
      <c r="AH184" s="332">
        <f t="shared" si="83"/>
        <v>0</v>
      </c>
      <c r="AI184" s="332">
        <f t="shared" si="84"/>
        <v>0</v>
      </c>
      <c r="AJ184" s="109">
        <f t="shared" si="85"/>
        <v>489456.43272768869</v>
      </c>
      <c r="AK184" s="109">
        <f t="shared" si="86"/>
        <v>0</v>
      </c>
      <c r="AL184" s="109">
        <v>0</v>
      </c>
      <c r="AM184" s="111">
        <f t="shared" si="87"/>
        <v>10</v>
      </c>
      <c r="AN184" s="111">
        <f t="shared" si="88"/>
        <v>7</v>
      </c>
      <c r="AO184" s="111" t="str">
        <f t="shared" si="89"/>
        <v>Use deduct 3yrs</v>
      </c>
      <c r="AP184" s="111">
        <f t="shared" si="90"/>
        <v>7</v>
      </c>
      <c r="AQ184" s="112">
        <f t="shared" si="91"/>
        <v>0.41176470588235292</v>
      </c>
      <c r="AR184" s="112">
        <f t="shared" si="92"/>
        <v>0.58823529411764708</v>
      </c>
      <c r="AS184" s="113">
        <f t="shared" si="93"/>
        <v>2035</v>
      </c>
      <c r="AT184" s="109">
        <v>478398.2057197814</v>
      </c>
      <c r="AU184" s="114">
        <v>0.58823529411764708</v>
      </c>
      <c r="AV184" s="113">
        <v>2035</v>
      </c>
      <c r="AW184" s="112">
        <f t="shared" si="94"/>
        <v>0.79410499701058745</v>
      </c>
      <c r="AX184" s="109">
        <f t="shared" si="95"/>
        <v>281410.70924693026</v>
      </c>
      <c r="AY184" s="109">
        <f t="shared" si="96"/>
        <v>196987.49647285117</v>
      </c>
      <c r="AZ184" s="109">
        <f t="shared" si="97"/>
        <v>478398.20571978146</v>
      </c>
      <c r="BA184" s="111">
        <f t="shared" si="98"/>
        <v>0</v>
      </c>
      <c r="BB184" s="117"/>
      <c r="BC184" s="115" t="str">
        <f t="shared" si="99"/>
        <v>N</v>
      </c>
      <c r="BD184" s="115" t="str">
        <f t="shared" si="100"/>
        <v>N</v>
      </c>
      <c r="BE184" s="115" t="str">
        <f t="shared" si="101"/>
        <v>N</v>
      </c>
      <c r="BF184" s="109" t="str">
        <f t="shared" si="102"/>
        <v/>
      </c>
      <c r="BG184" s="111" t="s">
        <v>2499</v>
      </c>
      <c r="BH184" s="115" t="s">
        <v>1168</v>
      </c>
      <c r="BI184" s="116"/>
      <c r="BJ184" s="222">
        <v>0.79410499701058745</v>
      </c>
      <c r="BK184" s="265">
        <f t="shared" si="103"/>
        <v>0</v>
      </c>
      <c r="BL184" s="265">
        <f t="shared" si="104"/>
        <v>0</v>
      </c>
      <c r="BM184" s="265">
        <f t="shared" si="105"/>
        <v>0</v>
      </c>
      <c r="BN184" s="265">
        <f t="shared" si="106"/>
        <v>19807.774153069768</v>
      </c>
      <c r="BO184" s="109"/>
      <c r="BP184" s="265">
        <f t="shared" si="107"/>
        <v>124038.76108021865</v>
      </c>
      <c r="BQ184" s="265">
        <v>124038.76108021865</v>
      </c>
      <c r="BR184" s="265" t="e">
        <f t="shared" si="108"/>
        <v>#REF!</v>
      </c>
      <c r="BS184" s="265">
        <v>13974.112093751677</v>
      </c>
      <c r="BT184" s="475">
        <v>2140892.9542802186</v>
      </c>
      <c r="BU184" s="475">
        <v>281410.70924693026</v>
      </c>
      <c r="BV184" s="475">
        <v>196987.49647285117</v>
      </c>
      <c r="BW184" s="483">
        <f t="shared" si="109"/>
        <v>0</v>
      </c>
      <c r="BX184" s="483">
        <f t="shared" si="110"/>
        <v>0</v>
      </c>
    </row>
    <row r="185" spans="1:76" s="103" customFormat="1" ht="72.5">
      <c r="A185" s="100"/>
      <c r="B185" s="91" t="str">
        <f t="shared" si="74"/>
        <v>PTR</v>
      </c>
      <c r="C185" s="92" t="s">
        <v>3626</v>
      </c>
      <c r="D185" s="448"/>
      <c r="E185" s="449"/>
      <c r="F185" s="384" t="s">
        <v>3637</v>
      </c>
      <c r="G185" s="384" t="s">
        <v>4440</v>
      </c>
      <c r="H185" s="398">
        <v>0.23</v>
      </c>
      <c r="I185" s="95"/>
      <c r="J185" s="95" t="s">
        <v>1166</v>
      </c>
      <c r="K185" s="191">
        <v>14066200.560000001</v>
      </c>
      <c r="L185" s="268">
        <v>0.79410499701058745</v>
      </c>
      <c r="M185" s="266">
        <v>0.58823529411764708</v>
      </c>
      <c r="N185" s="267">
        <f t="shared" si="75"/>
        <v>0.41176470588235292</v>
      </c>
      <c r="O185" s="96">
        <f t="shared" si="76"/>
        <v>11497091.324660704</v>
      </c>
      <c r="P185" s="96">
        <f t="shared" si="77"/>
        <v>1511240.7266701756</v>
      </c>
      <c r="Q185" s="96">
        <f t="shared" si="78"/>
        <v>1057868.5086691228</v>
      </c>
      <c r="R185" s="187" t="s">
        <v>2355</v>
      </c>
      <c r="S185" s="187" t="s">
        <v>3608</v>
      </c>
      <c r="T185" s="94" t="s">
        <v>2810</v>
      </c>
      <c r="U185" s="395">
        <f>COUNTIF(Aggregation_of_rev_to_allocate!$A$3:$A$137,$T185)</f>
        <v>1</v>
      </c>
      <c r="V185" s="100"/>
      <c r="W185" s="100">
        <v>1033</v>
      </c>
      <c r="X185" s="109">
        <v>1617613.0644</v>
      </c>
      <c r="Y185" s="109">
        <v>1617613.0644</v>
      </c>
      <c r="Z185" s="110">
        <v>1</v>
      </c>
      <c r="AA185" s="110">
        <v>0.5</v>
      </c>
      <c r="AB185" s="110">
        <v>0.5</v>
      </c>
      <c r="AC185" s="109">
        <f>IF(ISERROR((X185*SUMIF('Rev_for_allocation(Hard)'!$A$3:$A$249,$T185,'Rev_for_allocation(Hard)'!$I$3:$I$249)/SUMIF(Historic_capex_list!$T$9:$T$586,$T185,Historic_capex_list!$X$9:$X$586))=TRUE),0,X185*SUMIF('Rev_for_allocation(Hard)'!$A$3:$A$249,$T185,'Rev_for_allocation(Hard)'!$I$3:$I$249)/SUMIF(Historic_capex_list!$T$9:$T$586,$T185,Historic_capex_list!$X$9:$X$586))</f>
        <v>-606731.65164160111</v>
      </c>
      <c r="AD185" s="109">
        <f t="shared" si="79"/>
        <v>1010881.4127583989</v>
      </c>
      <c r="AE185" s="109">
        <f t="shared" si="80"/>
        <v>1010881.4127583989</v>
      </c>
      <c r="AF185" s="109">
        <f t="shared" si="81"/>
        <v>2628494.4771583988</v>
      </c>
      <c r="AG185" s="332" t="str">
        <f t="shared" si="82"/>
        <v>N</v>
      </c>
      <c r="AH185" s="332">
        <f t="shared" si="83"/>
        <v>0</v>
      </c>
      <c r="AI185" s="332">
        <f t="shared" si="84"/>
        <v>0</v>
      </c>
      <c r="AJ185" s="109">
        <f t="shared" si="85"/>
        <v>2628494.4771583988</v>
      </c>
      <c r="AK185" s="109">
        <f t="shared" si="86"/>
        <v>0</v>
      </c>
      <c r="AL185" s="109">
        <v>0</v>
      </c>
      <c r="AM185" s="111">
        <f t="shared" si="87"/>
        <v>10</v>
      </c>
      <c r="AN185" s="111">
        <f t="shared" si="88"/>
        <v>7</v>
      </c>
      <c r="AO185" s="111" t="str">
        <f t="shared" si="89"/>
        <v>Use deduct 3yrs</v>
      </c>
      <c r="AP185" s="111">
        <f t="shared" si="90"/>
        <v>7</v>
      </c>
      <c r="AQ185" s="112">
        <f t="shared" si="91"/>
        <v>0.41176470588235292</v>
      </c>
      <c r="AR185" s="112">
        <f t="shared" si="92"/>
        <v>0.58823529411764708</v>
      </c>
      <c r="AS185" s="113">
        <f t="shared" si="93"/>
        <v>2035</v>
      </c>
      <c r="AT185" s="109">
        <v>2569109.2353392984</v>
      </c>
      <c r="AU185" s="114">
        <v>0.58823529411764708</v>
      </c>
      <c r="AV185" s="113">
        <v>2035</v>
      </c>
      <c r="AW185" s="112">
        <f t="shared" si="94"/>
        <v>0.79410499701058745</v>
      </c>
      <c r="AX185" s="109">
        <f t="shared" si="95"/>
        <v>1511240.7266701756</v>
      </c>
      <c r="AY185" s="109">
        <f t="shared" si="96"/>
        <v>1057868.5086691228</v>
      </c>
      <c r="AZ185" s="109">
        <f t="shared" si="97"/>
        <v>2569109.2353392984</v>
      </c>
      <c r="BA185" s="111">
        <f t="shared" si="98"/>
        <v>0</v>
      </c>
      <c r="BB185" s="117"/>
      <c r="BC185" s="115" t="str">
        <f t="shared" si="99"/>
        <v>N</v>
      </c>
      <c r="BD185" s="115" t="str">
        <f t="shared" si="100"/>
        <v>N</v>
      </c>
      <c r="BE185" s="115" t="str">
        <f t="shared" si="101"/>
        <v>N</v>
      </c>
      <c r="BF185" s="109" t="str">
        <f t="shared" si="102"/>
        <v/>
      </c>
      <c r="BG185" s="111" t="s">
        <v>2499</v>
      </c>
      <c r="BH185" s="115" t="s">
        <v>1168</v>
      </c>
      <c r="BI185" s="116"/>
      <c r="BJ185" s="222">
        <v>0.79410499701058745</v>
      </c>
      <c r="BK185" s="265">
        <f t="shared" si="103"/>
        <v>0</v>
      </c>
      <c r="BL185" s="265">
        <f t="shared" si="104"/>
        <v>0</v>
      </c>
      <c r="BM185" s="265">
        <f t="shared" si="105"/>
        <v>0</v>
      </c>
      <c r="BN185" s="265">
        <f t="shared" si="106"/>
        <v>106372.33772982447</v>
      </c>
      <c r="BO185" s="109"/>
      <c r="BP185" s="265">
        <f t="shared" si="107"/>
        <v>666116.89346070169</v>
      </c>
      <c r="BQ185" s="265">
        <v>666116.89346070169</v>
      </c>
      <c r="BR185" s="265" t="e">
        <f t="shared" si="108"/>
        <v>#REF!</v>
      </c>
      <c r="BS185" s="265">
        <v>75044.220497668008</v>
      </c>
      <c r="BT185" s="475">
        <v>11497091.324660704</v>
      </c>
      <c r="BU185" s="475">
        <v>1511240.7266701756</v>
      </c>
      <c r="BV185" s="475">
        <v>1057868.5086691228</v>
      </c>
      <c r="BW185" s="483">
        <f t="shared" si="109"/>
        <v>0</v>
      </c>
      <c r="BX185" s="483">
        <f t="shared" si="110"/>
        <v>0</v>
      </c>
    </row>
    <row r="186" spans="1:76" s="103" customFormat="1" ht="72.5">
      <c r="A186" s="100"/>
      <c r="B186" s="91" t="str">
        <f t="shared" si="74"/>
        <v>PTR</v>
      </c>
      <c r="C186" s="92" t="s">
        <v>3626</v>
      </c>
      <c r="D186" s="448"/>
      <c r="E186" s="449"/>
      <c r="F186" s="384" t="s">
        <v>3638</v>
      </c>
      <c r="G186" s="384" t="s">
        <v>4441</v>
      </c>
      <c r="H186" s="398">
        <v>0.23</v>
      </c>
      <c r="I186" s="95"/>
      <c r="J186" s="95" t="s">
        <v>1166</v>
      </c>
      <c r="K186" s="191">
        <v>15649052.01</v>
      </c>
      <c r="L186" s="268">
        <v>0.79410499701058734</v>
      </c>
      <c r="M186" s="266">
        <v>0.58823529411764708</v>
      </c>
      <c r="N186" s="267">
        <f t="shared" si="75"/>
        <v>0.41176470588235292</v>
      </c>
      <c r="O186" s="96">
        <f t="shared" si="76"/>
        <v>12790844.218087498</v>
      </c>
      <c r="P186" s="96">
        <f t="shared" si="77"/>
        <v>1681298.7011250015</v>
      </c>
      <c r="Q186" s="96">
        <f t="shared" si="78"/>
        <v>1176909.0907875008</v>
      </c>
      <c r="R186" s="187" t="s">
        <v>2355</v>
      </c>
      <c r="S186" s="187" t="s">
        <v>3608</v>
      </c>
      <c r="T186" s="94" t="s">
        <v>2810</v>
      </c>
      <c r="U186" s="395">
        <f>COUNTIF(Aggregation_of_rev_to_allocate!$A$3:$A$137,$T186)</f>
        <v>1</v>
      </c>
      <c r="V186" s="100"/>
      <c r="W186" s="100">
        <v>1033</v>
      </c>
      <c r="X186" s="109">
        <v>1799640.9811500001</v>
      </c>
      <c r="Y186" s="109">
        <v>1799640.9811500001</v>
      </c>
      <c r="Z186" s="110">
        <v>1</v>
      </c>
      <c r="AA186" s="110">
        <v>0.5</v>
      </c>
      <c r="AB186" s="110">
        <v>0.5</v>
      </c>
      <c r="AC186" s="109">
        <f>IF(ISERROR((X186*SUMIF('Rev_for_allocation(Hard)'!$A$3:$A$249,$T186,'Rev_for_allocation(Hard)'!$I$3:$I$249)/SUMIF(Historic_capex_list!$T$9:$T$586,$T186,Historic_capex_list!$X$9:$X$586))=TRUE),0,X186*SUMIF('Rev_for_allocation(Hard)'!$A$3:$A$249,$T186,'Rev_for_allocation(Hard)'!$I$3:$I$249)/SUMIF(Historic_capex_list!$T$9:$T$586,$T186,Historic_capex_list!$X$9:$X$586))</f>
        <v>-675006.38371763832</v>
      </c>
      <c r="AD186" s="109">
        <f t="shared" si="79"/>
        <v>1124634.5974323619</v>
      </c>
      <c r="AE186" s="109">
        <f t="shared" si="80"/>
        <v>1124634.5974323619</v>
      </c>
      <c r="AF186" s="109">
        <f t="shared" si="81"/>
        <v>2924275.5785823623</v>
      </c>
      <c r="AG186" s="332" t="str">
        <f t="shared" si="82"/>
        <v>N</v>
      </c>
      <c r="AH186" s="332">
        <f t="shared" si="83"/>
        <v>0</v>
      </c>
      <c r="AI186" s="332">
        <f t="shared" si="84"/>
        <v>0</v>
      </c>
      <c r="AJ186" s="109">
        <f t="shared" si="85"/>
        <v>2924275.5785823623</v>
      </c>
      <c r="AK186" s="109">
        <f t="shared" si="86"/>
        <v>0</v>
      </c>
      <c r="AL186" s="109">
        <v>0</v>
      </c>
      <c r="AM186" s="111">
        <f t="shared" si="87"/>
        <v>10</v>
      </c>
      <c r="AN186" s="111">
        <f t="shared" si="88"/>
        <v>7</v>
      </c>
      <c r="AO186" s="111" t="str">
        <f t="shared" si="89"/>
        <v>Use deduct 3yrs</v>
      </c>
      <c r="AP186" s="111">
        <f t="shared" si="90"/>
        <v>7</v>
      </c>
      <c r="AQ186" s="112">
        <f t="shared" si="91"/>
        <v>0.41176470588235292</v>
      </c>
      <c r="AR186" s="112">
        <f t="shared" si="92"/>
        <v>0.58823529411764708</v>
      </c>
      <c r="AS186" s="113">
        <f t="shared" si="93"/>
        <v>2035</v>
      </c>
      <c r="AT186" s="109">
        <v>2858207.7919125026</v>
      </c>
      <c r="AU186" s="114">
        <v>0.58823529411764708</v>
      </c>
      <c r="AV186" s="113">
        <v>2035</v>
      </c>
      <c r="AW186" s="112">
        <f t="shared" si="94"/>
        <v>0.79410499701058734</v>
      </c>
      <c r="AX186" s="109">
        <f t="shared" si="95"/>
        <v>1681298.7011250015</v>
      </c>
      <c r="AY186" s="109">
        <f t="shared" si="96"/>
        <v>1176909.0907875008</v>
      </c>
      <c r="AZ186" s="109">
        <f t="shared" si="97"/>
        <v>2858207.7919125026</v>
      </c>
      <c r="BA186" s="111">
        <f t="shared" si="98"/>
        <v>0</v>
      </c>
      <c r="BB186" s="117"/>
      <c r="BC186" s="115" t="str">
        <f t="shared" si="99"/>
        <v>N</v>
      </c>
      <c r="BD186" s="115" t="str">
        <f t="shared" si="100"/>
        <v>N</v>
      </c>
      <c r="BE186" s="115" t="str">
        <f t="shared" si="101"/>
        <v>N</v>
      </c>
      <c r="BF186" s="109" t="str">
        <f t="shared" si="102"/>
        <v/>
      </c>
      <c r="BG186" s="111" t="s">
        <v>2499</v>
      </c>
      <c r="BH186" s="115" t="s">
        <v>1168</v>
      </c>
      <c r="BI186" s="116"/>
      <c r="BJ186" s="222">
        <v>0.79410499701058734</v>
      </c>
      <c r="BK186" s="265">
        <f t="shared" si="103"/>
        <v>0</v>
      </c>
      <c r="BL186" s="265">
        <f t="shared" si="104"/>
        <v>0</v>
      </c>
      <c r="BM186" s="265">
        <f t="shared" si="105"/>
        <v>0</v>
      </c>
      <c r="BN186" s="265">
        <f t="shared" si="106"/>
        <v>118342.28002499859</v>
      </c>
      <c r="BO186" s="109"/>
      <c r="BP186" s="265">
        <f t="shared" si="107"/>
        <v>741074.17038749764</v>
      </c>
      <c r="BQ186" s="265">
        <v>741074.17038749764</v>
      </c>
      <c r="BR186" s="265" t="e">
        <f t="shared" si="108"/>
        <v>#REF!</v>
      </c>
      <c r="BS186" s="265">
        <v>83488.850070677174</v>
      </c>
      <c r="BT186" s="475">
        <v>12790844.218087498</v>
      </c>
      <c r="BU186" s="475">
        <v>1681298.7011250015</v>
      </c>
      <c r="BV186" s="475">
        <v>1176909.0907875008</v>
      </c>
      <c r="BW186" s="483">
        <f t="shared" si="109"/>
        <v>0</v>
      </c>
      <c r="BX186" s="483">
        <f t="shared" si="110"/>
        <v>0</v>
      </c>
    </row>
    <row r="187" spans="1:76" s="103" customFormat="1" ht="29">
      <c r="A187" s="100"/>
      <c r="B187" s="91" t="str">
        <f t="shared" si="74"/>
        <v>PTR</v>
      </c>
      <c r="C187" s="92" t="s">
        <v>3626</v>
      </c>
      <c r="D187" s="448"/>
      <c r="E187" s="449"/>
      <c r="F187" s="384" t="s">
        <v>4323</v>
      </c>
      <c r="G187" s="384" t="s">
        <v>5255</v>
      </c>
      <c r="H187" s="398">
        <v>0.23</v>
      </c>
      <c r="I187" s="95"/>
      <c r="J187" s="95" t="s">
        <v>1166</v>
      </c>
      <c r="K187" s="191">
        <v>270034.34999999998</v>
      </c>
      <c r="L187" s="268">
        <v>0.79410499701058757</v>
      </c>
      <c r="M187" s="266">
        <v>0.58823529411764708</v>
      </c>
      <c r="N187" s="267">
        <f t="shared" si="75"/>
        <v>0.41176470588235292</v>
      </c>
      <c r="O187" s="96">
        <f t="shared" si="76"/>
        <v>220714.15585911361</v>
      </c>
      <c r="P187" s="96">
        <f t="shared" si="77"/>
        <v>29011.878906403748</v>
      </c>
      <c r="Q187" s="96">
        <f t="shared" si="78"/>
        <v>20308.315234482619</v>
      </c>
      <c r="R187" s="187" t="s">
        <v>2355</v>
      </c>
      <c r="S187" s="187" t="s">
        <v>3608</v>
      </c>
      <c r="T187" s="94" t="s">
        <v>2810</v>
      </c>
      <c r="U187" s="395">
        <f>COUNTIF(Aggregation_of_rev_to_allocate!$A$3:$A$137,$T187)</f>
        <v>1</v>
      </c>
      <c r="V187" s="100"/>
      <c r="W187" s="100">
        <v>1033</v>
      </c>
      <c r="X187" s="109">
        <v>31053.950249999998</v>
      </c>
      <c r="Y187" s="109">
        <v>31053.950249999998</v>
      </c>
      <c r="Z187" s="110">
        <v>1</v>
      </c>
      <c r="AA187" s="110">
        <v>0.5</v>
      </c>
      <c r="AB187" s="110">
        <v>0.5</v>
      </c>
      <c r="AC187" s="109">
        <f>IF(ISERROR((X187*SUMIF('Rev_for_allocation(Hard)'!$A$3:$A$249,$T187,'Rev_for_allocation(Hard)'!$I$3:$I$249)/SUMIF(Historic_capex_list!$T$9:$T$586,$T187,Historic_capex_list!$X$9:$X$586))=TRUE),0,X187*SUMIF('Rev_for_allocation(Hard)'!$A$3:$A$249,$T187,'Rev_for_allocation(Hard)'!$I$3:$I$249)/SUMIF(Historic_capex_list!$T$9:$T$586,$T187,Historic_capex_list!$X$9:$X$586))</f>
        <v>-11647.664660873155</v>
      </c>
      <c r="AD187" s="109">
        <f t="shared" si="79"/>
        <v>19406.285589126841</v>
      </c>
      <c r="AE187" s="109">
        <f t="shared" si="80"/>
        <v>19406.285589126841</v>
      </c>
      <c r="AF187" s="109">
        <f t="shared" si="81"/>
        <v>50460.235839126835</v>
      </c>
      <c r="AG187" s="332" t="str">
        <f t="shared" si="82"/>
        <v>N</v>
      </c>
      <c r="AH187" s="332">
        <f t="shared" si="83"/>
        <v>0</v>
      </c>
      <c r="AI187" s="332">
        <f t="shared" si="84"/>
        <v>0</v>
      </c>
      <c r="AJ187" s="109">
        <f t="shared" si="85"/>
        <v>50460.235839126835</v>
      </c>
      <c r="AK187" s="109">
        <f t="shared" si="86"/>
        <v>0</v>
      </c>
      <c r="AL187" s="109">
        <v>0</v>
      </c>
      <c r="AM187" s="111">
        <f t="shared" si="87"/>
        <v>10</v>
      </c>
      <c r="AN187" s="111">
        <f t="shared" si="88"/>
        <v>7</v>
      </c>
      <c r="AO187" s="111" t="str">
        <f t="shared" si="89"/>
        <v>Use deduct 3yrs</v>
      </c>
      <c r="AP187" s="111">
        <f t="shared" si="90"/>
        <v>7</v>
      </c>
      <c r="AQ187" s="112">
        <f t="shared" si="91"/>
        <v>0.41176470588235292</v>
      </c>
      <c r="AR187" s="112">
        <f t="shared" si="92"/>
        <v>0.58823529411764708</v>
      </c>
      <c r="AS187" s="113">
        <f t="shared" si="93"/>
        <v>2035</v>
      </c>
      <c r="AT187" s="109">
        <v>49320.194140886364</v>
      </c>
      <c r="AU187" s="114">
        <v>0.58823529411764708</v>
      </c>
      <c r="AV187" s="113">
        <v>2035</v>
      </c>
      <c r="AW187" s="112">
        <f t="shared" si="94"/>
        <v>0.79410499701058757</v>
      </c>
      <c r="AX187" s="109">
        <f t="shared" si="95"/>
        <v>29011.878906403748</v>
      </c>
      <c r="AY187" s="109">
        <f t="shared" si="96"/>
        <v>20308.315234482619</v>
      </c>
      <c r="AZ187" s="109">
        <f t="shared" si="97"/>
        <v>49320.194140886364</v>
      </c>
      <c r="BA187" s="111">
        <f t="shared" si="98"/>
        <v>0</v>
      </c>
      <c r="BB187" s="117"/>
      <c r="BC187" s="115" t="str">
        <f t="shared" si="99"/>
        <v>N</v>
      </c>
      <c r="BD187" s="115" t="str">
        <f t="shared" si="100"/>
        <v>Y</v>
      </c>
      <c r="BE187" s="115" t="str">
        <f t="shared" si="101"/>
        <v>N</v>
      </c>
      <c r="BF187" s="109" t="str">
        <f t="shared" si="102"/>
        <v/>
      </c>
      <c r="BG187" s="111" t="s">
        <v>2499</v>
      </c>
      <c r="BH187" s="115" t="s">
        <v>1168</v>
      </c>
      <c r="BI187" s="116"/>
      <c r="BJ187" s="222">
        <v>0.79410499701058757</v>
      </c>
      <c r="BK187" s="265">
        <f t="shared" si="103"/>
        <v>0</v>
      </c>
      <c r="BL187" s="265">
        <f t="shared" si="104"/>
        <v>0</v>
      </c>
      <c r="BM187" s="265">
        <f t="shared" si="105"/>
        <v>0</v>
      </c>
      <c r="BN187" s="265">
        <f t="shared" si="106"/>
        <v>2042.0713435962498</v>
      </c>
      <c r="BO187" s="109"/>
      <c r="BP187" s="265">
        <f t="shared" si="107"/>
        <v>12787.706359113632</v>
      </c>
      <c r="BQ187" s="265">
        <v>12787.706359113632</v>
      </c>
      <c r="BR187" s="265" t="e">
        <f t="shared" si="108"/>
        <v>#REF!</v>
      </c>
      <c r="BS187" s="265">
        <v>1440.6532323284637</v>
      </c>
      <c r="BT187" s="475">
        <v>220714.15585911361</v>
      </c>
      <c r="BU187" s="475">
        <v>29011.878906403748</v>
      </c>
      <c r="BV187" s="475">
        <v>20308.315234482619</v>
      </c>
      <c r="BW187" s="483">
        <f t="shared" si="109"/>
        <v>0</v>
      </c>
      <c r="BX187" s="483">
        <f t="shared" si="110"/>
        <v>0</v>
      </c>
    </row>
    <row r="188" spans="1:76" s="103" customFormat="1" ht="29">
      <c r="A188" s="100"/>
      <c r="B188" s="91" t="str">
        <f t="shared" si="74"/>
        <v>PTR</v>
      </c>
      <c r="C188" s="92"/>
      <c r="D188" s="448"/>
      <c r="E188" s="450"/>
      <c r="F188" s="384" t="s">
        <v>2475</v>
      </c>
      <c r="G188" s="588" t="s">
        <v>5256</v>
      </c>
      <c r="H188" s="398">
        <v>0.11</v>
      </c>
      <c r="I188" s="95"/>
      <c r="J188" s="95" t="s">
        <v>1166</v>
      </c>
      <c r="K188" s="191">
        <v>12256937</v>
      </c>
      <c r="L188" s="268">
        <v>0.76144635482747436</v>
      </c>
      <c r="M188" s="591">
        <v>1</v>
      </c>
      <c r="N188" s="267">
        <v>0.41176470588235292</v>
      </c>
      <c r="O188" s="96">
        <f t="shared" si="76"/>
        <v>11230307</v>
      </c>
      <c r="P188" s="96">
        <f>(+K188*L188*M188*H188)</f>
        <v>1026630</v>
      </c>
      <c r="Q188" s="96">
        <f>+K188*L188*N188*H188</f>
        <v>422730</v>
      </c>
      <c r="R188" s="187" t="s">
        <v>942</v>
      </c>
      <c r="S188" s="187" t="s">
        <v>3608</v>
      </c>
      <c r="T188" s="94" t="s">
        <v>2810</v>
      </c>
      <c r="U188" s="395">
        <f>COUNTIF(Aggregation_of_rev_to_allocate!$A$3:$A$137,$T188)</f>
        <v>1</v>
      </c>
      <c r="V188" s="100"/>
      <c r="W188" s="100">
        <v>934</v>
      </c>
      <c r="X188" s="109">
        <v>372957.09</v>
      </c>
      <c r="Y188" s="109">
        <v>372957.09</v>
      </c>
      <c r="Z188" s="110">
        <v>1</v>
      </c>
      <c r="AA188" s="110">
        <v>0.5</v>
      </c>
      <c r="AB188" s="110">
        <v>0.5</v>
      </c>
      <c r="AC188" s="109">
        <f>IF(ISERROR((X188*SUMIF('Rev_for_allocation(Hard)'!$A$3:$A$249,$T188,'Rev_for_allocation(Hard)'!$I$3:$I$249)/SUMIF(Historic_capex_list!$T$9:$T$586,$T188,Historic_capex_list!$X$9:$X$586))=TRUE),0,X188*SUMIF('Rev_for_allocation(Hard)'!$A$3:$A$249,$T188,'Rev_for_allocation(Hard)'!$I$3:$I$249)/SUMIF(Historic_capex_list!$T$9:$T$586,$T188,Historic_capex_list!$X$9:$X$586))</f>
        <v>-139888.13282184894</v>
      </c>
      <c r="AD188" s="109">
        <f t="shared" si="79"/>
        <v>233068.95717815109</v>
      </c>
      <c r="AE188" s="109">
        <f t="shared" si="80"/>
        <v>233068.95717815109</v>
      </c>
      <c r="AF188" s="109">
        <f t="shared" si="81"/>
        <v>606026.04717815109</v>
      </c>
      <c r="AG188" s="332" t="str">
        <f t="shared" si="82"/>
        <v>N</v>
      </c>
      <c r="AH188" s="332">
        <f t="shared" si="83"/>
        <v>0</v>
      </c>
      <c r="AI188" s="332">
        <f t="shared" si="84"/>
        <v>0</v>
      </c>
      <c r="AJ188" s="109">
        <f t="shared" si="85"/>
        <v>606026.04717815109</v>
      </c>
      <c r="AK188" s="109">
        <f t="shared" si="86"/>
        <v>0</v>
      </c>
      <c r="AL188" s="109">
        <v>0</v>
      </c>
      <c r="AM188" s="111">
        <f t="shared" si="87"/>
        <v>10</v>
      </c>
      <c r="AN188" s="111">
        <f t="shared" si="88"/>
        <v>7</v>
      </c>
      <c r="AO188" s="111" t="str">
        <f t="shared" si="89"/>
        <v>Use deduct 3yrs</v>
      </c>
      <c r="AP188" s="111">
        <f t="shared" si="90"/>
        <v>7</v>
      </c>
      <c r="AQ188" s="112">
        <f t="shared" si="91"/>
        <v>0.41176470588235292</v>
      </c>
      <c r="AR188" s="112">
        <f t="shared" si="92"/>
        <v>0.58823529411764708</v>
      </c>
      <c r="AS188" s="113">
        <f t="shared" si="93"/>
        <v>2035</v>
      </c>
      <c r="AT188" s="109">
        <v>592334.17767905479</v>
      </c>
      <c r="AU188" s="114">
        <v>0.58823529411764708</v>
      </c>
      <c r="AV188" s="113">
        <v>2035</v>
      </c>
      <c r="AW188" s="112">
        <f t="shared" si="94"/>
        <v>0.43933130770915113</v>
      </c>
      <c r="AX188" s="109">
        <f t="shared" si="95"/>
        <v>348431.86922297342</v>
      </c>
      <c r="AY188" s="109">
        <f t="shared" si="96"/>
        <v>243902.30845608134</v>
      </c>
      <c r="AZ188" s="109">
        <f t="shared" si="97"/>
        <v>592334.17767905479</v>
      </c>
      <c r="BA188" s="111">
        <f t="shared" si="98"/>
        <v>0</v>
      </c>
      <c r="BB188" s="117"/>
      <c r="BC188" s="115" t="str">
        <f t="shared" si="99"/>
        <v>N</v>
      </c>
      <c r="BD188" s="115" t="str">
        <f t="shared" si="100"/>
        <v>N</v>
      </c>
      <c r="BE188" s="115" t="str">
        <f t="shared" si="101"/>
        <v>N</v>
      </c>
      <c r="BF188" s="109" t="str">
        <f t="shared" si="102"/>
        <v/>
      </c>
      <c r="BG188" s="111" t="s">
        <v>2499</v>
      </c>
      <c r="BH188" s="115" t="s">
        <v>1168</v>
      </c>
      <c r="BI188" s="116"/>
      <c r="BJ188" s="222">
        <v>0.79410499701058734</v>
      </c>
      <c r="BK188" s="265">
        <f t="shared" si="103"/>
        <v>-178827.69154391866</v>
      </c>
      <c r="BL188" s="265">
        <f t="shared" si="104"/>
        <v>178827.69154391866</v>
      </c>
      <c r="BM188" s="265">
        <f t="shared" si="105"/>
        <v>-422730</v>
      </c>
      <c r="BN188" s="265">
        <f t="shared" si="106"/>
        <v>-653672.90999999992</v>
      </c>
      <c r="BO188" s="109"/>
      <c r="BP188" s="265">
        <f t="shared" si="107"/>
        <v>153580.00232094526</v>
      </c>
      <c r="BQ188" s="265">
        <v>153580.00232094526</v>
      </c>
      <c r="BR188" s="265" t="e">
        <f t="shared" si="108"/>
        <v>#REF!</v>
      </c>
      <c r="BS188" s="265">
        <v>17302.205771013563</v>
      </c>
      <c r="BT188" s="475">
        <v>6188703.8223209456</v>
      </c>
      <c r="BU188" s="475">
        <v>348431.86922297342</v>
      </c>
      <c r="BV188" s="475">
        <v>243902.30845608134</v>
      </c>
      <c r="BW188" s="483">
        <f t="shared" si="109"/>
        <v>678198.13077702653</v>
      </c>
      <c r="BX188" s="483">
        <f t="shared" si="110"/>
        <v>178827.69154391866</v>
      </c>
    </row>
    <row r="189" spans="1:76" s="103" customFormat="1" ht="29">
      <c r="A189" s="100"/>
      <c r="B189" s="91" t="str">
        <f t="shared" si="74"/>
        <v>PTR</v>
      </c>
      <c r="C189" s="92"/>
      <c r="D189" s="448"/>
      <c r="E189" s="450"/>
      <c r="F189" s="384" t="s">
        <v>2476</v>
      </c>
      <c r="G189" s="588" t="s">
        <v>5257</v>
      </c>
      <c r="H189" s="398">
        <v>0.11</v>
      </c>
      <c r="I189" s="95"/>
      <c r="J189" s="95" t="s">
        <v>1166</v>
      </c>
      <c r="K189" s="191">
        <v>1653310</v>
      </c>
      <c r="L189" s="268">
        <v>0.79410499701058734</v>
      </c>
      <c r="M189" s="266">
        <v>0.58823529411764708</v>
      </c>
      <c r="N189" s="267">
        <f t="shared" si="75"/>
        <v>0.41176470588235292</v>
      </c>
      <c r="O189" s="96">
        <f t="shared" si="76"/>
        <v>1508890.8094131667</v>
      </c>
      <c r="P189" s="96">
        <f t="shared" si="77"/>
        <v>84952.465051078325</v>
      </c>
      <c r="Q189" s="96">
        <f t="shared" si="78"/>
        <v>59466.725535754835</v>
      </c>
      <c r="R189" s="187" t="s">
        <v>942</v>
      </c>
      <c r="S189" s="187" t="s">
        <v>3608</v>
      </c>
      <c r="T189" s="94" t="s">
        <v>2810</v>
      </c>
      <c r="U189" s="395">
        <f>COUNTIF(Aggregation_of_rev_to_allocate!$A$3:$A$137,$T189)</f>
        <v>1</v>
      </c>
      <c r="V189" s="100"/>
      <c r="W189" s="100">
        <v>936</v>
      </c>
      <c r="X189" s="109">
        <v>90932.05</v>
      </c>
      <c r="Y189" s="109">
        <v>90932.05</v>
      </c>
      <c r="Z189" s="110">
        <v>1</v>
      </c>
      <c r="AA189" s="110">
        <v>0.5</v>
      </c>
      <c r="AB189" s="110">
        <v>0.5</v>
      </c>
      <c r="AC189" s="109">
        <f>IF(ISERROR((X189*SUMIF('Rev_for_allocation(Hard)'!$A$3:$A$249,$T189,'Rev_for_allocation(Hard)'!$I$3:$I$249)/SUMIF(Historic_capex_list!$T$9:$T$586,$T189,Historic_capex_list!$X$9:$X$586))=TRUE),0,X189*SUMIF('Rev_for_allocation(Hard)'!$A$3:$A$249,$T189,'Rev_for_allocation(Hard)'!$I$3:$I$249)/SUMIF(Historic_capex_list!$T$9:$T$586,$T189,Historic_capex_list!$X$9:$X$586))</f>
        <v>-34106.64397923903</v>
      </c>
      <c r="AD189" s="109">
        <f t="shared" si="79"/>
        <v>56825.406020760973</v>
      </c>
      <c r="AE189" s="109">
        <f t="shared" si="80"/>
        <v>56825.406020760973</v>
      </c>
      <c r="AF189" s="109">
        <f t="shared" si="81"/>
        <v>147757.45602076099</v>
      </c>
      <c r="AG189" s="332" t="str">
        <f t="shared" si="82"/>
        <v>N</v>
      </c>
      <c r="AH189" s="332">
        <f t="shared" si="83"/>
        <v>0</v>
      </c>
      <c r="AI189" s="332">
        <f t="shared" si="84"/>
        <v>0</v>
      </c>
      <c r="AJ189" s="109">
        <f t="shared" si="85"/>
        <v>147757.45602076099</v>
      </c>
      <c r="AK189" s="109">
        <f t="shared" si="86"/>
        <v>0</v>
      </c>
      <c r="AL189" s="109">
        <v>0</v>
      </c>
      <c r="AM189" s="111">
        <f t="shared" si="87"/>
        <v>10</v>
      </c>
      <c r="AN189" s="111">
        <f t="shared" si="88"/>
        <v>7</v>
      </c>
      <c r="AO189" s="111" t="str">
        <f t="shared" si="89"/>
        <v>Use deduct 3yrs</v>
      </c>
      <c r="AP189" s="111">
        <f t="shared" si="90"/>
        <v>7</v>
      </c>
      <c r="AQ189" s="112">
        <f t="shared" si="91"/>
        <v>0.41176470588235292</v>
      </c>
      <c r="AR189" s="112">
        <f t="shared" si="92"/>
        <v>0.58823529411764708</v>
      </c>
      <c r="AS189" s="113">
        <f t="shared" si="93"/>
        <v>2035</v>
      </c>
      <c r="AT189" s="109">
        <v>144419.19058683317</v>
      </c>
      <c r="AU189" s="114">
        <v>0.58823529411764708</v>
      </c>
      <c r="AV189" s="113">
        <v>2035</v>
      </c>
      <c r="AW189" s="112">
        <f t="shared" si="94"/>
        <v>0.79410499701058734</v>
      </c>
      <c r="AX189" s="109">
        <f t="shared" si="95"/>
        <v>84952.465051078325</v>
      </c>
      <c r="AY189" s="109">
        <f t="shared" si="96"/>
        <v>59466.725535754835</v>
      </c>
      <c r="AZ189" s="109">
        <f t="shared" si="97"/>
        <v>144419.19058683317</v>
      </c>
      <c r="BA189" s="111">
        <f t="shared" si="98"/>
        <v>0</v>
      </c>
      <c r="BB189" s="117"/>
      <c r="BC189" s="115" t="str">
        <f t="shared" si="99"/>
        <v>N</v>
      </c>
      <c r="BD189" s="115" t="str">
        <f t="shared" si="100"/>
        <v>N</v>
      </c>
      <c r="BE189" s="115" t="str">
        <f t="shared" si="101"/>
        <v>N</v>
      </c>
      <c r="BF189" s="109" t="str">
        <f t="shared" si="102"/>
        <v/>
      </c>
      <c r="BG189" s="111" t="s">
        <v>2499</v>
      </c>
      <c r="BH189" s="115" t="s">
        <v>1168</v>
      </c>
      <c r="BI189" s="116"/>
      <c r="BJ189" s="222">
        <v>0.79410499701058734</v>
      </c>
      <c r="BK189" s="265">
        <f t="shared" si="103"/>
        <v>0</v>
      </c>
      <c r="BL189" s="265">
        <f t="shared" si="104"/>
        <v>0</v>
      </c>
      <c r="BM189" s="265">
        <f t="shared" si="105"/>
        <v>1.2369127944111824E-10</v>
      </c>
      <c r="BN189" s="265">
        <f t="shared" si="106"/>
        <v>5979.584948921678</v>
      </c>
      <c r="BO189" s="109"/>
      <c r="BP189" s="265">
        <f t="shared" si="107"/>
        <v>37444.909413166839</v>
      </c>
      <c r="BQ189" s="265">
        <v>37444.909413166839</v>
      </c>
      <c r="BR189" s="265" t="e">
        <f t="shared" si="108"/>
        <v>#REF!</v>
      </c>
      <c r="BS189" s="265">
        <v>4218.51489746473</v>
      </c>
      <c r="BT189" s="475">
        <v>1508890.8094131667</v>
      </c>
      <c r="BU189" s="475">
        <v>84952.465051078325</v>
      </c>
      <c r="BV189" s="475">
        <v>59466.725535754835</v>
      </c>
      <c r="BW189" s="483">
        <f t="shared" si="109"/>
        <v>0</v>
      </c>
      <c r="BX189" s="483">
        <f t="shared" si="110"/>
        <v>0</v>
      </c>
    </row>
    <row r="190" spans="1:76" s="103" customFormat="1" ht="29">
      <c r="A190" s="100"/>
      <c r="B190" s="91" t="str">
        <f t="shared" si="74"/>
        <v>PTR</v>
      </c>
      <c r="C190" s="92"/>
      <c r="D190" s="448"/>
      <c r="E190" s="449"/>
      <c r="F190" s="384" t="s">
        <v>2476</v>
      </c>
      <c r="G190" s="588" t="s">
        <v>5257</v>
      </c>
      <c r="H190" s="398">
        <v>0.11</v>
      </c>
      <c r="I190" s="95"/>
      <c r="J190" s="95" t="s">
        <v>1166</v>
      </c>
      <c r="K190" s="191">
        <v>1058463.25</v>
      </c>
      <c r="L190" s="268">
        <v>0.79410499701058745</v>
      </c>
      <c r="M190" s="266">
        <v>0.58823529411764708</v>
      </c>
      <c r="N190" s="267">
        <f t="shared" si="75"/>
        <v>0.41176470588235292</v>
      </c>
      <c r="O190" s="96">
        <f t="shared" si="76"/>
        <v>966004.84484252264</v>
      </c>
      <c r="P190" s="96">
        <f t="shared" si="77"/>
        <v>54387.297151457256</v>
      </c>
      <c r="Q190" s="96">
        <f t="shared" si="78"/>
        <v>38071.108006020077</v>
      </c>
      <c r="R190" s="187" t="s">
        <v>942</v>
      </c>
      <c r="S190" s="187" t="s">
        <v>3608</v>
      </c>
      <c r="T190" s="94" t="s">
        <v>2810</v>
      </c>
      <c r="U190" s="395">
        <f>COUNTIF(Aggregation_of_rev_to_allocate!$A$3:$A$137,$T190)</f>
        <v>1</v>
      </c>
      <c r="V190" s="100"/>
      <c r="W190" s="100">
        <v>1035</v>
      </c>
      <c r="X190" s="109">
        <v>95261.69249999999</v>
      </c>
      <c r="Y190" s="109">
        <v>95261.69249999999</v>
      </c>
      <c r="Z190" s="110">
        <v>1</v>
      </c>
      <c r="AA190" s="110">
        <v>0.5</v>
      </c>
      <c r="AB190" s="110">
        <v>0.5</v>
      </c>
      <c r="AC190" s="109">
        <f>IF(ISERROR((X190*SUMIF('Rev_for_allocation(Hard)'!$A$3:$A$249,$T190,'Rev_for_allocation(Hard)'!$I$3:$I$249)/SUMIF(Historic_capex_list!$T$9:$T$586,$T190,Historic_capex_list!$X$9:$X$586))=TRUE),0,X190*SUMIF('Rev_for_allocation(Hard)'!$A$3:$A$249,$T190,'Rev_for_allocation(Hard)'!$I$3:$I$249)/SUMIF(Historic_capex_list!$T$9:$T$586,$T190,Historic_capex_list!$X$9:$X$586))</f>
        <v>-35730.599177707358</v>
      </c>
      <c r="AD190" s="109">
        <f t="shared" si="79"/>
        <v>59531.093322292632</v>
      </c>
      <c r="AE190" s="109">
        <f t="shared" si="80"/>
        <v>59531.093322292632</v>
      </c>
      <c r="AF190" s="109">
        <f t="shared" si="81"/>
        <v>154792.78582229262</v>
      </c>
      <c r="AG190" s="332" t="str">
        <f t="shared" si="82"/>
        <v>N</v>
      </c>
      <c r="AH190" s="332">
        <f t="shared" si="83"/>
        <v>0</v>
      </c>
      <c r="AI190" s="332">
        <f t="shared" si="84"/>
        <v>0</v>
      </c>
      <c r="AJ190" s="109">
        <f t="shared" si="85"/>
        <v>154792.78582229262</v>
      </c>
      <c r="AK190" s="109">
        <f t="shared" si="86"/>
        <v>0</v>
      </c>
      <c r="AL190" s="109">
        <v>0</v>
      </c>
      <c r="AM190" s="111">
        <f t="shared" si="87"/>
        <v>10</v>
      </c>
      <c r="AN190" s="111">
        <f t="shared" si="88"/>
        <v>7</v>
      </c>
      <c r="AO190" s="111" t="str">
        <f t="shared" si="89"/>
        <v>Use deduct 3yrs</v>
      </c>
      <c r="AP190" s="111">
        <f t="shared" si="90"/>
        <v>7</v>
      </c>
      <c r="AQ190" s="112">
        <f t="shared" si="91"/>
        <v>0.41176470588235292</v>
      </c>
      <c r="AR190" s="112">
        <f t="shared" si="92"/>
        <v>0.58823529411764708</v>
      </c>
      <c r="AS190" s="113">
        <f t="shared" si="93"/>
        <v>2035</v>
      </c>
      <c r="AT190" s="109">
        <v>151295.57207587198</v>
      </c>
      <c r="AU190" s="114">
        <v>0.58823529411764708</v>
      </c>
      <c r="AV190" s="113">
        <v>2035</v>
      </c>
      <c r="AW190" s="112">
        <f t="shared" si="94"/>
        <v>1.2994445405627792</v>
      </c>
      <c r="AX190" s="109">
        <f t="shared" si="95"/>
        <v>88997.395338748218</v>
      </c>
      <c r="AY190" s="109">
        <f t="shared" si="96"/>
        <v>62298.176737123758</v>
      </c>
      <c r="AZ190" s="109">
        <f t="shared" si="97"/>
        <v>151295.57207587198</v>
      </c>
      <c r="BA190" s="111">
        <f t="shared" si="98"/>
        <v>0</v>
      </c>
      <c r="BB190" s="117"/>
      <c r="BC190" s="115" t="str">
        <f t="shared" si="99"/>
        <v>N</v>
      </c>
      <c r="BD190" s="115" t="str">
        <f t="shared" si="100"/>
        <v>N</v>
      </c>
      <c r="BE190" s="115" t="str">
        <f t="shared" si="101"/>
        <v>N</v>
      </c>
      <c r="BF190" s="109" t="str">
        <f t="shared" si="102"/>
        <v/>
      </c>
      <c r="BG190" s="111" t="s">
        <v>2499</v>
      </c>
      <c r="BH190" s="115" t="s">
        <v>1168</v>
      </c>
      <c r="BI190" s="116"/>
      <c r="BJ190" s="222">
        <v>0.79410499701058745</v>
      </c>
      <c r="BK190" s="265">
        <f t="shared" si="103"/>
        <v>24227.068731103682</v>
      </c>
      <c r="BL190" s="265">
        <f t="shared" si="104"/>
        <v>-24227.068731103682</v>
      </c>
      <c r="BM190" s="265">
        <f t="shared" si="105"/>
        <v>0</v>
      </c>
      <c r="BN190" s="265">
        <f t="shared" si="106"/>
        <v>40874.395348542734</v>
      </c>
      <c r="BO190" s="109"/>
      <c r="BP190" s="265">
        <f t="shared" si="107"/>
        <v>39227.812924127997</v>
      </c>
      <c r="BQ190" s="265">
        <v>39227.812924127997</v>
      </c>
      <c r="BR190" s="265" t="e">
        <f t="shared" si="108"/>
        <v>#REF!</v>
      </c>
      <c r="BS190" s="265">
        <v>4419.3754453897609</v>
      </c>
      <c r="BT190" s="475">
        <v>966004.84484252264</v>
      </c>
      <c r="BU190" s="475">
        <v>54387.297151457256</v>
      </c>
      <c r="BV190" s="475">
        <v>38071.108006020077</v>
      </c>
      <c r="BW190" s="483">
        <f t="shared" si="109"/>
        <v>0</v>
      </c>
      <c r="BX190" s="483">
        <f t="shared" si="110"/>
        <v>0</v>
      </c>
    </row>
    <row r="191" spans="1:76" s="511" customFormat="1" ht="29">
      <c r="A191" s="100" t="s">
        <v>2259</v>
      </c>
      <c r="B191" s="91" t="str">
        <f t="shared" si="74"/>
        <v>PTR</v>
      </c>
      <c r="C191" s="92" t="s">
        <v>942</v>
      </c>
      <c r="D191" s="448"/>
      <c r="E191" s="449">
        <v>3200649</v>
      </c>
      <c r="F191" s="467" t="s">
        <v>4497</v>
      </c>
      <c r="G191" s="467" t="s">
        <v>4638</v>
      </c>
      <c r="H191" s="470">
        <v>0.37</v>
      </c>
      <c r="I191" s="593"/>
      <c r="J191" s="593" t="s">
        <v>1166</v>
      </c>
      <c r="K191" s="469">
        <v>568017232</v>
      </c>
      <c r="L191" s="471">
        <v>-6.1906453116163551E-2</v>
      </c>
      <c r="M191" s="591">
        <v>0.41670000000000001</v>
      </c>
      <c r="N191" s="591">
        <f t="shared" si="75"/>
        <v>0.58329999999999993</v>
      </c>
      <c r="O191" s="692">
        <f>(K191*(100%-H191))+(K191*H191*(100%-L191))</f>
        <v>581027886.89253294</v>
      </c>
      <c r="P191" s="692">
        <f>(+K191*L191*M191*H191)</f>
        <v>-5421539.8937184885</v>
      </c>
      <c r="Q191" s="692">
        <f>+K191*L191*N191*H191</f>
        <v>-7589114.9988144794</v>
      </c>
      <c r="R191" s="693" t="s">
        <v>942</v>
      </c>
      <c r="S191" s="693" t="s">
        <v>3608</v>
      </c>
      <c r="T191" s="694" t="s">
        <v>2810</v>
      </c>
      <c r="U191" s="395">
        <f>COUNTIF(Aggregation_of_rev_to_allocate!$A$3:$A$137,$T191)</f>
        <v>1</v>
      </c>
      <c r="V191" s="100"/>
      <c r="W191" s="100">
        <v>236</v>
      </c>
      <c r="X191" s="109">
        <v>8938310.5234881751</v>
      </c>
      <c r="Y191" s="109">
        <v>9814993.737902239</v>
      </c>
      <c r="Z191" s="110">
        <v>0.66429850240880517</v>
      </c>
      <c r="AA191" s="110">
        <v>0.47662590010286898</v>
      </c>
      <c r="AB191" s="110">
        <v>0.52337409989713102</v>
      </c>
      <c r="AC191" s="109">
        <f>IF(ISERROR((X191*SUMIF('Rev_for_allocation(Hard)'!$A$3:$A$249,$T191,'Rev_for_allocation(Hard)'!$I$3:$I$249)/SUMIF(Historic_capex_list!$T$9:$T$586,$T191,Historic_capex_list!$X$9:$X$586))=TRUE),0,X191*SUMIF('Rev_for_allocation(Hard)'!$A$3:$A$249,$T191,'Rev_for_allocation(Hard)'!$I$3:$I$249)/SUMIF(Historic_capex_list!$T$9:$T$586,$T191,Historic_capex_list!$X$9:$X$586))</f>
        <v>-3352566.8320520306</v>
      </c>
      <c r="AD191" s="109">
        <f t="shared" si="79"/>
        <v>5585743.6914361445</v>
      </c>
      <c r="AE191" s="109">
        <f t="shared" si="80"/>
        <v>5585743.6914361445</v>
      </c>
      <c r="AF191" s="109">
        <f t="shared" si="81"/>
        <v>15400737.429338384</v>
      </c>
      <c r="AG191" s="332" t="str">
        <f t="shared" si="82"/>
        <v>N</v>
      </c>
      <c r="AH191" s="332">
        <f t="shared" si="83"/>
        <v>0</v>
      </c>
      <c r="AI191" s="332">
        <f t="shared" si="84"/>
        <v>0</v>
      </c>
      <c r="AJ191" s="109">
        <f t="shared" si="85"/>
        <v>15400737.429338384</v>
      </c>
      <c r="AK191" s="109">
        <f t="shared" si="86"/>
        <v>0</v>
      </c>
      <c r="AL191" s="109">
        <v>0</v>
      </c>
      <c r="AM191" s="111">
        <f t="shared" si="87"/>
        <v>10.980815347721819</v>
      </c>
      <c r="AN191" s="111">
        <f t="shared" si="88"/>
        <v>7.9808153477218191</v>
      </c>
      <c r="AO191" s="111" t="str">
        <f t="shared" si="89"/>
        <v>Use deduct 3yrs</v>
      </c>
      <c r="AP191" s="111">
        <f t="shared" si="90"/>
        <v>7.9808153477218191</v>
      </c>
      <c r="AQ191" s="112">
        <f t="shared" si="91"/>
        <v>0.44385169378500922</v>
      </c>
      <c r="AR191" s="112">
        <f t="shared" si="92"/>
        <v>0.55614830621499078</v>
      </c>
      <c r="AS191" s="113">
        <f t="shared" si="93"/>
        <v>2036</v>
      </c>
      <c r="AT191" s="109">
        <v>15072597.317482622</v>
      </c>
      <c r="AU191" s="114">
        <v>0.55614830621499078</v>
      </c>
      <c r="AV191" s="113">
        <v>2036</v>
      </c>
      <c r="AW191" s="112">
        <f t="shared" si="94"/>
        <v>7.1717453647092505E-2</v>
      </c>
      <c r="AX191" s="109">
        <f t="shared" si="95"/>
        <v>8382599.4683785746</v>
      </c>
      <c r="AY191" s="109">
        <f t="shared" si="96"/>
        <v>6689997.8491040478</v>
      </c>
      <c r="AZ191" s="109">
        <f t="shared" si="97"/>
        <v>15072597.317482622</v>
      </c>
      <c r="BA191" s="111">
        <f t="shared" si="98"/>
        <v>0</v>
      </c>
      <c r="BB191" s="117"/>
      <c r="BC191" s="115" t="str">
        <f t="shared" si="99"/>
        <v>Y</v>
      </c>
      <c r="BD191" s="115" t="str">
        <f t="shared" si="100"/>
        <v>Y</v>
      </c>
      <c r="BE191" s="115" t="str">
        <f t="shared" si="101"/>
        <v>N</v>
      </c>
      <c r="BF191" s="109" t="str">
        <f t="shared" si="102"/>
        <v/>
      </c>
      <c r="BG191" s="111" t="s">
        <v>2499</v>
      </c>
      <c r="BH191" s="115" t="s">
        <v>1168</v>
      </c>
      <c r="BI191" s="116"/>
      <c r="BJ191" s="222">
        <v>0.53391677999001941</v>
      </c>
      <c r="BK191" s="265">
        <f t="shared" si="103"/>
        <v>14279112.847918527</v>
      </c>
      <c r="BL191" s="265">
        <f t="shared" si="104"/>
        <v>-14279112.847918527</v>
      </c>
      <c r="BM191" s="265">
        <f t="shared" si="105"/>
        <v>2.3283064365386963E-8</v>
      </c>
      <c r="BN191" s="265">
        <f t="shared" si="106"/>
        <v>14359850.417206664</v>
      </c>
      <c r="BO191" s="109"/>
      <c r="BP191" s="265">
        <f t="shared" si="107"/>
        <v>3680706.9439077917</v>
      </c>
      <c r="BQ191" s="265">
        <v>3680706.9439077917</v>
      </c>
      <c r="BR191" s="265" t="e">
        <f t="shared" si="108"/>
        <v>#REF!</v>
      </c>
      <c r="BS191" s="265">
        <v>414665.63331081427</v>
      </c>
      <c r="BT191" s="475">
        <v>173128983.68251738</v>
      </c>
      <c r="BU191" s="475">
        <v>8382599.4683785746</v>
      </c>
      <c r="BV191" s="475">
        <v>6689997.8491040478</v>
      </c>
      <c r="BW191" s="483">
        <f t="shared" si="109"/>
        <v>-13804139.362097062</v>
      </c>
      <c r="BX191" s="483">
        <f t="shared" si="110"/>
        <v>-14279112.847918527</v>
      </c>
    </row>
    <row r="192" spans="1:76" s="103" customFormat="1" ht="29">
      <c r="A192" s="100"/>
      <c r="B192" s="91" t="str">
        <f t="shared" si="74"/>
        <v>PTR</v>
      </c>
      <c r="C192" s="92"/>
      <c r="D192" s="448"/>
      <c r="E192" s="449" t="s">
        <v>4721</v>
      </c>
      <c r="F192" s="467" t="s">
        <v>4497</v>
      </c>
      <c r="G192" s="467" t="s">
        <v>4638</v>
      </c>
      <c r="H192" s="470">
        <v>0.37</v>
      </c>
      <c r="I192" s="593"/>
      <c r="J192" s="593" t="s">
        <v>1166</v>
      </c>
      <c r="K192" s="469">
        <f>-217865116-93910000</f>
        <v>-311775116</v>
      </c>
      <c r="L192" s="471">
        <f>+L191</f>
        <v>-6.1906453116163551E-2</v>
      </c>
      <c r="M192" s="591">
        <v>0.41670000000000001</v>
      </c>
      <c r="N192" s="591">
        <f t="shared" si="75"/>
        <v>0.58329999999999993</v>
      </c>
      <c r="O192" s="692">
        <f>(K192*(100%-H192))+(K192*H192*(100%-L192))</f>
        <v>-318916445.89253294</v>
      </c>
      <c r="P192" s="692">
        <f>(+K192*L192*M192*H192)</f>
        <v>2975792.1662184875</v>
      </c>
      <c r="Q192" s="692">
        <f>+K192*L192*N192*H192</f>
        <v>4165537.726314479</v>
      </c>
      <c r="R192" s="693" t="s">
        <v>942</v>
      </c>
      <c r="S192" s="693" t="s">
        <v>3608</v>
      </c>
      <c r="T192" s="694" t="s">
        <v>2810</v>
      </c>
      <c r="U192" s="395"/>
      <c r="V192" s="100" t="s">
        <v>5270</v>
      </c>
      <c r="W192" s="100"/>
      <c r="X192" s="109">
        <v>10627704.693539998</v>
      </c>
      <c r="Y192" s="109">
        <v>37680043.913459994</v>
      </c>
      <c r="Z192" s="110">
        <v>1</v>
      </c>
      <c r="AA192" s="110">
        <v>0.22</v>
      </c>
      <c r="AB192" s="110">
        <v>0.78</v>
      </c>
      <c r="AC192" s="109">
        <f>IF(ISERROR((X192*SUMIF('Rev_for_allocation(Hard)'!$A$3:$A$249,$T192,'Rev_for_allocation(Hard)'!$I$3:$I$249)/SUMIF(Historic_capex_list!$T$9:$T$586,$T192,Historic_capex_list!$X$9:$X$586))=TRUE),0,X192*SUMIF('Rev_for_allocation(Hard)'!$A$3:$A$249,$T192,'Rev_for_allocation(Hard)'!$I$3:$I$249)/SUMIF(Historic_capex_list!$T$9:$T$586,$T192,Historic_capex_list!$X$9:$X$586))</f>
        <v>-3986222.0229177317</v>
      </c>
      <c r="AD192" s="109">
        <f t="shared" si="79"/>
        <v>6641482.6706222659</v>
      </c>
      <c r="AE192" s="109">
        <f t="shared" si="80"/>
        <v>6641482.6706222659</v>
      </c>
      <c r="AF192" s="109">
        <f t="shared" si="81"/>
        <v>44321526.584082261</v>
      </c>
      <c r="AG192" s="332" t="str">
        <f t="shared" si="82"/>
        <v>N</v>
      </c>
      <c r="AH192" s="332">
        <f t="shared" si="83"/>
        <v>0</v>
      </c>
      <c r="AI192" s="332">
        <f t="shared" si="84"/>
        <v>0</v>
      </c>
      <c r="AJ192" s="109">
        <f t="shared" si="85"/>
        <v>44321526.584082261</v>
      </c>
      <c r="AK192" s="109">
        <f t="shared" si="86"/>
        <v>0</v>
      </c>
      <c r="AL192" s="109">
        <v>0</v>
      </c>
      <c r="AM192" s="111">
        <f t="shared" si="87"/>
        <v>35.45454545454546</v>
      </c>
      <c r="AN192" s="111">
        <f t="shared" si="88"/>
        <v>32.45454545454546</v>
      </c>
      <c r="AO192" s="111" t="str">
        <f t="shared" si="89"/>
        <v>Use deduct 3yrs</v>
      </c>
      <c r="AP192" s="111">
        <f t="shared" si="90"/>
        <v>32.45454545454546</v>
      </c>
      <c r="AQ192" s="112">
        <f t="shared" si="91"/>
        <v>0.76445396145610278</v>
      </c>
      <c r="AR192" s="112">
        <f t="shared" si="92"/>
        <v>0.23554603854389722</v>
      </c>
      <c r="AS192" s="113">
        <f t="shared" si="93"/>
        <v>2060</v>
      </c>
      <c r="AT192" s="109">
        <v>43931366.027705967</v>
      </c>
      <c r="AU192" s="114">
        <v>0.23554603854389722</v>
      </c>
      <c r="AV192" s="113">
        <v>2060</v>
      </c>
      <c r="AW192" s="112">
        <f t="shared" si="94"/>
        <v>-0.38083033444049014</v>
      </c>
      <c r="AX192" s="109">
        <f t="shared" si="95"/>
        <v>10347859.235648086</v>
      </c>
      <c r="AY192" s="109">
        <f t="shared" si="96"/>
        <v>33583506.792057879</v>
      </c>
      <c r="AZ192" s="109">
        <f t="shared" si="97"/>
        <v>44321526.584082261</v>
      </c>
      <c r="BA192" s="111">
        <f t="shared" si="98"/>
        <v>390160.5563762933</v>
      </c>
      <c r="BB192" s="117"/>
      <c r="BC192" s="115" t="str">
        <f t="shared" si="99"/>
        <v>N</v>
      </c>
      <c r="BD192" s="115" t="str">
        <f t="shared" si="100"/>
        <v>N</v>
      </c>
      <c r="BE192" s="115" t="str">
        <f t="shared" si="101"/>
        <v>N</v>
      </c>
      <c r="BF192" s="109" t="str">
        <f t="shared" si="102"/>
        <v/>
      </c>
      <c r="BG192" s="111" t="s">
        <v>2499</v>
      </c>
      <c r="BH192" s="115" t="s">
        <v>1168</v>
      </c>
      <c r="BI192" s="116"/>
      <c r="BJ192" s="222">
        <v>0.90940619868465844</v>
      </c>
      <c r="BK192" s="265">
        <f t="shared" si="103"/>
        <v>29417969.065743402</v>
      </c>
      <c r="BL192" s="265">
        <f t="shared" si="104"/>
        <v>-29417969.065743402</v>
      </c>
      <c r="BM192" s="265">
        <f t="shared" si="105"/>
        <v>-2.1886080503463745E-8</v>
      </c>
      <c r="BN192" s="265">
        <f t="shared" si="106"/>
        <v>7651912.52732151</v>
      </c>
      <c r="BO192" s="109"/>
      <c r="BP192" s="265">
        <f t="shared" si="107"/>
        <v>4376382.5792940259</v>
      </c>
      <c r="BQ192" s="265">
        <v>4376382.579294024</v>
      </c>
      <c r="BR192" s="265" t="e">
        <f t="shared" si="108"/>
        <v>#REF!</v>
      </c>
      <c r="BS192" s="265">
        <v>493039.91909952875</v>
      </c>
      <c r="BT192" s="475">
        <v>271805552.97229403</v>
      </c>
      <c r="BU192" s="475">
        <v>10347859.235648088</v>
      </c>
      <c r="BV192" s="475">
        <v>33583506.792057887</v>
      </c>
      <c r="BW192" s="483">
        <f t="shared" si="109"/>
        <v>-7372067.0694296006</v>
      </c>
      <c r="BX192" s="483">
        <f t="shared" si="110"/>
        <v>-29417969.065743409</v>
      </c>
    </row>
    <row r="193" spans="1:76" s="103" customFormat="1" ht="58">
      <c r="A193" s="100"/>
      <c r="B193" s="91" t="str">
        <f t="shared" si="74"/>
        <v>PTR</v>
      </c>
      <c r="C193" s="92"/>
      <c r="D193" s="448"/>
      <c r="E193" s="450"/>
      <c r="F193" s="384" t="s">
        <v>2920</v>
      </c>
      <c r="G193" s="384" t="s">
        <v>4453</v>
      </c>
      <c r="H193" s="398">
        <v>0.11</v>
      </c>
      <c r="I193" s="95"/>
      <c r="J193" s="95" t="s">
        <v>1166</v>
      </c>
      <c r="K193" s="191">
        <v>11145977</v>
      </c>
      <c r="L193" s="268">
        <v>0.79410499701058734</v>
      </c>
      <c r="M193" s="591">
        <v>1</v>
      </c>
      <c r="N193" s="267">
        <f t="shared" si="75"/>
        <v>0</v>
      </c>
      <c r="O193" s="96">
        <f t="shared" si="76"/>
        <v>10172358.63645084</v>
      </c>
      <c r="P193" s="96">
        <f t="shared" si="77"/>
        <v>973618.36354915821</v>
      </c>
      <c r="Q193" s="96">
        <f t="shared" si="78"/>
        <v>0</v>
      </c>
      <c r="R193" s="187" t="s">
        <v>942</v>
      </c>
      <c r="S193" s="187" t="s">
        <v>3608</v>
      </c>
      <c r="T193" s="94" t="s">
        <v>2810</v>
      </c>
      <c r="U193" s="395">
        <f>COUNTIF(Aggregation_of_rev_to_allocate!$A$3:$A$137,$T193)</f>
        <v>1</v>
      </c>
      <c r="V193" s="100"/>
      <c r="W193" s="100">
        <v>939</v>
      </c>
      <c r="X193" s="109">
        <v>613028.73499999999</v>
      </c>
      <c r="Y193" s="109">
        <v>613028.73499999999</v>
      </c>
      <c r="Z193" s="110">
        <v>1</v>
      </c>
      <c r="AA193" s="110">
        <v>0.5</v>
      </c>
      <c r="AB193" s="110">
        <v>0.5</v>
      </c>
      <c r="AC193" s="109">
        <f>IF(ISERROR((X193*SUMIF('Rev_for_allocation(Hard)'!$A$3:$A$249,$T193,'Rev_for_allocation(Hard)'!$I$3:$I$249)/SUMIF(Historic_capex_list!$T$9:$T$586,$T193,Historic_capex_list!$X$9:$X$586))=TRUE),0,X193*SUMIF('Rev_for_allocation(Hard)'!$A$3:$A$249,$T193,'Rev_for_allocation(Hard)'!$I$3:$I$249)/SUMIF(Historic_capex_list!$T$9:$T$586,$T193,Historic_capex_list!$X$9:$X$586))</f>
        <v>-229933.81116656083</v>
      </c>
      <c r="AD193" s="109">
        <f t="shared" si="79"/>
        <v>383094.92383343913</v>
      </c>
      <c r="AE193" s="109">
        <f t="shared" si="80"/>
        <v>383094.92383343913</v>
      </c>
      <c r="AF193" s="109">
        <f t="shared" si="81"/>
        <v>996123.65883343911</v>
      </c>
      <c r="AG193" s="332" t="str">
        <f t="shared" si="82"/>
        <v>N</v>
      </c>
      <c r="AH193" s="332">
        <f t="shared" si="83"/>
        <v>0</v>
      </c>
      <c r="AI193" s="332">
        <f t="shared" si="84"/>
        <v>0</v>
      </c>
      <c r="AJ193" s="109">
        <f t="shared" si="85"/>
        <v>996123.65883343911</v>
      </c>
      <c r="AK193" s="109">
        <f t="shared" si="86"/>
        <v>0</v>
      </c>
      <c r="AL193" s="109">
        <v>0</v>
      </c>
      <c r="AM193" s="111">
        <f t="shared" si="87"/>
        <v>10</v>
      </c>
      <c r="AN193" s="111">
        <f t="shared" si="88"/>
        <v>7</v>
      </c>
      <c r="AO193" s="111" t="str">
        <f t="shared" si="89"/>
        <v>Use deduct 3yrs</v>
      </c>
      <c r="AP193" s="111">
        <f t="shared" si="90"/>
        <v>7</v>
      </c>
      <c r="AQ193" s="112">
        <f t="shared" si="91"/>
        <v>0.41176470588235292</v>
      </c>
      <c r="AR193" s="112">
        <f t="shared" si="92"/>
        <v>0.58823529411764708</v>
      </c>
      <c r="AS193" s="113">
        <f t="shared" si="93"/>
        <v>2035</v>
      </c>
      <c r="AT193" s="109">
        <v>973618.36354915833</v>
      </c>
      <c r="AU193" s="114">
        <v>0.58823529411764708</v>
      </c>
      <c r="AV193" s="113">
        <v>2035</v>
      </c>
      <c r="AW193" s="112">
        <f t="shared" si="94"/>
        <v>0.79410499701058734</v>
      </c>
      <c r="AX193" s="109">
        <f t="shared" si="95"/>
        <v>572716.68444068125</v>
      </c>
      <c r="AY193" s="109">
        <f t="shared" si="96"/>
        <v>400901.67910847685</v>
      </c>
      <c r="AZ193" s="109">
        <f t="shared" si="97"/>
        <v>973618.36354915809</v>
      </c>
      <c r="BA193" s="111">
        <f t="shared" si="98"/>
        <v>0</v>
      </c>
      <c r="BB193" s="117"/>
      <c r="BC193" s="115" t="str">
        <f t="shared" si="99"/>
        <v>N</v>
      </c>
      <c r="BD193" s="115" t="str">
        <f t="shared" si="100"/>
        <v>Y</v>
      </c>
      <c r="BE193" s="115" t="str">
        <f t="shared" si="101"/>
        <v>N</v>
      </c>
      <c r="BF193" s="109" t="str">
        <f t="shared" si="102"/>
        <v/>
      </c>
      <c r="BG193" s="111" t="s">
        <v>2499</v>
      </c>
      <c r="BH193" s="115" t="s">
        <v>1168</v>
      </c>
      <c r="BI193" s="116"/>
      <c r="BJ193" s="222">
        <v>0.79410499701058734</v>
      </c>
      <c r="BK193" s="265">
        <f t="shared" si="103"/>
        <v>400901.67910847685</v>
      </c>
      <c r="BL193" s="265">
        <f t="shared" si="104"/>
        <v>-400901.67910847685</v>
      </c>
      <c r="BM193" s="265">
        <f t="shared" si="105"/>
        <v>1.6298145055770874E-9</v>
      </c>
      <c r="BN193" s="265">
        <f t="shared" si="106"/>
        <v>-360589.62854915822</v>
      </c>
      <c r="BO193" s="109"/>
      <c r="BP193" s="265">
        <f t="shared" si="107"/>
        <v>252439.10645084165</v>
      </c>
      <c r="BQ193" s="265">
        <v>252439.10645084165</v>
      </c>
      <c r="BR193" s="265" t="e">
        <f t="shared" si="108"/>
        <v>#REF!</v>
      </c>
      <c r="BS193" s="265">
        <v>28439.596942678163</v>
      </c>
      <c r="BT193" s="475">
        <v>10172358.63645084</v>
      </c>
      <c r="BU193" s="475">
        <v>572716.68444068125</v>
      </c>
      <c r="BV193" s="475">
        <v>400901.67910847685</v>
      </c>
      <c r="BW193" s="483">
        <f t="shared" si="109"/>
        <v>400901.67910847696</v>
      </c>
      <c r="BX193" s="483">
        <f t="shared" si="110"/>
        <v>-400901.67910847685</v>
      </c>
    </row>
    <row r="194" spans="1:76" s="103" customFormat="1" ht="58">
      <c r="A194" s="100"/>
      <c r="B194" s="91" t="str">
        <f t="shared" si="74"/>
        <v>PTR</v>
      </c>
      <c r="C194" s="92" t="s">
        <v>3626</v>
      </c>
      <c r="D194" s="448"/>
      <c r="E194" s="449"/>
      <c r="F194" s="384" t="s">
        <v>2920</v>
      </c>
      <c r="G194" s="384" t="s">
        <v>4453</v>
      </c>
      <c r="H194" s="398">
        <v>0.11</v>
      </c>
      <c r="I194" s="95"/>
      <c r="J194" s="95" t="s">
        <v>1166</v>
      </c>
      <c r="K194" s="191">
        <v>6294044.290000001</v>
      </c>
      <c r="L194" s="268">
        <v>0.79410499701058745</v>
      </c>
      <c r="M194" s="591">
        <v>1</v>
      </c>
      <c r="N194" s="267">
        <f t="shared" si="75"/>
        <v>0</v>
      </c>
      <c r="O194" s="96">
        <f t="shared" si="76"/>
        <v>5744249.7675695559</v>
      </c>
      <c r="P194" s="96">
        <f t="shared" si="77"/>
        <v>549794.52243044518</v>
      </c>
      <c r="Q194" s="96">
        <f t="shared" si="78"/>
        <v>0</v>
      </c>
      <c r="R194" s="187" t="s">
        <v>942</v>
      </c>
      <c r="S194" s="187" t="s">
        <v>3608</v>
      </c>
      <c r="T194" s="94" t="s">
        <v>2810</v>
      </c>
      <c r="U194" s="395">
        <f>COUNTIF(Aggregation_of_rev_to_allocate!$A$3:$A$137,$T194)</f>
        <v>1</v>
      </c>
      <c r="V194" s="100"/>
      <c r="W194" s="100">
        <v>1037</v>
      </c>
      <c r="X194" s="109">
        <v>346172.43595000007</v>
      </c>
      <c r="Y194" s="109">
        <v>346172.43595000007</v>
      </c>
      <c r="Z194" s="110">
        <v>1</v>
      </c>
      <c r="AA194" s="110">
        <v>0.5</v>
      </c>
      <c r="AB194" s="110">
        <v>0.5</v>
      </c>
      <c r="AC194" s="109">
        <f>IF(ISERROR((X194*SUMIF('Rev_for_allocation(Hard)'!$A$3:$A$249,$T194,'Rev_for_allocation(Hard)'!$I$3:$I$249)/SUMIF(Historic_capex_list!$T$9:$T$586,$T194,Historic_capex_list!$X$9:$X$586))=TRUE),0,X194*SUMIF('Rev_for_allocation(Hard)'!$A$3:$A$249,$T194,'Rev_for_allocation(Hard)'!$I$3:$I$249)/SUMIF(Historic_capex_list!$T$9:$T$586,$T194,Historic_capex_list!$X$9:$X$586))</f>
        <v>-129841.78876834492</v>
      </c>
      <c r="AD194" s="109">
        <f t="shared" si="79"/>
        <v>216330.64718165516</v>
      </c>
      <c r="AE194" s="109">
        <f t="shared" si="80"/>
        <v>216330.64718165516</v>
      </c>
      <c r="AF194" s="109">
        <f t="shared" si="81"/>
        <v>562503.08313165524</v>
      </c>
      <c r="AG194" s="332" t="str">
        <f t="shared" si="82"/>
        <v>N</v>
      </c>
      <c r="AH194" s="332">
        <f t="shared" si="83"/>
        <v>0</v>
      </c>
      <c r="AI194" s="332">
        <f t="shared" si="84"/>
        <v>0</v>
      </c>
      <c r="AJ194" s="109">
        <f t="shared" si="85"/>
        <v>562503.08313165524</v>
      </c>
      <c r="AK194" s="109">
        <f t="shared" si="86"/>
        <v>0</v>
      </c>
      <c r="AL194" s="109">
        <v>0</v>
      </c>
      <c r="AM194" s="111">
        <f t="shared" si="87"/>
        <v>10</v>
      </c>
      <c r="AN194" s="111">
        <f t="shared" si="88"/>
        <v>7</v>
      </c>
      <c r="AO194" s="111" t="str">
        <f t="shared" si="89"/>
        <v>Use deduct 3yrs</v>
      </c>
      <c r="AP194" s="111">
        <f t="shared" si="90"/>
        <v>7</v>
      </c>
      <c r="AQ194" s="112">
        <f t="shared" si="91"/>
        <v>0.41176470588235292</v>
      </c>
      <c r="AR194" s="112">
        <f t="shared" si="92"/>
        <v>0.58823529411764708</v>
      </c>
      <c r="AS194" s="113">
        <f t="shared" si="93"/>
        <v>2035</v>
      </c>
      <c r="AT194" s="109">
        <v>549794.52243044518</v>
      </c>
      <c r="AU194" s="114">
        <v>0.58823529411764708</v>
      </c>
      <c r="AV194" s="113">
        <v>2035</v>
      </c>
      <c r="AW194" s="112">
        <f t="shared" si="94"/>
        <v>0.79410499701058745</v>
      </c>
      <c r="AX194" s="109">
        <f t="shared" si="95"/>
        <v>323408.54260614421</v>
      </c>
      <c r="AY194" s="109">
        <f t="shared" si="96"/>
        <v>226385.97982430091</v>
      </c>
      <c r="AZ194" s="109">
        <f t="shared" si="97"/>
        <v>549794.52243044507</v>
      </c>
      <c r="BA194" s="111">
        <f t="shared" si="98"/>
        <v>0</v>
      </c>
      <c r="BB194" s="117"/>
      <c r="BC194" s="115" t="str">
        <f t="shared" si="99"/>
        <v>N</v>
      </c>
      <c r="BD194" s="115" t="str">
        <f t="shared" si="100"/>
        <v>Y</v>
      </c>
      <c r="BE194" s="115" t="str">
        <f t="shared" si="101"/>
        <v>N</v>
      </c>
      <c r="BF194" s="109" t="str">
        <f t="shared" si="102"/>
        <v/>
      </c>
      <c r="BG194" s="111" t="s">
        <v>2499</v>
      </c>
      <c r="BH194" s="115" t="s">
        <v>1168</v>
      </c>
      <c r="BI194" s="116"/>
      <c r="BJ194" s="222">
        <v>0.79410499701058745</v>
      </c>
      <c r="BK194" s="265">
        <f t="shared" si="103"/>
        <v>226385.97982430091</v>
      </c>
      <c r="BL194" s="265">
        <f t="shared" si="104"/>
        <v>-226385.97982430091</v>
      </c>
      <c r="BM194" s="265">
        <f t="shared" si="105"/>
        <v>-1.1641532182693481E-10</v>
      </c>
      <c r="BN194" s="265">
        <f t="shared" si="106"/>
        <v>-203622.08648044511</v>
      </c>
      <c r="BO194" s="109"/>
      <c r="BP194" s="265">
        <f t="shared" si="107"/>
        <v>142550.34946955496</v>
      </c>
      <c r="BQ194" s="265">
        <v>142550.34946955496</v>
      </c>
      <c r="BR194" s="265" t="e">
        <f t="shared" si="108"/>
        <v>#REF!</v>
      </c>
      <c r="BS194" s="265">
        <v>16059.613504223535</v>
      </c>
      <c r="BT194" s="475">
        <v>5744249.7675695559</v>
      </c>
      <c r="BU194" s="475">
        <v>323408.54260614421</v>
      </c>
      <c r="BV194" s="475">
        <v>226385.97982430091</v>
      </c>
      <c r="BW194" s="483">
        <f t="shared" si="109"/>
        <v>226385.97982430097</v>
      </c>
      <c r="BX194" s="483">
        <f t="shared" si="110"/>
        <v>-226385.97982430091</v>
      </c>
    </row>
    <row r="195" spans="1:76" s="103" customFormat="1" ht="29">
      <c r="A195" s="100"/>
      <c r="B195" s="91" t="str">
        <f t="shared" si="74"/>
        <v>PTR</v>
      </c>
      <c r="C195" s="92" t="s">
        <v>3626</v>
      </c>
      <c r="D195" s="448"/>
      <c r="E195" s="449"/>
      <c r="F195" s="384" t="s">
        <v>4644</v>
      </c>
      <c r="G195" s="384" t="s">
        <v>4422</v>
      </c>
      <c r="H195" s="398">
        <v>0.18</v>
      </c>
      <c r="I195" s="95"/>
      <c r="J195" s="95" t="s">
        <v>1166</v>
      </c>
      <c r="K195" s="191">
        <v>308020.12</v>
      </c>
      <c r="L195" s="268">
        <v>0.79410499701058734</v>
      </c>
      <c r="M195" s="266">
        <v>0.58823529411764708</v>
      </c>
      <c r="N195" s="267">
        <f t="shared" si="75"/>
        <v>0.41176470588235292</v>
      </c>
      <c r="O195" s="96">
        <f t="shared" si="76"/>
        <v>263992.0630350759</v>
      </c>
      <c r="P195" s="96">
        <f t="shared" si="77"/>
        <v>25898.857038190672</v>
      </c>
      <c r="Q195" s="96">
        <f t="shared" si="78"/>
        <v>18129.199926733469</v>
      </c>
      <c r="R195" s="187" t="s">
        <v>942</v>
      </c>
      <c r="S195" s="187" t="s">
        <v>3608</v>
      </c>
      <c r="T195" s="94" t="s">
        <v>2810</v>
      </c>
      <c r="U195" s="395">
        <f>COUNTIF(Aggregation_of_rev_to_allocate!$A$3:$A$137,$T195)</f>
        <v>1</v>
      </c>
      <c r="V195" s="100"/>
      <c r="W195" s="100">
        <v>1037</v>
      </c>
      <c r="X195" s="109">
        <v>27721.810799999999</v>
      </c>
      <c r="Y195" s="109">
        <v>27721.810799999999</v>
      </c>
      <c r="Z195" s="110">
        <v>1</v>
      </c>
      <c r="AA195" s="110">
        <v>0.5</v>
      </c>
      <c r="AB195" s="110">
        <v>0.5</v>
      </c>
      <c r="AC195" s="109">
        <f>IF(ISERROR((X195*SUMIF('Rev_for_allocation(Hard)'!$A$3:$A$249,$T195,'Rev_for_allocation(Hard)'!$I$3:$I$249)/SUMIF(Historic_capex_list!$T$9:$T$586,$T195,Historic_capex_list!$X$9:$X$586))=TRUE),0,X195*SUMIF('Rev_for_allocation(Hard)'!$A$3:$A$249,$T195,'Rev_for_allocation(Hard)'!$I$3:$I$249)/SUMIF(Historic_capex_list!$T$9:$T$586,$T195,Historic_capex_list!$X$9:$X$586))</f>
        <v>-10397.851268231867</v>
      </c>
      <c r="AD195" s="109">
        <f t="shared" si="79"/>
        <v>17323.959531768131</v>
      </c>
      <c r="AE195" s="109">
        <f t="shared" si="80"/>
        <v>17323.959531768131</v>
      </c>
      <c r="AF195" s="109">
        <f t="shared" si="81"/>
        <v>45045.77033176813</v>
      </c>
      <c r="AG195" s="332" t="str">
        <f t="shared" si="82"/>
        <v>N</v>
      </c>
      <c r="AH195" s="332">
        <f t="shared" si="83"/>
        <v>0</v>
      </c>
      <c r="AI195" s="332">
        <f t="shared" si="84"/>
        <v>0</v>
      </c>
      <c r="AJ195" s="109">
        <f t="shared" si="85"/>
        <v>45045.77033176813</v>
      </c>
      <c r="AK195" s="109">
        <f t="shared" si="86"/>
        <v>0</v>
      </c>
      <c r="AL195" s="109">
        <v>0</v>
      </c>
      <c r="AM195" s="111">
        <f t="shared" si="87"/>
        <v>10</v>
      </c>
      <c r="AN195" s="111">
        <f t="shared" si="88"/>
        <v>7</v>
      </c>
      <c r="AO195" s="111" t="str">
        <f t="shared" si="89"/>
        <v>Use deduct 3yrs</v>
      </c>
      <c r="AP195" s="111">
        <f t="shared" si="90"/>
        <v>7</v>
      </c>
      <c r="AQ195" s="112">
        <f t="shared" si="91"/>
        <v>0.41176470588235292</v>
      </c>
      <c r="AR195" s="112">
        <f t="shared" si="92"/>
        <v>0.58823529411764708</v>
      </c>
      <c r="AS195" s="113">
        <f t="shared" si="93"/>
        <v>2035</v>
      </c>
      <c r="AT195" s="109">
        <v>44028.056964924137</v>
      </c>
      <c r="AU195" s="114">
        <v>0.58823529411764708</v>
      </c>
      <c r="AV195" s="113">
        <v>2035</v>
      </c>
      <c r="AW195" s="112">
        <f t="shared" si="94"/>
        <v>0.79410499701058734</v>
      </c>
      <c r="AX195" s="109">
        <f t="shared" si="95"/>
        <v>25898.857038190672</v>
      </c>
      <c r="AY195" s="109">
        <f t="shared" si="96"/>
        <v>18129.199926733469</v>
      </c>
      <c r="AZ195" s="109">
        <f t="shared" si="97"/>
        <v>44028.056964924137</v>
      </c>
      <c r="BA195" s="111">
        <f t="shared" si="98"/>
        <v>0</v>
      </c>
      <c r="BB195" s="117"/>
      <c r="BC195" s="115" t="str">
        <f t="shared" si="99"/>
        <v>N</v>
      </c>
      <c r="BD195" s="115" t="str">
        <f t="shared" si="100"/>
        <v>Y</v>
      </c>
      <c r="BE195" s="115" t="str">
        <f t="shared" si="101"/>
        <v>N</v>
      </c>
      <c r="BF195" s="109" t="str">
        <f t="shared" si="102"/>
        <v/>
      </c>
      <c r="BG195" s="111" t="s">
        <v>2499</v>
      </c>
      <c r="BH195" s="115" t="s">
        <v>1168</v>
      </c>
      <c r="BI195" s="116"/>
      <c r="BJ195" s="222">
        <v>0.79410499701058734</v>
      </c>
      <c r="BK195" s="265">
        <f t="shared" si="103"/>
        <v>0</v>
      </c>
      <c r="BL195" s="265">
        <f t="shared" si="104"/>
        <v>0</v>
      </c>
      <c r="BM195" s="265">
        <f t="shared" si="105"/>
        <v>-4.7293724492192268E-11</v>
      </c>
      <c r="BN195" s="265">
        <f t="shared" si="106"/>
        <v>1822.9537618093273</v>
      </c>
      <c r="BO195" s="109"/>
      <c r="BP195" s="265">
        <f t="shared" si="107"/>
        <v>11415.564635075862</v>
      </c>
      <c r="BQ195" s="265">
        <v>11415.564635075862</v>
      </c>
      <c r="BR195" s="265" t="e">
        <f t="shared" si="108"/>
        <v>#REF!</v>
      </c>
      <c r="BS195" s="265">
        <v>1286.0687936156573</v>
      </c>
      <c r="BT195" s="475">
        <v>263992.0630350759</v>
      </c>
      <c r="BU195" s="475">
        <v>25898.857038190672</v>
      </c>
      <c r="BV195" s="475">
        <v>18129.199926733469</v>
      </c>
      <c r="BW195" s="483">
        <f t="shared" si="109"/>
        <v>0</v>
      </c>
      <c r="BX195" s="483">
        <f t="shared" si="110"/>
        <v>0</v>
      </c>
    </row>
    <row r="196" spans="1:76" s="103" customFormat="1" ht="29">
      <c r="A196" s="100"/>
      <c r="B196" s="91" t="str">
        <f t="shared" si="74"/>
        <v>PTR</v>
      </c>
      <c r="C196" s="92"/>
      <c r="D196" s="448"/>
      <c r="E196" s="449" t="s">
        <v>2941</v>
      </c>
      <c r="F196" s="467" t="s">
        <v>4645</v>
      </c>
      <c r="G196" s="588" t="s">
        <v>5259</v>
      </c>
      <c r="H196" s="398">
        <v>0.11</v>
      </c>
      <c r="I196" s="95"/>
      <c r="J196" s="95" t="s">
        <v>1166</v>
      </c>
      <c r="K196" s="191">
        <v>32508852</v>
      </c>
      <c r="L196" s="268">
        <v>0.79410499701058734</v>
      </c>
      <c r="M196" s="591">
        <v>1</v>
      </c>
      <c r="N196" s="267">
        <f t="shared" si="75"/>
        <v>0</v>
      </c>
      <c r="O196" s="96">
        <f t="shared" si="76"/>
        <v>29669153.399769463</v>
      </c>
      <c r="P196" s="96">
        <f t="shared" si="77"/>
        <v>2839698.6002305392</v>
      </c>
      <c r="Q196" s="96">
        <f t="shared" si="78"/>
        <v>0</v>
      </c>
      <c r="R196" s="187" t="s">
        <v>942</v>
      </c>
      <c r="S196" s="187" t="s">
        <v>3608</v>
      </c>
      <c r="T196" s="94" t="s">
        <v>2810</v>
      </c>
      <c r="U196" s="395">
        <f>COUNTIF(Aggregation_of_rev_to_allocate!$A$3:$A$137,$T196)</f>
        <v>1</v>
      </c>
      <c r="V196" s="100"/>
      <c r="W196" s="100">
        <v>943</v>
      </c>
      <c r="X196" s="109">
        <v>1787986.86</v>
      </c>
      <c r="Y196" s="109">
        <v>1787986.86</v>
      </c>
      <c r="Z196" s="110">
        <v>1</v>
      </c>
      <c r="AA196" s="110">
        <v>0.5</v>
      </c>
      <c r="AB196" s="110">
        <v>0.5</v>
      </c>
      <c r="AC196" s="109">
        <f>IF(ISERROR((X196*SUMIF('Rev_for_allocation(Hard)'!$A$3:$A$249,$T196,'Rev_for_allocation(Hard)'!$I$3:$I$249)/SUMIF(Historic_capex_list!$T$9:$T$586,$T196,Historic_capex_list!$X$9:$X$586))=TRUE),0,X196*SUMIF('Rev_for_allocation(Hard)'!$A$3:$A$249,$T196,'Rev_for_allocation(Hard)'!$I$3:$I$249)/SUMIF(Historic_capex_list!$T$9:$T$586,$T196,Historic_capex_list!$X$9:$X$586))</f>
        <v>-670635.17509588203</v>
      </c>
      <c r="AD196" s="109">
        <f t="shared" si="79"/>
        <v>1117351.6849041181</v>
      </c>
      <c r="AE196" s="109">
        <f t="shared" si="80"/>
        <v>1117351.6849041181</v>
      </c>
      <c r="AF196" s="109">
        <f t="shared" si="81"/>
        <v>2905338.5449041184</v>
      </c>
      <c r="AG196" s="332" t="str">
        <f t="shared" si="82"/>
        <v>N</v>
      </c>
      <c r="AH196" s="332">
        <f t="shared" si="83"/>
        <v>0</v>
      </c>
      <c r="AI196" s="332">
        <f t="shared" si="84"/>
        <v>0</v>
      </c>
      <c r="AJ196" s="109">
        <f t="shared" si="85"/>
        <v>2905338.5449041184</v>
      </c>
      <c r="AK196" s="109">
        <f t="shared" si="86"/>
        <v>0</v>
      </c>
      <c r="AL196" s="109">
        <v>0</v>
      </c>
      <c r="AM196" s="111">
        <f t="shared" si="87"/>
        <v>10</v>
      </c>
      <c r="AN196" s="111">
        <f t="shared" si="88"/>
        <v>7</v>
      </c>
      <c r="AO196" s="111" t="str">
        <f t="shared" si="89"/>
        <v>Use deduct 3yrs</v>
      </c>
      <c r="AP196" s="111">
        <f t="shared" si="90"/>
        <v>7</v>
      </c>
      <c r="AQ196" s="112">
        <f t="shared" si="91"/>
        <v>0.41176470588235292</v>
      </c>
      <c r="AR196" s="112">
        <f t="shared" si="92"/>
        <v>0.58823529411764708</v>
      </c>
      <c r="AS196" s="113">
        <f t="shared" si="93"/>
        <v>2035</v>
      </c>
      <c r="AT196" s="109">
        <v>2839698.6002305392</v>
      </c>
      <c r="AU196" s="114">
        <v>0.58823529411764708</v>
      </c>
      <c r="AV196" s="113">
        <v>2035</v>
      </c>
      <c r="AW196" s="112">
        <f t="shared" si="94"/>
        <v>0.79410499701058734</v>
      </c>
      <c r="AX196" s="109">
        <f t="shared" si="95"/>
        <v>1670410.9413120819</v>
      </c>
      <c r="AY196" s="109">
        <f t="shared" si="96"/>
        <v>1169287.6589184573</v>
      </c>
      <c r="AZ196" s="109">
        <f t="shared" si="97"/>
        <v>2839698.6002305392</v>
      </c>
      <c r="BA196" s="111">
        <f t="shared" si="98"/>
        <v>0</v>
      </c>
      <c r="BB196" s="117"/>
      <c r="BC196" s="115" t="str">
        <f t="shared" si="99"/>
        <v>N</v>
      </c>
      <c r="BD196" s="115" t="str">
        <f t="shared" si="100"/>
        <v>Y</v>
      </c>
      <c r="BE196" s="115" t="str">
        <f t="shared" si="101"/>
        <v>N</v>
      </c>
      <c r="BF196" s="109" t="str">
        <f t="shared" si="102"/>
        <v/>
      </c>
      <c r="BG196" s="111" t="s">
        <v>2499</v>
      </c>
      <c r="BH196" s="115" t="s">
        <v>1168</v>
      </c>
      <c r="BI196" s="116"/>
      <c r="BJ196" s="222">
        <v>0.79410499701058734</v>
      </c>
      <c r="BK196" s="265">
        <f t="shared" si="103"/>
        <v>1169287.6589184573</v>
      </c>
      <c r="BL196" s="265">
        <f t="shared" si="104"/>
        <v>-1169287.6589184573</v>
      </c>
      <c r="BM196" s="265">
        <f t="shared" si="105"/>
        <v>-1.862645149230957E-9</v>
      </c>
      <c r="BN196" s="265">
        <f t="shared" si="106"/>
        <v>-1051711.7402305391</v>
      </c>
      <c r="BO196" s="109"/>
      <c r="BP196" s="265">
        <f t="shared" si="107"/>
        <v>736275.11976946099</v>
      </c>
      <c r="BQ196" s="265">
        <v>736275.11976946099</v>
      </c>
      <c r="BR196" s="265" t="e">
        <f t="shared" si="108"/>
        <v>#REF!</v>
      </c>
      <c r="BS196" s="265">
        <v>82948.192693128382</v>
      </c>
      <c r="BT196" s="475">
        <v>29669153.399769463</v>
      </c>
      <c r="BU196" s="475">
        <v>1670410.9413120819</v>
      </c>
      <c r="BV196" s="475">
        <v>1169287.6589184573</v>
      </c>
      <c r="BW196" s="483">
        <f t="shared" si="109"/>
        <v>1169287.6589184573</v>
      </c>
      <c r="BX196" s="483">
        <f t="shared" si="110"/>
        <v>-1169287.6589184573</v>
      </c>
    </row>
    <row r="197" spans="1:76" s="103" customFormat="1" ht="29">
      <c r="A197" s="100"/>
      <c r="B197" s="91" t="str">
        <f t="shared" si="74"/>
        <v>PTR</v>
      </c>
      <c r="C197" s="92"/>
      <c r="D197" s="448"/>
      <c r="E197" s="449" t="s">
        <v>2941</v>
      </c>
      <c r="F197" s="467" t="s">
        <v>4645</v>
      </c>
      <c r="G197" s="588" t="s">
        <v>5259</v>
      </c>
      <c r="H197" s="398">
        <v>0.11</v>
      </c>
      <c r="I197" s="95"/>
      <c r="J197" s="95" t="s">
        <v>1166</v>
      </c>
      <c r="K197" s="191">
        <v>611144.88</v>
      </c>
      <c r="L197" s="268">
        <v>0.79410499701058745</v>
      </c>
      <c r="M197" s="591">
        <v>1</v>
      </c>
      <c r="N197" s="267">
        <f t="shared" si="75"/>
        <v>0</v>
      </c>
      <c r="O197" s="96">
        <f t="shared" si="76"/>
        <v>557760.42765840201</v>
      </c>
      <c r="P197" s="96">
        <f t="shared" si="77"/>
        <v>53384.452341597942</v>
      </c>
      <c r="Q197" s="96">
        <f t="shared" si="78"/>
        <v>0</v>
      </c>
      <c r="R197" s="187" t="s">
        <v>942</v>
      </c>
      <c r="S197" s="187" t="s">
        <v>3608</v>
      </c>
      <c r="T197" s="94" t="s">
        <v>2810</v>
      </c>
      <c r="U197" s="395">
        <f>COUNTIF(Aggregation_of_rev_to_allocate!$A$3:$A$137,$T197)</f>
        <v>1</v>
      </c>
      <c r="V197" s="100"/>
      <c r="W197" s="100">
        <v>943</v>
      </c>
      <c r="X197" s="109">
        <v>33612.968399999998</v>
      </c>
      <c r="Y197" s="109">
        <v>33612.968399999998</v>
      </c>
      <c r="Z197" s="110">
        <v>1</v>
      </c>
      <c r="AA197" s="110">
        <v>0.5</v>
      </c>
      <c r="AB197" s="110">
        <v>0.5</v>
      </c>
      <c r="AC197" s="109">
        <f>IF(ISERROR((X197*SUMIF('Rev_for_allocation(Hard)'!$A$3:$A$249,$T197,'Rev_for_allocation(Hard)'!$I$3:$I$249)/SUMIF(Historic_capex_list!$T$9:$T$586,$T197,Historic_capex_list!$X$9:$X$586))=TRUE),0,X197*SUMIF('Rev_for_allocation(Hard)'!$A$3:$A$249,$T197,'Rev_for_allocation(Hard)'!$I$3:$I$249)/SUMIF(Historic_capex_list!$T$9:$T$586,$T197,Historic_capex_list!$X$9:$X$586))</f>
        <v>-12607.49698598252</v>
      </c>
      <c r="AD197" s="109">
        <f t="shared" si="79"/>
        <v>21005.471414017476</v>
      </c>
      <c r="AE197" s="109">
        <f t="shared" si="80"/>
        <v>21005.471414017476</v>
      </c>
      <c r="AF197" s="109">
        <f t="shared" si="81"/>
        <v>54618.439814017474</v>
      </c>
      <c r="AG197" s="332" t="str">
        <f t="shared" si="82"/>
        <v>N</v>
      </c>
      <c r="AH197" s="332">
        <f t="shared" si="83"/>
        <v>0</v>
      </c>
      <c r="AI197" s="332">
        <f t="shared" si="84"/>
        <v>0</v>
      </c>
      <c r="AJ197" s="109">
        <f t="shared" si="85"/>
        <v>54618.439814017474</v>
      </c>
      <c r="AK197" s="109">
        <f t="shared" si="86"/>
        <v>0</v>
      </c>
      <c r="AL197" s="109">
        <v>0</v>
      </c>
      <c r="AM197" s="111">
        <f t="shared" si="87"/>
        <v>10</v>
      </c>
      <c r="AN197" s="111">
        <f t="shared" si="88"/>
        <v>7</v>
      </c>
      <c r="AO197" s="111" t="str">
        <f t="shared" si="89"/>
        <v>Use deduct 3yrs</v>
      </c>
      <c r="AP197" s="111">
        <f t="shared" si="90"/>
        <v>7</v>
      </c>
      <c r="AQ197" s="112">
        <f t="shared" si="91"/>
        <v>0.41176470588235292</v>
      </c>
      <c r="AR197" s="112">
        <f t="shared" si="92"/>
        <v>0.58823529411764708</v>
      </c>
      <c r="AS197" s="113">
        <f t="shared" si="93"/>
        <v>2035</v>
      </c>
      <c r="AT197" s="109">
        <v>53384.452341597935</v>
      </c>
      <c r="AU197" s="114">
        <v>0.58823529411764708</v>
      </c>
      <c r="AV197" s="113">
        <v>2035</v>
      </c>
      <c r="AW197" s="112">
        <f t="shared" si="94"/>
        <v>0.79410499701058745</v>
      </c>
      <c r="AX197" s="109">
        <f t="shared" si="95"/>
        <v>31402.619024469379</v>
      </c>
      <c r="AY197" s="109">
        <f t="shared" si="96"/>
        <v>21981.833317128563</v>
      </c>
      <c r="AZ197" s="109">
        <f t="shared" si="97"/>
        <v>53384.452341597942</v>
      </c>
      <c r="BA197" s="111">
        <f t="shared" si="98"/>
        <v>0</v>
      </c>
      <c r="BB197" s="117"/>
      <c r="BC197" s="115" t="str">
        <f t="shared" si="99"/>
        <v>N</v>
      </c>
      <c r="BD197" s="115" t="str">
        <f t="shared" si="100"/>
        <v>Y</v>
      </c>
      <c r="BE197" s="115" t="str">
        <f t="shared" si="101"/>
        <v>N</v>
      </c>
      <c r="BF197" s="109" t="str">
        <f t="shared" si="102"/>
        <v/>
      </c>
      <c r="BG197" s="111" t="s">
        <v>2499</v>
      </c>
      <c r="BH197" s="115" t="s">
        <v>1168</v>
      </c>
      <c r="BI197" s="116"/>
      <c r="BJ197" s="222">
        <v>0.79410499701058745</v>
      </c>
      <c r="BK197" s="265">
        <f t="shared" si="103"/>
        <v>21981.833317128563</v>
      </c>
      <c r="BL197" s="265">
        <f t="shared" si="104"/>
        <v>-21981.833317128563</v>
      </c>
      <c r="BM197" s="265">
        <f t="shared" si="105"/>
        <v>5.0931703299283981E-11</v>
      </c>
      <c r="BN197" s="265">
        <f t="shared" si="106"/>
        <v>-19771.483941597944</v>
      </c>
      <c r="BO197" s="109"/>
      <c r="BP197" s="265">
        <f t="shared" si="107"/>
        <v>13841.484458402061</v>
      </c>
      <c r="BQ197" s="265">
        <v>13841.484458402061</v>
      </c>
      <c r="BR197" s="265" t="e">
        <f t="shared" si="108"/>
        <v>#REF!</v>
      </c>
      <c r="BS197" s="265">
        <v>1559.3710682142455</v>
      </c>
      <c r="BT197" s="475">
        <v>557760.42765840201</v>
      </c>
      <c r="BU197" s="475">
        <v>31402.619024469379</v>
      </c>
      <c r="BV197" s="475">
        <v>21981.833317128563</v>
      </c>
      <c r="BW197" s="483">
        <f t="shared" si="109"/>
        <v>21981.833317128563</v>
      </c>
      <c r="BX197" s="483">
        <f t="shared" si="110"/>
        <v>-21981.833317128563</v>
      </c>
    </row>
    <row r="198" spans="1:76" s="103" customFormat="1" ht="29">
      <c r="A198" s="100"/>
      <c r="B198" s="91" t="str">
        <f t="shared" si="74"/>
        <v>PTR</v>
      </c>
      <c r="C198" s="92"/>
      <c r="D198" s="448"/>
      <c r="E198" s="449"/>
      <c r="F198" s="384" t="s">
        <v>2250</v>
      </c>
      <c r="G198" s="588" t="s">
        <v>5260</v>
      </c>
      <c r="H198" s="398">
        <v>0.11</v>
      </c>
      <c r="I198" s="95"/>
      <c r="J198" s="95" t="s">
        <v>1166</v>
      </c>
      <c r="K198" s="191">
        <v>17245004</v>
      </c>
      <c r="L198" s="268">
        <v>0.99999999387302663</v>
      </c>
      <c r="M198" s="266">
        <v>0.58823529411764708</v>
      </c>
      <c r="N198" s="267">
        <f t="shared" si="75"/>
        <v>0.41176470588235292</v>
      </c>
      <c r="O198" s="96">
        <f t="shared" si="76"/>
        <v>15348053.571622565</v>
      </c>
      <c r="P198" s="96">
        <f t="shared" si="77"/>
        <v>1115853.1931631973</v>
      </c>
      <c r="Q198" s="96">
        <f t="shared" si="78"/>
        <v>781097.23521423806</v>
      </c>
      <c r="R198" s="187" t="s">
        <v>2355</v>
      </c>
      <c r="S198" s="187" t="s">
        <v>3607</v>
      </c>
      <c r="T198" s="94" t="s">
        <v>2810</v>
      </c>
      <c r="U198" s="395">
        <f>COUNTIF(Aggregation_of_rev_to_allocate!$A$3:$A$137,$T198)</f>
        <v>1</v>
      </c>
      <c r="V198" s="100"/>
      <c r="W198" s="100">
        <v>952</v>
      </c>
      <c r="X198" s="109">
        <v>948475.22</v>
      </c>
      <c r="Y198" s="109">
        <v>948475.22</v>
      </c>
      <c r="Z198" s="110">
        <v>1</v>
      </c>
      <c r="AA198" s="110">
        <v>0.5</v>
      </c>
      <c r="AB198" s="110">
        <v>0.5</v>
      </c>
      <c r="AC198" s="109">
        <f>IF(ISERROR((X198*SUMIF('Rev_for_allocation(Hard)'!$A$3:$A$249,$T198,'Rev_for_allocation(Hard)'!$I$3:$I$249)/SUMIF(Historic_capex_list!$T$9:$T$586,$T198,Historic_capex_list!$X$9:$X$586))=TRUE),0,X198*SUMIF('Rev_for_allocation(Hard)'!$A$3:$A$249,$T198,'Rev_for_allocation(Hard)'!$I$3:$I$249)/SUMIF(Historic_capex_list!$T$9:$T$586,$T198,Historic_capex_list!$X$9:$X$586))</f>
        <v>-355752.52786746161</v>
      </c>
      <c r="AD198" s="109">
        <f t="shared" si="79"/>
        <v>592722.69213253842</v>
      </c>
      <c r="AE198" s="109">
        <f t="shared" si="80"/>
        <v>592722.69213253842</v>
      </c>
      <c r="AF198" s="109">
        <f t="shared" si="81"/>
        <v>1541197.9121325384</v>
      </c>
      <c r="AG198" s="332" t="str">
        <f t="shared" si="82"/>
        <v>N</v>
      </c>
      <c r="AH198" s="332">
        <f t="shared" si="83"/>
        <v>0</v>
      </c>
      <c r="AI198" s="332">
        <f t="shared" si="84"/>
        <v>0</v>
      </c>
      <c r="AJ198" s="109">
        <f t="shared" si="85"/>
        <v>1541197.9121325384</v>
      </c>
      <c r="AK198" s="109">
        <f t="shared" si="86"/>
        <v>0</v>
      </c>
      <c r="AL198" s="109">
        <v>0</v>
      </c>
      <c r="AM198" s="111">
        <f t="shared" si="87"/>
        <v>10</v>
      </c>
      <c r="AN198" s="111">
        <f t="shared" si="88"/>
        <v>7</v>
      </c>
      <c r="AO198" s="111" t="str">
        <f t="shared" si="89"/>
        <v>Use deduct 3yrs</v>
      </c>
      <c r="AP198" s="111">
        <f t="shared" si="90"/>
        <v>7</v>
      </c>
      <c r="AQ198" s="112">
        <f t="shared" si="91"/>
        <v>0.41176470588235292</v>
      </c>
      <c r="AR198" s="112">
        <f t="shared" si="92"/>
        <v>0.58823529411764708</v>
      </c>
      <c r="AS198" s="113">
        <f t="shared" si="93"/>
        <v>2035</v>
      </c>
      <c r="AT198" s="109">
        <v>1896950.4283774351</v>
      </c>
      <c r="AU198" s="114">
        <v>0.58823529411764708</v>
      </c>
      <c r="AV198" s="113">
        <v>2035</v>
      </c>
      <c r="AW198" s="112">
        <f t="shared" si="94"/>
        <v>0.99999999387302663</v>
      </c>
      <c r="AX198" s="109">
        <f t="shared" si="95"/>
        <v>1115853.1931631973</v>
      </c>
      <c r="AY198" s="109">
        <f t="shared" si="96"/>
        <v>781097.23521423806</v>
      </c>
      <c r="AZ198" s="109">
        <f t="shared" si="97"/>
        <v>1896950.4283774353</v>
      </c>
      <c r="BA198" s="111">
        <f t="shared" si="98"/>
        <v>0</v>
      </c>
      <c r="BB198" s="117"/>
      <c r="BC198" s="115" t="str">
        <f t="shared" si="99"/>
        <v>N</v>
      </c>
      <c r="BD198" s="115" t="str">
        <f t="shared" si="100"/>
        <v>N</v>
      </c>
      <c r="BE198" s="115" t="str">
        <f t="shared" si="101"/>
        <v>N</v>
      </c>
      <c r="BF198" s="109" t="str">
        <f t="shared" si="102"/>
        <v/>
      </c>
      <c r="BG198" s="111" t="s">
        <v>2499</v>
      </c>
      <c r="BH198" s="115" t="s">
        <v>1168</v>
      </c>
      <c r="BI198" s="116"/>
      <c r="BJ198" s="222">
        <v>0.99999999387302663</v>
      </c>
      <c r="BK198" s="265">
        <f t="shared" si="103"/>
        <v>0</v>
      </c>
      <c r="BL198" s="265">
        <f t="shared" si="104"/>
        <v>0</v>
      </c>
      <c r="BM198" s="265">
        <f t="shared" si="105"/>
        <v>0</v>
      </c>
      <c r="BN198" s="265">
        <f t="shared" si="106"/>
        <v>-167377.97316319728</v>
      </c>
      <c r="BO198" s="109"/>
      <c r="BP198" s="265">
        <f t="shared" si="107"/>
        <v>1.1622564867138863E-2</v>
      </c>
      <c r="BQ198" s="265">
        <v>1.1622564867138863E-2</v>
      </c>
      <c r="BR198" s="265" t="e">
        <f t="shared" si="108"/>
        <v>#REF!</v>
      </c>
      <c r="BS198" s="265">
        <v>1.3093892816718887E-3</v>
      </c>
      <c r="BT198" s="475">
        <v>15348053.571622565</v>
      </c>
      <c r="BU198" s="475">
        <v>1115853.1931631973</v>
      </c>
      <c r="BV198" s="475">
        <v>781097.23521423806</v>
      </c>
      <c r="BW198" s="483">
        <f t="shared" si="109"/>
        <v>0</v>
      </c>
      <c r="BX198" s="483">
        <f t="shared" si="110"/>
        <v>0</v>
      </c>
    </row>
    <row r="199" spans="1:76" s="103" customFormat="1" ht="43.5">
      <c r="A199" s="100" t="s">
        <v>2259</v>
      </c>
      <c r="B199" s="91" t="str">
        <f t="shared" ref="B199:B255" si="111">LEFT(T199,3)</f>
        <v>PTR</v>
      </c>
      <c r="C199" s="92" t="s">
        <v>460</v>
      </c>
      <c r="D199" s="448"/>
      <c r="E199" s="449" t="s">
        <v>2161</v>
      </c>
      <c r="F199" s="467" t="s">
        <v>4751</v>
      </c>
      <c r="G199" s="467" t="s">
        <v>4745</v>
      </c>
      <c r="H199" s="470">
        <v>0.2387</v>
      </c>
      <c r="I199" s="95" t="s">
        <v>962</v>
      </c>
      <c r="J199" s="95" t="s">
        <v>1166</v>
      </c>
      <c r="K199" s="469">
        <v>19136566</v>
      </c>
      <c r="L199" s="471">
        <v>8.8974191730397417E-2</v>
      </c>
      <c r="M199" s="266">
        <v>1</v>
      </c>
      <c r="N199" s="267">
        <f t="shared" ref="N199:N255" si="112">100%-M199</f>
        <v>0</v>
      </c>
      <c r="O199" s="96">
        <f t="shared" ref="O199:O255" si="113">(K199*(100%-H199))+(K199*H199*(100%-L199))</f>
        <v>18730140.940477151</v>
      </c>
      <c r="P199" s="96">
        <f t="shared" ref="P199:P220" si="114">(+K199*L199*M199*H199)</f>
        <v>406425.05952284799</v>
      </c>
      <c r="Q199" s="96">
        <f t="shared" ref="Q199:Q255" si="115">+K199*L199*N199*H199</f>
        <v>0</v>
      </c>
      <c r="R199" s="187" t="s">
        <v>2352</v>
      </c>
      <c r="S199" s="187" t="s">
        <v>3608</v>
      </c>
      <c r="T199" s="94" t="s">
        <v>2810</v>
      </c>
      <c r="U199" s="395">
        <f>COUNTIF(Aggregation_of_rev_to_allocate!$A$3:$A$137,$T199)</f>
        <v>1</v>
      </c>
      <c r="V199" s="100"/>
      <c r="W199" s="100">
        <v>239</v>
      </c>
      <c r="X199" s="109">
        <v>406367.97731537768</v>
      </c>
      <c r="Y199" s="109">
        <v>0</v>
      </c>
      <c r="Z199" s="110">
        <v>0.13497261052928369</v>
      </c>
      <c r="AA199" s="110">
        <v>1</v>
      </c>
      <c r="AB199" s="110">
        <v>0</v>
      </c>
      <c r="AC199" s="109">
        <f>IF(ISERROR((X199*SUMIF('Rev_for_allocation(Hard)'!$A$3:$A$249,$T199,'Rev_for_allocation(Hard)'!$I$3:$I$249)/SUMIF(Historic_capex_list!$T$9:$T$586,$T199,Historic_capex_list!$X$9:$X$586))=TRUE),0,X199*SUMIF('Rev_for_allocation(Hard)'!$A$3:$A$249,$T199,'Rev_for_allocation(Hard)'!$I$3:$I$249)/SUMIF(Historic_capex_list!$T$9:$T$586,$T199,Historic_capex_list!$X$9:$X$586))</f>
        <v>-152419.83356648253</v>
      </c>
      <c r="AD199" s="109">
        <f t="shared" ref="AD199:AD255" si="116">+AC199+X199</f>
        <v>253948.14374889515</v>
      </c>
      <c r="AE199" s="109">
        <f t="shared" ref="AE199:AE255" si="117">IF(AD199&lt;0,+Q199+P199+AC199,+AD199)</f>
        <v>253948.14374889515</v>
      </c>
      <c r="AF199" s="109">
        <f t="shared" ref="AF199:AF255" si="118">+Y199+AD199</f>
        <v>253948.14374889515</v>
      </c>
      <c r="AG199" s="332" t="str">
        <f t="shared" ref="AG199:AG255" si="119">IF(AF199&lt;0,"Y","N")</f>
        <v>N</v>
      </c>
      <c r="AH199" s="332">
        <f t="shared" si="83"/>
        <v>0</v>
      </c>
      <c r="AI199" s="332">
        <f t="shared" si="84"/>
        <v>0</v>
      </c>
      <c r="AJ199" s="109">
        <f t="shared" si="85"/>
        <v>253948.14374889515</v>
      </c>
      <c r="AK199" s="109">
        <f t="shared" ref="AK199:AK255" si="120">IF(AJ199&lt;0,+AJ199,0)</f>
        <v>0</v>
      </c>
      <c r="AL199" s="109">
        <v>0</v>
      </c>
      <c r="AM199" s="111">
        <f t="shared" ref="AM199:AM255" si="121">AB199/(1-AB199)*10</f>
        <v>0</v>
      </c>
      <c r="AN199" s="111">
        <f t="shared" ref="AN199:AN255" si="122">IF(AM199=0,0,IF(AD199&lt;0,AM199-10,AM199-3))</f>
        <v>0</v>
      </c>
      <c r="AO199" s="111" t="str">
        <f t="shared" ref="AO199:AO255" si="123">IF(-AC199&gt;AE199,((AE199+Y199+AC199)/(AE199+Y199))*(AM199+10),"Use deduct 3yrs")</f>
        <v>Use deduct 3yrs</v>
      </c>
      <c r="AP199" s="111">
        <f t="shared" ref="AP199:AP255" si="124">IF(AO199&lt;=10,0,AN199)</f>
        <v>0</v>
      </c>
      <c r="AQ199" s="112">
        <f t="shared" ref="AQ199:AQ255" si="125">IF(AN199&lt;=0,0,(AP199/(AP199+10)))</f>
        <v>0</v>
      </c>
      <c r="AR199" s="112">
        <f t="shared" ref="AR199:AR255" si="126">IF(O199=0,1,1-AQ199)</f>
        <v>1</v>
      </c>
      <c r="AS199" s="113">
        <f t="shared" ref="AS199:AS255" si="127">ROUND(IF(+$AS$7+AP199&lt;+$AS$7,+$AS$7,+$AS$7+AP199),0)</f>
        <v>2028</v>
      </c>
      <c r="AT199" s="109">
        <v>406367.94226543652</v>
      </c>
      <c r="AU199" s="114">
        <v>1</v>
      </c>
      <c r="AV199" s="113">
        <v>2028</v>
      </c>
      <c r="AW199" s="112">
        <f t="shared" ref="AW199:AW255" si="128">IF(ISERR($AT199/($K199*$H199)),0,($AT199/($K199*$H199)))</f>
        <v>8.8961687674131762E-2</v>
      </c>
      <c r="AX199" s="109">
        <f t="shared" ref="AX199:AX255" si="129">$K199*$AW199*$AU199*$H199</f>
        <v>406367.94226543652</v>
      </c>
      <c r="AY199" s="109">
        <f t="shared" ref="AY199:AY255" si="130">$K199*$AW199*(1-$AU199)*$H199</f>
        <v>0</v>
      </c>
      <c r="AZ199" s="109">
        <f t="shared" ref="AZ199:AZ255" si="131">IF(K199&lt;1,+AF199,+AY199+AX199)</f>
        <v>406367.94226543652</v>
      </c>
      <c r="BA199" s="111">
        <f t="shared" ref="BA199:BA255" si="132">+AZ199-AT199</f>
        <v>0</v>
      </c>
      <c r="BB199" s="117" t="s">
        <v>2466</v>
      </c>
      <c r="BC199" s="115" t="str">
        <f t="shared" ref="BC199:BC255" si="133">IF(P199&lt;=BC$7,"Y","N")</f>
        <v>N</v>
      </c>
      <c r="BD199" s="115" t="str">
        <f t="shared" ref="BD199:BD255" si="134">IF(Q199&lt;=BD$7,"Y","N")</f>
        <v>Y</v>
      </c>
      <c r="BE199" s="115" t="str">
        <f t="shared" ref="BE199:BE255" si="135">IF(AND(BC199="Y",Q199=0),"Y","N")</f>
        <v>N</v>
      </c>
      <c r="BF199" s="109" t="str">
        <f t="shared" ref="BF199:BF255" si="136">IF(BE199="Y",+P199,"")</f>
        <v/>
      </c>
      <c r="BG199" s="111" t="s">
        <v>2499</v>
      </c>
      <c r="BH199" s="115" t="s">
        <v>1168</v>
      </c>
      <c r="BI199" s="116"/>
      <c r="BJ199" s="222">
        <v>0.1349725988876625</v>
      </c>
      <c r="BK199" s="265">
        <f t="shared" ref="BK199:BK255" si="137">+AY199-Q199</f>
        <v>0</v>
      </c>
      <c r="BL199" s="265">
        <f t="shared" ref="BL199:BL255" si="138">+Q199-AY199</f>
        <v>0</v>
      </c>
      <c r="BM199" s="265">
        <f t="shared" ref="BM199:BM255" si="139">+K199-O199-P199-Q199</f>
        <v>5.8207660913467407E-10</v>
      </c>
      <c r="BN199" s="265">
        <f t="shared" ref="BN199:BN255" si="140">+X199-P199</f>
        <v>-57.082207470317371</v>
      </c>
      <c r="BO199" s="109"/>
      <c r="BP199" s="265">
        <f t="shared" ref="BP199:BP255" si="141">+X199+Y199-AT199</f>
        <v>3.5049941157922149E-2</v>
      </c>
      <c r="BQ199" s="265">
        <v>3.5049941157922149E-2</v>
      </c>
      <c r="BR199" s="265" t="e">
        <f t="shared" ref="BR199:BR255" si="142">+BQ199*$BR$7</f>
        <v>#REF!</v>
      </c>
      <c r="BS199" s="265">
        <v>3.9486996028882072E-3</v>
      </c>
      <c r="BT199" s="475">
        <v>18730140.940477151</v>
      </c>
      <c r="BU199" s="475">
        <v>406425.05952284799</v>
      </c>
      <c r="BV199" s="475">
        <v>0</v>
      </c>
      <c r="BW199" s="483">
        <f t="shared" ref="BW199:BW255" si="143">P199-BU199</f>
        <v>0</v>
      </c>
      <c r="BX199" s="483">
        <f t="shared" ref="BX199:BX255" si="144">Q199-BV199</f>
        <v>0</v>
      </c>
    </row>
    <row r="200" spans="1:76" s="103" customFormat="1" ht="43.5">
      <c r="A200" s="100"/>
      <c r="B200" s="91" t="str">
        <f t="shared" si="111"/>
        <v>PTR</v>
      </c>
      <c r="C200" s="92" t="s">
        <v>460</v>
      </c>
      <c r="D200" s="448"/>
      <c r="E200" s="449" t="s">
        <v>2164</v>
      </c>
      <c r="F200" s="467" t="s">
        <v>4752</v>
      </c>
      <c r="G200" s="467" t="s">
        <v>4745</v>
      </c>
      <c r="H200" s="470">
        <v>0.21579999999999999</v>
      </c>
      <c r="I200" s="95" t="s">
        <v>962</v>
      </c>
      <c r="J200" s="95" t="s">
        <v>1166</v>
      </c>
      <c r="K200" s="469">
        <v>17598229</v>
      </c>
      <c r="L200" s="471">
        <v>8.9573097108783806E-2</v>
      </c>
      <c r="M200" s="266">
        <v>1</v>
      </c>
      <c r="N200" s="267">
        <f t="shared" si="112"/>
        <v>0</v>
      </c>
      <c r="O200" s="96">
        <f t="shared" si="113"/>
        <v>17258057.444540557</v>
      </c>
      <c r="P200" s="96">
        <f t="shared" si="114"/>
        <v>340171.55545944499</v>
      </c>
      <c r="Q200" s="96">
        <f t="shared" si="115"/>
        <v>0</v>
      </c>
      <c r="R200" s="187" t="s">
        <v>2352</v>
      </c>
      <c r="S200" s="187" t="s">
        <v>3608</v>
      </c>
      <c r="T200" s="94" t="s">
        <v>2810</v>
      </c>
      <c r="U200" s="395">
        <f>COUNTIF(Aggregation_of_rev_to_allocate!$A$3:$A$137,$T200)</f>
        <v>1</v>
      </c>
      <c r="V200" s="100"/>
      <c r="W200" s="100">
        <v>240</v>
      </c>
      <c r="X200" s="109">
        <v>340215.85000000003</v>
      </c>
      <c r="Y200" s="109">
        <v>0</v>
      </c>
      <c r="Z200" s="110">
        <v>0.13</v>
      </c>
      <c r="AA200" s="110">
        <v>1</v>
      </c>
      <c r="AB200" s="110">
        <v>0</v>
      </c>
      <c r="AC200" s="109">
        <f>IF(ISERROR((X200*SUMIF('Rev_for_allocation(Hard)'!$A$3:$A$249,$T200,'Rev_for_allocation(Hard)'!$I$3:$I$249)/SUMIF(Historic_capex_list!$T$9:$T$586,$T200,Historic_capex_list!$X$9:$X$586))=TRUE),0,X200*SUMIF('Rev_for_allocation(Hard)'!$A$3:$A$249,$T200,'Rev_for_allocation(Hard)'!$I$3:$I$249)/SUMIF(Historic_capex_list!$T$9:$T$586,$T200,Historic_capex_list!$X$9:$X$586))</f>
        <v>-127607.60229252711</v>
      </c>
      <c r="AD200" s="109">
        <f t="shared" si="116"/>
        <v>212608.24770747294</v>
      </c>
      <c r="AE200" s="109">
        <f t="shared" si="117"/>
        <v>212608.24770747294</v>
      </c>
      <c r="AF200" s="109">
        <f t="shared" si="118"/>
        <v>212608.24770747294</v>
      </c>
      <c r="AG200" s="332" t="str">
        <f t="shared" si="119"/>
        <v>N</v>
      </c>
      <c r="AH200" s="332">
        <f t="shared" si="83"/>
        <v>0</v>
      </c>
      <c r="AI200" s="332">
        <f t="shared" si="84"/>
        <v>0</v>
      </c>
      <c r="AJ200" s="109">
        <f t="shared" si="85"/>
        <v>212608.24770747294</v>
      </c>
      <c r="AK200" s="109">
        <f t="shared" si="120"/>
        <v>0</v>
      </c>
      <c r="AL200" s="109">
        <v>0</v>
      </c>
      <c r="AM200" s="111">
        <f t="shared" si="121"/>
        <v>0</v>
      </c>
      <c r="AN200" s="111">
        <f t="shared" si="122"/>
        <v>0</v>
      </c>
      <c r="AO200" s="111" t="str">
        <f t="shared" si="123"/>
        <v>Use deduct 3yrs</v>
      </c>
      <c r="AP200" s="111">
        <f t="shared" si="124"/>
        <v>0</v>
      </c>
      <c r="AQ200" s="112">
        <f t="shared" si="125"/>
        <v>0</v>
      </c>
      <c r="AR200" s="112">
        <f t="shared" si="126"/>
        <v>1</v>
      </c>
      <c r="AS200" s="113">
        <f t="shared" si="127"/>
        <v>2028</v>
      </c>
      <c r="AT200" s="109">
        <v>340215.82065579435</v>
      </c>
      <c r="AU200" s="114">
        <v>1</v>
      </c>
      <c r="AV200" s="113">
        <v>2028</v>
      </c>
      <c r="AW200" s="112">
        <f t="shared" si="128"/>
        <v>8.958475290618223E-2</v>
      </c>
      <c r="AX200" s="109">
        <f t="shared" si="129"/>
        <v>340215.82065579435</v>
      </c>
      <c r="AY200" s="109">
        <f t="shared" si="130"/>
        <v>0</v>
      </c>
      <c r="AZ200" s="109">
        <f t="shared" si="131"/>
        <v>340215.82065579435</v>
      </c>
      <c r="BA200" s="111">
        <f t="shared" si="132"/>
        <v>0</v>
      </c>
      <c r="BB200" s="117" t="s">
        <v>2466</v>
      </c>
      <c r="BC200" s="115" t="str">
        <f t="shared" si="133"/>
        <v>N</v>
      </c>
      <c r="BD200" s="115" t="str">
        <f t="shared" si="134"/>
        <v>Y</v>
      </c>
      <c r="BE200" s="115" t="str">
        <f t="shared" si="135"/>
        <v>N</v>
      </c>
      <c r="BF200" s="109" t="str">
        <f t="shared" si="136"/>
        <v/>
      </c>
      <c r="BG200" s="111" t="s">
        <v>2499</v>
      </c>
      <c r="BH200" s="115" t="s">
        <v>1168</v>
      </c>
      <c r="BI200" s="116"/>
      <c r="BJ200" s="222">
        <v>0.12999998878727509</v>
      </c>
      <c r="BK200" s="265">
        <f t="shared" si="137"/>
        <v>0</v>
      </c>
      <c r="BL200" s="265">
        <f t="shared" si="138"/>
        <v>0</v>
      </c>
      <c r="BM200" s="265">
        <f t="shared" si="139"/>
        <v>-1.5133991837501526E-9</v>
      </c>
      <c r="BN200" s="265">
        <f t="shared" si="140"/>
        <v>44.294540555041749</v>
      </c>
      <c r="BO200" s="109"/>
      <c r="BP200" s="265">
        <f t="shared" si="141"/>
        <v>2.9344205686356872E-2</v>
      </c>
      <c r="BQ200" s="265">
        <v>2.9344205686356872E-2</v>
      </c>
      <c r="BR200" s="265" t="e">
        <f t="shared" si="142"/>
        <v>#REF!</v>
      </c>
      <c r="BS200" s="265">
        <v>3.3058958021844626E-3</v>
      </c>
      <c r="BT200" s="475">
        <v>17258057.444540557</v>
      </c>
      <c r="BU200" s="475">
        <v>340171.55545944499</v>
      </c>
      <c r="BV200" s="475">
        <v>0</v>
      </c>
      <c r="BW200" s="483">
        <f t="shared" si="143"/>
        <v>0</v>
      </c>
      <c r="BX200" s="483">
        <f t="shared" si="144"/>
        <v>0</v>
      </c>
    </row>
    <row r="201" spans="1:76" s="103" customFormat="1" ht="43.5">
      <c r="A201" s="100" t="s">
        <v>2259</v>
      </c>
      <c r="B201" s="91" t="str">
        <f t="shared" si="111"/>
        <v>PTR</v>
      </c>
      <c r="C201" s="92" t="s">
        <v>460</v>
      </c>
      <c r="D201" s="448"/>
      <c r="E201" s="449" t="s">
        <v>2162</v>
      </c>
      <c r="F201" s="467" t="s">
        <v>4753</v>
      </c>
      <c r="G201" s="467" t="s">
        <v>4745</v>
      </c>
      <c r="H201" s="470">
        <v>0.18890000000000001</v>
      </c>
      <c r="I201" s="95" t="s">
        <v>962</v>
      </c>
      <c r="J201" s="95" t="s">
        <v>1166</v>
      </c>
      <c r="K201" s="469">
        <v>15063665</v>
      </c>
      <c r="L201" s="471">
        <v>9.5525239674758358E-2</v>
      </c>
      <c r="M201" s="266">
        <v>1</v>
      </c>
      <c r="N201" s="267">
        <f t="shared" si="112"/>
        <v>0</v>
      </c>
      <c r="O201" s="96">
        <f t="shared" si="113"/>
        <v>14791845.416424453</v>
      </c>
      <c r="P201" s="96">
        <f t="shared" si="114"/>
        <v>271819.58357554529</v>
      </c>
      <c r="Q201" s="96">
        <f t="shared" si="115"/>
        <v>0</v>
      </c>
      <c r="R201" s="187" t="s">
        <v>2352</v>
      </c>
      <c r="S201" s="187" t="s">
        <v>3608</v>
      </c>
      <c r="T201" s="94" t="s">
        <v>2810</v>
      </c>
      <c r="U201" s="395">
        <f>COUNTIF(Aggregation_of_rev_to_allocate!$A$3:$A$137,$T201)</f>
        <v>1</v>
      </c>
      <c r="V201" s="100"/>
      <c r="W201" s="100">
        <v>241</v>
      </c>
      <c r="X201" s="109">
        <v>271888.55670496798</v>
      </c>
      <c r="Y201" s="109">
        <v>0</v>
      </c>
      <c r="Z201" s="110">
        <v>0.13497261052928367</v>
      </c>
      <c r="AA201" s="110">
        <v>1</v>
      </c>
      <c r="AB201" s="110">
        <v>0</v>
      </c>
      <c r="AC201" s="109">
        <f>IF(ISERROR((X201*SUMIF('Rev_for_allocation(Hard)'!$A$3:$A$249,$T201,'Rev_for_allocation(Hard)'!$I$3:$I$249)/SUMIF(Historic_capex_list!$T$9:$T$586,$T201,Historic_capex_list!$X$9:$X$586))=TRUE),0,X201*SUMIF('Rev_for_allocation(Hard)'!$A$3:$A$249,$T201,'Rev_for_allocation(Hard)'!$I$3:$I$249)/SUMIF(Historic_capex_list!$T$9:$T$586,$T201,Historic_capex_list!$X$9:$X$586))</f>
        <v>-101979.51333512756</v>
      </c>
      <c r="AD201" s="109">
        <f t="shared" si="116"/>
        <v>169909.04336984042</v>
      </c>
      <c r="AE201" s="109">
        <f t="shared" si="117"/>
        <v>169909.04336984042</v>
      </c>
      <c r="AF201" s="109">
        <f t="shared" si="118"/>
        <v>169909.04336984042</v>
      </c>
      <c r="AG201" s="332" t="str">
        <f t="shared" si="119"/>
        <v>N</v>
      </c>
      <c r="AH201" s="332">
        <f t="shared" ref="AH201:AH264" si="145">SUMIFS($AF$9:$AF$506,$T$9:$T$506,$T201,$AG$9:$AG$506,"Y")</f>
        <v>0</v>
      </c>
      <c r="AI201" s="332">
        <f t="shared" ref="AI201:AI264" si="146">IF(AND(AH201&lt;0,AG201="N"),AH201*AF201/SUMIFS($AE$9:$AE$506,$T$9:$T$506,$T201,$AG$9:$AG$506,"N"),0)</f>
        <v>0</v>
      </c>
      <c r="AJ201" s="109">
        <f t="shared" ref="AJ201:AJ264" si="147">IF(AND(AI201&lt;0,AF201&gt;0),AI201+AF201,IF(AND(AI201=0,AF201&lt;0,COUNTIFS($T$9:$T$506,$T201,$AF$9:$AF$506,"&gt;0")&gt;0),0,+AF201))</f>
        <v>169909.04336984042</v>
      </c>
      <c r="AK201" s="109">
        <f t="shared" si="120"/>
        <v>0</v>
      </c>
      <c r="AL201" s="109">
        <v>0</v>
      </c>
      <c r="AM201" s="111">
        <f t="shared" si="121"/>
        <v>0</v>
      </c>
      <c r="AN201" s="111">
        <f t="shared" si="122"/>
        <v>0</v>
      </c>
      <c r="AO201" s="111" t="str">
        <f t="shared" si="123"/>
        <v>Use deduct 3yrs</v>
      </c>
      <c r="AP201" s="111">
        <f t="shared" si="124"/>
        <v>0</v>
      </c>
      <c r="AQ201" s="112">
        <f t="shared" si="125"/>
        <v>0</v>
      </c>
      <c r="AR201" s="112">
        <f t="shared" si="126"/>
        <v>1</v>
      </c>
      <c r="AS201" s="113">
        <f t="shared" si="127"/>
        <v>2028</v>
      </c>
      <c r="AT201" s="109">
        <v>271888.53325410956</v>
      </c>
      <c r="AU201" s="114">
        <v>1</v>
      </c>
      <c r="AV201" s="113">
        <v>2028</v>
      </c>
      <c r="AW201" s="112">
        <f t="shared" si="128"/>
        <v>9.5549470579992302E-2</v>
      </c>
      <c r="AX201" s="109">
        <f t="shared" si="129"/>
        <v>271888.53325410956</v>
      </c>
      <c r="AY201" s="109">
        <f t="shared" si="130"/>
        <v>0</v>
      </c>
      <c r="AZ201" s="109">
        <f t="shared" si="131"/>
        <v>271888.53325410956</v>
      </c>
      <c r="BA201" s="111">
        <f t="shared" si="132"/>
        <v>0</v>
      </c>
      <c r="BB201" s="117" t="s">
        <v>2466</v>
      </c>
      <c r="BC201" s="115" t="str">
        <f t="shared" si="133"/>
        <v>N</v>
      </c>
      <c r="BD201" s="115" t="str">
        <f t="shared" si="134"/>
        <v>Y</v>
      </c>
      <c r="BE201" s="115" t="str">
        <f t="shared" si="135"/>
        <v>N</v>
      </c>
      <c r="BF201" s="109" t="str">
        <f t="shared" si="136"/>
        <v/>
      </c>
      <c r="BG201" s="111" t="s">
        <v>2499</v>
      </c>
      <c r="BH201" s="115" t="s">
        <v>1168</v>
      </c>
      <c r="BI201" s="116"/>
      <c r="BJ201" s="222">
        <v>0.1349725988876625</v>
      </c>
      <c r="BK201" s="265">
        <f t="shared" si="137"/>
        <v>0</v>
      </c>
      <c r="BL201" s="265">
        <f t="shared" si="138"/>
        <v>0</v>
      </c>
      <c r="BM201" s="265">
        <f t="shared" si="139"/>
        <v>1.4551915228366852E-9</v>
      </c>
      <c r="BN201" s="265">
        <f t="shared" si="140"/>
        <v>68.97312942269491</v>
      </c>
      <c r="BO201" s="109"/>
      <c r="BP201" s="265">
        <f t="shared" si="141"/>
        <v>2.3450858425348997E-2</v>
      </c>
      <c r="BQ201" s="265">
        <v>2.3450858425348997E-2</v>
      </c>
      <c r="BR201" s="265" t="e">
        <f t="shared" si="142"/>
        <v>#REF!</v>
      </c>
      <c r="BS201" s="265">
        <v>2.6419558005629684E-3</v>
      </c>
      <c r="BT201" s="475">
        <v>14791845.416424453</v>
      </c>
      <c r="BU201" s="475">
        <v>271819.58357554529</v>
      </c>
      <c r="BV201" s="475">
        <v>0</v>
      </c>
      <c r="BW201" s="483">
        <f t="shared" si="143"/>
        <v>0</v>
      </c>
      <c r="BX201" s="483">
        <f t="shared" si="144"/>
        <v>0</v>
      </c>
    </row>
    <row r="202" spans="1:76" s="103" customFormat="1" ht="43.5">
      <c r="A202" s="100" t="s">
        <v>2259</v>
      </c>
      <c r="B202" s="91" t="str">
        <f t="shared" si="111"/>
        <v>PTR</v>
      </c>
      <c r="C202" s="92" t="s">
        <v>460</v>
      </c>
      <c r="D202" s="448"/>
      <c r="E202" s="449" t="s">
        <v>2163</v>
      </c>
      <c r="F202" s="467" t="s">
        <v>4754</v>
      </c>
      <c r="G202" s="467" t="s">
        <v>4745</v>
      </c>
      <c r="H202" s="470">
        <v>0.16270000000000001</v>
      </c>
      <c r="I202" s="95" t="s">
        <v>962</v>
      </c>
      <c r="J202" s="95" t="s">
        <v>1166</v>
      </c>
      <c r="K202" s="469">
        <v>7518294</v>
      </c>
      <c r="L202" s="471">
        <v>9.0088492103064771E-2</v>
      </c>
      <c r="M202" s="266">
        <v>1</v>
      </c>
      <c r="N202" s="267">
        <f t="shared" si="112"/>
        <v>0</v>
      </c>
      <c r="O202" s="96">
        <f t="shared" si="113"/>
        <v>7408095.3750783484</v>
      </c>
      <c r="P202" s="96">
        <f t="shared" si="114"/>
        <v>110198.62492165138</v>
      </c>
      <c r="Q202" s="96">
        <f t="shared" si="115"/>
        <v>0</v>
      </c>
      <c r="R202" s="187" t="s">
        <v>2352</v>
      </c>
      <c r="S202" s="187" t="s">
        <v>3608</v>
      </c>
      <c r="T202" s="94" t="s">
        <v>2810</v>
      </c>
      <c r="U202" s="395">
        <f>COUNTIF(Aggregation_of_rev_to_allocate!$A$3:$A$137,$T202)</f>
        <v>1</v>
      </c>
      <c r="V202" s="100"/>
      <c r="W202" s="100">
        <v>242</v>
      </c>
      <c r="X202" s="109">
        <v>110212.82993596031</v>
      </c>
      <c r="Y202" s="109">
        <v>0</v>
      </c>
      <c r="Z202" s="110">
        <v>0.13497261052928369</v>
      </c>
      <c r="AA202" s="110">
        <v>1</v>
      </c>
      <c r="AB202" s="110">
        <v>0</v>
      </c>
      <c r="AC202" s="109">
        <f>IF(ISERROR((X202*SUMIF('Rev_for_allocation(Hard)'!$A$3:$A$249,$T202,'Rev_for_allocation(Hard)'!$I$3:$I$249)/SUMIF(Historic_capex_list!$T$9:$T$586,$T202,Historic_capex_list!$X$9:$X$586))=TRUE),0,X202*SUMIF('Rev_for_allocation(Hard)'!$A$3:$A$249,$T202,'Rev_for_allocation(Hard)'!$I$3:$I$249)/SUMIF(Historic_capex_list!$T$9:$T$586,$T202,Historic_capex_list!$X$9:$X$586))</f>
        <v>-41338.447253418519</v>
      </c>
      <c r="AD202" s="109">
        <f t="shared" si="116"/>
        <v>68874.382682541793</v>
      </c>
      <c r="AE202" s="109">
        <f t="shared" si="117"/>
        <v>68874.382682541793</v>
      </c>
      <c r="AF202" s="109">
        <f t="shared" si="118"/>
        <v>68874.382682541793</v>
      </c>
      <c r="AG202" s="332" t="str">
        <f t="shared" si="119"/>
        <v>N</v>
      </c>
      <c r="AH202" s="332">
        <f t="shared" si="145"/>
        <v>0</v>
      </c>
      <c r="AI202" s="332">
        <f t="shared" si="146"/>
        <v>0</v>
      </c>
      <c r="AJ202" s="109">
        <f t="shared" si="147"/>
        <v>68874.382682541793</v>
      </c>
      <c r="AK202" s="109">
        <f t="shared" si="120"/>
        <v>0</v>
      </c>
      <c r="AL202" s="109">
        <v>0</v>
      </c>
      <c r="AM202" s="111">
        <f t="shared" si="121"/>
        <v>0</v>
      </c>
      <c r="AN202" s="111">
        <f t="shared" si="122"/>
        <v>0</v>
      </c>
      <c r="AO202" s="111" t="str">
        <f t="shared" si="123"/>
        <v>Use deduct 3yrs</v>
      </c>
      <c r="AP202" s="111">
        <f t="shared" si="124"/>
        <v>0</v>
      </c>
      <c r="AQ202" s="112">
        <f t="shared" si="125"/>
        <v>0</v>
      </c>
      <c r="AR202" s="112">
        <f t="shared" si="126"/>
        <v>1</v>
      </c>
      <c r="AS202" s="113">
        <f t="shared" si="127"/>
        <v>2028</v>
      </c>
      <c r="AT202" s="109">
        <v>110212.82042991304</v>
      </c>
      <c r="AU202" s="114">
        <v>1</v>
      </c>
      <c r="AV202" s="113">
        <v>2028</v>
      </c>
      <c r="AW202" s="112">
        <f t="shared" si="128"/>
        <v>9.0100097074858554E-2</v>
      </c>
      <c r="AX202" s="109">
        <f t="shared" si="129"/>
        <v>110212.82042991304</v>
      </c>
      <c r="AY202" s="109">
        <f t="shared" si="130"/>
        <v>0</v>
      </c>
      <c r="AZ202" s="109">
        <f t="shared" si="131"/>
        <v>110212.82042991304</v>
      </c>
      <c r="BA202" s="111">
        <f t="shared" si="132"/>
        <v>0</v>
      </c>
      <c r="BB202" s="117" t="s">
        <v>2466</v>
      </c>
      <c r="BC202" s="115" t="str">
        <f t="shared" si="133"/>
        <v>N</v>
      </c>
      <c r="BD202" s="115" t="str">
        <f t="shared" si="134"/>
        <v>Y</v>
      </c>
      <c r="BE202" s="115" t="str">
        <f t="shared" si="135"/>
        <v>N</v>
      </c>
      <c r="BF202" s="109" t="str">
        <f t="shared" si="136"/>
        <v/>
      </c>
      <c r="BG202" s="111" t="s">
        <v>2499</v>
      </c>
      <c r="BH202" s="115" t="s">
        <v>1168</v>
      </c>
      <c r="BI202" s="116"/>
      <c r="BJ202" s="222">
        <v>0.13497259888766253</v>
      </c>
      <c r="BK202" s="265">
        <f t="shared" si="137"/>
        <v>0</v>
      </c>
      <c r="BL202" s="265">
        <f t="shared" si="138"/>
        <v>0</v>
      </c>
      <c r="BM202" s="265">
        <f t="shared" si="139"/>
        <v>1.7462298274040222E-10</v>
      </c>
      <c r="BN202" s="265">
        <f t="shared" si="140"/>
        <v>14.205014308929094</v>
      </c>
      <c r="BO202" s="109"/>
      <c r="BP202" s="265">
        <f t="shared" si="141"/>
        <v>9.5060472667682916E-3</v>
      </c>
      <c r="BQ202" s="265">
        <v>9.5060472667682916E-3</v>
      </c>
      <c r="BR202" s="265" t="e">
        <f t="shared" si="142"/>
        <v>#REF!</v>
      </c>
      <c r="BS202" s="265">
        <v>1.0709440252181508E-3</v>
      </c>
      <c r="BT202" s="475">
        <v>7408095.3750783484</v>
      </c>
      <c r="BU202" s="475">
        <v>110198.62492165138</v>
      </c>
      <c r="BV202" s="475">
        <v>0</v>
      </c>
      <c r="BW202" s="483">
        <f t="shared" si="143"/>
        <v>0</v>
      </c>
      <c r="BX202" s="483">
        <f t="shared" si="144"/>
        <v>0</v>
      </c>
    </row>
    <row r="203" spans="1:76" s="103" customFormat="1" ht="43.5">
      <c r="A203" s="100"/>
      <c r="B203" s="91" t="str">
        <f t="shared" si="111"/>
        <v>PTR</v>
      </c>
      <c r="C203" s="92" t="s">
        <v>460</v>
      </c>
      <c r="D203" s="448"/>
      <c r="E203" s="449" t="s">
        <v>2165</v>
      </c>
      <c r="F203" s="467" t="s">
        <v>4852</v>
      </c>
      <c r="G203" s="467" t="s">
        <v>4745</v>
      </c>
      <c r="H203" s="470">
        <v>0.41</v>
      </c>
      <c r="I203" s="95" t="s">
        <v>962</v>
      </c>
      <c r="J203" s="95" t="s">
        <v>1166</v>
      </c>
      <c r="K203" s="469">
        <v>39633582</v>
      </c>
      <c r="L203" s="471">
        <v>3.6120514311667781E-2</v>
      </c>
      <c r="M203" s="266">
        <v>1</v>
      </c>
      <c r="N203" s="267">
        <f t="shared" si="112"/>
        <v>0</v>
      </c>
      <c r="O203" s="96">
        <f t="shared" si="113"/>
        <v>39046632</v>
      </c>
      <c r="P203" s="96">
        <f t="shared" si="114"/>
        <v>586950</v>
      </c>
      <c r="Q203" s="96">
        <f t="shared" si="115"/>
        <v>0</v>
      </c>
      <c r="R203" s="187" t="s">
        <v>2352</v>
      </c>
      <c r="S203" s="187" t="s">
        <v>3608</v>
      </c>
      <c r="T203" s="94" t="s">
        <v>2810</v>
      </c>
      <c r="U203" s="395">
        <f>COUNTIF(Aggregation_of_rev_to_allocate!$A$3:$A$137,$T203)</f>
        <v>1</v>
      </c>
      <c r="V203" s="100"/>
      <c r="W203" s="100">
        <v>243</v>
      </c>
      <c r="X203" s="109">
        <v>586950.13</v>
      </c>
      <c r="Y203" s="109">
        <v>0</v>
      </c>
      <c r="Z203" s="110">
        <v>0.13</v>
      </c>
      <c r="AA203" s="110">
        <v>1</v>
      </c>
      <c r="AB203" s="110">
        <v>0</v>
      </c>
      <c r="AC203" s="109">
        <f>IF(ISERROR((X203*SUMIF('Rev_for_allocation(Hard)'!$A$3:$A$249,$T203,'Rev_for_allocation(Hard)'!$I$3:$I$249)/SUMIF(Historic_capex_list!$T$9:$T$586,$T203,Historic_capex_list!$X$9:$X$586))=TRUE),0,X203*SUMIF('Rev_for_allocation(Hard)'!$A$3:$A$249,$T203,'Rev_for_allocation(Hard)'!$I$3:$I$249)/SUMIF(Historic_capex_list!$T$9:$T$586,$T203,Historic_capex_list!$X$9:$X$586))</f>
        <v>-220152.29083120928</v>
      </c>
      <c r="AD203" s="109">
        <f t="shared" si="116"/>
        <v>366797.83916879073</v>
      </c>
      <c r="AE203" s="109">
        <f t="shared" si="117"/>
        <v>366797.83916879073</v>
      </c>
      <c r="AF203" s="109">
        <f t="shared" si="118"/>
        <v>366797.83916879073</v>
      </c>
      <c r="AG203" s="332" t="str">
        <f t="shared" si="119"/>
        <v>N</v>
      </c>
      <c r="AH203" s="332">
        <f t="shared" si="145"/>
        <v>0</v>
      </c>
      <c r="AI203" s="332">
        <f t="shared" si="146"/>
        <v>0</v>
      </c>
      <c r="AJ203" s="109">
        <f t="shared" si="147"/>
        <v>366797.83916879073</v>
      </c>
      <c r="AK203" s="109">
        <f t="shared" si="120"/>
        <v>0</v>
      </c>
      <c r="AL203" s="109">
        <v>0</v>
      </c>
      <c r="AM203" s="111">
        <f t="shared" si="121"/>
        <v>0</v>
      </c>
      <c r="AN203" s="111">
        <f t="shared" si="122"/>
        <v>0</v>
      </c>
      <c r="AO203" s="111" t="str">
        <f t="shared" si="123"/>
        <v>Use deduct 3yrs</v>
      </c>
      <c r="AP203" s="111">
        <f t="shared" si="124"/>
        <v>0</v>
      </c>
      <c r="AQ203" s="112">
        <f t="shared" si="125"/>
        <v>0</v>
      </c>
      <c r="AR203" s="112">
        <f t="shared" si="126"/>
        <v>1</v>
      </c>
      <c r="AS203" s="113">
        <f t="shared" si="127"/>
        <v>2028</v>
      </c>
      <c r="AT203" s="109">
        <v>586950.07937453571</v>
      </c>
      <c r="AU203" s="114">
        <v>1</v>
      </c>
      <c r="AV203" s="113">
        <v>2028</v>
      </c>
      <c r="AW203" s="112">
        <f t="shared" si="128"/>
        <v>3.6120519196324148E-2</v>
      </c>
      <c r="AX203" s="109">
        <f t="shared" si="129"/>
        <v>586950.07937453571</v>
      </c>
      <c r="AY203" s="109">
        <f t="shared" si="130"/>
        <v>0</v>
      </c>
      <c r="AZ203" s="109">
        <f t="shared" si="131"/>
        <v>586950.07937453571</v>
      </c>
      <c r="BA203" s="111">
        <f t="shared" si="132"/>
        <v>0</v>
      </c>
      <c r="BB203" s="117" t="s">
        <v>2466</v>
      </c>
      <c r="BC203" s="115" t="str">
        <f t="shared" si="133"/>
        <v>N</v>
      </c>
      <c r="BD203" s="115" t="str">
        <f t="shared" si="134"/>
        <v>Y</v>
      </c>
      <c r="BE203" s="115" t="str">
        <f t="shared" si="135"/>
        <v>N</v>
      </c>
      <c r="BF203" s="109" t="str">
        <f t="shared" si="136"/>
        <v/>
      </c>
      <c r="BG203" s="111" t="s">
        <v>2499</v>
      </c>
      <c r="BH203" s="115" t="s">
        <v>1168</v>
      </c>
      <c r="BI203" s="116"/>
      <c r="BJ203" s="222">
        <v>0.12999998878727506</v>
      </c>
      <c r="BK203" s="265">
        <f t="shared" si="137"/>
        <v>0</v>
      </c>
      <c r="BL203" s="265">
        <f t="shared" si="138"/>
        <v>0</v>
      </c>
      <c r="BM203" s="265">
        <f t="shared" si="139"/>
        <v>0</v>
      </c>
      <c r="BN203" s="265">
        <f t="shared" si="140"/>
        <v>0.13000000000465661</v>
      </c>
      <c r="BO203" s="109"/>
      <c r="BP203" s="265">
        <f t="shared" si="141"/>
        <v>5.0625464296899736E-2</v>
      </c>
      <c r="BQ203" s="265">
        <v>5.0625464296899736E-2</v>
      </c>
      <c r="BR203" s="265" t="e">
        <f t="shared" si="142"/>
        <v>#REF!</v>
      </c>
      <c r="BS203" s="265">
        <v>5.7034261445547589E-3</v>
      </c>
      <c r="BT203" s="475">
        <v>3928050.9206254645</v>
      </c>
      <c r="BU203" s="475">
        <v>586950.07937453571</v>
      </c>
      <c r="BV203" s="475">
        <v>0</v>
      </c>
      <c r="BW203" s="483">
        <f t="shared" si="143"/>
        <v>-7.9374535707756877E-2</v>
      </c>
      <c r="BX203" s="483">
        <f t="shared" si="144"/>
        <v>0</v>
      </c>
    </row>
    <row r="204" spans="1:76" s="103" customFormat="1" ht="29">
      <c r="A204" s="100"/>
      <c r="B204" s="91" t="str">
        <f t="shared" si="111"/>
        <v>PTR</v>
      </c>
      <c r="C204" s="92"/>
      <c r="D204" s="448"/>
      <c r="E204" s="449"/>
      <c r="F204" s="384" t="s">
        <v>2251</v>
      </c>
      <c r="G204" s="588" t="s">
        <v>5263</v>
      </c>
      <c r="H204" s="398">
        <v>0.11</v>
      </c>
      <c r="I204" s="95"/>
      <c r="J204" s="95" t="s">
        <v>1166</v>
      </c>
      <c r="K204" s="191">
        <v>27853835</v>
      </c>
      <c r="L204" s="268">
        <v>0.99999999387302663</v>
      </c>
      <c r="M204" s="266">
        <v>0.58823529411764708</v>
      </c>
      <c r="N204" s="267">
        <f t="shared" si="112"/>
        <v>0.41176470588235292</v>
      </c>
      <c r="O204" s="96">
        <f t="shared" si="113"/>
        <v>24789913.168772567</v>
      </c>
      <c r="P204" s="96">
        <f t="shared" si="114"/>
        <v>1802306.9595455485</v>
      </c>
      <c r="Q204" s="96">
        <f t="shared" si="115"/>
        <v>1261614.8716818839</v>
      </c>
      <c r="R204" s="187" t="s">
        <v>2355</v>
      </c>
      <c r="S204" s="187" t="s">
        <v>3608</v>
      </c>
      <c r="T204" s="94" t="s">
        <v>2810</v>
      </c>
      <c r="U204" s="395">
        <f>COUNTIF(Aggregation_of_rev_to_allocate!$A$3:$A$137,$T204)</f>
        <v>1</v>
      </c>
      <c r="V204" s="100"/>
      <c r="W204" s="100">
        <v>959</v>
      </c>
      <c r="X204" s="109">
        <v>1531960.925</v>
      </c>
      <c r="Y204" s="109">
        <v>1531960.925</v>
      </c>
      <c r="Z204" s="110">
        <v>1</v>
      </c>
      <c r="AA204" s="110">
        <v>0.5</v>
      </c>
      <c r="AB204" s="110">
        <v>0.5</v>
      </c>
      <c r="AC204" s="109">
        <f>IF(ISERROR((X204*SUMIF('Rev_for_allocation(Hard)'!$A$3:$A$249,$T204,'Rev_for_allocation(Hard)'!$I$3:$I$249)/SUMIF(Historic_capex_list!$T$9:$T$586,$T204,Historic_capex_list!$X$9:$X$586))=TRUE),0,X204*SUMIF('Rev_for_allocation(Hard)'!$A$3:$A$249,$T204,'Rev_for_allocation(Hard)'!$I$3:$I$249)/SUMIF(Historic_capex_list!$T$9:$T$586,$T204,Historic_capex_list!$X$9:$X$586))</f>
        <v>-574605.38785918395</v>
      </c>
      <c r="AD204" s="109">
        <f t="shared" si="116"/>
        <v>957355.5371408161</v>
      </c>
      <c r="AE204" s="109">
        <f t="shared" si="117"/>
        <v>957355.5371408161</v>
      </c>
      <c r="AF204" s="109">
        <f t="shared" si="118"/>
        <v>2489316.4621408163</v>
      </c>
      <c r="AG204" s="332" t="str">
        <f t="shared" si="119"/>
        <v>N</v>
      </c>
      <c r="AH204" s="332">
        <f t="shared" si="145"/>
        <v>0</v>
      </c>
      <c r="AI204" s="332">
        <f t="shared" si="146"/>
        <v>0</v>
      </c>
      <c r="AJ204" s="109">
        <f t="shared" si="147"/>
        <v>2489316.4621408163</v>
      </c>
      <c r="AK204" s="109">
        <f t="shared" si="120"/>
        <v>0</v>
      </c>
      <c r="AL204" s="109">
        <v>0</v>
      </c>
      <c r="AM204" s="111">
        <f t="shared" si="121"/>
        <v>10</v>
      </c>
      <c r="AN204" s="111">
        <f t="shared" si="122"/>
        <v>7</v>
      </c>
      <c r="AO204" s="111" t="str">
        <f t="shared" si="123"/>
        <v>Use deduct 3yrs</v>
      </c>
      <c r="AP204" s="111">
        <f t="shared" si="124"/>
        <v>7</v>
      </c>
      <c r="AQ204" s="112">
        <f t="shared" si="125"/>
        <v>0.41176470588235292</v>
      </c>
      <c r="AR204" s="112">
        <f t="shared" si="126"/>
        <v>0.58823529411764708</v>
      </c>
      <c r="AS204" s="113">
        <f t="shared" si="127"/>
        <v>2035</v>
      </c>
      <c r="AT204" s="109">
        <v>3063921.8312274325</v>
      </c>
      <c r="AU204" s="114">
        <v>0.58823529411764708</v>
      </c>
      <c r="AV204" s="113">
        <v>2035</v>
      </c>
      <c r="AW204" s="112">
        <f t="shared" si="128"/>
        <v>0.99999999387302663</v>
      </c>
      <c r="AX204" s="109">
        <f t="shared" si="129"/>
        <v>1802306.9595455485</v>
      </c>
      <c r="AY204" s="109">
        <f t="shared" si="130"/>
        <v>1261614.8716818839</v>
      </c>
      <c r="AZ204" s="109">
        <f t="shared" si="131"/>
        <v>3063921.8312274325</v>
      </c>
      <c r="BA204" s="111">
        <f t="shared" si="132"/>
        <v>0</v>
      </c>
      <c r="BB204" s="117"/>
      <c r="BC204" s="115" t="str">
        <f t="shared" si="133"/>
        <v>N</v>
      </c>
      <c r="BD204" s="115" t="str">
        <f t="shared" si="134"/>
        <v>N</v>
      </c>
      <c r="BE204" s="115" t="str">
        <f t="shared" si="135"/>
        <v>N</v>
      </c>
      <c r="BF204" s="109" t="str">
        <f t="shared" si="136"/>
        <v/>
      </c>
      <c r="BG204" s="111" t="s">
        <v>2499</v>
      </c>
      <c r="BH204" s="115" t="s">
        <v>1168</v>
      </c>
      <c r="BI204" s="116"/>
      <c r="BJ204" s="222">
        <v>0.99999999387302663</v>
      </c>
      <c r="BK204" s="265">
        <f t="shared" si="137"/>
        <v>0</v>
      </c>
      <c r="BL204" s="265">
        <f t="shared" si="138"/>
        <v>0</v>
      </c>
      <c r="BM204" s="265">
        <f t="shared" si="139"/>
        <v>0</v>
      </c>
      <c r="BN204" s="265">
        <f t="shared" si="140"/>
        <v>-270346.03454554849</v>
      </c>
      <c r="BO204" s="109"/>
      <c r="BP204" s="265">
        <f t="shared" si="141"/>
        <v>1.8772567622363567E-2</v>
      </c>
      <c r="BQ204" s="265">
        <v>1.8772567622363567E-2</v>
      </c>
      <c r="BR204" s="265" t="e">
        <f t="shared" si="142"/>
        <v>#REF!</v>
      </c>
      <c r="BS204" s="265">
        <v>2.1149031315524608E-3</v>
      </c>
      <c r="BT204" s="475">
        <v>24789913.168772567</v>
      </c>
      <c r="BU204" s="475">
        <v>1802306.9595455485</v>
      </c>
      <c r="BV204" s="475">
        <v>1261614.8716818839</v>
      </c>
      <c r="BW204" s="483">
        <f t="shared" si="143"/>
        <v>0</v>
      </c>
      <c r="BX204" s="483">
        <f t="shared" si="144"/>
        <v>0</v>
      </c>
    </row>
    <row r="205" spans="1:76" s="103" customFormat="1" ht="29">
      <c r="A205" s="100"/>
      <c r="B205" s="91" t="str">
        <f t="shared" si="111"/>
        <v>PTR</v>
      </c>
      <c r="C205" s="92"/>
      <c r="D205" s="448"/>
      <c r="E205" s="449"/>
      <c r="F205" s="384" t="s">
        <v>2251</v>
      </c>
      <c r="G205" s="588" t="s">
        <v>5263</v>
      </c>
      <c r="H205" s="398">
        <v>0.11</v>
      </c>
      <c r="I205" s="95"/>
      <c r="J205" s="95" t="s">
        <v>1166</v>
      </c>
      <c r="K205" s="191">
        <v>52924.05</v>
      </c>
      <c r="L205" s="268">
        <v>0.99999999387302663</v>
      </c>
      <c r="M205" s="266">
        <v>0.58823529411764708</v>
      </c>
      <c r="N205" s="267">
        <f t="shared" si="112"/>
        <v>0.41176470588235292</v>
      </c>
      <c r="O205" s="96">
        <f t="shared" si="113"/>
        <v>47102.404535669069</v>
      </c>
      <c r="P205" s="96">
        <f t="shared" si="114"/>
        <v>3424.4973319593723</v>
      </c>
      <c r="Q205" s="96">
        <f t="shared" si="115"/>
        <v>2397.1481323715607</v>
      </c>
      <c r="R205" s="187" t="s">
        <v>2355</v>
      </c>
      <c r="S205" s="187" t="s">
        <v>3608</v>
      </c>
      <c r="T205" s="94" t="s">
        <v>2810</v>
      </c>
      <c r="U205" s="395">
        <f>COUNTIF(Aggregation_of_rev_to_allocate!$A$3:$A$137,$T205)</f>
        <v>1</v>
      </c>
      <c r="V205" s="100"/>
      <c r="W205" s="100">
        <v>959</v>
      </c>
      <c r="X205" s="109">
        <v>2910.8227500000003</v>
      </c>
      <c r="Y205" s="109">
        <v>2910.8227500000003</v>
      </c>
      <c r="Z205" s="110">
        <v>1</v>
      </c>
      <c r="AA205" s="110">
        <v>0.5</v>
      </c>
      <c r="AB205" s="110">
        <v>0.5</v>
      </c>
      <c r="AC205" s="109">
        <f>IF(ISERROR((X205*SUMIF('Rev_for_allocation(Hard)'!$A$3:$A$249,$T205,'Rev_for_allocation(Hard)'!$I$3:$I$249)/SUMIF(Historic_capex_list!$T$9:$T$586,$T205,Historic_capex_list!$X$9:$X$586))=TRUE),0,X205*SUMIF('Rev_for_allocation(Hard)'!$A$3:$A$249,$T205,'Rev_for_allocation(Hard)'!$I$3:$I$249)/SUMIF(Historic_capex_list!$T$9:$T$586,$T205,Historic_capex_list!$X$9:$X$586))</f>
        <v>-1091.7866167200618</v>
      </c>
      <c r="AD205" s="109">
        <f t="shared" si="116"/>
        <v>1819.0361332799384</v>
      </c>
      <c r="AE205" s="109">
        <f t="shared" si="117"/>
        <v>1819.0361332799384</v>
      </c>
      <c r="AF205" s="109">
        <f t="shared" si="118"/>
        <v>4729.8588832799387</v>
      </c>
      <c r="AG205" s="332" t="str">
        <f t="shared" si="119"/>
        <v>N</v>
      </c>
      <c r="AH205" s="332">
        <f t="shared" si="145"/>
        <v>0</v>
      </c>
      <c r="AI205" s="332">
        <f t="shared" si="146"/>
        <v>0</v>
      </c>
      <c r="AJ205" s="109">
        <f t="shared" si="147"/>
        <v>4729.8588832799387</v>
      </c>
      <c r="AK205" s="109">
        <f t="shared" si="120"/>
        <v>0</v>
      </c>
      <c r="AL205" s="109">
        <v>0</v>
      </c>
      <c r="AM205" s="111">
        <f t="shared" si="121"/>
        <v>10</v>
      </c>
      <c r="AN205" s="111">
        <f t="shared" si="122"/>
        <v>7</v>
      </c>
      <c r="AO205" s="111" t="str">
        <f t="shared" si="123"/>
        <v>Use deduct 3yrs</v>
      </c>
      <c r="AP205" s="111">
        <f t="shared" si="124"/>
        <v>7</v>
      </c>
      <c r="AQ205" s="112">
        <f t="shared" si="125"/>
        <v>0.41176470588235292</v>
      </c>
      <c r="AR205" s="112">
        <f t="shared" si="126"/>
        <v>0.58823529411764708</v>
      </c>
      <c r="AS205" s="113">
        <f t="shared" si="127"/>
        <v>2035</v>
      </c>
      <c r="AT205" s="109">
        <v>5821.6454643309335</v>
      </c>
      <c r="AU205" s="114">
        <v>0.58823529411764708</v>
      </c>
      <c r="AV205" s="113">
        <v>2035</v>
      </c>
      <c r="AW205" s="112">
        <f t="shared" si="128"/>
        <v>0.99999999387302663</v>
      </c>
      <c r="AX205" s="109">
        <f t="shared" si="129"/>
        <v>3424.4973319593723</v>
      </c>
      <c r="AY205" s="109">
        <f t="shared" si="130"/>
        <v>2397.1481323715607</v>
      </c>
      <c r="AZ205" s="109">
        <f t="shared" si="131"/>
        <v>5821.6454643309335</v>
      </c>
      <c r="BA205" s="111">
        <f t="shared" si="132"/>
        <v>0</v>
      </c>
      <c r="BB205" s="117"/>
      <c r="BC205" s="115" t="str">
        <f t="shared" si="133"/>
        <v>Y</v>
      </c>
      <c r="BD205" s="115" t="str">
        <f t="shared" si="134"/>
        <v>Y</v>
      </c>
      <c r="BE205" s="115" t="str">
        <f t="shared" si="135"/>
        <v>N</v>
      </c>
      <c r="BF205" s="109" t="str">
        <f t="shared" si="136"/>
        <v/>
      </c>
      <c r="BG205" s="111" t="s">
        <v>2499</v>
      </c>
      <c r="BH205" s="115" t="s">
        <v>1168</v>
      </c>
      <c r="BI205" s="116"/>
      <c r="BJ205" s="222">
        <v>0.99999999387302663</v>
      </c>
      <c r="BK205" s="265">
        <f t="shared" si="137"/>
        <v>0</v>
      </c>
      <c r="BL205" s="265">
        <f t="shared" si="138"/>
        <v>0</v>
      </c>
      <c r="BM205" s="265">
        <f t="shared" si="139"/>
        <v>0</v>
      </c>
      <c r="BN205" s="265">
        <f t="shared" si="140"/>
        <v>-513.67458195937206</v>
      </c>
      <c r="BO205" s="109"/>
      <c r="BP205" s="265">
        <f t="shared" si="141"/>
        <v>3.5669067074195482E-5</v>
      </c>
      <c r="BQ205" s="265">
        <v>3.5669067074195482E-5</v>
      </c>
      <c r="BR205" s="265" t="e">
        <f t="shared" si="142"/>
        <v>#REF!</v>
      </c>
      <c r="BS205" s="265">
        <v>4.0184498557833891E-6</v>
      </c>
      <c r="BT205" s="475">
        <v>47102.404535669069</v>
      </c>
      <c r="BU205" s="475">
        <v>3424.4973319593723</v>
      </c>
      <c r="BV205" s="475">
        <v>2397.1481323715607</v>
      </c>
      <c r="BW205" s="483">
        <f t="shared" si="143"/>
        <v>0</v>
      </c>
      <c r="BX205" s="483">
        <f t="shared" si="144"/>
        <v>0</v>
      </c>
    </row>
    <row r="206" spans="1:76" s="103" customFormat="1" ht="29">
      <c r="A206" s="100"/>
      <c r="B206" s="91" t="str">
        <f t="shared" si="111"/>
        <v>PTR</v>
      </c>
      <c r="C206" s="92"/>
      <c r="D206" s="448"/>
      <c r="E206" s="450"/>
      <c r="F206" s="384" t="s">
        <v>4432</v>
      </c>
      <c r="G206" s="384" t="s">
        <v>4428</v>
      </c>
      <c r="H206" s="470">
        <v>0.18</v>
      </c>
      <c r="I206" s="95"/>
      <c r="J206" s="95" t="s">
        <v>1166</v>
      </c>
      <c r="K206" s="191">
        <v>111950.75</v>
      </c>
      <c r="L206" s="268">
        <v>0.5882099940211748</v>
      </c>
      <c r="M206" s="266">
        <v>1</v>
      </c>
      <c r="N206" s="267">
        <f t="shared" si="112"/>
        <v>0</v>
      </c>
      <c r="O206" s="96">
        <f t="shared" si="113"/>
        <v>100097.65100213012</v>
      </c>
      <c r="P206" s="96">
        <f t="shared" si="114"/>
        <v>11853.098997869885</v>
      </c>
      <c r="Q206" s="96">
        <f t="shared" si="115"/>
        <v>0</v>
      </c>
      <c r="R206" s="187"/>
      <c r="S206" s="187" t="s">
        <v>3608</v>
      </c>
      <c r="T206" s="94" t="s">
        <v>2810</v>
      </c>
      <c r="U206" s="395"/>
      <c r="V206" s="100"/>
      <c r="W206" s="100"/>
      <c r="X206" s="109">
        <v>20151.134999999998</v>
      </c>
      <c r="Y206" s="109">
        <v>0</v>
      </c>
      <c r="Z206" s="110">
        <v>1</v>
      </c>
      <c r="AA206" s="110">
        <v>1</v>
      </c>
      <c r="AB206" s="110">
        <v>0</v>
      </c>
      <c r="AC206" s="109">
        <f>IF(ISERROR((X206*SUMIF('Rev_for_allocation(Hard)'!$A$3:$A$249,$T206,'Rev_for_allocation(Hard)'!$I$3:$I$249)/SUMIF(Historic_capex_list!$T$9:$T$586,$T206,Historic_capex_list!$X$9:$X$586))=TRUE),0,X206*SUMIF('Rev_for_allocation(Hard)'!$A$3:$A$249,$T206,'Rev_for_allocation(Hard)'!$I$3:$I$249)/SUMIF(Historic_capex_list!$T$9:$T$586,$T206,Historic_capex_list!$X$9:$X$586))</f>
        <v>-7558.254622243564</v>
      </c>
      <c r="AD206" s="109">
        <f t="shared" si="116"/>
        <v>12592.880377756435</v>
      </c>
      <c r="AE206" s="109">
        <f t="shared" si="117"/>
        <v>12592.880377756435</v>
      </c>
      <c r="AF206" s="109">
        <f t="shared" si="118"/>
        <v>12592.880377756435</v>
      </c>
      <c r="AG206" s="332" t="str">
        <f t="shared" si="119"/>
        <v>N</v>
      </c>
      <c r="AH206" s="332">
        <f t="shared" si="145"/>
        <v>0</v>
      </c>
      <c r="AI206" s="332">
        <f t="shared" si="146"/>
        <v>0</v>
      </c>
      <c r="AJ206" s="109">
        <f t="shared" si="147"/>
        <v>12592.880377756435</v>
      </c>
      <c r="AK206" s="109">
        <f t="shared" si="120"/>
        <v>0</v>
      </c>
      <c r="AL206" s="109">
        <v>0</v>
      </c>
      <c r="AM206" s="111">
        <f t="shared" si="121"/>
        <v>0</v>
      </c>
      <c r="AN206" s="111">
        <f t="shared" si="122"/>
        <v>0</v>
      </c>
      <c r="AO206" s="111" t="str">
        <f t="shared" si="123"/>
        <v>Use deduct 3yrs</v>
      </c>
      <c r="AP206" s="111">
        <f t="shared" si="124"/>
        <v>0</v>
      </c>
      <c r="AQ206" s="112">
        <f t="shared" si="125"/>
        <v>0</v>
      </c>
      <c r="AR206" s="112">
        <f t="shared" si="126"/>
        <v>1</v>
      </c>
      <c r="AS206" s="113">
        <f t="shared" si="127"/>
        <v>2028</v>
      </c>
      <c r="AT206" s="109">
        <v>11853.098997869885</v>
      </c>
      <c r="AU206" s="114">
        <v>1</v>
      </c>
      <c r="AV206" s="113">
        <v>2028</v>
      </c>
      <c r="AW206" s="112">
        <f t="shared" si="128"/>
        <v>0.5882099940211748</v>
      </c>
      <c r="AX206" s="109">
        <f t="shared" si="129"/>
        <v>11853.098997869885</v>
      </c>
      <c r="AY206" s="109">
        <f t="shared" si="130"/>
        <v>0</v>
      </c>
      <c r="AZ206" s="109">
        <f t="shared" si="131"/>
        <v>11853.098997869885</v>
      </c>
      <c r="BA206" s="111">
        <f t="shared" si="132"/>
        <v>0</v>
      </c>
      <c r="BB206" s="117"/>
      <c r="BC206" s="115" t="str">
        <f t="shared" si="133"/>
        <v>N</v>
      </c>
      <c r="BD206" s="115" t="str">
        <f t="shared" si="134"/>
        <v>Y</v>
      </c>
      <c r="BE206" s="115" t="str">
        <f t="shared" si="135"/>
        <v>N</v>
      </c>
      <c r="BF206" s="109" t="str">
        <f t="shared" si="136"/>
        <v/>
      </c>
      <c r="BG206" s="111" t="s">
        <v>2499</v>
      </c>
      <c r="BH206" s="115" t="s">
        <v>1168</v>
      </c>
      <c r="BI206" s="116"/>
      <c r="BJ206" s="222">
        <v>0.5882099940211748</v>
      </c>
      <c r="BK206" s="265">
        <f t="shared" si="137"/>
        <v>0</v>
      </c>
      <c r="BL206" s="265">
        <f t="shared" si="138"/>
        <v>0</v>
      </c>
      <c r="BM206" s="265">
        <f t="shared" si="139"/>
        <v>-7.2759576141834259E-12</v>
      </c>
      <c r="BN206" s="265">
        <f t="shared" si="140"/>
        <v>8298.036002130113</v>
      </c>
      <c r="BO206" s="109"/>
      <c r="BP206" s="265">
        <f t="shared" si="141"/>
        <v>8298.036002130113</v>
      </c>
      <c r="BQ206" s="265">
        <v>8298.036002130113</v>
      </c>
      <c r="BR206" s="265" t="e">
        <f t="shared" si="142"/>
        <v>#REF!</v>
      </c>
      <c r="BS206" s="265">
        <v>934.85039871335698</v>
      </c>
      <c r="BT206" s="475">
        <v>100097.65100213012</v>
      </c>
      <c r="BU206" s="475">
        <v>11853.098997869885</v>
      </c>
      <c r="BV206" s="475">
        <v>0</v>
      </c>
      <c r="BW206" s="483">
        <f t="shared" si="143"/>
        <v>0</v>
      </c>
      <c r="BX206" s="483">
        <f t="shared" si="144"/>
        <v>0</v>
      </c>
    </row>
    <row r="207" spans="1:76" s="103" customFormat="1" ht="43.5">
      <c r="A207" s="100"/>
      <c r="B207" s="91" t="str">
        <f t="shared" si="111"/>
        <v>PTR</v>
      </c>
      <c r="C207" s="92"/>
      <c r="D207" s="448"/>
      <c r="E207" s="449"/>
      <c r="F207" s="384" t="s">
        <v>4431</v>
      </c>
      <c r="G207" s="384" t="s">
        <v>4430</v>
      </c>
      <c r="H207" s="398">
        <v>0.11</v>
      </c>
      <c r="I207" s="95"/>
      <c r="J207" s="95" t="s">
        <v>1166</v>
      </c>
      <c r="K207" s="191">
        <v>32447</v>
      </c>
      <c r="L207" s="268">
        <v>0.99999999387302663</v>
      </c>
      <c r="M207" s="266">
        <v>0.58823529411764708</v>
      </c>
      <c r="N207" s="267">
        <f t="shared" si="112"/>
        <v>0.41176470588235292</v>
      </c>
      <c r="O207" s="96">
        <f t="shared" si="113"/>
        <v>28877.830021868212</v>
      </c>
      <c r="P207" s="96">
        <f t="shared" si="114"/>
        <v>2099.5117518422294</v>
      </c>
      <c r="Q207" s="96">
        <f t="shared" si="115"/>
        <v>1469.6582262895606</v>
      </c>
      <c r="R207" s="187" t="s">
        <v>2355</v>
      </c>
      <c r="S207" s="187" t="s">
        <v>3607</v>
      </c>
      <c r="T207" s="94" t="s">
        <v>2810</v>
      </c>
      <c r="U207" s="395">
        <f>COUNTIF(Aggregation_of_rev_to_allocate!$A$3:$A$137,$T207)</f>
        <v>1</v>
      </c>
      <c r="V207" s="100"/>
      <c r="W207" s="100">
        <v>960</v>
      </c>
      <c r="X207" s="109">
        <v>1784.585</v>
      </c>
      <c r="Y207" s="109">
        <v>1784.585</v>
      </c>
      <c r="Z207" s="110">
        <v>1</v>
      </c>
      <c r="AA207" s="110">
        <v>0.5</v>
      </c>
      <c r="AB207" s="110">
        <v>0.5</v>
      </c>
      <c r="AC207" s="109">
        <f>IF(ISERROR((X207*SUMIF('Rev_for_allocation(Hard)'!$A$3:$A$249,$T207,'Rev_for_allocation(Hard)'!$I$3:$I$249)/SUMIF(Historic_capex_list!$T$9:$T$586,$T207,Historic_capex_list!$X$9:$X$586))=TRUE),0,X207*SUMIF('Rev_for_allocation(Hard)'!$A$3:$A$249,$T207,'Rev_for_allocation(Hard)'!$I$3:$I$249)/SUMIF(Historic_capex_list!$T$9:$T$586,$T207,Historic_capex_list!$X$9:$X$586))</f>
        <v>-669.35921103384658</v>
      </c>
      <c r="AD207" s="109">
        <f t="shared" si="116"/>
        <v>1115.2257889661535</v>
      </c>
      <c r="AE207" s="109">
        <f t="shared" si="117"/>
        <v>1115.2257889661535</v>
      </c>
      <c r="AF207" s="109">
        <f t="shared" si="118"/>
        <v>2899.8107889661533</v>
      </c>
      <c r="AG207" s="332" t="str">
        <f t="shared" si="119"/>
        <v>N</v>
      </c>
      <c r="AH207" s="332">
        <f t="shared" si="145"/>
        <v>0</v>
      </c>
      <c r="AI207" s="332">
        <f t="shared" si="146"/>
        <v>0</v>
      </c>
      <c r="AJ207" s="109">
        <f t="shared" si="147"/>
        <v>2899.8107889661533</v>
      </c>
      <c r="AK207" s="109">
        <f t="shared" si="120"/>
        <v>0</v>
      </c>
      <c r="AL207" s="109">
        <v>0</v>
      </c>
      <c r="AM207" s="111">
        <f t="shared" si="121"/>
        <v>10</v>
      </c>
      <c r="AN207" s="111">
        <f t="shared" si="122"/>
        <v>7</v>
      </c>
      <c r="AO207" s="111" t="str">
        <f t="shared" si="123"/>
        <v>Use deduct 3yrs</v>
      </c>
      <c r="AP207" s="111">
        <f t="shared" si="124"/>
        <v>7</v>
      </c>
      <c r="AQ207" s="112">
        <f t="shared" si="125"/>
        <v>0.41176470588235292</v>
      </c>
      <c r="AR207" s="112">
        <f t="shared" si="126"/>
        <v>0.58823529411764708</v>
      </c>
      <c r="AS207" s="113">
        <f t="shared" si="127"/>
        <v>2035</v>
      </c>
      <c r="AT207" s="109">
        <v>3569.1699781317907</v>
      </c>
      <c r="AU207" s="114">
        <v>0.58823529411764708</v>
      </c>
      <c r="AV207" s="113">
        <v>2035</v>
      </c>
      <c r="AW207" s="112">
        <f t="shared" si="128"/>
        <v>0.99999999387302663</v>
      </c>
      <c r="AX207" s="109">
        <f t="shared" si="129"/>
        <v>2099.5117518422294</v>
      </c>
      <c r="AY207" s="109">
        <f t="shared" si="130"/>
        <v>1469.6582262895606</v>
      </c>
      <c r="AZ207" s="109">
        <f t="shared" si="131"/>
        <v>3569.1699781317902</v>
      </c>
      <c r="BA207" s="111">
        <f t="shared" si="132"/>
        <v>0</v>
      </c>
      <c r="BB207" s="117"/>
      <c r="BC207" s="115" t="str">
        <f t="shared" si="133"/>
        <v>Y</v>
      </c>
      <c r="BD207" s="115" t="str">
        <f t="shared" si="134"/>
        <v>Y</v>
      </c>
      <c r="BE207" s="115" t="str">
        <f t="shared" si="135"/>
        <v>N</v>
      </c>
      <c r="BF207" s="109" t="str">
        <f t="shared" si="136"/>
        <v/>
      </c>
      <c r="BG207" s="111" t="s">
        <v>2499</v>
      </c>
      <c r="BH207" s="115" t="s">
        <v>1168</v>
      </c>
      <c r="BI207" s="116"/>
      <c r="BJ207" s="222">
        <v>0.99999999387302663</v>
      </c>
      <c r="BK207" s="265">
        <f t="shared" si="137"/>
        <v>0</v>
      </c>
      <c r="BL207" s="265">
        <f t="shared" si="138"/>
        <v>0</v>
      </c>
      <c r="BM207" s="265">
        <f t="shared" si="139"/>
        <v>-2.5011104298755527E-12</v>
      </c>
      <c r="BN207" s="265">
        <f t="shared" si="140"/>
        <v>-314.92675184222935</v>
      </c>
      <c r="BO207" s="109"/>
      <c r="BP207" s="265">
        <f t="shared" si="141"/>
        <v>2.1868209387321258E-5</v>
      </c>
      <c r="BQ207" s="265">
        <v>2.1868209387321258E-5</v>
      </c>
      <c r="BR207" s="265" t="e">
        <f t="shared" si="142"/>
        <v>#REF!</v>
      </c>
      <c r="BS207" s="265">
        <v>2.4636557686224293E-6</v>
      </c>
      <c r="BT207" s="475">
        <v>28877.830021868212</v>
      </c>
      <c r="BU207" s="475">
        <v>2099.5117518422294</v>
      </c>
      <c r="BV207" s="475">
        <v>1469.6582262895606</v>
      </c>
      <c r="BW207" s="483">
        <f t="shared" si="143"/>
        <v>0</v>
      </c>
      <c r="BX207" s="483">
        <f t="shared" si="144"/>
        <v>0</v>
      </c>
    </row>
    <row r="208" spans="1:76" s="103" customFormat="1" ht="43.5">
      <c r="A208" s="100"/>
      <c r="B208" s="91" t="str">
        <f t="shared" si="111"/>
        <v>PTR</v>
      </c>
      <c r="C208" s="92"/>
      <c r="D208" s="448"/>
      <c r="E208" s="449"/>
      <c r="F208" s="384" t="s">
        <v>4431</v>
      </c>
      <c r="G208" s="384" t="s">
        <v>4430</v>
      </c>
      <c r="H208" s="398">
        <v>0.11</v>
      </c>
      <c r="I208" s="95"/>
      <c r="J208" s="95" t="s">
        <v>1166</v>
      </c>
      <c r="K208" s="191">
        <v>108947.57</v>
      </c>
      <c r="L208" s="268">
        <v>0.99999999387302663</v>
      </c>
      <c r="M208" s="266">
        <v>0.58823529411764708</v>
      </c>
      <c r="N208" s="267">
        <f t="shared" si="112"/>
        <v>0.41176470588235292</v>
      </c>
      <c r="O208" s="96">
        <f t="shared" si="113"/>
        <v>96963.337373427086</v>
      </c>
      <c r="P208" s="96">
        <f t="shared" si="114"/>
        <v>7049.5486038664276</v>
      </c>
      <c r="Q208" s="96">
        <f t="shared" si="115"/>
        <v>4934.6840227064986</v>
      </c>
      <c r="R208" s="187" t="s">
        <v>2355</v>
      </c>
      <c r="S208" s="187" t="s">
        <v>3607</v>
      </c>
      <c r="T208" s="94" t="s">
        <v>2810</v>
      </c>
      <c r="U208" s="395">
        <f>COUNTIF(Aggregation_of_rev_to_allocate!$A$3:$A$137,$T208)</f>
        <v>1</v>
      </c>
      <c r="V208" s="100"/>
      <c r="W208" s="100">
        <v>960</v>
      </c>
      <c r="X208" s="109">
        <v>5992.1163500000002</v>
      </c>
      <c r="Y208" s="109">
        <v>5992.1163500000002</v>
      </c>
      <c r="Z208" s="110">
        <v>1</v>
      </c>
      <c r="AA208" s="110">
        <v>0.5</v>
      </c>
      <c r="AB208" s="110">
        <v>0.5</v>
      </c>
      <c r="AC208" s="109">
        <f>IF(ISERROR((X208*SUMIF('Rev_for_allocation(Hard)'!$A$3:$A$249,$T208,'Rev_for_allocation(Hard)'!$I$3:$I$249)/SUMIF(Historic_capex_list!$T$9:$T$586,$T208,Historic_capex_list!$X$9:$X$586))=TRUE),0,X208*SUMIF('Rev_for_allocation(Hard)'!$A$3:$A$249,$T208,'Rev_for_allocation(Hard)'!$I$3:$I$249)/SUMIF(Historic_capex_list!$T$9:$T$586,$T208,Historic_capex_list!$X$9:$X$586))</f>
        <v>-2247.5131598993671</v>
      </c>
      <c r="AD208" s="109">
        <f t="shared" si="116"/>
        <v>3744.6031901006331</v>
      </c>
      <c r="AE208" s="109">
        <f t="shared" si="117"/>
        <v>3744.6031901006331</v>
      </c>
      <c r="AF208" s="109">
        <f t="shared" si="118"/>
        <v>9736.7195401006338</v>
      </c>
      <c r="AG208" s="332" t="str">
        <f t="shared" si="119"/>
        <v>N</v>
      </c>
      <c r="AH208" s="332">
        <f t="shared" si="145"/>
        <v>0</v>
      </c>
      <c r="AI208" s="332">
        <f t="shared" si="146"/>
        <v>0</v>
      </c>
      <c r="AJ208" s="109">
        <f t="shared" si="147"/>
        <v>9736.7195401006338</v>
      </c>
      <c r="AK208" s="109">
        <f t="shared" si="120"/>
        <v>0</v>
      </c>
      <c r="AL208" s="109">
        <v>0</v>
      </c>
      <c r="AM208" s="111">
        <f t="shared" si="121"/>
        <v>10</v>
      </c>
      <c r="AN208" s="111">
        <f t="shared" si="122"/>
        <v>7</v>
      </c>
      <c r="AO208" s="111" t="str">
        <f t="shared" si="123"/>
        <v>Use deduct 3yrs</v>
      </c>
      <c r="AP208" s="111">
        <f t="shared" si="124"/>
        <v>7</v>
      </c>
      <c r="AQ208" s="112">
        <f t="shared" si="125"/>
        <v>0.41176470588235292</v>
      </c>
      <c r="AR208" s="112">
        <f t="shared" si="126"/>
        <v>0.58823529411764708</v>
      </c>
      <c r="AS208" s="113">
        <f t="shared" si="127"/>
        <v>2035</v>
      </c>
      <c r="AT208" s="109">
        <v>11984.232626572926</v>
      </c>
      <c r="AU208" s="114">
        <v>0.58823529411764708</v>
      </c>
      <c r="AV208" s="113">
        <v>2035</v>
      </c>
      <c r="AW208" s="112">
        <f t="shared" si="128"/>
        <v>0.99999999387302663</v>
      </c>
      <c r="AX208" s="109">
        <f t="shared" si="129"/>
        <v>7049.5486038664276</v>
      </c>
      <c r="AY208" s="109">
        <f t="shared" si="130"/>
        <v>4934.6840227064986</v>
      </c>
      <c r="AZ208" s="109">
        <f t="shared" si="131"/>
        <v>11984.232626572926</v>
      </c>
      <c r="BA208" s="111">
        <f t="shared" si="132"/>
        <v>0</v>
      </c>
      <c r="BB208" s="117"/>
      <c r="BC208" s="115" t="str">
        <f t="shared" si="133"/>
        <v>Y</v>
      </c>
      <c r="BD208" s="115" t="str">
        <f t="shared" si="134"/>
        <v>Y</v>
      </c>
      <c r="BE208" s="115" t="str">
        <f t="shared" si="135"/>
        <v>N</v>
      </c>
      <c r="BF208" s="109" t="str">
        <f t="shared" si="136"/>
        <v/>
      </c>
      <c r="BG208" s="111" t="s">
        <v>2499</v>
      </c>
      <c r="BH208" s="115" t="s">
        <v>1168</v>
      </c>
      <c r="BI208" s="116"/>
      <c r="BJ208" s="222">
        <v>0.99999999387302663</v>
      </c>
      <c r="BK208" s="265">
        <f t="shared" si="137"/>
        <v>0</v>
      </c>
      <c r="BL208" s="265">
        <f t="shared" si="138"/>
        <v>0</v>
      </c>
      <c r="BM208" s="265">
        <f t="shared" si="139"/>
        <v>0</v>
      </c>
      <c r="BN208" s="265">
        <f t="shared" si="140"/>
        <v>-1057.4322538664273</v>
      </c>
      <c r="BO208" s="109"/>
      <c r="BP208" s="265">
        <f t="shared" si="141"/>
        <v>7.342707431234885E-5</v>
      </c>
      <c r="BQ208" s="265">
        <v>7.342707431234885E-5</v>
      </c>
      <c r="BR208" s="265" t="e">
        <f t="shared" si="142"/>
        <v>#REF!</v>
      </c>
      <c r="BS208" s="265">
        <v>8.2722381150954052E-6</v>
      </c>
      <c r="BT208" s="475">
        <v>96963.337373427086</v>
      </c>
      <c r="BU208" s="475">
        <v>7049.5486038664276</v>
      </c>
      <c r="BV208" s="475">
        <v>4934.6840227064986</v>
      </c>
      <c r="BW208" s="483">
        <f t="shared" si="143"/>
        <v>0</v>
      </c>
      <c r="BX208" s="483">
        <f t="shared" si="144"/>
        <v>0</v>
      </c>
    </row>
    <row r="209" spans="1:76" s="103" customFormat="1" ht="14.5">
      <c r="A209" s="100"/>
      <c r="B209" s="91" t="str">
        <f t="shared" si="111"/>
        <v>PTR</v>
      </c>
      <c r="C209" s="92"/>
      <c r="D209" s="448"/>
      <c r="E209" s="449"/>
      <c r="F209" s="384" t="s">
        <v>4720</v>
      </c>
      <c r="G209" s="588" t="s">
        <v>5264</v>
      </c>
      <c r="H209" s="398">
        <v>0.11</v>
      </c>
      <c r="I209" s="595"/>
      <c r="J209" s="595" t="s">
        <v>1166</v>
      </c>
      <c r="K209" s="191">
        <v>4697882</v>
      </c>
      <c r="L209" s="471">
        <v>0.58823606816085128</v>
      </c>
      <c r="M209" s="591">
        <v>1</v>
      </c>
      <c r="N209" s="267">
        <f t="shared" si="112"/>
        <v>0</v>
      </c>
      <c r="O209" s="96">
        <f t="shared" si="113"/>
        <v>4393901</v>
      </c>
      <c r="P209" s="96">
        <f t="shared" si="114"/>
        <v>303981</v>
      </c>
      <c r="Q209" s="594">
        <f t="shared" si="115"/>
        <v>0</v>
      </c>
      <c r="R209" s="187" t="s">
        <v>2352</v>
      </c>
      <c r="S209" s="187" t="s">
        <v>3607</v>
      </c>
      <c r="T209" s="94" t="s">
        <v>2810</v>
      </c>
      <c r="U209" s="395">
        <f>COUNTIF(Aggregation_of_rev_to_allocate!$A$3:$A$137,$T209)</f>
        <v>1</v>
      </c>
      <c r="V209" s="100"/>
      <c r="W209" s="100">
        <v>961</v>
      </c>
      <c r="X209" s="109">
        <v>258383.51</v>
      </c>
      <c r="Y209" s="109">
        <v>258383.51</v>
      </c>
      <c r="Z209" s="110">
        <v>1</v>
      </c>
      <c r="AA209" s="110">
        <v>0.5</v>
      </c>
      <c r="AB209" s="110">
        <v>0.5</v>
      </c>
      <c r="AC209" s="109">
        <f>IF(ISERROR((X209*SUMIF('Rev_for_allocation(Hard)'!$A$3:$A$249,$T209,'Rev_for_allocation(Hard)'!$I$3:$I$249)/SUMIF(Historic_capex_list!$T$9:$T$586,$T209,Historic_capex_list!$X$9:$X$586))=TRUE),0,X209*SUMIF('Rev_for_allocation(Hard)'!$A$3:$A$249,$T209,'Rev_for_allocation(Hard)'!$I$3:$I$249)/SUMIF(Historic_capex_list!$T$9:$T$586,$T209,Historic_capex_list!$X$9:$X$586))</f>
        <v>-96914.062595929034</v>
      </c>
      <c r="AD209" s="109">
        <f t="shared" si="116"/>
        <v>161469.44740407099</v>
      </c>
      <c r="AE209" s="109">
        <f t="shared" si="117"/>
        <v>161469.44740407099</v>
      </c>
      <c r="AF209" s="109">
        <f t="shared" si="118"/>
        <v>419852.957404071</v>
      </c>
      <c r="AG209" s="332" t="str">
        <f t="shared" si="119"/>
        <v>N</v>
      </c>
      <c r="AH209" s="332">
        <f t="shared" si="145"/>
        <v>0</v>
      </c>
      <c r="AI209" s="332">
        <f t="shared" si="146"/>
        <v>0</v>
      </c>
      <c r="AJ209" s="109">
        <f t="shared" si="147"/>
        <v>419852.957404071</v>
      </c>
      <c r="AK209" s="109">
        <f t="shared" si="120"/>
        <v>0</v>
      </c>
      <c r="AL209" s="109">
        <v>0</v>
      </c>
      <c r="AM209" s="111">
        <f t="shared" si="121"/>
        <v>10</v>
      </c>
      <c r="AN209" s="111">
        <f t="shared" si="122"/>
        <v>7</v>
      </c>
      <c r="AO209" s="111" t="str">
        <f t="shared" si="123"/>
        <v>Use deduct 3yrs</v>
      </c>
      <c r="AP209" s="111">
        <f t="shared" si="124"/>
        <v>7</v>
      </c>
      <c r="AQ209" s="112">
        <f t="shared" si="125"/>
        <v>0.41176470588235292</v>
      </c>
      <c r="AR209" s="112">
        <f t="shared" si="126"/>
        <v>0.58823529411764708</v>
      </c>
      <c r="AS209" s="113">
        <f t="shared" si="127"/>
        <v>2035</v>
      </c>
      <c r="AT209" s="109">
        <v>516766.99771397526</v>
      </c>
      <c r="AU209" s="114">
        <v>0.58823529411764708</v>
      </c>
      <c r="AV209" s="113">
        <v>2035</v>
      </c>
      <c r="AW209" s="112">
        <f t="shared" si="128"/>
        <v>0.99999995687413501</v>
      </c>
      <c r="AX209" s="109">
        <f t="shared" si="129"/>
        <v>303980.58689057367</v>
      </c>
      <c r="AY209" s="109">
        <f t="shared" si="130"/>
        <v>212786.41082340156</v>
      </c>
      <c r="AZ209" s="109">
        <f t="shared" si="131"/>
        <v>516766.99771397526</v>
      </c>
      <c r="BA209" s="111">
        <f t="shared" si="132"/>
        <v>0</v>
      </c>
      <c r="BB209" s="117"/>
      <c r="BC209" s="115" t="str">
        <f t="shared" si="133"/>
        <v>N</v>
      </c>
      <c r="BD209" s="115" t="str">
        <f t="shared" si="134"/>
        <v>Y</v>
      </c>
      <c r="BE209" s="115" t="str">
        <f t="shared" si="135"/>
        <v>N</v>
      </c>
      <c r="BF209" s="109" t="str">
        <f t="shared" si="136"/>
        <v/>
      </c>
      <c r="BG209" s="111" t="s">
        <v>2499</v>
      </c>
      <c r="BH209" s="115" t="s">
        <v>1168</v>
      </c>
      <c r="BI209" s="116"/>
      <c r="BJ209" s="222">
        <v>0.99999995687413501</v>
      </c>
      <c r="BK209" s="265">
        <f t="shared" si="137"/>
        <v>212786.41082340156</v>
      </c>
      <c r="BL209" s="265">
        <f t="shared" si="138"/>
        <v>-212786.41082340156</v>
      </c>
      <c r="BM209" s="265">
        <f t="shared" si="139"/>
        <v>0</v>
      </c>
      <c r="BN209" s="265">
        <f t="shared" si="140"/>
        <v>-45597.489999999991</v>
      </c>
      <c r="BO209" s="109"/>
      <c r="BP209" s="265">
        <f t="shared" si="141"/>
        <v>2.2286024759523571E-2</v>
      </c>
      <c r="BQ209" s="265">
        <v>2.2286024759523571E-2</v>
      </c>
      <c r="BR209" s="265" t="e">
        <f t="shared" si="142"/>
        <v>#REF!</v>
      </c>
      <c r="BS209" s="265">
        <v>2.510726529365289E-3</v>
      </c>
      <c r="BT209" s="475">
        <v>4181115.0022860249</v>
      </c>
      <c r="BU209" s="475">
        <v>303980.58689057367</v>
      </c>
      <c r="BV209" s="475">
        <v>212786.41082340156</v>
      </c>
      <c r="BW209" s="483">
        <f t="shared" si="143"/>
        <v>0.41310942632844672</v>
      </c>
      <c r="BX209" s="483">
        <f t="shared" si="144"/>
        <v>-212786.41082340156</v>
      </c>
    </row>
    <row r="210" spans="1:76" s="103" customFormat="1" ht="14.5">
      <c r="A210" s="100"/>
      <c r="B210" s="91" t="str">
        <f t="shared" si="111"/>
        <v>PTR</v>
      </c>
      <c r="C210" s="92"/>
      <c r="D210" s="448"/>
      <c r="E210" s="449"/>
      <c r="F210" s="384" t="s">
        <v>4720</v>
      </c>
      <c r="G210" s="588" t="s">
        <v>5264</v>
      </c>
      <c r="H210" s="398">
        <v>0.11</v>
      </c>
      <c r="I210" s="595"/>
      <c r="J210" s="595" t="s">
        <v>1166</v>
      </c>
      <c r="K210" s="191">
        <v>6268640.1799999997</v>
      </c>
      <c r="L210" s="471">
        <v>0.58823606816085128</v>
      </c>
      <c r="M210" s="591">
        <v>1</v>
      </c>
      <c r="N210" s="267">
        <f t="shared" si="112"/>
        <v>0</v>
      </c>
      <c r="O210" s="96">
        <f t="shared" si="113"/>
        <v>5863021.7522581834</v>
      </c>
      <c r="P210" s="96">
        <f t="shared" si="114"/>
        <v>405618.42774181644</v>
      </c>
      <c r="Q210" s="594">
        <f t="shared" si="115"/>
        <v>0</v>
      </c>
      <c r="R210" s="187" t="s">
        <v>2352</v>
      </c>
      <c r="S210" s="187" t="s">
        <v>3607</v>
      </c>
      <c r="T210" s="94" t="s">
        <v>2810</v>
      </c>
      <c r="U210" s="395">
        <f>COUNTIF(Aggregation_of_rev_to_allocate!$A$3:$A$137,$T210)</f>
        <v>1</v>
      </c>
      <c r="V210" s="100"/>
      <c r="W210" s="100">
        <v>961</v>
      </c>
      <c r="X210" s="109">
        <v>344775.20989999996</v>
      </c>
      <c r="Y210" s="109">
        <v>344775.20989999996</v>
      </c>
      <c r="Z210" s="110">
        <v>1</v>
      </c>
      <c r="AA210" s="110">
        <v>0.5</v>
      </c>
      <c r="AB210" s="110">
        <v>0.5</v>
      </c>
      <c r="AC210" s="109">
        <f>IF(ISERROR((X210*SUMIF('Rev_for_allocation(Hard)'!$A$3:$A$249,$T210,'Rev_for_allocation(Hard)'!$I$3:$I$249)/SUMIF(Historic_capex_list!$T$9:$T$586,$T210,Historic_capex_list!$X$9:$X$586))=TRUE),0,X210*SUMIF('Rev_for_allocation(Hard)'!$A$3:$A$249,$T210,'Rev_for_allocation(Hard)'!$I$3:$I$249)/SUMIF(Historic_capex_list!$T$9:$T$586,$T210,Historic_capex_list!$X$9:$X$586))</f>
        <v>-129317.71951612996</v>
      </c>
      <c r="AD210" s="109">
        <f t="shared" si="116"/>
        <v>215457.49038387</v>
      </c>
      <c r="AE210" s="109">
        <f t="shared" si="117"/>
        <v>215457.49038387</v>
      </c>
      <c r="AF210" s="109">
        <f t="shared" si="118"/>
        <v>560232.70028386998</v>
      </c>
      <c r="AG210" s="332" t="str">
        <f t="shared" si="119"/>
        <v>N</v>
      </c>
      <c r="AH210" s="332">
        <f t="shared" si="145"/>
        <v>0</v>
      </c>
      <c r="AI210" s="332">
        <f t="shared" si="146"/>
        <v>0</v>
      </c>
      <c r="AJ210" s="109">
        <f t="shared" si="147"/>
        <v>560232.70028386998</v>
      </c>
      <c r="AK210" s="109">
        <f t="shared" si="120"/>
        <v>0</v>
      </c>
      <c r="AL210" s="109">
        <v>0</v>
      </c>
      <c r="AM210" s="111">
        <f t="shared" si="121"/>
        <v>10</v>
      </c>
      <c r="AN210" s="111">
        <f t="shared" si="122"/>
        <v>7</v>
      </c>
      <c r="AO210" s="111" t="str">
        <f t="shared" si="123"/>
        <v>Use deduct 3yrs</v>
      </c>
      <c r="AP210" s="111">
        <f t="shared" si="124"/>
        <v>7</v>
      </c>
      <c r="AQ210" s="112">
        <f t="shared" si="125"/>
        <v>0.41176470588235292</v>
      </c>
      <c r="AR210" s="112">
        <f t="shared" si="126"/>
        <v>0.58823529411764708</v>
      </c>
      <c r="AS210" s="113">
        <f t="shared" si="127"/>
        <v>2035</v>
      </c>
      <c r="AT210" s="109">
        <v>689550.39006254147</v>
      </c>
      <c r="AU210" s="114">
        <v>0.58823529411764708</v>
      </c>
      <c r="AV210" s="113">
        <v>2035</v>
      </c>
      <c r="AW210" s="112">
        <f t="shared" si="128"/>
        <v>0.99999995687413479</v>
      </c>
      <c r="AX210" s="109">
        <f t="shared" si="129"/>
        <v>405617.87650737737</v>
      </c>
      <c r="AY210" s="109">
        <f t="shared" si="130"/>
        <v>283932.51355516416</v>
      </c>
      <c r="AZ210" s="109">
        <f t="shared" si="131"/>
        <v>689550.39006254147</v>
      </c>
      <c r="BA210" s="111">
        <f t="shared" si="132"/>
        <v>0</v>
      </c>
      <c r="BB210" s="117"/>
      <c r="BC210" s="115" t="str">
        <f t="shared" si="133"/>
        <v>N</v>
      </c>
      <c r="BD210" s="115" t="str">
        <f t="shared" si="134"/>
        <v>Y</v>
      </c>
      <c r="BE210" s="115" t="str">
        <f t="shared" si="135"/>
        <v>N</v>
      </c>
      <c r="BF210" s="109" t="str">
        <f t="shared" si="136"/>
        <v/>
      </c>
      <c r="BG210" s="111" t="s">
        <v>2499</v>
      </c>
      <c r="BH210" s="115" t="s">
        <v>1168</v>
      </c>
      <c r="BI210" s="116"/>
      <c r="BJ210" s="222">
        <v>0.99999995687413479</v>
      </c>
      <c r="BK210" s="265">
        <f t="shared" si="137"/>
        <v>283932.51355516416</v>
      </c>
      <c r="BL210" s="265">
        <f t="shared" si="138"/>
        <v>-283932.51355516416</v>
      </c>
      <c r="BM210" s="265">
        <f t="shared" si="139"/>
        <v>-1.7462298274040222E-10</v>
      </c>
      <c r="BN210" s="265">
        <f t="shared" si="140"/>
        <v>-60843.217841816484</v>
      </c>
      <c r="BO210" s="109"/>
      <c r="BP210" s="265">
        <f t="shared" si="141"/>
        <v>2.9737458447925746E-2</v>
      </c>
      <c r="BQ210" s="265">
        <v>2.9737458447925746E-2</v>
      </c>
      <c r="BR210" s="265" t="e">
        <f t="shared" si="142"/>
        <v>#REF!</v>
      </c>
      <c r="BS210" s="265">
        <v>3.3501993579720512E-3</v>
      </c>
      <c r="BT210" s="475">
        <v>5579089.789937458</v>
      </c>
      <c r="BU210" s="475">
        <v>405617.87650737737</v>
      </c>
      <c r="BV210" s="475">
        <v>283932.51355516416</v>
      </c>
      <c r="BW210" s="483">
        <f t="shared" si="143"/>
        <v>0.55123443907359615</v>
      </c>
      <c r="BX210" s="483">
        <f t="shared" si="144"/>
        <v>-283932.51355516416</v>
      </c>
    </row>
    <row r="211" spans="1:76" s="495" customFormat="1" ht="29">
      <c r="A211" s="100"/>
      <c r="B211" s="91" t="str">
        <f t="shared" si="111"/>
        <v>PTR</v>
      </c>
      <c r="C211" s="92"/>
      <c r="D211" s="448"/>
      <c r="E211" s="450"/>
      <c r="F211" s="384" t="s">
        <v>2249</v>
      </c>
      <c r="G211" s="384" t="s">
        <v>4698</v>
      </c>
      <c r="H211" s="398">
        <v>0.11</v>
      </c>
      <c r="I211" s="95"/>
      <c r="J211" s="95" t="s">
        <v>1166</v>
      </c>
      <c r="K211" s="191">
        <v>2704837</v>
      </c>
      <c r="L211" s="268">
        <v>0.79410499701058745</v>
      </c>
      <c r="M211" s="591">
        <v>1</v>
      </c>
      <c r="N211" s="267">
        <f t="shared" si="112"/>
        <v>0</v>
      </c>
      <c r="O211" s="96">
        <f t="shared" si="113"/>
        <v>2468565.2964420961</v>
      </c>
      <c r="P211" s="96">
        <f t="shared" si="114"/>
        <v>236271.70355790391</v>
      </c>
      <c r="Q211" s="96">
        <f t="shared" si="115"/>
        <v>0</v>
      </c>
      <c r="R211" s="187" t="s">
        <v>942</v>
      </c>
      <c r="S211" s="187" t="s">
        <v>3608</v>
      </c>
      <c r="T211" s="94" t="s">
        <v>2810</v>
      </c>
      <c r="U211" s="395">
        <f>COUNTIF(Aggregation_of_rev_to_allocate!$A$3:$A$137,$T211)</f>
        <v>1</v>
      </c>
      <c r="V211" s="100"/>
      <c r="W211" s="100">
        <v>935</v>
      </c>
      <c r="X211" s="109">
        <v>148766.035</v>
      </c>
      <c r="Y211" s="109">
        <v>148766.035</v>
      </c>
      <c r="Z211" s="110">
        <v>1</v>
      </c>
      <c r="AA211" s="110">
        <v>0.5</v>
      </c>
      <c r="AB211" s="110">
        <v>0.5</v>
      </c>
      <c r="AC211" s="109">
        <f>IF(ISERROR((X211*SUMIF('Rev_for_allocation(Hard)'!$A$3:$A$249,$T211,'Rev_for_allocation(Hard)'!$I$3:$I$249)/SUMIF(Historic_capex_list!$T$9:$T$586,$T211,Historic_capex_list!$X$9:$X$586))=TRUE),0,X211*SUMIF('Rev_for_allocation(Hard)'!$A$3:$A$249,$T211,'Rev_for_allocation(Hard)'!$I$3:$I$249)/SUMIF(Historic_capex_list!$T$9:$T$586,$T211,Historic_capex_list!$X$9:$X$586))</f>
        <v>-55798.920094158355</v>
      </c>
      <c r="AD211" s="109">
        <f t="shared" si="116"/>
        <v>92967.114905841649</v>
      </c>
      <c r="AE211" s="109">
        <f t="shared" si="117"/>
        <v>92967.114905841649</v>
      </c>
      <c r="AF211" s="109">
        <f t="shared" si="118"/>
        <v>241733.14990584165</v>
      </c>
      <c r="AG211" s="332" t="str">
        <f t="shared" si="119"/>
        <v>N</v>
      </c>
      <c r="AH211" s="332">
        <f t="shared" si="145"/>
        <v>0</v>
      </c>
      <c r="AI211" s="332">
        <f t="shared" si="146"/>
        <v>0</v>
      </c>
      <c r="AJ211" s="109">
        <f t="shared" si="147"/>
        <v>241733.14990584165</v>
      </c>
      <c r="AK211" s="109">
        <f t="shared" si="120"/>
        <v>0</v>
      </c>
      <c r="AL211" s="109">
        <v>0</v>
      </c>
      <c r="AM211" s="111">
        <f t="shared" si="121"/>
        <v>10</v>
      </c>
      <c r="AN211" s="111">
        <f t="shared" si="122"/>
        <v>7</v>
      </c>
      <c r="AO211" s="111" t="str">
        <f t="shared" si="123"/>
        <v>Use deduct 3yrs</v>
      </c>
      <c r="AP211" s="111">
        <f t="shared" si="124"/>
        <v>7</v>
      </c>
      <c r="AQ211" s="112">
        <f t="shared" si="125"/>
        <v>0.41176470588235292</v>
      </c>
      <c r="AR211" s="112">
        <f t="shared" si="126"/>
        <v>0.58823529411764708</v>
      </c>
      <c r="AS211" s="113">
        <f t="shared" si="127"/>
        <v>2035</v>
      </c>
      <c r="AT211" s="109">
        <v>236271.70355790391</v>
      </c>
      <c r="AU211" s="114">
        <v>0.58823529411764708</v>
      </c>
      <c r="AV211" s="113">
        <v>2035</v>
      </c>
      <c r="AW211" s="112">
        <f t="shared" si="128"/>
        <v>0.79410499701058745</v>
      </c>
      <c r="AX211" s="109">
        <f t="shared" si="129"/>
        <v>138983.35503406113</v>
      </c>
      <c r="AY211" s="109">
        <f t="shared" si="130"/>
        <v>97288.348523842782</v>
      </c>
      <c r="AZ211" s="109">
        <f t="shared" si="131"/>
        <v>236271.70355790391</v>
      </c>
      <c r="BA211" s="111">
        <f t="shared" si="132"/>
        <v>0</v>
      </c>
      <c r="BB211" s="117"/>
      <c r="BC211" s="115" t="str">
        <f t="shared" si="133"/>
        <v>N</v>
      </c>
      <c r="BD211" s="115" t="str">
        <f t="shared" si="134"/>
        <v>Y</v>
      </c>
      <c r="BE211" s="115" t="str">
        <f t="shared" si="135"/>
        <v>N</v>
      </c>
      <c r="BF211" s="109" t="str">
        <f t="shared" si="136"/>
        <v/>
      </c>
      <c r="BG211" s="111" t="s">
        <v>2499</v>
      </c>
      <c r="BH211" s="115" t="s">
        <v>1168</v>
      </c>
      <c r="BI211" s="116"/>
      <c r="BJ211" s="222">
        <v>0.79410499701058745</v>
      </c>
      <c r="BK211" s="265">
        <f t="shared" si="137"/>
        <v>97288.348523842782</v>
      </c>
      <c r="BL211" s="265">
        <f t="shared" si="138"/>
        <v>-97288.348523842782</v>
      </c>
      <c r="BM211" s="265">
        <f t="shared" si="139"/>
        <v>-2.9103830456733704E-11</v>
      </c>
      <c r="BN211" s="265">
        <f t="shared" si="140"/>
        <v>-87505.668557903904</v>
      </c>
      <c r="BO211" s="109"/>
      <c r="BP211" s="265">
        <f t="shared" si="141"/>
        <v>61260.366442096099</v>
      </c>
      <c r="BQ211" s="265">
        <v>61260.366442096099</v>
      </c>
      <c r="BR211" s="265" t="e">
        <f t="shared" si="142"/>
        <v>#REF!</v>
      </c>
      <c r="BS211" s="265">
        <v>6901.5460982597351</v>
      </c>
      <c r="BT211" s="475">
        <v>2468565.2964420961</v>
      </c>
      <c r="BU211" s="475">
        <v>138983.35503406113</v>
      </c>
      <c r="BV211" s="475">
        <v>97288.348523842782</v>
      </c>
      <c r="BW211" s="483">
        <f t="shared" si="143"/>
        <v>97288.348523842782</v>
      </c>
      <c r="BX211" s="483">
        <f t="shared" si="144"/>
        <v>-97288.348523842782</v>
      </c>
    </row>
    <row r="212" spans="1:76" s="103" customFormat="1" ht="29">
      <c r="A212" s="100"/>
      <c r="B212" s="91" t="str">
        <f t="shared" si="111"/>
        <v>PTR</v>
      </c>
      <c r="C212" s="92" t="s">
        <v>3626</v>
      </c>
      <c r="D212" s="448"/>
      <c r="E212" s="449"/>
      <c r="F212" s="384" t="s">
        <v>2249</v>
      </c>
      <c r="G212" s="384" t="s">
        <v>4698</v>
      </c>
      <c r="H212" s="398">
        <v>0.11</v>
      </c>
      <c r="I212" s="95"/>
      <c r="J212" s="95" t="s">
        <v>1166</v>
      </c>
      <c r="K212" s="191">
        <v>1090173.99</v>
      </c>
      <c r="L212" s="268">
        <v>0.79410499701058734</v>
      </c>
      <c r="M212" s="591">
        <v>1</v>
      </c>
      <c r="N212" s="267">
        <f t="shared" si="112"/>
        <v>0</v>
      </c>
      <c r="O212" s="96">
        <f t="shared" si="113"/>
        <v>994945.60256230331</v>
      </c>
      <c r="P212" s="96">
        <f t="shared" si="114"/>
        <v>95228.3874376967</v>
      </c>
      <c r="Q212" s="96">
        <f t="shared" si="115"/>
        <v>0</v>
      </c>
      <c r="R212" s="187" t="s">
        <v>942</v>
      </c>
      <c r="S212" s="187" t="s">
        <v>3608</v>
      </c>
      <c r="T212" s="94" t="s">
        <v>2810</v>
      </c>
      <c r="U212" s="395">
        <f>COUNTIF(Aggregation_of_rev_to_allocate!$A$3:$A$137,$T212)</f>
        <v>1</v>
      </c>
      <c r="V212" s="100"/>
      <c r="W212" s="100">
        <v>1048</v>
      </c>
      <c r="X212" s="109">
        <v>59959.569450000003</v>
      </c>
      <c r="Y212" s="109">
        <v>59959.569450000003</v>
      </c>
      <c r="Z212" s="110">
        <v>1</v>
      </c>
      <c r="AA212" s="110">
        <v>0.5</v>
      </c>
      <c r="AB212" s="110">
        <v>0.5</v>
      </c>
      <c r="AC212" s="109">
        <f>IF(ISERROR((X212*SUMIF('Rev_for_allocation(Hard)'!$A$3:$A$249,$T212,'Rev_for_allocation(Hard)'!$I$3:$I$249)/SUMIF(Historic_capex_list!$T$9:$T$586,$T212,Historic_capex_list!$X$9:$X$586))=TRUE),0,X212*SUMIF('Rev_for_allocation(Hard)'!$A$3:$A$249,$T212,'Rev_for_allocation(Hard)'!$I$3:$I$249)/SUMIF(Historic_capex_list!$T$9:$T$586,$T212,Historic_capex_list!$X$9:$X$586))</f>
        <v>-22489.536839646826</v>
      </c>
      <c r="AD212" s="109">
        <f t="shared" si="116"/>
        <v>37470.032610353177</v>
      </c>
      <c r="AE212" s="109">
        <f t="shared" si="117"/>
        <v>37470.032610353177</v>
      </c>
      <c r="AF212" s="109">
        <f t="shared" si="118"/>
        <v>97429.60206035318</v>
      </c>
      <c r="AG212" s="332" t="str">
        <f t="shared" si="119"/>
        <v>N</v>
      </c>
      <c r="AH212" s="332">
        <f t="shared" si="145"/>
        <v>0</v>
      </c>
      <c r="AI212" s="332">
        <f t="shared" si="146"/>
        <v>0</v>
      </c>
      <c r="AJ212" s="109">
        <f t="shared" si="147"/>
        <v>97429.60206035318</v>
      </c>
      <c r="AK212" s="109">
        <f t="shared" si="120"/>
        <v>0</v>
      </c>
      <c r="AL212" s="109">
        <v>0</v>
      </c>
      <c r="AM212" s="111">
        <f t="shared" si="121"/>
        <v>10</v>
      </c>
      <c r="AN212" s="111">
        <f t="shared" si="122"/>
        <v>7</v>
      </c>
      <c r="AO212" s="111" t="str">
        <f t="shared" si="123"/>
        <v>Use deduct 3yrs</v>
      </c>
      <c r="AP212" s="111">
        <f t="shared" si="124"/>
        <v>7</v>
      </c>
      <c r="AQ212" s="112">
        <f t="shared" si="125"/>
        <v>0.41176470588235292</v>
      </c>
      <c r="AR212" s="112">
        <f t="shared" si="126"/>
        <v>0.58823529411764708</v>
      </c>
      <c r="AS212" s="113">
        <f t="shared" si="127"/>
        <v>2035</v>
      </c>
      <c r="AT212" s="109">
        <v>95228.387437696714</v>
      </c>
      <c r="AU212" s="114">
        <v>0.58823529411764708</v>
      </c>
      <c r="AV212" s="113">
        <v>2035</v>
      </c>
      <c r="AW212" s="112">
        <f t="shared" si="128"/>
        <v>0.79410499701058734</v>
      </c>
      <c r="AX212" s="109">
        <f t="shared" si="129"/>
        <v>56016.698492762771</v>
      </c>
      <c r="AY212" s="109">
        <f t="shared" si="130"/>
        <v>39211.688944933936</v>
      </c>
      <c r="AZ212" s="109">
        <f t="shared" si="131"/>
        <v>95228.387437696714</v>
      </c>
      <c r="BA212" s="111">
        <f t="shared" si="132"/>
        <v>0</v>
      </c>
      <c r="BB212" s="117"/>
      <c r="BC212" s="115" t="str">
        <f t="shared" si="133"/>
        <v>N</v>
      </c>
      <c r="BD212" s="115" t="str">
        <f t="shared" si="134"/>
        <v>Y</v>
      </c>
      <c r="BE212" s="115" t="str">
        <f t="shared" si="135"/>
        <v>N</v>
      </c>
      <c r="BF212" s="109" t="str">
        <f t="shared" si="136"/>
        <v/>
      </c>
      <c r="BG212" s="111" t="s">
        <v>2499</v>
      </c>
      <c r="BH212" s="115" t="s">
        <v>1168</v>
      </c>
      <c r="BI212" s="116"/>
      <c r="BJ212" s="222">
        <v>0.79410499701058734</v>
      </c>
      <c r="BK212" s="265">
        <f t="shared" si="137"/>
        <v>39211.688944933936</v>
      </c>
      <c r="BL212" s="265">
        <f t="shared" si="138"/>
        <v>-39211.688944933936</v>
      </c>
      <c r="BM212" s="265">
        <f t="shared" si="139"/>
        <v>-1.4551915228366852E-11</v>
      </c>
      <c r="BN212" s="265">
        <f t="shared" si="140"/>
        <v>-35268.817987696697</v>
      </c>
      <c r="BO212" s="109"/>
      <c r="BP212" s="265">
        <f t="shared" si="141"/>
        <v>24690.751462303291</v>
      </c>
      <c r="BQ212" s="265">
        <v>24690.751462303291</v>
      </c>
      <c r="BR212" s="265" t="e">
        <f t="shared" si="142"/>
        <v>#REF!</v>
      </c>
      <c r="BS212" s="265">
        <v>2781.6412031884925</v>
      </c>
      <c r="BT212" s="475">
        <v>994945.60256230331</v>
      </c>
      <c r="BU212" s="475">
        <v>56016.698492762771</v>
      </c>
      <c r="BV212" s="475">
        <v>39211.688944933936</v>
      </c>
      <c r="BW212" s="483">
        <f t="shared" si="143"/>
        <v>39211.688944933929</v>
      </c>
      <c r="BX212" s="483">
        <f t="shared" si="144"/>
        <v>-39211.688944933936</v>
      </c>
    </row>
    <row r="213" spans="1:76" s="103" customFormat="1" ht="29">
      <c r="A213" s="100"/>
      <c r="B213" s="91" t="str">
        <f t="shared" si="111"/>
        <v>PTR</v>
      </c>
      <c r="C213" s="92"/>
      <c r="D213" s="448"/>
      <c r="E213" s="449"/>
      <c r="F213" s="384" t="s">
        <v>2253</v>
      </c>
      <c r="G213" s="384" t="s">
        <v>4699</v>
      </c>
      <c r="H213" s="398">
        <v>0.11</v>
      </c>
      <c r="I213" s="95"/>
      <c r="J213" s="95" t="s">
        <v>1166</v>
      </c>
      <c r="K213" s="191">
        <v>640987</v>
      </c>
      <c r="L213" s="268">
        <v>0.79410499701058745</v>
      </c>
      <c r="M213" s="591">
        <v>1</v>
      </c>
      <c r="N213" s="267">
        <f t="shared" si="112"/>
        <v>0</v>
      </c>
      <c r="O213" s="96">
        <f t="shared" si="113"/>
        <v>584995.79223092925</v>
      </c>
      <c r="P213" s="96">
        <f t="shared" si="114"/>
        <v>55991.207769070796</v>
      </c>
      <c r="Q213" s="96">
        <f t="shared" si="115"/>
        <v>0</v>
      </c>
      <c r="R213" s="187" t="s">
        <v>942</v>
      </c>
      <c r="S213" s="187" t="s">
        <v>3608</v>
      </c>
      <c r="T213" s="94" t="s">
        <v>2810</v>
      </c>
      <c r="U213" s="395">
        <f>COUNTIF(Aggregation_of_rev_to_allocate!$A$3:$A$137,$T213)</f>
        <v>1</v>
      </c>
      <c r="V213" s="100"/>
      <c r="W213" s="100">
        <v>963</v>
      </c>
      <c r="X213" s="109">
        <v>35254.285000000003</v>
      </c>
      <c r="Y213" s="109">
        <v>35254.285000000003</v>
      </c>
      <c r="Z213" s="110">
        <v>1</v>
      </c>
      <c r="AA213" s="110">
        <v>0.5</v>
      </c>
      <c r="AB213" s="110">
        <v>0.5</v>
      </c>
      <c r="AC213" s="109">
        <f>IF(ISERROR((X213*SUMIF('Rev_for_allocation(Hard)'!$A$3:$A$249,$T213,'Rev_for_allocation(Hard)'!$I$3:$I$249)/SUMIF(Historic_capex_list!$T$9:$T$586,$T213,Historic_capex_list!$X$9:$X$586))=TRUE),0,X213*SUMIF('Rev_for_allocation(Hard)'!$A$3:$A$249,$T213,'Rev_for_allocation(Hard)'!$I$3:$I$249)/SUMIF(Historic_capex_list!$T$9:$T$586,$T213,Historic_capex_list!$X$9:$X$586))</f>
        <v>-13223.119320829421</v>
      </c>
      <c r="AD213" s="109">
        <f t="shared" si="116"/>
        <v>22031.165679170583</v>
      </c>
      <c r="AE213" s="109">
        <f t="shared" si="117"/>
        <v>22031.165679170583</v>
      </c>
      <c r="AF213" s="109">
        <f t="shared" si="118"/>
        <v>57285.450679170586</v>
      </c>
      <c r="AG213" s="332" t="str">
        <f t="shared" si="119"/>
        <v>N</v>
      </c>
      <c r="AH213" s="332">
        <f t="shared" si="145"/>
        <v>0</v>
      </c>
      <c r="AI213" s="332">
        <f t="shared" si="146"/>
        <v>0</v>
      </c>
      <c r="AJ213" s="109">
        <f t="shared" si="147"/>
        <v>57285.450679170586</v>
      </c>
      <c r="AK213" s="109">
        <f t="shared" si="120"/>
        <v>0</v>
      </c>
      <c r="AL213" s="109">
        <v>0</v>
      </c>
      <c r="AM213" s="111">
        <f t="shared" si="121"/>
        <v>10</v>
      </c>
      <c r="AN213" s="111">
        <f t="shared" si="122"/>
        <v>7</v>
      </c>
      <c r="AO213" s="111" t="str">
        <f t="shared" si="123"/>
        <v>Use deduct 3yrs</v>
      </c>
      <c r="AP213" s="111">
        <f t="shared" si="124"/>
        <v>7</v>
      </c>
      <c r="AQ213" s="112">
        <f t="shared" si="125"/>
        <v>0.41176470588235292</v>
      </c>
      <c r="AR213" s="112">
        <f t="shared" si="126"/>
        <v>0.58823529411764708</v>
      </c>
      <c r="AS213" s="113">
        <f t="shared" si="127"/>
        <v>2035</v>
      </c>
      <c r="AT213" s="109">
        <v>55991.207769070803</v>
      </c>
      <c r="AU213" s="114">
        <v>0.58823529411764708</v>
      </c>
      <c r="AV213" s="113">
        <v>2035</v>
      </c>
      <c r="AW213" s="112">
        <f t="shared" si="128"/>
        <v>0.79410499701058745</v>
      </c>
      <c r="AX213" s="109">
        <f t="shared" si="129"/>
        <v>32936.004570041652</v>
      </c>
      <c r="AY213" s="109">
        <f t="shared" si="130"/>
        <v>23055.203199029151</v>
      </c>
      <c r="AZ213" s="109">
        <f t="shared" si="131"/>
        <v>55991.207769070803</v>
      </c>
      <c r="BA213" s="111">
        <f t="shared" si="132"/>
        <v>0</v>
      </c>
      <c r="BB213" s="117"/>
      <c r="BC213" s="115" t="str">
        <f t="shared" si="133"/>
        <v>N</v>
      </c>
      <c r="BD213" s="115" t="str">
        <f t="shared" si="134"/>
        <v>Y</v>
      </c>
      <c r="BE213" s="115" t="str">
        <f t="shared" si="135"/>
        <v>N</v>
      </c>
      <c r="BF213" s="109" t="str">
        <f t="shared" si="136"/>
        <v/>
      </c>
      <c r="BG213" s="111" t="s">
        <v>2499</v>
      </c>
      <c r="BH213" s="115" t="s">
        <v>1168</v>
      </c>
      <c r="BI213" s="116"/>
      <c r="BJ213" s="222">
        <v>0.79410499701058745</v>
      </c>
      <c r="BK213" s="265">
        <f t="shared" si="137"/>
        <v>23055.203199029151</v>
      </c>
      <c r="BL213" s="265">
        <f t="shared" si="138"/>
        <v>-23055.203199029151</v>
      </c>
      <c r="BM213" s="265">
        <f t="shared" si="139"/>
        <v>-4.3655745685100555E-11</v>
      </c>
      <c r="BN213" s="265">
        <f t="shared" si="140"/>
        <v>-20736.922769070792</v>
      </c>
      <c r="BO213" s="109"/>
      <c r="BP213" s="265">
        <f t="shared" si="141"/>
        <v>14517.362230929204</v>
      </c>
      <c r="BQ213" s="265">
        <v>14517.362230929204</v>
      </c>
      <c r="BR213" s="265" t="e">
        <f t="shared" si="142"/>
        <v>#REF!</v>
      </c>
      <c r="BS213" s="265">
        <v>1635.5149418930653</v>
      </c>
      <c r="BT213" s="475">
        <v>584995.79223092925</v>
      </c>
      <c r="BU213" s="475">
        <v>32936.004570041652</v>
      </c>
      <c r="BV213" s="475">
        <v>23055.203199029151</v>
      </c>
      <c r="BW213" s="483">
        <f t="shared" si="143"/>
        <v>23055.203199029143</v>
      </c>
      <c r="BX213" s="483">
        <f t="shared" si="144"/>
        <v>-23055.203199029151</v>
      </c>
    </row>
    <row r="214" spans="1:76" s="103" customFormat="1" ht="29">
      <c r="A214" s="100"/>
      <c r="B214" s="91" t="str">
        <f t="shared" si="111"/>
        <v>PTR</v>
      </c>
      <c r="C214" s="92" t="s">
        <v>3626</v>
      </c>
      <c r="D214" s="448"/>
      <c r="E214" s="449"/>
      <c r="F214" s="384" t="s">
        <v>2253</v>
      </c>
      <c r="G214" s="384" t="s">
        <v>4699</v>
      </c>
      <c r="H214" s="398">
        <v>0.11</v>
      </c>
      <c r="I214" s="95"/>
      <c r="J214" s="95" t="s">
        <v>1166</v>
      </c>
      <c r="K214" s="191">
        <v>189127.78</v>
      </c>
      <c r="L214" s="268">
        <v>0.79410499701058745</v>
      </c>
      <c r="M214" s="591">
        <v>1</v>
      </c>
      <c r="N214" s="267">
        <f t="shared" si="112"/>
        <v>0</v>
      </c>
      <c r="O214" s="96">
        <f t="shared" si="113"/>
        <v>172607.17533113289</v>
      </c>
      <c r="P214" s="96">
        <f t="shared" si="114"/>
        <v>16520.604668867094</v>
      </c>
      <c r="Q214" s="96">
        <f t="shared" si="115"/>
        <v>0</v>
      </c>
      <c r="R214" s="187" t="s">
        <v>942</v>
      </c>
      <c r="S214" s="187" t="s">
        <v>3608</v>
      </c>
      <c r="T214" s="94" t="s">
        <v>2810</v>
      </c>
      <c r="U214" s="395">
        <f>COUNTIF(Aggregation_of_rev_to_allocate!$A$3:$A$137,$T214)</f>
        <v>1</v>
      </c>
      <c r="V214" s="100"/>
      <c r="W214" s="100">
        <v>1049</v>
      </c>
      <c r="X214" s="109">
        <v>10402.027899999999</v>
      </c>
      <c r="Y214" s="109">
        <v>10402.027899999999</v>
      </c>
      <c r="Z214" s="110">
        <v>1</v>
      </c>
      <c r="AA214" s="110">
        <v>0.5</v>
      </c>
      <c r="AB214" s="110">
        <v>0.5</v>
      </c>
      <c r="AC214" s="109">
        <f>IF(ISERROR((X214*SUMIF('Rev_for_allocation(Hard)'!$A$3:$A$249,$T214,'Rev_for_allocation(Hard)'!$I$3:$I$249)/SUMIF(Historic_capex_list!$T$9:$T$586,$T214,Historic_capex_list!$X$9:$X$586))=TRUE),0,X214*SUMIF('Rev_for_allocation(Hard)'!$A$3:$A$249,$T214,'Rev_for_allocation(Hard)'!$I$3:$I$249)/SUMIF(Historic_capex_list!$T$9:$T$586,$T214,Historic_capex_list!$X$9:$X$586))</f>
        <v>-3901.5755418184385</v>
      </c>
      <c r="AD214" s="109">
        <f t="shared" si="116"/>
        <v>6500.4523581815611</v>
      </c>
      <c r="AE214" s="109">
        <f t="shared" si="117"/>
        <v>6500.4523581815611</v>
      </c>
      <c r="AF214" s="109">
        <f t="shared" si="118"/>
        <v>16902.48025818156</v>
      </c>
      <c r="AG214" s="332" t="str">
        <f t="shared" si="119"/>
        <v>N</v>
      </c>
      <c r="AH214" s="332">
        <f t="shared" si="145"/>
        <v>0</v>
      </c>
      <c r="AI214" s="332">
        <f t="shared" si="146"/>
        <v>0</v>
      </c>
      <c r="AJ214" s="109">
        <f t="shared" si="147"/>
        <v>16902.48025818156</v>
      </c>
      <c r="AK214" s="109">
        <f t="shared" si="120"/>
        <v>0</v>
      </c>
      <c r="AL214" s="109">
        <v>0</v>
      </c>
      <c r="AM214" s="111">
        <f t="shared" si="121"/>
        <v>10</v>
      </c>
      <c r="AN214" s="111">
        <f t="shared" si="122"/>
        <v>7</v>
      </c>
      <c r="AO214" s="111" t="str">
        <f t="shared" si="123"/>
        <v>Use deduct 3yrs</v>
      </c>
      <c r="AP214" s="111">
        <f t="shared" si="124"/>
        <v>7</v>
      </c>
      <c r="AQ214" s="112">
        <f t="shared" si="125"/>
        <v>0.41176470588235292</v>
      </c>
      <c r="AR214" s="112">
        <f t="shared" si="126"/>
        <v>0.58823529411764708</v>
      </c>
      <c r="AS214" s="113">
        <f t="shared" si="127"/>
        <v>2035</v>
      </c>
      <c r="AT214" s="109">
        <v>16520.604668867094</v>
      </c>
      <c r="AU214" s="114">
        <v>0.58823529411764708</v>
      </c>
      <c r="AV214" s="113">
        <v>2035</v>
      </c>
      <c r="AW214" s="112">
        <f t="shared" si="128"/>
        <v>0.79410499701058745</v>
      </c>
      <c r="AX214" s="109">
        <f t="shared" si="129"/>
        <v>9718.0027463924089</v>
      </c>
      <c r="AY214" s="109">
        <f t="shared" si="130"/>
        <v>6802.601922474686</v>
      </c>
      <c r="AZ214" s="109">
        <f t="shared" si="131"/>
        <v>16520.604668867094</v>
      </c>
      <c r="BA214" s="111">
        <f t="shared" si="132"/>
        <v>0</v>
      </c>
      <c r="BB214" s="117"/>
      <c r="BC214" s="115" t="str">
        <f t="shared" si="133"/>
        <v>N</v>
      </c>
      <c r="BD214" s="115" t="str">
        <f t="shared" si="134"/>
        <v>Y</v>
      </c>
      <c r="BE214" s="115" t="str">
        <f t="shared" si="135"/>
        <v>N</v>
      </c>
      <c r="BF214" s="109" t="str">
        <f t="shared" si="136"/>
        <v/>
      </c>
      <c r="BG214" s="111" t="s">
        <v>2499</v>
      </c>
      <c r="BH214" s="115" t="s">
        <v>1168</v>
      </c>
      <c r="BI214" s="116"/>
      <c r="BJ214" s="222">
        <v>0.79410499701058745</v>
      </c>
      <c r="BK214" s="265">
        <f t="shared" si="137"/>
        <v>6802.601922474686</v>
      </c>
      <c r="BL214" s="265">
        <f t="shared" si="138"/>
        <v>-6802.601922474686</v>
      </c>
      <c r="BM214" s="265">
        <f t="shared" si="139"/>
        <v>1.0913936421275139E-11</v>
      </c>
      <c r="BN214" s="265">
        <f t="shared" si="140"/>
        <v>-6118.5767688670949</v>
      </c>
      <c r="BO214" s="109"/>
      <c r="BP214" s="265">
        <f t="shared" si="141"/>
        <v>4283.4511311329043</v>
      </c>
      <c r="BQ214" s="265">
        <v>4283.4511311329043</v>
      </c>
      <c r="BR214" s="265" t="e">
        <f t="shared" si="142"/>
        <v>#REF!</v>
      </c>
      <c r="BS214" s="265">
        <v>482.57033312230101</v>
      </c>
      <c r="BT214" s="475">
        <v>172607.17533113289</v>
      </c>
      <c r="BU214" s="475">
        <v>9718.0027463924089</v>
      </c>
      <c r="BV214" s="475">
        <v>6802.601922474686</v>
      </c>
      <c r="BW214" s="483">
        <f t="shared" si="143"/>
        <v>6802.6019224746851</v>
      </c>
      <c r="BX214" s="483">
        <f t="shared" si="144"/>
        <v>-6802.601922474686</v>
      </c>
    </row>
    <row r="215" spans="1:76" s="103" customFormat="1" ht="29">
      <c r="A215" s="100"/>
      <c r="B215" s="91" t="str">
        <f t="shared" si="111"/>
        <v>PTR</v>
      </c>
      <c r="C215" s="92"/>
      <c r="D215" s="448"/>
      <c r="E215" s="449"/>
      <c r="F215" s="384" t="s">
        <v>2252</v>
      </c>
      <c r="G215" s="384" t="s">
        <v>4700</v>
      </c>
      <c r="H215" s="398">
        <v>0.08</v>
      </c>
      <c r="I215" s="95"/>
      <c r="J215" s="95" t="s">
        <v>1166</v>
      </c>
      <c r="K215" s="191">
        <v>1376012</v>
      </c>
      <c r="L215" s="268">
        <v>0.79410499701058745</v>
      </c>
      <c r="M215" s="591">
        <v>1</v>
      </c>
      <c r="N215" s="267">
        <f t="shared" si="112"/>
        <v>0</v>
      </c>
      <c r="O215" s="96">
        <f t="shared" si="113"/>
        <v>1288596.1595882773</v>
      </c>
      <c r="P215" s="96">
        <f t="shared" si="114"/>
        <v>87415.840411722602</v>
      </c>
      <c r="Q215" s="96">
        <f t="shared" si="115"/>
        <v>0</v>
      </c>
      <c r="R215" s="187" t="s">
        <v>942</v>
      </c>
      <c r="S215" s="187" t="s">
        <v>3608</v>
      </c>
      <c r="T215" s="94" t="s">
        <v>2810</v>
      </c>
      <c r="U215" s="395">
        <f>COUNTIF(Aggregation_of_rev_to_allocate!$A$3:$A$137,$T215)</f>
        <v>1</v>
      </c>
      <c r="V215" s="100"/>
      <c r="W215" s="100">
        <v>974</v>
      </c>
      <c r="X215" s="109">
        <v>55040.480000000003</v>
      </c>
      <c r="Y215" s="109">
        <v>55040.480000000003</v>
      </c>
      <c r="Z215" s="110">
        <v>1</v>
      </c>
      <c r="AA215" s="110">
        <v>0.5</v>
      </c>
      <c r="AB215" s="110">
        <v>0.5</v>
      </c>
      <c r="AC215" s="109">
        <f>IF(ISERROR((X215*SUMIF('Rev_for_allocation(Hard)'!$A$3:$A$249,$T215,'Rev_for_allocation(Hard)'!$I$3:$I$249)/SUMIF(Historic_capex_list!$T$9:$T$586,$T215,Historic_capex_list!$X$9:$X$586))=TRUE),0,X215*SUMIF('Rev_for_allocation(Hard)'!$A$3:$A$249,$T215,'Rev_for_allocation(Hard)'!$I$3:$I$249)/SUMIF(Historic_capex_list!$T$9:$T$586,$T215,Historic_capex_list!$X$9:$X$586))</f>
        <v>-20644.492847202131</v>
      </c>
      <c r="AD215" s="109">
        <f t="shared" si="116"/>
        <v>34395.987152797868</v>
      </c>
      <c r="AE215" s="109">
        <f t="shared" si="117"/>
        <v>34395.987152797868</v>
      </c>
      <c r="AF215" s="109">
        <f t="shared" si="118"/>
        <v>89436.467152797879</v>
      </c>
      <c r="AG215" s="332" t="str">
        <f t="shared" si="119"/>
        <v>N</v>
      </c>
      <c r="AH215" s="332">
        <f t="shared" si="145"/>
        <v>0</v>
      </c>
      <c r="AI215" s="332">
        <f t="shared" si="146"/>
        <v>0</v>
      </c>
      <c r="AJ215" s="109">
        <f t="shared" si="147"/>
        <v>89436.467152797879</v>
      </c>
      <c r="AK215" s="109">
        <f t="shared" si="120"/>
        <v>0</v>
      </c>
      <c r="AL215" s="109">
        <v>0</v>
      </c>
      <c r="AM215" s="111">
        <f t="shared" si="121"/>
        <v>10</v>
      </c>
      <c r="AN215" s="111">
        <f t="shared" si="122"/>
        <v>7</v>
      </c>
      <c r="AO215" s="111" t="str">
        <f t="shared" si="123"/>
        <v>Use deduct 3yrs</v>
      </c>
      <c r="AP215" s="111">
        <f t="shared" si="124"/>
        <v>7</v>
      </c>
      <c r="AQ215" s="112">
        <f t="shared" si="125"/>
        <v>0.41176470588235292</v>
      </c>
      <c r="AR215" s="112">
        <f t="shared" si="126"/>
        <v>0.58823529411764708</v>
      </c>
      <c r="AS215" s="113">
        <f t="shared" si="127"/>
        <v>2035</v>
      </c>
      <c r="AT215" s="109">
        <v>87415.840411722602</v>
      </c>
      <c r="AU215" s="114">
        <v>0.58823529411764708</v>
      </c>
      <c r="AV215" s="113">
        <v>2035</v>
      </c>
      <c r="AW215" s="112">
        <f t="shared" si="128"/>
        <v>0.79410499701058745</v>
      </c>
      <c r="AX215" s="109">
        <f t="shared" si="129"/>
        <v>51421.082595130945</v>
      </c>
      <c r="AY215" s="109">
        <f t="shared" si="130"/>
        <v>35994.757816591657</v>
      </c>
      <c r="AZ215" s="109">
        <f t="shared" si="131"/>
        <v>87415.840411722602</v>
      </c>
      <c r="BA215" s="111">
        <f t="shared" si="132"/>
        <v>0</v>
      </c>
      <c r="BB215" s="117"/>
      <c r="BC215" s="115" t="str">
        <f t="shared" si="133"/>
        <v>N</v>
      </c>
      <c r="BD215" s="115" t="str">
        <f t="shared" si="134"/>
        <v>Y</v>
      </c>
      <c r="BE215" s="115" t="str">
        <f t="shared" si="135"/>
        <v>N</v>
      </c>
      <c r="BF215" s="109" t="str">
        <f t="shared" si="136"/>
        <v/>
      </c>
      <c r="BG215" s="111" t="s">
        <v>2499</v>
      </c>
      <c r="BH215" s="115" t="s">
        <v>1168</v>
      </c>
      <c r="BI215" s="116"/>
      <c r="BJ215" s="222">
        <v>0.79410499701058745</v>
      </c>
      <c r="BK215" s="265">
        <f t="shared" si="137"/>
        <v>35994.757816591657</v>
      </c>
      <c r="BL215" s="265">
        <f t="shared" si="138"/>
        <v>-35994.757816591657</v>
      </c>
      <c r="BM215" s="265">
        <f t="shared" si="139"/>
        <v>5.8207660913467407E-11</v>
      </c>
      <c r="BN215" s="265">
        <f t="shared" si="140"/>
        <v>-32375.360411722599</v>
      </c>
      <c r="BO215" s="109"/>
      <c r="BP215" s="265">
        <f t="shared" si="141"/>
        <v>22665.119588277405</v>
      </c>
      <c r="BQ215" s="265">
        <v>22665.119588277405</v>
      </c>
      <c r="BR215" s="265" t="e">
        <f t="shared" si="142"/>
        <v>#REF!</v>
      </c>
      <c r="BS215" s="265">
        <v>2553.4350632544788</v>
      </c>
      <c r="BT215" s="475">
        <v>1288596.1595882773</v>
      </c>
      <c r="BU215" s="475">
        <v>51421.082595130945</v>
      </c>
      <c r="BV215" s="475">
        <v>35994.757816591657</v>
      </c>
      <c r="BW215" s="483">
        <f t="shared" si="143"/>
        <v>35994.757816591657</v>
      </c>
      <c r="BX215" s="483">
        <f t="shared" si="144"/>
        <v>-35994.757816591657</v>
      </c>
    </row>
    <row r="216" spans="1:76" s="103" customFormat="1" ht="29">
      <c r="A216" s="100"/>
      <c r="B216" s="91" t="str">
        <f t="shared" si="111"/>
        <v>PTR</v>
      </c>
      <c r="C216" s="92" t="s">
        <v>3626</v>
      </c>
      <c r="D216" s="448"/>
      <c r="E216" s="449"/>
      <c r="F216" s="384" t="s">
        <v>2252</v>
      </c>
      <c r="G216" s="384" t="s">
        <v>4700</v>
      </c>
      <c r="H216" s="398">
        <v>0.08</v>
      </c>
      <c r="I216" s="95"/>
      <c r="J216" s="95" t="s">
        <v>1166</v>
      </c>
      <c r="K216" s="191">
        <v>433837.65</v>
      </c>
      <c r="L216" s="268">
        <v>0.79410499701058745</v>
      </c>
      <c r="M216" s="591">
        <v>1</v>
      </c>
      <c r="N216" s="267">
        <f t="shared" si="112"/>
        <v>0</v>
      </c>
      <c r="O216" s="96">
        <f t="shared" si="113"/>
        <v>406276.6383394936</v>
      </c>
      <c r="P216" s="96">
        <f t="shared" si="114"/>
        <v>27561.011660506425</v>
      </c>
      <c r="Q216" s="96">
        <f t="shared" si="115"/>
        <v>0</v>
      </c>
      <c r="R216" s="187" t="s">
        <v>942</v>
      </c>
      <c r="S216" s="187" t="s">
        <v>3608</v>
      </c>
      <c r="T216" s="94" t="s">
        <v>2810</v>
      </c>
      <c r="U216" s="395">
        <f>COUNTIF(Aggregation_of_rev_to_allocate!$A$3:$A$137,$T216)</f>
        <v>1</v>
      </c>
      <c r="V216" s="100"/>
      <c r="W216" s="100">
        <v>1050</v>
      </c>
      <c r="X216" s="109">
        <v>17353.506000000001</v>
      </c>
      <c r="Y216" s="109">
        <v>17353.506000000001</v>
      </c>
      <c r="Z216" s="110">
        <v>1</v>
      </c>
      <c r="AA216" s="110">
        <v>0.5</v>
      </c>
      <c r="AB216" s="110">
        <v>0.5</v>
      </c>
      <c r="AC216" s="109">
        <f>IF(ISERROR((X216*SUMIF('Rev_for_allocation(Hard)'!$A$3:$A$249,$T216,'Rev_for_allocation(Hard)'!$I$3:$I$249)/SUMIF(Historic_capex_list!$T$9:$T$586,$T216,Historic_capex_list!$X$9:$X$586))=TRUE),0,X216*SUMIF('Rev_for_allocation(Hard)'!$A$3:$A$249,$T216,'Rev_for_allocation(Hard)'!$I$3:$I$249)/SUMIF(Historic_capex_list!$T$9:$T$586,$T216,Historic_capex_list!$X$9:$X$586))</f>
        <v>-6508.9245313790734</v>
      </c>
      <c r="AD216" s="109">
        <f t="shared" si="116"/>
        <v>10844.581468620927</v>
      </c>
      <c r="AE216" s="109">
        <f t="shared" si="117"/>
        <v>10844.581468620927</v>
      </c>
      <c r="AF216" s="109">
        <f t="shared" si="118"/>
        <v>28198.087468620928</v>
      </c>
      <c r="AG216" s="332" t="str">
        <f t="shared" si="119"/>
        <v>N</v>
      </c>
      <c r="AH216" s="332">
        <f t="shared" si="145"/>
        <v>0</v>
      </c>
      <c r="AI216" s="332">
        <f t="shared" si="146"/>
        <v>0</v>
      </c>
      <c r="AJ216" s="109">
        <f t="shared" si="147"/>
        <v>28198.087468620928</v>
      </c>
      <c r="AK216" s="109">
        <f t="shared" si="120"/>
        <v>0</v>
      </c>
      <c r="AL216" s="109">
        <v>0</v>
      </c>
      <c r="AM216" s="111">
        <f t="shared" si="121"/>
        <v>10</v>
      </c>
      <c r="AN216" s="111">
        <f t="shared" si="122"/>
        <v>7</v>
      </c>
      <c r="AO216" s="111" t="str">
        <f t="shared" si="123"/>
        <v>Use deduct 3yrs</v>
      </c>
      <c r="AP216" s="111">
        <f t="shared" si="124"/>
        <v>7</v>
      </c>
      <c r="AQ216" s="112">
        <f t="shared" si="125"/>
        <v>0.41176470588235292</v>
      </c>
      <c r="AR216" s="112">
        <f t="shared" si="126"/>
        <v>0.58823529411764708</v>
      </c>
      <c r="AS216" s="113">
        <f t="shared" si="127"/>
        <v>2035</v>
      </c>
      <c r="AT216" s="109">
        <v>27561.011660506425</v>
      </c>
      <c r="AU216" s="114">
        <v>0.58823529411764708</v>
      </c>
      <c r="AV216" s="113">
        <v>2035</v>
      </c>
      <c r="AW216" s="112">
        <f t="shared" si="128"/>
        <v>0.79410499701058745</v>
      </c>
      <c r="AX216" s="109">
        <f t="shared" si="129"/>
        <v>16212.359800297898</v>
      </c>
      <c r="AY216" s="109">
        <f t="shared" si="130"/>
        <v>11348.651860208525</v>
      </c>
      <c r="AZ216" s="109">
        <f t="shared" si="131"/>
        <v>27561.011660506425</v>
      </c>
      <c r="BA216" s="111">
        <f t="shared" si="132"/>
        <v>0</v>
      </c>
      <c r="BB216" s="117"/>
      <c r="BC216" s="115" t="str">
        <f t="shared" si="133"/>
        <v>N</v>
      </c>
      <c r="BD216" s="115" t="str">
        <f t="shared" si="134"/>
        <v>Y</v>
      </c>
      <c r="BE216" s="115" t="str">
        <f t="shared" si="135"/>
        <v>N</v>
      </c>
      <c r="BF216" s="109" t="str">
        <f t="shared" si="136"/>
        <v/>
      </c>
      <c r="BG216" s="111" t="s">
        <v>2499</v>
      </c>
      <c r="BH216" s="115" t="s">
        <v>1168</v>
      </c>
      <c r="BI216" s="116"/>
      <c r="BJ216" s="222">
        <v>0.79410499701058745</v>
      </c>
      <c r="BK216" s="265">
        <f t="shared" si="137"/>
        <v>11348.651860208525</v>
      </c>
      <c r="BL216" s="265">
        <f t="shared" si="138"/>
        <v>-11348.651860208525</v>
      </c>
      <c r="BM216" s="265">
        <f t="shared" si="139"/>
        <v>0</v>
      </c>
      <c r="BN216" s="265">
        <f t="shared" si="140"/>
        <v>-10207.505660506424</v>
      </c>
      <c r="BO216" s="109"/>
      <c r="BP216" s="265">
        <f t="shared" si="141"/>
        <v>7146.0003394935775</v>
      </c>
      <c r="BQ216" s="265">
        <v>7146.0003394935775</v>
      </c>
      <c r="BR216" s="265" t="e">
        <f t="shared" si="142"/>
        <v>#REF!</v>
      </c>
      <c r="BS216" s="265">
        <v>805.06294078098483</v>
      </c>
      <c r="BT216" s="475">
        <v>406276.6383394936</v>
      </c>
      <c r="BU216" s="475">
        <v>16212.359800297898</v>
      </c>
      <c r="BV216" s="475">
        <v>11348.651860208525</v>
      </c>
      <c r="BW216" s="483">
        <f t="shared" si="143"/>
        <v>11348.651860208527</v>
      </c>
      <c r="BX216" s="483">
        <f t="shared" si="144"/>
        <v>-11348.651860208525</v>
      </c>
    </row>
    <row r="217" spans="1:76" s="103" customFormat="1" ht="29">
      <c r="A217" s="100" t="s">
        <v>2259</v>
      </c>
      <c r="B217" s="91" t="str">
        <f t="shared" si="111"/>
        <v>PTR</v>
      </c>
      <c r="C217" s="92" t="s">
        <v>942</v>
      </c>
      <c r="D217" s="448"/>
      <c r="E217" s="451">
        <v>2110200</v>
      </c>
      <c r="F217" s="409" t="s">
        <v>2929</v>
      </c>
      <c r="G217" s="384" t="s">
        <v>5273</v>
      </c>
      <c r="H217" s="398">
        <v>5.8094450239182825E-2</v>
      </c>
      <c r="I217" s="151"/>
      <c r="J217" s="95" t="s">
        <v>1166</v>
      </c>
      <c r="K217" s="191">
        <v>338767857.35000002</v>
      </c>
      <c r="L217" s="269">
        <v>0.45275293469375599</v>
      </c>
      <c r="M217" s="267">
        <v>0.7142857142857143</v>
      </c>
      <c r="N217" s="267">
        <f t="shared" si="112"/>
        <v>0.2857142857142857</v>
      </c>
      <c r="O217" s="96">
        <f t="shared" si="113"/>
        <v>329857438.5353235</v>
      </c>
      <c r="P217" s="96">
        <f t="shared" si="114"/>
        <v>6364584.8676260812</v>
      </c>
      <c r="Q217" s="96">
        <f t="shared" si="115"/>
        <v>2545833.9470504322</v>
      </c>
      <c r="R217" s="187" t="s">
        <v>942</v>
      </c>
      <c r="S217" s="187" t="s">
        <v>3608</v>
      </c>
      <c r="T217" s="94" t="s">
        <v>2810</v>
      </c>
      <c r="U217" s="395">
        <f>COUNTIF(Aggregation_of_rev_to_allocate!$A$3:$A$137,$T217)</f>
        <v>1</v>
      </c>
      <c r="V217" s="100"/>
      <c r="W217" s="100">
        <v>237</v>
      </c>
      <c r="X217" s="109">
        <v>6916899.3068144526</v>
      </c>
      <c r="Y217" s="109">
        <v>4841829.5147701157</v>
      </c>
      <c r="Z217" s="110">
        <v>0.59748021871559376</v>
      </c>
      <c r="AA217" s="110">
        <v>0.58823529411764708</v>
      </c>
      <c r="AB217" s="110">
        <v>0.41176470588235292</v>
      </c>
      <c r="AC217" s="109">
        <f>IF(ISERROR((X217*SUMIF('Rev_for_allocation(Hard)'!$A$3:$A$249,$T217,'Rev_for_allocation(Hard)'!$I$3:$I$249)/SUMIF(Historic_capex_list!$T$9:$T$586,$T217,Historic_capex_list!$X$9:$X$586))=TRUE),0,X217*SUMIF('Rev_for_allocation(Hard)'!$A$3:$A$249,$T217,'Rev_for_allocation(Hard)'!$I$3:$I$249)/SUMIF(Historic_capex_list!$T$9:$T$586,$T217,Historic_capex_list!$X$9:$X$586))</f>
        <v>-2594379.2326002303</v>
      </c>
      <c r="AD217" s="109">
        <f t="shared" si="116"/>
        <v>4322520.0742142219</v>
      </c>
      <c r="AE217" s="109">
        <f t="shared" si="117"/>
        <v>4322520.0742142219</v>
      </c>
      <c r="AF217" s="109">
        <f t="shared" si="118"/>
        <v>9164349.5889843367</v>
      </c>
      <c r="AG217" s="332" t="str">
        <f t="shared" si="119"/>
        <v>N</v>
      </c>
      <c r="AH217" s="332">
        <f t="shared" si="145"/>
        <v>0</v>
      </c>
      <c r="AI217" s="332">
        <f t="shared" si="146"/>
        <v>0</v>
      </c>
      <c r="AJ217" s="109">
        <f t="shared" si="147"/>
        <v>9164349.5889843367</v>
      </c>
      <c r="AK217" s="109">
        <f t="shared" si="120"/>
        <v>0</v>
      </c>
      <c r="AL217" s="109">
        <v>0</v>
      </c>
      <c r="AM217" s="111">
        <f t="shared" si="121"/>
        <v>7</v>
      </c>
      <c r="AN217" s="111">
        <f t="shared" si="122"/>
        <v>4</v>
      </c>
      <c r="AO217" s="111" t="str">
        <f t="shared" si="123"/>
        <v>Use deduct 3yrs</v>
      </c>
      <c r="AP217" s="111">
        <f t="shared" si="124"/>
        <v>4</v>
      </c>
      <c r="AQ217" s="112">
        <f t="shared" si="125"/>
        <v>0.2857142857142857</v>
      </c>
      <c r="AR217" s="112">
        <f t="shared" si="126"/>
        <v>0.7142857142857143</v>
      </c>
      <c r="AS217" s="113">
        <f t="shared" si="127"/>
        <v>2032</v>
      </c>
      <c r="AT217" s="109">
        <v>8910418.8146765139</v>
      </c>
      <c r="AU217" s="114">
        <v>0.7142857142857143</v>
      </c>
      <c r="AV217" s="113">
        <v>2032</v>
      </c>
      <c r="AW217" s="112">
        <f t="shared" si="128"/>
        <v>0.45275293469375599</v>
      </c>
      <c r="AX217" s="109">
        <f t="shared" si="129"/>
        <v>6364584.8676260812</v>
      </c>
      <c r="AY217" s="109">
        <f t="shared" si="130"/>
        <v>2545833.9470504322</v>
      </c>
      <c r="AZ217" s="109">
        <f t="shared" si="131"/>
        <v>8910418.8146765139</v>
      </c>
      <c r="BA217" s="111">
        <f t="shared" si="132"/>
        <v>0</v>
      </c>
      <c r="BB217" s="117"/>
      <c r="BC217" s="115" t="str">
        <f t="shared" si="133"/>
        <v>N</v>
      </c>
      <c r="BD217" s="115" t="str">
        <f t="shared" si="134"/>
        <v>N</v>
      </c>
      <c r="BE217" s="115" t="str">
        <f t="shared" si="135"/>
        <v>N</v>
      </c>
      <c r="BF217" s="109" t="str">
        <f t="shared" si="136"/>
        <v/>
      </c>
      <c r="BG217" s="111" t="s">
        <v>2499</v>
      </c>
      <c r="BH217" s="115" t="s">
        <v>1168</v>
      </c>
      <c r="BI217" s="116"/>
      <c r="BJ217" s="222">
        <v>0.45275293469375599</v>
      </c>
      <c r="BK217" s="265">
        <f t="shared" si="137"/>
        <v>0</v>
      </c>
      <c r="BL217" s="265">
        <f t="shared" si="138"/>
        <v>0</v>
      </c>
      <c r="BM217" s="265">
        <f t="shared" si="139"/>
        <v>9.7788870334625244E-9</v>
      </c>
      <c r="BN217" s="265">
        <f t="shared" si="140"/>
        <v>552314.43918837141</v>
      </c>
      <c r="BO217" s="109"/>
      <c r="BP217" s="265">
        <f t="shared" si="141"/>
        <v>2848310.0069080535</v>
      </c>
      <c r="BQ217" s="265">
        <v>2848310.0069080535</v>
      </c>
      <c r="BR217" s="265" t="e">
        <f t="shared" si="142"/>
        <v>#REF!</v>
      </c>
      <c r="BS217" s="265">
        <v>320888.43009764113</v>
      </c>
      <c r="BT217" s="475">
        <v>329857438.5353235</v>
      </c>
      <c r="BU217" s="475">
        <v>6364584.8676260812</v>
      </c>
      <c r="BV217" s="475">
        <v>2545833.9470504322</v>
      </c>
      <c r="BW217" s="483">
        <f t="shared" si="143"/>
        <v>0</v>
      </c>
      <c r="BX217" s="483">
        <f t="shared" si="144"/>
        <v>0</v>
      </c>
    </row>
    <row r="218" spans="1:76" s="103" customFormat="1" ht="29">
      <c r="A218" s="100"/>
      <c r="B218" s="91" t="str">
        <f t="shared" si="111"/>
        <v>PTR</v>
      </c>
      <c r="C218" s="92" t="s">
        <v>3626</v>
      </c>
      <c r="D218" s="448"/>
      <c r="E218" s="449"/>
      <c r="F218" s="384" t="s">
        <v>4653</v>
      </c>
      <c r="G218" s="384" t="s">
        <v>4454</v>
      </c>
      <c r="H218" s="398">
        <v>0.23</v>
      </c>
      <c r="I218" s="95"/>
      <c r="J218" s="95" t="s">
        <v>1166</v>
      </c>
      <c r="K218" s="191">
        <v>5515158.21</v>
      </c>
      <c r="L218" s="268">
        <v>0.79410499701058734</v>
      </c>
      <c r="M218" s="266">
        <v>0.58823529411764708</v>
      </c>
      <c r="N218" s="267">
        <f t="shared" si="112"/>
        <v>0.41176470588235292</v>
      </c>
      <c r="O218" s="96">
        <f t="shared" si="113"/>
        <v>4507846.8304110579</v>
      </c>
      <c r="P218" s="96">
        <f t="shared" si="114"/>
        <v>592536.10564055422</v>
      </c>
      <c r="Q218" s="96">
        <f t="shared" si="115"/>
        <v>414775.27394838794</v>
      </c>
      <c r="R218" s="187" t="s">
        <v>2355</v>
      </c>
      <c r="S218" s="187" t="s">
        <v>3608</v>
      </c>
      <c r="T218" s="94" t="s">
        <v>2810</v>
      </c>
      <c r="U218" s="395">
        <f>COUNTIF(Aggregation_of_rev_to_allocate!$A$3:$A$137,$T218)</f>
        <v>1</v>
      </c>
      <c r="V218" s="100"/>
      <c r="W218" s="100">
        <v>1033</v>
      </c>
      <c r="X218" s="109">
        <v>634243.19415</v>
      </c>
      <c r="Y218" s="109">
        <v>634243.19415</v>
      </c>
      <c r="Z218" s="110">
        <v>1</v>
      </c>
      <c r="AA218" s="110">
        <v>0.5</v>
      </c>
      <c r="AB218" s="110">
        <v>0.5</v>
      </c>
      <c r="AC218" s="109">
        <f>IF(ISERROR((X218*SUMIF('Rev_for_allocation(Hard)'!$A$3:$A$249,$T218,'Rev_for_allocation(Hard)'!$I$3:$I$249)/SUMIF(Historic_capex_list!$T$9:$T$586,$T218,Historic_capex_list!$X$9:$X$586))=TRUE),0,X218*SUMIF('Rev_for_allocation(Hard)'!$A$3:$A$249,$T218,'Rev_for_allocation(Hard)'!$I$3:$I$249)/SUMIF(Historic_capex_list!$T$9:$T$586,$T218,Historic_capex_list!$X$9:$X$586))</f>
        <v>-237890.89566472359</v>
      </c>
      <c r="AD218" s="109">
        <f t="shared" si="116"/>
        <v>396352.29848527641</v>
      </c>
      <c r="AE218" s="109">
        <f t="shared" si="117"/>
        <v>396352.29848527641</v>
      </c>
      <c r="AF218" s="109">
        <f t="shared" si="118"/>
        <v>1030595.4926352764</v>
      </c>
      <c r="AG218" s="332" t="str">
        <f t="shared" si="119"/>
        <v>N</v>
      </c>
      <c r="AH218" s="332">
        <f t="shared" si="145"/>
        <v>0</v>
      </c>
      <c r="AI218" s="332">
        <f t="shared" si="146"/>
        <v>0</v>
      </c>
      <c r="AJ218" s="109">
        <f t="shared" si="147"/>
        <v>1030595.4926352764</v>
      </c>
      <c r="AK218" s="109">
        <f t="shared" si="120"/>
        <v>0</v>
      </c>
      <c r="AL218" s="109">
        <v>0</v>
      </c>
      <c r="AM218" s="111">
        <f t="shared" si="121"/>
        <v>10</v>
      </c>
      <c r="AN218" s="111">
        <f t="shared" si="122"/>
        <v>7</v>
      </c>
      <c r="AO218" s="111" t="str">
        <f t="shared" si="123"/>
        <v>Use deduct 3yrs</v>
      </c>
      <c r="AP218" s="111">
        <f t="shared" si="124"/>
        <v>7</v>
      </c>
      <c r="AQ218" s="112">
        <f t="shared" si="125"/>
        <v>0.41176470588235292</v>
      </c>
      <c r="AR218" s="112">
        <f t="shared" si="126"/>
        <v>0.58823529411764708</v>
      </c>
      <c r="AS218" s="113">
        <f t="shared" si="127"/>
        <v>2035</v>
      </c>
      <c r="AT218" s="109">
        <v>1007311.3795889423</v>
      </c>
      <c r="AU218" s="114">
        <v>0.58823529411764708</v>
      </c>
      <c r="AV218" s="113">
        <v>2035</v>
      </c>
      <c r="AW218" s="112">
        <f t="shared" si="128"/>
        <v>0.79410499701058734</v>
      </c>
      <c r="AX218" s="109">
        <f t="shared" si="129"/>
        <v>592536.10564055422</v>
      </c>
      <c r="AY218" s="109">
        <f t="shared" si="130"/>
        <v>414775.27394838794</v>
      </c>
      <c r="AZ218" s="109">
        <f t="shared" si="131"/>
        <v>1007311.3795889422</v>
      </c>
      <c r="BA218" s="111">
        <f t="shared" si="132"/>
        <v>0</v>
      </c>
      <c r="BB218" s="117"/>
      <c r="BC218" s="115" t="str">
        <f t="shared" si="133"/>
        <v>N</v>
      </c>
      <c r="BD218" s="115" t="str">
        <f t="shared" si="134"/>
        <v>N</v>
      </c>
      <c r="BE218" s="115" t="str">
        <f t="shared" si="135"/>
        <v>N</v>
      </c>
      <c r="BF218" s="109" t="str">
        <f t="shared" si="136"/>
        <v/>
      </c>
      <c r="BG218" s="111" t="s">
        <v>2499</v>
      </c>
      <c r="BH218" s="115" t="s">
        <v>1168</v>
      </c>
      <c r="BI218" s="116"/>
      <c r="BJ218" s="222">
        <v>0.79410499701058734</v>
      </c>
      <c r="BK218" s="265">
        <f t="shared" si="137"/>
        <v>0</v>
      </c>
      <c r="BL218" s="265">
        <f t="shared" si="138"/>
        <v>0</v>
      </c>
      <c r="BM218" s="265">
        <f t="shared" si="139"/>
        <v>0</v>
      </c>
      <c r="BN218" s="265">
        <f t="shared" si="140"/>
        <v>41707.088509445777</v>
      </c>
      <c r="BO218" s="109"/>
      <c r="BP218" s="265">
        <f t="shared" si="141"/>
        <v>261175.00871105772</v>
      </c>
      <c r="BQ218" s="265">
        <v>261175.00871105772</v>
      </c>
      <c r="BR218" s="265" t="e">
        <f t="shared" si="142"/>
        <v>#REF!</v>
      </c>
      <c r="BS218" s="265">
        <v>29423.777019624984</v>
      </c>
      <c r="BT218" s="475">
        <v>4507846.8304110579</v>
      </c>
      <c r="BU218" s="475">
        <v>592536.10564055422</v>
      </c>
      <c r="BV218" s="475">
        <v>414775.27394838794</v>
      </c>
      <c r="BW218" s="483">
        <f t="shared" si="143"/>
        <v>0</v>
      </c>
      <c r="BX218" s="483">
        <f t="shared" si="144"/>
        <v>0</v>
      </c>
    </row>
    <row r="219" spans="1:76" s="103" customFormat="1" ht="29">
      <c r="A219" s="100" t="s">
        <v>2259</v>
      </c>
      <c r="B219" s="91" t="str">
        <f t="shared" si="111"/>
        <v>PTR</v>
      </c>
      <c r="C219" s="92" t="s">
        <v>942</v>
      </c>
      <c r="D219" s="448"/>
      <c r="E219" s="451">
        <v>3200758</v>
      </c>
      <c r="F219" s="409" t="s">
        <v>2306</v>
      </c>
      <c r="G219" s="620" t="s">
        <v>5315</v>
      </c>
      <c r="H219" s="398">
        <v>0.25000000643959852</v>
      </c>
      <c r="I219" s="151"/>
      <c r="J219" s="95" t="s">
        <v>1166</v>
      </c>
      <c r="K219" s="191">
        <v>5468939.5000000009</v>
      </c>
      <c r="L219" s="269">
        <v>0.11467767773576446</v>
      </c>
      <c r="M219" s="267">
        <v>1</v>
      </c>
      <c r="N219" s="267">
        <f t="shared" si="112"/>
        <v>0</v>
      </c>
      <c r="O219" s="96">
        <f t="shared" si="113"/>
        <v>5312148.1755769607</v>
      </c>
      <c r="P219" s="96">
        <f t="shared" si="114"/>
        <v>156791.32442304085</v>
      </c>
      <c r="Q219" s="96">
        <f t="shared" si="115"/>
        <v>0</v>
      </c>
      <c r="R219" s="187" t="s">
        <v>942</v>
      </c>
      <c r="S219" s="187" t="s">
        <v>3608</v>
      </c>
      <c r="T219" s="94" t="s">
        <v>2810</v>
      </c>
      <c r="U219" s="395">
        <f>COUNTIF(Aggregation_of_rev_to_allocate!$A$3:$A$137,$T219)</f>
        <v>1</v>
      </c>
      <c r="V219" s="100"/>
      <c r="W219" s="100">
        <v>238</v>
      </c>
      <c r="X219" s="109">
        <v>266556.71616724785</v>
      </c>
      <c r="Y219" s="109">
        <v>0</v>
      </c>
      <c r="Z219" s="110">
        <v>0.19496043743118754</v>
      </c>
      <c r="AA219" s="110">
        <v>1</v>
      </c>
      <c r="AB219" s="110">
        <v>0</v>
      </c>
      <c r="AC219" s="109">
        <f>IF(ISERROR((X219*SUMIF('Rev_for_allocation(Hard)'!$A$3:$A$249,$T219,'Rev_for_allocation(Hard)'!$I$3:$I$249)/SUMIF(Historic_capex_list!$T$9:$T$586,$T219,Historic_capex_list!$X$9:$X$586))=TRUE),0,X219*SUMIF('Rev_for_allocation(Hard)'!$A$3:$A$249,$T219,'Rev_for_allocation(Hard)'!$I$3:$I$249)/SUMIF(Historic_capex_list!$T$9:$T$586,$T219,Historic_capex_list!$X$9:$X$586))</f>
        <v>-99979.655342548533</v>
      </c>
      <c r="AD219" s="109">
        <f t="shared" si="116"/>
        <v>166577.06082469932</v>
      </c>
      <c r="AE219" s="109">
        <f t="shared" si="117"/>
        <v>166577.06082469932</v>
      </c>
      <c r="AF219" s="109">
        <f t="shared" si="118"/>
        <v>166577.06082469932</v>
      </c>
      <c r="AG219" s="332" t="str">
        <f t="shared" si="119"/>
        <v>N</v>
      </c>
      <c r="AH219" s="332">
        <f t="shared" si="145"/>
        <v>0</v>
      </c>
      <c r="AI219" s="332">
        <f t="shared" si="146"/>
        <v>0</v>
      </c>
      <c r="AJ219" s="109">
        <f t="shared" si="147"/>
        <v>166577.06082469932</v>
      </c>
      <c r="AK219" s="109">
        <f t="shared" si="120"/>
        <v>0</v>
      </c>
      <c r="AL219" s="109">
        <v>0</v>
      </c>
      <c r="AM219" s="111">
        <f t="shared" si="121"/>
        <v>0</v>
      </c>
      <c r="AN219" s="111">
        <f t="shared" si="122"/>
        <v>0</v>
      </c>
      <c r="AO219" s="111" t="str">
        <f t="shared" si="123"/>
        <v>Use deduct 3yrs</v>
      </c>
      <c r="AP219" s="111">
        <f t="shared" si="124"/>
        <v>0</v>
      </c>
      <c r="AQ219" s="112">
        <f t="shared" si="125"/>
        <v>0</v>
      </c>
      <c r="AR219" s="112">
        <f t="shared" si="126"/>
        <v>1</v>
      </c>
      <c r="AS219" s="113">
        <f t="shared" si="127"/>
        <v>2028</v>
      </c>
      <c r="AT219" s="109">
        <v>156791.32442304085</v>
      </c>
      <c r="AU219" s="114">
        <v>1</v>
      </c>
      <c r="AV219" s="113">
        <v>2028</v>
      </c>
      <c r="AW219" s="112">
        <f t="shared" si="128"/>
        <v>0.11467767773576446</v>
      </c>
      <c r="AX219" s="109">
        <f t="shared" si="129"/>
        <v>156791.32442304085</v>
      </c>
      <c r="AY219" s="109">
        <f t="shared" si="130"/>
        <v>0</v>
      </c>
      <c r="AZ219" s="109">
        <f t="shared" si="131"/>
        <v>156791.32442304085</v>
      </c>
      <c r="BA219" s="111">
        <f t="shared" si="132"/>
        <v>0</v>
      </c>
      <c r="BB219" s="117" t="s">
        <v>2470</v>
      </c>
      <c r="BC219" s="115" t="str">
        <f t="shared" si="133"/>
        <v>N</v>
      </c>
      <c r="BD219" s="115" t="str">
        <f t="shared" si="134"/>
        <v>Y</v>
      </c>
      <c r="BE219" s="115" t="str">
        <f t="shared" si="135"/>
        <v>N</v>
      </c>
      <c r="BF219" s="109" t="str">
        <f t="shared" si="136"/>
        <v/>
      </c>
      <c r="BG219" s="111" t="s">
        <v>2499</v>
      </c>
      <c r="BH219" s="115" t="s">
        <v>1168</v>
      </c>
      <c r="BI219" s="116"/>
      <c r="BJ219" s="222">
        <v>0.11467767773576446</v>
      </c>
      <c r="BK219" s="265">
        <f t="shared" si="137"/>
        <v>0</v>
      </c>
      <c r="BL219" s="265">
        <f t="shared" si="138"/>
        <v>0</v>
      </c>
      <c r="BM219" s="265">
        <f t="shared" si="139"/>
        <v>-5.8207660913467407E-10</v>
      </c>
      <c r="BN219" s="265">
        <f t="shared" si="140"/>
        <v>109765.39174420701</v>
      </c>
      <c r="BO219" s="109"/>
      <c r="BP219" s="265">
        <f t="shared" si="141"/>
        <v>109765.39174420701</v>
      </c>
      <c r="BQ219" s="265">
        <v>109765.39174420701</v>
      </c>
      <c r="BR219" s="265" t="e">
        <f t="shared" si="142"/>
        <v>#REF!</v>
      </c>
      <c r="BS219" s="265">
        <v>12366.085205060401</v>
      </c>
      <c r="BT219" s="475">
        <v>5312148.1755769607</v>
      </c>
      <c r="BU219" s="475">
        <v>156791.32442304085</v>
      </c>
      <c r="BV219" s="475">
        <v>0</v>
      </c>
      <c r="BW219" s="483">
        <f t="shared" si="143"/>
        <v>0</v>
      </c>
      <c r="BX219" s="483">
        <f t="shared" si="144"/>
        <v>0</v>
      </c>
    </row>
    <row r="220" spans="1:76" s="103" customFormat="1" ht="29">
      <c r="A220" s="100"/>
      <c r="B220" s="91" t="str">
        <f t="shared" si="111"/>
        <v>PTR</v>
      </c>
      <c r="C220" s="92"/>
      <c r="D220" s="448"/>
      <c r="E220" s="449"/>
      <c r="F220" s="384" t="s">
        <v>3156</v>
      </c>
      <c r="G220" s="620" t="s">
        <v>4446</v>
      </c>
      <c r="H220" s="398">
        <v>0.11</v>
      </c>
      <c r="I220" s="95"/>
      <c r="J220" s="95" t="s">
        <v>1166</v>
      </c>
      <c r="K220" s="191">
        <v>513344.82999999996</v>
      </c>
      <c r="L220" s="268">
        <v>0.79410499701058745</v>
      </c>
      <c r="M220" s="266">
        <v>0.58823529411764708</v>
      </c>
      <c r="N220" s="267">
        <f t="shared" si="112"/>
        <v>0.41176470588235292</v>
      </c>
      <c r="O220" s="96">
        <f t="shared" si="113"/>
        <v>468503.36358381942</v>
      </c>
      <c r="P220" s="96">
        <f t="shared" si="114"/>
        <v>26377.333185988566</v>
      </c>
      <c r="Q220" s="96">
        <f t="shared" si="115"/>
        <v>18464.13323019199</v>
      </c>
      <c r="R220" s="187" t="s">
        <v>942</v>
      </c>
      <c r="S220" s="187" t="s">
        <v>3608</v>
      </c>
      <c r="T220" s="94" t="s">
        <v>2810</v>
      </c>
      <c r="U220" s="395">
        <f>COUNTIF(Aggregation_of_rev_to_allocate!$A$3:$A$137,$T220)</f>
        <v>1</v>
      </c>
      <c r="V220" s="100"/>
      <c r="W220" s="100">
        <v>943</v>
      </c>
      <c r="X220" s="109">
        <v>28233.965649999998</v>
      </c>
      <c r="Y220" s="109">
        <v>28233.965649999998</v>
      </c>
      <c r="Z220" s="110">
        <v>1</v>
      </c>
      <c r="AA220" s="110">
        <v>0.5</v>
      </c>
      <c r="AB220" s="110">
        <v>0.5</v>
      </c>
      <c r="AC220" s="109">
        <f>IF(ISERROR((X220*SUMIF('Rev_for_allocation(Hard)'!$A$3:$A$249,$T220,'Rev_for_allocation(Hard)'!$I$3:$I$249)/SUMIF(Historic_capex_list!$T$9:$T$586,$T220,Historic_capex_list!$X$9:$X$586))=TRUE),0,X220*SUMIF('Rev_for_allocation(Hard)'!$A$3:$A$249,$T220,'Rev_for_allocation(Hard)'!$I$3:$I$249)/SUMIF(Historic_capex_list!$T$9:$T$586,$T220,Historic_capex_list!$X$9:$X$586))</f>
        <v>-10589.949468274543</v>
      </c>
      <c r="AD220" s="109">
        <f t="shared" si="116"/>
        <v>17644.016181725456</v>
      </c>
      <c r="AE220" s="109">
        <f t="shared" si="117"/>
        <v>17644.016181725456</v>
      </c>
      <c r="AF220" s="109">
        <f t="shared" si="118"/>
        <v>45877.981831725454</v>
      </c>
      <c r="AG220" s="332" t="str">
        <f t="shared" si="119"/>
        <v>N</v>
      </c>
      <c r="AH220" s="332">
        <f t="shared" si="145"/>
        <v>0</v>
      </c>
      <c r="AI220" s="332">
        <f t="shared" si="146"/>
        <v>0</v>
      </c>
      <c r="AJ220" s="109">
        <f t="shared" si="147"/>
        <v>45877.981831725454</v>
      </c>
      <c r="AK220" s="109">
        <f t="shared" si="120"/>
        <v>0</v>
      </c>
      <c r="AL220" s="109">
        <v>0</v>
      </c>
      <c r="AM220" s="111">
        <f t="shared" si="121"/>
        <v>10</v>
      </c>
      <c r="AN220" s="111">
        <f t="shared" si="122"/>
        <v>7</v>
      </c>
      <c r="AO220" s="111" t="str">
        <f t="shared" si="123"/>
        <v>Use deduct 3yrs</v>
      </c>
      <c r="AP220" s="111">
        <f t="shared" si="124"/>
        <v>7</v>
      </c>
      <c r="AQ220" s="112">
        <f t="shared" si="125"/>
        <v>0.41176470588235292</v>
      </c>
      <c r="AR220" s="112">
        <f t="shared" si="126"/>
        <v>0.58823529411764708</v>
      </c>
      <c r="AS220" s="113">
        <f t="shared" si="127"/>
        <v>2035</v>
      </c>
      <c r="AT220" s="109">
        <v>44841.466416180556</v>
      </c>
      <c r="AU220" s="114">
        <v>0.58823529411764708</v>
      </c>
      <c r="AV220" s="113">
        <v>2035</v>
      </c>
      <c r="AW220" s="112">
        <f t="shared" si="128"/>
        <v>0.79410499701058745</v>
      </c>
      <c r="AX220" s="109">
        <f t="shared" si="129"/>
        <v>26377.333185988566</v>
      </c>
      <c r="AY220" s="109">
        <f t="shared" si="130"/>
        <v>18464.13323019199</v>
      </c>
      <c r="AZ220" s="109">
        <f t="shared" si="131"/>
        <v>44841.466416180556</v>
      </c>
      <c r="BA220" s="111">
        <f t="shared" si="132"/>
        <v>0</v>
      </c>
      <c r="BB220" s="117"/>
      <c r="BC220" s="115" t="str">
        <f t="shared" si="133"/>
        <v>N</v>
      </c>
      <c r="BD220" s="115" t="str">
        <f t="shared" si="134"/>
        <v>Y</v>
      </c>
      <c r="BE220" s="115" t="str">
        <f t="shared" si="135"/>
        <v>N</v>
      </c>
      <c r="BF220" s="109" t="str">
        <f t="shared" si="136"/>
        <v/>
      </c>
      <c r="BG220" s="111" t="s">
        <v>2499</v>
      </c>
      <c r="BH220" s="115" t="s">
        <v>1168</v>
      </c>
      <c r="BI220" s="116"/>
      <c r="BJ220" s="222">
        <v>0.79410499701058745</v>
      </c>
      <c r="BK220" s="265">
        <f t="shared" si="137"/>
        <v>0</v>
      </c>
      <c r="BL220" s="265">
        <f t="shared" si="138"/>
        <v>0</v>
      </c>
      <c r="BM220" s="265">
        <f t="shared" si="139"/>
        <v>0</v>
      </c>
      <c r="BN220" s="265">
        <f t="shared" si="140"/>
        <v>1856.6324640114326</v>
      </c>
      <c r="BO220" s="109"/>
      <c r="BP220" s="265">
        <f t="shared" si="141"/>
        <v>11626.464883819441</v>
      </c>
      <c r="BQ220" s="265">
        <v>11626.464883819441</v>
      </c>
      <c r="BR220" s="265" t="e">
        <f t="shared" si="142"/>
        <v>#REF!</v>
      </c>
      <c r="BS220" s="207">
        <v>1309.8286545726439</v>
      </c>
      <c r="BT220" s="475">
        <v>468503.36358381942</v>
      </c>
      <c r="BU220" s="475">
        <v>26377.333185988566</v>
      </c>
      <c r="BV220" s="475">
        <v>18464.13323019199</v>
      </c>
      <c r="BW220" s="483">
        <f t="shared" si="143"/>
        <v>0</v>
      </c>
      <c r="BX220" s="483">
        <f t="shared" si="144"/>
        <v>0</v>
      </c>
    </row>
    <row r="221" spans="1:76" s="103" customFormat="1" ht="45.75" customHeight="1">
      <c r="A221" s="100" t="s">
        <v>2259</v>
      </c>
      <c r="B221" s="91" t="str">
        <f t="shared" si="111"/>
        <v>STW</v>
      </c>
      <c r="C221" s="92" t="s">
        <v>466</v>
      </c>
      <c r="D221" s="448"/>
      <c r="E221" s="449" t="s">
        <v>2196</v>
      </c>
      <c r="F221" s="384" t="s">
        <v>5348</v>
      </c>
      <c r="G221" s="467" t="s">
        <v>5292</v>
      </c>
      <c r="H221" s="470">
        <v>0.35566826837515569</v>
      </c>
      <c r="I221" s="95" t="s">
        <v>951</v>
      </c>
      <c r="J221" s="95" t="s">
        <v>1166</v>
      </c>
      <c r="K221" s="469">
        <v>112380</v>
      </c>
      <c r="L221" s="268">
        <v>0.20179125245175861</v>
      </c>
      <c r="M221" s="584">
        <v>0.30805687203791476</v>
      </c>
      <c r="N221" s="267">
        <f t="shared" si="112"/>
        <v>0.69194312796208524</v>
      </c>
      <c r="O221" s="96">
        <f t="shared" si="113"/>
        <v>104314.4036395032</v>
      </c>
      <c r="P221" s="96">
        <f>IF(K221&lt;1,+AZ221,+K221*L221*M221*H221)</f>
        <v>2484.6623859350311</v>
      </c>
      <c r="Q221" s="96">
        <f t="shared" si="115"/>
        <v>5580.9339745617599</v>
      </c>
      <c r="R221" s="187" t="s">
        <v>2564</v>
      </c>
      <c r="S221" s="187" t="s">
        <v>3607</v>
      </c>
      <c r="T221" s="94" t="s">
        <v>5393</v>
      </c>
      <c r="U221" s="395">
        <f>COUNTIF(Aggregation_of_rev_to_allocate!$A$3:$A$137,$T221)</f>
        <v>0</v>
      </c>
      <c r="V221" s="100"/>
      <c r="W221" s="100">
        <v>371</v>
      </c>
      <c r="X221" s="109">
        <v>8776.4123496529646</v>
      </c>
      <c r="Y221" s="109">
        <v>22346.096059501011</v>
      </c>
      <c r="Z221" s="110">
        <v>0.77864669525028707</v>
      </c>
      <c r="AA221" s="110">
        <v>0.28199566160520606</v>
      </c>
      <c r="AB221" s="110">
        <v>0.71800433839479394</v>
      </c>
      <c r="AC221" s="109">
        <f>IF(ISERROR((X221*SUMIF('Rev_for_allocation(Hard)'!$A$3:$A$249,$T221,'Rev_for_allocation(Hard)'!$I$3:$I$249)/SUMIF(Historic_capex_list!$T$9:$T$586,$T221,Historic_capex_list!$X$9:$X$586))=TRUE),0,X221*SUMIF('Rev_for_allocation(Hard)'!$A$3:$A$249,$T221,'Rev_for_allocation(Hard)'!$I$3:$I$249)/SUMIF(Historic_capex_list!$T$9:$T$586,$T221,Historic_capex_list!$X$9:$X$586))</f>
        <v>0</v>
      </c>
      <c r="AD221" s="109">
        <f t="shared" si="116"/>
        <v>8776.4123496529646</v>
      </c>
      <c r="AE221" s="109">
        <f t="shared" si="117"/>
        <v>8776.4123496529646</v>
      </c>
      <c r="AF221" s="109">
        <f t="shared" si="118"/>
        <v>31122.508409153976</v>
      </c>
      <c r="AG221" s="332" t="str">
        <f t="shared" si="119"/>
        <v>N</v>
      </c>
      <c r="AH221" s="332">
        <f t="shared" si="145"/>
        <v>0</v>
      </c>
      <c r="AI221" s="332">
        <f t="shared" si="146"/>
        <v>0</v>
      </c>
      <c r="AJ221" s="109">
        <f t="shared" si="147"/>
        <v>31122.508409153976</v>
      </c>
      <c r="AK221" s="109">
        <f t="shared" si="120"/>
        <v>0</v>
      </c>
      <c r="AL221" s="109">
        <v>0</v>
      </c>
      <c r="AM221" s="111">
        <f t="shared" si="121"/>
        <v>25.461538461538463</v>
      </c>
      <c r="AN221" s="111">
        <f t="shared" si="122"/>
        <v>22.461538461538463</v>
      </c>
      <c r="AO221" s="111" t="str">
        <f t="shared" si="123"/>
        <v>Use deduct 3yrs</v>
      </c>
      <c r="AP221" s="111">
        <f t="shared" si="124"/>
        <v>22.461538461538463</v>
      </c>
      <c r="AQ221" s="112">
        <f t="shared" si="125"/>
        <v>0.69194312796208524</v>
      </c>
      <c r="AR221" s="112">
        <f t="shared" si="126"/>
        <v>0.30805687203791476</v>
      </c>
      <c r="AS221" s="113">
        <f t="shared" si="127"/>
        <v>2050</v>
      </c>
      <c r="AT221" s="109">
        <v>8065.596360496791</v>
      </c>
      <c r="AU221" s="114">
        <v>0.30805687203791476</v>
      </c>
      <c r="AV221" s="113">
        <v>2043</v>
      </c>
      <c r="AW221" s="112">
        <f t="shared" si="128"/>
        <v>0.20179125245175861</v>
      </c>
      <c r="AX221" s="109">
        <f t="shared" si="129"/>
        <v>2484.6623859350311</v>
      </c>
      <c r="AY221" s="109">
        <f t="shared" si="130"/>
        <v>5580.9339745617599</v>
      </c>
      <c r="AZ221" s="109">
        <f t="shared" si="131"/>
        <v>8065.596360496791</v>
      </c>
      <c r="BA221" s="111">
        <f t="shared" si="132"/>
        <v>0</v>
      </c>
      <c r="BB221" s="117"/>
      <c r="BC221" s="115" t="str">
        <f t="shared" si="133"/>
        <v>Y</v>
      </c>
      <c r="BD221" s="115" t="str">
        <f t="shared" si="134"/>
        <v>Y</v>
      </c>
      <c r="BE221" s="115" t="str">
        <f t="shared" si="135"/>
        <v>N</v>
      </c>
      <c r="BF221" s="109" t="str">
        <f t="shared" si="136"/>
        <v/>
      </c>
      <c r="BG221" s="111" t="s">
        <v>2499</v>
      </c>
      <c r="BH221" s="115" t="s">
        <v>1168</v>
      </c>
      <c r="BI221" s="116"/>
      <c r="BJ221" s="222">
        <v>0.20179125245175861</v>
      </c>
      <c r="BK221" s="265">
        <f t="shared" si="137"/>
        <v>0</v>
      </c>
      <c r="BL221" s="265">
        <f t="shared" si="138"/>
        <v>0</v>
      </c>
      <c r="BM221" s="265">
        <f t="shared" si="139"/>
        <v>7.2759576141834259E-12</v>
      </c>
      <c r="BN221" s="265">
        <f t="shared" si="140"/>
        <v>6291.7499637179335</v>
      </c>
      <c r="BP221" s="265">
        <f t="shared" si="141"/>
        <v>23056.912048657185</v>
      </c>
      <c r="BQ221" s="265">
        <v>23056.912048657185</v>
      </c>
      <c r="BR221" s="265" t="e">
        <f t="shared" si="142"/>
        <v>#REF!</v>
      </c>
      <c r="BS221" s="265">
        <v>2597.57410262535</v>
      </c>
      <c r="BT221" s="475">
        <v>31904.403639503205</v>
      </c>
      <c r="BU221" s="475">
        <v>2484.6623859350311</v>
      </c>
      <c r="BV221" s="475">
        <v>5580.9339745617608</v>
      </c>
      <c r="BW221" s="483">
        <f t="shared" si="143"/>
        <v>0</v>
      </c>
      <c r="BX221" s="483">
        <f t="shared" si="144"/>
        <v>0</v>
      </c>
    </row>
    <row r="222" spans="1:76" s="103" customFormat="1" ht="14.5">
      <c r="A222" s="100" t="s">
        <v>2259</v>
      </c>
      <c r="B222" s="91" t="str">
        <f t="shared" si="111"/>
        <v>STW</v>
      </c>
      <c r="C222" s="92" t="s">
        <v>466</v>
      </c>
      <c r="D222" s="448"/>
      <c r="E222" s="449" t="s">
        <v>2193</v>
      </c>
      <c r="F222" s="384" t="s">
        <v>5349</v>
      </c>
      <c r="G222" s="384" t="s">
        <v>4668</v>
      </c>
      <c r="H222" s="470">
        <v>0.42461895229742891</v>
      </c>
      <c r="I222" s="95" t="s">
        <v>951</v>
      </c>
      <c r="J222" s="95" t="s">
        <v>1166</v>
      </c>
      <c r="K222" s="469">
        <v>305132.40000000002</v>
      </c>
      <c r="L222" s="268">
        <v>0.20179125245175866</v>
      </c>
      <c r="M222" s="584">
        <v>0.30805687203791476</v>
      </c>
      <c r="N222" s="267">
        <f t="shared" si="112"/>
        <v>0.69194312796208524</v>
      </c>
      <c r="O222" s="96">
        <f t="shared" si="113"/>
        <v>278987.3163760879</v>
      </c>
      <c r="P222" s="96">
        <f t="shared" ref="P222:P274" si="148">(+K222*L222*M222*H222)</f>
        <v>8054.1726803520742</v>
      </c>
      <c r="Q222" s="96">
        <f t="shared" si="115"/>
        <v>18090.910943560037</v>
      </c>
      <c r="R222" s="187" t="s">
        <v>2564</v>
      </c>
      <c r="S222" s="187" t="s">
        <v>3607</v>
      </c>
      <c r="T222" s="94" t="s">
        <v>5393</v>
      </c>
      <c r="U222" s="395">
        <f>COUNTIF(Aggregation_of_rev_to_allocate!$A$3:$A$137,$T222)</f>
        <v>0</v>
      </c>
      <c r="V222" s="100"/>
      <c r="W222" s="100">
        <v>372</v>
      </c>
      <c r="X222" s="109">
        <v>28449.233577252606</v>
      </c>
      <c r="Y222" s="109">
        <v>72436.125492850872</v>
      </c>
      <c r="Z222" s="110">
        <v>0.77864669525028729</v>
      </c>
      <c r="AA222" s="110">
        <v>0.28199566160520606</v>
      </c>
      <c r="AB222" s="110">
        <v>0.71800433839479394</v>
      </c>
      <c r="AC222" s="109">
        <f>IF(ISERROR((X222*SUMIF('Rev_for_allocation(Hard)'!$A$3:$A$249,$T222,'Rev_for_allocation(Hard)'!$I$3:$I$249)/SUMIF(Historic_capex_list!$T$9:$T$586,$T222,Historic_capex_list!$X$9:$X$586))=TRUE),0,X222*SUMIF('Rev_for_allocation(Hard)'!$A$3:$A$249,$T222,'Rev_for_allocation(Hard)'!$I$3:$I$249)/SUMIF(Historic_capex_list!$T$9:$T$586,$T222,Historic_capex_list!$X$9:$X$586))</f>
        <v>0</v>
      </c>
      <c r="AD222" s="109">
        <f t="shared" si="116"/>
        <v>28449.233577252606</v>
      </c>
      <c r="AE222" s="109">
        <f t="shared" si="117"/>
        <v>28449.233577252606</v>
      </c>
      <c r="AF222" s="109">
        <f t="shared" si="118"/>
        <v>100885.35907010347</v>
      </c>
      <c r="AG222" s="332" t="str">
        <f t="shared" si="119"/>
        <v>N</v>
      </c>
      <c r="AH222" s="332">
        <f t="shared" si="145"/>
        <v>0</v>
      </c>
      <c r="AI222" s="332">
        <f t="shared" si="146"/>
        <v>0</v>
      </c>
      <c r="AJ222" s="109">
        <f t="shared" si="147"/>
        <v>100885.35907010347</v>
      </c>
      <c r="AK222" s="109">
        <f t="shared" si="120"/>
        <v>0</v>
      </c>
      <c r="AL222" s="109">
        <v>0</v>
      </c>
      <c r="AM222" s="111">
        <f t="shared" si="121"/>
        <v>25.461538461538463</v>
      </c>
      <c r="AN222" s="111">
        <f t="shared" si="122"/>
        <v>22.461538461538463</v>
      </c>
      <c r="AO222" s="111" t="str">
        <f t="shared" si="123"/>
        <v>Use deduct 3yrs</v>
      </c>
      <c r="AP222" s="111">
        <f t="shared" si="124"/>
        <v>22.461538461538463</v>
      </c>
      <c r="AQ222" s="112">
        <f t="shared" si="125"/>
        <v>0.69194312796208524</v>
      </c>
      <c r="AR222" s="112">
        <f t="shared" si="126"/>
        <v>0.30805687203791476</v>
      </c>
      <c r="AS222" s="113">
        <f t="shared" si="127"/>
        <v>2050</v>
      </c>
      <c r="AT222" s="109">
        <v>26145.083623912113</v>
      </c>
      <c r="AU222" s="114">
        <v>0.30805687203791476</v>
      </c>
      <c r="AV222" s="113">
        <v>2043</v>
      </c>
      <c r="AW222" s="112">
        <f t="shared" si="128"/>
        <v>0.20179125245175866</v>
      </c>
      <c r="AX222" s="109">
        <f t="shared" si="129"/>
        <v>8054.1726803520742</v>
      </c>
      <c r="AY222" s="109">
        <f t="shared" si="130"/>
        <v>18090.910943560037</v>
      </c>
      <c r="AZ222" s="109">
        <f t="shared" si="131"/>
        <v>26145.083623912113</v>
      </c>
      <c r="BA222" s="111">
        <f t="shared" si="132"/>
        <v>0</v>
      </c>
      <c r="BB222" s="117"/>
      <c r="BC222" s="115" t="str">
        <f t="shared" si="133"/>
        <v>Y</v>
      </c>
      <c r="BD222" s="115" t="str">
        <f t="shared" si="134"/>
        <v>Y</v>
      </c>
      <c r="BE222" s="115" t="str">
        <f t="shared" si="135"/>
        <v>N</v>
      </c>
      <c r="BF222" s="109" t="str">
        <f t="shared" si="136"/>
        <v/>
      </c>
      <c r="BG222" s="111" t="s">
        <v>2499</v>
      </c>
      <c r="BH222" s="115" t="s">
        <v>1168</v>
      </c>
      <c r="BI222" s="116"/>
      <c r="BJ222" s="222">
        <v>0.20179125245175866</v>
      </c>
      <c r="BK222" s="265">
        <f t="shared" si="137"/>
        <v>0</v>
      </c>
      <c r="BL222" s="265">
        <f t="shared" si="138"/>
        <v>0</v>
      </c>
      <c r="BM222" s="265">
        <f t="shared" si="139"/>
        <v>0</v>
      </c>
      <c r="BN222" s="265">
        <f t="shared" si="140"/>
        <v>20395.060896900533</v>
      </c>
      <c r="BO222" s="109"/>
      <c r="BP222" s="265">
        <f t="shared" si="141"/>
        <v>74740.275446191357</v>
      </c>
      <c r="BQ222" s="265">
        <v>74740.275446191357</v>
      </c>
      <c r="BR222" s="265" t="e">
        <f t="shared" si="142"/>
        <v>#REF!</v>
      </c>
      <c r="BS222" s="265">
        <v>8420.1823519302852</v>
      </c>
      <c r="BT222" s="475">
        <v>103419.91637608789</v>
      </c>
      <c r="BU222" s="475">
        <v>8054.1726803520742</v>
      </c>
      <c r="BV222" s="475">
        <v>18090.910943560037</v>
      </c>
      <c r="BW222" s="483">
        <f t="shared" si="143"/>
        <v>0</v>
      </c>
      <c r="BX222" s="483">
        <f t="shared" si="144"/>
        <v>0</v>
      </c>
    </row>
    <row r="223" spans="1:76" s="103" customFormat="1" ht="14.5">
      <c r="A223" s="100" t="s">
        <v>2259</v>
      </c>
      <c r="B223" s="91" t="str">
        <f t="shared" si="111"/>
        <v>STW</v>
      </c>
      <c r="C223" s="92" t="s">
        <v>466</v>
      </c>
      <c r="D223" s="448"/>
      <c r="E223" s="449" t="s">
        <v>2188</v>
      </c>
      <c r="F223" s="384" t="s">
        <v>5350</v>
      </c>
      <c r="G223" s="384" t="s">
        <v>4668</v>
      </c>
      <c r="H223" s="470">
        <v>0.34003851367526561</v>
      </c>
      <c r="I223" s="95" t="s">
        <v>951</v>
      </c>
      <c r="J223" s="95" t="s">
        <v>1166</v>
      </c>
      <c r="K223" s="469">
        <v>99626.95</v>
      </c>
      <c r="L223" s="268">
        <v>0.19261892279486048</v>
      </c>
      <c r="M223" s="584">
        <v>0.30805687203791476</v>
      </c>
      <c r="N223" s="267">
        <f t="shared" si="112"/>
        <v>0.69194312796208524</v>
      </c>
      <c r="O223" s="96">
        <f t="shared" si="113"/>
        <v>93101.598752478516</v>
      </c>
      <c r="P223" s="96">
        <f t="shared" si="148"/>
        <v>2010.1792942601746</v>
      </c>
      <c r="Q223" s="96">
        <f t="shared" si="115"/>
        <v>4515.1719532613133</v>
      </c>
      <c r="R223" s="187" t="s">
        <v>2564</v>
      </c>
      <c r="S223" s="187" t="s">
        <v>3607</v>
      </c>
      <c r="T223" s="94" t="s">
        <v>5393</v>
      </c>
      <c r="U223" s="395">
        <f>COUNTIF(Aggregation_of_rev_to_allocate!$A$3:$A$137,$T223)</f>
        <v>0</v>
      </c>
      <c r="V223" s="100"/>
      <c r="W223" s="100">
        <v>373</v>
      </c>
      <c r="X223" s="109">
        <v>7100.4263931506175</v>
      </c>
      <c r="Y223" s="109">
        <v>18078.777970252726</v>
      </c>
      <c r="Z223" s="110">
        <v>0.74325366364800138</v>
      </c>
      <c r="AA223" s="110">
        <v>0.28199566160520606</v>
      </c>
      <c r="AB223" s="110">
        <v>0.71800433839479394</v>
      </c>
      <c r="AC223" s="109">
        <f>IF(ISERROR((X223*SUMIF('Rev_for_allocation(Hard)'!$A$3:$A$249,$T223,'Rev_for_allocation(Hard)'!$I$3:$I$249)/SUMIF(Historic_capex_list!$T$9:$T$586,$T223,Historic_capex_list!$X$9:$X$586))=TRUE),0,X223*SUMIF('Rev_for_allocation(Hard)'!$A$3:$A$249,$T223,'Rev_for_allocation(Hard)'!$I$3:$I$249)/SUMIF(Historic_capex_list!$T$9:$T$586,$T223,Historic_capex_list!$X$9:$X$586))</f>
        <v>0</v>
      </c>
      <c r="AD223" s="109">
        <f t="shared" si="116"/>
        <v>7100.4263931506175</v>
      </c>
      <c r="AE223" s="109">
        <f t="shared" si="117"/>
        <v>7100.4263931506175</v>
      </c>
      <c r="AF223" s="109">
        <f t="shared" si="118"/>
        <v>25179.204363403343</v>
      </c>
      <c r="AG223" s="332" t="str">
        <f t="shared" si="119"/>
        <v>N</v>
      </c>
      <c r="AH223" s="332">
        <f t="shared" si="145"/>
        <v>0</v>
      </c>
      <c r="AI223" s="332">
        <f t="shared" si="146"/>
        <v>0</v>
      </c>
      <c r="AJ223" s="109">
        <f t="shared" si="147"/>
        <v>25179.204363403343</v>
      </c>
      <c r="AK223" s="109">
        <f t="shared" si="120"/>
        <v>0</v>
      </c>
      <c r="AL223" s="109">
        <v>0</v>
      </c>
      <c r="AM223" s="111">
        <f t="shared" si="121"/>
        <v>25.461538461538463</v>
      </c>
      <c r="AN223" s="111">
        <f t="shared" si="122"/>
        <v>22.461538461538463</v>
      </c>
      <c r="AO223" s="111" t="str">
        <f t="shared" si="123"/>
        <v>Use deduct 3yrs</v>
      </c>
      <c r="AP223" s="111">
        <f t="shared" si="124"/>
        <v>22.461538461538463</v>
      </c>
      <c r="AQ223" s="112">
        <f t="shared" si="125"/>
        <v>0.69194312796208524</v>
      </c>
      <c r="AR223" s="112">
        <f t="shared" si="126"/>
        <v>0.30805687203791476</v>
      </c>
      <c r="AS223" s="113">
        <f t="shared" si="127"/>
        <v>2050</v>
      </c>
      <c r="AT223" s="109">
        <v>6525.3512475214884</v>
      </c>
      <c r="AU223" s="114">
        <v>0.30805687203791476</v>
      </c>
      <c r="AV223" s="113">
        <v>2043</v>
      </c>
      <c r="AW223" s="112">
        <f t="shared" si="128"/>
        <v>0.19261892279486048</v>
      </c>
      <c r="AX223" s="109">
        <f t="shared" si="129"/>
        <v>2010.1792942601746</v>
      </c>
      <c r="AY223" s="109">
        <f t="shared" si="130"/>
        <v>4515.1719532613133</v>
      </c>
      <c r="AZ223" s="109">
        <f t="shared" si="131"/>
        <v>6525.3512475214884</v>
      </c>
      <c r="BA223" s="111">
        <f t="shared" si="132"/>
        <v>0</v>
      </c>
      <c r="BB223" s="117"/>
      <c r="BC223" s="115" t="str">
        <f t="shared" si="133"/>
        <v>Y</v>
      </c>
      <c r="BD223" s="115" t="str">
        <f t="shared" si="134"/>
        <v>Y</v>
      </c>
      <c r="BE223" s="115" t="str">
        <f t="shared" si="135"/>
        <v>N</v>
      </c>
      <c r="BF223" s="109" t="str">
        <f t="shared" si="136"/>
        <v/>
      </c>
      <c r="BG223" s="111" t="s">
        <v>2499</v>
      </c>
      <c r="BH223" s="115" t="s">
        <v>1168</v>
      </c>
      <c r="BI223" s="116"/>
      <c r="BJ223" s="222">
        <v>0.19261892279486048</v>
      </c>
      <c r="BK223" s="265">
        <f t="shared" si="137"/>
        <v>0</v>
      </c>
      <c r="BL223" s="265">
        <f t="shared" si="138"/>
        <v>0</v>
      </c>
      <c r="BM223" s="265">
        <f t="shared" si="139"/>
        <v>-7.2759576141834259E-12</v>
      </c>
      <c r="BN223" s="265">
        <f t="shared" si="140"/>
        <v>5090.2470988904424</v>
      </c>
      <c r="BO223" s="109"/>
      <c r="BP223" s="265">
        <f t="shared" si="141"/>
        <v>18653.853115881855</v>
      </c>
      <c r="BQ223" s="265">
        <v>18653.853115881855</v>
      </c>
      <c r="BR223" s="265" t="e">
        <f t="shared" si="142"/>
        <v>#REF!</v>
      </c>
      <c r="BS223" s="265">
        <v>2101.5288459155945</v>
      </c>
      <c r="BT223" s="475">
        <v>27351.648752478512</v>
      </c>
      <c r="BU223" s="475">
        <v>2010.1792942601746</v>
      </c>
      <c r="BV223" s="475">
        <v>4515.1719532613142</v>
      </c>
      <c r="BW223" s="483">
        <f t="shared" si="143"/>
        <v>0</v>
      </c>
      <c r="BX223" s="483">
        <f t="shared" si="144"/>
        <v>0</v>
      </c>
    </row>
    <row r="224" spans="1:76" s="103" customFormat="1" ht="14.5">
      <c r="A224" s="100" t="s">
        <v>2259</v>
      </c>
      <c r="B224" s="91" t="str">
        <f t="shared" si="111"/>
        <v>STW</v>
      </c>
      <c r="C224" s="92" t="s">
        <v>466</v>
      </c>
      <c r="D224" s="448"/>
      <c r="E224" s="449" t="s">
        <v>2189</v>
      </c>
      <c r="F224" s="384" t="s">
        <v>5351</v>
      </c>
      <c r="G224" s="384" t="s">
        <v>4668</v>
      </c>
      <c r="H224" s="470">
        <v>0.29834472572241461</v>
      </c>
      <c r="I224" s="95" t="s">
        <v>951</v>
      </c>
      <c r="J224" s="95" t="s">
        <v>1166</v>
      </c>
      <c r="K224" s="469">
        <v>265330.65000000002</v>
      </c>
      <c r="L224" s="268">
        <v>0.19261892279486051</v>
      </c>
      <c r="M224" s="584">
        <v>0.30805687203791476</v>
      </c>
      <c r="N224" s="267">
        <f t="shared" si="112"/>
        <v>0.69194312796208524</v>
      </c>
      <c r="O224" s="96">
        <f t="shared" si="113"/>
        <v>250082.93607155891</v>
      </c>
      <c r="P224" s="96">
        <f t="shared" si="148"/>
        <v>4697.1630585245284</v>
      </c>
      <c r="Q224" s="96">
        <f t="shared" si="115"/>
        <v>10550.550869916629</v>
      </c>
      <c r="R224" s="187" t="s">
        <v>2564</v>
      </c>
      <c r="S224" s="187" t="s">
        <v>3607</v>
      </c>
      <c r="T224" s="94" t="s">
        <v>5393</v>
      </c>
      <c r="U224" s="395">
        <f>COUNTIF(Aggregation_of_rev_to_allocate!$A$3:$A$137,$T224)</f>
        <v>0</v>
      </c>
      <c r="V224" s="100"/>
      <c r="W224" s="100">
        <v>375</v>
      </c>
      <c r="X224" s="109">
        <v>16591.485470431351</v>
      </c>
      <c r="Y224" s="109">
        <v>42244.474543944445</v>
      </c>
      <c r="Z224" s="110">
        <v>0.74325366364800149</v>
      </c>
      <c r="AA224" s="110">
        <v>0.28199566160520606</v>
      </c>
      <c r="AB224" s="110">
        <v>0.71800433839479394</v>
      </c>
      <c r="AC224" s="109">
        <f>IF(ISERROR((X224*SUMIF('Rev_for_allocation(Hard)'!$A$3:$A$249,$T224,'Rev_for_allocation(Hard)'!$I$3:$I$249)/SUMIF(Historic_capex_list!$T$9:$T$586,$T224,Historic_capex_list!$X$9:$X$586))=TRUE),0,X224*SUMIF('Rev_for_allocation(Hard)'!$A$3:$A$249,$T224,'Rev_for_allocation(Hard)'!$I$3:$I$249)/SUMIF(Historic_capex_list!$T$9:$T$586,$T224,Historic_capex_list!$X$9:$X$586))</f>
        <v>0</v>
      </c>
      <c r="AD224" s="109">
        <f t="shared" si="116"/>
        <v>16591.485470431351</v>
      </c>
      <c r="AE224" s="109">
        <f t="shared" si="117"/>
        <v>16591.485470431351</v>
      </c>
      <c r="AF224" s="109">
        <f t="shared" si="118"/>
        <v>58835.9600143758</v>
      </c>
      <c r="AG224" s="332" t="str">
        <f t="shared" si="119"/>
        <v>N</v>
      </c>
      <c r="AH224" s="332">
        <f t="shared" si="145"/>
        <v>0</v>
      </c>
      <c r="AI224" s="332">
        <f t="shared" si="146"/>
        <v>0</v>
      </c>
      <c r="AJ224" s="109">
        <f t="shared" si="147"/>
        <v>58835.9600143758</v>
      </c>
      <c r="AK224" s="109">
        <f t="shared" si="120"/>
        <v>0</v>
      </c>
      <c r="AL224" s="109">
        <v>0</v>
      </c>
      <c r="AM224" s="111">
        <f t="shared" si="121"/>
        <v>25.461538461538463</v>
      </c>
      <c r="AN224" s="111">
        <f t="shared" si="122"/>
        <v>22.461538461538463</v>
      </c>
      <c r="AO224" s="111" t="str">
        <f t="shared" si="123"/>
        <v>Use deduct 3yrs</v>
      </c>
      <c r="AP224" s="111">
        <f t="shared" si="124"/>
        <v>22.461538461538463</v>
      </c>
      <c r="AQ224" s="112">
        <f t="shared" si="125"/>
        <v>0.69194312796208524</v>
      </c>
      <c r="AR224" s="112">
        <f t="shared" si="126"/>
        <v>0.30805687203791476</v>
      </c>
      <c r="AS224" s="113">
        <f t="shared" si="127"/>
        <v>2050</v>
      </c>
      <c r="AT224" s="109">
        <v>15247.713928441157</v>
      </c>
      <c r="AU224" s="114">
        <v>0.30805687203791476</v>
      </c>
      <c r="AV224" s="113">
        <v>2043</v>
      </c>
      <c r="AW224" s="112">
        <f t="shared" si="128"/>
        <v>0.19261892279486051</v>
      </c>
      <c r="AX224" s="109">
        <f t="shared" si="129"/>
        <v>4697.1630585245284</v>
      </c>
      <c r="AY224" s="109">
        <f t="shared" si="130"/>
        <v>10550.550869916629</v>
      </c>
      <c r="AZ224" s="109">
        <f t="shared" si="131"/>
        <v>15247.713928441157</v>
      </c>
      <c r="BA224" s="111">
        <f t="shared" si="132"/>
        <v>0</v>
      </c>
      <c r="BB224" s="117"/>
      <c r="BC224" s="115" t="str">
        <f t="shared" si="133"/>
        <v>Y</v>
      </c>
      <c r="BD224" s="115" t="str">
        <f t="shared" si="134"/>
        <v>Y</v>
      </c>
      <c r="BE224" s="115" t="str">
        <f t="shared" si="135"/>
        <v>N</v>
      </c>
      <c r="BF224" s="109" t="str">
        <f t="shared" si="136"/>
        <v/>
      </c>
      <c r="BG224" s="111" t="s">
        <v>2499</v>
      </c>
      <c r="BH224" s="115" t="s">
        <v>1168</v>
      </c>
      <c r="BI224" s="116"/>
      <c r="BJ224" s="222">
        <v>0.19261892279486051</v>
      </c>
      <c r="BK224" s="265">
        <f t="shared" si="137"/>
        <v>0</v>
      </c>
      <c r="BL224" s="265">
        <f t="shared" si="138"/>
        <v>0</v>
      </c>
      <c r="BM224" s="265">
        <f t="shared" si="139"/>
        <v>-4.9112713895738125E-11</v>
      </c>
      <c r="BN224" s="265">
        <f t="shared" si="140"/>
        <v>11894.322411906822</v>
      </c>
      <c r="BO224" s="109"/>
      <c r="BP224" s="265">
        <f t="shared" si="141"/>
        <v>43588.246085934647</v>
      </c>
      <c r="BQ224" s="265">
        <v>43588.246085934647</v>
      </c>
      <c r="BR224" s="265" t="e">
        <f t="shared" si="142"/>
        <v>#REF!</v>
      </c>
      <c r="BS224" s="265">
        <v>4910.6185152958788</v>
      </c>
      <c r="BT224" s="475">
        <v>63912.286071558847</v>
      </c>
      <c r="BU224" s="475">
        <v>4697.1630585245284</v>
      </c>
      <c r="BV224" s="475">
        <v>10550.550869916629</v>
      </c>
      <c r="BW224" s="483">
        <f t="shared" si="143"/>
        <v>0</v>
      </c>
      <c r="BX224" s="483">
        <f t="shared" si="144"/>
        <v>0</v>
      </c>
    </row>
    <row r="225" spans="1:76" s="103" customFormat="1" ht="14.5">
      <c r="A225" s="100" t="s">
        <v>2259</v>
      </c>
      <c r="B225" s="91" t="str">
        <f t="shared" si="111"/>
        <v>STW</v>
      </c>
      <c r="C225" s="92" t="s">
        <v>466</v>
      </c>
      <c r="D225" s="448"/>
      <c r="E225" s="449" t="s">
        <v>2185</v>
      </c>
      <c r="F225" s="384" t="s">
        <v>5352</v>
      </c>
      <c r="G225" s="384" t="s">
        <v>4668</v>
      </c>
      <c r="H225" s="470">
        <v>0.47202426080363913</v>
      </c>
      <c r="I225" s="95" t="s">
        <v>951</v>
      </c>
      <c r="J225" s="95" t="s">
        <v>1166</v>
      </c>
      <c r="K225" s="469">
        <v>52760</v>
      </c>
      <c r="L225" s="268">
        <v>0.18833850228830806</v>
      </c>
      <c r="M225" s="584">
        <v>0.30805687203791476</v>
      </c>
      <c r="N225" s="267">
        <f t="shared" si="112"/>
        <v>0.69194312796208524</v>
      </c>
      <c r="O225" s="96">
        <f t="shared" si="113"/>
        <v>48069.61793901198</v>
      </c>
      <c r="P225" s="96">
        <f t="shared" si="148"/>
        <v>1444.9044263707185</v>
      </c>
      <c r="Q225" s="96">
        <f t="shared" si="115"/>
        <v>3245.4776346173053</v>
      </c>
      <c r="R225" s="187" t="s">
        <v>2564</v>
      </c>
      <c r="S225" s="187" t="s">
        <v>3607</v>
      </c>
      <c r="T225" s="94" t="s">
        <v>5393</v>
      </c>
      <c r="U225" s="395">
        <f>COUNTIF(Aggregation_of_rev_to_allocate!$A$3:$A$137,$T225)</f>
        <v>0</v>
      </c>
      <c r="V225" s="100"/>
      <c r="W225" s="100">
        <v>376</v>
      </c>
      <c r="X225" s="109">
        <v>5103.7425138530643</v>
      </c>
      <c r="Y225" s="109">
        <v>12994.913631425879</v>
      </c>
      <c r="Z225" s="110">
        <v>0.72673691556693476</v>
      </c>
      <c r="AA225" s="110">
        <v>0.28199566160520606</v>
      </c>
      <c r="AB225" s="110">
        <v>0.71800433839479394</v>
      </c>
      <c r="AC225" s="109">
        <f>IF(ISERROR((X225*SUMIF('Rev_for_allocation(Hard)'!$A$3:$A$249,$T225,'Rev_for_allocation(Hard)'!$I$3:$I$249)/SUMIF(Historic_capex_list!$T$9:$T$586,$T225,Historic_capex_list!$X$9:$X$586))=TRUE),0,X225*SUMIF('Rev_for_allocation(Hard)'!$A$3:$A$249,$T225,'Rev_for_allocation(Hard)'!$I$3:$I$249)/SUMIF(Historic_capex_list!$T$9:$T$586,$T225,Historic_capex_list!$X$9:$X$586))</f>
        <v>0</v>
      </c>
      <c r="AD225" s="109">
        <f t="shared" si="116"/>
        <v>5103.7425138530643</v>
      </c>
      <c r="AE225" s="109">
        <f t="shared" si="117"/>
        <v>5103.7425138530643</v>
      </c>
      <c r="AF225" s="109">
        <f t="shared" si="118"/>
        <v>18098.656145278943</v>
      </c>
      <c r="AG225" s="332" t="str">
        <f t="shared" si="119"/>
        <v>N</v>
      </c>
      <c r="AH225" s="332">
        <f t="shared" si="145"/>
        <v>0</v>
      </c>
      <c r="AI225" s="332">
        <f t="shared" si="146"/>
        <v>0</v>
      </c>
      <c r="AJ225" s="109">
        <f t="shared" si="147"/>
        <v>18098.656145278943</v>
      </c>
      <c r="AK225" s="109">
        <f t="shared" si="120"/>
        <v>0</v>
      </c>
      <c r="AL225" s="109">
        <v>0</v>
      </c>
      <c r="AM225" s="111">
        <f t="shared" si="121"/>
        <v>25.461538461538463</v>
      </c>
      <c r="AN225" s="111">
        <f t="shared" si="122"/>
        <v>22.461538461538463</v>
      </c>
      <c r="AO225" s="111" t="str">
        <f t="shared" si="123"/>
        <v>Use deduct 3yrs</v>
      </c>
      <c r="AP225" s="111">
        <f t="shared" si="124"/>
        <v>22.461538461538463</v>
      </c>
      <c r="AQ225" s="112">
        <f t="shared" si="125"/>
        <v>0.69194312796208524</v>
      </c>
      <c r="AR225" s="112">
        <f t="shared" si="126"/>
        <v>0.30805687203791476</v>
      </c>
      <c r="AS225" s="113">
        <f t="shared" si="127"/>
        <v>2050</v>
      </c>
      <c r="AT225" s="109">
        <v>4690.382060988024</v>
      </c>
      <c r="AU225" s="114">
        <v>0.30805687203791476</v>
      </c>
      <c r="AV225" s="113">
        <v>2043</v>
      </c>
      <c r="AW225" s="112">
        <f t="shared" si="128"/>
        <v>0.18833850228830806</v>
      </c>
      <c r="AX225" s="109">
        <f t="shared" si="129"/>
        <v>1444.9044263707185</v>
      </c>
      <c r="AY225" s="109">
        <f t="shared" si="130"/>
        <v>3245.4776346173053</v>
      </c>
      <c r="AZ225" s="109">
        <f t="shared" si="131"/>
        <v>4690.382060988024</v>
      </c>
      <c r="BA225" s="111">
        <f t="shared" si="132"/>
        <v>0</v>
      </c>
      <c r="BB225" s="117"/>
      <c r="BC225" s="115" t="str">
        <f t="shared" si="133"/>
        <v>Y</v>
      </c>
      <c r="BD225" s="115" t="str">
        <f t="shared" si="134"/>
        <v>Y</v>
      </c>
      <c r="BE225" s="115" t="str">
        <f t="shared" si="135"/>
        <v>N</v>
      </c>
      <c r="BF225" s="109" t="str">
        <f t="shared" si="136"/>
        <v/>
      </c>
      <c r="BG225" s="111" t="s">
        <v>2499</v>
      </c>
      <c r="BH225" s="115" t="s">
        <v>1168</v>
      </c>
      <c r="BI225" s="116"/>
      <c r="BJ225" s="222">
        <v>0.18833850228830806</v>
      </c>
      <c r="BK225" s="265">
        <f t="shared" si="137"/>
        <v>0</v>
      </c>
      <c r="BL225" s="265">
        <f t="shared" si="138"/>
        <v>0</v>
      </c>
      <c r="BM225" s="265">
        <f t="shared" si="139"/>
        <v>0</v>
      </c>
      <c r="BN225" s="265">
        <f t="shared" si="140"/>
        <v>3658.8380874823461</v>
      </c>
      <c r="BO225" s="109"/>
      <c r="BP225" s="265">
        <f t="shared" si="141"/>
        <v>13408.274084290919</v>
      </c>
      <c r="BQ225" s="265">
        <v>13408.274084290919</v>
      </c>
      <c r="BR225" s="265" t="e">
        <f t="shared" si="142"/>
        <v>#REF!</v>
      </c>
      <c r="BS225" s="265">
        <v>1510.565918313642</v>
      </c>
      <c r="BT225" s="475">
        <v>20213.617939011976</v>
      </c>
      <c r="BU225" s="475">
        <v>1444.9044263707187</v>
      </c>
      <c r="BV225" s="475">
        <v>3245.4776346173053</v>
      </c>
      <c r="BW225" s="483">
        <f t="shared" si="143"/>
        <v>0</v>
      </c>
      <c r="BX225" s="483">
        <f t="shared" si="144"/>
        <v>0</v>
      </c>
    </row>
    <row r="226" spans="1:76" s="103" customFormat="1" ht="35.25" customHeight="1">
      <c r="A226" s="100" t="s">
        <v>2259</v>
      </c>
      <c r="B226" s="91" t="str">
        <f t="shared" si="111"/>
        <v>STW</v>
      </c>
      <c r="C226" s="92" t="s">
        <v>466</v>
      </c>
      <c r="D226" s="448"/>
      <c r="E226" s="449" t="s">
        <v>2190</v>
      </c>
      <c r="F226" s="384" t="s">
        <v>5353</v>
      </c>
      <c r="G226" s="384" t="s">
        <v>4668</v>
      </c>
      <c r="H226" s="470">
        <v>0.48935441426843435</v>
      </c>
      <c r="I226" s="95" t="s">
        <v>951</v>
      </c>
      <c r="J226" s="95" t="s">
        <v>1166</v>
      </c>
      <c r="K226" s="469">
        <v>197793.25</v>
      </c>
      <c r="L226" s="268">
        <v>0.20179125245175861</v>
      </c>
      <c r="M226" s="584">
        <v>0.30805687203791476</v>
      </c>
      <c r="N226" s="267">
        <f t="shared" si="112"/>
        <v>0.69194312796208524</v>
      </c>
      <c r="O226" s="96">
        <f t="shared" si="113"/>
        <v>178261.67288394185</v>
      </c>
      <c r="P226" s="96">
        <f t="shared" si="148"/>
        <v>6016.8365523401953</v>
      </c>
      <c r="Q226" s="96">
        <f t="shared" si="115"/>
        <v>13514.740563717973</v>
      </c>
      <c r="R226" s="187" t="s">
        <v>2564</v>
      </c>
      <c r="S226" s="187" t="s">
        <v>3607</v>
      </c>
      <c r="T226" s="94" t="s">
        <v>5393</v>
      </c>
      <c r="U226" s="395">
        <f>COUNTIF(Aggregation_of_rev_to_allocate!$A$3:$A$137,$T226)</f>
        <v>0</v>
      </c>
      <c r="V226" s="100"/>
      <c r="W226" s="100">
        <v>377</v>
      </c>
      <c r="X226" s="109">
        <v>21252.882855523148</v>
      </c>
      <c r="Y226" s="109">
        <v>54113.109424447408</v>
      </c>
      <c r="Z226" s="110">
        <v>0.77864669525028729</v>
      </c>
      <c r="AA226" s="110">
        <v>0.28199566160520606</v>
      </c>
      <c r="AB226" s="110">
        <v>0.71800433839479394</v>
      </c>
      <c r="AC226" s="109">
        <f>IF(ISERROR((X226*SUMIF('Rev_for_allocation(Hard)'!$A$3:$A$249,$T226,'Rev_for_allocation(Hard)'!$I$3:$I$249)/SUMIF(Historic_capex_list!$T$9:$T$586,$T226,Historic_capex_list!$X$9:$X$586))=TRUE),0,X226*SUMIF('Rev_for_allocation(Hard)'!$A$3:$A$249,$T226,'Rev_for_allocation(Hard)'!$I$3:$I$249)/SUMIF(Historic_capex_list!$T$9:$T$586,$T226,Historic_capex_list!$X$9:$X$586))</f>
        <v>0</v>
      </c>
      <c r="AD226" s="109">
        <f t="shared" si="116"/>
        <v>21252.882855523148</v>
      </c>
      <c r="AE226" s="109">
        <f t="shared" si="117"/>
        <v>21252.882855523148</v>
      </c>
      <c r="AF226" s="109">
        <f t="shared" si="118"/>
        <v>75365.992279970553</v>
      </c>
      <c r="AG226" s="332" t="str">
        <f t="shared" si="119"/>
        <v>N</v>
      </c>
      <c r="AH226" s="332">
        <f t="shared" si="145"/>
        <v>0</v>
      </c>
      <c r="AI226" s="332">
        <f t="shared" si="146"/>
        <v>0</v>
      </c>
      <c r="AJ226" s="109">
        <f t="shared" si="147"/>
        <v>75365.992279970553</v>
      </c>
      <c r="AK226" s="109">
        <f t="shared" si="120"/>
        <v>0</v>
      </c>
      <c r="AL226" s="109">
        <v>0</v>
      </c>
      <c r="AM226" s="111">
        <f t="shared" si="121"/>
        <v>25.461538461538463</v>
      </c>
      <c r="AN226" s="111">
        <f t="shared" si="122"/>
        <v>22.461538461538463</v>
      </c>
      <c r="AO226" s="111" t="str">
        <f t="shared" si="123"/>
        <v>Use deduct 3yrs</v>
      </c>
      <c r="AP226" s="111">
        <f t="shared" si="124"/>
        <v>22.461538461538463</v>
      </c>
      <c r="AQ226" s="112">
        <f t="shared" si="125"/>
        <v>0.69194312796208524</v>
      </c>
      <c r="AR226" s="112">
        <f t="shared" si="126"/>
        <v>0.30805687203791476</v>
      </c>
      <c r="AS226" s="113">
        <f t="shared" si="127"/>
        <v>2050</v>
      </c>
      <c r="AT226" s="109">
        <v>19531.577116058168</v>
      </c>
      <c r="AU226" s="114">
        <v>0.30805687203791476</v>
      </c>
      <c r="AV226" s="113">
        <v>2043</v>
      </c>
      <c r="AW226" s="112">
        <f t="shared" si="128"/>
        <v>0.20179125245175861</v>
      </c>
      <c r="AX226" s="109">
        <f t="shared" si="129"/>
        <v>6016.8365523401953</v>
      </c>
      <c r="AY226" s="109">
        <f t="shared" si="130"/>
        <v>13514.740563717973</v>
      </c>
      <c r="AZ226" s="109">
        <f t="shared" si="131"/>
        <v>19531.577116058168</v>
      </c>
      <c r="BA226" s="111">
        <f t="shared" si="132"/>
        <v>0</v>
      </c>
      <c r="BB226" s="117"/>
      <c r="BC226" s="115" t="str">
        <f t="shared" si="133"/>
        <v>Y</v>
      </c>
      <c r="BD226" s="115" t="str">
        <f t="shared" si="134"/>
        <v>Y</v>
      </c>
      <c r="BE226" s="115" t="str">
        <f t="shared" si="135"/>
        <v>N</v>
      </c>
      <c r="BF226" s="109" t="str">
        <f t="shared" si="136"/>
        <v/>
      </c>
      <c r="BG226" s="111" t="s">
        <v>2499</v>
      </c>
      <c r="BH226" s="115" t="s">
        <v>1168</v>
      </c>
      <c r="BI226" s="116"/>
      <c r="BJ226" s="222">
        <v>0.20179125245175861</v>
      </c>
      <c r="BK226" s="265">
        <f t="shared" si="137"/>
        <v>0</v>
      </c>
      <c r="BL226" s="265">
        <f t="shared" si="138"/>
        <v>0</v>
      </c>
      <c r="BM226" s="265">
        <f t="shared" si="139"/>
        <v>-1.8189894035458565E-11</v>
      </c>
      <c r="BN226" s="265">
        <f t="shared" si="140"/>
        <v>15236.046303182953</v>
      </c>
      <c r="BO226" s="109"/>
      <c r="BP226" s="265">
        <f t="shared" si="141"/>
        <v>55834.415163912388</v>
      </c>
      <c r="BQ226" s="265">
        <v>55834.415163912388</v>
      </c>
      <c r="BR226" s="265" t="e">
        <f t="shared" si="142"/>
        <v>#REF!</v>
      </c>
      <c r="BS226" s="265">
        <v>6290.2625711085893</v>
      </c>
      <c r="BT226" s="475">
        <v>77259.422883941821</v>
      </c>
      <c r="BU226" s="475">
        <v>6016.8365523401953</v>
      </c>
      <c r="BV226" s="475">
        <v>13514.740563717973</v>
      </c>
      <c r="BW226" s="483">
        <f t="shared" si="143"/>
        <v>0</v>
      </c>
      <c r="BX226" s="483">
        <f t="shared" si="144"/>
        <v>0</v>
      </c>
    </row>
    <row r="227" spans="1:76" s="103" customFormat="1" ht="14.5">
      <c r="A227" s="100" t="s">
        <v>2259</v>
      </c>
      <c r="B227" s="91" t="str">
        <f t="shared" si="111"/>
        <v>STW</v>
      </c>
      <c r="C227" s="92" t="s">
        <v>466</v>
      </c>
      <c r="D227" s="448"/>
      <c r="E227" s="449" t="s">
        <v>2197</v>
      </c>
      <c r="F227" s="384" t="s">
        <v>5354</v>
      </c>
      <c r="G227" s="384" t="s">
        <v>4668</v>
      </c>
      <c r="H227" s="470">
        <v>0.46837976122797043</v>
      </c>
      <c r="I227" s="95" t="s">
        <v>951</v>
      </c>
      <c r="J227" s="95" t="s">
        <v>1166</v>
      </c>
      <c r="K227" s="469">
        <v>87950</v>
      </c>
      <c r="L227" s="268">
        <v>0.20179125245175863</v>
      </c>
      <c r="M227" s="584">
        <v>0.30805687203791476</v>
      </c>
      <c r="N227" s="267">
        <f t="shared" si="112"/>
        <v>0.69194312796208524</v>
      </c>
      <c r="O227" s="96">
        <f t="shared" si="113"/>
        <v>79637.411146502243</v>
      </c>
      <c r="P227" s="96">
        <f t="shared" si="148"/>
        <v>2560.7501207457512</v>
      </c>
      <c r="Q227" s="96">
        <f t="shared" si="115"/>
        <v>5751.838732751994</v>
      </c>
      <c r="R227" s="187" t="s">
        <v>2564</v>
      </c>
      <c r="S227" s="187" t="s">
        <v>3607</v>
      </c>
      <c r="T227" s="94" t="s">
        <v>5393</v>
      </c>
      <c r="U227" s="395">
        <f>COUNTIF(Aggregation_of_rev_to_allocate!$A$3:$A$137,$T227)</f>
        <v>0</v>
      </c>
      <c r="V227" s="100"/>
      <c r="W227" s="100">
        <v>378</v>
      </c>
      <c r="X227" s="109">
        <v>9045.1721373931541</v>
      </c>
      <c r="Y227" s="109">
        <v>23030.399826747183</v>
      </c>
      <c r="Z227" s="110">
        <v>0.7786466952502874</v>
      </c>
      <c r="AA227" s="110">
        <v>0.28199566160520606</v>
      </c>
      <c r="AB227" s="110">
        <v>0.71800433839479394</v>
      </c>
      <c r="AC227" s="109">
        <f>IF(ISERROR((X227*SUMIF('Rev_for_allocation(Hard)'!$A$3:$A$249,$T227,'Rev_for_allocation(Hard)'!$I$3:$I$249)/SUMIF(Historic_capex_list!$T$9:$T$586,$T227,Historic_capex_list!$X$9:$X$586))=TRUE),0,X227*SUMIF('Rev_for_allocation(Hard)'!$A$3:$A$249,$T227,'Rev_for_allocation(Hard)'!$I$3:$I$249)/SUMIF(Historic_capex_list!$T$9:$T$586,$T227,Historic_capex_list!$X$9:$X$586))</f>
        <v>0</v>
      </c>
      <c r="AD227" s="109">
        <f t="shared" si="116"/>
        <v>9045.1721373931541</v>
      </c>
      <c r="AE227" s="109">
        <f t="shared" si="117"/>
        <v>9045.1721373931541</v>
      </c>
      <c r="AF227" s="109">
        <f t="shared" si="118"/>
        <v>32075.571964140338</v>
      </c>
      <c r="AG227" s="332" t="str">
        <f t="shared" si="119"/>
        <v>N</v>
      </c>
      <c r="AH227" s="332">
        <f t="shared" si="145"/>
        <v>0</v>
      </c>
      <c r="AI227" s="332">
        <f t="shared" si="146"/>
        <v>0</v>
      </c>
      <c r="AJ227" s="109">
        <f t="shared" si="147"/>
        <v>32075.571964140338</v>
      </c>
      <c r="AK227" s="109">
        <f t="shared" si="120"/>
        <v>0</v>
      </c>
      <c r="AL227" s="109">
        <v>0</v>
      </c>
      <c r="AM227" s="111">
        <f t="shared" si="121"/>
        <v>25.461538461538463</v>
      </c>
      <c r="AN227" s="111">
        <f t="shared" si="122"/>
        <v>22.461538461538463</v>
      </c>
      <c r="AO227" s="111" t="str">
        <f t="shared" si="123"/>
        <v>Use deduct 3yrs</v>
      </c>
      <c r="AP227" s="111">
        <f t="shared" si="124"/>
        <v>22.461538461538463</v>
      </c>
      <c r="AQ227" s="112">
        <f t="shared" si="125"/>
        <v>0.69194312796208524</v>
      </c>
      <c r="AR227" s="112">
        <f t="shared" si="126"/>
        <v>0.30805687203791476</v>
      </c>
      <c r="AS227" s="113">
        <f t="shared" si="127"/>
        <v>2050</v>
      </c>
      <c r="AT227" s="109">
        <v>8312.5888534977457</v>
      </c>
      <c r="AU227" s="114">
        <v>0.30805687203791476</v>
      </c>
      <c r="AV227" s="113">
        <v>2043</v>
      </c>
      <c r="AW227" s="112">
        <f t="shared" si="128"/>
        <v>0.20179125245175863</v>
      </c>
      <c r="AX227" s="109">
        <f t="shared" si="129"/>
        <v>2560.7501207457512</v>
      </c>
      <c r="AY227" s="109">
        <f t="shared" si="130"/>
        <v>5751.838732751994</v>
      </c>
      <c r="AZ227" s="109">
        <f t="shared" si="131"/>
        <v>8312.5888534977457</v>
      </c>
      <c r="BA227" s="111">
        <f t="shared" si="132"/>
        <v>0</v>
      </c>
      <c r="BB227" s="117"/>
      <c r="BC227" s="115" t="str">
        <f t="shared" si="133"/>
        <v>Y</v>
      </c>
      <c r="BD227" s="115" t="str">
        <f t="shared" si="134"/>
        <v>Y</v>
      </c>
      <c r="BE227" s="115" t="str">
        <f t="shared" si="135"/>
        <v>N</v>
      </c>
      <c r="BF227" s="109" t="str">
        <f t="shared" si="136"/>
        <v/>
      </c>
      <c r="BG227" s="111" t="s">
        <v>2499</v>
      </c>
      <c r="BH227" s="115" t="s">
        <v>1168</v>
      </c>
      <c r="BI227" s="116"/>
      <c r="BJ227" s="222">
        <v>0.20179125245175863</v>
      </c>
      <c r="BK227" s="265">
        <f t="shared" si="137"/>
        <v>0</v>
      </c>
      <c r="BL227" s="265">
        <f t="shared" si="138"/>
        <v>0</v>
      </c>
      <c r="BM227" s="265">
        <f t="shared" si="139"/>
        <v>1.0913936421275139E-11</v>
      </c>
      <c r="BN227" s="265">
        <f t="shared" si="140"/>
        <v>6484.4220166474024</v>
      </c>
      <c r="BO227" s="109"/>
      <c r="BP227" s="265">
        <f t="shared" si="141"/>
        <v>23762.983110642592</v>
      </c>
      <c r="BQ227" s="265">
        <v>23762.983110642592</v>
      </c>
      <c r="BR227" s="265" t="e">
        <f t="shared" si="142"/>
        <v>#REF!</v>
      </c>
      <c r="BS227" s="265">
        <v>2677.1195292356442</v>
      </c>
      <c r="BT227" s="475">
        <v>32881.411146502251</v>
      </c>
      <c r="BU227" s="475">
        <v>2560.7501207457517</v>
      </c>
      <c r="BV227" s="475">
        <v>5751.838732751994</v>
      </c>
      <c r="BW227" s="483">
        <f t="shared" si="143"/>
        <v>0</v>
      </c>
      <c r="BX227" s="483">
        <f t="shared" si="144"/>
        <v>0</v>
      </c>
    </row>
    <row r="228" spans="1:76" s="103" customFormat="1" ht="48" customHeight="1">
      <c r="A228" s="100" t="s">
        <v>2259</v>
      </c>
      <c r="B228" s="91" t="str">
        <f t="shared" si="111"/>
        <v>STW</v>
      </c>
      <c r="C228" s="92" t="s">
        <v>466</v>
      </c>
      <c r="D228" s="448"/>
      <c r="E228" s="449" t="s">
        <v>2194</v>
      </c>
      <c r="F228" s="384" t="s">
        <v>5355</v>
      </c>
      <c r="G228" s="467" t="s">
        <v>5292</v>
      </c>
      <c r="H228" s="470">
        <v>0.12848654037886342</v>
      </c>
      <c r="I228" s="95" t="s">
        <v>951</v>
      </c>
      <c r="J228" s="95" t="s">
        <v>1166</v>
      </c>
      <c r="K228" s="469">
        <v>250750</v>
      </c>
      <c r="L228" s="268">
        <v>0.20179125245175869</v>
      </c>
      <c r="M228" s="584">
        <v>0.30805687203791476</v>
      </c>
      <c r="N228" s="267">
        <f t="shared" si="112"/>
        <v>0.69194312796208524</v>
      </c>
      <c r="O228" s="96">
        <f t="shared" si="113"/>
        <v>244248.68942850924</v>
      </c>
      <c r="P228" s="96">
        <f t="shared" si="148"/>
        <v>2002.7733988004723</v>
      </c>
      <c r="Q228" s="96">
        <f t="shared" si="115"/>
        <v>4498.5371726902904</v>
      </c>
      <c r="R228" s="187" t="s">
        <v>2564</v>
      </c>
      <c r="S228" s="187" t="s">
        <v>3607</v>
      </c>
      <c r="T228" s="94" t="s">
        <v>5393</v>
      </c>
      <c r="U228" s="395">
        <f>COUNTIF(Aggregation_of_rev_to_allocate!$A$3:$A$137,$T228)</f>
        <v>0</v>
      </c>
      <c r="V228" s="100"/>
      <c r="W228" s="100">
        <v>379</v>
      </c>
      <c r="X228" s="109">
        <v>7074.267027298456</v>
      </c>
      <c r="Y228" s="109">
        <v>18012.172200275301</v>
      </c>
      <c r="Z228" s="110">
        <v>0.77864669525028729</v>
      </c>
      <c r="AA228" s="110">
        <v>0.28199566160520606</v>
      </c>
      <c r="AB228" s="110">
        <v>0.71800433839479394</v>
      </c>
      <c r="AC228" s="109">
        <f>IF(ISERROR((X228*SUMIF('Rev_for_allocation(Hard)'!$A$3:$A$249,$T228,'Rev_for_allocation(Hard)'!$I$3:$I$249)/SUMIF(Historic_capex_list!$T$9:$T$586,$T228,Historic_capex_list!$X$9:$X$586))=TRUE),0,X228*SUMIF('Rev_for_allocation(Hard)'!$A$3:$A$249,$T228,'Rev_for_allocation(Hard)'!$I$3:$I$249)/SUMIF(Historic_capex_list!$T$9:$T$586,$T228,Historic_capex_list!$X$9:$X$586))</f>
        <v>0</v>
      </c>
      <c r="AD228" s="109">
        <f t="shared" si="116"/>
        <v>7074.267027298456</v>
      </c>
      <c r="AE228" s="109">
        <f t="shared" si="117"/>
        <v>7074.267027298456</v>
      </c>
      <c r="AF228" s="109">
        <f t="shared" si="118"/>
        <v>25086.439227573755</v>
      </c>
      <c r="AG228" s="332" t="str">
        <f t="shared" si="119"/>
        <v>N</v>
      </c>
      <c r="AH228" s="332">
        <f t="shared" si="145"/>
        <v>0</v>
      </c>
      <c r="AI228" s="332">
        <f t="shared" si="146"/>
        <v>0</v>
      </c>
      <c r="AJ228" s="109">
        <f t="shared" si="147"/>
        <v>25086.439227573755</v>
      </c>
      <c r="AK228" s="109">
        <f t="shared" si="120"/>
        <v>0</v>
      </c>
      <c r="AL228" s="109">
        <v>0</v>
      </c>
      <c r="AM228" s="111">
        <f t="shared" si="121"/>
        <v>25.461538461538463</v>
      </c>
      <c r="AN228" s="111">
        <f t="shared" si="122"/>
        <v>22.461538461538463</v>
      </c>
      <c r="AO228" s="111" t="str">
        <f t="shared" si="123"/>
        <v>Use deduct 3yrs</v>
      </c>
      <c r="AP228" s="111">
        <f t="shared" si="124"/>
        <v>22.461538461538463</v>
      </c>
      <c r="AQ228" s="112">
        <f t="shared" si="125"/>
        <v>0.69194312796208524</v>
      </c>
      <c r="AR228" s="112">
        <f t="shared" si="126"/>
        <v>0.30805687203791476</v>
      </c>
      <c r="AS228" s="113">
        <f t="shared" si="127"/>
        <v>2050</v>
      </c>
      <c r="AT228" s="109">
        <v>6501.3105714907615</v>
      </c>
      <c r="AU228" s="114">
        <v>0.30805687203791476</v>
      </c>
      <c r="AV228" s="113">
        <v>2043</v>
      </c>
      <c r="AW228" s="112">
        <f t="shared" si="128"/>
        <v>0.20179125245175866</v>
      </c>
      <c r="AX228" s="109">
        <f t="shared" si="129"/>
        <v>2002.773398800472</v>
      </c>
      <c r="AY228" s="109">
        <f t="shared" si="130"/>
        <v>4498.5371726902895</v>
      </c>
      <c r="AZ228" s="109">
        <f t="shared" si="131"/>
        <v>6501.3105714907615</v>
      </c>
      <c r="BA228" s="111">
        <f t="shared" si="132"/>
        <v>0</v>
      </c>
      <c r="BB228" s="117"/>
      <c r="BC228" s="115" t="str">
        <f t="shared" si="133"/>
        <v>Y</v>
      </c>
      <c r="BD228" s="115" t="str">
        <f t="shared" si="134"/>
        <v>Y</v>
      </c>
      <c r="BE228" s="115" t="str">
        <f t="shared" si="135"/>
        <v>N</v>
      </c>
      <c r="BF228" s="109" t="str">
        <f t="shared" si="136"/>
        <v/>
      </c>
      <c r="BG228" s="111" t="s">
        <v>2499</v>
      </c>
      <c r="BH228" s="115" t="s">
        <v>1168</v>
      </c>
      <c r="BI228" s="116"/>
      <c r="BJ228" s="222">
        <v>0.20179125245175869</v>
      </c>
      <c r="BK228" s="265">
        <f t="shared" si="137"/>
        <v>0</v>
      </c>
      <c r="BL228" s="265">
        <f t="shared" si="138"/>
        <v>0</v>
      </c>
      <c r="BM228" s="265">
        <f t="shared" si="139"/>
        <v>0</v>
      </c>
      <c r="BN228" s="265">
        <f t="shared" si="140"/>
        <v>5071.493628497984</v>
      </c>
      <c r="BO228" s="109"/>
      <c r="BP228" s="265">
        <f t="shared" si="141"/>
        <v>18585.128656082994</v>
      </c>
      <c r="BQ228" s="265">
        <v>18585.128656082994</v>
      </c>
      <c r="BR228" s="265" t="e">
        <f t="shared" si="142"/>
        <v>#REF!</v>
      </c>
      <c r="BS228" s="265">
        <v>2093.7864007601584</v>
      </c>
      <c r="BT228" s="475">
        <v>25716.689428509238</v>
      </c>
      <c r="BU228" s="475">
        <v>2002.773398800472</v>
      </c>
      <c r="BV228" s="475">
        <v>4498.5371726902895</v>
      </c>
      <c r="BW228" s="483">
        <f t="shared" si="143"/>
        <v>0</v>
      </c>
      <c r="BX228" s="483">
        <f t="shared" si="144"/>
        <v>0</v>
      </c>
    </row>
    <row r="229" spans="1:76" s="103" customFormat="1" ht="14.5">
      <c r="A229" s="100" t="s">
        <v>2259</v>
      </c>
      <c r="B229" s="91" t="str">
        <f t="shared" si="111"/>
        <v>STW</v>
      </c>
      <c r="C229" s="92" t="s">
        <v>466</v>
      </c>
      <c r="D229" s="448"/>
      <c r="E229" s="449" t="s">
        <v>2195</v>
      </c>
      <c r="F229" s="384" t="s">
        <v>5356</v>
      </c>
      <c r="G229" s="384" t="s">
        <v>4668</v>
      </c>
      <c r="H229" s="470">
        <v>0.47853346868095781</v>
      </c>
      <c r="I229" s="95" t="s">
        <v>951</v>
      </c>
      <c r="J229" s="95" t="s">
        <v>1166</v>
      </c>
      <c r="K229" s="469">
        <v>167470</v>
      </c>
      <c r="L229" s="268">
        <v>0.20179125245175866</v>
      </c>
      <c r="M229" s="584">
        <v>0.30805687203791476</v>
      </c>
      <c r="N229" s="267">
        <f t="shared" si="112"/>
        <v>0.69194312796208524</v>
      </c>
      <c r="O229" s="96">
        <f t="shared" si="113"/>
        <v>151298.44902851607</v>
      </c>
      <c r="P229" s="96">
        <f t="shared" si="148"/>
        <v>4981.7574082770443</v>
      </c>
      <c r="Q229" s="96">
        <f t="shared" si="115"/>
        <v>11189.793563206895</v>
      </c>
      <c r="R229" s="187" t="s">
        <v>2564</v>
      </c>
      <c r="S229" s="187" t="s">
        <v>3607</v>
      </c>
      <c r="T229" s="94" t="s">
        <v>5393</v>
      </c>
      <c r="U229" s="395">
        <f>COUNTIF(Aggregation_of_rev_to_allocate!$A$3:$A$137,$T229)</f>
        <v>0</v>
      </c>
      <c r="V229" s="100"/>
      <c r="W229" s="100">
        <v>380</v>
      </c>
      <c r="X229" s="109">
        <v>17596.739697302699</v>
      </c>
      <c r="Y229" s="109">
        <v>44804.006460055331</v>
      </c>
      <c r="Z229" s="110">
        <v>0.7786466952502874</v>
      </c>
      <c r="AA229" s="110">
        <v>0.28199566160520606</v>
      </c>
      <c r="AB229" s="110">
        <v>0.71800433839479394</v>
      </c>
      <c r="AC229" s="109">
        <f>IF(ISERROR((X229*SUMIF('Rev_for_allocation(Hard)'!$A$3:$A$249,$T229,'Rev_for_allocation(Hard)'!$I$3:$I$249)/SUMIF(Historic_capex_list!$T$9:$T$586,$T229,Historic_capex_list!$X$9:$X$586))=TRUE),0,X229*SUMIF('Rev_for_allocation(Hard)'!$A$3:$A$249,$T229,'Rev_for_allocation(Hard)'!$I$3:$I$249)/SUMIF(Historic_capex_list!$T$9:$T$586,$T229,Historic_capex_list!$X$9:$X$586))</f>
        <v>0</v>
      </c>
      <c r="AD229" s="109">
        <f t="shared" si="116"/>
        <v>17596.739697302699</v>
      </c>
      <c r="AE229" s="109">
        <f t="shared" si="117"/>
        <v>17596.739697302699</v>
      </c>
      <c r="AF229" s="109">
        <f t="shared" si="118"/>
        <v>62400.746157358029</v>
      </c>
      <c r="AG229" s="332" t="str">
        <f t="shared" si="119"/>
        <v>N</v>
      </c>
      <c r="AH229" s="332">
        <f t="shared" si="145"/>
        <v>0</v>
      </c>
      <c r="AI229" s="332">
        <f t="shared" si="146"/>
        <v>0</v>
      </c>
      <c r="AJ229" s="109">
        <f t="shared" si="147"/>
        <v>62400.746157358029</v>
      </c>
      <c r="AK229" s="109">
        <f t="shared" si="120"/>
        <v>0</v>
      </c>
      <c r="AL229" s="109">
        <v>0</v>
      </c>
      <c r="AM229" s="111">
        <f t="shared" si="121"/>
        <v>25.461538461538463</v>
      </c>
      <c r="AN229" s="111">
        <f t="shared" si="122"/>
        <v>22.461538461538463</v>
      </c>
      <c r="AO229" s="111" t="str">
        <f t="shared" si="123"/>
        <v>Use deduct 3yrs</v>
      </c>
      <c r="AP229" s="111">
        <f t="shared" si="124"/>
        <v>22.461538461538463</v>
      </c>
      <c r="AQ229" s="112">
        <f t="shared" si="125"/>
        <v>0.69194312796208524</v>
      </c>
      <c r="AR229" s="112">
        <f t="shared" si="126"/>
        <v>0.30805687203791476</v>
      </c>
      <c r="AS229" s="113">
        <f t="shared" si="127"/>
        <v>2050</v>
      </c>
      <c r="AT229" s="109">
        <v>16171.550971483939</v>
      </c>
      <c r="AU229" s="114">
        <v>0.30805687203791476</v>
      </c>
      <c r="AV229" s="113">
        <v>2043</v>
      </c>
      <c r="AW229" s="112">
        <f t="shared" si="128"/>
        <v>0.20179125245175866</v>
      </c>
      <c r="AX229" s="109">
        <f t="shared" si="129"/>
        <v>4981.7574082770443</v>
      </c>
      <c r="AY229" s="109">
        <f t="shared" si="130"/>
        <v>11189.793563206895</v>
      </c>
      <c r="AZ229" s="109">
        <f t="shared" si="131"/>
        <v>16171.550971483939</v>
      </c>
      <c r="BA229" s="111">
        <f t="shared" si="132"/>
        <v>0</v>
      </c>
      <c r="BB229" s="117"/>
      <c r="BC229" s="115" t="str">
        <f t="shared" si="133"/>
        <v>Y</v>
      </c>
      <c r="BD229" s="115" t="str">
        <f t="shared" si="134"/>
        <v>Y</v>
      </c>
      <c r="BE229" s="115" t="str">
        <f t="shared" si="135"/>
        <v>N</v>
      </c>
      <c r="BF229" s="109" t="str">
        <f t="shared" si="136"/>
        <v/>
      </c>
      <c r="BG229" s="111" t="s">
        <v>2499</v>
      </c>
      <c r="BH229" s="115" t="s">
        <v>1168</v>
      </c>
      <c r="BI229" s="116"/>
      <c r="BJ229" s="222">
        <v>0.20179125245175866</v>
      </c>
      <c r="BK229" s="265">
        <f t="shared" si="137"/>
        <v>0</v>
      </c>
      <c r="BL229" s="265">
        <f t="shared" si="138"/>
        <v>0</v>
      </c>
      <c r="BM229" s="265">
        <f t="shared" si="139"/>
        <v>0</v>
      </c>
      <c r="BN229" s="265">
        <f t="shared" si="140"/>
        <v>12614.982289025655</v>
      </c>
      <c r="BO229" s="109"/>
      <c r="BP229" s="265">
        <f t="shared" si="141"/>
        <v>46229.195185874094</v>
      </c>
      <c r="BQ229" s="265">
        <v>46229.195185874094</v>
      </c>
      <c r="BR229" s="265" t="e">
        <f t="shared" si="142"/>
        <v>#REF!</v>
      </c>
      <c r="BS229" s="265">
        <v>5208.145823977874</v>
      </c>
      <c r="BT229" s="475">
        <v>63968.449028516057</v>
      </c>
      <c r="BU229" s="475">
        <v>4981.7574082770443</v>
      </c>
      <c r="BV229" s="475">
        <v>11189.793563206895</v>
      </c>
      <c r="BW229" s="483">
        <f t="shared" si="143"/>
        <v>0</v>
      </c>
      <c r="BX229" s="483">
        <f t="shared" si="144"/>
        <v>0</v>
      </c>
    </row>
    <row r="230" spans="1:76" s="103" customFormat="1" ht="14.5">
      <c r="A230" s="100" t="s">
        <v>2259</v>
      </c>
      <c r="B230" s="91" t="str">
        <f t="shared" si="111"/>
        <v>STW</v>
      </c>
      <c r="C230" s="92" t="s">
        <v>466</v>
      </c>
      <c r="D230" s="448"/>
      <c r="E230" s="449" t="s">
        <v>2186</v>
      </c>
      <c r="F230" s="384" t="s">
        <v>5357</v>
      </c>
      <c r="G230" s="384" t="s">
        <v>4668</v>
      </c>
      <c r="H230" s="470">
        <v>0.19624394242245582</v>
      </c>
      <c r="I230" s="95" t="s">
        <v>951</v>
      </c>
      <c r="J230" s="95" t="s">
        <v>1166</v>
      </c>
      <c r="K230" s="469">
        <v>69541</v>
      </c>
      <c r="L230" s="268">
        <v>0.18833850228830804</v>
      </c>
      <c r="M230" s="584">
        <v>0.30805687203791476</v>
      </c>
      <c r="N230" s="267">
        <f t="shared" si="112"/>
        <v>0.69194312796208524</v>
      </c>
      <c r="O230" s="96">
        <f t="shared" si="113"/>
        <v>66970.74445927146</v>
      </c>
      <c r="P230" s="96">
        <f t="shared" si="148"/>
        <v>791.78488221495331</v>
      </c>
      <c r="Q230" s="96">
        <f t="shared" si="115"/>
        <v>1778.4706585135866</v>
      </c>
      <c r="R230" s="187" t="s">
        <v>2564</v>
      </c>
      <c r="S230" s="187" t="s">
        <v>3607</v>
      </c>
      <c r="T230" s="94" t="s">
        <v>5393</v>
      </c>
      <c r="U230" s="395">
        <f>COUNTIF(Aggregation_of_rev_to_allocate!$A$3:$A$137,$T230)</f>
        <v>0</v>
      </c>
      <c r="V230" s="100"/>
      <c r="W230" s="100">
        <v>381</v>
      </c>
      <c r="X230" s="109">
        <v>2796.7705624218106</v>
      </c>
      <c r="Y230" s="109">
        <v>7121.0081243201494</v>
      </c>
      <c r="Z230" s="110">
        <v>0.72673691556693487</v>
      </c>
      <c r="AA230" s="110">
        <v>0.28199566160520606</v>
      </c>
      <c r="AB230" s="110">
        <v>0.71800433839479394</v>
      </c>
      <c r="AC230" s="109">
        <f>IF(ISERROR((X230*SUMIF('Rev_for_allocation(Hard)'!$A$3:$A$249,$T230,'Rev_for_allocation(Hard)'!$I$3:$I$249)/SUMIF(Historic_capex_list!$T$9:$T$586,$T230,Historic_capex_list!$X$9:$X$586))=TRUE),0,X230*SUMIF('Rev_for_allocation(Hard)'!$A$3:$A$249,$T230,'Rev_for_allocation(Hard)'!$I$3:$I$249)/SUMIF(Historic_capex_list!$T$9:$T$586,$T230,Historic_capex_list!$X$9:$X$586))</f>
        <v>0</v>
      </c>
      <c r="AD230" s="109">
        <f t="shared" si="116"/>
        <v>2796.7705624218106</v>
      </c>
      <c r="AE230" s="109">
        <f t="shared" si="117"/>
        <v>2796.7705624218106</v>
      </c>
      <c r="AF230" s="109">
        <f t="shared" si="118"/>
        <v>9917.77868674196</v>
      </c>
      <c r="AG230" s="332" t="str">
        <f t="shared" si="119"/>
        <v>N</v>
      </c>
      <c r="AH230" s="332">
        <f t="shared" si="145"/>
        <v>0</v>
      </c>
      <c r="AI230" s="332">
        <f t="shared" si="146"/>
        <v>0</v>
      </c>
      <c r="AJ230" s="109">
        <f t="shared" si="147"/>
        <v>9917.77868674196</v>
      </c>
      <c r="AK230" s="109">
        <f t="shared" si="120"/>
        <v>0</v>
      </c>
      <c r="AL230" s="109">
        <v>0</v>
      </c>
      <c r="AM230" s="111">
        <f t="shared" si="121"/>
        <v>25.461538461538463</v>
      </c>
      <c r="AN230" s="111">
        <f t="shared" si="122"/>
        <v>22.461538461538463</v>
      </c>
      <c r="AO230" s="111" t="str">
        <f t="shared" si="123"/>
        <v>Use deduct 3yrs</v>
      </c>
      <c r="AP230" s="111">
        <f t="shared" si="124"/>
        <v>22.461538461538463</v>
      </c>
      <c r="AQ230" s="112">
        <f t="shared" si="125"/>
        <v>0.69194312796208524</v>
      </c>
      <c r="AR230" s="112">
        <f t="shared" si="126"/>
        <v>0.30805687203791476</v>
      </c>
      <c r="AS230" s="113">
        <f t="shared" si="127"/>
        <v>2050</v>
      </c>
      <c r="AT230" s="109">
        <v>2570.2555407285399</v>
      </c>
      <c r="AU230" s="114">
        <v>0.30805687203791476</v>
      </c>
      <c r="AV230" s="113">
        <v>2043</v>
      </c>
      <c r="AW230" s="112">
        <f t="shared" si="128"/>
        <v>0.18833850228830804</v>
      </c>
      <c r="AX230" s="109">
        <f t="shared" si="129"/>
        <v>791.78488221495331</v>
      </c>
      <c r="AY230" s="109">
        <f t="shared" si="130"/>
        <v>1778.4706585135866</v>
      </c>
      <c r="AZ230" s="109">
        <f t="shared" si="131"/>
        <v>2570.2555407285399</v>
      </c>
      <c r="BA230" s="111">
        <f t="shared" si="132"/>
        <v>0</v>
      </c>
      <c r="BB230" s="117"/>
      <c r="BC230" s="115" t="str">
        <f t="shared" si="133"/>
        <v>Y</v>
      </c>
      <c r="BD230" s="115" t="str">
        <f t="shared" si="134"/>
        <v>Y</v>
      </c>
      <c r="BE230" s="115" t="str">
        <f t="shared" si="135"/>
        <v>N</v>
      </c>
      <c r="BF230" s="109" t="str">
        <f t="shared" si="136"/>
        <v/>
      </c>
      <c r="BG230" s="111" t="s">
        <v>2499</v>
      </c>
      <c r="BH230" s="115" t="s">
        <v>1168</v>
      </c>
      <c r="BI230" s="116"/>
      <c r="BJ230" s="222">
        <v>0.18833850228830804</v>
      </c>
      <c r="BK230" s="265">
        <f t="shared" si="137"/>
        <v>0</v>
      </c>
      <c r="BL230" s="265">
        <f t="shared" si="138"/>
        <v>0</v>
      </c>
      <c r="BM230" s="265">
        <f t="shared" si="139"/>
        <v>0</v>
      </c>
      <c r="BN230" s="265">
        <f t="shared" si="140"/>
        <v>2004.9856802068573</v>
      </c>
      <c r="BO230" s="109"/>
      <c r="BP230" s="265">
        <f t="shared" si="141"/>
        <v>7347.52314601342</v>
      </c>
      <c r="BQ230" s="265">
        <v>7347.52314601342</v>
      </c>
      <c r="BR230" s="265" t="e">
        <f t="shared" si="142"/>
        <v>#REF!</v>
      </c>
      <c r="BS230" s="265">
        <v>827.76634625868451</v>
      </c>
      <c r="BT230" s="475">
        <v>11076.74445927146</v>
      </c>
      <c r="BU230" s="475">
        <v>791.7848822149532</v>
      </c>
      <c r="BV230" s="475">
        <v>1778.4706585135866</v>
      </c>
      <c r="BW230" s="483">
        <f t="shared" si="143"/>
        <v>0</v>
      </c>
      <c r="BX230" s="483">
        <f t="shared" si="144"/>
        <v>0</v>
      </c>
    </row>
    <row r="231" spans="1:76" s="103" customFormat="1" ht="29">
      <c r="A231" s="100" t="s">
        <v>2259</v>
      </c>
      <c r="B231" s="91" t="str">
        <f t="shared" si="111"/>
        <v>STW</v>
      </c>
      <c r="C231" s="92" t="s">
        <v>466</v>
      </c>
      <c r="D231" s="448"/>
      <c r="E231" s="449" t="s">
        <v>2198</v>
      </c>
      <c r="F231" s="384" t="s">
        <v>5358</v>
      </c>
      <c r="G231" s="467" t="s">
        <v>5293</v>
      </c>
      <c r="H231" s="470">
        <v>0.23608667529107374</v>
      </c>
      <c r="I231" s="95" t="s">
        <v>951</v>
      </c>
      <c r="J231" s="95" t="s">
        <v>1166</v>
      </c>
      <c r="K231" s="469">
        <v>154600</v>
      </c>
      <c r="L231" s="268">
        <v>0.20179125245175866</v>
      </c>
      <c r="M231" s="584">
        <v>0.30805687203791476</v>
      </c>
      <c r="N231" s="267">
        <f t="shared" si="112"/>
        <v>0.69194312796208524</v>
      </c>
      <c r="O231" s="96">
        <f t="shared" si="113"/>
        <v>147234.82107676327</v>
      </c>
      <c r="P231" s="96">
        <f t="shared" si="148"/>
        <v>2268.8939810918873</v>
      </c>
      <c r="Q231" s="96">
        <f t="shared" si="115"/>
        <v>5096.2849421448527</v>
      </c>
      <c r="R231" s="187" t="s">
        <v>2564</v>
      </c>
      <c r="S231" s="187" t="s">
        <v>3607</v>
      </c>
      <c r="T231" s="94" t="s">
        <v>5393</v>
      </c>
      <c r="U231" s="395">
        <f>COUNTIF(Aggregation_of_rev_to_allocate!$A$3:$A$137,$T231)</f>
        <v>0</v>
      </c>
      <c r="V231" s="100"/>
      <c r="W231" s="100">
        <v>382</v>
      </c>
      <c r="X231" s="109">
        <v>8014.267559419156</v>
      </c>
      <c r="Y231" s="109">
        <v>20405.558170521083</v>
      </c>
      <c r="Z231" s="110">
        <v>0.7786466952502874</v>
      </c>
      <c r="AA231" s="110">
        <v>0.28199566160520606</v>
      </c>
      <c r="AB231" s="110">
        <v>0.71800433839479394</v>
      </c>
      <c r="AC231" s="109">
        <f>IF(ISERROR((X231*SUMIF('Rev_for_allocation(Hard)'!$A$3:$A$249,$T231,'Rev_for_allocation(Hard)'!$I$3:$I$249)/SUMIF(Historic_capex_list!$T$9:$T$586,$T231,Historic_capex_list!$X$9:$X$586))=TRUE),0,X231*SUMIF('Rev_for_allocation(Hard)'!$A$3:$A$249,$T231,'Rev_for_allocation(Hard)'!$I$3:$I$249)/SUMIF(Historic_capex_list!$T$9:$T$586,$T231,Historic_capex_list!$X$9:$X$586))</f>
        <v>0</v>
      </c>
      <c r="AD231" s="109">
        <f t="shared" si="116"/>
        <v>8014.267559419156</v>
      </c>
      <c r="AE231" s="109">
        <f t="shared" si="117"/>
        <v>8014.267559419156</v>
      </c>
      <c r="AF231" s="109">
        <f t="shared" si="118"/>
        <v>28419.825729940239</v>
      </c>
      <c r="AG231" s="332" t="str">
        <f t="shared" si="119"/>
        <v>N</v>
      </c>
      <c r="AH231" s="332">
        <f t="shared" si="145"/>
        <v>0</v>
      </c>
      <c r="AI231" s="332">
        <f t="shared" si="146"/>
        <v>0</v>
      </c>
      <c r="AJ231" s="109">
        <f t="shared" si="147"/>
        <v>28419.825729940239</v>
      </c>
      <c r="AK231" s="109">
        <f t="shared" si="120"/>
        <v>0</v>
      </c>
      <c r="AL231" s="109">
        <v>0</v>
      </c>
      <c r="AM231" s="111">
        <f t="shared" si="121"/>
        <v>25.461538461538463</v>
      </c>
      <c r="AN231" s="111">
        <f t="shared" si="122"/>
        <v>22.461538461538463</v>
      </c>
      <c r="AO231" s="111" t="str">
        <f t="shared" si="123"/>
        <v>Use deduct 3yrs</v>
      </c>
      <c r="AP231" s="111">
        <f t="shared" si="124"/>
        <v>22.461538461538463</v>
      </c>
      <c r="AQ231" s="112">
        <f t="shared" si="125"/>
        <v>0.69194312796208524</v>
      </c>
      <c r="AR231" s="112">
        <f t="shared" si="126"/>
        <v>0.30805687203791476</v>
      </c>
      <c r="AS231" s="113">
        <f t="shared" si="127"/>
        <v>2050</v>
      </c>
      <c r="AT231" s="109">
        <v>7365.1789232367391</v>
      </c>
      <c r="AU231" s="114">
        <v>0.30805687203791476</v>
      </c>
      <c r="AV231" s="113">
        <v>2043</v>
      </c>
      <c r="AW231" s="112">
        <f t="shared" si="128"/>
        <v>0.20179125245175866</v>
      </c>
      <c r="AX231" s="109">
        <f t="shared" si="129"/>
        <v>2268.8939810918873</v>
      </c>
      <c r="AY231" s="109">
        <f t="shared" si="130"/>
        <v>5096.2849421448527</v>
      </c>
      <c r="AZ231" s="109">
        <f t="shared" si="131"/>
        <v>7365.17892323674</v>
      </c>
      <c r="BA231" s="111">
        <f t="shared" si="132"/>
        <v>0</v>
      </c>
      <c r="BB231" s="117"/>
      <c r="BC231" s="115" t="str">
        <f t="shared" si="133"/>
        <v>Y</v>
      </c>
      <c r="BD231" s="115" t="str">
        <f t="shared" si="134"/>
        <v>Y</v>
      </c>
      <c r="BE231" s="115" t="str">
        <f t="shared" si="135"/>
        <v>N</v>
      </c>
      <c r="BF231" s="109" t="str">
        <f t="shared" si="136"/>
        <v/>
      </c>
      <c r="BG231" s="111" t="s">
        <v>2499</v>
      </c>
      <c r="BH231" s="115" t="s">
        <v>1168</v>
      </c>
      <c r="BI231" s="116"/>
      <c r="BJ231" s="222">
        <v>0.20179125245175866</v>
      </c>
      <c r="BK231" s="265">
        <f t="shared" si="137"/>
        <v>0</v>
      </c>
      <c r="BL231" s="265">
        <f t="shared" si="138"/>
        <v>0</v>
      </c>
      <c r="BM231" s="265">
        <f t="shared" si="139"/>
        <v>-1.0004441719502211E-11</v>
      </c>
      <c r="BN231" s="265">
        <f t="shared" si="140"/>
        <v>5745.3735783272687</v>
      </c>
      <c r="BO231" s="109"/>
      <c r="BP231" s="265">
        <f t="shared" si="141"/>
        <v>21054.646806703502</v>
      </c>
      <c r="BQ231" s="265">
        <v>21054.646806703502</v>
      </c>
      <c r="BR231" s="265" t="e">
        <f t="shared" si="142"/>
        <v>#REF!</v>
      </c>
      <c r="BS231" s="265">
        <v>2372.0004296152788</v>
      </c>
      <c r="BT231" s="475">
        <v>29133.821076763259</v>
      </c>
      <c r="BU231" s="475">
        <v>2268.8939810918869</v>
      </c>
      <c r="BV231" s="475">
        <v>5096.2849421448518</v>
      </c>
      <c r="BW231" s="483">
        <f t="shared" si="143"/>
        <v>0</v>
      </c>
      <c r="BX231" s="483">
        <f t="shared" si="144"/>
        <v>0</v>
      </c>
    </row>
    <row r="232" spans="1:76" s="103" customFormat="1" ht="29">
      <c r="A232" s="100" t="s">
        <v>2259</v>
      </c>
      <c r="B232" s="91" t="str">
        <f t="shared" si="111"/>
        <v>STW</v>
      </c>
      <c r="C232" s="92" t="s">
        <v>466</v>
      </c>
      <c r="D232" s="448"/>
      <c r="E232" s="449" t="s">
        <v>2066</v>
      </c>
      <c r="F232" s="467" t="s">
        <v>4760</v>
      </c>
      <c r="G232" s="467" t="s">
        <v>4957</v>
      </c>
      <c r="H232" s="470">
        <v>0.33679999999999999</v>
      </c>
      <c r="I232" s="95" t="s">
        <v>962</v>
      </c>
      <c r="J232" s="95" t="s">
        <v>1166</v>
      </c>
      <c r="K232" s="469">
        <v>1423320</v>
      </c>
      <c r="L232" s="471">
        <v>0.75259031816591559</v>
      </c>
      <c r="M232" s="584">
        <v>0.25345622119815669</v>
      </c>
      <c r="N232" s="267">
        <f t="shared" si="112"/>
        <v>0.74654377880184331</v>
      </c>
      <c r="O232" s="96">
        <f t="shared" si="113"/>
        <v>1062547.6363636365</v>
      </c>
      <c r="P232" s="96">
        <f t="shared" si="148"/>
        <v>91440</v>
      </c>
      <c r="Q232" s="96">
        <f t="shared" si="115"/>
        <v>269332.36363636359</v>
      </c>
      <c r="R232" s="187" t="s">
        <v>2563</v>
      </c>
      <c r="S232" s="187" t="s">
        <v>3607</v>
      </c>
      <c r="T232" s="94" t="s">
        <v>5394</v>
      </c>
      <c r="U232" s="395">
        <f>COUNTIF(Aggregation_of_rev_to_allocate!$A$3:$A$137,$T232)</f>
        <v>0</v>
      </c>
      <c r="V232" s="100"/>
      <c r="W232" s="100">
        <v>313</v>
      </c>
      <c r="X232" s="109">
        <v>88104.343763255616</v>
      </c>
      <c r="Y232" s="109">
        <v>285938.64294074773</v>
      </c>
      <c r="Z232" s="110">
        <v>0.78027871252955094</v>
      </c>
      <c r="AA232" s="110">
        <v>0.23554603854389722</v>
      </c>
      <c r="AB232" s="110">
        <v>0.76445396145610278</v>
      </c>
      <c r="AC232" s="109">
        <f>IF(ISERROR((X232*SUMIF('Rev_for_allocation(Hard)'!$A$3:$A$249,$T232,'Rev_for_allocation(Hard)'!$I$3:$I$249)/SUMIF(Historic_capex_list!$T$9:$T$586,$T232,Historic_capex_list!$X$9:$X$586))=TRUE),0,X232*SUMIF('Rev_for_allocation(Hard)'!$A$3:$A$249,$T232,'Rev_for_allocation(Hard)'!$I$3:$I$249)/SUMIF(Historic_capex_list!$T$9:$T$586,$T232,Historic_capex_list!$X$9:$X$586))</f>
        <v>0</v>
      </c>
      <c r="AD232" s="109">
        <f t="shared" si="116"/>
        <v>88104.343763255616</v>
      </c>
      <c r="AE232" s="109">
        <f t="shared" si="117"/>
        <v>88104.343763255616</v>
      </c>
      <c r="AF232" s="109">
        <f t="shared" si="118"/>
        <v>374042.98670400336</v>
      </c>
      <c r="AG232" s="332" t="str">
        <f t="shared" si="119"/>
        <v>N</v>
      </c>
      <c r="AH232" s="332">
        <f t="shared" si="145"/>
        <v>0</v>
      </c>
      <c r="AI232" s="332">
        <f t="shared" si="146"/>
        <v>0</v>
      </c>
      <c r="AJ232" s="109">
        <f t="shared" si="147"/>
        <v>374042.98670400336</v>
      </c>
      <c r="AK232" s="109">
        <f t="shared" si="120"/>
        <v>0</v>
      </c>
      <c r="AL232" s="109">
        <v>0</v>
      </c>
      <c r="AM232" s="111">
        <f t="shared" si="121"/>
        <v>32.454545454545453</v>
      </c>
      <c r="AN232" s="111">
        <f t="shared" si="122"/>
        <v>29.454545454545453</v>
      </c>
      <c r="AO232" s="111" t="str">
        <f t="shared" si="123"/>
        <v>Use deduct 3yrs</v>
      </c>
      <c r="AP232" s="111">
        <f t="shared" si="124"/>
        <v>29.454545454545453</v>
      </c>
      <c r="AQ232" s="112">
        <f t="shared" si="125"/>
        <v>0.74654377880184331</v>
      </c>
      <c r="AR232" s="112">
        <f t="shared" si="126"/>
        <v>0.25345622119815669</v>
      </c>
      <c r="AS232" s="113">
        <f t="shared" si="127"/>
        <v>2057</v>
      </c>
      <c r="AT232" s="109">
        <v>360772.30757284572</v>
      </c>
      <c r="AU232" s="114">
        <v>0.25345622119815669</v>
      </c>
      <c r="AV232" s="113">
        <v>2057</v>
      </c>
      <c r="AW232" s="112">
        <f t="shared" si="128"/>
        <v>0.75259020121443865</v>
      </c>
      <c r="AX232" s="109">
        <f t="shared" si="129"/>
        <v>91439.985790352584</v>
      </c>
      <c r="AY232" s="109">
        <f t="shared" si="130"/>
        <v>269332.32178249309</v>
      </c>
      <c r="AZ232" s="109">
        <f t="shared" si="131"/>
        <v>360772.30757284566</v>
      </c>
      <c r="BA232" s="111">
        <f t="shared" si="132"/>
        <v>0</v>
      </c>
      <c r="BB232" s="117"/>
      <c r="BC232" s="115" t="str">
        <f t="shared" si="133"/>
        <v>N</v>
      </c>
      <c r="BD232" s="115" t="str">
        <f t="shared" si="134"/>
        <v>N</v>
      </c>
      <c r="BE232" s="115" t="str">
        <f t="shared" si="135"/>
        <v>N</v>
      </c>
      <c r="BF232" s="109" t="str">
        <f t="shared" si="136"/>
        <v/>
      </c>
      <c r="BG232" s="111" t="s">
        <v>2499</v>
      </c>
      <c r="BH232" s="115" t="s">
        <v>1168</v>
      </c>
      <c r="BI232" s="116"/>
      <c r="BJ232" s="222">
        <v>0.75259518738690012</v>
      </c>
      <c r="BK232" s="265">
        <f t="shared" si="137"/>
        <v>-4.1853870498016477E-2</v>
      </c>
      <c r="BL232" s="265">
        <f t="shared" si="138"/>
        <v>4.1853870498016477E-2</v>
      </c>
      <c r="BM232" s="265">
        <f t="shared" si="139"/>
        <v>0</v>
      </c>
      <c r="BN232" s="265">
        <f t="shared" si="140"/>
        <v>-3335.6562367443839</v>
      </c>
      <c r="BO232" s="109"/>
      <c r="BP232" s="265">
        <f t="shared" si="141"/>
        <v>13270.679131157638</v>
      </c>
      <c r="BQ232" s="265">
        <v>13270.679131157638</v>
      </c>
      <c r="BR232" s="265" t="e">
        <f t="shared" si="142"/>
        <v>#REF!</v>
      </c>
      <c r="BS232" s="265">
        <v>1495.0645759761812</v>
      </c>
      <c r="BT232" s="475">
        <v>118598.6924271543</v>
      </c>
      <c r="BU232" s="475">
        <v>91439.985790352599</v>
      </c>
      <c r="BV232" s="475">
        <v>269332.32178249309</v>
      </c>
      <c r="BW232" s="483">
        <f t="shared" si="143"/>
        <v>1.4209647401003167E-2</v>
      </c>
      <c r="BX232" s="483">
        <f t="shared" si="144"/>
        <v>4.1853870498016477E-2</v>
      </c>
    </row>
    <row r="233" spans="1:76" s="103" customFormat="1" ht="29">
      <c r="A233" s="100" t="s">
        <v>2259</v>
      </c>
      <c r="B233" s="91" t="str">
        <f t="shared" si="111"/>
        <v>STW</v>
      </c>
      <c r="C233" s="92" t="s">
        <v>466</v>
      </c>
      <c r="D233" s="448"/>
      <c r="E233" s="449" t="s">
        <v>2094</v>
      </c>
      <c r="F233" s="467" t="s">
        <v>4761</v>
      </c>
      <c r="G233" s="467" t="s">
        <v>4509</v>
      </c>
      <c r="H233" s="470">
        <v>0.33679999999999999</v>
      </c>
      <c r="I233" s="95" t="s">
        <v>962</v>
      </c>
      <c r="J233" s="95" t="s">
        <v>1166</v>
      </c>
      <c r="K233" s="469">
        <v>142486</v>
      </c>
      <c r="L233" s="471">
        <v>0.75259518738690012</v>
      </c>
      <c r="M233" s="584">
        <v>0.25345622119815669</v>
      </c>
      <c r="N233" s="267">
        <f t="shared" si="112"/>
        <v>0.74654377880184331</v>
      </c>
      <c r="O233" s="96">
        <f t="shared" si="113"/>
        <v>106369.49521338069</v>
      </c>
      <c r="P233" s="96">
        <f t="shared" si="148"/>
        <v>9153.9528261016712</v>
      </c>
      <c r="Q233" s="96">
        <f t="shared" si="115"/>
        <v>26962.551960517645</v>
      </c>
      <c r="R233" s="187" t="s">
        <v>2563</v>
      </c>
      <c r="S233" s="187" t="s">
        <v>3607</v>
      </c>
      <c r="T233" s="94" t="s">
        <v>5394</v>
      </c>
      <c r="U233" s="395">
        <f>COUNTIF(Aggregation_of_rev_to_allocate!$A$3:$A$137,$T233)</f>
        <v>0</v>
      </c>
      <c r="V233" s="100"/>
      <c r="W233" s="100">
        <v>314</v>
      </c>
      <c r="X233" s="109">
        <v>8819.9731582738059</v>
      </c>
      <c r="Y233" s="109">
        <v>28624.821977306809</v>
      </c>
      <c r="Z233" s="110">
        <v>0.78027871252955083</v>
      </c>
      <c r="AA233" s="110">
        <v>0.23554603854389722</v>
      </c>
      <c r="AB233" s="110">
        <v>0.76445396145610278</v>
      </c>
      <c r="AC233" s="109">
        <f>IF(ISERROR((X233*SUMIF('Rev_for_allocation(Hard)'!$A$3:$A$249,$T233,'Rev_for_allocation(Hard)'!$I$3:$I$249)/SUMIF(Historic_capex_list!$T$9:$T$586,$T233,Historic_capex_list!$X$9:$X$586))=TRUE),0,X233*SUMIF('Rev_for_allocation(Hard)'!$A$3:$A$249,$T233,'Rev_for_allocation(Hard)'!$I$3:$I$249)/SUMIF(Historic_capex_list!$T$9:$T$586,$T233,Historic_capex_list!$X$9:$X$586))</f>
        <v>0</v>
      </c>
      <c r="AD233" s="109">
        <f t="shared" si="116"/>
        <v>8819.9731582738059</v>
      </c>
      <c r="AE233" s="109">
        <f t="shared" si="117"/>
        <v>8819.9731582738059</v>
      </c>
      <c r="AF233" s="109">
        <f t="shared" si="118"/>
        <v>37444.795135580614</v>
      </c>
      <c r="AG233" s="332" t="str">
        <f t="shared" si="119"/>
        <v>N</v>
      </c>
      <c r="AH233" s="332">
        <f t="shared" si="145"/>
        <v>0</v>
      </c>
      <c r="AI233" s="332">
        <f t="shared" si="146"/>
        <v>0</v>
      </c>
      <c r="AJ233" s="109">
        <f t="shared" si="147"/>
        <v>37444.795135580614</v>
      </c>
      <c r="AK233" s="109">
        <f t="shared" si="120"/>
        <v>0</v>
      </c>
      <c r="AL233" s="109">
        <v>0</v>
      </c>
      <c r="AM233" s="111">
        <f t="shared" si="121"/>
        <v>32.454545454545453</v>
      </c>
      <c r="AN233" s="111">
        <f t="shared" si="122"/>
        <v>29.454545454545453</v>
      </c>
      <c r="AO233" s="111" t="str">
        <f t="shared" si="123"/>
        <v>Use deduct 3yrs</v>
      </c>
      <c r="AP233" s="111">
        <f t="shared" si="124"/>
        <v>29.454545454545453</v>
      </c>
      <c r="AQ233" s="112">
        <f t="shared" si="125"/>
        <v>0.74654377880184331</v>
      </c>
      <c r="AR233" s="112">
        <f t="shared" si="126"/>
        <v>0.25345622119815669</v>
      </c>
      <c r="AS233" s="113">
        <f t="shared" si="127"/>
        <v>2057</v>
      </c>
      <c r="AT233" s="109">
        <v>36116.290447509949</v>
      </c>
      <c r="AU233" s="114">
        <v>0.25345622119815669</v>
      </c>
      <c r="AV233" s="113">
        <v>2057</v>
      </c>
      <c r="AW233" s="112">
        <f t="shared" si="128"/>
        <v>0.75259072099173996</v>
      </c>
      <c r="AX233" s="109">
        <f t="shared" si="129"/>
        <v>9153.8985005209543</v>
      </c>
      <c r="AY233" s="109">
        <f t="shared" si="130"/>
        <v>26962.391946988992</v>
      </c>
      <c r="AZ233" s="109">
        <f t="shared" si="131"/>
        <v>36116.290447509949</v>
      </c>
      <c r="BA233" s="111">
        <f t="shared" si="132"/>
        <v>0</v>
      </c>
      <c r="BB233" s="117"/>
      <c r="BC233" s="115" t="str">
        <f t="shared" si="133"/>
        <v>Y</v>
      </c>
      <c r="BD233" s="115" t="str">
        <f t="shared" si="134"/>
        <v>Y</v>
      </c>
      <c r="BE233" s="115" t="str">
        <f t="shared" si="135"/>
        <v>N</v>
      </c>
      <c r="BF233" s="109" t="str">
        <f t="shared" si="136"/>
        <v/>
      </c>
      <c r="BG233" s="111" t="s">
        <v>2499</v>
      </c>
      <c r="BH233" s="115" t="s">
        <v>1168</v>
      </c>
      <c r="BI233" s="116"/>
      <c r="BJ233" s="222">
        <v>0.75259518738690012</v>
      </c>
      <c r="BK233" s="265">
        <f t="shared" si="137"/>
        <v>-0.16001352865350782</v>
      </c>
      <c r="BL233" s="265">
        <f t="shared" si="138"/>
        <v>0.16001352865350782</v>
      </c>
      <c r="BM233" s="265">
        <f t="shared" si="139"/>
        <v>0</v>
      </c>
      <c r="BN233" s="265">
        <f t="shared" si="140"/>
        <v>-333.97966782786534</v>
      </c>
      <c r="BO233" s="109"/>
      <c r="BP233" s="265">
        <f t="shared" si="141"/>
        <v>1328.504688070665</v>
      </c>
      <c r="BQ233" s="265">
        <v>1328.504688070665</v>
      </c>
      <c r="BR233" s="265" t="e">
        <f t="shared" si="142"/>
        <v>#REF!</v>
      </c>
      <c r="BS233" s="265">
        <v>149.668323566759</v>
      </c>
      <c r="BT233" s="475">
        <v>11872.709552490051</v>
      </c>
      <c r="BU233" s="475">
        <v>9153.8985005209561</v>
      </c>
      <c r="BV233" s="475">
        <v>26962.391946988995</v>
      </c>
      <c r="BW233" s="483">
        <f t="shared" si="143"/>
        <v>5.4325580715158139E-2</v>
      </c>
      <c r="BX233" s="483">
        <f t="shared" si="144"/>
        <v>0.16001352864986984</v>
      </c>
    </row>
    <row r="234" spans="1:76" s="103" customFormat="1" ht="29">
      <c r="A234" s="100" t="s">
        <v>2259</v>
      </c>
      <c r="B234" s="91" t="str">
        <f t="shared" si="111"/>
        <v>STW</v>
      </c>
      <c r="C234" s="92" t="s">
        <v>466</v>
      </c>
      <c r="D234" s="448"/>
      <c r="E234" s="449" t="s">
        <v>2123</v>
      </c>
      <c r="F234" s="467" t="s">
        <v>4763</v>
      </c>
      <c r="G234" s="467" t="s">
        <v>4958</v>
      </c>
      <c r="H234" s="470">
        <v>0.40629999999999999</v>
      </c>
      <c r="I234" s="95" t="s">
        <v>962</v>
      </c>
      <c r="J234" s="95" t="s">
        <v>1166</v>
      </c>
      <c r="K234" s="469">
        <v>54588</v>
      </c>
      <c r="L234" s="471">
        <v>0.75259518738690023</v>
      </c>
      <c r="M234" s="584">
        <v>0.25345622119815669</v>
      </c>
      <c r="N234" s="267">
        <f t="shared" si="112"/>
        <v>0.74654377880184331</v>
      </c>
      <c r="O234" s="96">
        <f t="shared" si="113"/>
        <v>37896.112768008374</v>
      </c>
      <c r="P234" s="96">
        <f t="shared" si="148"/>
        <v>4230.6626624863566</v>
      </c>
      <c r="Q234" s="96">
        <f t="shared" si="115"/>
        <v>12461.224569505268</v>
      </c>
      <c r="R234" s="187" t="s">
        <v>2563</v>
      </c>
      <c r="S234" s="187" t="s">
        <v>3607</v>
      </c>
      <c r="T234" s="94" t="s">
        <v>5394</v>
      </c>
      <c r="U234" s="395">
        <f>COUNTIF(Aggregation_of_rev_to_allocate!$A$3:$A$137,$T234)</f>
        <v>0</v>
      </c>
      <c r="V234" s="100"/>
      <c r="W234" s="100">
        <v>315</v>
      </c>
      <c r="X234" s="109">
        <v>4076.6805856273586</v>
      </c>
      <c r="Y234" s="109">
        <v>13230.681536990609</v>
      </c>
      <c r="Z234" s="110">
        <v>0.78027871252955083</v>
      </c>
      <c r="AA234" s="110">
        <v>0.23554603854389722</v>
      </c>
      <c r="AB234" s="110">
        <v>0.76445396145610278</v>
      </c>
      <c r="AC234" s="109">
        <f>IF(ISERROR((X234*SUMIF('Rev_for_allocation(Hard)'!$A$3:$A$249,$T234,'Rev_for_allocation(Hard)'!$I$3:$I$249)/SUMIF(Historic_capex_list!$T$9:$T$586,$T234,Historic_capex_list!$X$9:$X$586))=TRUE),0,X234*SUMIF('Rev_for_allocation(Hard)'!$A$3:$A$249,$T234,'Rev_for_allocation(Hard)'!$I$3:$I$249)/SUMIF(Historic_capex_list!$T$9:$T$586,$T234,Historic_capex_list!$X$9:$X$586))</f>
        <v>0</v>
      </c>
      <c r="AD234" s="109">
        <f t="shared" si="116"/>
        <v>4076.6805856273586</v>
      </c>
      <c r="AE234" s="109">
        <f t="shared" si="117"/>
        <v>4076.6805856273586</v>
      </c>
      <c r="AF234" s="109">
        <f t="shared" si="118"/>
        <v>17307.362122617968</v>
      </c>
      <c r="AG234" s="332" t="str">
        <f t="shared" si="119"/>
        <v>N</v>
      </c>
      <c r="AH234" s="332">
        <f t="shared" si="145"/>
        <v>0</v>
      </c>
      <c r="AI234" s="332">
        <f t="shared" si="146"/>
        <v>0</v>
      </c>
      <c r="AJ234" s="109">
        <f t="shared" si="147"/>
        <v>17307.362122617968</v>
      </c>
      <c r="AK234" s="109">
        <f t="shared" si="120"/>
        <v>0</v>
      </c>
      <c r="AL234" s="109">
        <v>0</v>
      </c>
      <c r="AM234" s="111">
        <f t="shared" si="121"/>
        <v>32.454545454545453</v>
      </c>
      <c r="AN234" s="111">
        <f t="shared" si="122"/>
        <v>29.454545454545453</v>
      </c>
      <c r="AO234" s="111" t="str">
        <f t="shared" si="123"/>
        <v>Use deduct 3yrs</v>
      </c>
      <c r="AP234" s="111">
        <f t="shared" si="124"/>
        <v>29.454545454545453</v>
      </c>
      <c r="AQ234" s="112">
        <f t="shared" si="125"/>
        <v>0.74654377880184331</v>
      </c>
      <c r="AR234" s="112">
        <f t="shared" si="126"/>
        <v>0.25345622119815669</v>
      </c>
      <c r="AS234" s="113">
        <f t="shared" si="127"/>
        <v>2057</v>
      </c>
      <c r="AT234" s="109">
        <v>16693.313851428833</v>
      </c>
      <c r="AU234" s="114">
        <v>0.25345622119815669</v>
      </c>
      <c r="AV234" s="113">
        <v>2057</v>
      </c>
      <c r="AW234" s="112">
        <f t="shared" si="128"/>
        <v>0.75265951006699949</v>
      </c>
      <c r="AX234" s="109">
        <f t="shared" si="129"/>
        <v>4231.0242480579991</v>
      </c>
      <c r="AY234" s="109">
        <f t="shared" si="130"/>
        <v>12462.289603370833</v>
      </c>
      <c r="AZ234" s="109">
        <f t="shared" si="131"/>
        <v>16693.313851428833</v>
      </c>
      <c r="BA234" s="111">
        <f t="shared" si="132"/>
        <v>0</v>
      </c>
      <c r="BB234" s="117"/>
      <c r="BC234" s="115" t="str">
        <f t="shared" si="133"/>
        <v>Y</v>
      </c>
      <c r="BD234" s="115" t="str">
        <f t="shared" si="134"/>
        <v>Y</v>
      </c>
      <c r="BE234" s="115" t="str">
        <f t="shared" si="135"/>
        <v>N</v>
      </c>
      <c r="BF234" s="109" t="str">
        <f t="shared" si="136"/>
        <v/>
      </c>
      <c r="BG234" s="111" t="s">
        <v>2499</v>
      </c>
      <c r="BH234" s="115" t="s">
        <v>1168</v>
      </c>
      <c r="BI234" s="116"/>
      <c r="BJ234" s="222">
        <v>0.75259518738690023</v>
      </c>
      <c r="BK234" s="265">
        <f t="shared" si="137"/>
        <v>1.0650338655650557</v>
      </c>
      <c r="BL234" s="265">
        <f t="shared" si="138"/>
        <v>-1.0650338655650557</v>
      </c>
      <c r="BM234" s="265">
        <f t="shared" si="139"/>
        <v>0</v>
      </c>
      <c r="BN234" s="265">
        <f t="shared" si="140"/>
        <v>-153.98207685899797</v>
      </c>
      <c r="BO234" s="109"/>
      <c r="BP234" s="265">
        <f t="shared" si="141"/>
        <v>614.04827118913454</v>
      </c>
      <c r="BQ234" s="265">
        <v>614.04827118913454</v>
      </c>
      <c r="BR234" s="265" t="e">
        <f t="shared" si="142"/>
        <v>#REF!</v>
      </c>
      <c r="BS234" s="265">
        <v>69.178209277840267</v>
      </c>
      <c r="BT234" s="475">
        <v>5487.6861485711661</v>
      </c>
      <c r="BU234" s="475">
        <v>4231.0242480579991</v>
      </c>
      <c r="BV234" s="475">
        <v>12462.289603370833</v>
      </c>
      <c r="BW234" s="483">
        <f t="shared" si="143"/>
        <v>-0.3615855716425358</v>
      </c>
      <c r="BX234" s="483">
        <f t="shared" si="144"/>
        <v>-1.0650338655650557</v>
      </c>
    </row>
    <row r="235" spans="1:76" s="103" customFormat="1" ht="43.5">
      <c r="A235" s="100" t="s">
        <v>2259</v>
      </c>
      <c r="B235" s="91" t="str">
        <f t="shared" si="111"/>
        <v>STW</v>
      </c>
      <c r="C235" s="92" t="s">
        <v>466</v>
      </c>
      <c r="D235" s="448"/>
      <c r="E235" s="449" t="s">
        <v>2072</v>
      </c>
      <c r="F235" s="467" t="s">
        <v>4764</v>
      </c>
      <c r="G235" s="467" t="s">
        <v>4959</v>
      </c>
      <c r="H235" s="470">
        <v>0.3211</v>
      </c>
      <c r="I235" s="95" t="s">
        <v>962</v>
      </c>
      <c r="J235" s="95" t="s">
        <v>1166</v>
      </c>
      <c r="K235" s="469">
        <v>287704</v>
      </c>
      <c r="L235" s="268">
        <v>0.78027867566884246</v>
      </c>
      <c r="M235" s="584">
        <v>0.25345622119815669</v>
      </c>
      <c r="N235" s="267">
        <f t="shared" si="112"/>
        <v>0.74654377880184331</v>
      </c>
      <c r="O235" s="96">
        <f t="shared" si="113"/>
        <v>215620.48702080376</v>
      </c>
      <c r="P235" s="96">
        <f t="shared" si="148"/>
        <v>18270.014810395365</v>
      </c>
      <c r="Q235" s="96">
        <f t="shared" si="115"/>
        <v>53813.498168800899</v>
      </c>
      <c r="R235" s="187" t="s">
        <v>2314</v>
      </c>
      <c r="S235" s="187" t="s">
        <v>3607</v>
      </c>
      <c r="T235" s="94" t="s">
        <v>5395</v>
      </c>
      <c r="U235" s="395">
        <f>COUNTIF(Aggregation_of_rev_to_allocate!$A$3:$A$137,$T235)</f>
        <v>0</v>
      </c>
      <c r="V235" s="100"/>
      <c r="W235" s="100">
        <v>390</v>
      </c>
      <c r="X235" s="109">
        <v>16978.664284759725</v>
      </c>
      <c r="Y235" s="109">
        <v>55103.483178720198</v>
      </c>
      <c r="Z235" s="110">
        <v>0.78027871252955106</v>
      </c>
      <c r="AA235" s="110">
        <v>0.23554603854389722</v>
      </c>
      <c r="AB235" s="110">
        <v>0.76445396145610278</v>
      </c>
      <c r="AC235" s="109">
        <f>IF(ISERROR((X235*SUMIF('Rev_for_allocation(Hard)'!$A$3:$A$249,$T235,'Rev_for_allocation(Hard)'!$I$3:$I$249)/SUMIF(Historic_capex_list!$T$9:$T$586,$T235,Historic_capex_list!$X$9:$X$586))=TRUE),0,X235*SUMIF('Rev_for_allocation(Hard)'!$A$3:$A$249,$T235,'Rev_for_allocation(Hard)'!$I$3:$I$249)/SUMIF(Historic_capex_list!$T$9:$T$586,$T235,Historic_capex_list!$X$9:$X$586))</f>
        <v>0</v>
      </c>
      <c r="AD235" s="109">
        <f t="shared" si="116"/>
        <v>16978.664284759725</v>
      </c>
      <c r="AE235" s="109">
        <f t="shared" si="117"/>
        <v>16978.664284759725</v>
      </c>
      <c r="AF235" s="109">
        <f t="shared" si="118"/>
        <v>72082.147463479923</v>
      </c>
      <c r="AG235" s="332" t="str">
        <f t="shared" si="119"/>
        <v>N</v>
      </c>
      <c r="AH235" s="332">
        <f t="shared" si="145"/>
        <v>0</v>
      </c>
      <c r="AI235" s="332">
        <f t="shared" si="146"/>
        <v>0</v>
      </c>
      <c r="AJ235" s="109">
        <f t="shared" si="147"/>
        <v>72082.147463479923</v>
      </c>
      <c r="AK235" s="109">
        <f t="shared" si="120"/>
        <v>0</v>
      </c>
      <c r="AL235" s="109">
        <v>0</v>
      </c>
      <c r="AM235" s="111">
        <f t="shared" si="121"/>
        <v>32.454545454545453</v>
      </c>
      <c r="AN235" s="111">
        <f t="shared" si="122"/>
        <v>29.454545454545453</v>
      </c>
      <c r="AO235" s="111" t="str">
        <f t="shared" si="123"/>
        <v>Use deduct 3yrs</v>
      </c>
      <c r="AP235" s="111">
        <f t="shared" si="124"/>
        <v>29.454545454545453</v>
      </c>
      <c r="AQ235" s="112">
        <f t="shared" si="125"/>
        <v>0.74654377880184331</v>
      </c>
      <c r="AR235" s="112">
        <f t="shared" si="126"/>
        <v>0.25345622119815669</v>
      </c>
      <c r="AS235" s="113">
        <f t="shared" si="127"/>
        <v>2057</v>
      </c>
      <c r="AT235" s="109">
        <v>72082.144058287668</v>
      </c>
      <c r="AU235" s="114">
        <v>0.25345622119815669</v>
      </c>
      <c r="AV235" s="113">
        <v>2057</v>
      </c>
      <c r="AW235" s="112">
        <f t="shared" si="128"/>
        <v>0.78026385758146699</v>
      </c>
      <c r="AX235" s="109">
        <f t="shared" si="129"/>
        <v>18269.667848874753</v>
      </c>
      <c r="AY235" s="109">
        <f t="shared" si="130"/>
        <v>53812.476209412911</v>
      </c>
      <c r="AZ235" s="109">
        <f t="shared" si="131"/>
        <v>72082.144058287668</v>
      </c>
      <c r="BA235" s="111">
        <f t="shared" si="132"/>
        <v>0</v>
      </c>
      <c r="BB235" s="117"/>
      <c r="BC235" s="115" t="str">
        <f t="shared" si="133"/>
        <v>N</v>
      </c>
      <c r="BD235" s="115" t="str">
        <f t="shared" si="134"/>
        <v>N</v>
      </c>
      <c r="BE235" s="115" t="str">
        <f t="shared" si="135"/>
        <v>N</v>
      </c>
      <c r="BF235" s="109" t="str">
        <f t="shared" si="136"/>
        <v/>
      </c>
      <c r="BG235" s="111" t="s">
        <v>2499</v>
      </c>
      <c r="BH235" s="115" t="s">
        <v>1168</v>
      </c>
      <c r="BI235" s="116"/>
      <c r="BJ235" s="222">
        <v>0.78027867566884246</v>
      </c>
      <c r="BK235" s="265">
        <f t="shared" si="137"/>
        <v>-1.0219593879883178</v>
      </c>
      <c r="BL235" s="265">
        <f t="shared" si="138"/>
        <v>1.0219593879883178</v>
      </c>
      <c r="BM235" s="265">
        <f t="shared" si="139"/>
        <v>0</v>
      </c>
      <c r="BN235" s="265">
        <f t="shared" si="140"/>
        <v>-1291.3505256356402</v>
      </c>
      <c r="BO235" s="109"/>
      <c r="BP235" s="265">
        <f t="shared" si="141"/>
        <v>3.4051922557409853E-3</v>
      </c>
      <c r="BQ235" s="265">
        <v>3.4051922557409853E-3</v>
      </c>
      <c r="BR235" s="265" t="e">
        <f t="shared" si="142"/>
        <v>#REF!</v>
      </c>
      <c r="BS235" s="265">
        <v>3.8362635895505007E-4</v>
      </c>
      <c r="BT235" s="475">
        <v>20297.855941712332</v>
      </c>
      <c r="BU235" s="475">
        <v>18269.667848874757</v>
      </c>
      <c r="BV235" s="475">
        <v>53812.476209412911</v>
      </c>
      <c r="BW235" s="483">
        <f t="shared" si="143"/>
        <v>0.34696152060860186</v>
      </c>
      <c r="BX235" s="483">
        <f t="shared" si="144"/>
        <v>1.0219593879883178</v>
      </c>
    </row>
    <row r="236" spans="1:76" s="511" customFormat="1" ht="43.5">
      <c r="A236" s="100" t="s">
        <v>2259</v>
      </c>
      <c r="B236" s="91" t="str">
        <f t="shared" si="111"/>
        <v>STW</v>
      </c>
      <c r="C236" s="92" t="s">
        <v>466</v>
      </c>
      <c r="D236" s="448"/>
      <c r="E236" s="449" t="s">
        <v>2079</v>
      </c>
      <c r="F236" s="467" t="s">
        <v>4766</v>
      </c>
      <c r="G236" s="467" t="s">
        <v>4960</v>
      </c>
      <c r="H236" s="470">
        <v>0.33679999999999999</v>
      </c>
      <c r="I236" s="95" t="s">
        <v>962</v>
      </c>
      <c r="J236" s="95" t="s">
        <v>1166</v>
      </c>
      <c r="K236" s="469">
        <v>400534</v>
      </c>
      <c r="L236" s="471">
        <v>0.75259518738690023</v>
      </c>
      <c r="M236" s="584">
        <v>0.25345622119815669</v>
      </c>
      <c r="N236" s="267">
        <f t="shared" si="112"/>
        <v>0.74654377880184331</v>
      </c>
      <c r="O236" s="96">
        <f t="shared" si="113"/>
        <v>299009.02120767109</v>
      </c>
      <c r="P236" s="96">
        <f t="shared" si="148"/>
        <v>25732.137481926693</v>
      </c>
      <c r="Q236" s="96">
        <f t="shared" si="115"/>
        <v>75792.841310402247</v>
      </c>
      <c r="R236" s="187" t="s">
        <v>2563</v>
      </c>
      <c r="S236" s="187" t="s">
        <v>3607</v>
      </c>
      <c r="T236" s="94" t="s">
        <v>5394</v>
      </c>
      <c r="U236" s="395">
        <f>COUNTIF(Aggregation_of_rev_to_allocate!$A$3:$A$137,$T236)</f>
        <v>0</v>
      </c>
      <c r="V236" s="100"/>
      <c r="W236" s="100">
        <v>316</v>
      </c>
      <c r="X236" s="109">
        <v>24793.29761149385</v>
      </c>
      <c r="Y236" s="109">
        <v>80465.520430030039</v>
      </c>
      <c r="Z236" s="110">
        <v>0.78027871252955094</v>
      </c>
      <c r="AA236" s="110">
        <v>0.23554603854389722</v>
      </c>
      <c r="AB236" s="110">
        <v>0.76445396145610278</v>
      </c>
      <c r="AC236" s="109">
        <f>IF(ISERROR((X236*SUMIF('Rev_for_allocation(Hard)'!$A$3:$A$249,$T236,'Rev_for_allocation(Hard)'!$I$3:$I$249)/SUMIF(Historic_capex_list!$T$9:$T$586,$T236,Historic_capex_list!$X$9:$X$586))=TRUE),0,X236*SUMIF('Rev_for_allocation(Hard)'!$A$3:$A$249,$T236,'Rev_for_allocation(Hard)'!$I$3:$I$249)/SUMIF(Historic_capex_list!$T$9:$T$586,$T236,Historic_capex_list!$X$9:$X$586))</f>
        <v>0</v>
      </c>
      <c r="AD236" s="109">
        <f t="shared" si="116"/>
        <v>24793.29761149385</v>
      </c>
      <c r="AE236" s="109">
        <f t="shared" si="117"/>
        <v>24793.29761149385</v>
      </c>
      <c r="AF236" s="109">
        <f t="shared" si="118"/>
        <v>105258.81804152389</v>
      </c>
      <c r="AG236" s="332" t="str">
        <f t="shared" si="119"/>
        <v>N</v>
      </c>
      <c r="AH236" s="332">
        <f t="shared" si="145"/>
        <v>0</v>
      </c>
      <c r="AI236" s="332">
        <f t="shared" si="146"/>
        <v>0</v>
      </c>
      <c r="AJ236" s="109">
        <f t="shared" si="147"/>
        <v>105258.81804152389</v>
      </c>
      <c r="AK236" s="109">
        <f t="shared" si="120"/>
        <v>0</v>
      </c>
      <c r="AL236" s="109">
        <v>0</v>
      </c>
      <c r="AM236" s="111">
        <f t="shared" si="121"/>
        <v>32.454545454545453</v>
      </c>
      <c r="AN236" s="111">
        <f t="shared" si="122"/>
        <v>29.454545454545453</v>
      </c>
      <c r="AO236" s="111" t="str">
        <f t="shared" si="123"/>
        <v>Use deduct 3yrs</v>
      </c>
      <c r="AP236" s="111">
        <f t="shared" si="124"/>
        <v>29.454545454545453</v>
      </c>
      <c r="AQ236" s="112">
        <f t="shared" si="125"/>
        <v>0.74654377880184331</v>
      </c>
      <c r="AR236" s="112">
        <f t="shared" si="126"/>
        <v>0.25345622119815669</v>
      </c>
      <c r="AS236" s="113">
        <f t="shared" si="127"/>
        <v>2057</v>
      </c>
      <c r="AT236" s="109">
        <v>101524.33818330546</v>
      </c>
      <c r="AU236" s="114">
        <v>0.25345622119815669</v>
      </c>
      <c r="AV236" s="113">
        <v>2057</v>
      </c>
      <c r="AW236" s="112">
        <f t="shared" si="128"/>
        <v>0.75259043861202901</v>
      </c>
      <c r="AX236" s="109">
        <f t="shared" si="129"/>
        <v>25731.975115584333</v>
      </c>
      <c r="AY236" s="109">
        <f t="shared" si="130"/>
        <v>75792.363067721119</v>
      </c>
      <c r="AZ236" s="109">
        <f t="shared" si="131"/>
        <v>101524.33818330546</v>
      </c>
      <c r="BA236" s="111">
        <f t="shared" si="132"/>
        <v>0</v>
      </c>
      <c r="BB236" s="117"/>
      <c r="BC236" s="115" t="str">
        <f t="shared" si="133"/>
        <v>N</v>
      </c>
      <c r="BD236" s="115" t="str">
        <f t="shared" si="134"/>
        <v>N</v>
      </c>
      <c r="BE236" s="115" t="str">
        <f t="shared" si="135"/>
        <v>N</v>
      </c>
      <c r="BF236" s="109" t="str">
        <f t="shared" si="136"/>
        <v/>
      </c>
      <c r="BG236" s="111" t="s">
        <v>2499</v>
      </c>
      <c r="BH236" s="115" t="s">
        <v>1168</v>
      </c>
      <c r="BI236" s="116"/>
      <c r="BJ236" s="222">
        <v>0.75259518738690023</v>
      </c>
      <c r="BK236" s="265">
        <f t="shared" si="137"/>
        <v>-0.47824268112890422</v>
      </c>
      <c r="BL236" s="265">
        <f t="shared" si="138"/>
        <v>0.47824268112890422</v>
      </c>
      <c r="BM236" s="265">
        <f t="shared" si="139"/>
        <v>0</v>
      </c>
      <c r="BN236" s="265">
        <f t="shared" si="140"/>
        <v>-938.83987043284287</v>
      </c>
      <c r="BO236" s="109"/>
      <c r="BP236" s="265">
        <f t="shared" si="141"/>
        <v>3734.4798582184303</v>
      </c>
      <c r="BQ236" s="265">
        <v>3734.4798582184303</v>
      </c>
      <c r="BR236" s="265" t="e">
        <f t="shared" si="142"/>
        <v>#REF!</v>
      </c>
      <c r="BS236" s="265">
        <v>420.72364877018026</v>
      </c>
      <c r="BT236" s="475">
        <v>33374.661816694548</v>
      </c>
      <c r="BU236" s="475">
        <v>25731.975115584333</v>
      </c>
      <c r="BV236" s="475">
        <v>75792.363067721119</v>
      </c>
      <c r="BW236" s="483">
        <f t="shared" si="143"/>
        <v>0.16236634235974634</v>
      </c>
      <c r="BX236" s="483">
        <f t="shared" si="144"/>
        <v>0.47824268112890422</v>
      </c>
    </row>
    <row r="237" spans="1:76" s="103" customFormat="1" ht="29">
      <c r="A237" s="100" t="s">
        <v>2259</v>
      </c>
      <c r="B237" s="91" t="str">
        <f t="shared" si="111"/>
        <v>STW</v>
      </c>
      <c r="C237" s="92" t="s">
        <v>466</v>
      </c>
      <c r="D237" s="448"/>
      <c r="E237" s="449" t="s">
        <v>2118</v>
      </c>
      <c r="F237" s="620" t="s">
        <v>4767</v>
      </c>
      <c r="G237" s="620" t="s">
        <v>4961</v>
      </c>
      <c r="H237" s="470">
        <v>0.3992</v>
      </c>
      <c r="I237" s="95" t="s">
        <v>962</v>
      </c>
      <c r="J237" s="95" t="s">
        <v>1166</v>
      </c>
      <c r="K237" s="469">
        <v>93460</v>
      </c>
      <c r="L237" s="471">
        <v>0.78027867566884246</v>
      </c>
      <c r="M237" s="584">
        <v>0.25345622119815669</v>
      </c>
      <c r="N237" s="267">
        <f t="shared" si="112"/>
        <v>0.74654377880184331</v>
      </c>
      <c r="O237" s="96">
        <f t="shared" si="113"/>
        <v>64348.401864818406</v>
      </c>
      <c r="P237" s="96">
        <f t="shared" si="148"/>
        <v>7378.5156563824339</v>
      </c>
      <c r="Q237" s="96">
        <f t="shared" si="115"/>
        <v>21733.08247879917</v>
      </c>
      <c r="R237" s="187" t="s">
        <v>2314</v>
      </c>
      <c r="S237" s="187" t="s">
        <v>3607</v>
      </c>
      <c r="T237" s="94" t="s">
        <v>5395</v>
      </c>
      <c r="U237" s="395">
        <f>COUNTIF(Aggregation_of_rev_to_allocate!$A$3:$A$137,$T237)</f>
        <v>0</v>
      </c>
      <c r="V237" s="100"/>
      <c r="W237" s="100">
        <v>393</v>
      </c>
      <c r="X237" s="109">
        <v>6857.4468838349221</v>
      </c>
      <c r="Y237" s="109">
        <v>22255.532159355156</v>
      </c>
      <c r="Z237" s="110">
        <v>0.78027871252955106</v>
      </c>
      <c r="AA237" s="110">
        <v>0.23554603854389722</v>
      </c>
      <c r="AB237" s="110">
        <v>0.76445396145610278</v>
      </c>
      <c r="AC237" s="109">
        <f>IF(ISERROR((X237*SUMIF('Rev_for_allocation(Hard)'!$A$3:$A$249,$T237,'Rev_for_allocation(Hard)'!$I$3:$I$249)/SUMIF(Historic_capex_list!$T$9:$T$586,$T237,Historic_capex_list!$X$9:$X$586))=TRUE),0,X237*SUMIF('Rev_for_allocation(Hard)'!$A$3:$A$249,$T237,'Rev_for_allocation(Hard)'!$I$3:$I$249)/SUMIF(Historic_capex_list!$T$9:$T$586,$T237,Historic_capex_list!$X$9:$X$586))</f>
        <v>0</v>
      </c>
      <c r="AD237" s="109">
        <f t="shared" si="116"/>
        <v>6857.4468838349221</v>
      </c>
      <c r="AE237" s="109">
        <f t="shared" si="117"/>
        <v>6857.4468838349221</v>
      </c>
      <c r="AF237" s="109">
        <f t="shared" si="118"/>
        <v>29112.979043190076</v>
      </c>
      <c r="AG237" s="332" t="str">
        <f t="shared" si="119"/>
        <v>N</v>
      </c>
      <c r="AH237" s="332">
        <f t="shared" si="145"/>
        <v>0</v>
      </c>
      <c r="AI237" s="332">
        <f t="shared" si="146"/>
        <v>0</v>
      </c>
      <c r="AJ237" s="109">
        <f t="shared" si="147"/>
        <v>29112.979043190076</v>
      </c>
      <c r="AK237" s="109">
        <f t="shared" si="120"/>
        <v>0</v>
      </c>
      <c r="AL237" s="109">
        <v>0</v>
      </c>
      <c r="AM237" s="111">
        <f t="shared" si="121"/>
        <v>32.454545454545453</v>
      </c>
      <c r="AN237" s="111">
        <f t="shared" si="122"/>
        <v>29.454545454545453</v>
      </c>
      <c r="AO237" s="111" t="str">
        <f t="shared" si="123"/>
        <v>Use deduct 3yrs</v>
      </c>
      <c r="AP237" s="111">
        <f t="shared" si="124"/>
        <v>29.454545454545453</v>
      </c>
      <c r="AQ237" s="112">
        <f t="shared" si="125"/>
        <v>0.74654377880184331</v>
      </c>
      <c r="AR237" s="112">
        <f t="shared" si="126"/>
        <v>0.25345622119815669</v>
      </c>
      <c r="AS237" s="113">
        <f t="shared" si="127"/>
        <v>2057</v>
      </c>
      <c r="AT237" s="109">
        <v>29112.977667880179</v>
      </c>
      <c r="AU237" s="114">
        <v>0.25345622119815669</v>
      </c>
      <c r="AV237" s="113">
        <v>2057</v>
      </c>
      <c r="AW237" s="112">
        <f t="shared" si="128"/>
        <v>0.78031565130797065</v>
      </c>
      <c r="AX237" s="109">
        <f t="shared" si="129"/>
        <v>7378.8653075272359</v>
      </c>
      <c r="AY237" s="109">
        <f t="shared" si="130"/>
        <v>21734.112360352945</v>
      </c>
      <c r="AZ237" s="109">
        <f t="shared" si="131"/>
        <v>29112.977667880179</v>
      </c>
      <c r="BA237" s="111">
        <f t="shared" si="132"/>
        <v>0</v>
      </c>
      <c r="BB237" s="117"/>
      <c r="BC237" s="115" t="str">
        <f t="shared" si="133"/>
        <v>Y</v>
      </c>
      <c r="BD237" s="115" t="str">
        <f t="shared" si="134"/>
        <v>Y</v>
      </c>
      <c r="BE237" s="115" t="str">
        <f t="shared" si="135"/>
        <v>N</v>
      </c>
      <c r="BF237" s="109" t="str">
        <f t="shared" si="136"/>
        <v/>
      </c>
      <c r="BG237" s="111" t="s">
        <v>2499</v>
      </c>
      <c r="BH237" s="115" t="s">
        <v>1168</v>
      </c>
      <c r="BI237" s="116"/>
      <c r="BJ237" s="222">
        <v>0.78027867566884246</v>
      </c>
      <c r="BK237" s="265">
        <f t="shared" si="137"/>
        <v>1.0298815537753399</v>
      </c>
      <c r="BL237" s="265">
        <f t="shared" si="138"/>
        <v>-1.0298815537753399</v>
      </c>
      <c r="BM237" s="265">
        <f t="shared" si="139"/>
        <v>0</v>
      </c>
      <c r="BN237" s="265">
        <f t="shared" si="140"/>
        <v>-521.0687725475118</v>
      </c>
      <c r="BO237" s="109"/>
      <c r="BP237" s="265">
        <f t="shared" si="141"/>
        <v>1.3753098974120803E-3</v>
      </c>
      <c r="BQ237" s="265">
        <v>1.3753098974120803E-3</v>
      </c>
      <c r="BR237" s="265" t="e">
        <f t="shared" si="142"/>
        <v>#REF!</v>
      </c>
      <c r="BS237" s="265">
        <v>1.5494136270559285E-4</v>
      </c>
      <c r="BT237" s="475">
        <v>8198.0223321198191</v>
      </c>
      <c r="BU237" s="475">
        <v>7378.8653075272359</v>
      </c>
      <c r="BV237" s="475">
        <v>21734.112360352949</v>
      </c>
      <c r="BW237" s="483">
        <f t="shared" si="143"/>
        <v>-0.34965114480201009</v>
      </c>
      <c r="BX237" s="483">
        <f t="shared" si="144"/>
        <v>-1.0298815537789778</v>
      </c>
    </row>
    <row r="238" spans="1:76" s="103" customFormat="1" ht="29">
      <c r="A238" s="100" t="s">
        <v>2259</v>
      </c>
      <c r="B238" s="91" t="str">
        <f t="shared" si="111"/>
        <v>STW</v>
      </c>
      <c r="C238" s="92" t="s">
        <v>466</v>
      </c>
      <c r="D238" s="448"/>
      <c r="E238" s="449" t="s">
        <v>2100</v>
      </c>
      <c r="F238" s="467" t="s">
        <v>4768</v>
      </c>
      <c r="G238" s="467" t="s">
        <v>4962</v>
      </c>
      <c r="H238" s="470">
        <v>0.27750000000000002</v>
      </c>
      <c r="I238" s="95" t="s">
        <v>962</v>
      </c>
      <c r="J238" s="95" t="s">
        <v>1166</v>
      </c>
      <c r="K238" s="469">
        <v>54834</v>
      </c>
      <c r="L238" s="471">
        <v>0.78027867566884235</v>
      </c>
      <c r="M238" s="584">
        <v>0.25345622119815669</v>
      </c>
      <c r="N238" s="267">
        <f t="shared" si="112"/>
        <v>0.74654377880184331</v>
      </c>
      <c r="O238" s="96">
        <f t="shared" si="113"/>
        <v>42960.940249798972</v>
      </c>
      <c r="P238" s="96">
        <f t="shared" si="148"/>
        <v>3009.3008583458809</v>
      </c>
      <c r="Q238" s="96">
        <f t="shared" si="115"/>
        <v>8863.7588918551392</v>
      </c>
      <c r="R238" s="187" t="s">
        <v>2314</v>
      </c>
      <c r="S238" s="187" t="s">
        <v>3607</v>
      </c>
      <c r="T238" s="94" t="s">
        <v>5395</v>
      </c>
      <c r="U238" s="395">
        <f>COUNTIF(Aggregation_of_rev_to_allocate!$A$3:$A$137,$T238)</f>
        <v>0</v>
      </c>
      <c r="V238" s="100"/>
      <c r="W238" s="100">
        <v>395</v>
      </c>
      <c r="X238" s="109">
        <v>2796.9399554608517</v>
      </c>
      <c r="Y238" s="109">
        <v>9077.3414918138551</v>
      </c>
      <c r="Z238" s="110">
        <v>0.78027871252955094</v>
      </c>
      <c r="AA238" s="110">
        <v>0.23554603854389722</v>
      </c>
      <c r="AB238" s="110">
        <v>0.76445396145610278</v>
      </c>
      <c r="AC238" s="109">
        <f>IF(ISERROR((X238*SUMIF('Rev_for_allocation(Hard)'!$A$3:$A$249,$T238,'Rev_for_allocation(Hard)'!$I$3:$I$249)/SUMIF(Historic_capex_list!$T$9:$T$586,$T238,Historic_capex_list!$X$9:$X$586))=TRUE),0,X238*SUMIF('Rev_for_allocation(Hard)'!$A$3:$A$249,$T238,'Rev_for_allocation(Hard)'!$I$3:$I$249)/SUMIF(Historic_capex_list!$T$9:$T$586,$T238,Historic_capex_list!$X$9:$X$586))</f>
        <v>0</v>
      </c>
      <c r="AD238" s="109">
        <f t="shared" si="116"/>
        <v>2796.9399554608517</v>
      </c>
      <c r="AE238" s="109">
        <f t="shared" si="117"/>
        <v>2796.9399554608517</v>
      </c>
      <c r="AF238" s="109">
        <f t="shared" si="118"/>
        <v>11874.281447274707</v>
      </c>
      <c r="AG238" s="332" t="str">
        <f t="shared" si="119"/>
        <v>N</v>
      </c>
      <c r="AH238" s="332">
        <f t="shared" si="145"/>
        <v>0</v>
      </c>
      <c r="AI238" s="332">
        <f t="shared" si="146"/>
        <v>0</v>
      </c>
      <c r="AJ238" s="109">
        <f t="shared" si="147"/>
        <v>11874.281447274707</v>
      </c>
      <c r="AK238" s="109">
        <f t="shared" si="120"/>
        <v>0</v>
      </c>
      <c r="AL238" s="109">
        <v>0</v>
      </c>
      <c r="AM238" s="111">
        <f t="shared" si="121"/>
        <v>32.454545454545453</v>
      </c>
      <c r="AN238" s="111">
        <f t="shared" si="122"/>
        <v>29.454545454545453</v>
      </c>
      <c r="AO238" s="111" t="str">
        <f t="shared" si="123"/>
        <v>Use deduct 3yrs</v>
      </c>
      <c r="AP238" s="111">
        <f t="shared" si="124"/>
        <v>29.454545454545453</v>
      </c>
      <c r="AQ238" s="112">
        <f t="shared" si="125"/>
        <v>0.74654377880184331</v>
      </c>
      <c r="AR238" s="112">
        <f t="shared" si="126"/>
        <v>0.25345622119815669</v>
      </c>
      <c r="AS238" s="113">
        <f t="shared" si="127"/>
        <v>2057</v>
      </c>
      <c r="AT238" s="109">
        <v>11874.280886328443</v>
      </c>
      <c r="AU238" s="114">
        <v>0.25345622119815669</v>
      </c>
      <c r="AV238" s="113">
        <v>2057</v>
      </c>
      <c r="AW238" s="112">
        <f t="shared" si="128"/>
        <v>0.78035892680042607</v>
      </c>
      <c r="AX238" s="109">
        <f t="shared" si="129"/>
        <v>3009.6103628943056</v>
      </c>
      <c r="AY238" s="109">
        <f t="shared" si="130"/>
        <v>8864.6705234341352</v>
      </c>
      <c r="AZ238" s="109">
        <f t="shared" si="131"/>
        <v>11874.280886328441</v>
      </c>
      <c r="BA238" s="111">
        <f t="shared" si="132"/>
        <v>0</v>
      </c>
      <c r="BB238" s="117"/>
      <c r="BC238" s="115" t="str">
        <f t="shared" si="133"/>
        <v>Y</v>
      </c>
      <c r="BD238" s="115" t="str">
        <f t="shared" si="134"/>
        <v>Y</v>
      </c>
      <c r="BE238" s="115" t="str">
        <f t="shared" si="135"/>
        <v>N</v>
      </c>
      <c r="BF238" s="109" t="str">
        <f t="shared" si="136"/>
        <v/>
      </c>
      <c r="BG238" s="111" t="s">
        <v>2499</v>
      </c>
      <c r="BH238" s="115" t="s">
        <v>1168</v>
      </c>
      <c r="BI238" s="116"/>
      <c r="BJ238" s="222">
        <v>0.78027867566884235</v>
      </c>
      <c r="BK238" s="265">
        <f t="shared" si="137"/>
        <v>0.91163157899609359</v>
      </c>
      <c r="BL238" s="265">
        <f t="shared" si="138"/>
        <v>-0.91163157899609359</v>
      </c>
      <c r="BM238" s="265">
        <f t="shared" si="139"/>
        <v>0</v>
      </c>
      <c r="BN238" s="265">
        <f t="shared" si="140"/>
        <v>-212.36090288502919</v>
      </c>
      <c r="BO238" s="109"/>
      <c r="BP238" s="265">
        <f t="shared" si="141"/>
        <v>5.6094626415870152E-4</v>
      </c>
      <c r="BQ238" s="265">
        <v>5.6094626415870152E-4</v>
      </c>
      <c r="BR238" s="265" t="e">
        <f t="shared" si="142"/>
        <v>#REF!</v>
      </c>
      <c r="BS238" s="265">
        <v>6.3195777720284176E-5</v>
      </c>
      <c r="BT238" s="475">
        <v>3343.7191136715574</v>
      </c>
      <c r="BU238" s="475">
        <v>3009.610362894306</v>
      </c>
      <c r="BV238" s="475">
        <v>8864.6705234341371</v>
      </c>
      <c r="BW238" s="483">
        <f t="shared" si="143"/>
        <v>-0.30950454842513864</v>
      </c>
      <c r="BX238" s="483">
        <f t="shared" si="144"/>
        <v>-0.91163157899791258</v>
      </c>
    </row>
    <row r="239" spans="1:76" s="103" customFormat="1" ht="43.5">
      <c r="A239" s="100" t="s">
        <v>2259</v>
      </c>
      <c r="B239" s="91" t="str">
        <f t="shared" si="111"/>
        <v>STW</v>
      </c>
      <c r="C239" s="92" t="s">
        <v>466</v>
      </c>
      <c r="D239" s="448"/>
      <c r="E239" s="449" t="s">
        <v>2073</v>
      </c>
      <c r="F239" s="467" t="s">
        <v>4769</v>
      </c>
      <c r="G239" s="467" t="s">
        <v>4963</v>
      </c>
      <c r="H239" s="470">
        <v>9.3100000000000002E-2</v>
      </c>
      <c r="I239" s="95" t="s">
        <v>962</v>
      </c>
      <c r="J239" s="95" t="s">
        <v>1166</v>
      </c>
      <c r="K239" s="469">
        <v>1215651</v>
      </c>
      <c r="L239" s="471">
        <v>0.76157097002198459</v>
      </c>
      <c r="M239" s="584">
        <v>0.25345622119815669</v>
      </c>
      <c r="N239" s="267">
        <f t="shared" si="112"/>
        <v>0.74654377880184331</v>
      </c>
      <c r="O239" s="96">
        <f t="shared" si="113"/>
        <v>1129458.6000000001</v>
      </c>
      <c r="P239" s="96">
        <f t="shared" si="148"/>
        <v>21846.000000000004</v>
      </c>
      <c r="Q239" s="96">
        <f t="shared" si="115"/>
        <v>64346.400000000001</v>
      </c>
      <c r="R239" s="187" t="s">
        <v>2563</v>
      </c>
      <c r="S239" s="187" t="s">
        <v>3607</v>
      </c>
      <c r="T239" s="94" t="s">
        <v>5394</v>
      </c>
      <c r="U239" s="395">
        <f>COUNTIF(Aggregation_of_rev_to_allocate!$A$3:$A$137,$T239)</f>
        <v>0</v>
      </c>
      <c r="V239" s="100"/>
      <c r="W239" s="100">
        <v>319</v>
      </c>
      <c r="X239" s="109">
        <v>21049.095957357404</v>
      </c>
      <c r="Y239" s="109">
        <v>68313.884152514482</v>
      </c>
      <c r="Z239" s="110">
        <v>0.78027871252955106</v>
      </c>
      <c r="AA239" s="110">
        <v>0.23554603854389722</v>
      </c>
      <c r="AB239" s="110">
        <v>0.76445396145610278</v>
      </c>
      <c r="AC239" s="109">
        <f>IF(ISERROR((X239*SUMIF('Rev_for_allocation(Hard)'!$A$3:$A$249,$T239,'Rev_for_allocation(Hard)'!$I$3:$I$249)/SUMIF(Historic_capex_list!$T$9:$T$586,$T239,Historic_capex_list!$X$9:$X$586))=TRUE),0,X239*SUMIF('Rev_for_allocation(Hard)'!$A$3:$A$249,$T239,'Rev_for_allocation(Hard)'!$I$3:$I$249)/SUMIF(Historic_capex_list!$T$9:$T$586,$T239,Historic_capex_list!$X$9:$X$586))</f>
        <v>0</v>
      </c>
      <c r="AD239" s="109">
        <f t="shared" si="116"/>
        <v>21049.095957357404</v>
      </c>
      <c r="AE239" s="109">
        <f t="shared" si="117"/>
        <v>21049.095957357404</v>
      </c>
      <c r="AF239" s="109">
        <f t="shared" si="118"/>
        <v>89362.980109871889</v>
      </c>
      <c r="AG239" s="332" t="str">
        <f t="shared" si="119"/>
        <v>N</v>
      </c>
      <c r="AH239" s="332">
        <f t="shared" si="145"/>
        <v>0</v>
      </c>
      <c r="AI239" s="332">
        <f t="shared" si="146"/>
        <v>0</v>
      </c>
      <c r="AJ239" s="109">
        <f t="shared" si="147"/>
        <v>89362.980109871889</v>
      </c>
      <c r="AK239" s="109">
        <f t="shared" si="120"/>
        <v>0</v>
      </c>
      <c r="AL239" s="109">
        <v>0</v>
      </c>
      <c r="AM239" s="111">
        <f t="shared" si="121"/>
        <v>32.454545454545453</v>
      </c>
      <c r="AN239" s="111">
        <f t="shared" si="122"/>
        <v>29.454545454545453</v>
      </c>
      <c r="AO239" s="111" t="str">
        <f t="shared" si="123"/>
        <v>Use deduct 3yrs</v>
      </c>
      <c r="AP239" s="111">
        <f t="shared" si="124"/>
        <v>29.454545454545453</v>
      </c>
      <c r="AQ239" s="112">
        <f t="shared" si="125"/>
        <v>0.74654377880184331</v>
      </c>
      <c r="AR239" s="112">
        <f t="shared" si="126"/>
        <v>0.25345622119815669</v>
      </c>
      <c r="AS239" s="113">
        <f t="shared" si="127"/>
        <v>2057</v>
      </c>
      <c r="AT239" s="109">
        <v>86192.469025859536</v>
      </c>
      <c r="AU239" s="114">
        <v>0.25345622119815669</v>
      </c>
      <c r="AV239" s="113">
        <v>2057</v>
      </c>
      <c r="AW239" s="112">
        <f t="shared" si="128"/>
        <v>0.76157157991439739</v>
      </c>
      <c r="AX239" s="109">
        <f t="shared" si="129"/>
        <v>21846.017495033528</v>
      </c>
      <c r="AY239" s="109">
        <f t="shared" si="130"/>
        <v>64346.451530826023</v>
      </c>
      <c r="AZ239" s="109">
        <f t="shared" si="131"/>
        <v>86192.469025859551</v>
      </c>
      <c r="BA239" s="111">
        <f t="shared" si="132"/>
        <v>0</v>
      </c>
      <c r="BB239" s="117"/>
      <c r="BC239" s="115" t="str">
        <f t="shared" si="133"/>
        <v>N</v>
      </c>
      <c r="BD239" s="115" t="str">
        <f t="shared" si="134"/>
        <v>N</v>
      </c>
      <c r="BE239" s="115" t="str">
        <f t="shared" si="135"/>
        <v>N</v>
      </c>
      <c r="BF239" s="109" t="str">
        <f t="shared" si="136"/>
        <v/>
      </c>
      <c r="BG239" s="111" t="s">
        <v>2499</v>
      </c>
      <c r="BH239" s="115" t="s">
        <v>1168</v>
      </c>
      <c r="BI239" s="116"/>
      <c r="BJ239" s="222">
        <v>0.75259518738690034</v>
      </c>
      <c r="BK239" s="265">
        <f t="shared" si="137"/>
        <v>5.1530826021917164E-2</v>
      </c>
      <c r="BL239" s="265">
        <f t="shared" si="138"/>
        <v>-5.1530826021917164E-2</v>
      </c>
      <c r="BM239" s="265">
        <f t="shared" si="139"/>
        <v>-9.4587448984384537E-11</v>
      </c>
      <c r="BN239" s="265">
        <f t="shared" si="140"/>
        <v>-796.90404264259996</v>
      </c>
      <c r="BO239" s="109"/>
      <c r="BP239" s="265">
        <f t="shared" si="141"/>
        <v>3170.5110840123525</v>
      </c>
      <c r="BQ239" s="265">
        <v>3170.5110840123525</v>
      </c>
      <c r="BR239" s="265" t="e">
        <f t="shared" si="142"/>
        <v>#REF!</v>
      </c>
      <c r="BS239" s="265">
        <v>357.18735737627748</v>
      </c>
      <c r="BT239" s="475">
        <v>28334.530974140464</v>
      </c>
      <c r="BU239" s="475">
        <v>21846.017495033524</v>
      </c>
      <c r="BV239" s="475">
        <v>64346.451530826009</v>
      </c>
      <c r="BW239" s="483">
        <f t="shared" si="143"/>
        <v>-1.749503352039028E-2</v>
      </c>
      <c r="BX239" s="483">
        <f t="shared" si="144"/>
        <v>-5.1530826007365249E-2</v>
      </c>
    </row>
    <row r="240" spans="1:76" s="103" customFormat="1" ht="14.5">
      <c r="A240" s="100" t="s">
        <v>2259</v>
      </c>
      <c r="B240" s="91" t="str">
        <f t="shared" si="111"/>
        <v>STW</v>
      </c>
      <c r="C240" s="92" t="s">
        <v>466</v>
      </c>
      <c r="D240" s="448"/>
      <c r="E240" s="449" t="s">
        <v>2067</v>
      </c>
      <c r="F240" s="620" t="s">
        <v>4770</v>
      </c>
      <c r="G240" s="620" t="s">
        <v>4668</v>
      </c>
      <c r="H240" s="470">
        <v>0.16189999999999999</v>
      </c>
      <c r="I240" s="95" t="s">
        <v>962</v>
      </c>
      <c r="J240" s="95" t="s">
        <v>1166</v>
      </c>
      <c r="K240" s="469">
        <v>154163</v>
      </c>
      <c r="L240" s="471">
        <v>0.75259518738690023</v>
      </c>
      <c r="M240" s="584">
        <v>0.25345622119815669</v>
      </c>
      <c r="N240" s="267">
        <f t="shared" si="112"/>
        <v>0.74654377880184331</v>
      </c>
      <c r="O240" s="96">
        <f t="shared" si="113"/>
        <v>135378.9844697408</v>
      </c>
      <c r="P240" s="96">
        <f t="shared" si="148"/>
        <v>4760.9255952269896</v>
      </c>
      <c r="Q240" s="96">
        <f t="shared" si="115"/>
        <v>14023.089935032223</v>
      </c>
      <c r="R240" s="187" t="s">
        <v>2563</v>
      </c>
      <c r="S240" s="187" t="s">
        <v>3607</v>
      </c>
      <c r="T240" s="94" t="s">
        <v>5394</v>
      </c>
      <c r="U240" s="395">
        <f>COUNTIF(Aggregation_of_rev_to_allocate!$A$3:$A$137,$T240)</f>
        <v>0</v>
      </c>
      <c r="V240" s="100"/>
      <c r="W240" s="100">
        <v>320</v>
      </c>
      <c r="X240" s="109">
        <v>4588.5400793820227</v>
      </c>
      <c r="Y240" s="109">
        <v>14891.898257630746</v>
      </c>
      <c r="Z240" s="110">
        <v>0.78027871252955094</v>
      </c>
      <c r="AA240" s="110">
        <v>0.23554603854389722</v>
      </c>
      <c r="AB240" s="110">
        <v>0.76445396145610278</v>
      </c>
      <c r="AC240" s="109">
        <f>IF(ISERROR((X240*SUMIF('Rev_for_allocation(Hard)'!$A$3:$A$249,$T240,'Rev_for_allocation(Hard)'!$I$3:$I$249)/SUMIF(Historic_capex_list!$T$9:$T$586,$T240,Historic_capex_list!$X$9:$X$586))=TRUE),0,X240*SUMIF('Rev_for_allocation(Hard)'!$A$3:$A$249,$T240,'Rev_for_allocation(Hard)'!$I$3:$I$249)/SUMIF(Historic_capex_list!$T$9:$T$586,$T240,Historic_capex_list!$X$9:$X$586))</f>
        <v>0</v>
      </c>
      <c r="AD240" s="109">
        <f t="shared" si="116"/>
        <v>4588.5400793820227</v>
      </c>
      <c r="AE240" s="109">
        <f t="shared" si="117"/>
        <v>4588.5400793820227</v>
      </c>
      <c r="AF240" s="109">
        <f t="shared" si="118"/>
        <v>19480.438337012769</v>
      </c>
      <c r="AG240" s="332" t="str">
        <f t="shared" si="119"/>
        <v>N</v>
      </c>
      <c r="AH240" s="332">
        <f t="shared" si="145"/>
        <v>0</v>
      </c>
      <c r="AI240" s="332">
        <f t="shared" si="146"/>
        <v>0</v>
      </c>
      <c r="AJ240" s="109">
        <f t="shared" si="147"/>
        <v>19480.438337012769</v>
      </c>
      <c r="AK240" s="109">
        <f t="shared" si="120"/>
        <v>0</v>
      </c>
      <c r="AL240" s="109">
        <v>0</v>
      </c>
      <c r="AM240" s="111">
        <f t="shared" si="121"/>
        <v>32.454545454545453</v>
      </c>
      <c r="AN240" s="111">
        <f t="shared" si="122"/>
        <v>29.454545454545453</v>
      </c>
      <c r="AO240" s="111" t="str">
        <f t="shared" si="123"/>
        <v>Use deduct 3yrs</v>
      </c>
      <c r="AP240" s="111">
        <f t="shared" si="124"/>
        <v>29.454545454545453</v>
      </c>
      <c r="AQ240" s="112">
        <f t="shared" si="125"/>
        <v>0.74654377880184331</v>
      </c>
      <c r="AR240" s="112">
        <f t="shared" si="126"/>
        <v>0.25345622119815669</v>
      </c>
      <c r="AS240" s="113">
        <f t="shared" si="127"/>
        <v>2057</v>
      </c>
      <c r="AT240" s="109">
        <v>18789.291448301352</v>
      </c>
      <c r="AU240" s="114">
        <v>0.25345622119815669</v>
      </c>
      <c r="AV240" s="113">
        <v>2057</v>
      </c>
      <c r="AW240" s="112">
        <f t="shared" si="128"/>
        <v>0.75280657086457925</v>
      </c>
      <c r="AX240" s="109">
        <f t="shared" si="129"/>
        <v>4762.2628094773008</v>
      </c>
      <c r="AY240" s="109">
        <f t="shared" si="130"/>
        <v>14027.028638824051</v>
      </c>
      <c r="AZ240" s="109">
        <f t="shared" si="131"/>
        <v>18789.291448301352</v>
      </c>
      <c r="BA240" s="111">
        <f t="shared" si="132"/>
        <v>0</v>
      </c>
      <c r="BB240" s="117"/>
      <c r="BC240" s="115" t="str">
        <f t="shared" si="133"/>
        <v>Y</v>
      </c>
      <c r="BD240" s="115" t="str">
        <f t="shared" si="134"/>
        <v>Y</v>
      </c>
      <c r="BE240" s="115" t="str">
        <f t="shared" si="135"/>
        <v>N</v>
      </c>
      <c r="BF240" s="109" t="str">
        <f t="shared" si="136"/>
        <v/>
      </c>
      <c r="BG240" s="111" t="s">
        <v>2499</v>
      </c>
      <c r="BH240" s="115" t="s">
        <v>1168</v>
      </c>
      <c r="BI240" s="116"/>
      <c r="BJ240" s="222">
        <v>0.75259518738690023</v>
      </c>
      <c r="BK240" s="265">
        <f t="shared" si="137"/>
        <v>3.9387037918277201</v>
      </c>
      <c r="BL240" s="265">
        <f t="shared" si="138"/>
        <v>-3.9387037918277201</v>
      </c>
      <c r="BM240" s="265">
        <f t="shared" si="139"/>
        <v>0</v>
      </c>
      <c r="BN240" s="265">
        <f t="shared" si="140"/>
        <v>-172.3855158449669</v>
      </c>
      <c r="BO240" s="109"/>
      <c r="BP240" s="265">
        <f t="shared" si="141"/>
        <v>691.14688871141698</v>
      </c>
      <c r="BQ240" s="265">
        <v>691.14688871141698</v>
      </c>
      <c r="BR240" s="265" t="e">
        <f t="shared" si="142"/>
        <v>#REF!</v>
      </c>
      <c r="BS240" s="265">
        <v>77.864080646975381</v>
      </c>
      <c r="BT240" s="475">
        <v>6176.708551698649</v>
      </c>
      <c r="BU240" s="475">
        <v>4762.2628094773017</v>
      </c>
      <c r="BV240" s="475">
        <v>14027.028638824051</v>
      </c>
      <c r="BW240" s="483">
        <f t="shared" si="143"/>
        <v>-1.3372142503121722</v>
      </c>
      <c r="BX240" s="483">
        <f t="shared" si="144"/>
        <v>-3.9387037918277201</v>
      </c>
    </row>
    <row r="241" spans="1:77" s="103" customFormat="1" ht="14.5">
      <c r="A241" s="100" t="s">
        <v>2259</v>
      </c>
      <c r="B241" s="91" t="str">
        <f t="shared" si="111"/>
        <v>STW</v>
      </c>
      <c r="C241" s="92" t="s">
        <v>466</v>
      </c>
      <c r="D241" s="448"/>
      <c r="E241" s="449" t="s">
        <v>2101</v>
      </c>
      <c r="F241" s="620" t="s">
        <v>4771</v>
      </c>
      <c r="G241" s="620" t="s">
        <v>5316</v>
      </c>
      <c r="H241" s="470">
        <v>0.39</v>
      </c>
      <c r="I241" s="95" t="s">
        <v>962</v>
      </c>
      <c r="J241" s="95" t="s">
        <v>1166</v>
      </c>
      <c r="K241" s="469">
        <v>1668420</v>
      </c>
      <c r="L241" s="471">
        <v>0.78834048399265777</v>
      </c>
      <c r="M241" s="584">
        <v>0.25345622119815669</v>
      </c>
      <c r="N241" s="267">
        <f t="shared" si="112"/>
        <v>0.74654377880184331</v>
      </c>
      <c r="O241" s="96">
        <f t="shared" si="113"/>
        <v>1155459.6181818182</v>
      </c>
      <c r="P241" s="96">
        <f t="shared" si="148"/>
        <v>130012.99999999999</v>
      </c>
      <c r="Q241" s="96">
        <f t="shared" si="115"/>
        <v>382947.38181818172</v>
      </c>
      <c r="R241" s="187" t="s">
        <v>2314</v>
      </c>
      <c r="S241" s="187" t="s">
        <v>3607</v>
      </c>
      <c r="T241" s="94" t="s">
        <v>5395</v>
      </c>
      <c r="U241" s="395">
        <f>COUNTIF(Aggregation_of_rev_to_allocate!$A$3:$A$137,$T241)</f>
        <v>0</v>
      </c>
      <c r="V241" s="100"/>
      <c r="W241" s="100">
        <v>396</v>
      </c>
      <c r="X241" s="109">
        <v>120825.85788537601</v>
      </c>
      <c r="Y241" s="109">
        <v>392134.82968253852</v>
      </c>
      <c r="Z241" s="110">
        <v>0.78027871252955106</v>
      </c>
      <c r="AA241" s="110">
        <v>0.23554603854389722</v>
      </c>
      <c r="AB241" s="110">
        <v>0.76445396145610278</v>
      </c>
      <c r="AC241" s="109">
        <f>IF(ISERROR((X241*SUMIF('Rev_for_allocation(Hard)'!$A$3:$A$249,$T241,'Rev_for_allocation(Hard)'!$I$3:$I$249)/SUMIF(Historic_capex_list!$T$9:$T$586,$T241,Historic_capex_list!$X$9:$X$586))=TRUE),0,X241*SUMIF('Rev_for_allocation(Hard)'!$A$3:$A$249,$T241,'Rev_for_allocation(Hard)'!$I$3:$I$249)/SUMIF(Historic_capex_list!$T$9:$T$586,$T241,Historic_capex_list!$X$9:$X$586))</f>
        <v>0</v>
      </c>
      <c r="AD241" s="109">
        <f t="shared" si="116"/>
        <v>120825.85788537601</v>
      </c>
      <c r="AE241" s="109">
        <f t="shared" si="117"/>
        <v>120825.85788537601</v>
      </c>
      <c r="AF241" s="109">
        <f t="shared" si="118"/>
        <v>512960.68756791455</v>
      </c>
      <c r="AG241" s="332" t="str">
        <f t="shared" si="119"/>
        <v>N</v>
      </c>
      <c r="AH241" s="332">
        <f t="shared" si="145"/>
        <v>0</v>
      </c>
      <c r="AI241" s="332">
        <f t="shared" si="146"/>
        <v>0</v>
      </c>
      <c r="AJ241" s="109">
        <f t="shared" si="147"/>
        <v>512960.68756791455</v>
      </c>
      <c r="AK241" s="109">
        <f t="shared" si="120"/>
        <v>0</v>
      </c>
      <c r="AL241" s="109">
        <v>0</v>
      </c>
      <c r="AM241" s="111">
        <f t="shared" si="121"/>
        <v>32.454545454545453</v>
      </c>
      <c r="AN241" s="111">
        <f t="shared" si="122"/>
        <v>29.454545454545453</v>
      </c>
      <c r="AO241" s="111" t="str">
        <f t="shared" si="123"/>
        <v>Use deduct 3yrs</v>
      </c>
      <c r="AP241" s="111">
        <f t="shared" si="124"/>
        <v>29.454545454545453</v>
      </c>
      <c r="AQ241" s="112">
        <f t="shared" si="125"/>
        <v>0.74654377880184331</v>
      </c>
      <c r="AR241" s="112">
        <f t="shared" si="126"/>
        <v>0.25345622119815669</v>
      </c>
      <c r="AS241" s="113">
        <f t="shared" si="127"/>
        <v>2057</v>
      </c>
      <c r="AT241" s="109">
        <v>512960.66333542665</v>
      </c>
      <c r="AU241" s="114">
        <v>0.25345622119815669</v>
      </c>
      <c r="AV241" s="113">
        <v>2057</v>
      </c>
      <c r="AW241" s="112">
        <f t="shared" si="128"/>
        <v>0.78834091664096539</v>
      </c>
      <c r="AX241" s="109">
        <f t="shared" si="129"/>
        <v>130013.07135229706</v>
      </c>
      <c r="AY241" s="109">
        <f t="shared" si="130"/>
        <v>382947.59198312956</v>
      </c>
      <c r="AZ241" s="109">
        <f t="shared" si="131"/>
        <v>512960.66333542659</v>
      </c>
      <c r="BA241" s="111">
        <f t="shared" si="132"/>
        <v>0</v>
      </c>
      <c r="BB241" s="117"/>
      <c r="BC241" s="115" t="str">
        <f t="shared" si="133"/>
        <v>N</v>
      </c>
      <c r="BD241" s="115" t="str">
        <f t="shared" si="134"/>
        <v>N</v>
      </c>
      <c r="BE241" s="115" t="str">
        <f t="shared" si="135"/>
        <v>N</v>
      </c>
      <c r="BF241" s="109" t="str">
        <f t="shared" si="136"/>
        <v/>
      </c>
      <c r="BG241" s="111" t="s">
        <v>2499</v>
      </c>
      <c r="BH241" s="115" t="s">
        <v>1168</v>
      </c>
      <c r="BI241" s="116"/>
      <c r="BJ241" s="222">
        <v>0.78027867566884235</v>
      </c>
      <c r="BK241" s="265">
        <f t="shared" si="137"/>
        <v>0.21016494784271345</v>
      </c>
      <c r="BL241" s="265">
        <f t="shared" si="138"/>
        <v>-0.21016494784271345</v>
      </c>
      <c r="BM241" s="265">
        <f t="shared" si="139"/>
        <v>0</v>
      </c>
      <c r="BN241" s="265">
        <f t="shared" si="140"/>
        <v>-9187.1421146239736</v>
      </c>
      <c r="BO241" s="109"/>
      <c r="BP241" s="265">
        <f t="shared" si="141"/>
        <v>2.4232487892732024E-2</v>
      </c>
      <c r="BQ241" s="265">
        <v>2.4232487892732024E-2</v>
      </c>
      <c r="BR241" s="265" t="e">
        <f t="shared" si="142"/>
        <v>#REF!</v>
      </c>
      <c r="BS241" s="265">
        <v>2.7300135794207075E-3</v>
      </c>
      <c r="BT241" s="475">
        <v>144446.33666457335</v>
      </c>
      <c r="BU241" s="475">
        <v>130013.07135229709</v>
      </c>
      <c r="BV241" s="475">
        <v>382947.59198312956</v>
      </c>
      <c r="BW241" s="483">
        <f t="shared" si="143"/>
        <v>-7.1352297105477192E-2</v>
      </c>
      <c r="BX241" s="483">
        <f t="shared" si="144"/>
        <v>-0.21016494784271345</v>
      </c>
    </row>
    <row r="242" spans="1:77" s="103" customFormat="1" ht="14.5">
      <c r="A242" s="100" t="s">
        <v>2259</v>
      </c>
      <c r="B242" s="91" t="str">
        <f t="shared" si="111"/>
        <v>STW</v>
      </c>
      <c r="C242" s="92" t="s">
        <v>466</v>
      </c>
      <c r="D242" s="448"/>
      <c r="E242" s="449" t="s">
        <v>2183</v>
      </c>
      <c r="F242" s="384" t="s">
        <v>5359</v>
      </c>
      <c r="G242" s="384" t="s">
        <v>4668</v>
      </c>
      <c r="H242" s="470">
        <v>0.71015118790496801</v>
      </c>
      <c r="I242" s="95" t="s">
        <v>951</v>
      </c>
      <c r="J242" s="95" t="s">
        <v>1166</v>
      </c>
      <c r="K242" s="469">
        <v>463000</v>
      </c>
      <c r="L242" s="268">
        <v>0.30122049389819411</v>
      </c>
      <c r="M242" s="584">
        <v>0.30805687203791476</v>
      </c>
      <c r="N242" s="267">
        <f t="shared" si="112"/>
        <v>0.69194312796208524</v>
      </c>
      <c r="O242" s="96">
        <f t="shared" si="113"/>
        <v>363958.70160627371</v>
      </c>
      <c r="P242" s="96">
        <f t="shared" si="148"/>
        <v>30510.352585745066</v>
      </c>
      <c r="Q242" s="96">
        <f t="shared" si="115"/>
        <v>68530.945807981203</v>
      </c>
      <c r="R242" s="187" t="s">
        <v>2561</v>
      </c>
      <c r="S242" s="187" t="s">
        <v>3607</v>
      </c>
      <c r="T242" s="94" t="s">
        <v>5393</v>
      </c>
      <c r="U242" s="395">
        <f>COUNTIF(Aggregation_of_rev_to_allocate!$A$3:$A$137,$T242)</f>
        <v>0</v>
      </c>
      <c r="V242" s="100"/>
      <c r="W242" s="100">
        <v>298</v>
      </c>
      <c r="X242" s="109">
        <v>72196.256706677392</v>
      </c>
      <c r="Y242" s="109">
        <v>183822.77669161707</v>
      </c>
      <c r="Z242" s="110">
        <v>0.77864669525028729</v>
      </c>
      <c r="AA242" s="110">
        <v>0.28199566160520606</v>
      </c>
      <c r="AB242" s="110">
        <v>0.71800433839479394</v>
      </c>
      <c r="AC242" s="109">
        <f>IF(ISERROR((X242*SUMIF('Rev_for_allocation(Hard)'!$A$3:$A$249,$T242,'Rev_for_allocation(Hard)'!$I$3:$I$249)/SUMIF(Historic_capex_list!$T$9:$T$586,$T242,Historic_capex_list!$X$9:$X$586))=TRUE),0,X242*SUMIF('Rev_for_allocation(Hard)'!$A$3:$A$249,$T242,'Rev_for_allocation(Hard)'!$I$3:$I$249)/SUMIF(Historic_capex_list!$T$9:$T$586,$T242,Historic_capex_list!$X$9:$X$586))</f>
        <v>0</v>
      </c>
      <c r="AD242" s="109">
        <f t="shared" si="116"/>
        <v>72196.256706677392</v>
      </c>
      <c r="AE242" s="109">
        <f t="shared" si="117"/>
        <v>72196.256706677392</v>
      </c>
      <c r="AF242" s="109">
        <f t="shared" si="118"/>
        <v>256019.03339829447</v>
      </c>
      <c r="AG242" s="332" t="str">
        <f t="shared" si="119"/>
        <v>N</v>
      </c>
      <c r="AH242" s="332">
        <f t="shared" si="145"/>
        <v>0</v>
      </c>
      <c r="AI242" s="332">
        <f t="shared" si="146"/>
        <v>0</v>
      </c>
      <c r="AJ242" s="109">
        <f t="shared" si="147"/>
        <v>256019.03339829447</v>
      </c>
      <c r="AK242" s="109">
        <f t="shared" si="120"/>
        <v>0</v>
      </c>
      <c r="AL242" s="109">
        <v>0</v>
      </c>
      <c r="AM242" s="111">
        <f t="shared" si="121"/>
        <v>25.461538461538463</v>
      </c>
      <c r="AN242" s="111">
        <f t="shared" si="122"/>
        <v>22.461538461538463</v>
      </c>
      <c r="AO242" s="111" t="str">
        <f t="shared" si="123"/>
        <v>Use deduct 3yrs</v>
      </c>
      <c r="AP242" s="111">
        <f t="shared" si="124"/>
        <v>22.461538461538463</v>
      </c>
      <c r="AQ242" s="112">
        <f t="shared" si="125"/>
        <v>0.69194312796208524</v>
      </c>
      <c r="AR242" s="112">
        <f t="shared" si="126"/>
        <v>0.30805687203791476</v>
      </c>
      <c r="AS242" s="113">
        <f t="shared" si="127"/>
        <v>2050</v>
      </c>
      <c r="AT242" s="109">
        <v>99041.298393726218</v>
      </c>
      <c r="AU242" s="114">
        <v>0.30805687203791476</v>
      </c>
      <c r="AV242" s="113">
        <v>2043</v>
      </c>
      <c r="AW242" s="112">
        <f t="shared" si="128"/>
        <v>0.30122049389819394</v>
      </c>
      <c r="AX242" s="109">
        <f t="shared" si="129"/>
        <v>30510.352585745055</v>
      </c>
      <c r="AY242" s="109">
        <f t="shared" si="130"/>
        <v>68530.945807981174</v>
      </c>
      <c r="AZ242" s="109">
        <f t="shared" si="131"/>
        <v>99041.298393726232</v>
      </c>
      <c r="BA242" s="111">
        <f t="shared" si="132"/>
        <v>0</v>
      </c>
      <c r="BB242" s="117"/>
      <c r="BC242" s="115" t="str">
        <f t="shared" si="133"/>
        <v>N</v>
      </c>
      <c r="BD242" s="115" t="str">
        <f t="shared" si="134"/>
        <v>N</v>
      </c>
      <c r="BE242" s="115" t="str">
        <f t="shared" si="135"/>
        <v>N</v>
      </c>
      <c r="BF242" s="109" t="str">
        <f t="shared" si="136"/>
        <v/>
      </c>
      <c r="BG242" s="111" t="s">
        <v>2499</v>
      </c>
      <c r="BH242" s="115" t="s">
        <v>1168</v>
      </c>
      <c r="BI242" s="116"/>
      <c r="BJ242" s="222">
        <v>0.30122049389819411</v>
      </c>
      <c r="BK242" s="265">
        <f t="shared" si="137"/>
        <v>0</v>
      </c>
      <c r="BL242" s="265">
        <f t="shared" si="138"/>
        <v>0</v>
      </c>
      <c r="BM242" s="265">
        <f t="shared" si="139"/>
        <v>0</v>
      </c>
      <c r="BN242" s="265">
        <f t="shared" si="140"/>
        <v>41685.904120932326</v>
      </c>
      <c r="BO242" s="109"/>
      <c r="BP242" s="265">
        <f t="shared" si="141"/>
        <v>156977.73500456824</v>
      </c>
      <c r="BQ242" s="265">
        <v>156977.73500456824</v>
      </c>
      <c r="BR242" s="265" t="e">
        <f t="shared" si="142"/>
        <v>#REF!</v>
      </c>
      <c r="BS242" s="265">
        <v>17684.991740270743</v>
      </c>
      <c r="BT242" s="475">
        <v>229758.70160627377</v>
      </c>
      <c r="BU242" s="475">
        <v>30510.352585745051</v>
      </c>
      <c r="BV242" s="475">
        <v>68530.945807981174</v>
      </c>
      <c r="BW242" s="483">
        <f t="shared" si="143"/>
        <v>0</v>
      </c>
      <c r="BX242" s="483">
        <f t="shared" si="144"/>
        <v>0</v>
      </c>
    </row>
    <row r="243" spans="1:77" s="103" customFormat="1" ht="29">
      <c r="A243" s="100" t="s">
        <v>2259</v>
      </c>
      <c r="B243" s="91" t="str">
        <f t="shared" si="111"/>
        <v>STW</v>
      </c>
      <c r="C243" s="92" t="s">
        <v>466</v>
      </c>
      <c r="D243" s="448"/>
      <c r="E243" s="449" t="s">
        <v>2102</v>
      </c>
      <c r="F243" s="467" t="s">
        <v>4775</v>
      </c>
      <c r="G243" s="467" t="s">
        <v>4964</v>
      </c>
      <c r="H243" s="470">
        <v>0.36159999999999998</v>
      </c>
      <c r="I243" s="95" t="s">
        <v>962</v>
      </c>
      <c r="J243" s="95" t="s">
        <v>1166</v>
      </c>
      <c r="K243" s="469">
        <v>237819</v>
      </c>
      <c r="L243" s="471">
        <v>0.78027867566884235</v>
      </c>
      <c r="M243" s="584">
        <v>0.25345622119815669</v>
      </c>
      <c r="N243" s="267">
        <f t="shared" si="112"/>
        <v>0.74654377880184331</v>
      </c>
      <c r="O243" s="96">
        <f t="shared" si="113"/>
        <v>170718.66187620995</v>
      </c>
      <c r="P243" s="96">
        <f t="shared" si="148"/>
        <v>17006.998141974436</v>
      </c>
      <c r="Q243" s="96">
        <f t="shared" si="115"/>
        <v>50093.33998181561</v>
      </c>
      <c r="R243" s="187" t="s">
        <v>2314</v>
      </c>
      <c r="S243" s="187" t="s">
        <v>3607</v>
      </c>
      <c r="T243" s="94" t="s">
        <v>5395</v>
      </c>
      <c r="U243" s="395">
        <f>COUNTIF(Aggregation_of_rev_to_allocate!$A$3:$A$137,$T243)</f>
        <v>0</v>
      </c>
      <c r="V243" s="100"/>
      <c r="W243" s="100">
        <v>398</v>
      </c>
      <c r="X243" s="109">
        <v>15805.890342336559</v>
      </c>
      <c r="Y243" s="109">
        <v>51297.29865649229</v>
      </c>
      <c r="Z243" s="110">
        <v>0.78027871252955083</v>
      </c>
      <c r="AA243" s="110">
        <v>0.23554603854389722</v>
      </c>
      <c r="AB243" s="110">
        <v>0.76445396145610278</v>
      </c>
      <c r="AC243" s="109">
        <f>IF(ISERROR((X243*SUMIF('Rev_for_allocation(Hard)'!$A$3:$A$249,$T243,'Rev_for_allocation(Hard)'!$I$3:$I$249)/SUMIF(Historic_capex_list!$T$9:$T$586,$T243,Historic_capex_list!$X$9:$X$586))=TRUE),0,X243*SUMIF('Rev_for_allocation(Hard)'!$A$3:$A$249,$T243,'Rev_for_allocation(Hard)'!$I$3:$I$249)/SUMIF(Historic_capex_list!$T$9:$T$586,$T243,Historic_capex_list!$X$9:$X$586))</f>
        <v>0</v>
      </c>
      <c r="AD243" s="109">
        <f t="shared" si="116"/>
        <v>15805.890342336559</v>
      </c>
      <c r="AE243" s="109">
        <f t="shared" si="117"/>
        <v>15805.890342336559</v>
      </c>
      <c r="AF243" s="109">
        <f t="shared" si="118"/>
        <v>67103.188998828846</v>
      </c>
      <c r="AG243" s="332" t="str">
        <f t="shared" si="119"/>
        <v>N</v>
      </c>
      <c r="AH243" s="332">
        <f t="shared" si="145"/>
        <v>0</v>
      </c>
      <c r="AI243" s="332">
        <f t="shared" si="146"/>
        <v>0</v>
      </c>
      <c r="AJ243" s="109">
        <f t="shared" si="147"/>
        <v>67103.188998828846</v>
      </c>
      <c r="AK243" s="109">
        <f t="shared" si="120"/>
        <v>0</v>
      </c>
      <c r="AL243" s="109">
        <v>0</v>
      </c>
      <c r="AM243" s="111">
        <f t="shared" si="121"/>
        <v>32.454545454545453</v>
      </c>
      <c r="AN243" s="111">
        <f t="shared" si="122"/>
        <v>29.454545454545453</v>
      </c>
      <c r="AO243" s="111" t="str">
        <f t="shared" si="123"/>
        <v>Use deduct 3yrs</v>
      </c>
      <c r="AP243" s="111">
        <f t="shared" si="124"/>
        <v>29.454545454545453</v>
      </c>
      <c r="AQ243" s="112">
        <f t="shared" si="125"/>
        <v>0.74654377880184331</v>
      </c>
      <c r="AR243" s="112">
        <f t="shared" si="126"/>
        <v>0.25345622119815669</v>
      </c>
      <c r="AS243" s="113">
        <f t="shared" si="127"/>
        <v>2057</v>
      </c>
      <c r="AT243" s="109">
        <v>67103.185828844769</v>
      </c>
      <c r="AU243" s="114">
        <v>0.25345622119815669</v>
      </c>
      <c r="AV243" s="113">
        <v>2057</v>
      </c>
      <c r="AW243" s="112">
        <f t="shared" si="128"/>
        <v>0.78031179030866271</v>
      </c>
      <c r="AX243" s="109">
        <f t="shared" si="129"/>
        <v>17007.719910536693</v>
      </c>
      <c r="AY243" s="109">
        <f t="shared" si="130"/>
        <v>50095.46591830808</v>
      </c>
      <c r="AZ243" s="109">
        <f t="shared" si="131"/>
        <v>67103.185828844769</v>
      </c>
      <c r="BA243" s="111">
        <f t="shared" si="132"/>
        <v>0</v>
      </c>
      <c r="BB243" s="117"/>
      <c r="BC243" s="115" t="str">
        <f t="shared" si="133"/>
        <v>N</v>
      </c>
      <c r="BD243" s="115" t="str">
        <f t="shared" si="134"/>
        <v>N</v>
      </c>
      <c r="BE243" s="115" t="str">
        <f t="shared" si="135"/>
        <v>N</v>
      </c>
      <c r="BF243" s="109" t="str">
        <f t="shared" si="136"/>
        <v/>
      </c>
      <c r="BG243" s="111" t="s">
        <v>2499</v>
      </c>
      <c r="BH243" s="115" t="s">
        <v>1168</v>
      </c>
      <c r="BI243" s="116"/>
      <c r="BJ243" s="222">
        <v>0.78027867566884235</v>
      </c>
      <c r="BK243" s="265">
        <f t="shared" si="137"/>
        <v>2.1259364924699184</v>
      </c>
      <c r="BL243" s="265">
        <f t="shared" si="138"/>
        <v>-2.1259364924699184</v>
      </c>
      <c r="BM243" s="265">
        <f t="shared" si="139"/>
        <v>0</v>
      </c>
      <c r="BN243" s="265">
        <f t="shared" si="140"/>
        <v>-1201.1077996378772</v>
      </c>
      <c r="BO243" s="109"/>
      <c r="BP243" s="265">
        <f t="shared" si="141"/>
        <v>3.1699840765213594E-3</v>
      </c>
      <c r="BQ243" s="265">
        <v>3.1699840765213594E-3</v>
      </c>
      <c r="BR243" s="265" t="e">
        <f t="shared" si="142"/>
        <v>#REF!</v>
      </c>
      <c r="BS243" s="265">
        <v>3.5712798511482267E-4</v>
      </c>
      <c r="BT243" s="475">
        <v>18895.814171155227</v>
      </c>
      <c r="BU243" s="475">
        <v>17007.719910536693</v>
      </c>
      <c r="BV243" s="475">
        <v>50095.465918308073</v>
      </c>
      <c r="BW243" s="483">
        <f t="shared" si="143"/>
        <v>-0.72176856225632946</v>
      </c>
      <c r="BX243" s="483">
        <f t="shared" si="144"/>
        <v>-2.1259364924626425</v>
      </c>
    </row>
    <row r="244" spans="1:77" s="103" customFormat="1" ht="29">
      <c r="A244" s="100" t="s">
        <v>2259</v>
      </c>
      <c r="B244" s="91" t="str">
        <f t="shared" si="111"/>
        <v>STW</v>
      </c>
      <c r="C244" s="92" t="s">
        <v>466</v>
      </c>
      <c r="D244" s="448"/>
      <c r="E244" s="449" t="s">
        <v>2119</v>
      </c>
      <c r="F244" s="467" t="s">
        <v>4776</v>
      </c>
      <c r="G244" s="467" t="s">
        <v>4965</v>
      </c>
      <c r="H244" s="470">
        <v>0.28360000000000002</v>
      </c>
      <c r="I244" s="95" t="s">
        <v>962</v>
      </c>
      <c r="J244" s="95" t="s">
        <v>1166</v>
      </c>
      <c r="K244" s="469">
        <v>306621</v>
      </c>
      <c r="L244" s="471">
        <v>0.75259518738690034</v>
      </c>
      <c r="M244" s="584">
        <v>0.25345622119815669</v>
      </c>
      <c r="N244" s="267">
        <f t="shared" si="112"/>
        <v>0.74654377880184331</v>
      </c>
      <c r="O244" s="96">
        <f t="shared" si="113"/>
        <v>241177.04173328119</v>
      </c>
      <c r="P244" s="96">
        <f t="shared" si="148"/>
        <v>16587.178362532413</v>
      </c>
      <c r="Q244" s="96">
        <f t="shared" si="115"/>
        <v>48856.779904186384</v>
      </c>
      <c r="R244" s="187" t="s">
        <v>2563</v>
      </c>
      <c r="S244" s="187" t="s">
        <v>3607</v>
      </c>
      <c r="T244" s="94" t="s">
        <v>5394</v>
      </c>
      <c r="U244" s="395">
        <f>COUNTIF(Aggregation_of_rev_to_allocate!$A$3:$A$137,$T244)</f>
        <v>0</v>
      </c>
      <c r="V244" s="100"/>
      <c r="W244" s="100">
        <v>322</v>
      </c>
      <c r="X244" s="109">
        <v>15984.53573836153</v>
      </c>
      <c r="Y244" s="109">
        <v>51877.084169046058</v>
      </c>
      <c r="Z244" s="110">
        <v>0.78027871252955106</v>
      </c>
      <c r="AA244" s="110">
        <v>0.23554603854389722</v>
      </c>
      <c r="AB244" s="110">
        <v>0.76445396145610278</v>
      </c>
      <c r="AC244" s="109">
        <f>IF(ISERROR((X244*SUMIF('Rev_for_allocation(Hard)'!$A$3:$A$249,$T244,'Rev_for_allocation(Hard)'!$I$3:$I$249)/SUMIF(Historic_capex_list!$T$9:$T$586,$T244,Historic_capex_list!$X$9:$X$586))=TRUE),0,X244*SUMIF('Rev_for_allocation(Hard)'!$A$3:$A$249,$T244,'Rev_for_allocation(Hard)'!$I$3:$I$249)/SUMIF(Historic_capex_list!$T$9:$T$586,$T244,Historic_capex_list!$X$9:$X$586))</f>
        <v>0</v>
      </c>
      <c r="AD244" s="109">
        <f t="shared" si="116"/>
        <v>15984.53573836153</v>
      </c>
      <c r="AE244" s="109">
        <f t="shared" si="117"/>
        <v>15984.53573836153</v>
      </c>
      <c r="AF244" s="109">
        <f t="shared" si="118"/>
        <v>67861.619907407585</v>
      </c>
      <c r="AG244" s="332" t="str">
        <f t="shared" si="119"/>
        <v>N</v>
      </c>
      <c r="AH244" s="332">
        <f t="shared" si="145"/>
        <v>0</v>
      </c>
      <c r="AI244" s="332">
        <f t="shared" si="146"/>
        <v>0</v>
      </c>
      <c r="AJ244" s="109">
        <f t="shared" si="147"/>
        <v>67861.619907407585</v>
      </c>
      <c r="AK244" s="109">
        <f t="shared" si="120"/>
        <v>0</v>
      </c>
      <c r="AL244" s="109">
        <v>0</v>
      </c>
      <c r="AM244" s="111">
        <f t="shared" si="121"/>
        <v>32.454545454545453</v>
      </c>
      <c r="AN244" s="111">
        <f t="shared" si="122"/>
        <v>29.454545454545453</v>
      </c>
      <c r="AO244" s="111" t="str">
        <f t="shared" si="123"/>
        <v>Use deduct 3yrs</v>
      </c>
      <c r="AP244" s="111">
        <f t="shared" si="124"/>
        <v>29.454545454545453</v>
      </c>
      <c r="AQ244" s="112">
        <f t="shared" si="125"/>
        <v>0.74654377880184331</v>
      </c>
      <c r="AR244" s="112">
        <f t="shared" si="126"/>
        <v>0.25345622119815669</v>
      </c>
      <c r="AS244" s="113">
        <f t="shared" si="127"/>
        <v>2057</v>
      </c>
      <c r="AT244" s="109">
        <v>65453.956042226113</v>
      </c>
      <c r="AU244" s="114">
        <v>0.25345622119815669</v>
      </c>
      <c r="AV244" s="113">
        <v>2057</v>
      </c>
      <c r="AW244" s="112">
        <f t="shared" si="128"/>
        <v>0.75271016022672643</v>
      </c>
      <c r="AX244" s="109">
        <f t="shared" si="129"/>
        <v>16589.712360932885</v>
      </c>
      <c r="AY244" s="109">
        <f t="shared" si="130"/>
        <v>48864.243681293228</v>
      </c>
      <c r="AZ244" s="109">
        <f t="shared" si="131"/>
        <v>65453.956042226113</v>
      </c>
      <c r="BA244" s="111">
        <f t="shared" si="132"/>
        <v>0</v>
      </c>
      <c r="BB244" s="117"/>
      <c r="BC244" s="115" t="str">
        <f t="shared" si="133"/>
        <v>N</v>
      </c>
      <c r="BD244" s="115" t="str">
        <f t="shared" si="134"/>
        <v>N</v>
      </c>
      <c r="BE244" s="115" t="str">
        <f t="shared" si="135"/>
        <v>N</v>
      </c>
      <c r="BF244" s="109" t="str">
        <f t="shared" si="136"/>
        <v/>
      </c>
      <c r="BG244" s="111" t="s">
        <v>2499</v>
      </c>
      <c r="BH244" s="115" t="s">
        <v>1168</v>
      </c>
      <c r="BI244" s="116"/>
      <c r="BJ244" s="222">
        <v>0.75259518738690034</v>
      </c>
      <c r="BK244" s="265">
        <f t="shared" si="137"/>
        <v>7.4637771068446455</v>
      </c>
      <c r="BL244" s="265">
        <f t="shared" si="138"/>
        <v>-7.4637771068446455</v>
      </c>
      <c r="BM244" s="265">
        <f t="shared" si="139"/>
        <v>0</v>
      </c>
      <c r="BN244" s="265">
        <f t="shared" si="140"/>
        <v>-602.64262417088321</v>
      </c>
      <c r="BO244" s="109"/>
      <c r="BP244" s="265">
        <f t="shared" si="141"/>
        <v>2407.6638651814719</v>
      </c>
      <c r="BQ244" s="265">
        <v>2407.6638651814719</v>
      </c>
      <c r="BR244" s="265" t="e">
        <f t="shared" si="142"/>
        <v>#REF!</v>
      </c>
      <c r="BS244" s="265">
        <v>271.24557229624668</v>
      </c>
      <c r="BT244" s="475">
        <v>21517.043957773891</v>
      </c>
      <c r="BU244" s="475">
        <v>16589.712360932888</v>
      </c>
      <c r="BV244" s="475">
        <v>48864.243681293228</v>
      </c>
      <c r="BW244" s="483">
        <f t="shared" si="143"/>
        <v>-2.5339984004749567</v>
      </c>
      <c r="BX244" s="483">
        <f t="shared" si="144"/>
        <v>-7.4637771068446455</v>
      </c>
    </row>
    <row r="245" spans="1:77" s="103" customFormat="1" ht="43.5">
      <c r="A245" s="100" t="s">
        <v>2259</v>
      </c>
      <c r="B245" s="91" t="str">
        <f t="shared" si="111"/>
        <v>STW</v>
      </c>
      <c r="C245" s="92" t="s">
        <v>466</v>
      </c>
      <c r="D245" s="448"/>
      <c r="E245" s="449" t="s">
        <v>2085</v>
      </c>
      <c r="F245" s="467" t="s">
        <v>4781</v>
      </c>
      <c r="G245" s="467" t="s">
        <v>4966</v>
      </c>
      <c r="H245" s="470">
        <v>0.35322194917104288</v>
      </c>
      <c r="I245" s="95" t="s">
        <v>962</v>
      </c>
      <c r="J245" s="95" t="s">
        <v>1166</v>
      </c>
      <c r="K245" s="469">
        <v>1319248</v>
      </c>
      <c r="L245" s="471">
        <v>0.93443769547509292</v>
      </c>
      <c r="M245" s="584">
        <v>0.25345622119815669</v>
      </c>
      <c r="N245" s="267">
        <f t="shared" si="112"/>
        <v>0.74654377880184331</v>
      </c>
      <c r="O245" s="96">
        <f t="shared" si="113"/>
        <v>883811.85454545449</v>
      </c>
      <c r="P245" s="96">
        <f t="shared" si="148"/>
        <v>110364.00000000003</v>
      </c>
      <c r="Q245" s="96">
        <f t="shared" si="115"/>
        <v>325072.14545454556</v>
      </c>
      <c r="R245" s="187" t="s">
        <v>2314</v>
      </c>
      <c r="S245" s="187" t="s">
        <v>3607</v>
      </c>
      <c r="T245" s="94" t="s">
        <v>5395</v>
      </c>
      <c r="U245" s="395">
        <f>COUNTIF(Aggregation_of_rev_to_allocate!$A$3:$A$137,$T245)</f>
        <v>0</v>
      </c>
      <c r="V245" s="100"/>
      <c r="W245" s="100">
        <v>400</v>
      </c>
      <c r="X245" s="109">
        <v>102565.43126329313</v>
      </c>
      <c r="Y245" s="109">
        <v>332871.44509996037</v>
      </c>
      <c r="Z245" s="110">
        <v>0.78027871252955094</v>
      </c>
      <c r="AA245" s="110">
        <v>0.23554603854389722</v>
      </c>
      <c r="AB245" s="110">
        <v>0.76445396145610278</v>
      </c>
      <c r="AC245" s="109">
        <f>IF(ISERROR((X245*SUMIF('Rev_for_allocation(Hard)'!$A$3:$A$249,$T245,'Rev_for_allocation(Hard)'!$I$3:$I$249)/SUMIF(Historic_capex_list!$T$9:$T$586,$T245,Historic_capex_list!$X$9:$X$586))=TRUE),0,X245*SUMIF('Rev_for_allocation(Hard)'!$A$3:$A$249,$T245,'Rev_for_allocation(Hard)'!$I$3:$I$249)/SUMIF(Historic_capex_list!$T$9:$T$586,$T245,Historic_capex_list!$X$9:$X$586))</f>
        <v>0</v>
      </c>
      <c r="AD245" s="109">
        <f t="shared" si="116"/>
        <v>102565.43126329313</v>
      </c>
      <c r="AE245" s="109">
        <f t="shared" si="117"/>
        <v>102565.43126329313</v>
      </c>
      <c r="AF245" s="109">
        <f t="shared" si="118"/>
        <v>435436.87636325351</v>
      </c>
      <c r="AG245" s="332" t="str">
        <f t="shared" si="119"/>
        <v>N</v>
      </c>
      <c r="AH245" s="332">
        <f t="shared" si="145"/>
        <v>0</v>
      </c>
      <c r="AI245" s="332">
        <f t="shared" si="146"/>
        <v>0</v>
      </c>
      <c r="AJ245" s="109">
        <f t="shared" si="147"/>
        <v>435436.87636325351</v>
      </c>
      <c r="AK245" s="109">
        <f t="shared" si="120"/>
        <v>0</v>
      </c>
      <c r="AL245" s="109">
        <v>0</v>
      </c>
      <c r="AM245" s="111">
        <f t="shared" si="121"/>
        <v>32.454545454545453</v>
      </c>
      <c r="AN245" s="111">
        <f t="shared" si="122"/>
        <v>29.454545454545453</v>
      </c>
      <c r="AO245" s="111" t="str">
        <f t="shared" si="123"/>
        <v>Use deduct 3yrs</v>
      </c>
      <c r="AP245" s="111">
        <f t="shared" si="124"/>
        <v>29.454545454545453</v>
      </c>
      <c r="AQ245" s="112">
        <f t="shared" si="125"/>
        <v>0.74654377880184331</v>
      </c>
      <c r="AR245" s="112">
        <f t="shared" si="126"/>
        <v>0.25345622119815669</v>
      </c>
      <c r="AS245" s="113">
        <f t="shared" si="127"/>
        <v>2057</v>
      </c>
      <c r="AT245" s="109">
        <v>435436.85579302447</v>
      </c>
      <c r="AU245" s="114">
        <v>0.25345622119815669</v>
      </c>
      <c r="AV245" s="113">
        <v>2057</v>
      </c>
      <c r="AW245" s="112">
        <f t="shared" si="128"/>
        <v>0.93443921984797329</v>
      </c>
      <c r="AX245" s="109">
        <f t="shared" si="129"/>
        <v>110364.18003970665</v>
      </c>
      <c r="AY245" s="109">
        <f t="shared" si="130"/>
        <v>325072.67575331777</v>
      </c>
      <c r="AZ245" s="109">
        <f t="shared" si="131"/>
        <v>435436.85579302441</v>
      </c>
      <c r="BA245" s="111">
        <f t="shared" si="132"/>
        <v>0</v>
      </c>
      <c r="BB245" s="117"/>
      <c r="BC245" s="115" t="str">
        <f t="shared" si="133"/>
        <v>N</v>
      </c>
      <c r="BD245" s="115" t="str">
        <f t="shared" si="134"/>
        <v>N</v>
      </c>
      <c r="BE245" s="115" t="str">
        <f t="shared" si="135"/>
        <v>N</v>
      </c>
      <c r="BF245" s="109" t="str">
        <f t="shared" si="136"/>
        <v/>
      </c>
      <c r="BG245" s="111" t="s">
        <v>2499</v>
      </c>
      <c r="BH245" s="115" t="s">
        <v>1168</v>
      </c>
      <c r="BI245" s="116"/>
      <c r="BJ245" s="222">
        <v>0.78027867566884235</v>
      </c>
      <c r="BK245" s="265">
        <f t="shared" si="137"/>
        <v>0.5302987722097896</v>
      </c>
      <c r="BL245" s="265">
        <f t="shared" si="138"/>
        <v>-0.5302987722097896</v>
      </c>
      <c r="BM245" s="265">
        <f t="shared" si="139"/>
        <v>0</v>
      </c>
      <c r="BN245" s="265">
        <f t="shared" si="140"/>
        <v>-7798.568736706904</v>
      </c>
      <c r="BO245" s="109"/>
      <c r="BP245" s="265">
        <f t="shared" si="141"/>
        <v>2.0570229040458798E-2</v>
      </c>
      <c r="BQ245" s="265">
        <v>2.0570229040458798E-2</v>
      </c>
      <c r="BR245" s="265" t="e">
        <f t="shared" si="142"/>
        <v>#REF!</v>
      </c>
      <c r="BS245" s="265">
        <v>2.3174262940244658E-3</v>
      </c>
      <c r="BT245" s="475">
        <v>122616.14420697553</v>
      </c>
      <c r="BU245" s="475">
        <v>110364.18003970667</v>
      </c>
      <c r="BV245" s="475">
        <v>325072.67575331783</v>
      </c>
      <c r="BW245" s="483">
        <f t="shared" si="143"/>
        <v>-0.18003970663994551</v>
      </c>
      <c r="BX245" s="483">
        <f t="shared" si="144"/>
        <v>-0.53029877226799726</v>
      </c>
    </row>
    <row r="246" spans="1:77" s="103" customFormat="1" ht="14.5">
      <c r="A246" s="100" t="s">
        <v>2259</v>
      </c>
      <c r="B246" s="91" t="str">
        <f t="shared" si="111"/>
        <v>STW</v>
      </c>
      <c r="C246" s="92" t="s">
        <v>466</v>
      </c>
      <c r="D246" s="448"/>
      <c r="E246" s="449" t="s">
        <v>2064</v>
      </c>
      <c r="F246" s="620" t="s">
        <v>4777</v>
      </c>
      <c r="G246" s="620" t="s">
        <v>4668</v>
      </c>
      <c r="H246" s="470">
        <v>0.33679999999999999</v>
      </c>
      <c r="I246" s="95" t="s">
        <v>962</v>
      </c>
      <c r="J246" s="95" t="s">
        <v>1166</v>
      </c>
      <c r="K246" s="469">
        <v>896739</v>
      </c>
      <c r="L246" s="471">
        <v>0.75259518738690023</v>
      </c>
      <c r="M246" s="584">
        <v>0.25345622119815669</v>
      </c>
      <c r="N246" s="267">
        <f t="shared" si="112"/>
        <v>0.74654377880184331</v>
      </c>
      <c r="O246" s="96">
        <f t="shared" si="113"/>
        <v>669438.92570604675</v>
      </c>
      <c r="P246" s="96">
        <f t="shared" si="148"/>
        <v>57610.617908605673</v>
      </c>
      <c r="Q246" s="96">
        <f t="shared" si="115"/>
        <v>169689.45638534761</v>
      </c>
      <c r="R246" s="187" t="s">
        <v>2563</v>
      </c>
      <c r="S246" s="187" t="s">
        <v>3607</v>
      </c>
      <c r="T246" s="94" t="s">
        <v>5394</v>
      </c>
      <c r="U246" s="395">
        <f>COUNTIF(Aggregation_of_rev_to_allocate!$A$3:$A$137,$T246)</f>
        <v>0</v>
      </c>
      <c r="V246" s="100"/>
      <c r="W246" s="100">
        <v>324</v>
      </c>
      <c r="X246" s="109">
        <v>55508.543067967592</v>
      </c>
      <c r="Y246" s="109">
        <v>180150.45341149482</v>
      </c>
      <c r="Z246" s="110">
        <v>0.78027871252955083</v>
      </c>
      <c r="AA246" s="110">
        <v>0.23554603854389722</v>
      </c>
      <c r="AB246" s="110">
        <v>0.76445396145610278</v>
      </c>
      <c r="AC246" s="109">
        <f>IF(ISERROR((X246*SUMIF('Rev_for_allocation(Hard)'!$A$3:$A$249,$T246,'Rev_for_allocation(Hard)'!$I$3:$I$249)/SUMIF(Historic_capex_list!$T$9:$T$586,$T246,Historic_capex_list!$X$9:$X$586))=TRUE),0,X246*SUMIF('Rev_for_allocation(Hard)'!$A$3:$A$249,$T246,'Rev_for_allocation(Hard)'!$I$3:$I$249)/SUMIF(Historic_capex_list!$T$9:$T$586,$T246,Historic_capex_list!$X$9:$X$586))</f>
        <v>0</v>
      </c>
      <c r="AD246" s="109">
        <f t="shared" si="116"/>
        <v>55508.543067967592</v>
      </c>
      <c r="AE246" s="109">
        <f t="shared" si="117"/>
        <v>55508.543067967592</v>
      </c>
      <c r="AF246" s="109">
        <f t="shared" si="118"/>
        <v>235658.99647946242</v>
      </c>
      <c r="AG246" s="332" t="str">
        <f t="shared" si="119"/>
        <v>N</v>
      </c>
      <c r="AH246" s="332">
        <f t="shared" si="145"/>
        <v>0</v>
      </c>
      <c r="AI246" s="332">
        <f t="shared" si="146"/>
        <v>0</v>
      </c>
      <c r="AJ246" s="109">
        <f t="shared" si="147"/>
        <v>235658.99647946242</v>
      </c>
      <c r="AK246" s="109">
        <f t="shared" si="120"/>
        <v>0</v>
      </c>
      <c r="AL246" s="109">
        <v>0</v>
      </c>
      <c r="AM246" s="111">
        <f t="shared" si="121"/>
        <v>32.454545454545453</v>
      </c>
      <c r="AN246" s="111">
        <f t="shared" si="122"/>
        <v>29.454545454545453</v>
      </c>
      <c r="AO246" s="111" t="str">
        <f t="shared" si="123"/>
        <v>Use deduct 3yrs</v>
      </c>
      <c r="AP246" s="111">
        <f t="shared" si="124"/>
        <v>29.454545454545453</v>
      </c>
      <c r="AQ246" s="112">
        <f t="shared" si="125"/>
        <v>0.74654377880184331</v>
      </c>
      <c r="AR246" s="112">
        <f t="shared" si="126"/>
        <v>0.25345622119815669</v>
      </c>
      <c r="AS246" s="113">
        <f t="shared" si="127"/>
        <v>2057</v>
      </c>
      <c r="AT246" s="109">
        <v>227298.04589940421</v>
      </c>
      <c r="AU246" s="114">
        <v>0.25345622119815669</v>
      </c>
      <c r="AV246" s="113">
        <v>2057</v>
      </c>
      <c r="AW246" s="112">
        <f t="shared" si="128"/>
        <v>0.75258847133112905</v>
      </c>
      <c r="AX246" s="109">
        <f t="shared" si="129"/>
        <v>57610.103799388169</v>
      </c>
      <c r="AY246" s="109">
        <f t="shared" si="130"/>
        <v>169687.94210001605</v>
      </c>
      <c r="AZ246" s="109">
        <f t="shared" si="131"/>
        <v>227298.04589940421</v>
      </c>
      <c r="BA246" s="111">
        <f t="shared" si="132"/>
        <v>0</v>
      </c>
      <c r="BB246" s="117"/>
      <c r="BC246" s="115" t="str">
        <f t="shared" si="133"/>
        <v>N</v>
      </c>
      <c r="BD246" s="115" t="str">
        <f t="shared" si="134"/>
        <v>N</v>
      </c>
      <c r="BE246" s="115" t="str">
        <f t="shared" si="135"/>
        <v>N</v>
      </c>
      <c r="BF246" s="109" t="str">
        <f t="shared" si="136"/>
        <v/>
      </c>
      <c r="BG246" s="111" t="s">
        <v>2499</v>
      </c>
      <c r="BH246" s="115" t="s">
        <v>1168</v>
      </c>
      <c r="BI246" s="116"/>
      <c r="BJ246" s="222">
        <v>0.75259518738690023</v>
      </c>
      <c r="BK246" s="265">
        <f t="shared" si="137"/>
        <v>-1.5142853315628599</v>
      </c>
      <c r="BL246" s="265">
        <f t="shared" si="138"/>
        <v>1.5142853315628599</v>
      </c>
      <c r="BM246" s="265">
        <f t="shared" si="139"/>
        <v>0</v>
      </c>
      <c r="BN246" s="265">
        <f t="shared" si="140"/>
        <v>-2102.0748406380808</v>
      </c>
      <c r="BO246" s="109"/>
      <c r="BP246" s="265">
        <f t="shared" si="141"/>
        <v>8360.9505800582119</v>
      </c>
      <c r="BQ246" s="265">
        <v>8360.9505800582119</v>
      </c>
      <c r="BR246" s="265" t="e">
        <f t="shared" si="142"/>
        <v>#REF!</v>
      </c>
      <c r="BS246" s="265">
        <v>941.93830701429329</v>
      </c>
      <c r="BT246" s="475">
        <v>74720.954100595773</v>
      </c>
      <c r="BU246" s="475">
        <v>57610.103799388169</v>
      </c>
      <c r="BV246" s="475">
        <v>169687.94210001605</v>
      </c>
      <c r="BW246" s="483">
        <f t="shared" si="143"/>
        <v>0.51410921750357375</v>
      </c>
      <c r="BX246" s="483">
        <f t="shared" si="144"/>
        <v>1.5142853315628599</v>
      </c>
      <c r="BY246" s="103" t="s">
        <v>5331</v>
      </c>
    </row>
    <row r="247" spans="1:77" s="103" customFormat="1" ht="43.5">
      <c r="A247" s="100" t="s">
        <v>2259</v>
      </c>
      <c r="B247" s="91" t="str">
        <f t="shared" si="111"/>
        <v>STW</v>
      </c>
      <c r="C247" s="92" t="s">
        <v>466</v>
      </c>
      <c r="D247" s="448"/>
      <c r="E247" s="449" t="s">
        <v>2086</v>
      </c>
      <c r="F247" s="467" t="s">
        <v>4791</v>
      </c>
      <c r="G247" s="467" t="s">
        <v>4968</v>
      </c>
      <c r="H247" s="470">
        <v>0.39319999999999999</v>
      </c>
      <c r="I247" s="95" t="s">
        <v>962</v>
      </c>
      <c r="J247" s="95" t="s">
        <v>1166</v>
      </c>
      <c r="K247" s="469">
        <v>267496</v>
      </c>
      <c r="L247" s="471">
        <v>0.78027867566884235</v>
      </c>
      <c r="M247" s="584">
        <v>0.25345622119815669</v>
      </c>
      <c r="N247" s="267">
        <f t="shared" si="112"/>
        <v>0.74654377880184331</v>
      </c>
      <c r="O247" s="96">
        <f t="shared" si="113"/>
        <v>185426.73583677658</v>
      </c>
      <c r="P247" s="96">
        <f t="shared" si="148"/>
        <v>20800.965571323908</v>
      </c>
      <c r="Q247" s="96">
        <f t="shared" si="115"/>
        <v>61268.298591899511</v>
      </c>
      <c r="R247" s="187" t="s">
        <v>2314</v>
      </c>
      <c r="S247" s="187" t="s">
        <v>3607</v>
      </c>
      <c r="T247" s="94" t="s">
        <v>5395</v>
      </c>
      <c r="U247" s="395">
        <f>COUNTIF(Aggregation_of_rev_to_allocate!$A$3:$A$137,$T247)</f>
        <v>0</v>
      </c>
      <c r="V247" s="100"/>
      <c r="W247" s="100">
        <v>408</v>
      </c>
      <c r="X247" s="109">
        <v>19333.401747590873</v>
      </c>
      <c r="Y247" s="109">
        <v>62745.67658081765</v>
      </c>
      <c r="Z247" s="110">
        <v>0.78027871252955094</v>
      </c>
      <c r="AA247" s="110">
        <v>0.23554603854389722</v>
      </c>
      <c r="AB247" s="110">
        <v>0.76445396145610278</v>
      </c>
      <c r="AC247" s="109">
        <f>IF(ISERROR((X247*SUMIF('Rev_for_allocation(Hard)'!$A$3:$A$249,$T247,'Rev_for_allocation(Hard)'!$I$3:$I$249)/SUMIF(Historic_capex_list!$T$9:$T$586,$T247,Historic_capex_list!$X$9:$X$586))=TRUE),0,X247*SUMIF('Rev_for_allocation(Hard)'!$A$3:$A$249,$T247,'Rev_for_allocation(Hard)'!$I$3:$I$249)/SUMIF(Historic_capex_list!$T$9:$T$586,$T247,Historic_capex_list!$X$9:$X$586))</f>
        <v>0</v>
      </c>
      <c r="AD247" s="109">
        <f t="shared" si="116"/>
        <v>19333.401747590873</v>
      </c>
      <c r="AE247" s="109">
        <f t="shared" si="117"/>
        <v>19333.401747590873</v>
      </c>
      <c r="AF247" s="109">
        <f t="shared" si="118"/>
        <v>82079.078328408519</v>
      </c>
      <c r="AG247" s="332" t="str">
        <f t="shared" si="119"/>
        <v>N</v>
      </c>
      <c r="AH247" s="332">
        <f t="shared" si="145"/>
        <v>0</v>
      </c>
      <c r="AI247" s="332">
        <f t="shared" si="146"/>
        <v>0</v>
      </c>
      <c r="AJ247" s="109">
        <f t="shared" si="147"/>
        <v>82079.078328408519</v>
      </c>
      <c r="AK247" s="109">
        <f t="shared" si="120"/>
        <v>0</v>
      </c>
      <c r="AL247" s="109">
        <v>0</v>
      </c>
      <c r="AM247" s="111">
        <f t="shared" si="121"/>
        <v>32.454545454545453</v>
      </c>
      <c r="AN247" s="111">
        <f t="shared" si="122"/>
        <v>29.454545454545453</v>
      </c>
      <c r="AO247" s="111" t="str">
        <f t="shared" si="123"/>
        <v>Use deduct 3yrs</v>
      </c>
      <c r="AP247" s="111">
        <f t="shared" si="124"/>
        <v>29.454545454545453</v>
      </c>
      <c r="AQ247" s="112">
        <f t="shared" si="125"/>
        <v>0.74654377880184331</v>
      </c>
      <c r="AR247" s="112">
        <f t="shared" si="126"/>
        <v>0.25345622119815669</v>
      </c>
      <c r="AS247" s="113">
        <f t="shared" si="127"/>
        <v>2057</v>
      </c>
      <c r="AT247" s="109">
        <v>82079.074450956861</v>
      </c>
      <c r="AU247" s="114">
        <v>0.25345622119815669</v>
      </c>
      <c r="AV247" s="113">
        <v>2057</v>
      </c>
      <c r="AW247" s="112">
        <f t="shared" si="128"/>
        <v>0.78037194759467998</v>
      </c>
      <c r="AX247" s="109">
        <f t="shared" si="129"/>
        <v>20803.452049781692</v>
      </c>
      <c r="AY247" s="109">
        <f t="shared" si="130"/>
        <v>61275.622401175162</v>
      </c>
      <c r="AZ247" s="109">
        <f t="shared" si="131"/>
        <v>82079.074450956861</v>
      </c>
      <c r="BA247" s="111">
        <f t="shared" si="132"/>
        <v>0</v>
      </c>
      <c r="BB247" s="117"/>
      <c r="BC247" s="115" t="str">
        <f t="shared" si="133"/>
        <v>N</v>
      </c>
      <c r="BD247" s="115" t="str">
        <f t="shared" si="134"/>
        <v>N</v>
      </c>
      <c r="BE247" s="115" t="str">
        <f t="shared" si="135"/>
        <v>N</v>
      </c>
      <c r="BF247" s="109" t="str">
        <f t="shared" si="136"/>
        <v/>
      </c>
      <c r="BG247" s="111" t="s">
        <v>2499</v>
      </c>
      <c r="BH247" s="115" t="s">
        <v>1168</v>
      </c>
      <c r="BI247" s="116"/>
      <c r="BJ247" s="222">
        <v>0.78027867566884235</v>
      </c>
      <c r="BK247" s="265">
        <f t="shared" si="137"/>
        <v>7.3238092756510014</v>
      </c>
      <c r="BL247" s="265">
        <f t="shared" si="138"/>
        <v>-7.3238092756510014</v>
      </c>
      <c r="BM247" s="265">
        <f t="shared" si="139"/>
        <v>0</v>
      </c>
      <c r="BN247" s="265">
        <f t="shared" si="140"/>
        <v>-1467.563823733035</v>
      </c>
      <c r="BO247" s="109"/>
      <c r="BP247" s="265">
        <f t="shared" si="141"/>
        <v>3.8774516578996554E-3</v>
      </c>
      <c r="BQ247" s="265">
        <v>3.8774516578996554E-3</v>
      </c>
      <c r="BR247" s="265" t="e">
        <f t="shared" si="142"/>
        <v>#REF!</v>
      </c>
      <c r="BS247" s="265">
        <v>4.3683074253338512E-4</v>
      </c>
      <c r="BT247" s="475">
        <v>23112.925549043135</v>
      </c>
      <c r="BU247" s="475">
        <v>20803.452049781696</v>
      </c>
      <c r="BV247" s="475">
        <v>61275.622401175169</v>
      </c>
      <c r="BW247" s="483">
        <f t="shared" si="143"/>
        <v>-2.486478457787598</v>
      </c>
      <c r="BX247" s="483">
        <f t="shared" si="144"/>
        <v>-7.3238092756582773</v>
      </c>
    </row>
    <row r="248" spans="1:77" s="103" customFormat="1" ht="14.5">
      <c r="A248" s="100" t="s">
        <v>2259</v>
      </c>
      <c r="B248" s="91" t="str">
        <f t="shared" si="111"/>
        <v>STW</v>
      </c>
      <c r="C248" s="92" t="s">
        <v>466</v>
      </c>
      <c r="D248" s="448"/>
      <c r="E248" s="449" t="s">
        <v>2074</v>
      </c>
      <c r="F248" s="620" t="s">
        <v>4792</v>
      </c>
      <c r="G248" s="620" t="s">
        <v>4668</v>
      </c>
      <c r="H248" s="470">
        <v>0.29399999999999998</v>
      </c>
      <c r="I248" s="95" t="s">
        <v>962</v>
      </c>
      <c r="J248" s="95" t="s">
        <v>1166</v>
      </c>
      <c r="K248" s="469">
        <v>730969</v>
      </c>
      <c r="L248" s="471">
        <v>0.78027867566884235</v>
      </c>
      <c r="M248" s="584">
        <v>0.25345622119815669</v>
      </c>
      <c r="N248" s="267">
        <f t="shared" si="112"/>
        <v>0.74654377880184331</v>
      </c>
      <c r="O248" s="96">
        <f t="shared" si="113"/>
        <v>563283.30015715642</v>
      </c>
      <c r="P248" s="96">
        <f t="shared" si="148"/>
        <v>42500.983831135462</v>
      </c>
      <c r="Q248" s="96">
        <f t="shared" si="115"/>
        <v>125184.71601170806</v>
      </c>
      <c r="R248" s="187" t="s">
        <v>2314</v>
      </c>
      <c r="S248" s="187" t="s">
        <v>3607</v>
      </c>
      <c r="T248" s="94" t="s">
        <v>5395</v>
      </c>
      <c r="U248" s="395">
        <f>COUNTIF(Aggregation_of_rev_to_allocate!$A$3:$A$137,$T248)</f>
        <v>0</v>
      </c>
      <c r="V248" s="100"/>
      <c r="W248" s="100">
        <v>413</v>
      </c>
      <c r="X248" s="109">
        <v>39501.217176203718</v>
      </c>
      <c r="Y248" s="109">
        <v>128199.40483549751</v>
      </c>
      <c r="Z248" s="110">
        <v>0.78027871252955106</v>
      </c>
      <c r="AA248" s="110">
        <v>0.23554603854389722</v>
      </c>
      <c r="AB248" s="110">
        <v>0.76445396145610278</v>
      </c>
      <c r="AC248" s="109">
        <f>IF(ISERROR((X248*SUMIF('Rev_for_allocation(Hard)'!$A$3:$A$249,$T248,'Rev_for_allocation(Hard)'!$I$3:$I$249)/SUMIF(Historic_capex_list!$T$9:$T$586,$T248,Historic_capex_list!$X$9:$X$586))=TRUE),0,X248*SUMIF('Rev_for_allocation(Hard)'!$A$3:$A$249,$T248,'Rev_for_allocation(Hard)'!$I$3:$I$249)/SUMIF(Historic_capex_list!$T$9:$T$586,$T248,Historic_capex_list!$X$9:$X$586))</f>
        <v>0</v>
      </c>
      <c r="AD248" s="109">
        <f t="shared" si="116"/>
        <v>39501.217176203718</v>
      </c>
      <c r="AE248" s="109">
        <f t="shared" si="117"/>
        <v>39501.217176203718</v>
      </c>
      <c r="AF248" s="109">
        <f t="shared" si="118"/>
        <v>167700.62201170123</v>
      </c>
      <c r="AG248" s="332" t="str">
        <f t="shared" si="119"/>
        <v>N</v>
      </c>
      <c r="AH248" s="332">
        <f t="shared" si="145"/>
        <v>0</v>
      </c>
      <c r="AI248" s="332">
        <f t="shared" si="146"/>
        <v>0</v>
      </c>
      <c r="AJ248" s="109">
        <f t="shared" si="147"/>
        <v>167700.62201170123</v>
      </c>
      <c r="AK248" s="109">
        <f t="shared" si="120"/>
        <v>0</v>
      </c>
      <c r="AL248" s="109">
        <v>0</v>
      </c>
      <c r="AM248" s="111">
        <f t="shared" si="121"/>
        <v>32.454545454545453</v>
      </c>
      <c r="AN248" s="111">
        <f t="shared" si="122"/>
        <v>29.454545454545453</v>
      </c>
      <c r="AO248" s="111" t="str">
        <f t="shared" si="123"/>
        <v>Use deduct 3yrs</v>
      </c>
      <c r="AP248" s="111">
        <f t="shared" si="124"/>
        <v>29.454545454545453</v>
      </c>
      <c r="AQ248" s="112">
        <f t="shared" si="125"/>
        <v>0.74654377880184331</v>
      </c>
      <c r="AR248" s="112">
        <f t="shared" si="126"/>
        <v>0.25345622119815669</v>
      </c>
      <c r="AS248" s="113">
        <f t="shared" si="127"/>
        <v>2057</v>
      </c>
      <c r="AT248" s="109">
        <v>167700.61408945028</v>
      </c>
      <c r="AU248" s="114">
        <v>0.25345622119815669</v>
      </c>
      <c r="AV248" s="113">
        <v>2057</v>
      </c>
      <c r="AW248" s="112">
        <f t="shared" si="128"/>
        <v>0.78034807495931147</v>
      </c>
      <c r="AX248" s="109">
        <f t="shared" si="129"/>
        <v>42504.763939722427</v>
      </c>
      <c r="AY248" s="109">
        <f t="shared" si="130"/>
        <v>125195.85014972785</v>
      </c>
      <c r="AZ248" s="109">
        <f t="shared" si="131"/>
        <v>167700.61408945028</v>
      </c>
      <c r="BA248" s="111">
        <f t="shared" si="132"/>
        <v>0</v>
      </c>
      <c r="BB248" s="117"/>
      <c r="BC248" s="115" t="str">
        <f t="shared" si="133"/>
        <v>N</v>
      </c>
      <c r="BD248" s="115" t="str">
        <f t="shared" si="134"/>
        <v>N</v>
      </c>
      <c r="BE248" s="115" t="str">
        <f t="shared" si="135"/>
        <v>N</v>
      </c>
      <c r="BF248" s="109" t="str">
        <f t="shared" si="136"/>
        <v/>
      </c>
      <c r="BG248" s="111" t="s">
        <v>2499</v>
      </c>
      <c r="BH248" s="115" t="s">
        <v>1168</v>
      </c>
      <c r="BI248" s="116"/>
      <c r="BJ248" s="222">
        <v>0.78027867566884235</v>
      </c>
      <c r="BK248" s="265">
        <f t="shared" si="137"/>
        <v>11.134138019784587</v>
      </c>
      <c r="BL248" s="265">
        <f t="shared" si="138"/>
        <v>-11.134138019784587</v>
      </c>
      <c r="BM248" s="265">
        <f t="shared" si="139"/>
        <v>0</v>
      </c>
      <c r="BN248" s="265">
        <f t="shared" si="140"/>
        <v>-2999.7666549317437</v>
      </c>
      <c r="BO248" s="109"/>
      <c r="BP248" s="265">
        <f t="shared" si="141"/>
        <v>7.9222509521059692E-3</v>
      </c>
      <c r="BQ248" s="265">
        <v>7.9222509521059692E-3</v>
      </c>
      <c r="BR248" s="265" t="e">
        <f t="shared" si="142"/>
        <v>#REF!</v>
      </c>
      <c r="BS248" s="265">
        <v>8.9251474196814519E-4</v>
      </c>
      <c r="BT248" s="475">
        <v>47223.385910549725</v>
      </c>
      <c r="BU248" s="475">
        <v>42504.763939722419</v>
      </c>
      <c r="BV248" s="475">
        <v>125195.85014972785</v>
      </c>
      <c r="BW248" s="483">
        <f t="shared" si="143"/>
        <v>-3.7801085869577946</v>
      </c>
      <c r="BX248" s="483">
        <f t="shared" si="144"/>
        <v>-11.134138019784587</v>
      </c>
      <c r="BY248" s="103" t="s">
        <v>5331</v>
      </c>
    </row>
    <row r="249" spans="1:77" s="103" customFormat="1" ht="29">
      <c r="A249" s="100" t="s">
        <v>2259</v>
      </c>
      <c r="B249" s="91" t="str">
        <f t="shared" si="111"/>
        <v>STW</v>
      </c>
      <c r="C249" s="92" t="s">
        <v>466</v>
      </c>
      <c r="D249" s="448"/>
      <c r="E249" s="449" t="s">
        <v>2135</v>
      </c>
      <c r="F249" s="467" t="s">
        <v>4793</v>
      </c>
      <c r="G249" s="467" t="s">
        <v>4969</v>
      </c>
      <c r="H249" s="470">
        <v>0.2923</v>
      </c>
      <c r="I249" s="95" t="s">
        <v>962</v>
      </c>
      <c r="J249" s="95" t="s">
        <v>1166</v>
      </c>
      <c r="K249" s="469">
        <v>363196</v>
      </c>
      <c r="L249" s="471">
        <v>0.78027867566884235</v>
      </c>
      <c r="M249" s="584">
        <v>0.25345622119815669</v>
      </c>
      <c r="N249" s="267">
        <f t="shared" si="112"/>
        <v>0.74654377880184331</v>
      </c>
      <c r="O249" s="96">
        <f t="shared" si="113"/>
        <v>280359.90635647305</v>
      </c>
      <c r="P249" s="96">
        <f t="shared" si="148"/>
        <v>20995.323273704991</v>
      </c>
      <c r="Q249" s="96">
        <f t="shared" si="115"/>
        <v>61840.77036982197</v>
      </c>
      <c r="R249" s="187" t="s">
        <v>2314</v>
      </c>
      <c r="S249" s="187" t="s">
        <v>3607</v>
      </c>
      <c r="T249" s="94" t="s">
        <v>5395</v>
      </c>
      <c r="U249" s="395">
        <f>COUNTIF(Aggregation_of_rev_to_allocate!$A$3:$A$137,$T249)</f>
        <v>0</v>
      </c>
      <c r="V249" s="100"/>
      <c r="W249" s="100">
        <v>412</v>
      </c>
      <c r="X249" s="109">
        <v>19512.230935175536</v>
      </c>
      <c r="Y249" s="109">
        <v>63326.058580524237</v>
      </c>
      <c r="Z249" s="110">
        <v>0.78027871252955083</v>
      </c>
      <c r="AA249" s="110">
        <v>0.23554603854389722</v>
      </c>
      <c r="AB249" s="110">
        <v>0.76445396145610278</v>
      </c>
      <c r="AC249" s="109">
        <f>IF(ISERROR((X249*SUMIF('Rev_for_allocation(Hard)'!$A$3:$A$249,$T249,'Rev_for_allocation(Hard)'!$I$3:$I$249)/SUMIF(Historic_capex_list!$T$9:$T$586,$T249,Historic_capex_list!$X$9:$X$586))=TRUE),0,X249*SUMIF('Rev_for_allocation(Hard)'!$A$3:$A$249,$T249,'Rev_for_allocation(Hard)'!$I$3:$I$249)/SUMIF(Historic_capex_list!$T$9:$T$586,$T249,Historic_capex_list!$X$9:$X$586))</f>
        <v>0</v>
      </c>
      <c r="AD249" s="109">
        <f t="shared" si="116"/>
        <v>19512.230935175536</v>
      </c>
      <c r="AE249" s="109">
        <f t="shared" si="117"/>
        <v>19512.230935175536</v>
      </c>
      <c r="AF249" s="109">
        <f t="shared" si="118"/>
        <v>82838.289515699769</v>
      </c>
      <c r="AG249" s="332" t="str">
        <f t="shared" si="119"/>
        <v>N</v>
      </c>
      <c r="AH249" s="332">
        <f t="shared" si="145"/>
        <v>0</v>
      </c>
      <c r="AI249" s="332">
        <f t="shared" si="146"/>
        <v>0</v>
      </c>
      <c r="AJ249" s="109">
        <f t="shared" si="147"/>
        <v>82838.289515699769</v>
      </c>
      <c r="AK249" s="109">
        <f t="shared" si="120"/>
        <v>0</v>
      </c>
      <c r="AL249" s="109">
        <v>0</v>
      </c>
      <c r="AM249" s="111">
        <f t="shared" si="121"/>
        <v>32.454545454545453</v>
      </c>
      <c r="AN249" s="111">
        <f t="shared" si="122"/>
        <v>29.454545454545453</v>
      </c>
      <c r="AO249" s="111" t="str">
        <f t="shared" si="123"/>
        <v>Use deduct 3yrs</v>
      </c>
      <c r="AP249" s="111">
        <f t="shared" si="124"/>
        <v>29.454545454545453</v>
      </c>
      <c r="AQ249" s="112">
        <f t="shared" si="125"/>
        <v>0.74654377880184331</v>
      </c>
      <c r="AR249" s="112">
        <f t="shared" si="126"/>
        <v>0.25345622119815669</v>
      </c>
      <c r="AS249" s="113">
        <f t="shared" si="127"/>
        <v>2057</v>
      </c>
      <c r="AT249" s="109">
        <v>82838.285602382646</v>
      </c>
      <c r="AU249" s="114">
        <v>0.25345622119815669</v>
      </c>
      <c r="AV249" s="113">
        <v>2057</v>
      </c>
      <c r="AW249" s="112">
        <f t="shared" si="128"/>
        <v>0.78029932293355275</v>
      </c>
      <c r="AX249" s="109">
        <f t="shared" si="129"/>
        <v>20995.878839313573</v>
      </c>
      <c r="AY249" s="109">
        <f t="shared" si="130"/>
        <v>61842.406763069062</v>
      </c>
      <c r="AZ249" s="109">
        <f t="shared" si="131"/>
        <v>82838.285602382632</v>
      </c>
      <c r="BA249" s="111">
        <f t="shared" si="132"/>
        <v>0</v>
      </c>
      <c r="BB249" s="117"/>
      <c r="BC249" s="115" t="str">
        <f t="shared" si="133"/>
        <v>N</v>
      </c>
      <c r="BD249" s="115" t="str">
        <f t="shared" si="134"/>
        <v>N</v>
      </c>
      <c r="BE249" s="115" t="str">
        <f t="shared" si="135"/>
        <v>N</v>
      </c>
      <c r="BF249" s="109" t="str">
        <f t="shared" si="136"/>
        <v/>
      </c>
      <c r="BG249" s="111" t="s">
        <v>2499</v>
      </c>
      <c r="BH249" s="115" t="s">
        <v>1168</v>
      </c>
      <c r="BI249" s="116"/>
      <c r="BJ249" s="222">
        <v>0.78027867566884235</v>
      </c>
      <c r="BK249" s="265">
        <f t="shared" si="137"/>
        <v>1.6363932470922009</v>
      </c>
      <c r="BL249" s="265">
        <f t="shared" si="138"/>
        <v>-1.6363932470922009</v>
      </c>
      <c r="BM249" s="265">
        <f t="shared" si="139"/>
        <v>0</v>
      </c>
      <c r="BN249" s="265">
        <f t="shared" si="140"/>
        <v>-1483.0923385294554</v>
      </c>
      <c r="BO249" s="109"/>
      <c r="BP249" s="265">
        <f t="shared" si="141"/>
        <v>3.9133171230787411E-3</v>
      </c>
      <c r="BQ249" s="265">
        <v>3.9133171230787411E-3</v>
      </c>
      <c r="BR249" s="265" t="e">
        <f t="shared" si="142"/>
        <v>#REF!</v>
      </c>
      <c r="BS249" s="265">
        <v>4.4087131844967441E-4</v>
      </c>
      <c r="BT249" s="475">
        <v>23326.714397617354</v>
      </c>
      <c r="BU249" s="475">
        <v>20995.878839313576</v>
      </c>
      <c r="BV249" s="475">
        <v>61842.40676306907</v>
      </c>
      <c r="BW249" s="483">
        <f t="shared" si="143"/>
        <v>-0.55556560858531157</v>
      </c>
      <c r="BX249" s="483">
        <f t="shared" si="144"/>
        <v>-1.6363932470994769</v>
      </c>
    </row>
    <row r="250" spans="1:77" s="103" customFormat="1" ht="14.5">
      <c r="A250" s="100" t="s">
        <v>2259</v>
      </c>
      <c r="B250" s="91" t="str">
        <f t="shared" si="111"/>
        <v>STW</v>
      </c>
      <c r="C250" s="92" t="s">
        <v>466</v>
      </c>
      <c r="D250" s="448"/>
      <c r="E250" s="449" t="s">
        <v>2075</v>
      </c>
      <c r="F250" s="467" t="s">
        <v>4794</v>
      </c>
      <c r="G250" s="467" t="s">
        <v>4970</v>
      </c>
      <c r="H250" s="470">
        <v>0.16189999999999999</v>
      </c>
      <c r="I250" s="95" t="s">
        <v>962</v>
      </c>
      <c r="J250" s="95" t="s">
        <v>1166</v>
      </c>
      <c r="K250" s="469">
        <v>207068</v>
      </c>
      <c r="L250" s="471">
        <v>0.75259518738690034</v>
      </c>
      <c r="M250" s="584">
        <v>0.25345622119815669</v>
      </c>
      <c r="N250" s="267">
        <f t="shared" si="112"/>
        <v>0.74654377880184331</v>
      </c>
      <c r="O250" s="96">
        <f t="shared" si="113"/>
        <v>181837.76623560963</v>
      </c>
      <c r="P250" s="96">
        <f t="shared" si="148"/>
        <v>6394.759709868531</v>
      </c>
      <c r="Q250" s="96">
        <f t="shared" si="115"/>
        <v>18835.474054521856</v>
      </c>
      <c r="R250" s="187" t="s">
        <v>2563</v>
      </c>
      <c r="S250" s="187" t="s">
        <v>3607</v>
      </c>
      <c r="T250" s="94" t="s">
        <v>5394</v>
      </c>
      <c r="U250" s="395">
        <f>COUNTIF(Aggregation_of_rev_to_allocate!$A$3:$A$137,$T250)</f>
        <v>0</v>
      </c>
      <c r="V250" s="100"/>
      <c r="W250" s="100">
        <v>332</v>
      </c>
      <c r="X250" s="109">
        <v>6163.2661628613614</v>
      </c>
      <c r="Y250" s="109">
        <v>20002.600183104601</v>
      </c>
      <c r="Z250" s="110">
        <v>0.78027871252955094</v>
      </c>
      <c r="AA250" s="110">
        <v>0.23554603854389722</v>
      </c>
      <c r="AB250" s="110">
        <v>0.76445396145610278</v>
      </c>
      <c r="AC250" s="109">
        <f>IF(ISERROR((X250*SUMIF('Rev_for_allocation(Hard)'!$A$3:$A$249,$T250,'Rev_for_allocation(Hard)'!$I$3:$I$249)/SUMIF(Historic_capex_list!$T$9:$T$586,$T250,Historic_capex_list!$X$9:$X$586))=TRUE),0,X250*SUMIF('Rev_for_allocation(Hard)'!$A$3:$A$249,$T250,'Rev_for_allocation(Hard)'!$I$3:$I$249)/SUMIF(Historic_capex_list!$T$9:$T$586,$T250,Historic_capex_list!$X$9:$X$586))</f>
        <v>0</v>
      </c>
      <c r="AD250" s="109">
        <f t="shared" si="116"/>
        <v>6163.2661628613614</v>
      </c>
      <c r="AE250" s="109">
        <f t="shared" si="117"/>
        <v>6163.2661628613614</v>
      </c>
      <c r="AF250" s="109">
        <f t="shared" si="118"/>
        <v>26165.866345965962</v>
      </c>
      <c r="AG250" s="332" t="str">
        <f t="shared" si="119"/>
        <v>N</v>
      </c>
      <c r="AH250" s="332">
        <f t="shared" si="145"/>
        <v>0</v>
      </c>
      <c r="AI250" s="332">
        <f t="shared" si="146"/>
        <v>0</v>
      </c>
      <c r="AJ250" s="109">
        <f t="shared" si="147"/>
        <v>26165.866345965962</v>
      </c>
      <c r="AK250" s="109">
        <f t="shared" si="120"/>
        <v>0</v>
      </c>
      <c r="AL250" s="109">
        <v>0</v>
      </c>
      <c r="AM250" s="111">
        <f t="shared" si="121"/>
        <v>32.454545454545453</v>
      </c>
      <c r="AN250" s="111">
        <f t="shared" si="122"/>
        <v>29.454545454545453</v>
      </c>
      <c r="AO250" s="111" t="str">
        <f t="shared" si="123"/>
        <v>Use deduct 3yrs</v>
      </c>
      <c r="AP250" s="111">
        <f t="shared" si="124"/>
        <v>29.454545454545453</v>
      </c>
      <c r="AQ250" s="112">
        <f t="shared" si="125"/>
        <v>0.74654377880184331</v>
      </c>
      <c r="AR250" s="112">
        <f t="shared" si="126"/>
        <v>0.25345622119815669</v>
      </c>
      <c r="AS250" s="113">
        <f t="shared" si="127"/>
        <v>2057</v>
      </c>
      <c r="AT250" s="109">
        <v>25237.527013832318</v>
      </c>
      <c r="AU250" s="114">
        <v>0.25345622119815669</v>
      </c>
      <c r="AV250" s="113">
        <v>2057</v>
      </c>
      <c r="AW250" s="112">
        <f t="shared" si="128"/>
        <v>0.7528127384600164</v>
      </c>
      <c r="AX250" s="109">
        <f t="shared" si="129"/>
        <v>6396.60822931234</v>
      </c>
      <c r="AY250" s="109">
        <f t="shared" si="130"/>
        <v>18840.918784519981</v>
      </c>
      <c r="AZ250" s="109">
        <f t="shared" si="131"/>
        <v>25237.527013832321</v>
      </c>
      <c r="BA250" s="111">
        <f t="shared" si="132"/>
        <v>0</v>
      </c>
      <c r="BB250" s="117"/>
      <c r="BC250" s="115" t="str">
        <f t="shared" si="133"/>
        <v>Y</v>
      </c>
      <c r="BD250" s="115" t="str">
        <f t="shared" si="134"/>
        <v>Y</v>
      </c>
      <c r="BE250" s="115" t="str">
        <f t="shared" si="135"/>
        <v>N</v>
      </c>
      <c r="BF250" s="109" t="str">
        <f t="shared" si="136"/>
        <v/>
      </c>
      <c r="BG250" s="111" t="s">
        <v>2499</v>
      </c>
      <c r="BH250" s="115" t="s">
        <v>1168</v>
      </c>
      <c r="BI250" s="116"/>
      <c r="BJ250" s="222">
        <v>0.75259518738690034</v>
      </c>
      <c r="BK250" s="265">
        <f t="shared" si="137"/>
        <v>5.4447299981256947</v>
      </c>
      <c r="BL250" s="265">
        <f t="shared" si="138"/>
        <v>-5.4447299981256947</v>
      </c>
      <c r="BM250" s="265">
        <f t="shared" si="139"/>
        <v>0</v>
      </c>
      <c r="BN250" s="265">
        <f t="shared" si="140"/>
        <v>-231.49354700716958</v>
      </c>
      <c r="BO250" s="109"/>
      <c r="BP250" s="265">
        <f t="shared" si="141"/>
        <v>928.33933213364435</v>
      </c>
      <c r="BQ250" s="265">
        <v>928.33933213364435</v>
      </c>
      <c r="BR250" s="265" t="e">
        <f t="shared" si="142"/>
        <v>#REF!</v>
      </c>
      <c r="BS250" s="265">
        <v>104.58600017686703</v>
      </c>
      <c r="BT250" s="475">
        <v>8296.4729861676842</v>
      </c>
      <c r="BU250" s="475">
        <v>6396.6082293123391</v>
      </c>
      <c r="BV250" s="475">
        <v>18840.918784519978</v>
      </c>
      <c r="BW250" s="483">
        <f t="shared" si="143"/>
        <v>-1.8485194438080725</v>
      </c>
      <c r="BX250" s="483">
        <f t="shared" si="144"/>
        <v>-5.4447299981220567</v>
      </c>
    </row>
    <row r="251" spans="1:77" s="103" customFormat="1" ht="43.5">
      <c r="A251" s="100" t="s">
        <v>2259</v>
      </c>
      <c r="B251" s="91" t="str">
        <f t="shared" si="111"/>
        <v>STW</v>
      </c>
      <c r="C251" s="92" t="s">
        <v>466</v>
      </c>
      <c r="D251" s="448"/>
      <c r="E251" s="449" t="s">
        <v>2104</v>
      </c>
      <c r="F251" s="467" t="s">
        <v>4798</v>
      </c>
      <c r="G251" s="467" t="s">
        <v>4971</v>
      </c>
      <c r="H251" s="470">
        <v>0.2162</v>
      </c>
      <c r="I251" s="95" t="s">
        <v>962</v>
      </c>
      <c r="J251" s="95" t="s">
        <v>1166</v>
      </c>
      <c r="K251" s="469">
        <v>678137</v>
      </c>
      <c r="L251" s="471">
        <v>0.75244821031093556</v>
      </c>
      <c r="M251" s="584">
        <v>0.25345622119815669</v>
      </c>
      <c r="N251" s="267">
        <f t="shared" si="112"/>
        <v>0.74654377880184331</v>
      </c>
      <c r="O251" s="96">
        <f t="shared" si="113"/>
        <v>567818.14545454551</v>
      </c>
      <c r="P251" s="96">
        <f t="shared" si="148"/>
        <v>27961</v>
      </c>
      <c r="Q251" s="96">
        <f t="shared" si="115"/>
        <v>82357.854545454553</v>
      </c>
      <c r="R251" s="187" t="s">
        <v>2563</v>
      </c>
      <c r="S251" s="187" t="s">
        <v>3607</v>
      </c>
      <c r="T251" s="94" t="s">
        <v>5394</v>
      </c>
      <c r="U251" s="395">
        <f>COUNTIF(Aggregation_of_rev_to_allocate!$A$3:$A$137,$T251)</f>
        <v>0</v>
      </c>
      <c r="V251" s="100"/>
      <c r="W251" s="100">
        <v>333</v>
      </c>
      <c r="X251" s="109">
        <v>26940.90198654708</v>
      </c>
      <c r="Y251" s="109">
        <v>87435.472810884618</v>
      </c>
      <c r="Z251" s="110">
        <v>0.78027871252955094</v>
      </c>
      <c r="AA251" s="110">
        <v>0.23554603854389722</v>
      </c>
      <c r="AB251" s="110">
        <v>0.76445396145610278</v>
      </c>
      <c r="AC251" s="109">
        <f>IF(ISERROR((X251*SUMIF('Rev_for_allocation(Hard)'!$A$3:$A$249,$T251,'Rev_for_allocation(Hard)'!$I$3:$I$249)/SUMIF(Historic_capex_list!$T$9:$T$586,$T251,Historic_capex_list!$X$9:$X$586))=TRUE),0,X251*SUMIF('Rev_for_allocation(Hard)'!$A$3:$A$249,$T251,'Rev_for_allocation(Hard)'!$I$3:$I$249)/SUMIF(Historic_capex_list!$T$9:$T$586,$T251,Historic_capex_list!$X$9:$X$586))</f>
        <v>0</v>
      </c>
      <c r="AD251" s="109">
        <f t="shared" si="116"/>
        <v>26940.90198654708</v>
      </c>
      <c r="AE251" s="109">
        <f t="shared" si="117"/>
        <v>26940.90198654708</v>
      </c>
      <c r="AF251" s="109">
        <f t="shared" si="118"/>
        <v>114376.37479743169</v>
      </c>
      <c r="AG251" s="332" t="str">
        <f t="shared" si="119"/>
        <v>N</v>
      </c>
      <c r="AH251" s="332">
        <f t="shared" si="145"/>
        <v>0</v>
      </c>
      <c r="AI251" s="332">
        <f t="shared" si="146"/>
        <v>0</v>
      </c>
      <c r="AJ251" s="109">
        <f t="shared" si="147"/>
        <v>114376.37479743169</v>
      </c>
      <c r="AK251" s="109">
        <f t="shared" si="120"/>
        <v>0</v>
      </c>
      <c r="AL251" s="109">
        <v>0</v>
      </c>
      <c r="AM251" s="111">
        <f t="shared" si="121"/>
        <v>32.454545454545453</v>
      </c>
      <c r="AN251" s="111">
        <f t="shared" si="122"/>
        <v>29.454545454545453</v>
      </c>
      <c r="AO251" s="111" t="str">
        <f t="shared" si="123"/>
        <v>Use deduct 3yrs</v>
      </c>
      <c r="AP251" s="111">
        <f t="shared" si="124"/>
        <v>29.454545454545453</v>
      </c>
      <c r="AQ251" s="112">
        <f t="shared" si="125"/>
        <v>0.74654377880184331</v>
      </c>
      <c r="AR251" s="112">
        <f t="shared" si="126"/>
        <v>0.25345622119815669</v>
      </c>
      <c r="AS251" s="113">
        <f t="shared" si="127"/>
        <v>2057</v>
      </c>
      <c r="AT251" s="109">
        <v>110318.4129479214</v>
      </c>
      <c r="AU251" s="114">
        <v>0.25345622119815669</v>
      </c>
      <c r="AV251" s="113">
        <v>2057</v>
      </c>
      <c r="AW251" s="112">
        <f t="shared" si="128"/>
        <v>0.75244519832105539</v>
      </c>
      <c r="AX251" s="109">
        <f t="shared" si="129"/>
        <v>27960.888074357961</v>
      </c>
      <c r="AY251" s="109">
        <f t="shared" si="130"/>
        <v>82357.524873563438</v>
      </c>
      <c r="AZ251" s="109">
        <f t="shared" si="131"/>
        <v>110318.4129479214</v>
      </c>
      <c r="BA251" s="111">
        <f t="shared" si="132"/>
        <v>0</v>
      </c>
      <c r="BB251" s="117"/>
      <c r="BC251" s="115" t="str">
        <f t="shared" si="133"/>
        <v>N</v>
      </c>
      <c r="BD251" s="115" t="str">
        <f t="shared" si="134"/>
        <v>N</v>
      </c>
      <c r="BE251" s="115" t="str">
        <f t="shared" si="135"/>
        <v>N</v>
      </c>
      <c r="BF251" s="109" t="str">
        <f t="shared" si="136"/>
        <v/>
      </c>
      <c r="BG251" s="111" t="s">
        <v>2499</v>
      </c>
      <c r="BH251" s="115" t="s">
        <v>1168</v>
      </c>
      <c r="BI251" s="116"/>
      <c r="BJ251" s="222">
        <v>0.75259518738690034</v>
      </c>
      <c r="BK251" s="265">
        <f t="shared" si="137"/>
        <v>-0.32967189111514017</v>
      </c>
      <c r="BL251" s="265">
        <f t="shared" si="138"/>
        <v>0.32967189111514017</v>
      </c>
      <c r="BM251" s="265">
        <f t="shared" si="139"/>
        <v>0</v>
      </c>
      <c r="BN251" s="265">
        <f t="shared" si="140"/>
        <v>-1020.09801345292</v>
      </c>
      <c r="BO251" s="109"/>
      <c r="BP251" s="265">
        <f t="shared" si="141"/>
        <v>4057.9618495102914</v>
      </c>
      <c r="BQ251" s="265">
        <v>4057.9618495102914</v>
      </c>
      <c r="BR251" s="265" t="e">
        <f t="shared" si="142"/>
        <v>#REF!</v>
      </c>
      <c r="BS251" s="265">
        <v>457.16688286294135</v>
      </c>
      <c r="BT251" s="475">
        <v>36265.587052078597</v>
      </c>
      <c r="BU251" s="475">
        <v>27960.888074357961</v>
      </c>
      <c r="BV251" s="475">
        <v>82357.524873563438</v>
      </c>
      <c r="BW251" s="483">
        <f t="shared" si="143"/>
        <v>0.11192564203884103</v>
      </c>
      <c r="BX251" s="483">
        <f t="shared" si="144"/>
        <v>0.32967189111514017</v>
      </c>
    </row>
    <row r="252" spans="1:77" s="103" customFormat="1" ht="29">
      <c r="A252" s="100" t="s">
        <v>2259</v>
      </c>
      <c r="B252" s="91" t="str">
        <f t="shared" si="111"/>
        <v>STW</v>
      </c>
      <c r="C252" s="92" t="s">
        <v>466</v>
      </c>
      <c r="D252" s="448"/>
      <c r="E252" s="449" t="s">
        <v>2087</v>
      </c>
      <c r="F252" s="467" t="s">
        <v>4799</v>
      </c>
      <c r="G252" s="467" t="s">
        <v>4972</v>
      </c>
      <c r="H252" s="470">
        <v>0.38969999999999999</v>
      </c>
      <c r="I252" s="95" t="s">
        <v>962</v>
      </c>
      <c r="J252" s="95" t="s">
        <v>1166</v>
      </c>
      <c r="K252" s="469">
        <v>1095869</v>
      </c>
      <c r="L252" s="471">
        <v>0.66500647298013671</v>
      </c>
      <c r="M252" s="584">
        <v>0.25345622119815669</v>
      </c>
      <c r="N252" s="267">
        <f t="shared" si="112"/>
        <v>0.74654377880184331</v>
      </c>
      <c r="O252" s="96">
        <f t="shared" si="113"/>
        <v>811871.23636363645</v>
      </c>
      <c r="P252" s="96">
        <f t="shared" si="148"/>
        <v>71980.999999999985</v>
      </c>
      <c r="Q252" s="96">
        <f t="shared" si="115"/>
        <v>212016.76363636361</v>
      </c>
      <c r="R252" s="187" t="s">
        <v>2314</v>
      </c>
      <c r="S252" s="187" t="s">
        <v>3607</v>
      </c>
      <c r="T252" s="94" t="s">
        <v>5395</v>
      </c>
      <c r="U252" s="395">
        <f>COUNTIF(Aggregation_of_rev_to_allocate!$A$3:$A$137,$T252)</f>
        <v>0</v>
      </c>
      <c r="V252" s="100"/>
      <c r="W252" s="100">
        <v>414</v>
      </c>
      <c r="X252" s="109">
        <v>66894.9815658429</v>
      </c>
      <c r="Y252" s="109">
        <v>217104.62199096286</v>
      </c>
      <c r="Z252" s="110">
        <v>0.78027871252955106</v>
      </c>
      <c r="AA252" s="110">
        <v>0.23554603854389722</v>
      </c>
      <c r="AB252" s="110">
        <v>0.76445396145610278</v>
      </c>
      <c r="AC252" s="109">
        <f>IF(ISERROR((X252*SUMIF('Rev_for_allocation(Hard)'!$A$3:$A$249,$T252,'Rev_for_allocation(Hard)'!$I$3:$I$249)/SUMIF(Historic_capex_list!$T$9:$T$586,$T252,Historic_capex_list!$X$9:$X$586))=TRUE),0,X252*SUMIF('Rev_for_allocation(Hard)'!$A$3:$A$249,$T252,'Rev_for_allocation(Hard)'!$I$3:$I$249)/SUMIF(Historic_capex_list!$T$9:$T$586,$T252,Historic_capex_list!$X$9:$X$586))</f>
        <v>0</v>
      </c>
      <c r="AD252" s="109">
        <f t="shared" si="116"/>
        <v>66894.9815658429</v>
      </c>
      <c r="AE252" s="109">
        <f t="shared" si="117"/>
        <v>66894.9815658429</v>
      </c>
      <c r="AF252" s="109">
        <f t="shared" si="118"/>
        <v>283999.60355680576</v>
      </c>
      <c r="AG252" s="332" t="str">
        <f t="shared" si="119"/>
        <v>N</v>
      </c>
      <c r="AH252" s="332">
        <f t="shared" si="145"/>
        <v>0</v>
      </c>
      <c r="AI252" s="332">
        <f t="shared" si="146"/>
        <v>0</v>
      </c>
      <c r="AJ252" s="109">
        <f t="shared" si="147"/>
        <v>283999.60355680576</v>
      </c>
      <c r="AK252" s="109">
        <f t="shared" si="120"/>
        <v>0</v>
      </c>
      <c r="AL252" s="109">
        <v>0</v>
      </c>
      <c r="AM252" s="111">
        <f t="shared" si="121"/>
        <v>32.454545454545453</v>
      </c>
      <c r="AN252" s="111">
        <f t="shared" si="122"/>
        <v>29.454545454545453</v>
      </c>
      <c r="AO252" s="111" t="str">
        <f t="shared" si="123"/>
        <v>Use deduct 3yrs</v>
      </c>
      <c r="AP252" s="111">
        <f t="shared" si="124"/>
        <v>29.454545454545453</v>
      </c>
      <c r="AQ252" s="112">
        <f t="shared" si="125"/>
        <v>0.74654377880184331</v>
      </c>
      <c r="AR252" s="112">
        <f t="shared" si="126"/>
        <v>0.25345622119815669</v>
      </c>
      <c r="AS252" s="113">
        <f t="shared" si="127"/>
        <v>2057</v>
      </c>
      <c r="AT252" s="109">
        <v>283999.59014053992</v>
      </c>
      <c r="AU252" s="114">
        <v>0.25345622119815669</v>
      </c>
      <c r="AV252" s="113">
        <v>2057</v>
      </c>
      <c r="AW252" s="112">
        <f t="shared" si="128"/>
        <v>0.6650107499050133</v>
      </c>
      <c r="AX252" s="109">
        <f t="shared" si="129"/>
        <v>71981.46293884654</v>
      </c>
      <c r="AY252" s="109">
        <f t="shared" si="130"/>
        <v>212018.12720169345</v>
      </c>
      <c r="AZ252" s="109">
        <f t="shared" si="131"/>
        <v>283999.59014053998</v>
      </c>
      <c r="BA252" s="111">
        <f t="shared" si="132"/>
        <v>0</v>
      </c>
      <c r="BB252" s="117"/>
      <c r="BC252" s="115" t="str">
        <f t="shared" si="133"/>
        <v>N</v>
      </c>
      <c r="BD252" s="115" t="str">
        <f t="shared" si="134"/>
        <v>N</v>
      </c>
      <c r="BE252" s="115" t="str">
        <f t="shared" si="135"/>
        <v>N</v>
      </c>
      <c r="BF252" s="109" t="str">
        <f t="shared" si="136"/>
        <v/>
      </c>
      <c r="BG252" s="111" t="s">
        <v>2499</v>
      </c>
      <c r="BH252" s="115" t="s">
        <v>1168</v>
      </c>
      <c r="BI252" s="116"/>
      <c r="BJ252" s="222">
        <v>0.78027867566884246</v>
      </c>
      <c r="BK252" s="265">
        <f t="shared" si="137"/>
        <v>1.3635653298406396</v>
      </c>
      <c r="BL252" s="265">
        <f t="shared" si="138"/>
        <v>-1.3635653298406396</v>
      </c>
      <c r="BM252" s="265">
        <f t="shared" si="139"/>
        <v>0</v>
      </c>
      <c r="BN252" s="265">
        <f t="shared" si="140"/>
        <v>-5086.0184341570857</v>
      </c>
      <c r="BO252" s="109"/>
      <c r="BP252" s="265">
        <f t="shared" si="141"/>
        <v>1.3416265835985541E-2</v>
      </c>
      <c r="BQ252" s="265">
        <v>1.3416265835985541E-2</v>
      </c>
      <c r="BR252" s="265" t="e">
        <f t="shared" si="142"/>
        <v>#REF!</v>
      </c>
      <c r="BS252" s="265">
        <v>1.5114662629561837E-3</v>
      </c>
      <c r="BT252" s="475">
        <v>79972.409859460065</v>
      </c>
      <c r="BU252" s="475">
        <v>71981.462938846526</v>
      </c>
      <c r="BV252" s="475">
        <v>212018.12720169339</v>
      </c>
      <c r="BW252" s="483">
        <f t="shared" si="143"/>
        <v>-0.46293884654005524</v>
      </c>
      <c r="BX252" s="483">
        <f t="shared" si="144"/>
        <v>-1.3635653297824319</v>
      </c>
    </row>
    <row r="253" spans="1:77" s="103" customFormat="1" ht="43.5">
      <c r="A253" s="100" t="s">
        <v>2259</v>
      </c>
      <c r="B253" s="91" t="str">
        <f t="shared" si="111"/>
        <v>STW</v>
      </c>
      <c r="C253" s="92" t="s">
        <v>466</v>
      </c>
      <c r="D253" s="448"/>
      <c r="E253" s="453"/>
      <c r="F253" s="467" t="s">
        <v>4374</v>
      </c>
      <c r="G253" s="384" t="s">
        <v>4703</v>
      </c>
      <c r="H253" s="398">
        <v>1</v>
      </c>
      <c r="I253" s="407" t="s">
        <v>956</v>
      </c>
      <c r="J253" s="95" t="s">
        <v>1166</v>
      </c>
      <c r="K253" s="469">
        <v>1052819</v>
      </c>
      <c r="L253" s="268">
        <v>9.2644981186136253E-3</v>
      </c>
      <c r="M253" s="584">
        <v>1</v>
      </c>
      <c r="N253" s="267">
        <f t="shared" si="112"/>
        <v>0</v>
      </c>
      <c r="O253" s="96">
        <f t="shared" si="113"/>
        <v>1043065.1603552593</v>
      </c>
      <c r="P253" s="96">
        <f t="shared" si="148"/>
        <v>9753.8396447406776</v>
      </c>
      <c r="Q253" s="96">
        <f t="shared" si="115"/>
        <v>0</v>
      </c>
      <c r="R253" s="187" t="s">
        <v>2392</v>
      </c>
      <c r="S253" s="187" t="s">
        <v>3607</v>
      </c>
      <c r="T253" s="94" t="s">
        <v>5396</v>
      </c>
      <c r="U253" s="395">
        <f>COUNTIF(Aggregation_of_rev_to_allocate!$A$3:$A$137,$T253)</f>
        <v>0</v>
      </c>
      <c r="V253" s="100" t="s">
        <v>2621</v>
      </c>
      <c r="W253" s="100">
        <v>285</v>
      </c>
      <c r="X253" s="109">
        <v>487076.84823255765</v>
      </c>
      <c r="Y253" s="109">
        <v>0</v>
      </c>
      <c r="Z253" s="110">
        <v>0.46388271260243585</v>
      </c>
      <c r="AA253" s="110">
        <v>1</v>
      </c>
      <c r="AB253" s="110">
        <v>0</v>
      </c>
      <c r="AC253" s="109">
        <f>IF(ISERROR((X253*SUMIF('Rev_for_allocation(Hard)'!$A$3:$A$249,$T253,'Rev_for_allocation(Hard)'!$I$3:$I$249)/SUMIF(Historic_capex_list!$T$9:$T$586,$T253,Historic_capex_list!$X$9:$X$586))=TRUE),0,X253*SUMIF('Rev_for_allocation(Hard)'!$A$3:$A$249,$T253,'Rev_for_allocation(Hard)'!$I$3:$I$249)/SUMIF(Historic_capex_list!$T$9:$T$586,$T253,Historic_capex_list!$X$9:$X$586))</f>
        <v>0</v>
      </c>
      <c r="AD253" s="109">
        <f t="shared" si="116"/>
        <v>487076.84823255765</v>
      </c>
      <c r="AE253" s="109">
        <f t="shared" si="117"/>
        <v>487076.84823255765</v>
      </c>
      <c r="AF253" s="109">
        <f t="shared" si="118"/>
        <v>487076.84823255765</v>
      </c>
      <c r="AG253" s="332" t="str">
        <f t="shared" si="119"/>
        <v>N</v>
      </c>
      <c r="AH253" s="332">
        <f t="shared" si="145"/>
        <v>0</v>
      </c>
      <c r="AI253" s="332">
        <f t="shared" si="146"/>
        <v>0</v>
      </c>
      <c r="AJ253" s="109">
        <f t="shared" si="147"/>
        <v>487076.84823255765</v>
      </c>
      <c r="AK253" s="109">
        <f t="shared" si="120"/>
        <v>0</v>
      </c>
      <c r="AL253" s="109">
        <v>0</v>
      </c>
      <c r="AM253" s="111">
        <f t="shared" si="121"/>
        <v>0</v>
      </c>
      <c r="AN253" s="111">
        <f t="shared" si="122"/>
        <v>0</v>
      </c>
      <c r="AO253" s="111" t="str">
        <f t="shared" si="123"/>
        <v>Use deduct 3yrs</v>
      </c>
      <c r="AP253" s="111">
        <f t="shared" si="124"/>
        <v>0</v>
      </c>
      <c r="AQ253" s="112">
        <f t="shared" si="125"/>
        <v>0</v>
      </c>
      <c r="AR253" s="112">
        <f t="shared" si="126"/>
        <v>1</v>
      </c>
      <c r="AS253" s="113">
        <f t="shared" si="127"/>
        <v>2028</v>
      </c>
      <c r="AT253" s="109">
        <v>9727.7230245443061</v>
      </c>
      <c r="AU253" s="114">
        <v>1</v>
      </c>
      <c r="AV253" s="113">
        <v>2028</v>
      </c>
      <c r="AW253" s="112">
        <f t="shared" si="128"/>
        <v>9.2396917462016798E-3</v>
      </c>
      <c r="AX253" s="109">
        <f t="shared" si="129"/>
        <v>9727.7230245443061</v>
      </c>
      <c r="AY253" s="109">
        <f t="shared" si="130"/>
        <v>0</v>
      </c>
      <c r="AZ253" s="109">
        <f t="shared" si="131"/>
        <v>9727.7230245443061</v>
      </c>
      <c r="BA253" s="111">
        <f t="shared" si="132"/>
        <v>0</v>
      </c>
      <c r="BB253" s="117"/>
      <c r="BC253" s="115" t="str">
        <f t="shared" si="133"/>
        <v>Y</v>
      </c>
      <c r="BD253" s="115" t="str">
        <f t="shared" si="134"/>
        <v>Y</v>
      </c>
      <c r="BE253" s="115" t="str">
        <f t="shared" si="135"/>
        <v>Y</v>
      </c>
      <c r="BF253" s="109">
        <f t="shared" si="136"/>
        <v>9753.8396447406776</v>
      </c>
      <c r="BG253" s="111" t="s">
        <v>2499</v>
      </c>
      <c r="BH253" s="115" t="s">
        <v>1168</v>
      </c>
      <c r="BI253" s="116"/>
      <c r="BJ253" s="222">
        <v>9.2644981186136253E-3</v>
      </c>
      <c r="BK253" s="265">
        <f t="shared" si="137"/>
        <v>0</v>
      </c>
      <c r="BL253" s="265">
        <f t="shared" si="138"/>
        <v>0</v>
      </c>
      <c r="BM253" s="265">
        <f t="shared" si="139"/>
        <v>7.2759576141834259E-12</v>
      </c>
      <c r="BN253" s="265">
        <f t="shared" si="140"/>
        <v>477323.00858781696</v>
      </c>
      <c r="BO253" s="109"/>
      <c r="BP253" s="265">
        <f t="shared" si="141"/>
        <v>477349.12520801334</v>
      </c>
      <c r="BQ253" s="265">
        <v>477349.12520801334</v>
      </c>
      <c r="BR253" s="265" t="e">
        <f t="shared" si="142"/>
        <v>#REF!</v>
      </c>
      <c r="BS253" s="265">
        <v>53777.787890005617</v>
      </c>
      <c r="BT253" s="475">
        <v>1040272.2769754557</v>
      </c>
      <c r="BU253" s="475">
        <v>9727.7230245443061</v>
      </c>
      <c r="BV253" s="475">
        <v>0</v>
      </c>
      <c r="BW253" s="483">
        <f t="shared" si="143"/>
        <v>26.116620196371514</v>
      </c>
      <c r="BX253" s="483">
        <f t="shared" si="144"/>
        <v>0</v>
      </c>
    </row>
    <row r="254" spans="1:77" s="103" customFormat="1" ht="43.5">
      <c r="A254" s="100" t="s">
        <v>2259</v>
      </c>
      <c r="B254" s="91" t="str">
        <f t="shared" si="111"/>
        <v>STW</v>
      </c>
      <c r="C254" s="92" t="s">
        <v>466</v>
      </c>
      <c r="D254" s="448"/>
      <c r="E254" s="453"/>
      <c r="F254" s="467" t="s">
        <v>4374</v>
      </c>
      <c r="G254" s="384" t="s">
        <v>4703</v>
      </c>
      <c r="H254" s="398">
        <v>1</v>
      </c>
      <c r="I254" s="407" t="s">
        <v>956</v>
      </c>
      <c r="J254" s="95" t="s">
        <v>1166</v>
      </c>
      <c r="K254" s="469">
        <v>1052819</v>
      </c>
      <c r="L254" s="268">
        <v>0.46388227331373971</v>
      </c>
      <c r="M254" s="584">
        <v>1</v>
      </c>
      <c r="N254" s="267">
        <f t="shared" si="112"/>
        <v>0</v>
      </c>
      <c r="O254" s="96">
        <f t="shared" si="113"/>
        <v>564434.92889210186</v>
      </c>
      <c r="P254" s="96">
        <f t="shared" si="148"/>
        <v>488384.07110789814</v>
      </c>
      <c r="Q254" s="96">
        <f t="shared" si="115"/>
        <v>0</v>
      </c>
      <c r="R254" s="187" t="s">
        <v>2601</v>
      </c>
      <c r="S254" s="187" t="s">
        <v>3607</v>
      </c>
      <c r="T254" s="94" t="s">
        <v>5397</v>
      </c>
      <c r="U254" s="395">
        <f>COUNTIF(Aggregation_of_rev_to_allocate!$A$3:$A$137,$T254)</f>
        <v>0</v>
      </c>
      <c r="V254" s="100" t="s">
        <v>2621</v>
      </c>
      <c r="W254" s="100">
        <v>444</v>
      </c>
      <c r="X254" s="109">
        <v>487076.84823255765</v>
      </c>
      <c r="Y254" s="109">
        <v>0</v>
      </c>
      <c r="Z254" s="110">
        <v>0.46388271260243585</v>
      </c>
      <c r="AA254" s="110">
        <v>1</v>
      </c>
      <c r="AB254" s="110">
        <v>0</v>
      </c>
      <c r="AC254" s="109">
        <f>IF(ISERROR((X254*SUMIF('Rev_for_allocation(Hard)'!$A$3:$A$249,$T254,'Rev_for_allocation(Hard)'!$I$3:$I$249)/SUMIF(Historic_capex_list!$T$9:$T$586,$T254,Historic_capex_list!$X$9:$X$586))=TRUE),0,X254*SUMIF('Rev_for_allocation(Hard)'!$A$3:$A$249,$T254,'Rev_for_allocation(Hard)'!$I$3:$I$249)/SUMIF(Historic_capex_list!$T$9:$T$586,$T254,Historic_capex_list!$X$9:$X$586))</f>
        <v>0</v>
      </c>
      <c r="AD254" s="109">
        <f t="shared" si="116"/>
        <v>487076.84823255765</v>
      </c>
      <c r="AE254" s="109">
        <f t="shared" si="117"/>
        <v>487076.84823255765</v>
      </c>
      <c r="AF254" s="109">
        <f t="shared" si="118"/>
        <v>487076.84823255765</v>
      </c>
      <c r="AG254" s="332" t="str">
        <f t="shared" si="119"/>
        <v>N</v>
      </c>
      <c r="AH254" s="332">
        <f t="shared" si="145"/>
        <v>0</v>
      </c>
      <c r="AI254" s="332">
        <f t="shared" si="146"/>
        <v>0</v>
      </c>
      <c r="AJ254" s="109">
        <f t="shared" si="147"/>
        <v>487076.84823255765</v>
      </c>
      <c r="AK254" s="109">
        <f t="shared" si="120"/>
        <v>0</v>
      </c>
      <c r="AL254" s="109">
        <v>0</v>
      </c>
      <c r="AM254" s="111">
        <f t="shared" si="121"/>
        <v>0</v>
      </c>
      <c r="AN254" s="111">
        <f t="shared" si="122"/>
        <v>0</v>
      </c>
      <c r="AO254" s="111" t="str">
        <f t="shared" si="123"/>
        <v>Use deduct 3yrs</v>
      </c>
      <c r="AP254" s="111">
        <f t="shared" si="124"/>
        <v>0</v>
      </c>
      <c r="AQ254" s="112">
        <f t="shared" si="125"/>
        <v>0</v>
      </c>
      <c r="AR254" s="112">
        <f t="shared" si="126"/>
        <v>1</v>
      </c>
      <c r="AS254" s="113">
        <f t="shared" si="127"/>
        <v>2028</v>
      </c>
      <c r="AT254" s="109">
        <v>487076.38697942672</v>
      </c>
      <c r="AU254" s="114">
        <v>1</v>
      </c>
      <c r="AV254" s="113">
        <v>2028</v>
      </c>
      <c r="AW254" s="112">
        <f t="shared" si="128"/>
        <v>0.46264019454381689</v>
      </c>
      <c r="AX254" s="109">
        <f t="shared" si="129"/>
        <v>487076.38697942672</v>
      </c>
      <c r="AY254" s="109">
        <f t="shared" si="130"/>
        <v>0</v>
      </c>
      <c r="AZ254" s="109">
        <f t="shared" si="131"/>
        <v>487076.38697942672</v>
      </c>
      <c r="BA254" s="111">
        <f t="shared" si="132"/>
        <v>0</v>
      </c>
      <c r="BB254" s="117"/>
      <c r="BC254" s="115" t="str">
        <f t="shared" si="133"/>
        <v>N</v>
      </c>
      <c r="BD254" s="115" t="str">
        <f t="shared" si="134"/>
        <v>Y</v>
      </c>
      <c r="BE254" s="115" t="str">
        <f t="shared" si="135"/>
        <v>N</v>
      </c>
      <c r="BF254" s="109" t="str">
        <f t="shared" si="136"/>
        <v/>
      </c>
      <c r="BG254" s="111" t="s">
        <v>2499</v>
      </c>
      <c r="BH254" s="115" t="s">
        <v>1168</v>
      </c>
      <c r="BI254" s="116"/>
      <c r="BJ254" s="222">
        <v>0.46388227331373971</v>
      </c>
      <c r="BK254" s="265">
        <f t="shared" si="137"/>
        <v>0</v>
      </c>
      <c r="BL254" s="265">
        <f t="shared" si="138"/>
        <v>0</v>
      </c>
      <c r="BM254" s="265">
        <f t="shared" si="139"/>
        <v>0</v>
      </c>
      <c r="BN254" s="265">
        <f t="shared" si="140"/>
        <v>-1307.2228753404925</v>
      </c>
      <c r="BO254" s="109"/>
      <c r="BP254" s="265">
        <f t="shared" si="141"/>
        <v>0.46125313092488796</v>
      </c>
      <c r="BQ254" s="265">
        <v>0.46125313092488796</v>
      </c>
      <c r="BR254" s="265" t="e">
        <f t="shared" si="142"/>
        <v>#REF!</v>
      </c>
      <c r="BS254" s="265">
        <v>5.1964425466727991E-2</v>
      </c>
      <c r="BT254" s="475">
        <v>562923.61302057328</v>
      </c>
      <c r="BU254" s="475">
        <v>487076.38697942672</v>
      </c>
      <c r="BV254" s="475">
        <v>0</v>
      </c>
      <c r="BW254" s="483">
        <f t="shared" si="143"/>
        <v>1307.6841284714174</v>
      </c>
      <c r="BX254" s="483">
        <f t="shared" si="144"/>
        <v>0</v>
      </c>
    </row>
    <row r="255" spans="1:77" s="103" customFormat="1" ht="43.5">
      <c r="A255" s="100" t="s">
        <v>2259</v>
      </c>
      <c r="B255" s="91" t="str">
        <f t="shared" si="111"/>
        <v>STW</v>
      </c>
      <c r="C255" s="92" t="s">
        <v>466</v>
      </c>
      <c r="D255" s="448"/>
      <c r="E255" s="453"/>
      <c r="F255" s="467" t="s">
        <v>4375</v>
      </c>
      <c r="G255" s="384" t="s">
        <v>4704</v>
      </c>
      <c r="H255" s="398">
        <v>1</v>
      </c>
      <c r="I255" s="407" t="s">
        <v>956</v>
      </c>
      <c r="J255" s="95" t="s">
        <v>1166</v>
      </c>
      <c r="K255" s="469">
        <v>1751099</v>
      </c>
      <c r="L255" s="268">
        <v>0.65291054360718626</v>
      </c>
      <c r="M255" s="584">
        <v>1</v>
      </c>
      <c r="N255" s="267">
        <f t="shared" si="112"/>
        <v>0</v>
      </c>
      <c r="O255" s="96">
        <f t="shared" si="113"/>
        <v>607787.99999999977</v>
      </c>
      <c r="P255" s="96">
        <f>(+K255*L255*M255*H255)</f>
        <v>1143311.0000000002</v>
      </c>
      <c r="Q255" s="96">
        <f t="shared" si="115"/>
        <v>0</v>
      </c>
      <c r="R255" s="187" t="s">
        <v>2329</v>
      </c>
      <c r="S255" s="187" t="s">
        <v>3607</v>
      </c>
      <c r="T255" s="94" t="s">
        <v>5398</v>
      </c>
      <c r="U255" s="395">
        <f>COUNTIF(Aggregation_of_rev_to_allocate!$A$3:$A$137,$T255)</f>
        <v>0</v>
      </c>
      <c r="V255" s="100"/>
      <c r="W255" s="100">
        <v>272</v>
      </c>
      <c r="X255" s="109">
        <v>834988.88268438459</v>
      </c>
      <c r="Y255" s="109">
        <v>0</v>
      </c>
      <c r="Z255" s="110">
        <v>0.46388271260243591</v>
      </c>
      <c r="AA255" s="110">
        <v>1</v>
      </c>
      <c r="AB255" s="110">
        <v>0</v>
      </c>
      <c r="AC255" s="109">
        <f>IF(ISERROR((X255*SUMIF('Rev_for_allocation(Hard)'!$A$3:$A$249,$T255,'Rev_for_allocation(Hard)'!$I$3:$I$249)/SUMIF(Historic_capex_list!$T$9:$T$586,$T255,Historic_capex_list!$X$9:$X$586))=TRUE),0,X255*SUMIF('Rev_for_allocation(Hard)'!$A$3:$A$249,$T255,'Rev_for_allocation(Hard)'!$I$3:$I$249)/SUMIF(Historic_capex_list!$T$9:$T$586,$T255,Historic_capex_list!$X$9:$X$586))</f>
        <v>0</v>
      </c>
      <c r="AD255" s="109">
        <f t="shared" si="116"/>
        <v>834988.88268438459</v>
      </c>
      <c r="AE255" s="109">
        <f t="shared" si="117"/>
        <v>834988.88268438459</v>
      </c>
      <c r="AF255" s="109">
        <f t="shared" si="118"/>
        <v>834988.88268438459</v>
      </c>
      <c r="AG255" s="332" t="str">
        <f t="shared" si="119"/>
        <v>N</v>
      </c>
      <c r="AH255" s="332">
        <f t="shared" si="145"/>
        <v>0</v>
      </c>
      <c r="AI255" s="332">
        <f t="shared" si="146"/>
        <v>0</v>
      </c>
      <c r="AJ255" s="109">
        <f t="shared" si="147"/>
        <v>834988.88268438459</v>
      </c>
      <c r="AK255" s="109">
        <f t="shared" si="120"/>
        <v>0</v>
      </c>
      <c r="AL255" s="109">
        <v>0</v>
      </c>
      <c r="AM255" s="111">
        <f t="shared" si="121"/>
        <v>0</v>
      </c>
      <c r="AN255" s="111">
        <f t="shared" si="122"/>
        <v>0</v>
      </c>
      <c r="AO255" s="111" t="str">
        <f t="shared" si="123"/>
        <v>Use deduct 3yrs</v>
      </c>
      <c r="AP255" s="111">
        <f t="shared" si="124"/>
        <v>0</v>
      </c>
      <c r="AQ255" s="112">
        <f t="shared" si="125"/>
        <v>0</v>
      </c>
      <c r="AR255" s="112">
        <f t="shared" si="126"/>
        <v>1</v>
      </c>
      <c r="AS255" s="113">
        <f t="shared" si="127"/>
        <v>2028</v>
      </c>
      <c r="AT255" s="109">
        <v>1143310.979245055</v>
      </c>
      <c r="AU255" s="114">
        <v>1</v>
      </c>
      <c r="AV255" s="113">
        <v>2028</v>
      </c>
      <c r="AW255" s="112">
        <f t="shared" si="128"/>
        <v>0.65291053175466096</v>
      </c>
      <c r="AX255" s="109">
        <f t="shared" si="129"/>
        <v>1143310.979245055</v>
      </c>
      <c r="AY255" s="109">
        <f t="shared" si="130"/>
        <v>0</v>
      </c>
      <c r="AZ255" s="109">
        <f t="shared" si="131"/>
        <v>1143310.979245055</v>
      </c>
      <c r="BA255" s="111">
        <f t="shared" si="132"/>
        <v>0</v>
      </c>
      <c r="BB255" s="117"/>
      <c r="BC255" s="115" t="str">
        <f t="shared" si="133"/>
        <v>N</v>
      </c>
      <c r="BD255" s="115" t="str">
        <f t="shared" si="134"/>
        <v>Y</v>
      </c>
      <c r="BE255" s="115" t="str">
        <f t="shared" si="135"/>
        <v>N</v>
      </c>
      <c r="BF255" s="109" t="str">
        <f t="shared" si="136"/>
        <v/>
      </c>
      <c r="BG255" s="111" t="s">
        <v>2499</v>
      </c>
      <c r="BH255" s="115" t="s">
        <v>1168</v>
      </c>
      <c r="BI255" s="116"/>
      <c r="BJ255" s="222">
        <v>0.63517276624725283</v>
      </c>
      <c r="BK255" s="265">
        <f t="shared" si="137"/>
        <v>0</v>
      </c>
      <c r="BL255" s="265">
        <f t="shared" si="138"/>
        <v>0</v>
      </c>
      <c r="BM255" s="265">
        <f t="shared" si="139"/>
        <v>0</v>
      </c>
      <c r="BN255" s="265">
        <f t="shared" si="140"/>
        <v>-308322.11731561564</v>
      </c>
      <c r="BO255" s="109"/>
      <c r="BP255" s="265">
        <f t="shared" si="141"/>
        <v>-308322.09656067041</v>
      </c>
      <c r="BQ255" s="265">
        <v>-308322.09656067041</v>
      </c>
      <c r="BR255" s="265" t="e">
        <f t="shared" si="142"/>
        <v>#REF!</v>
      </c>
      <c r="BS255" s="265">
        <v>-34735.33193009656</v>
      </c>
      <c r="BT255" s="475">
        <v>656689.02075494488</v>
      </c>
      <c r="BU255" s="475">
        <v>1143310.979245055</v>
      </c>
      <c r="BV255" s="475">
        <v>0</v>
      </c>
      <c r="BW255" s="483">
        <f t="shared" si="143"/>
        <v>2.0754945231601596E-2</v>
      </c>
      <c r="BX255" s="483">
        <f t="shared" si="144"/>
        <v>0</v>
      </c>
    </row>
    <row r="256" spans="1:77" s="103" customFormat="1" ht="29">
      <c r="A256" s="100" t="s">
        <v>2259</v>
      </c>
      <c r="B256" s="91" t="str">
        <f t="shared" ref="B256:B312" si="149">LEFT(T256,3)</f>
        <v>STW</v>
      </c>
      <c r="C256" s="92" t="s">
        <v>466</v>
      </c>
      <c r="D256" s="448"/>
      <c r="E256" s="449" t="s">
        <v>2127</v>
      </c>
      <c r="F256" s="467" t="s">
        <v>4801</v>
      </c>
      <c r="G256" s="467" t="s">
        <v>4973</v>
      </c>
      <c r="H256" s="470">
        <v>0.46150000000000002</v>
      </c>
      <c r="I256" s="95" t="s">
        <v>962</v>
      </c>
      <c r="J256" s="95" t="s">
        <v>1166</v>
      </c>
      <c r="K256" s="469">
        <v>274500</v>
      </c>
      <c r="L256" s="471">
        <v>0.36165128901217569</v>
      </c>
      <c r="M256" s="584">
        <v>0.25345622119815669</v>
      </c>
      <c r="N256" s="267">
        <f t="shared" ref="N256:N312" si="150">100%-M256</f>
        <v>0.74654377880184331</v>
      </c>
      <c r="O256" s="96">
        <f t="shared" ref="O256:O312" si="151">(K256*(100%-H256))+(K256*H256*(100%-L256))</f>
        <v>228685.38181818181</v>
      </c>
      <c r="P256" s="96">
        <f t="shared" si="148"/>
        <v>11612.000000000002</v>
      </c>
      <c r="Q256" s="96">
        <f t="shared" ref="Q256:Q312" si="152">+K256*L256*N256*H256</f>
        <v>34202.618181818187</v>
      </c>
      <c r="R256" s="187" t="s">
        <v>2563</v>
      </c>
      <c r="S256" s="187" t="s">
        <v>3607</v>
      </c>
      <c r="T256" s="94" t="s">
        <v>5394</v>
      </c>
      <c r="U256" s="395">
        <f>COUNTIF(Aggregation_of_rev_to_allocate!$A$3:$A$137,$T256)</f>
        <v>0</v>
      </c>
      <c r="V256" s="100"/>
      <c r="W256" s="100">
        <v>317</v>
      </c>
      <c r="X256" s="109">
        <v>11188.186218261904</v>
      </c>
      <c r="Y256" s="109">
        <v>36310.74981745</v>
      </c>
      <c r="Z256" s="110">
        <v>0.81148986103073306</v>
      </c>
      <c r="AA256" s="110">
        <v>0.23554603854389722</v>
      </c>
      <c r="AB256" s="110">
        <v>0.76445396145610278</v>
      </c>
      <c r="AC256" s="109">
        <f>IF(ISERROR((X256*SUMIF('Rev_for_allocation(Hard)'!$A$3:$A$249,$T256,'Rev_for_allocation(Hard)'!$I$3:$I$249)/SUMIF(Historic_capex_list!$T$9:$T$586,$T256,Historic_capex_list!$X$9:$X$586))=TRUE),0,X256*SUMIF('Rev_for_allocation(Hard)'!$A$3:$A$249,$T256,'Rev_for_allocation(Hard)'!$I$3:$I$249)/SUMIF(Historic_capex_list!$T$9:$T$586,$T256,Historic_capex_list!$X$9:$X$586))</f>
        <v>0</v>
      </c>
      <c r="AD256" s="109">
        <f t="shared" ref="AD256:AD312" si="153">+AC256+X256</f>
        <v>11188.186218261904</v>
      </c>
      <c r="AE256" s="109">
        <f t="shared" ref="AE256:AE312" si="154">IF(AD256&lt;0,+Q256+P256+AC256,+AD256)</f>
        <v>11188.186218261904</v>
      </c>
      <c r="AF256" s="109">
        <f t="shared" ref="AF256:AF312" si="155">+Y256+AD256</f>
        <v>47498.9360357119</v>
      </c>
      <c r="AG256" s="332" t="str">
        <f t="shared" ref="AG256:AG312" si="156">IF(AF256&lt;0,"Y","N")</f>
        <v>N</v>
      </c>
      <c r="AH256" s="332">
        <f t="shared" si="145"/>
        <v>0</v>
      </c>
      <c r="AI256" s="332">
        <f t="shared" si="146"/>
        <v>0</v>
      </c>
      <c r="AJ256" s="109">
        <f t="shared" si="147"/>
        <v>47498.9360357119</v>
      </c>
      <c r="AK256" s="109">
        <f t="shared" ref="AK256:AK312" si="157">IF(AJ256&lt;0,+AJ256,0)</f>
        <v>0</v>
      </c>
      <c r="AL256" s="109">
        <v>0</v>
      </c>
      <c r="AM256" s="111">
        <f t="shared" ref="AM256:AM312" si="158">AB256/(1-AB256)*10</f>
        <v>32.454545454545453</v>
      </c>
      <c r="AN256" s="111">
        <f t="shared" ref="AN256:AN312" si="159">IF(AM256=0,0,IF(AD256&lt;0,AM256-10,AM256-3))</f>
        <v>29.454545454545453</v>
      </c>
      <c r="AO256" s="111" t="str">
        <f t="shared" ref="AO256:AO312" si="160">IF(-AC256&gt;AE256,((AE256+Y256+AC256)/(AE256+Y256))*(AM256+10),"Use deduct 3yrs")</f>
        <v>Use deduct 3yrs</v>
      </c>
      <c r="AP256" s="111">
        <f t="shared" ref="AP256:AP312" si="161">IF(AO256&lt;=10,0,AN256)</f>
        <v>29.454545454545453</v>
      </c>
      <c r="AQ256" s="112">
        <f t="shared" ref="AQ256:AQ312" si="162">IF(AN256&lt;=0,0,(AP256/(AP256+10)))</f>
        <v>0.74654377880184331</v>
      </c>
      <c r="AR256" s="112">
        <f t="shared" ref="AR256:AR312" si="163">IF(O256=0,1,1-AQ256)</f>
        <v>0.25345622119815669</v>
      </c>
      <c r="AS256" s="113">
        <f t="shared" ref="AS256:AS312" si="164">ROUND(IF(+$AS$7+AP256&lt;+$AS$7,+$AS$7,+$AS$7+AP256),0)</f>
        <v>2057</v>
      </c>
      <c r="AT256" s="109">
        <v>45813.720267450146</v>
      </c>
      <c r="AU256" s="114">
        <v>0.25345622119815669</v>
      </c>
      <c r="AV256" s="113">
        <v>2057</v>
      </c>
      <c r="AW256" s="112">
        <f t="shared" ref="AW256:AW312" si="165">IF(ISERR($AT256/($K256*$H256)),0,($AT256/($K256*$H256)))</f>
        <v>0.36164420105855932</v>
      </c>
      <c r="AX256" s="109">
        <f t="shared" ref="AX256:AX312" si="166">$K256*$AW256*$AU256*$H256</f>
        <v>11611.772418017319</v>
      </c>
      <c r="AY256" s="109">
        <f t="shared" ref="AY256:AY312" si="167">$K256*$AW256*(1-$AU256)*$H256</f>
        <v>34201.947849432829</v>
      </c>
      <c r="AZ256" s="109">
        <f t="shared" ref="AZ256:AZ312" si="168">IF(K256&lt;1,+AF256,+AY256+AX256)</f>
        <v>45813.720267450146</v>
      </c>
      <c r="BA256" s="111">
        <f t="shared" ref="BA256:BA312" si="169">+AZ256-AT256</f>
        <v>0</v>
      </c>
      <c r="BB256" s="117"/>
      <c r="BC256" s="115" t="str">
        <f t="shared" ref="BC256:BC312" si="170">IF(P256&lt;=BC$7,"Y","N")</f>
        <v>N</v>
      </c>
      <c r="BD256" s="115" t="str">
        <f t="shared" ref="BD256:BD312" si="171">IF(Q256&lt;=BD$7,"Y","N")</f>
        <v>N</v>
      </c>
      <c r="BE256" s="115" t="str">
        <f t="shared" ref="BE256:BE312" si="172">IF(AND(BC256="Y",Q256=0),"Y","N")</f>
        <v>N</v>
      </c>
      <c r="BF256" s="109" t="str">
        <f t="shared" ref="BF256:BF312" si="173">IF(BE256="Y",+P256,"")</f>
        <v/>
      </c>
      <c r="BG256" s="111" t="s">
        <v>2499</v>
      </c>
      <c r="BH256" s="115" t="s">
        <v>1168</v>
      </c>
      <c r="BI256" s="116"/>
      <c r="BJ256" s="222">
        <v>0.78269899488237649</v>
      </c>
      <c r="BK256" s="265">
        <f t="shared" ref="BK256:BK312" si="174">+AY256-Q256</f>
        <v>-0.6703323853580514</v>
      </c>
      <c r="BL256" s="265">
        <f t="shared" ref="BL256:BL312" si="175">+Q256-AY256</f>
        <v>0.6703323853580514</v>
      </c>
      <c r="BM256" s="265">
        <f t="shared" ref="BM256:BM312" si="176">+K256-O256-P256-Q256</f>
        <v>0</v>
      </c>
      <c r="BN256" s="265">
        <f t="shared" ref="BN256:BN312" si="177">+X256-P256</f>
        <v>-423.81378173809753</v>
      </c>
      <c r="BO256" s="109"/>
      <c r="BP256" s="265">
        <f t="shared" ref="BP256:BP312" si="178">+X256+Y256-AT256</f>
        <v>1685.2157682617544</v>
      </c>
      <c r="BQ256" s="265">
        <v>1685.2157682617544</v>
      </c>
      <c r="BR256" s="265" t="e">
        <f t="shared" ref="BR256:BR312" si="179">+BQ256*$BR$7</f>
        <v>#REF!</v>
      </c>
      <c r="BS256" s="265">
        <v>189.85512143754551</v>
      </c>
      <c r="BT256" s="475">
        <v>12719.279732549858</v>
      </c>
      <c r="BU256" s="475">
        <v>11611.772418017319</v>
      </c>
      <c r="BV256" s="475">
        <v>34201.947849432829</v>
      </c>
      <c r="BW256" s="483">
        <f t="shared" ref="BW256:BW312" si="180">P256-BU256</f>
        <v>0.22758198268275009</v>
      </c>
      <c r="BX256" s="483">
        <f t="shared" ref="BX256:BX312" si="181">Q256-BV256</f>
        <v>0.6703323853580514</v>
      </c>
    </row>
    <row r="257" spans="1:77" s="103" customFormat="1" ht="14.5">
      <c r="A257" s="100" t="s">
        <v>2259</v>
      </c>
      <c r="B257" s="91" t="str">
        <f t="shared" si="149"/>
        <v>STW</v>
      </c>
      <c r="C257" s="92" t="s">
        <v>466</v>
      </c>
      <c r="D257" s="448"/>
      <c r="E257" s="449" t="s">
        <v>2128</v>
      </c>
      <c r="F257" s="467" t="s">
        <v>4802</v>
      </c>
      <c r="G257" s="467" t="s">
        <v>4974</v>
      </c>
      <c r="H257" s="470">
        <v>0.2969</v>
      </c>
      <c r="I257" s="95" t="s">
        <v>962</v>
      </c>
      <c r="J257" s="95" t="s">
        <v>1166</v>
      </c>
      <c r="K257" s="469">
        <v>461896</v>
      </c>
      <c r="L257" s="471">
        <v>0.78269899488237638</v>
      </c>
      <c r="M257" s="584">
        <v>0.25345622119815669</v>
      </c>
      <c r="N257" s="267">
        <f t="shared" si="150"/>
        <v>0.74654377880184331</v>
      </c>
      <c r="O257" s="96">
        <f t="shared" si="151"/>
        <v>354559.06867625756</v>
      </c>
      <c r="P257" s="96">
        <f t="shared" si="148"/>
        <v>27205.213008321818</v>
      </c>
      <c r="Q257" s="96">
        <f t="shared" si="152"/>
        <v>80131.718315420614</v>
      </c>
      <c r="R257" s="187" t="s">
        <v>2563</v>
      </c>
      <c r="S257" s="187" t="s">
        <v>3607</v>
      </c>
      <c r="T257" s="94" t="s">
        <v>5394</v>
      </c>
      <c r="U257" s="395">
        <f>COUNTIF(Aggregation_of_rev_to_allocate!$A$3:$A$137,$T257)</f>
        <v>0</v>
      </c>
      <c r="V257" s="100"/>
      <c r="W257" s="100">
        <v>323</v>
      </c>
      <c r="X257" s="109">
        <v>26210.514328313318</v>
      </c>
      <c r="Y257" s="109">
        <v>85065.032865525951</v>
      </c>
      <c r="Z257" s="110">
        <v>0.81148986103073306</v>
      </c>
      <c r="AA257" s="110">
        <v>0.23554603854389722</v>
      </c>
      <c r="AB257" s="110">
        <v>0.76445396145610278</v>
      </c>
      <c r="AC257" s="109">
        <f>IF(ISERROR((X257*SUMIF('Rev_for_allocation(Hard)'!$A$3:$A$249,$T257,'Rev_for_allocation(Hard)'!$I$3:$I$249)/SUMIF(Historic_capex_list!$T$9:$T$586,$T257,Historic_capex_list!$X$9:$X$586))=TRUE),0,X257*SUMIF('Rev_for_allocation(Hard)'!$A$3:$A$249,$T257,'Rev_for_allocation(Hard)'!$I$3:$I$249)/SUMIF(Historic_capex_list!$T$9:$T$586,$T257,Historic_capex_list!$X$9:$X$586))</f>
        <v>0</v>
      </c>
      <c r="AD257" s="109">
        <f t="shared" si="153"/>
        <v>26210.514328313318</v>
      </c>
      <c r="AE257" s="109">
        <f t="shared" si="154"/>
        <v>26210.514328313318</v>
      </c>
      <c r="AF257" s="109">
        <f t="shared" si="155"/>
        <v>111275.54719383927</v>
      </c>
      <c r="AG257" s="332" t="str">
        <f t="shared" si="156"/>
        <v>N</v>
      </c>
      <c r="AH257" s="332">
        <f t="shared" si="145"/>
        <v>0</v>
      </c>
      <c r="AI257" s="332">
        <f t="shared" si="146"/>
        <v>0</v>
      </c>
      <c r="AJ257" s="109">
        <f t="shared" si="147"/>
        <v>111275.54719383927</v>
      </c>
      <c r="AK257" s="109">
        <f t="shared" si="157"/>
        <v>0</v>
      </c>
      <c r="AL257" s="109">
        <v>0</v>
      </c>
      <c r="AM257" s="111">
        <f t="shared" si="158"/>
        <v>32.454545454545453</v>
      </c>
      <c r="AN257" s="111">
        <f t="shared" si="159"/>
        <v>29.454545454545453</v>
      </c>
      <c r="AO257" s="111" t="str">
        <f t="shared" si="160"/>
        <v>Use deduct 3yrs</v>
      </c>
      <c r="AP257" s="111">
        <f t="shared" si="161"/>
        <v>29.454545454545453</v>
      </c>
      <c r="AQ257" s="112">
        <f t="shared" si="162"/>
        <v>0.74654377880184331</v>
      </c>
      <c r="AR257" s="112">
        <f t="shared" si="163"/>
        <v>0.25345622119815669</v>
      </c>
      <c r="AS257" s="113">
        <f t="shared" si="164"/>
        <v>2057</v>
      </c>
      <c r="AT257" s="109">
        <v>107327.59967324586</v>
      </c>
      <c r="AU257" s="114">
        <v>0.25345622119815669</v>
      </c>
      <c r="AV257" s="113">
        <v>2057</v>
      </c>
      <c r="AW257" s="112">
        <f t="shared" si="165"/>
        <v>0.78263094865286154</v>
      </c>
      <c r="AX257" s="109">
        <f t="shared" si="166"/>
        <v>27202.84784344941</v>
      </c>
      <c r="AY257" s="109">
        <f t="shared" si="167"/>
        <v>80124.751829796442</v>
      </c>
      <c r="AZ257" s="109">
        <f t="shared" si="168"/>
        <v>107327.59967324586</v>
      </c>
      <c r="BA257" s="111">
        <f t="shared" si="169"/>
        <v>0</v>
      </c>
      <c r="BB257" s="117"/>
      <c r="BC257" s="115" t="str">
        <f t="shared" si="170"/>
        <v>N</v>
      </c>
      <c r="BD257" s="115" t="str">
        <f t="shared" si="171"/>
        <v>N</v>
      </c>
      <c r="BE257" s="115" t="str">
        <f t="shared" si="172"/>
        <v>N</v>
      </c>
      <c r="BF257" s="109" t="str">
        <f t="shared" si="173"/>
        <v/>
      </c>
      <c r="BG257" s="111" t="s">
        <v>2499</v>
      </c>
      <c r="BH257" s="115" t="s">
        <v>1168</v>
      </c>
      <c r="BI257" s="116"/>
      <c r="BJ257" s="222">
        <v>0.78269899488237638</v>
      </c>
      <c r="BK257" s="265">
        <f t="shared" si="174"/>
        <v>-6.966485624172492</v>
      </c>
      <c r="BL257" s="265">
        <f t="shared" si="175"/>
        <v>6.966485624172492</v>
      </c>
      <c r="BM257" s="265">
        <f t="shared" si="176"/>
        <v>0</v>
      </c>
      <c r="BN257" s="265">
        <f t="shared" si="177"/>
        <v>-994.69868000849965</v>
      </c>
      <c r="BO257" s="109"/>
      <c r="BP257" s="265">
        <f t="shared" si="178"/>
        <v>3947.9475205934141</v>
      </c>
      <c r="BQ257" s="265">
        <v>3947.9475205934141</v>
      </c>
      <c r="BR257" s="265" t="e">
        <f t="shared" si="179"/>
        <v>#REF!</v>
      </c>
      <c r="BS257" s="265">
        <v>444.77275258612354</v>
      </c>
      <c r="BT257" s="475">
        <v>29797.400326754141</v>
      </c>
      <c r="BU257" s="475">
        <v>27202.847843449414</v>
      </c>
      <c r="BV257" s="475">
        <v>80124.751829796442</v>
      </c>
      <c r="BW257" s="483">
        <f t="shared" si="180"/>
        <v>2.3651648724044207</v>
      </c>
      <c r="BX257" s="483">
        <f t="shared" si="181"/>
        <v>6.966485624172492</v>
      </c>
    </row>
    <row r="258" spans="1:77" s="103" customFormat="1" ht="29">
      <c r="A258" s="100" t="s">
        <v>2259</v>
      </c>
      <c r="B258" s="91" t="str">
        <f t="shared" si="149"/>
        <v>STW</v>
      </c>
      <c r="C258" s="92" t="s">
        <v>466</v>
      </c>
      <c r="D258" s="448"/>
      <c r="E258" s="449" t="s">
        <v>2132</v>
      </c>
      <c r="F258" s="467" t="s">
        <v>4803</v>
      </c>
      <c r="G258" s="467" t="s">
        <v>4975</v>
      </c>
      <c r="H258" s="470">
        <v>0.40860000000000002</v>
      </c>
      <c r="I258" s="95" t="s">
        <v>962</v>
      </c>
      <c r="J258" s="95" t="s">
        <v>1166</v>
      </c>
      <c r="K258" s="469">
        <v>432197</v>
      </c>
      <c r="L258" s="471">
        <v>0.78027867566884246</v>
      </c>
      <c r="M258" s="584">
        <v>0.25345622119815669</v>
      </c>
      <c r="N258" s="267">
        <f t="shared" si="150"/>
        <v>0.74654377880184331</v>
      </c>
      <c r="O258" s="96">
        <f t="shared" si="151"/>
        <v>294403.14560080407</v>
      </c>
      <c r="P258" s="96">
        <f t="shared" si="148"/>
        <v>34924.709640349189</v>
      </c>
      <c r="Q258" s="96">
        <f t="shared" si="152"/>
        <v>102869.1447588467</v>
      </c>
      <c r="R258" s="187" t="s">
        <v>2314</v>
      </c>
      <c r="S258" s="187" t="s">
        <v>3607</v>
      </c>
      <c r="T258" s="94" t="s">
        <v>5395</v>
      </c>
      <c r="U258" s="395">
        <f>COUNTIF(Aggregation_of_rev_to_allocate!$A$3:$A$137,$T258)</f>
        <v>0</v>
      </c>
      <c r="V258" s="100"/>
      <c r="W258" s="100">
        <v>409</v>
      </c>
      <c r="X258" s="109">
        <v>32455.567735239609</v>
      </c>
      <c r="Y258" s="109">
        <v>105333.06983164127</v>
      </c>
      <c r="Z258" s="110">
        <v>0.78027871252955094</v>
      </c>
      <c r="AA258" s="110">
        <v>0.23554603854389722</v>
      </c>
      <c r="AB258" s="110">
        <v>0.76445396145610278</v>
      </c>
      <c r="AC258" s="109">
        <f>IF(ISERROR((X258*SUMIF('Rev_for_allocation(Hard)'!$A$3:$A$249,$T258,'Rev_for_allocation(Hard)'!$I$3:$I$249)/SUMIF(Historic_capex_list!$T$9:$T$586,$T258,Historic_capex_list!$X$9:$X$586))=TRUE),0,X258*SUMIF('Rev_for_allocation(Hard)'!$A$3:$A$249,$T258,'Rev_for_allocation(Hard)'!$I$3:$I$249)/SUMIF(Historic_capex_list!$T$9:$T$586,$T258,Historic_capex_list!$X$9:$X$586))</f>
        <v>0</v>
      </c>
      <c r="AD258" s="109">
        <f t="shared" si="153"/>
        <v>32455.567735239609</v>
      </c>
      <c r="AE258" s="109">
        <f t="shared" si="154"/>
        <v>32455.567735239609</v>
      </c>
      <c r="AF258" s="109">
        <f t="shared" si="155"/>
        <v>137788.63756688088</v>
      </c>
      <c r="AG258" s="332" t="str">
        <f t="shared" si="156"/>
        <v>N</v>
      </c>
      <c r="AH258" s="332">
        <f t="shared" si="145"/>
        <v>0</v>
      </c>
      <c r="AI258" s="332">
        <f t="shared" si="146"/>
        <v>0</v>
      </c>
      <c r="AJ258" s="109">
        <f t="shared" si="147"/>
        <v>137788.63756688088</v>
      </c>
      <c r="AK258" s="109">
        <f t="shared" si="157"/>
        <v>0</v>
      </c>
      <c r="AL258" s="109">
        <v>0</v>
      </c>
      <c r="AM258" s="111">
        <f t="shared" si="158"/>
        <v>32.454545454545453</v>
      </c>
      <c r="AN258" s="111">
        <f t="shared" si="159"/>
        <v>29.454545454545453</v>
      </c>
      <c r="AO258" s="111" t="str">
        <f t="shared" si="160"/>
        <v>Use deduct 3yrs</v>
      </c>
      <c r="AP258" s="111">
        <f t="shared" si="161"/>
        <v>29.454545454545453</v>
      </c>
      <c r="AQ258" s="112">
        <f t="shared" si="162"/>
        <v>0.74654377880184331</v>
      </c>
      <c r="AR258" s="112">
        <f t="shared" si="163"/>
        <v>0.25345622119815669</v>
      </c>
      <c r="AS258" s="113">
        <f t="shared" si="164"/>
        <v>2057</v>
      </c>
      <c r="AT258" s="109">
        <v>137788.63105768521</v>
      </c>
      <c r="AU258" s="114">
        <v>0.25345622119815669</v>
      </c>
      <c r="AV258" s="113">
        <v>2057</v>
      </c>
      <c r="AW258" s="112">
        <f t="shared" si="165"/>
        <v>0.78024909770243545</v>
      </c>
      <c r="AX258" s="109">
        <f t="shared" si="166"/>
        <v>34923.385751947862</v>
      </c>
      <c r="AY258" s="109">
        <f t="shared" si="167"/>
        <v>102865.24530573735</v>
      </c>
      <c r="AZ258" s="109">
        <f t="shared" si="168"/>
        <v>137788.63105768521</v>
      </c>
      <c r="BA258" s="111">
        <f t="shared" si="169"/>
        <v>0</v>
      </c>
      <c r="BB258" s="117"/>
      <c r="BC258" s="115" t="str">
        <f t="shared" si="170"/>
        <v>N</v>
      </c>
      <c r="BD258" s="115" t="str">
        <f t="shared" si="171"/>
        <v>N</v>
      </c>
      <c r="BE258" s="115" t="str">
        <f t="shared" si="172"/>
        <v>N</v>
      </c>
      <c r="BF258" s="109" t="str">
        <f t="shared" si="173"/>
        <v/>
      </c>
      <c r="BG258" s="111" t="s">
        <v>2499</v>
      </c>
      <c r="BH258" s="115" t="s">
        <v>1168</v>
      </c>
      <c r="BI258" s="116"/>
      <c r="BJ258" s="222">
        <v>0.78027867566884246</v>
      </c>
      <c r="BK258" s="265">
        <f t="shared" si="174"/>
        <v>-3.8994531093485421</v>
      </c>
      <c r="BL258" s="265">
        <f t="shared" si="175"/>
        <v>3.8994531093485421</v>
      </c>
      <c r="BM258" s="265">
        <f t="shared" si="176"/>
        <v>0</v>
      </c>
      <c r="BN258" s="265">
        <f t="shared" si="177"/>
        <v>-2469.14190510958</v>
      </c>
      <c r="BO258" s="109"/>
      <c r="BP258" s="265">
        <f t="shared" si="178"/>
        <v>6.5091956639662385E-3</v>
      </c>
      <c r="BQ258" s="265">
        <v>6.5091956639662385E-3</v>
      </c>
      <c r="BR258" s="265" t="e">
        <f t="shared" si="179"/>
        <v>#REF!</v>
      </c>
      <c r="BS258" s="265">
        <v>7.333210123696783E-4</v>
      </c>
      <c r="BT258" s="475">
        <v>38800.368942314781</v>
      </c>
      <c r="BU258" s="475">
        <v>34923.38575194787</v>
      </c>
      <c r="BV258" s="475">
        <v>102865.24530573735</v>
      </c>
      <c r="BW258" s="483">
        <f t="shared" si="180"/>
        <v>1.3238884013189818</v>
      </c>
      <c r="BX258" s="483">
        <f t="shared" si="181"/>
        <v>3.8994531093485421</v>
      </c>
    </row>
    <row r="259" spans="1:77" s="103" customFormat="1" ht="14.5">
      <c r="A259" s="100" t="s">
        <v>2259</v>
      </c>
      <c r="B259" s="91" t="str">
        <f t="shared" si="149"/>
        <v>STW</v>
      </c>
      <c r="C259" s="92" t="s">
        <v>466</v>
      </c>
      <c r="D259" s="448"/>
      <c r="E259" s="449" t="s">
        <v>2133</v>
      </c>
      <c r="F259" s="467" t="s">
        <v>4804</v>
      </c>
      <c r="G259" s="467" t="s">
        <v>4974</v>
      </c>
      <c r="H259" s="470">
        <v>0.33589999999999998</v>
      </c>
      <c r="I259" s="95" t="s">
        <v>962</v>
      </c>
      <c r="J259" s="95" t="s">
        <v>1166</v>
      </c>
      <c r="K259" s="469">
        <v>168500</v>
      </c>
      <c r="L259" s="471">
        <v>0.121781141428963</v>
      </c>
      <c r="M259" s="584">
        <v>0.25345622119815669</v>
      </c>
      <c r="N259" s="267">
        <f t="shared" si="150"/>
        <v>0.74654377880184331</v>
      </c>
      <c r="O259" s="96">
        <f t="shared" si="151"/>
        <v>161607.29090909089</v>
      </c>
      <c r="P259" s="96">
        <f t="shared" si="148"/>
        <v>1747</v>
      </c>
      <c r="Q259" s="96">
        <f t="shared" si="152"/>
        <v>5145.7090909090903</v>
      </c>
      <c r="R259" s="187" t="s">
        <v>2314</v>
      </c>
      <c r="S259" s="187" t="s">
        <v>3607</v>
      </c>
      <c r="T259" s="94" t="s">
        <v>5395</v>
      </c>
      <c r="U259" s="395">
        <f>COUNTIF(Aggregation_of_rev_to_allocate!$A$3:$A$137,$T259)</f>
        <v>0</v>
      </c>
      <c r="V259" s="100"/>
      <c r="W259" s="100">
        <v>410</v>
      </c>
      <c r="X259" s="109">
        <v>1623.3793851621881</v>
      </c>
      <c r="Y259" s="109">
        <v>5268.6040045718282</v>
      </c>
      <c r="Z259" s="110">
        <v>0.81148986103073317</v>
      </c>
      <c r="AA259" s="110">
        <v>0.23554603854389722</v>
      </c>
      <c r="AB259" s="110">
        <v>0.76445396145610278</v>
      </c>
      <c r="AC259" s="109">
        <f>IF(ISERROR((X259*SUMIF('Rev_for_allocation(Hard)'!$A$3:$A$249,$T259,'Rev_for_allocation(Hard)'!$I$3:$I$249)/SUMIF(Historic_capex_list!$T$9:$T$586,$T259,Historic_capex_list!$X$9:$X$586))=TRUE),0,X259*SUMIF('Rev_for_allocation(Hard)'!$A$3:$A$249,$T259,'Rev_for_allocation(Hard)'!$I$3:$I$249)/SUMIF(Historic_capex_list!$T$9:$T$586,$T259,Historic_capex_list!$X$9:$X$586))</f>
        <v>0</v>
      </c>
      <c r="AD259" s="109">
        <f t="shared" si="153"/>
        <v>1623.3793851621881</v>
      </c>
      <c r="AE259" s="109">
        <f t="shared" si="154"/>
        <v>1623.3793851621881</v>
      </c>
      <c r="AF259" s="109">
        <f t="shared" si="155"/>
        <v>6891.9833897340159</v>
      </c>
      <c r="AG259" s="332" t="str">
        <f t="shared" si="156"/>
        <v>N</v>
      </c>
      <c r="AH259" s="332">
        <f t="shared" si="145"/>
        <v>0</v>
      </c>
      <c r="AI259" s="332">
        <f t="shared" si="146"/>
        <v>0</v>
      </c>
      <c r="AJ259" s="109">
        <f t="shared" si="147"/>
        <v>6891.9833897340159</v>
      </c>
      <c r="AK259" s="109">
        <f t="shared" si="157"/>
        <v>0</v>
      </c>
      <c r="AL259" s="109">
        <v>0</v>
      </c>
      <c r="AM259" s="111">
        <f t="shared" si="158"/>
        <v>32.454545454545453</v>
      </c>
      <c r="AN259" s="111">
        <f t="shared" si="159"/>
        <v>29.454545454545453</v>
      </c>
      <c r="AO259" s="111" t="str">
        <f t="shared" si="160"/>
        <v>Use deduct 3yrs</v>
      </c>
      <c r="AP259" s="111">
        <f t="shared" si="161"/>
        <v>29.454545454545453</v>
      </c>
      <c r="AQ259" s="112">
        <f t="shared" si="162"/>
        <v>0.74654377880184331</v>
      </c>
      <c r="AR259" s="112">
        <f t="shared" si="163"/>
        <v>0.25345622119815669</v>
      </c>
      <c r="AS259" s="113">
        <f t="shared" si="164"/>
        <v>2057</v>
      </c>
      <c r="AT259" s="109">
        <v>6891.9830641536983</v>
      </c>
      <c r="AU259" s="114">
        <v>0.25345622119815669</v>
      </c>
      <c r="AV259" s="113">
        <v>2057</v>
      </c>
      <c r="AW259" s="112">
        <f t="shared" si="165"/>
        <v>0.12176831390848977</v>
      </c>
      <c r="AX259" s="109">
        <f t="shared" si="166"/>
        <v>1746.8159840020894</v>
      </c>
      <c r="AY259" s="109">
        <f t="shared" si="167"/>
        <v>5145.1670801516084</v>
      </c>
      <c r="AZ259" s="109">
        <f t="shared" si="168"/>
        <v>6891.9830641536973</v>
      </c>
      <c r="BA259" s="111">
        <f t="shared" si="169"/>
        <v>0</v>
      </c>
      <c r="BB259" s="117"/>
      <c r="BC259" s="115" t="str">
        <f t="shared" si="170"/>
        <v>Y</v>
      </c>
      <c r="BD259" s="115" t="str">
        <f t="shared" si="171"/>
        <v>Y</v>
      </c>
      <c r="BE259" s="115" t="str">
        <f t="shared" si="172"/>
        <v>N</v>
      </c>
      <c r="BF259" s="109" t="str">
        <f t="shared" si="173"/>
        <v/>
      </c>
      <c r="BG259" s="111" t="s">
        <v>2499</v>
      </c>
      <c r="BH259" s="115" t="s">
        <v>1168</v>
      </c>
      <c r="BI259" s="116"/>
      <c r="BJ259" s="222">
        <v>0.81148982269559622</v>
      </c>
      <c r="BK259" s="265">
        <f t="shared" si="174"/>
        <v>-0.54201075748187577</v>
      </c>
      <c r="BL259" s="265">
        <f t="shared" si="175"/>
        <v>0.54201075748187577</v>
      </c>
      <c r="BM259" s="265">
        <f t="shared" si="176"/>
        <v>1.546140993013978E-11</v>
      </c>
      <c r="BN259" s="265">
        <f t="shared" si="177"/>
        <v>-123.6206148378119</v>
      </c>
      <c r="BO259" s="109"/>
      <c r="BP259" s="265">
        <f t="shared" si="178"/>
        <v>3.2558031762164319E-4</v>
      </c>
      <c r="BQ259" s="265">
        <v>3.2558031762164319E-4</v>
      </c>
      <c r="BR259" s="265" t="e">
        <f t="shared" si="179"/>
        <v>#REF!</v>
      </c>
      <c r="BS259" s="265">
        <v>3.6679629934563163E-5</v>
      </c>
      <c r="BT259" s="475">
        <v>1601.0169358463013</v>
      </c>
      <c r="BU259" s="475">
        <v>1746.8159840020894</v>
      </c>
      <c r="BV259" s="475">
        <v>5145.1670801516084</v>
      </c>
      <c r="BW259" s="483">
        <f t="shared" si="180"/>
        <v>0.18401599791059198</v>
      </c>
      <c r="BX259" s="483">
        <f t="shared" si="181"/>
        <v>0.54201075748187577</v>
      </c>
    </row>
    <row r="260" spans="1:77" s="103" customFormat="1" ht="14.5">
      <c r="A260" s="100" t="s">
        <v>2259</v>
      </c>
      <c r="B260" s="91" t="str">
        <f t="shared" si="149"/>
        <v>STW</v>
      </c>
      <c r="C260" s="92" t="s">
        <v>466</v>
      </c>
      <c r="D260" s="448"/>
      <c r="E260" s="449" t="s">
        <v>2134</v>
      </c>
      <c r="F260" s="467" t="s">
        <v>4805</v>
      </c>
      <c r="G260" s="467" t="s">
        <v>4974</v>
      </c>
      <c r="H260" s="470">
        <v>0.2923</v>
      </c>
      <c r="I260" s="95" t="s">
        <v>962</v>
      </c>
      <c r="J260" s="95" t="s">
        <v>1166</v>
      </c>
      <c r="K260" s="469">
        <v>657069</v>
      </c>
      <c r="L260" s="471">
        <v>0.78027867566884235</v>
      </c>
      <c r="M260" s="584">
        <v>0.25345622119815669</v>
      </c>
      <c r="N260" s="267">
        <f t="shared" si="150"/>
        <v>0.74654377880184331</v>
      </c>
      <c r="O260" s="96">
        <f t="shared" si="151"/>
        <v>507207.6876114863</v>
      </c>
      <c r="P260" s="96">
        <f t="shared" si="148"/>
        <v>37983.281941789181</v>
      </c>
      <c r="Q260" s="96">
        <f t="shared" si="152"/>
        <v>111878.0304467245</v>
      </c>
      <c r="R260" s="187" t="s">
        <v>2314</v>
      </c>
      <c r="S260" s="187" t="s">
        <v>3607</v>
      </c>
      <c r="T260" s="94" t="s">
        <v>5395</v>
      </c>
      <c r="U260" s="395">
        <f>COUNTIF(Aggregation_of_rev_to_allocate!$A$3:$A$137,$T260)</f>
        <v>0</v>
      </c>
      <c r="V260" s="100"/>
      <c r="W260" s="100">
        <v>411</v>
      </c>
      <c r="X260" s="109">
        <v>35300.109704661845</v>
      </c>
      <c r="Y260" s="109">
        <v>114564.9014960389</v>
      </c>
      <c r="Z260" s="110">
        <v>0.78027871252955094</v>
      </c>
      <c r="AA260" s="110">
        <v>0.23554603854389722</v>
      </c>
      <c r="AB260" s="110">
        <v>0.76445396145610278</v>
      </c>
      <c r="AC260" s="109">
        <f>IF(ISERROR((X260*SUMIF('Rev_for_allocation(Hard)'!$A$3:$A$249,$T260,'Rev_for_allocation(Hard)'!$I$3:$I$249)/SUMIF(Historic_capex_list!$T$9:$T$586,$T260,Historic_capex_list!$X$9:$X$586))=TRUE),0,X260*SUMIF('Rev_for_allocation(Hard)'!$A$3:$A$249,$T260,'Rev_for_allocation(Hard)'!$I$3:$I$249)/SUMIF(Historic_capex_list!$T$9:$T$586,$T260,Historic_capex_list!$X$9:$X$586))</f>
        <v>0</v>
      </c>
      <c r="AD260" s="109">
        <f t="shared" si="153"/>
        <v>35300.109704661845</v>
      </c>
      <c r="AE260" s="109">
        <f t="shared" si="154"/>
        <v>35300.109704661845</v>
      </c>
      <c r="AF260" s="109">
        <f t="shared" si="155"/>
        <v>149865.01120070074</v>
      </c>
      <c r="AG260" s="332" t="str">
        <f t="shared" si="156"/>
        <v>N</v>
      </c>
      <c r="AH260" s="332">
        <f t="shared" si="145"/>
        <v>0</v>
      </c>
      <c r="AI260" s="332">
        <f t="shared" si="146"/>
        <v>0</v>
      </c>
      <c r="AJ260" s="109">
        <f t="shared" si="147"/>
        <v>149865.01120070074</v>
      </c>
      <c r="AK260" s="109">
        <f t="shared" si="157"/>
        <v>0</v>
      </c>
      <c r="AL260" s="109">
        <v>0</v>
      </c>
      <c r="AM260" s="111">
        <f t="shared" si="158"/>
        <v>32.454545454545453</v>
      </c>
      <c r="AN260" s="111">
        <f t="shared" si="159"/>
        <v>29.454545454545453</v>
      </c>
      <c r="AO260" s="111" t="str">
        <f t="shared" si="160"/>
        <v>Use deduct 3yrs</v>
      </c>
      <c r="AP260" s="111">
        <f t="shared" si="161"/>
        <v>29.454545454545453</v>
      </c>
      <c r="AQ260" s="112">
        <f t="shared" si="162"/>
        <v>0.74654377880184331</v>
      </c>
      <c r="AR260" s="112">
        <f t="shared" si="163"/>
        <v>0.25345622119815669</v>
      </c>
      <c r="AS260" s="113">
        <f t="shared" si="164"/>
        <v>2057</v>
      </c>
      <c r="AT260" s="109">
        <v>149865.00412101188</v>
      </c>
      <c r="AU260" s="114">
        <v>0.25345622119815669</v>
      </c>
      <c r="AV260" s="113">
        <v>2057</v>
      </c>
      <c r="AW260" s="112">
        <f t="shared" si="165"/>
        <v>0.78029789730849497</v>
      </c>
      <c r="AX260" s="109">
        <f t="shared" si="166"/>
        <v>37984.217634357847</v>
      </c>
      <c r="AY260" s="109">
        <f t="shared" si="167"/>
        <v>111880.78648665402</v>
      </c>
      <c r="AZ260" s="109">
        <f t="shared" si="168"/>
        <v>149865.00412101188</v>
      </c>
      <c r="BA260" s="111">
        <f t="shared" si="169"/>
        <v>0</v>
      </c>
      <c r="BB260" s="117"/>
      <c r="BC260" s="115" t="str">
        <f t="shared" si="170"/>
        <v>N</v>
      </c>
      <c r="BD260" s="115" t="str">
        <f t="shared" si="171"/>
        <v>N</v>
      </c>
      <c r="BE260" s="115" t="str">
        <f t="shared" si="172"/>
        <v>N</v>
      </c>
      <c r="BF260" s="109" t="str">
        <f t="shared" si="173"/>
        <v/>
      </c>
      <c r="BG260" s="111" t="s">
        <v>2499</v>
      </c>
      <c r="BH260" s="115" t="s">
        <v>1168</v>
      </c>
      <c r="BI260" s="116"/>
      <c r="BJ260" s="222">
        <v>0.78027867566884235</v>
      </c>
      <c r="BK260" s="265">
        <f t="shared" si="174"/>
        <v>2.7560399295180105</v>
      </c>
      <c r="BL260" s="265">
        <f t="shared" si="175"/>
        <v>-2.7560399295180105</v>
      </c>
      <c r="BM260" s="265">
        <f t="shared" si="176"/>
        <v>0</v>
      </c>
      <c r="BN260" s="265">
        <f t="shared" si="177"/>
        <v>-2683.1722371273354</v>
      </c>
      <c r="BO260" s="109"/>
      <c r="BP260" s="265">
        <f t="shared" si="178"/>
        <v>7.0796888612676412E-3</v>
      </c>
      <c r="BQ260" s="265">
        <v>7.0796888612676412E-3</v>
      </c>
      <c r="BR260" s="265" t="e">
        <f t="shared" si="179"/>
        <v>#REF!</v>
      </c>
      <c r="BS260" s="265">
        <v>7.9759234028673831E-4</v>
      </c>
      <c r="BT260" s="475">
        <v>42200.995878988128</v>
      </c>
      <c r="BU260" s="475">
        <v>37984.217634357854</v>
      </c>
      <c r="BV260" s="475">
        <v>111880.78648665403</v>
      </c>
      <c r="BW260" s="483">
        <f t="shared" si="180"/>
        <v>-0.935692568673403</v>
      </c>
      <c r="BX260" s="483">
        <f t="shared" si="181"/>
        <v>-2.7560399295325624</v>
      </c>
    </row>
    <row r="261" spans="1:77" s="103" customFormat="1" ht="29">
      <c r="A261" s="100" t="s">
        <v>2259</v>
      </c>
      <c r="B261" s="91" t="str">
        <f t="shared" si="149"/>
        <v>STW</v>
      </c>
      <c r="C261" s="92" t="s">
        <v>466</v>
      </c>
      <c r="D261" s="448"/>
      <c r="E261" s="449" t="s">
        <v>2096</v>
      </c>
      <c r="F261" s="467" t="s">
        <v>4806</v>
      </c>
      <c r="G261" s="467" t="s">
        <v>4976</v>
      </c>
      <c r="H261" s="470">
        <v>0.41570000000000001</v>
      </c>
      <c r="I261" s="95" t="s">
        <v>962</v>
      </c>
      <c r="J261" s="95" t="s">
        <v>1166</v>
      </c>
      <c r="K261" s="469">
        <v>1629377</v>
      </c>
      <c r="L261" s="471">
        <v>0.80780426089656177</v>
      </c>
      <c r="M261" s="584">
        <v>0.25345622119815669</v>
      </c>
      <c r="N261" s="267">
        <f t="shared" si="150"/>
        <v>0.74654377880184331</v>
      </c>
      <c r="O261" s="96">
        <f t="shared" si="151"/>
        <v>1082225.3090909095</v>
      </c>
      <c r="P261" s="96">
        <f t="shared" si="148"/>
        <v>138678.99999999991</v>
      </c>
      <c r="Q261" s="96">
        <f t="shared" si="152"/>
        <v>408472.69090909063</v>
      </c>
      <c r="R261" s="187" t="s">
        <v>2314</v>
      </c>
      <c r="S261" s="187" t="s">
        <v>3607</v>
      </c>
      <c r="T261" s="94" t="s">
        <v>5395</v>
      </c>
      <c r="U261" s="395">
        <f>COUNTIF(Aggregation_of_rev_to_allocate!$A$3:$A$137,$T261)</f>
        <v>0</v>
      </c>
      <c r="V261" s="100"/>
      <c r="W261" s="100">
        <v>422</v>
      </c>
      <c r="X261" s="109">
        <v>128879.60403127523</v>
      </c>
      <c r="Y261" s="109">
        <v>418272.89671968413</v>
      </c>
      <c r="Z261" s="110">
        <v>0.78027871252955094</v>
      </c>
      <c r="AA261" s="110">
        <v>0.23554603854389722</v>
      </c>
      <c r="AB261" s="110">
        <v>0.76445396145610278</v>
      </c>
      <c r="AC261" s="109">
        <f>IF(ISERROR((X261*SUMIF('Rev_for_allocation(Hard)'!$A$3:$A$249,$T261,'Rev_for_allocation(Hard)'!$I$3:$I$249)/SUMIF(Historic_capex_list!$T$9:$T$586,$T261,Historic_capex_list!$X$9:$X$586))=TRUE),0,X261*SUMIF('Rev_for_allocation(Hard)'!$A$3:$A$249,$T261,'Rev_for_allocation(Hard)'!$I$3:$I$249)/SUMIF(Historic_capex_list!$T$9:$T$586,$T261,Historic_capex_list!$X$9:$X$586))</f>
        <v>0</v>
      </c>
      <c r="AD261" s="109">
        <f t="shared" si="153"/>
        <v>128879.60403127523</v>
      </c>
      <c r="AE261" s="109">
        <f t="shared" si="154"/>
        <v>128879.60403127523</v>
      </c>
      <c r="AF261" s="109">
        <f t="shared" si="155"/>
        <v>547152.50075095939</v>
      </c>
      <c r="AG261" s="332" t="str">
        <f t="shared" si="156"/>
        <v>N</v>
      </c>
      <c r="AH261" s="332">
        <f t="shared" si="145"/>
        <v>0</v>
      </c>
      <c r="AI261" s="332">
        <f t="shared" si="146"/>
        <v>0</v>
      </c>
      <c r="AJ261" s="109">
        <f t="shared" si="147"/>
        <v>547152.50075095939</v>
      </c>
      <c r="AK261" s="109">
        <f t="shared" si="157"/>
        <v>0</v>
      </c>
      <c r="AL261" s="109">
        <v>0</v>
      </c>
      <c r="AM261" s="111">
        <f t="shared" si="158"/>
        <v>32.454545454545453</v>
      </c>
      <c r="AN261" s="111">
        <f t="shared" si="159"/>
        <v>29.454545454545453</v>
      </c>
      <c r="AO261" s="111" t="str">
        <f t="shared" si="160"/>
        <v>Use deduct 3yrs</v>
      </c>
      <c r="AP261" s="111">
        <f t="shared" si="161"/>
        <v>29.454545454545453</v>
      </c>
      <c r="AQ261" s="112">
        <f t="shared" si="162"/>
        <v>0.74654377880184331</v>
      </c>
      <c r="AR261" s="112">
        <f t="shared" si="163"/>
        <v>0.25345622119815669</v>
      </c>
      <c r="AS261" s="113">
        <f t="shared" si="164"/>
        <v>2057</v>
      </c>
      <c r="AT261" s="109">
        <v>547152.47490323521</v>
      </c>
      <c r="AU261" s="114">
        <v>0.25345622119815669</v>
      </c>
      <c r="AV261" s="113">
        <v>2057</v>
      </c>
      <c r="AW261" s="112">
        <f t="shared" si="165"/>
        <v>0.80780541837047826</v>
      </c>
      <c r="AX261" s="109">
        <f t="shared" si="166"/>
        <v>138679.19870819326</v>
      </c>
      <c r="AY261" s="109">
        <f t="shared" si="167"/>
        <v>408473.27619504195</v>
      </c>
      <c r="AZ261" s="109">
        <f t="shared" si="168"/>
        <v>547152.47490323521</v>
      </c>
      <c r="BA261" s="111">
        <f t="shared" si="169"/>
        <v>0</v>
      </c>
      <c r="BB261" s="117"/>
      <c r="BC261" s="115" t="str">
        <f t="shared" si="170"/>
        <v>N</v>
      </c>
      <c r="BD261" s="115" t="str">
        <f t="shared" si="171"/>
        <v>N</v>
      </c>
      <c r="BE261" s="115" t="str">
        <f t="shared" si="172"/>
        <v>N</v>
      </c>
      <c r="BF261" s="109" t="str">
        <f t="shared" si="173"/>
        <v/>
      </c>
      <c r="BG261" s="111" t="s">
        <v>2499</v>
      </c>
      <c r="BH261" s="115" t="s">
        <v>1168</v>
      </c>
      <c r="BI261" s="116"/>
      <c r="BJ261" s="222">
        <v>0.78027867566884224</v>
      </c>
      <c r="BK261" s="265">
        <f t="shared" si="174"/>
        <v>0.58528595132520422</v>
      </c>
      <c r="BL261" s="265">
        <f t="shared" si="175"/>
        <v>-0.58528595132520422</v>
      </c>
      <c r="BM261" s="265">
        <f t="shared" si="176"/>
        <v>0</v>
      </c>
      <c r="BN261" s="265">
        <f t="shared" si="177"/>
        <v>-9799.3959687246825</v>
      </c>
      <c r="BO261" s="109"/>
      <c r="BP261" s="265">
        <f t="shared" si="178"/>
        <v>2.5847724173218012E-2</v>
      </c>
      <c r="BQ261" s="265">
        <v>2.5847724173218012E-2</v>
      </c>
      <c r="BR261" s="265" t="e">
        <f t="shared" si="179"/>
        <v>#REF!</v>
      </c>
      <c r="BS261" s="265">
        <v>2.9119848652094157E-3</v>
      </c>
      <c r="BT261" s="475">
        <v>154074.52509676476</v>
      </c>
      <c r="BU261" s="475">
        <v>138679.19870819326</v>
      </c>
      <c r="BV261" s="475">
        <v>408473.27619504195</v>
      </c>
      <c r="BW261" s="483">
        <f t="shared" si="180"/>
        <v>-0.19870819334755652</v>
      </c>
      <c r="BX261" s="483">
        <f t="shared" si="181"/>
        <v>-0.58528595132520422</v>
      </c>
    </row>
    <row r="262" spans="1:77" s="103" customFormat="1" ht="29">
      <c r="A262" s="100" t="s">
        <v>2259</v>
      </c>
      <c r="B262" s="91" t="str">
        <f t="shared" si="149"/>
        <v>STW</v>
      </c>
      <c r="C262" s="92" t="s">
        <v>466</v>
      </c>
      <c r="D262" s="448"/>
      <c r="E262" s="449" t="s">
        <v>2139</v>
      </c>
      <c r="F262" s="467" t="s">
        <v>4807</v>
      </c>
      <c r="G262" s="467" t="s">
        <v>4976</v>
      </c>
      <c r="H262" s="470">
        <v>0.36059999999999998</v>
      </c>
      <c r="I262" s="95" t="s">
        <v>962</v>
      </c>
      <c r="J262" s="95" t="s">
        <v>1166</v>
      </c>
      <c r="K262" s="469">
        <v>207823</v>
      </c>
      <c r="L262" s="471">
        <v>0.78269899488237649</v>
      </c>
      <c r="M262" s="584">
        <v>0.25345622119815669</v>
      </c>
      <c r="N262" s="267">
        <f t="shared" si="150"/>
        <v>0.74654377880184331</v>
      </c>
      <c r="O262" s="96">
        <f t="shared" si="151"/>
        <v>149166.77513123347</v>
      </c>
      <c r="P262" s="96">
        <f t="shared" si="148"/>
        <v>14866.785104986904</v>
      </c>
      <c r="Q262" s="96">
        <f t="shared" si="152"/>
        <v>43789.439763779606</v>
      </c>
      <c r="R262" s="187" t="s">
        <v>2563</v>
      </c>
      <c r="S262" s="187" t="s">
        <v>3607</v>
      </c>
      <c r="T262" s="94" t="s">
        <v>5394</v>
      </c>
      <c r="U262" s="395">
        <f>COUNTIF(Aggregation_of_rev_to_allocate!$A$3:$A$137,$T262)</f>
        <v>0</v>
      </c>
      <c r="V262" s="100"/>
      <c r="W262" s="100">
        <v>344</v>
      </c>
      <c r="X262" s="109">
        <v>14322.552774000696</v>
      </c>
      <c r="Y262" s="109">
        <v>46483.194002893171</v>
      </c>
      <c r="Z262" s="110">
        <v>0.81148986103073317</v>
      </c>
      <c r="AA262" s="110">
        <v>0.23554603854389722</v>
      </c>
      <c r="AB262" s="110">
        <v>0.76445396145610278</v>
      </c>
      <c r="AC262" s="109">
        <f>IF(ISERROR((X262*SUMIF('Rev_for_allocation(Hard)'!$A$3:$A$249,$T262,'Rev_for_allocation(Hard)'!$I$3:$I$249)/SUMIF(Historic_capex_list!$T$9:$T$586,$T262,Historic_capex_list!$X$9:$X$586))=TRUE),0,X262*SUMIF('Rev_for_allocation(Hard)'!$A$3:$A$249,$T262,'Rev_for_allocation(Hard)'!$I$3:$I$249)/SUMIF(Historic_capex_list!$T$9:$T$586,$T262,Historic_capex_list!$X$9:$X$586))</f>
        <v>0</v>
      </c>
      <c r="AD262" s="109">
        <f t="shared" si="153"/>
        <v>14322.552774000696</v>
      </c>
      <c r="AE262" s="109">
        <f t="shared" si="154"/>
        <v>14322.552774000696</v>
      </c>
      <c r="AF262" s="109">
        <f t="shared" si="155"/>
        <v>60805.746776893866</v>
      </c>
      <c r="AG262" s="332" t="str">
        <f t="shared" si="156"/>
        <v>N</v>
      </c>
      <c r="AH262" s="332">
        <f t="shared" si="145"/>
        <v>0</v>
      </c>
      <c r="AI262" s="332">
        <f t="shared" si="146"/>
        <v>0</v>
      </c>
      <c r="AJ262" s="109">
        <f t="shared" si="147"/>
        <v>60805.746776893866</v>
      </c>
      <c r="AK262" s="109">
        <f t="shared" si="157"/>
        <v>0</v>
      </c>
      <c r="AL262" s="109">
        <v>0</v>
      </c>
      <c r="AM262" s="111">
        <f t="shared" si="158"/>
        <v>32.454545454545453</v>
      </c>
      <c r="AN262" s="111">
        <f t="shared" si="159"/>
        <v>29.454545454545453</v>
      </c>
      <c r="AO262" s="111" t="str">
        <f t="shared" si="160"/>
        <v>Use deduct 3yrs</v>
      </c>
      <c r="AP262" s="111">
        <f t="shared" si="161"/>
        <v>29.454545454545453</v>
      </c>
      <c r="AQ262" s="112">
        <f t="shared" si="162"/>
        <v>0.74654377880184331</v>
      </c>
      <c r="AR262" s="112">
        <f t="shared" si="163"/>
        <v>0.25345622119815669</v>
      </c>
      <c r="AS262" s="113">
        <f t="shared" si="164"/>
        <v>2057</v>
      </c>
      <c r="AT262" s="109">
        <v>58648.418385531353</v>
      </c>
      <c r="AU262" s="114">
        <v>0.25345622119815669</v>
      </c>
      <c r="AV262" s="113">
        <v>2057</v>
      </c>
      <c r="AW262" s="112">
        <f t="shared" si="165"/>
        <v>0.78259482645702372</v>
      </c>
      <c r="AX262" s="109">
        <f t="shared" si="166"/>
        <v>14864.806503245276</v>
      </c>
      <c r="AY262" s="109">
        <f t="shared" si="167"/>
        <v>43783.611882286081</v>
      </c>
      <c r="AZ262" s="109">
        <f t="shared" si="168"/>
        <v>58648.41838553136</v>
      </c>
      <c r="BA262" s="111">
        <f t="shared" si="169"/>
        <v>0</v>
      </c>
      <c r="BB262" s="117"/>
      <c r="BC262" s="115" t="str">
        <f t="shared" si="170"/>
        <v>N</v>
      </c>
      <c r="BD262" s="115" t="str">
        <f t="shared" si="171"/>
        <v>N</v>
      </c>
      <c r="BE262" s="115" t="str">
        <f t="shared" si="172"/>
        <v>N</v>
      </c>
      <c r="BF262" s="109" t="str">
        <f t="shared" si="173"/>
        <v/>
      </c>
      <c r="BG262" s="111" t="s">
        <v>2499</v>
      </c>
      <c r="BH262" s="115" t="s">
        <v>1168</v>
      </c>
      <c r="BI262" s="116"/>
      <c r="BJ262" s="222">
        <v>0.78269899488237649</v>
      </c>
      <c r="BK262" s="265">
        <f t="shared" si="174"/>
        <v>-5.8278814935256378</v>
      </c>
      <c r="BL262" s="265">
        <f t="shared" si="175"/>
        <v>5.8278814935256378</v>
      </c>
      <c r="BM262" s="265">
        <f t="shared" si="176"/>
        <v>0</v>
      </c>
      <c r="BN262" s="265">
        <f t="shared" si="177"/>
        <v>-544.23233098620767</v>
      </c>
      <c r="BO262" s="109"/>
      <c r="BP262" s="265">
        <f t="shared" si="178"/>
        <v>2157.3283913625128</v>
      </c>
      <c r="BQ262" s="265">
        <v>2157.3283913625128</v>
      </c>
      <c r="BR262" s="265" t="e">
        <f t="shared" si="179"/>
        <v>#REF!</v>
      </c>
      <c r="BS262" s="265">
        <v>243.04296899931273</v>
      </c>
      <c r="BT262" s="475">
        <v>16282.581614468647</v>
      </c>
      <c r="BU262" s="475">
        <v>14864.806503245274</v>
      </c>
      <c r="BV262" s="475">
        <v>43783.611882286081</v>
      </c>
      <c r="BW262" s="483">
        <f t="shared" si="180"/>
        <v>1.9786017416299728</v>
      </c>
      <c r="BX262" s="483">
        <f t="shared" si="181"/>
        <v>5.8278814935256378</v>
      </c>
    </row>
    <row r="263" spans="1:77" s="103" customFormat="1" ht="29">
      <c r="A263" s="100" t="s">
        <v>2259</v>
      </c>
      <c r="B263" s="91" t="str">
        <f t="shared" si="149"/>
        <v>STW</v>
      </c>
      <c r="C263" s="92" t="s">
        <v>466</v>
      </c>
      <c r="D263" s="448"/>
      <c r="E263" s="449" t="s">
        <v>2068</v>
      </c>
      <c r="F263" s="467" t="s">
        <v>4808</v>
      </c>
      <c r="G263" s="467" t="s">
        <v>4977</v>
      </c>
      <c r="H263" s="470">
        <v>0.29399999999999998</v>
      </c>
      <c r="I263" s="95" t="s">
        <v>962</v>
      </c>
      <c r="J263" s="95" t="s">
        <v>1166</v>
      </c>
      <c r="K263" s="469">
        <v>357499</v>
      </c>
      <c r="L263" s="471">
        <v>0.78027867566884235</v>
      </c>
      <c r="M263" s="584">
        <v>0.25345622119815669</v>
      </c>
      <c r="N263" s="267">
        <f t="shared" si="150"/>
        <v>0.74654377880184331</v>
      </c>
      <c r="O263" s="96">
        <f t="shared" si="151"/>
        <v>275488.03919575695</v>
      </c>
      <c r="P263" s="96">
        <f t="shared" si="148"/>
        <v>20786.188222273577</v>
      </c>
      <c r="Q263" s="96">
        <f t="shared" si="152"/>
        <v>61224.772581969439</v>
      </c>
      <c r="R263" s="187" t="s">
        <v>2314</v>
      </c>
      <c r="S263" s="187" t="s">
        <v>3607</v>
      </c>
      <c r="T263" s="94" t="s">
        <v>5395</v>
      </c>
      <c r="U263" s="395">
        <f>COUNTIF(Aggregation_of_rev_to_allocate!$A$3:$A$137,$T263)</f>
        <v>0</v>
      </c>
      <c r="V263" s="100"/>
      <c r="W263" s="100">
        <v>416</v>
      </c>
      <c r="X263" s="109">
        <v>19319.06600593455</v>
      </c>
      <c r="Y263" s="109">
        <v>62699.150582896676</v>
      </c>
      <c r="Z263" s="110">
        <v>0.78027871252955106</v>
      </c>
      <c r="AA263" s="110">
        <v>0.23554603854389722</v>
      </c>
      <c r="AB263" s="110">
        <v>0.76445396145610278</v>
      </c>
      <c r="AC263" s="109">
        <f>IF(ISERROR((X263*SUMIF('Rev_for_allocation(Hard)'!$A$3:$A$249,$T263,'Rev_for_allocation(Hard)'!$I$3:$I$249)/SUMIF(Historic_capex_list!$T$9:$T$586,$T263,Historic_capex_list!$X$9:$X$586))=TRUE),0,X263*SUMIF('Rev_for_allocation(Hard)'!$A$3:$A$249,$T263,'Rev_for_allocation(Hard)'!$I$3:$I$249)/SUMIF(Historic_capex_list!$T$9:$T$586,$T263,Historic_capex_list!$X$9:$X$586))</f>
        <v>0</v>
      </c>
      <c r="AD263" s="109">
        <f t="shared" si="153"/>
        <v>19319.06600593455</v>
      </c>
      <c r="AE263" s="109">
        <f t="shared" si="154"/>
        <v>19319.06600593455</v>
      </c>
      <c r="AF263" s="109">
        <f t="shared" si="155"/>
        <v>82018.21658883123</v>
      </c>
      <c r="AG263" s="332" t="str">
        <f t="shared" si="156"/>
        <v>N</v>
      </c>
      <c r="AH263" s="332">
        <f t="shared" si="145"/>
        <v>0</v>
      </c>
      <c r="AI263" s="332">
        <f t="shared" si="146"/>
        <v>0</v>
      </c>
      <c r="AJ263" s="109">
        <f t="shared" si="147"/>
        <v>82018.21658883123</v>
      </c>
      <c r="AK263" s="109">
        <f t="shared" si="157"/>
        <v>0</v>
      </c>
      <c r="AL263" s="109">
        <v>0</v>
      </c>
      <c r="AM263" s="111">
        <f t="shared" si="158"/>
        <v>32.454545454545453</v>
      </c>
      <c r="AN263" s="111">
        <f t="shared" si="159"/>
        <v>29.454545454545453</v>
      </c>
      <c r="AO263" s="111" t="str">
        <f t="shared" si="160"/>
        <v>Use deduct 3yrs</v>
      </c>
      <c r="AP263" s="111">
        <f t="shared" si="161"/>
        <v>29.454545454545453</v>
      </c>
      <c r="AQ263" s="112">
        <f t="shared" si="162"/>
        <v>0.74654377880184331</v>
      </c>
      <c r="AR263" s="112">
        <f t="shared" si="163"/>
        <v>0.25345622119815669</v>
      </c>
      <c r="AS263" s="113">
        <f t="shared" si="164"/>
        <v>2057</v>
      </c>
      <c r="AT263" s="109">
        <v>82018.212714254696</v>
      </c>
      <c r="AU263" s="114">
        <v>0.25345622119815669</v>
      </c>
      <c r="AV263" s="113">
        <v>2057</v>
      </c>
      <c r="AW263" s="112">
        <f t="shared" si="165"/>
        <v>0.7803476726746631</v>
      </c>
      <c r="AX263" s="109">
        <f t="shared" si="166"/>
        <v>20788.026263981603</v>
      </c>
      <c r="AY263" s="109">
        <f t="shared" si="167"/>
        <v>61230.186450273082</v>
      </c>
      <c r="AZ263" s="109">
        <f t="shared" si="168"/>
        <v>82018.212714254681</v>
      </c>
      <c r="BA263" s="111">
        <f t="shared" si="169"/>
        <v>0</v>
      </c>
      <c r="BB263" s="117"/>
      <c r="BC263" s="115" t="str">
        <f t="shared" si="170"/>
        <v>N</v>
      </c>
      <c r="BD263" s="115" t="str">
        <f t="shared" si="171"/>
        <v>N</v>
      </c>
      <c r="BE263" s="115" t="str">
        <f t="shared" si="172"/>
        <v>N</v>
      </c>
      <c r="BF263" s="109" t="str">
        <f t="shared" si="173"/>
        <v/>
      </c>
      <c r="BG263" s="111" t="s">
        <v>2499</v>
      </c>
      <c r="BH263" s="115" t="s">
        <v>1168</v>
      </c>
      <c r="BI263" s="116"/>
      <c r="BJ263" s="222">
        <v>0.78027867566884235</v>
      </c>
      <c r="BK263" s="265">
        <f t="shared" si="174"/>
        <v>5.4138683036435395</v>
      </c>
      <c r="BL263" s="265">
        <f t="shared" si="175"/>
        <v>-5.4138683036435395</v>
      </c>
      <c r="BM263" s="265">
        <f t="shared" si="176"/>
        <v>0</v>
      </c>
      <c r="BN263" s="265">
        <f t="shared" si="177"/>
        <v>-1467.1222163390266</v>
      </c>
      <c r="BO263" s="109"/>
      <c r="BP263" s="265">
        <f t="shared" si="178"/>
        <v>3.8745765341445804E-3</v>
      </c>
      <c r="BQ263" s="265">
        <v>3.8745765341445804E-3</v>
      </c>
      <c r="BR263" s="265" t="e">
        <f t="shared" si="179"/>
        <v>#REF!</v>
      </c>
      <c r="BS263" s="265">
        <v>4.3650683328689692E-4</v>
      </c>
      <c r="BT263" s="475">
        <v>23095.787285745304</v>
      </c>
      <c r="BU263" s="475">
        <v>20788.026263981606</v>
      </c>
      <c r="BV263" s="475">
        <v>61230.18645027309</v>
      </c>
      <c r="BW263" s="483">
        <f t="shared" si="180"/>
        <v>-1.8380417080297775</v>
      </c>
      <c r="BX263" s="483">
        <f t="shared" si="181"/>
        <v>-5.4138683036508155</v>
      </c>
    </row>
    <row r="264" spans="1:77" s="103" customFormat="1" ht="14.5">
      <c r="A264" s="100" t="s">
        <v>2259</v>
      </c>
      <c r="B264" s="91" t="str">
        <f t="shared" si="149"/>
        <v>STW</v>
      </c>
      <c r="C264" s="92" t="s">
        <v>466</v>
      </c>
      <c r="D264" s="448"/>
      <c r="E264" s="449" t="s">
        <v>2081</v>
      </c>
      <c r="F264" s="620" t="s">
        <v>4812</v>
      </c>
      <c r="G264" s="620" t="s">
        <v>5338</v>
      </c>
      <c r="H264" s="470">
        <v>0.39660000000000001</v>
      </c>
      <c r="I264" s="95" t="s">
        <v>962</v>
      </c>
      <c r="J264" s="95" t="s">
        <v>1166</v>
      </c>
      <c r="K264" s="469">
        <v>382731.99</v>
      </c>
      <c r="L264" s="489">
        <v>0.75</v>
      </c>
      <c r="M264" s="584">
        <v>0.25345622119815669</v>
      </c>
      <c r="N264" s="267">
        <f t="shared" si="150"/>
        <v>0.74654377880184331</v>
      </c>
      <c r="O264" s="96">
        <f t="shared" si="151"/>
        <v>268888.35957449995</v>
      </c>
      <c r="P264" s="96">
        <f t="shared" si="148"/>
        <v>28854.376375126729</v>
      </c>
      <c r="Q264" s="96">
        <f t="shared" si="152"/>
        <v>84989.25405037326</v>
      </c>
      <c r="R264" s="187" t="s">
        <v>2563</v>
      </c>
      <c r="S264" s="187" t="s">
        <v>3607</v>
      </c>
      <c r="T264" s="94" t="s">
        <v>5394</v>
      </c>
      <c r="U264" s="395">
        <f>COUNTIF(Aggregation_of_rev_to_allocate!$A$3:$A$137,$T264)</f>
        <v>0</v>
      </c>
      <c r="V264" s="100"/>
      <c r="W264" s="100">
        <v>335</v>
      </c>
      <c r="X264" s="109">
        <v>38643.461967100287</v>
      </c>
      <c r="Y264" s="109">
        <v>125415.59929322549</v>
      </c>
      <c r="Z264" s="110">
        <v>0.78027871252955083</v>
      </c>
      <c r="AA264" s="110">
        <v>0.23554603854389722</v>
      </c>
      <c r="AB264" s="110">
        <v>0.76445396145610278</v>
      </c>
      <c r="AC264" s="109">
        <f>IF(ISERROR((X264*SUMIF('Rev_for_allocation(Hard)'!$A$3:$A$249,$T264,'Rev_for_allocation(Hard)'!$I$3:$I$249)/SUMIF(Historic_capex_list!$T$9:$T$586,$T264,Historic_capex_list!$X$9:$X$586))=TRUE),0,X264*SUMIF('Rev_for_allocation(Hard)'!$A$3:$A$249,$T264,'Rev_for_allocation(Hard)'!$I$3:$I$249)/SUMIF(Historic_capex_list!$T$9:$T$586,$T264,Historic_capex_list!$X$9:$X$586))</f>
        <v>0</v>
      </c>
      <c r="AD264" s="109">
        <f t="shared" si="153"/>
        <v>38643.461967100287</v>
      </c>
      <c r="AE264" s="109">
        <f t="shared" si="154"/>
        <v>38643.461967100287</v>
      </c>
      <c r="AF264" s="109">
        <f t="shared" si="155"/>
        <v>164059.06126032578</v>
      </c>
      <c r="AG264" s="332" t="str">
        <f t="shared" si="156"/>
        <v>N</v>
      </c>
      <c r="AH264" s="332">
        <f t="shared" si="145"/>
        <v>0</v>
      </c>
      <c r="AI264" s="332">
        <f t="shared" si="146"/>
        <v>0</v>
      </c>
      <c r="AJ264" s="109">
        <f t="shared" si="147"/>
        <v>164059.06126032578</v>
      </c>
      <c r="AK264" s="109">
        <f t="shared" si="157"/>
        <v>0</v>
      </c>
      <c r="AL264" s="109">
        <v>0</v>
      </c>
      <c r="AM264" s="111">
        <f t="shared" si="158"/>
        <v>32.454545454545453</v>
      </c>
      <c r="AN264" s="111">
        <f t="shared" si="159"/>
        <v>29.454545454545453</v>
      </c>
      <c r="AO264" s="111" t="str">
        <f t="shared" si="160"/>
        <v>Use deduct 3yrs</v>
      </c>
      <c r="AP264" s="111">
        <f t="shared" si="161"/>
        <v>29.454545454545453</v>
      </c>
      <c r="AQ264" s="112">
        <f t="shared" si="162"/>
        <v>0.74654377880184331</v>
      </c>
      <c r="AR264" s="112">
        <f t="shared" si="163"/>
        <v>0.25345622119815669</v>
      </c>
      <c r="AS264" s="113">
        <f t="shared" si="164"/>
        <v>2057</v>
      </c>
      <c r="AT264" s="109">
        <v>158238.40631440748</v>
      </c>
      <c r="AU264" s="114">
        <v>0.25345622119815669</v>
      </c>
      <c r="AV264" s="113">
        <v>2057</v>
      </c>
      <c r="AW264" s="112">
        <f t="shared" si="165"/>
        <v>1.042472067099703</v>
      </c>
      <c r="AX264" s="109">
        <f t="shared" si="166"/>
        <v>40106.508512868262</v>
      </c>
      <c r="AY264" s="109">
        <f t="shared" si="167"/>
        <v>118131.89780153923</v>
      </c>
      <c r="AZ264" s="109">
        <f t="shared" si="168"/>
        <v>158238.4063144075</v>
      </c>
      <c r="BA264" s="111">
        <f t="shared" si="169"/>
        <v>0</v>
      </c>
      <c r="BB264" s="117"/>
      <c r="BC264" s="115" t="str">
        <f t="shared" si="170"/>
        <v>N</v>
      </c>
      <c r="BD264" s="115" t="str">
        <f t="shared" si="171"/>
        <v>N</v>
      </c>
      <c r="BE264" s="115" t="str">
        <f t="shared" si="172"/>
        <v>N</v>
      </c>
      <c r="BF264" s="109" t="str">
        <f t="shared" si="173"/>
        <v/>
      </c>
      <c r="BG264" s="111" t="s">
        <v>2499</v>
      </c>
      <c r="BH264" s="115" t="s">
        <v>1168</v>
      </c>
      <c r="BI264" s="116"/>
      <c r="BJ264" s="222">
        <v>0.75259518738690023</v>
      </c>
      <c r="BK264" s="265">
        <f t="shared" si="174"/>
        <v>33142.643751165975</v>
      </c>
      <c r="BL264" s="265">
        <f t="shared" si="175"/>
        <v>-33142.643751165975</v>
      </c>
      <c r="BM264" s="265">
        <f t="shared" si="176"/>
        <v>0</v>
      </c>
      <c r="BN264" s="265">
        <f t="shared" si="177"/>
        <v>9789.0855919735586</v>
      </c>
      <c r="BO264" s="109"/>
      <c r="BP264" s="265">
        <f t="shared" si="178"/>
        <v>5820.6549459183007</v>
      </c>
      <c r="BQ264" s="265">
        <v>5820.6549459183007</v>
      </c>
      <c r="BR264" s="265" t="e">
        <f t="shared" si="179"/>
        <v>#REF!</v>
      </c>
      <c r="BS264" s="265">
        <v>655.75054091929394</v>
      </c>
      <c r="BT264" s="475">
        <v>52018.593685592517</v>
      </c>
      <c r="BU264" s="475">
        <v>40106.508512868255</v>
      </c>
      <c r="BV264" s="475">
        <v>118131.89780153922</v>
      </c>
      <c r="BW264" s="483">
        <f t="shared" si="180"/>
        <v>-11252.132137741526</v>
      </c>
      <c r="BX264" s="483">
        <f t="shared" si="181"/>
        <v>-33142.643751165961</v>
      </c>
    </row>
    <row r="265" spans="1:77" s="103" customFormat="1" ht="29">
      <c r="A265" s="100" t="s">
        <v>2259</v>
      </c>
      <c r="B265" s="91" t="str">
        <f t="shared" si="149"/>
        <v>STW</v>
      </c>
      <c r="C265" s="92" t="s">
        <v>466</v>
      </c>
      <c r="D265" s="448"/>
      <c r="E265" s="449" t="s">
        <v>2088</v>
      </c>
      <c r="F265" s="467" t="s">
        <v>4817</v>
      </c>
      <c r="G265" s="467" t="s">
        <v>4979</v>
      </c>
      <c r="H265" s="470">
        <v>0.38419999999999999</v>
      </c>
      <c r="I265" s="95" t="s">
        <v>962</v>
      </c>
      <c r="J265" s="95" t="s">
        <v>1166</v>
      </c>
      <c r="K265" s="469">
        <v>148069</v>
      </c>
      <c r="L265" s="471">
        <v>0.78027867566884246</v>
      </c>
      <c r="M265" s="584">
        <v>0.25345622119815669</v>
      </c>
      <c r="N265" s="267">
        <f t="shared" si="150"/>
        <v>0.74654377880184331</v>
      </c>
      <c r="O265" s="96">
        <f t="shared" si="151"/>
        <v>103680.42102395231</v>
      </c>
      <c r="P265" s="96">
        <f t="shared" si="148"/>
        <v>11250.561491624994</v>
      </c>
      <c r="Q265" s="96">
        <f t="shared" si="152"/>
        <v>33138.017484422708</v>
      </c>
      <c r="R265" s="187" t="s">
        <v>2314</v>
      </c>
      <c r="S265" s="187" t="s">
        <v>3607</v>
      </c>
      <c r="T265" s="94" t="s">
        <v>5395</v>
      </c>
      <c r="U265" s="395">
        <f>COUNTIF(Aggregation_of_rev_to_allocate!$A$3:$A$137,$T265)</f>
        <v>0</v>
      </c>
      <c r="V265" s="100"/>
      <c r="W265" s="100">
        <v>417</v>
      </c>
      <c r="X265" s="109">
        <v>10454.615290214198</v>
      </c>
      <c r="Y265" s="109">
        <v>33929.978714604258</v>
      </c>
      <c r="Z265" s="110">
        <v>0.78027871252955117</v>
      </c>
      <c r="AA265" s="110">
        <v>0.23554603854389722</v>
      </c>
      <c r="AB265" s="110">
        <v>0.76445396145610278</v>
      </c>
      <c r="AC265" s="109">
        <f>IF(ISERROR((X265*SUMIF('Rev_for_allocation(Hard)'!$A$3:$A$249,$T265,'Rev_for_allocation(Hard)'!$I$3:$I$249)/SUMIF(Historic_capex_list!$T$9:$T$586,$T265,Historic_capex_list!$X$9:$X$586))=TRUE),0,X265*SUMIF('Rev_for_allocation(Hard)'!$A$3:$A$249,$T265,'Rev_for_allocation(Hard)'!$I$3:$I$249)/SUMIF(Historic_capex_list!$T$9:$T$586,$T265,Historic_capex_list!$X$9:$X$586))</f>
        <v>0</v>
      </c>
      <c r="AD265" s="109">
        <f t="shared" si="153"/>
        <v>10454.615290214198</v>
      </c>
      <c r="AE265" s="109">
        <f t="shared" si="154"/>
        <v>10454.615290214198</v>
      </c>
      <c r="AF265" s="109">
        <f t="shared" si="155"/>
        <v>44384.594004818457</v>
      </c>
      <c r="AG265" s="332" t="str">
        <f t="shared" si="156"/>
        <v>N</v>
      </c>
      <c r="AH265" s="332">
        <f t="shared" ref="AH265:AH328" si="182">SUMIFS($AF$9:$AF$506,$T$9:$T$506,$T265,$AG$9:$AG$506,"Y")</f>
        <v>0</v>
      </c>
      <c r="AI265" s="332">
        <f t="shared" ref="AI265:AI328" si="183">IF(AND(AH265&lt;0,AG265="N"),AH265*AF265/SUMIFS($AE$9:$AE$506,$T$9:$T$506,$T265,$AG$9:$AG$506,"N"),0)</f>
        <v>0</v>
      </c>
      <c r="AJ265" s="109">
        <f t="shared" ref="AJ265:AJ328" si="184">IF(AND(AI265&lt;0,AF265&gt;0),AI265+AF265,IF(AND(AI265=0,AF265&lt;0,COUNTIFS($T$9:$T$506,$T265,$AF$9:$AF$506,"&gt;0")&gt;0),0,+AF265))</f>
        <v>44384.594004818457</v>
      </c>
      <c r="AK265" s="109">
        <f t="shared" si="157"/>
        <v>0</v>
      </c>
      <c r="AL265" s="109">
        <v>0</v>
      </c>
      <c r="AM265" s="111">
        <f t="shared" si="158"/>
        <v>32.454545454545453</v>
      </c>
      <c r="AN265" s="111">
        <f t="shared" si="159"/>
        <v>29.454545454545453</v>
      </c>
      <c r="AO265" s="111" t="str">
        <f t="shared" si="160"/>
        <v>Use deduct 3yrs</v>
      </c>
      <c r="AP265" s="111">
        <f t="shared" si="161"/>
        <v>29.454545454545453</v>
      </c>
      <c r="AQ265" s="112">
        <f t="shared" si="162"/>
        <v>0.74654377880184331</v>
      </c>
      <c r="AR265" s="112">
        <f t="shared" si="163"/>
        <v>0.25345622119815669</v>
      </c>
      <c r="AS265" s="113">
        <f t="shared" si="164"/>
        <v>2057</v>
      </c>
      <c r="AT265" s="109">
        <v>44384.591908070768</v>
      </c>
      <c r="AU265" s="114">
        <v>0.25345622119815669</v>
      </c>
      <c r="AV265" s="113">
        <v>2057</v>
      </c>
      <c r="AW265" s="112">
        <f t="shared" si="165"/>
        <v>0.78020858952973626</v>
      </c>
      <c r="AX265" s="109">
        <f t="shared" si="166"/>
        <v>11249.550944441899</v>
      </c>
      <c r="AY265" s="109">
        <f t="shared" si="167"/>
        <v>33135.04096362886</v>
      </c>
      <c r="AZ265" s="109">
        <f t="shared" si="168"/>
        <v>44384.591908070761</v>
      </c>
      <c r="BA265" s="111">
        <f t="shared" si="169"/>
        <v>0</v>
      </c>
      <c r="BB265" s="117"/>
      <c r="BC265" s="115" t="str">
        <f t="shared" si="170"/>
        <v>N</v>
      </c>
      <c r="BD265" s="115" t="str">
        <f t="shared" si="171"/>
        <v>N</v>
      </c>
      <c r="BE265" s="115" t="str">
        <f t="shared" si="172"/>
        <v>N</v>
      </c>
      <c r="BF265" s="109" t="str">
        <f t="shared" si="173"/>
        <v/>
      </c>
      <c r="BG265" s="111" t="s">
        <v>2499</v>
      </c>
      <c r="BH265" s="115" t="s">
        <v>1168</v>
      </c>
      <c r="BI265" s="116"/>
      <c r="BJ265" s="222">
        <v>0.78027867566884246</v>
      </c>
      <c r="BK265" s="265">
        <f t="shared" si="174"/>
        <v>-2.9765207938471576</v>
      </c>
      <c r="BL265" s="265">
        <f t="shared" si="175"/>
        <v>2.9765207938471576</v>
      </c>
      <c r="BM265" s="265">
        <f t="shared" si="176"/>
        <v>0</v>
      </c>
      <c r="BN265" s="265">
        <f t="shared" si="177"/>
        <v>-795.94620141079577</v>
      </c>
      <c r="BO265" s="109"/>
      <c r="BP265" s="265">
        <f t="shared" si="178"/>
        <v>2.0967476884834468E-3</v>
      </c>
      <c r="BQ265" s="265">
        <v>2.0967476884834468E-3</v>
      </c>
      <c r="BR265" s="265" t="e">
        <f t="shared" si="179"/>
        <v>#REF!</v>
      </c>
      <c r="BS265" s="265">
        <v>2.3621799327899865E-4</v>
      </c>
      <c r="BT265" s="475">
        <v>12498.408091929234</v>
      </c>
      <c r="BU265" s="475">
        <v>11249.5509444419</v>
      </c>
      <c r="BV265" s="475">
        <v>33135.040963628868</v>
      </c>
      <c r="BW265" s="483">
        <f t="shared" si="180"/>
        <v>1.0105471830938768</v>
      </c>
      <c r="BX265" s="483">
        <f t="shared" si="181"/>
        <v>2.9765207938398817</v>
      </c>
    </row>
    <row r="266" spans="1:77" s="103" customFormat="1" ht="29">
      <c r="A266" s="100" t="s">
        <v>2259</v>
      </c>
      <c r="B266" s="91" t="str">
        <f t="shared" si="149"/>
        <v>STW</v>
      </c>
      <c r="C266" s="92" t="s">
        <v>466</v>
      </c>
      <c r="D266" s="448"/>
      <c r="E266" s="449" t="s">
        <v>2105</v>
      </c>
      <c r="F266" s="467" t="s">
        <v>4818</v>
      </c>
      <c r="G266" s="467" t="s">
        <v>4978</v>
      </c>
      <c r="H266" s="470">
        <v>0.3856</v>
      </c>
      <c r="I266" s="95" t="s">
        <v>962</v>
      </c>
      <c r="J266" s="95" t="s">
        <v>1166</v>
      </c>
      <c r="K266" s="469">
        <v>282045</v>
      </c>
      <c r="L266" s="471">
        <v>0.78027867566884246</v>
      </c>
      <c r="M266" s="584">
        <v>0.25345622119815669</v>
      </c>
      <c r="N266" s="267">
        <f t="shared" si="150"/>
        <v>0.74654377880184331</v>
      </c>
      <c r="O266" s="96">
        <f t="shared" si="151"/>
        <v>197184.58163513039</v>
      </c>
      <c r="P266" s="96">
        <f t="shared" si="148"/>
        <v>21508.400968054506</v>
      </c>
      <c r="Q266" s="96">
        <f t="shared" si="152"/>
        <v>63352.017396815092</v>
      </c>
      <c r="R266" s="187" t="s">
        <v>2314</v>
      </c>
      <c r="S266" s="187" t="s">
        <v>3607</v>
      </c>
      <c r="T266" s="94" t="s">
        <v>5395</v>
      </c>
      <c r="U266" s="395">
        <f>COUNTIF(Aggregation_of_rev_to_allocate!$A$3:$A$137,$T266)</f>
        <v>0</v>
      </c>
      <c r="V266" s="100"/>
      <c r="W266" s="100">
        <v>418</v>
      </c>
      <c r="X266" s="109">
        <v>19988.618657908784</v>
      </c>
      <c r="Y266" s="109">
        <v>64872.153280667597</v>
      </c>
      <c r="Z266" s="110">
        <v>0.78027871252955094</v>
      </c>
      <c r="AA266" s="110">
        <v>0.23554603854389722</v>
      </c>
      <c r="AB266" s="110">
        <v>0.76445396145610278</v>
      </c>
      <c r="AC266" s="109">
        <f>IF(ISERROR((X266*SUMIF('Rev_for_allocation(Hard)'!$A$3:$A$249,$T266,'Rev_for_allocation(Hard)'!$I$3:$I$249)/SUMIF(Historic_capex_list!$T$9:$T$586,$T266,Historic_capex_list!$X$9:$X$586))=TRUE),0,X266*SUMIF('Rev_for_allocation(Hard)'!$A$3:$A$249,$T266,'Rev_for_allocation(Hard)'!$I$3:$I$249)/SUMIF(Historic_capex_list!$T$9:$T$586,$T266,Historic_capex_list!$X$9:$X$586))</f>
        <v>0</v>
      </c>
      <c r="AD266" s="109">
        <f t="shared" si="153"/>
        <v>19988.618657908784</v>
      </c>
      <c r="AE266" s="109">
        <f t="shared" si="154"/>
        <v>19988.618657908784</v>
      </c>
      <c r="AF266" s="109">
        <f t="shared" si="155"/>
        <v>84860.771938576378</v>
      </c>
      <c r="AG266" s="332" t="str">
        <f t="shared" si="156"/>
        <v>N</v>
      </c>
      <c r="AH266" s="332">
        <f t="shared" si="182"/>
        <v>0</v>
      </c>
      <c r="AI266" s="332">
        <f t="shared" si="183"/>
        <v>0</v>
      </c>
      <c r="AJ266" s="109">
        <f t="shared" si="184"/>
        <v>84860.771938576378</v>
      </c>
      <c r="AK266" s="109">
        <f t="shared" si="157"/>
        <v>0</v>
      </c>
      <c r="AL266" s="109">
        <v>0</v>
      </c>
      <c r="AM266" s="111">
        <f t="shared" si="158"/>
        <v>32.454545454545453</v>
      </c>
      <c r="AN266" s="111">
        <f t="shared" si="159"/>
        <v>29.454545454545453</v>
      </c>
      <c r="AO266" s="111" t="str">
        <f t="shared" si="160"/>
        <v>Use deduct 3yrs</v>
      </c>
      <c r="AP266" s="111">
        <f t="shared" si="161"/>
        <v>29.454545454545453</v>
      </c>
      <c r="AQ266" s="112">
        <f t="shared" si="162"/>
        <v>0.74654377880184331</v>
      </c>
      <c r="AR266" s="112">
        <f t="shared" si="163"/>
        <v>0.25345622119815669</v>
      </c>
      <c r="AS266" s="113">
        <f t="shared" si="164"/>
        <v>2057</v>
      </c>
      <c r="AT266" s="109">
        <v>84860.767929716298</v>
      </c>
      <c r="AU266" s="114">
        <v>0.25345622119815669</v>
      </c>
      <c r="AV266" s="113">
        <v>2057</v>
      </c>
      <c r="AW266" s="112">
        <f t="shared" si="165"/>
        <v>0.78028188986458769</v>
      </c>
      <c r="AX266" s="109">
        <f t="shared" si="166"/>
        <v>21508.489567439618</v>
      </c>
      <c r="AY266" s="109">
        <f t="shared" si="167"/>
        <v>63352.27836227668</v>
      </c>
      <c r="AZ266" s="109">
        <f t="shared" si="168"/>
        <v>84860.767929716298</v>
      </c>
      <c r="BA266" s="111">
        <f t="shared" si="169"/>
        <v>0</v>
      </c>
      <c r="BB266" s="117"/>
      <c r="BC266" s="115" t="str">
        <f t="shared" si="170"/>
        <v>N</v>
      </c>
      <c r="BD266" s="115" t="str">
        <f t="shared" si="171"/>
        <v>N</v>
      </c>
      <c r="BE266" s="115" t="str">
        <f t="shared" si="172"/>
        <v>N</v>
      </c>
      <c r="BF266" s="109" t="str">
        <f t="shared" si="173"/>
        <v/>
      </c>
      <c r="BG266" s="111" t="s">
        <v>2499</v>
      </c>
      <c r="BH266" s="115" t="s">
        <v>1168</v>
      </c>
      <c r="BI266" s="116"/>
      <c r="BJ266" s="222">
        <v>0.78027867566884246</v>
      </c>
      <c r="BK266" s="265">
        <f t="shared" si="174"/>
        <v>0.26096546158805722</v>
      </c>
      <c r="BL266" s="265">
        <f t="shared" si="175"/>
        <v>-0.26096546158805722</v>
      </c>
      <c r="BM266" s="265">
        <f t="shared" si="176"/>
        <v>0</v>
      </c>
      <c r="BN266" s="265">
        <f t="shared" si="177"/>
        <v>-1519.7823101457216</v>
      </c>
      <c r="BO266" s="109"/>
      <c r="BP266" s="265">
        <f t="shared" si="178"/>
        <v>4.0088600799208507E-3</v>
      </c>
      <c r="BQ266" s="265">
        <v>4.0088600799208507E-3</v>
      </c>
      <c r="BR266" s="265" t="e">
        <f t="shared" si="179"/>
        <v>#REF!</v>
      </c>
      <c r="BS266" s="265">
        <v>4.516351150004692E-4</v>
      </c>
      <c r="BT266" s="475">
        <v>23896.232070283702</v>
      </c>
      <c r="BU266" s="475">
        <v>21508.489567439614</v>
      </c>
      <c r="BV266" s="475">
        <v>63352.27836227668</v>
      </c>
      <c r="BW266" s="483">
        <f t="shared" si="180"/>
        <v>-8.8599385107954731E-2</v>
      </c>
      <c r="BX266" s="483">
        <f t="shared" si="181"/>
        <v>-0.26096546158805722</v>
      </c>
    </row>
    <row r="267" spans="1:77" s="103" customFormat="1" ht="14.5">
      <c r="A267" s="100" t="s">
        <v>2259</v>
      </c>
      <c r="B267" s="91" t="str">
        <f t="shared" si="149"/>
        <v>STW</v>
      </c>
      <c r="C267" s="92" t="s">
        <v>466</v>
      </c>
      <c r="D267" s="448"/>
      <c r="E267" s="449" t="s">
        <v>2120</v>
      </c>
      <c r="F267" s="467" t="s">
        <v>4820</v>
      </c>
      <c r="G267" s="467" t="s">
        <v>4980</v>
      </c>
      <c r="H267" s="470">
        <v>0.2893</v>
      </c>
      <c r="I267" s="95" t="s">
        <v>962</v>
      </c>
      <c r="J267" s="95" t="s">
        <v>1166</v>
      </c>
      <c r="K267" s="469">
        <v>377594</v>
      </c>
      <c r="L267" s="471">
        <v>0.78027867566884235</v>
      </c>
      <c r="M267" s="584">
        <v>0.25345622119815669</v>
      </c>
      <c r="N267" s="267">
        <f t="shared" si="150"/>
        <v>0.74654377880184331</v>
      </c>
      <c r="O267" s="96">
        <f t="shared" si="151"/>
        <v>292357.9615668371</v>
      </c>
      <c r="P267" s="96">
        <f t="shared" si="148"/>
        <v>21603.604211170321</v>
      </c>
      <c r="Q267" s="96">
        <f t="shared" si="152"/>
        <v>63632.434221992582</v>
      </c>
      <c r="R267" s="187" t="s">
        <v>2314</v>
      </c>
      <c r="S267" s="187" t="s">
        <v>3607</v>
      </c>
      <c r="T267" s="94" t="s">
        <v>5395</v>
      </c>
      <c r="U267" s="395">
        <f>COUNTIF(Aggregation_of_rev_to_allocate!$A$3:$A$137,$T267)</f>
        <v>0</v>
      </c>
      <c r="V267" s="100"/>
      <c r="W267" s="100">
        <v>419</v>
      </c>
      <c r="X267" s="109">
        <v>20079.77927151823</v>
      </c>
      <c r="Y267" s="109">
        <v>65168.010908472803</v>
      </c>
      <c r="Z267" s="110">
        <v>0.78027871252955094</v>
      </c>
      <c r="AA267" s="110">
        <v>0.23554603854389722</v>
      </c>
      <c r="AB267" s="110">
        <v>0.76445396145610278</v>
      </c>
      <c r="AC267" s="109">
        <f>IF(ISERROR((X267*SUMIF('Rev_for_allocation(Hard)'!$A$3:$A$249,$T267,'Rev_for_allocation(Hard)'!$I$3:$I$249)/SUMIF(Historic_capex_list!$T$9:$T$586,$T267,Historic_capex_list!$X$9:$X$586))=TRUE),0,X267*SUMIF('Rev_for_allocation(Hard)'!$A$3:$A$249,$T267,'Rev_for_allocation(Hard)'!$I$3:$I$249)/SUMIF(Historic_capex_list!$T$9:$T$586,$T267,Historic_capex_list!$X$9:$X$586))</f>
        <v>0</v>
      </c>
      <c r="AD267" s="109">
        <f t="shared" si="153"/>
        <v>20079.77927151823</v>
      </c>
      <c r="AE267" s="109">
        <f t="shared" si="154"/>
        <v>20079.77927151823</v>
      </c>
      <c r="AF267" s="109">
        <f t="shared" si="155"/>
        <v>85247.790179991032</v>
      </c>
      <c r="AG267" s="332" t="str">
        <f t="shared" si="156"/>
        <v>N</v>
      </c>
      <c r="AH267" s="332">
        <f t="shared" si="182"/>
        <v>0</v>
      </c>
      <c r="AI267" s="332">
        <f t="shared" si="183"/>
        <v>0</v>
      </c>
      <c r="AJ267" s="109">
        <f t="shared" si="184"/>
        <v>85247.790179991032</v>
      </c>
      <c r="AK267" s="109">
        <f t="shared" si="157"/>
        <v>0</v>
      </c>
      <c r="AL267" s="109">
        <v>0</v>
      </c>
      <c r="AM267" s="111">
        <f t="shared" si="158"/>
        <v>32.454545454545453</v>
      </c>
      <c r="AN267" s="111">
        <f t="shared" si="159"/>
        <v>29.454545454545453</v>
      </c>
      <c r="AO267" s="111" t="str">
        <f t="shared" si="160"/>
        <v>Use deduct 3yrs</v>
      </c>
      <c r="AP267" s="111">
        <f t="shared" si="161"/>
        <v>29.454545454545453</v>
      </c>
      <c r="AQ267" s="112">
        <f t="shared" si="162"/>
        <v>0.74654377880184331</v>
      </c>
      <c r="AR267" s="112">
        <f t="shared" si="163"/>
        <v>0.25345622119815669</v>
      </c>
      <c r="AS267" s="113">
        <f t="shared" si="164"/>
        <v>2057</v>
      </c>
      <c r="AT267" s="109">
        <v>85247.786152848028</v>
      </c>
      <c r="AU267" s="114">
        <v>0.25345622119815669</v>
      </c>
      <c r="AV267" s="113">
        <v>2057</v>
      </c>
      <c r="AW267" s="112">
        <f t="shared" si="165"/>
        <v>0.7803862181511837</v>
      </c>
      <c r="AX267" s="109">
        <f t="shared" si="166"/>
        <v>21606.581743809409</v>
      </c>
      <c r="AY267" s="109">
        <f t="shared" si="167"/>
        <v>63641.204409038619</v>
      </c>
      <c r="AZ267" s="109">
        <f t="shared" si="168"/>
        <v>85247.786152848028</v>
      </c>
      <c r="BA267" s="111">
        <f t="shared" si="169"/>
        <v>0</v>
      </c>
      <c r="BB267" s="117"/>
      <c r="BC267" s="115" t="str">
        <f t="shared" si="170"/>
        <v>N</v>
      </c>
      <c r="BD267" s="115" t="str">
        <f t="shared" si="171"/>
        <v>N</v>
      </c>
      <c r="BE267" s="115" t="str">
        <f t="shared" si="172"/>
        <v>N</v>
      </c>
      <c r="BF267" s="109" t="str">
        <f t="shared" si="173"/>
        <v/>
      </c>
      <c r="BG267" s="111" t="s">
        <v>2499</v>
      </c>
      <c r="BH267" s="115" t="s">
        <v>1168</v>
      </c>
      <c r="BI267" s="116"/>
      <c r="BJ267" s="222">
        <v>0.78027867566884235</v>
      </c>
      <c r="BK267" s="265">
        <f t="shared" si="174"/>
        <v>8.7701870460368809</v>
      </c>
      <c r="BL267" s="265">
        <f t="shared" si="175"/>
        <v>-8.7701870460368809</v>
      </c>
      <c r="BM267" s="265">
        <f t="shared" si="176"/>
        <v>0</v>
      </c>
      <c r="BN267" s="265">
        <f t="shared" si="177"/>
        <v>-1523.8249396520914</v>
      </c>
      <c r="BO267" s="109"/>
      <c r="BP267" s="265">
        <f t="shared" si="178"/>
        <v>4.0271430043503642E-3</v>
      </c>
      <c r="BQ267" s="265">
        <v>4.0271430043503642E-3</v>
      </c>
      <c r="BR267" s="265" t="e">
        <f t="shared" si="179"/>
        <v>#REF!</v>
      </c>
      <c r="BS267" s="265">
        <v>4.5369485530386022E-4</v>
      </c>
      <c r="BT267" s="475">
        <v>24005.213847151968</v>
      </c>
      <c r="BU267" s="475">
        <v>21606.581743809409</v>
      </c>
      <c r="BV267" s="475">
        <v>63641.204409038619</v>
      </c>
      <c r="BW267" s="483">
        <f t="shared" si="180"/>
        <v>-2.9775326390881673</v>
      </c>
      <c r="BX267" s="483">
        <f t="shared" si="181"/>
        <v>-8.7701870460368809</v>
      </c>
    </row>
    <row r="268" spans="1:77" s="103" customFormat="1" ht="14.5">
      <c r="A268" s="100" t="s">
        <v>2259</v>
      </c>
      <c r="B268" s="91" t="str">
        <f t="shared" si="149"/>
        <v>STW</v>
      </c>
      <c r="C268" s="92" t="s">
        <v>466</v>
      </c>
      <c r="D268" s="448"/>
      <c r="E268" s="449" t="s">
        <v>2089</v>
      </c>
      <c r="F268" s="467" t="s">
        <v>4821</v>
      </c>
      <c r="G268" s="467" t="s">
        <v>4980</v>
      </c>
      <c r="H268" s="470">
        <v>0.23430000000000001</v>
      </c>
      <c r="I268" s="95" t="s">
        <v>962</v>
      </c>
      <c r="J268" s="95" t="s">
        <v>1166</v>
      </c>
      <c r="K268" s="469">
        <v>245754</v>
      </c>
      <c r="L268" s="471">
        <v>0.93174956198874503</v>
      </c>
      <c r="M268" s="584">
        <v>0.25345622119815669</v>
      </c>
      <c r="N268" s="267">
        <f t="shared" si="150"/>
        <v>0.74654377880184331</v>
      </c>
      <c r="O268" s="96">
        <f t="shared" si="151"/>
        <v>192103.70909090911</v>
      </c>
      <c r="P268" s="96">
        <f t="shared" si="148"/>
        <v>13597.999999999998</v>
      </c>
      <c r="Q268" s="96">
        <f t="shared" si="152"/>
        <v>40052.290909090902</v>
      </c>
      <c r="R268" s="187" t="s">
        <v>2314</v>
      </c>
      <c r="S268" s="187" t="s">
        <v>3607</v>
      </c>
      <c r="T268" s="94" t="s">
        <v>5395</v>
      </c>
      <c r="U268" s="395">
        <f>COUNTIF(Aggregation_of_rev_to_allocate!$A$3:$A$137,$T268)</f>
        <v>0</v>
      </c>
      <c r="V268" s="100"/>
      <c r="W268" s="100">
        <v>420</v>
      </c>
      <c r="X268" s="109">
        <v>12637.140061609754</v>
      </c>
      <c r="Y268" s="109">
        <v>41013.26365449711</v>
      </c>
      <c r="Z268" s="110">
        <v>0.78027871252955094</v>
      </c>
      <c r="AA268" s="110">
        <v>0.23554603854389722</v>
      </c>
      <c r="AB268" s="110">
        <v>0.76445396145610278</v>
      </c>
      <c r="AC268" s="109">
        <f>IF(ISERROR((X268*SUMIF('Rev_for_allocation(Hard)'!$A$3:$A$249,$T268,'Rev_for_allocation(Hard)'!$I$3:$I$249)/SUMIF(Historic_capex_list!$T$9:$T$586,$T268,Historic_capex_list!$X$9:$X$586))=TRUE),0,X268*SUMIF('Rev_for_allocation(Hard)'!$A$3:$A$249,$T268,'Rev_for_allocation(Hard)'!$I$3:$I$249)/SUMIF(Historic_capex_list!$T$9:$T$586,$T268,Historic_capex_list!$X$9:$X$586))</f>
        <v>0</v>
      </c>
      <c r="AD268" s="109">
        <f t="shared" si="153"/>
        <v>12637.140061609754</v>
      </c>
      <c r="AE268" s="109">
        <f t="shared" si="154"/>
        <v>12637.140061609754</v>
      </c>
      <c r="AF268" s="109">
        <f t="shared" si="155"/>
        <v>53650.403716106863</v>
      </c>
      <c r="AG268" s="332" t="str">
        <f t="shared" si="156"/>
        <v>N</v>
      </c>
      <c r="AH268" s="332">
        <f t="shared" si="182"/>
        <v>0</v>
      </c>
      <c r="AI268" s="332">
        <f t="shared" si="183"/>
        <v>0</v>
      </c>
      <c r="AJ268" s="109">
        <f t="shared" si="184"/>
        <v>53650.403716106863</v>
      </c>
      <c r="AK268" s="109">
        <f t="shared" si="157"/>
        <v>0</v>
      </c>
      <c r="AL268" s="109">
        <v>0</v>
      </c>
      <c r="AM268" s="111">
        <f t="shared" si="158"/>
        <v>32.454545454545453</v>
      </c>
      <c r="AN268" s="111">
        <f t="shared" si="159"/>
        <v>29.454545454545453</v>
      </c>
      <c r="AO268" s="111" t="str">
        <f t="shared" si="160"/>
        <v>Use deduct 3yrs</v>
      </c>
      <c r="AP268" s="111">
        <f t="shared" si="161"/>
        <v>29.454545454545453</v>
      </c>
      <c r="AQ268" s="112">
        <f t="shared" si="162"/>
        <v>0.74654377880184331</v>
      </c>
      <c r="AR268" s="112">
        <f t="shared" si="163"/>
        <v>0.25345622119815669</v>
      </c>
      <c r="AS268" s="113">
        <f t="shared" si="164"/>
        <v>2057</v>
      </c>
      <c r="AT268" s="109">
        <v>53650.401181638263</v>
      </c>
      <c r="AU268" s="114">
        <v>0.25345622119815669</v>
      </c>
      <c r="AV268" s="113">
        <v>2057</v>
      </c>
      <c r="AW268" s="112">
        <f t="shared" si="165"/>
        <v>0.93175147710226947</v>
      </c>
      <c r="AX268" s="109">
        <f t="shared" si="166"/>
        <v>13598.027949263154</v>
      </c>
      <c r="AY268" s="109">
        <f t="shared" si="167"/>
        <v>40052.373232375103</v>
      </c>
      <c r="AZ268" s="109">
        <f t="shared" si="168"/>
        <v>53650.401181638255</v>
      </c>
      <c r="BA268" s="111">
        <f t="shared" si="169"/>
        <v>0</v>
      </c>
      <c r="BB268" s="117"/>
      <c r="BC268" s="115" t="str">
        <f t="shared" si="170"/>
        <v>N</v>
      </c>
      <c r="BD268" s="115" t="str">
        <f t="shared" si="171"/>
        <v>N</v>
      </c>
      <c r="BE268" s="115" t="str">
        <f t="shared" si="172"/>
        <v>N</v>
      </c>
      <c r="BF268" s="109" t="str">
        <f t="shared" si="173"/>
        <v/>
      </c>
      <c r="BG268" s="111" t="s">
        <v>2499</v>
      </c>
      <c r="BH268" s="115" t="s">
        <v>1168</v>
      </c>
      <c r="BI268" s="116"/>
      <c r="BJ268" s="222">
        <v>0.78027867566884235</v>
      </c>
      <c r="BK268" s="265">
        <f t="shared" si="174"/>
        <v>8.2323284201265778E-2</v>
      </c>
      <c r="BL268" s="265">
        <f t="shared" si="175"/>
        <v>-8.2323284201265778E-2</v>
      </c>
      <c r="BM268" s="265">
        <f t="shared" si="176"/>
        <v>0</v>
      </c>
      <c r="BN268" s="265">
        <f t="shared" si="177"/>
        <v>-960.85993839024377</v>
      </c>
      <c r="BO268" s="109"/>
      <c r="BP268" s="265">
        <f t="shared" si="178"/>
        <v>2.5344686000607908E-3</v>
      </c>
      <c r="BQ268" s="265">
        <v>2.5344686000607908E-3</v>
      </c>
      <c r="BR268" s="265" t="e">
        <f t="shared" si="179"/>
        <v>#REF!</v>
      </c>
      <c r="BS268" s="265">
        <v>2.8553129688580527E-4</v>
      </c>
      <c r="BT268" s="475">
        <v>15107.598818361737</v>
      </c>
      <c r="BU268" s="475">
        <v>13598.027949263154</v>
      </c>
      <c r="BV268" s="475">
        <v>40052.37323237511</v>
      </c>
      <c r="BW268" s="483">
        <f t="shared" si="180"/>
        <v>-2.7949263156187953E-2</v>
      </c>
      <c r="BX268" s="483">
        <f t="shared" si="181"/>
        <v>-8.2323284208541736E-2</v>
      </c>
    </row>
    <row r="269" spans="1:77" s="103" customFormat="1" ht="29">
      <c r="A269" s="100" t="s">
        <v>2259</v>
      </c>
      <c r="B269" s="91" t="str">
        <f t="shared" si="149"/>
        <v>STW</v>
      </c>
      <c r="C269" s="92" t="s">
        <v>466</v>
      </c>
      <c r="D269" s="448"/>
      <c r="E269" s="449" t="s">
        <v>2090</v>
      </c>
      <c r="F269" s="467" t="s">
        <v>4822</v>
      </c>
      <c r="G269" s="467" t="s">
        <v>4981</v>
      </c>
      <c r="H269" s="470">
        <v>0.2135</v>
      </c>
      <c r="I269" s="95" t="s">
        <v>962</v>
      </c>
      <c r="J269" s="95" t="s">
        <v>1166</v>
      </c>
      <c r="K269" s="469">
        <v>231922</v>
      </c>
      <c r="L269" s="471">
        <v>0.75259518738690012</v>
      </c>
      <c r="M269" s="584">
        <v>0.25345622119815669</v>
      </c>
      <c r="N269" s="267">
        <f t="shared" si="150"/>
        <v>0.74654377880184331</v>
      </c>
      <c r="O269" s="96">
        <f t="shared" si="151"/>
        <v>194656.98814600761</v>
      </c>
      <c r="P269" s="96">
        <f t="shared" si="148"/>
        <v>9445.0490874174247</v>
      </c>
      <c r="Q269" s="96">
        <f t="shared" si="152"/>
        <v>27819.962766574961</v>
      </c>
      <c r="R269" s="187" t="s">
        <v>2563</v>
      </c>
      <c r="S269" s="187" t="s">
        <v>3607</v>
      </c>
      <c r="T269" s="94" t="s">
        <v>5394</v>
      </c>
      <c r="U269" s="395">
        <f>COUNTIF(Aggregation_of_rev_to_allocate!$A$3:$A$137,$T269)</f>
        <v>0</v>
      </c>
      <c r="V269" s="100"/>
      <c r="W269" s="100">
        <v>336</v>
      </c>
      <c r="X269" s="109">
        <v>9101.9094108481895</v>
      </c>
      <c r="Y269" s="109">
        <v>29539.833269752758</v>
      </c>
      <c r="Z269" s="110">
        <v>0.78027871252955083</v>
      </c>
      <c r="AA269" s="110">
        <v>0.23554603854389722</v>
      </c>
      <c r="AB269" s="110">
        <v>0.76445396145610278</v>
      </c>
      <c r="AC269" s="109">
        <f>IF(ISERROR((X269*SUMIF('Rev_for_allocation(Hard)'!$A$3:$A$249,$T269,'Rev_for_allocation(Hard)'!$I$3:$I$249)/SUMIF(Historic_capex_list!$T$9:$T$586,$T269,Historic_capex_list!$X$9:$X$586))=TRUE),0,X269*SUMIF('Rev_for_allocation(Hard)'!$A$3:$A$249,$T269,'Rev_for_allocation(Hard)'!$I$3:$I$249)/SUMIF(Historic_capex_list!$T$9:$T$586,$T269,Historic_capex_list!$X$9:$X$586))</f>
        <v>0</v>
      </c>
      <c r="AD269" s="109">
        <f t="shared" si="153"/>
        <v>9101.9094108481895</v>
      </c>
      <c r="AE269" s="109">
        <f t="shared" si="154"/>
        <v>9101.9094108481895</v>
      </c>
      <c r="AF269" s="109">
        <f t="shared" si="155"/>
        <v>38641.742680600946</v>
      </c>
      <c r="AG269" s="332" t="str">
        <f t="shared" si="156"/>
        <v>N</v>
      </c>
      <c r="AH269" s="332">
        <f t="shared" si="182"/>
        <v>0</v>
      </c>
      <c r="AI269" s="332">
        <f t="shared" si="183"/>
        <v>0</v>
      </c>
      <c r="AJ269" s="109">
        <f t="shared" si="184"/>
        <v>38641.742680600946</v>
      </c>
      <c r="AK269" s="109">
        <f t="shared" si="157"/>
        <v>0</v>
      </c>
      <c r="AL269" s="109">
        <v>0</v>
      </c>
      <c r="AM269" s="111">
        <f t="shared" si="158"/>
        <v>32.454545454545453</v>
      </c>
      <c r="AN269" s="111">
        <f t="shared" si="159"/>
        <v>29.454545454545453</v>
      </c>
      <c r="AO269" s="111" t="str">
        <f t="shared" si="160"/>
        <v>Use deduct 3yrs</v>
      </c>
      <c r="AP269" s="111">
        <f t="shared" si="161"/>
        <v>29.454545454545453</v>
      </c>
      <c r="AQ269" s="112">
        <f t="shared" si="162"/>
        <v>0.74654377880184331</v>
      </c>
      <c r="AR269" s="112">
        <f t="shared" si="163"/>
        <v>0.25345622119815669</v>
      </c>
      <c r="AS269" s="113">
        <f t="shared" si="164"/>
        <v>2057</v>
      </c>
      <c r="AT269" s="109">
        <v>37270.771464961457</v>
      </c>
      <c r="AU269" s="114">
        <v>0.25345622119815669</v>
      </c>
      <c r="AV269" s="113">
        <v>2057</v>
      </c>
      <c r="AW269" s="112">
        <f t="shared" si="165"/>
        <v>0.75271150710024215</v>
      </c>
      <c r="AX269" s="109">
        <f t="shared" si="166"/>
        <v>9446.5088966492167</v>
      </c>
      <c r="AY269" s="109">
        <f t="shared" si="167"/>
        <v>27824.262568312239</v>
      </c>
      <c r="AZ269" s="109">
        <f t="shared" si="168"/>
        <v>37270.771464961457</v>
      </c>
      <c r="BA269" s="111">
        <f t="shared" si="169"/>
        <v>0</v>
      </c>
      <c r="BB269" s="117"/>
      <c r="BC269" s="115" t="str">
        <f t="shared" si="170"/>
        <v>Y</v>
      </c>
      <c r="BD269" s="115" t="str">
        <f t="shared" si="171"/>
        <v>Y</v>
      </c>
      <c r="BE269" s="115" t="str">
        <f t="shared" si="172"/>
        <v>N</v>
      </c>
      <c r="BF269" s="109" t="str">
        <f t="shared" si="173"/>
        <v/>
      </c>
      <c r="BG269" s="111" t="s">
        <v>2499</v>
      </c>
      <c r="BH269" s="115" t="s">
        <v>1168</v>
      </c>
      <c r="BI269" s="116"/>
      <c r="BJ269" s="222">
        <v>0.75259518738690012</v>
      </c>
      <c r="BK269" s="265">
        <f t="shared" si="174"/>
        <v>4.2998017372774484</v>
      </c>
      <c r="BL269" s="265">
        <f t="shared" si="175"/>
        <v>-4.2998017372774484</v>
      </c>
      <c r="BM269" s="265">
        <f t="shared" si="176"/>
        <v>0</v>
      </c>
      <c r="BN269" s="265">
        <f t="shared" si="177"/>
        <v>-343.13967656923523</v>
      </c>
      <c r="BO269" s="109"/>
      <c r="BP269" s="265">
        <f t="shared" si="178"/>
        <v>1370.9712156394889</v>
      </c>
      <c r="BQ269" s="265">
        <v>1370.9712156394889</v>
      </c>
      <c r="BR269" s="265" t="e">
        <f t="shared" si="179"/>
        <v>#REF!</v>
      </c>
      <c r="BS269" s="265">
        <v>154.45257013058398</v>
      </c>
      <c r="BT269" s="475">
        <v>12252.228535038545</v>
      </c>
      <c r="BU269" s="475">
        <v>9446.5088966492185</v>
      </c>
      <c r="BV269" s="475">
        <v>27824.262568312239</v>
      </c>
      <c r="BW269" s="483">
        <f t="shared" si="180"/>
        <v>-1.4598092317937699</v>
      </c>
      <c r="BX269" s="483">
        <f t="shared" si="181"/>
        <v>-4.2998017372774484</v>
      </c>
    </row>
    <row r="270" spans="1:77" s="103" customFormat="1" ht="14.5">
      <c r="A270" s="100" t="s">
        <v>2259</v>
      </c>
      <c r="B270" s="91" t="str">
        <f t="shared" si="149"/>
        <v>STW</v>
      </c>
      <c r="C270" s="92" t="s">
        <v>466</v>
      </c>
      <c r="D270" s="448"/>
      <c r="E270" s="449" t="s">
        <v>2142</v>
      </c>
      <c r="F270" s="620" t="s">
        <v>4824</v>
      </c>
      <c r="G270" s="620" t="s">
        <v>4668</v>
      </c>
      <c r="H270" s="470">
        <v>0.29149999999999998</v>
      </c>
      <c r="I270" s="95" t="s">
        <v>962</v>
      </c>
      <c r="J270" s="95" t="s">
        <v>1166</v>
      </c>
      <c r="K270" s="469">
        <v>287140</v>
      </c>
      <c r="L270" s="471">
        <v>0.75259518738690034</v>
      </c>
      <c r="M270" s="584">
        <v>0.25345622119815669</v>
      </c>
      <c r="N270" s="267">
        <f t="shared" si="150"/>
        <v>0.74654377880184331</v>
      </c>
      <c r="O270" s="96">
        <f t="shared" si="151"/>
        <v>224146.79691602098</v>
      </c>
      <c r="P270" s="96">
        <f t="shared" si="148"/>
        <v>15966.019214833395</v>
      </c>
      <c r="Q270" s="96">
        <f t="shared" si="152"/>
        <v>47027.183869145636</v>
      </c>
      <c r="R270" s="187" t="s">
        <v>2563</v>
      </c>
      <c r="S270" s="187" t="s">
        <v>3607</v>
      </c>
      <c r="T270" s="94" t="s">
        <v>5394</v>
      </c>
      <c r="U270" s="395">
        <f>COUNTIF(Aggregation_of_rev_to_allocate!$A$3:$A$137,$T270)</f>
        <v>0</v>
      </c>
      <c r="V270" s="100"/>
      <c r="W270" s="100">
        <v>337</v>
      </c>
      <c r="X270" s="109">
        <v>15383.537338154078</v>
      </c>
      <c r="Y270" s="109">
        <v>49926.571179281869</v>
      </c>
      <c r="Z270" s="110">
        <v>0.78027871252955094</v>
      </c>
      <c r="AA270" s="110">
        <v>0.23554603854389722</v>
      </c>
      <c r="AB270" s="110">
        <v>0.76445396145610278</v>
      </c>
      <c r="AC270" s="109">
        <f>IF(ISERROR((X270*SUMIF('Rev_for_allocation(Hard)'!$A$3:$A$249,$T270,'Rev_for_allocation(Hard)'!$I$3:$I$249)/SUMIF(Historic_capex_list!$T$9:$T$586,$T270,Historic_capex_list!$X$9:$X$586))=TRUE),0,X270*SUMIF('Rev_for_allocation(Hard)'!$A$3:$A$249,$T270,'Rev_for_allocation(Hard)'!$I$3:$I$249)/SUMIF(Historic_capex_list!$T$9:$T$586,$T270,Historic_capex_list!$X$9:$X$586))</f>
        <v>0</v>
      </c>
      <c r="AD270" s="109">
        <f t="shared" si="153"/>
        <v>15383.537338154078</v>
      </c>
      <c r="AE270" s="109">
        <f t="shared" si="154"/>
        <v>15383.537338154078</v>
      </c>
      <c r="AF270" s="109">
        <f t="shared" si="155"/>
        <v>65310.108517435947</v>
      </c>
      <c r="AG270" s="332" t="str">
        <f t="shared" si="156"/>
        <v>N</v>
      </c>
      <c r="AH270" s="332">
        <f t="shared" si="182"/>
        <v>0</v>
      </c>
      <c r="AI270" s="332">
        <f t="shared" si="183"/>
        <v>0</v>
      </c>
      <c r="AJ270" s="109">
        <f t="shared" si="184"/>
        <v>65310.108517435947</v>
      </c>
      <c r="AK270" s="109">
        <f t="shared" si="157"/>
        <v>0</v>
      </c>
      <c r="AL270" s="109">
        <v>0</v>
      </c>
      <c r="AM270" s="111">
        <f t="shared" si="158"/>
        <v>32.454545454545453</v>
      </c>
      <c r="AN270" s="111">
        <f t="shared" si="159"/>
        <v>29.454545454545453</v>
      </c>
      <c r="AO270" s="111" t="str">
        <f t="shared" si="160"/>
        <v>Use deduct 3yrs</v>
      </c>
      <c r="AP270" s="111">
        <f t="shared" si="161"/>
        <v>29.454545454545453</v>
      </c>
      <c r="AQ270" s="112">
        <f t="shared" si="162"/>
        <v>0.74654377880184331</v>
      </c>
      <c r="AR270" s="112">
        <f t="shared" si="163"/>
        <v>0.25345622119815669</v>
      </c>
      <c r="AS270" s="113">
        <f t="shared" si="164"/>
        <v>2057</v>
      </c>
      <c r="AT270" s="109">
        <v>62992.969779470943</v>
      </c>
      <c r="AU270" s="114">
        <v>0.25345622119815669</v>
      </c>
      <c r="AV270" s="113">
        <v>2057</v>
      </c>
      <c r="AW270" s="112">
        <f t="shared" si="165"/>
        <v>0.75259240004094252</v>
      </c>
      <c r="AX270" s="109">
        <f t="shared" si="166"/>
        <v>15965.960082354386</v>
      </c>
      <c r="AY270" s="109">
        <f t="shared" si="167"/>
        <v>47027.009697116555</v>
      </c>
      <c r="AZ270" s="109">
        <f t="shared" si="168"/>
        <v>62992.969779470943</v>
      </c>
      <c r="BA270" s="111">
        <f t="shared" si="169"/>
        <v>0</v>
      </c>
      <c r="BB270" s="117"/>
      <c r="BC270" s="115" t="str">
        <f t="shared" si="170"/>
        <v>N</v>
      </c>
      <c r="BD270" s="115" t="str">
        <f t="shared" si="171"/>
        <v>N</v>
      </c>
      <c r="BE270" s="115" t="str">
        <f t="shared" si="172"/>
        <v>N</v>
      </c>
      <c r="BF270" s="109" t="str">
        <f t="shared" si="173"/>
        <v/>
      </c>
      <c r="BG270" s="111" t="s">
        <v>2499</v>
      </c>
      <c r="BH270" s="115" t="s">
        <v>1168</v>
      </c>
      <c r="BI270" s="116"/>
      <c r="BJ270" s="222">
        <v>0.75259518738690034</v>
      </c>
      <c r="BK270" s="265">
        <f t="shared" si="174"/>
        <v>-0.17417202908109175</v>
      </c>
      <c r="BL270" s="265">
        <f t="shared" si="175"/>
        <v>0.17417202908109175</v>
      </c>
      <c r="BM270" s="265">
        <f t="shared" si="176"/>
        <v>0</v>
      </c>
      <c r="BN270" s="265">
        <f t="shared" si="177"/>
        <v>-582.48187667931779</v>
      </c>
      <c r="BO270" s="109"/>
      <c r="BP270" s="265">
        <f t="shared" si="178"/>
        <v>2317.1387379650041</v>
      </c>
      <c r="BQ270" s="265">
        <v>2317.1387379650041</v>
      </c>
      <c r="BR270" s="265" t="e">
        <f t="shared" si="179"/>
        <v>#REF!</v>
      </c>
      <c r="BS270" s="265">
        <v>261.04708059891391</v>
      </c>
      <c r="BT270" s="475">
        <v>20708.030220529054</v>
      </c>
      <c r="BU270" s="475">
        <v>15965.960082354388</v>
      </c>
      <c r="BV270" s="475">
        <v>47027.009697116555</v>
      </c>
      <c r="BW270" s="483">
        <f t="shared" si="180"/>
        <v>5.9132479007530492E-2</v>
      </c>
      <c r="BX270" s="483">
        <f t="shared" si="181"/>
        <v>0.17417202908109175</v>
      </c>
      <c r="BY270" s="103" t="s">
        <v>5331</v>
      </c>
    </row>
    <row r="271" spans="1:77" s="103" customFormat="1" ht="29">
      <c r="A271" s="100" t="s">
        <v>2259</v>
      </c>
      <c r="B271" s="91" t="str">
        <f t="shared" si="149"/>
        <v>STW</v>
      </c>
      <c r="C271" s="92" t="s">
        <v>466</v>
      </c>
      <c r="D271" s="448"/>
      <c r="E271" s="449" t="s">
        <v>2082</v>
      </c>
      <c r="F271" s="620" t="s">
        <v>4825</v>
      </c>
      <c r="G271" s="620" t="s">
        <v>5339</v>
      </c>
      <c r="H271" s="470">
        <v>0.60299999999999998</v>
      </c>
      <c r="I271" s="95" t="s">
        <v>962</v>
      </c>
      <c r="J271" s="95" t="s">
        <v>1166</v>
      </c>
      <c r="K271" s="469">
        <v>169185</v>
      </c>
      <c r="L271" s="471">
        <v>0.78027867566884246</v>
      </c>
      <c r="M271" s="584">
        <v>0.25345622119815669</v>
      </c>
      <c r="N271" s="267">
        <f t="shared" si="150"/>
        <v>0.74654377880184331</v>
      </c>
      <c r="O271" s="96">
        <f t="shared" si="151"/>
        <v>89582.097010951038</v>
      </c>
      <c r="P271" s="96">
        <f t="shared" si="148"/>
        <v>20175.850988007802</v>
      </c>
      <c r="Q271" s="96">
        <f t="shared" si="152"/>
        <v>59427.052001041164</v>
      </c>
      <c r="R271" s="187" t="s">
        <v>2314</v>
      </c>
      <c r="S271" s="187" t="s">
        <v>3607</v>
      </c>
      <c r="T271" s="94" t="s">
        <v>5395</v>
      </c>
      <c r="U271" s="395">
        <f>COUNTIF(Aggregation_of_rev_to_allocate!$A$3:$A$137,$T271)</f>
        <v>0</v>
      </c>
      <c r="V271" s="100"/>
      <c r="W271" s="100">
        <v>421</v>
      </c>
      <c r="X271" s="109">
        <v>18751.333878032161</v>
      </c>
      <c r="Y271" s="109">
        <v>60856.601767795284</v>
      </c>
      <c r="Z271" s="110">
        <v>0.78027871252955106</v>
      </c>
      <c r="AA271" s="110">
        <v>0.23554603854389722</v>
      </c>
      <c r="AB271" s="110">
        <v>0.76445396145610278</v>
      </c>
      <c r="AC271" s="109">
        <f>IF(ISERROR((X271*SUMIF('Rev_for_allocation(Hard)'!$A$3:$A$249,$T271,'Rev_for_allocation(Hard)'!$I$3:$I$249)/SUMIF(Historic_capex_list!$T$9:$T$586,$T271,Historic_capex_list!$X$9:$X$586))=TRUE),0,X271*SUMIF('Rev_for_allocation(Hard)'!$A$3:$A$249,$T271,'Rev_for_allocation(Hard)'!$I$3:$I$249)/SUMIF(Historic_capex_list!$T$9:$T$586,$T271,Historic_capex_list!$X$9:$X$586))</f>
        <v>0</v>
      </c>
      <c r="AD271" s="109">
        <f t="shared" si="153"/>
        <v>18751.333878032161</v>
      </c>
      <c r="AE271" s="109">
        <f t="shared" si="154"/>
        <v>18751.333878032161</v>
      </c>
      <c r="AF271" s="109">
        <f t="shared" si="155"/>
        <v>79607.935645827441</v>
      </c>
      <c r="AG271" s="332" t="str">
        <f t="shared" si="156"/>
        <v>N</v>
      </c>
      <c r="AH271" s="332">
        <f t="shared" si="182"/>
        <v>0</v>
      </c>
      <c r="AI271" s="332">
        <f t="shared" si="183"/>
        <v>0</v>
      </c>
      <c r="AJ271" s="109">
        <f t="shared" si="184"/>
        <v>79607.935645827441</v>
      </c>
      <c r="AK271" s="109">
        <f t="shared" si="157"/>
        <v>0</v>
      </c>
      <c r="AL271" s="109">
        <v>0</v>
      </c>
      <c r="AM271" s="111">
        <f t="shared" si="158"/>
        <v>32.454545454545453</v>
      </c>
      <c r="AN271" s="111">
        <f t="shared" si="159"/>
        <v>29.454545454545453</v>
      </c>
      <c r="AO271" s="111" t="str">
        <f t="shared" si="160"/>
        <v>Use deduct 3yrs</v>
      </c>
      <c r="AP271" s="111">
        <f t="shared" si="161"/>
        <v>29.454545454545453</v>
      </c>
      <c r="AQ271" s="112">
        <f t="shared" si="162"/>
        <v>0.74654377880184331</v>
      </c>
      <c r="AR271" s="112">
        <f t="shared" si="163"/>
        <v>0.25345622119815669</v>
      </c>
      <c r="AS271" s="113">
        <f t="shared" si="164"/>
        <v>2057</v>
      </c>
      <c r="AT271" s="109">
        <v>79607.931885113649</v>
      </c>
      <c r="AU271" s="114">
        <v>0.25345622119815669</v>
      </c>
      <c r="AV271" s="113">
        <v>2057</v>
      </c>
      <c r="AW271" s="112">
        <f t="shared" si="165"/>
        <v>0.78032796960429063</v>
      </c>
      <c r="AX271" s="109">
        <f t="shared" si="166"/>
        <v>20177.125593001158</v>
      </c>
      <c r="AY271" s="109">
        <f t="shared" si="167"/>
        <v>59430.806292112502</v>
      </c>
      <c r="AZ271" s="109">
        <f t="shared" si="168"/>
        <v>79607.931885113663</v>
      </c>
      <c r="BA271" s="111">
        <f t="shared" si="169"/>
        <v>0</v>
      </c>
      <c r="BB271" s="117"/>
      <c r="BC271" s="115" t="str">
        <f t="shared" si="170"/>
        <v>N</v>
      </c>
      <c r="BD271" s="115" t="str">
        <f t="shared" si="171"/>
        <v>N</v>
      </c>
      <c r="BE271" s="115" t="str">
        <f t="shared" si="172"/>
        <v>N</v>
      </c>
      <c r="BF271" s="109" t="str">
        <f t="shared" si="173"/>
        <v/>
      </c>
      <c r="BG271" s="111" t="s">
        <v>2499</v>
      </c>
      <c r="BH271" s="115" t="s">
        <v>1168</v>
      </c>
      <c r="BI271" s="116"/>
      <c r="BJ271" s="222">
        <v>0.78027867566884246</v>
      </c>
      <c r="BK271" s="265">
        <f t="shared" si="174"/>
        <v>3.7542910713382298</v>
      </c>
      <c r="BL271" s="265">
        <f t="shared" si="175"/>
        <v>-3.7542910713382298</v>
      </c>
      <c r="BM271" s="265">
        <f t="shared" si="176"/>
        <v>0</v>
      </c>
      <c r="BN271" s="265">
        <f t="shared" si="177"/>
        <v>-1424.5171099756408</v>
      </c>
      <c r="BO271" s="109"/>
      <c r="BP271" s="265">
        <f t="shared" si="178"/>
        <v>3.7607137928716838E-3</v>
      </c>
      <c r="BQ271" s="265">
        <v>3.7607137928716838E-3</v>
      </c>
      <c r="BR271" s="265" t="e">
        <f t="shared" si="179"/>
        <v>#REF!</v>
      </c>
      <c r="BS271" s="265">
        <v>4.2367914381311798E-4</v>
      </c>
      <c r="BT271" s="475">
        <v>22417.068114886348</v>
      </c>
      <c r="BU271" s="475">
        <v>20177.125593001158</v>
      </c>
      <c r="BV271" s="475">
        <v>59430.806292112495</v>
      </c>
      <c r="BW271" s="483">
        <f t="shared" si="180"/>
        <v>-1.2746049933557515</v>
      </c>
      <c r="BX271" s="483">
        <f t="shared" si="181"/>
        <v>-3.7542910713309539</v>
      </c>
      <c r="BY271" s="103" t="s">
        <v>5331</v>
      </c>
    </row>
    <row r="272" spans="1:77" s="103" customFormat="1" ht="29">
      <c r="A272" s="100" t="s">
        <v>2259</v>
      </c>
      <c r="B272" s="91" t="str">
        <f t="shared" si="149"/>
        <v>STW</v>
      </c>
      <c r="C272" s="92" t="s">
        <v>466</v>
      </c>
      <c r="D272" s="448"/>
      <c r="E272" s="449" t="s">
        <v>2106</v>
      </c>
      <c r="F272" s="620" t="s">
        <v>4826</v>
      </c>
      <c r="G272" s="620" t="s">
        <v>5317</v>
      </c>
      <c r="H272" s="470">
        <v>0.33679999999999999</v>
      </c>
      <c r="I272" s="95" t="s">
        <v>962</v>
      </c>
      <c r="J272" s="95" t="s">
        <v>1166</v>
      </c>
      <c r="K272" s="469">
        <v>171337</v>
      </c>
      <c r="L272" s="471">
        <v>0.78027867566884235</v>
      </c>
      <c r="M272" s="584">
        <v>0.25345622119815669</v>
      </c>
      <c r="N272" s="267">
        <f t="shared" si="150"/>
        <v>0.74654377880184331</v>
      </c>
      <c r="O272" s="96">
        <f t="shared" si="151"/>
        <v>126310.00340980521</v>
      </c>
      <c r="P272" s="96">
        <f t="shared" si="148"/>
        <v>11412.37240765306</v>
      </c>
      <c r="Q272" s="96">
        <f t="shared" si="152"/>
        <v>33614.624182541738</v>
      </c>
      <c r="R272" s="187" t="s">
        <v>2314</v>
      </c>
      <c r="S272" s="187" t="s">
        <v>3607</v>
      </c>
      <c r="T272" s="94" t="s">
        <v>5395</v>
      </c>
      <c r="U272" s="395">
        <f>COUNTIF(Aggregation_of_rev_to_allocate!$A$3:$A$137,$T272)</f>
        <v>0</v>
      </c>
      <c r="V272" s="100"/>
      <c r="W272" s="100">
        <v>423</v>
      </c>
      <c r="X272" s="109">
        <v>10605.875743844388</v>
      </c>
      <c r="Y272" s="109">
        <v>34420.887641385882</v>
      </c>
      <c r="Z272" s="110">
        <v>0.78027871252955094</v>
      </c>
      <c r="AA272" s="110">
        <v>0.23554603854389722</v>
      </c>
      <c r="AB272" s="110">
        <v>0.76445396145610278</v>
      </c>
      <c r="AC272" s="109">
        <f>IF(ISERROR((X272*SUMIF('Rev_for_allocation(Hard)'!$A$3:$A$249,$T272,'Rev_for_allocation(Hard)'!$I$3:$I$249)/SUMIF(Historic_capex_list!$T$9:$T$586,$T272,Historic_capex_list!$X$9:$X$586))=TRUE),0,X272*SUMIF('Rev_for_allocation(Hard)'!$A$3:$A$249,$T272,'Rev_for_allocation(Hard)'!$I$3:$I$249)/SUMIF(Historic_capex_list!$T$9:$T$586,$T272,Historic_capex_list!$X$9:$X$586))</f>
        <v>0</v>
      </c>
      <c r="AD272" s="109">
        <f t="shared" si="153"/>
        <v>10605.875743844388</v>
      </c>
      <c r="AE272" s="109">
        <f t="shared" si="154"/>
        <v>10605.875743844388</v>
      </c>
      <c r="AF272" s="109">
        <f t="shared" si="155"/>
        <v>45026.763385230268</v>
      </c>
      <c r="AG272" s="332" t="str">
        <f t="shared" si="156"/>
        <v>N</v>
      </c>
      <c r="AH272" s="332">
        <f t="shared" si="182"/>
        <v>0</v>
      </c>
      <c r="AI272" s="332">
        <f t="shared" si="183"/>
        <v>0</v>
      </c>
      <c r="AJ272" s="109">
        <f t="shared" si="184"/>
        <v>45026.763385230268</v>
      </c>
      <c r="AK272" s="109">
        <f t="shared" si="157"/>
        <v>0</v>
      </c>
      <c r="AL272" s="109">
        <v>0</v>
      </c>
      <c r="AM272" s="111">
        <f t="shared" si="158"/>
        <v>32.454545454545453</v>
      </c>
      <c r="AN272" s="111">
        <f t="shared" si="159"/>
        <v>29.454545454545453</v>
      </c>
      <c r="AO272" s="111" t="str">
        <f t="shared" si="160"/>
        <v>Use deduct 3yrs</v>
      </c>
      <c r="AP272" s="111">
        <f t="shared" si="161"/>
        <v>29.454545454545453</v>
      </c>
      <c r="AQ272" s="112">
        <f t="shared" si="162"/>
        <v>0.74654377880184331</v>
      </c>
      <c r="AR272" s="112">
        <f t="shared" si="163"/>
        <v>0.25345622119815669</v>
      </c>
      <c r="AS272" s="113">
        <f t="shared" si="164"/>
        <v>2057</v>
      </c>
      <c r="AT272" s="109">
        <v>45026.761258146216</v>
      </c>
      <c r="AU272" s="114">
        <v>0.25345622119815669</v>
      </c>
      <c r="AV272" s="113">
        <v>2057</v>
      </c>
      <c r="AW272" s="112">
        <f t="shared" si="165"/>
        <v>0.78027459756918849</v>
      </c>
      <c r="AX272" s="109">
        <f t="shared" si="166"/>
        <v>11412.312761281299</v>
      </c>
      <c r="AY272" s="109">
        <f t="shared" si="167"/>
        <v>33614.448496864919</v>
      </c>
      <c r="AZ272" s="109">
        <f t="shared" si="168"/>
        <v>45026.761258146216</v>
      </c>
      <c r="BA272" s="111">
        <f t="shared" si="169"/>
        <v>0</v>
      </c>
      <c r="BB272" s="117"/>
      <c r="BC272" s="115" t="str">
        <f t="shared" si="170"/>
        <v>N</v>
      </c>
      <c r="BD272" s="115" t="str">
        <f t="shared" si="171"/>
        <v>N</v>
      </c>
      <c r="BE272" s="115" t="str">
        <f t="shared" si="172"/>
        <v>N</v>
      </c>
      <c r="BF272" s="109" t="str">
        <f t="shared" si="173"/>
        <v/>
      </c>
      <c r="BG272" s="111" t="s">
        <v>2499</v>
      </c>
      <c r="BH272" s="115" t="s">
        <v>1168</v>
      </c>
      <c r="BI272" s="116"/>
      <c r="BJ272" s="222">
        <v>0.78027867566884235</v>
      </c>
      <c r="BK272" s="265">
        <f t="shared" si="174"/>
        <v>-0.17568567681882996</v>
      </c>
      <c r="BL272" s="265">
        <f t="shared" si="175"/>
        <v>0.17568567681882996</v>
      </c>
      <c r="BM272" s="265">
        <f t="shared" si="176"/>
        <v>0</v>
      </c>
      <c r="BN272" s="265">
        <f t="shared" si="177"/>
        <v>-806.49666380867166</v>
      </c>
      <c r="BO272" s="109"/>
      <c r="BP272" s="265">
        <f t="shared" si="178"/>
        <v>2.127084051608108E-3</v>
      </c>
      <c r="BQ272" s="265">
        <v>2.127084051608108E-3</v>
      </c>
      <c r="BR272" s="265" t="e">
        <f t="shared" si="179"/>
        <v>#REF!</v>
      </c>
      <c r="BS272" s="265">
        <v>2.396356647804627E-4</v>
      </c>
      <c r="BT272" s="475">
        <v>12679.238741853784</v>
      </c>
      <c r="BU272" s="475">
        <v>11412.3127612813</v>
      </c>
      <c r="BV272" s="475">
        <v>33614.448496864919</v>
      </c>
      <c r="BW272" s="483">
        <f t="shared" si="180"/>
        <v>5.9646371759299655E-2</v>
      </c>
      <c r="BX272" s="483">
        <f t="shared" si="181"/>
        <v>0.17568567681882996</v>
      </c>
    </row>
    <row r="273" spans="1:77" s="103" customFormat="1" ht="14.5">
      <c r="A273" s="100" t="s">
        <v>2259</v>
      </c>
      <c r="B273" s="91" t="str">
        <f t="shared" si="149"/>
        <v>STW</v>
      </c>
      <c r="C273" s="92" t="s">
        <v>466</v>
      </c>
      <c r="D273" s="448"/>
      <c r="E273" s="449" t="s">
        <v>2107</v>
      </c>
      <c r="F273" s="467" t="s">
        <v>4828</v>
      </c>
      <c r="G273" s="467" t="s">
        <v>4982</v>
      </c>
      <c r="H273" s="470">
        <v>0.32840000000000003</v>
      </c>
      <c r="I273" s="95" t="s">
        <v>962</v>
      </c>
      <c r="J273" s="95" t="s">
        <v>1166</v>
      </c>
      <c r="K273" s="469">
        <v>6386</v>
      </c>
      <c r="L273" s="471">
        <v>0.78027867566884246</v>
      </c>
      <c r="M273" s="584">
        <v>0.25345622119815669</v>
      </c>
      <c r="N273" s="267">
        <f t="shared" si="150"/>
        <v>0.74654377880184331</v>
      </c>
      <c r="O273" s="96">
        <f t="shared" si="151"/>
        <v>4749.6288998655091</v>
      </c>
      <c r="P273" s="96">
        <f t="shared" si="148"/>
        <v>414.74843551795868</v>
      </c>
      <c r="Q273" s="96">
        <f t="shared" si="152"/>
        <v>1221.6226646165328</v>
      </c>
      <c r="R273" s="187" t="s">
        <v>2314</v>
      </c>
      <c r="S273" s="187" t="s">
        <v>3607</v>
      </c>
      <c r="T273" s="94" t="s">
        <v>5395</v>
      </c>
      <c r="U273" s="395">
        <f>COUNTIF(Aggregation_of_rev_to_allocate!$A$3:$A$137,$T273)</f>
        <v>0</v>
      </c>
      <c r="V273" s="100"/>
      <c r="W273" s="100">
        <v>425</v>
      </c>
      <c r="X273" s="109">
        <v>385.41090068349365</v>
      </c>
      <c r="Y273" s="109">
        <v>1250.8335594909749</v>
      </c>
      <c r="Z273" s="110">
        <v>0.78027871252955106</v>
      </c>
      <c r="AA273" s="110">
        <v>0.23554603854389722</v>
      </c>
      <c r="AB273" s="110">
        <v>0.76445396145610278</v>
      </c>
      <c r="AC273" s="109">
        <f>IF(ISERROR((X273*SUMIF('Rev_for_allocation(Hard)'!$A$3:$A$249,$T273,'Rev_for_allocation(Hard)'!$I$3:$I$249)/SUMIF(Historic_capex_list!$T$9:$T$586,$T273,Historic_capex_list!$X$9:$X$586))=TRUE),0,X273*SUMIF('Rev_for_allocation(Hard)'!$A$3:$A$249,$T273,'Rev_for_allocation(Hard)'!$I$3:$I$249)/SUMIF(Historic_capex_list!$T$9:$T$586,$T273,Historic_capex_list!$X$9:$X$586))</f>
        <v>0</v>
      </c>
      <c r="AD273" s="109">
        <f t="shared" si="153"/>
        <v>385.41090068349365</v>
      </c>
      <c r="AE273" s="109">
        <f t="shared" si="154"/>
        <v>385.41090068349365</v>
      </c>
      <c r="AF273" s="109">
        <f t="shared" si="155"/>
        <v>1636.2444601744687</v>
      </c>
      <c r="AG273" s="332" t="str">
        <f t="shared" si="156"/>
        <v>N</v>
      </c>
      <c r="AH273" s="332">
        <f t="shared" si="182"/>
        <v>0</v>
      </c>
      <c r="AI273" s="332">
        <f t="shared" si="183"/>
        <v>0</v>
      </c>
      <c r="AJ273" s="109">
        <f t="shared" si="184"/>
        <v>1636.2444601744687</v>
      </c>
      <c r="AK273" s="109">
        <f t="shared" si="157"/>
        <v>0</v>
      </c>
      <c r="AL273" s="109">
        <v>0</v>
      </c>
      <c r="AM273" s="111">
        <f t="shared" si="158"/>
        <v>32.454545454545453</v>
      </c>
      <c r="AN273" s="111">
        <f t="shared" si="159"/>
        <v>29.454545454545453</v>
      </c>
      <c r="AO273" s="111" t="str">
        <f t="shared" si="160"/>
        <v>Use deduct 3yrs</v>
      </c>
      <c r="AP273" s="111">
        <f t="shared" si="161"/>
        <v>29.454545454545453</v>
      </c>
      <c r="AQ273" s="112">
        <f t="shared" si="162"/>
        <v>0.74654377880184331</v>
      </c>
      <c r="AR273" s="112">
        <f t="shared" si="163"/>
        <v>0.25345622119815669</v>
      </c>
      <c r="AS273" s="113">
        <f t="shared" si="164"/>
        <v>2057</v>
      </c>
      <c r="AT273" s="109">
        <v>1636.2443828775627</v>
      </c>
      <c r="AU273" s="114">
        <v>0.25345622119815669</v>
      </c>
      <c r="AV273" s="113">
        <v>2057</v>
      </c>
      <c r="AW273" s="112">
        <f t="shared" si="165"/>
        <v>0.78021825247179832</v>
      </c>
      <c r="AX273" s="109">
        <f t="shared" si="166"/>
        <v>414.71631824085694</v>
      </c>
      <c r="AY273" s="109">
        <f t="shared" si="167"/>
        <v>1221.5280646367057</v>
      </c>
      <c r="AZ273" s="109">
        <f t="shared" si="168"/>
        <v>1636.2443828775627</v>
      </c>
      <c r="BA273" s="111">
        <f t="shared" si="169"/>
        <v>0</v>
      </c>
      <c r="BB273" s="117"/>
      <c r="BC273" s="115" t="str">
        <f t="shared" si="170"/>
        <v>Y</v>
      </c>
      <c r="BD273" s="115" t="str">
        <f t="shared" si="171"/>
        <v>Y</v>
      </c>
      <c r="BE273" s="115" t="str">
        <f t="shared" si="172"/>
        <v>N</v>
      </c>
      <c r="BF273" s="109" t="str">
        <f t="shared" si="173"/>
        <v/>
      </c>
      <c r="BG273" s="111" t="s">
        <v>2499</v>
      </c>
      <c r="BH273" s="115" t="s">
        <v>1168</v>
      </c>
      <c r="BI273" s="116"/>
      <c r="BJ273" s="222">
        <v>0.78027867566884246</v>
      </c>
      <c r="BK273" s="265">
        <f t="shared" si="174"/>
        <v>-9.459997982708046E-2</v>
      </c>
      <c r="BL273" s="265">
        <f t="shared" si="175"/>
        <v>9.459997982708046E-2</v>
      </c>
      <c r="BM273" s="265">
        <f t="shared" si="176"/>
        <v>0</v>
      </c>
      <c r="BN273" s="265">
        <f t="shared" si="177"/>
        <v>-29.337534834465032</v>
      </c>
      <c r="BO273" s="109"/>
      <c r="BP273" s="265">
        <f t="shared" si="178"/>
        <v>7.7296906056290027E-5</v>
      </c>
      <c r="BQ273" s="265">
        <v>7.7296906056290027E-5</v>
      </c>
      <c r="BR273" s="265" t="e">
        <f t="shared" si="179"/>
        <v>#REF!</v>
      </c>
      <c r="BS273" s="265">
        <v>8.7082104039416267E-6</v>
      </c>
      <c r="BT273" s="475">
        <v>460.75561712243734</v>
      </c>
      <c r="BU273" s="475">
        <v>414.71631824085694</v>
      </c>
      <c r="BV273" s="475">
        <v>1221.5280646367057</v>
      </c>
      <c r="BW273" s="483">
        <f t="shared" si="180"/>
        <v>3.2117277101747277E-2</v>
      </c>
      <c r="BX273" s="483">
        <f t="shared" si="181"/>
        <v>9.459997982708046E-2</v>
      </c>
    </row>
    <row r="274" spans="1:77" s="103" customFormat="1" ht="14.5">
      <c r="A274" s="100" t="s">
        <v>2259</v>
      </c>
      <c r="B274" s="91" t="str">
        <f t="shared" si="149"/>
        <v>STW</v>
      </c>
      <c r="C274" s="92" t="s">
        <v>466</v>
      </c>
      <c r="D274" s="448"/>
      <c r="E274" s="449" t="s">
        <v>2069</v>
      </c>
      <c r="F274" s="467" t="s">
        <v>4829</v>
      </c>
      <c r="G274" s="467" t="s">
        <v>4983</v>
      </c>
      <c r="H274" s="470">
        <v>0.46689999999999998</v>
      </c>
      <c r="I274" s="95" t="s">
        <v>962</v>
      </c>
      <c r="J274" s="95" t="s">
        <v>1166</v>
      </c>
      <c r="K274" s="469">
        <v>430997</v>
      </c>
      <c r="L274" s="471">
        <v>0.81818379323918689</v>
      </c>
      <c r="M274" s="584">
        <v>0.1177730192719485</v>
      </c>
      <c r="N274" s="267">
        <f t="shared" si="150"/>
        <v>0.8822269807280515</v>
      </c>
      <c r="O274" s="96">
        <f t="shared" si="151"/>
        <v>266351.83039972396</v>
      </c>
      <c r="P274" s="96">
        <f t="shared" si="148"/>
        <v>19390.758732366536</v>
      </c>
      <c r="Q274" s="96">
        <f t="shared" si="152"/>
        <v>145254.41086790949</v>
      </c>
      <c r="R274" s="187" t="s">
        <v>2563</v>
      </c>
      <c r="S274" s="187" t="s">
        <v>3607</v>
      </c>
      <c r="T274" s="94" t="s">
        <v>5394</v>
      </c>
      <c r="U274" s="395">
        <f>COUNTIF(Aggregation_of_rev_to_allocate!$A$3:$A$137,$T274)</f>
        <v>0</v>
      </c>
      <c r="V274" s="100"/>
      <c r="W274" s="100">
        <v>339</v>
      </c>
      <c r="X274" s="109">
        <v>19054.62685629652</v>
      </c>
      <c r="Y274" s="109">
        <v>148452.86559860117</v>
      </c>
      <c r="Z274" s="110">
        <v>0.83244704857246787</v>
      </c>
      <c r="AA274" s="110">
        <v>0.11375387797311265</v>
      </c>
      <c r="AB274" s="110">
        <v>0.88624612202688735</v>
      </c>
      <c r="AC274" s="109">
        <f>IF(ISERROR((X274*SUMIF('Rev_for_allocation(Hard)'!$A$3:$A$249,$T274,'Rev_for_allocation(Hard)'!$I$3:$I$249)/SUMIF(Historic_capex_list!$T$9:$T$586,$T274,Historic_capex_list!$X$9:$X$586))=TRUE),0,X274*SUMIF('Rev_for_allocation(Hard)'!$A$3:$A$249,$T274,'Rev_for_allocation(Hard)'!$I$3:$I$249)/SUMIF(Historic_capex_list!$T$9:$T$586,$T274,Historic_capex_list!$X$9:$X$586))</f>
        <v>0</v>
      </c>
      <c r="AD274" s="109">
        <f t="shared" si="153"/>
        <v>19054.62685629652</v>
      </c>
      <c r="AE274" s="109">
        <f t="shared" si="154"/>
        <v>19054.62685629652</v>
      </c>
      <c r="AF274" s="109">
        <f t="shared" si="155"/>
        <v>167507.4924548977</v>
      </c>
      <c r="AG274" s="332" t="str">
        <f t="shared" si="156"/>
        <v>N</v>
      </c>
      <c r="AH274" s="332">
        <f t="shared" si="182"/>
        <v>0</v>
      </c>
      <c r="AI274" s="332">
        <f t="shared" si="183"/>
        <v>0</v>
      </c>
      <c r="AJ274" s="109">
        <f t="shared" si="184"/>
        <v>167507.4924548977</v>
      </c>
      <c r="AK274" s="109">
        <f t="shared" si="157"/>
        <v>0</v>
      </c>
      <c r="AL274" s="109">
        <v>0</v>
      </c>
      <c r="AM274" s="111">
        <f t="shared" si="158"/>
        <v>77.909090909090963</v>
      </c>
      <c r="AN274" s="111">
        <f t="shared" si="159"/>
        <v>74.909090909090963</v>
      </c>
      <c r="AO274" s="111" t="str">
        <f t="shared" si="160"/>
        <v>Use deduct 3yrs</v>
      </c>
      <c r="AP274" s="111">
        <f t="shared" si="161"/>
        <v>74.909090909090963</v>
      </c>
      <c r="AQ274" s="112">
        <f t="shared" si="162"/>
        <v>0.8822269807280515</v>
      </c>
      <c r="AR274" s="112">
        <f t="shared" si="163"/>
        <v>0.1177730192719485</v>
      </c>
      <c r="AS274" s="113">
        <f t="shared" si="164"/>
        <v>2103</v>
      </c>
      <c r="AT274" s="109">
        <v>164637.39742696891</v>
      </c>
      <c r="AU274" s="114">
        <v>0.1177730192719485</v>
      </c>
      <c r="AV274" s="113">
        <v>2103</v>
      </c>
      <c r="AW274" s="112">
        <f t="shared" si="165"/>
        <v>0.81814517038584988</v>
      </c>
      <c r="AX274" s="109">
        <f t="shared" si="166"/>
        <v>19389.843380049857</v>
      </c>
      <c r="AY274" s="109">
        <f t="shared" si="167"/>
        <v>145247.55404691907</v>
      </c>
      <c r="AZ274" s="109">
        <f t="shared" si="168"/>
        <v>164637.39742696894</v>
      </c>
      <c r="BA274" s="111">
        <f t="shared" si="169"/>
        <v>0</v>
      </c>
      <c r="BB274" s="117"/>
      <c r="BC274" s="115" t="str">
        <f t="shared" si="170"/>
        <v>N</v>
      </c>
      <c r="BD274" s="115" t="str">
        <f t="shared" si="171"/>
        <v>N</v>
      </c>
      <c r="BE274" s="115" t="str">
        <f t="shared" si="172"/>
        <v>N</v>
      </c>
      <c r="BF274" s="109" t="str">
        <f t="shared" si="173"/>
        <v/>
      </c>
      <c r="BG274" s="111" t="s">
        <v>2499</v>
      </c>
      <c r="BH274" s="115" t="s">
        <v>1168</v>
      </c>
      <c r="BI274" s="116"/>
      <c r="BJ274" s="222">
        <v>0.81818379323918689</v>
      </c>
      <c r="BK274" s="265">
        <f t="shared" si="174"/>
        <v>-6.8568209904187825</v>
      </c>
      <c r="BL274" s="265">
        <f t="shared" si="175"/>
        <v>6.8568209904187825</v>
      </c>
      <c r="BM274" s="265">
        <f t="shared" si="176"/>
        <v>0</v>
      </c>
      <c r="BN274" s="265">
        <f t="shared" si="177"/>
        <v>-336.13187607001601</v>
      </c>
      <c r="BO274" s="109"/>
      <c r="BP274" s="265">
        <f t="shared" si="178"/>
        <v>2870.0950279287936</v>
      </c>
      <c r="BQ274" s="265">
        <v>2870.0950279287936</v>
      </c>
      <c r="BR274" s="265" t="e">
        <f t="shared" si="179"/>
        <v>#REF!</v>
      </c>
      <c r="BS274" s="265">
        <v>323.34271392841629</v>
      </c>
      <c r="BT274" s="475">
        <v>36585.602573031094</v>
      </c>
      <c r="BU274" s="475">
        <v>19389.843380049853</v>
      </c>
      <c r="BV274" s="475">
        <v>145247.55404691905</v>
      </c>
      <c r="BW274" s="483">
        <f t="shared" si="180"/>
        <v>0.91535231668240158</v>
      </c>
      <c r="BX274" s="483">
        <f t="shared" si="181"/>
        <v>6.8568209904478863</v>
      </c>
    </row>
    <row r="275" spans="1:77" s="103" customFormat="1" ht="14.5">
      <c r="A275" s="100" t="s">
        <v>2259</v>
      </c>
      <c r="B275" s="91" t="str">
        <f t="shared" si="149"/>
        <v>STW</v>
      </c>
      <c r="C275" s="92" t="s">
        <v>466</v>
      </c>
      <c r="D275" s="448"/>
      <c r="E275" s="449" t="s">
        <v>2097</v>
      </c>
      <c r="F275" s="467" t="s">
        <v>4834</v>
      </c>
      <c r="G275" s="467" t="s">
        <v>4984</v>
      </c>
      <c r="H275" s="470">
        <v>0.35349999999999998</v>
      </c>
      <c r="I275" s="95" t="s">
        <v>962</v>
      </c>
      <c r="J275" s="95" t="s">
        <v>1166</v>
      </c>
      <c r="K275" s="469">
        <v>163170</v>
      </c>
      <c r="L275" s="471">
        <v>0.78027867566884235</v>
      </c>
      <c r="M275" s="584">
        <v>0.25345622119815669</v>
      </c>
      <c r="N275" s="267">
        <f t="shared" si="150"/>
        <v>0.74654377880184331</v>
      </c>
      <c r="O275" s="96">
        <f t="shared" si="151"/>
        <v>118163.06172160916</v>
      </c>
      <c r="P275" s="96">
        <f t="shared" ref="P275:P334" si="185">(+K275*L275*M275*H275)</f>
        <v>11407.288503739617</v>
      </c>
      <c r="Q275" s="96">
        <f t="shared" si="152"/>
        <v>33599.649774651232</v>
      </c>
      <c r="R275" s="187" t="s">
        <v>2314</v>
      </c>
      <c r="S275" s="187" t="s">
        <v>3607</v>
      </c>
      <c r="T275" s="94" t="s">
        <v>5395</v>
      </c>
      <c r="U275" s="395">
        <f>COUNTIF(Aggregation_of_rev_to_allocate!$A$3:$A$137,$T275)</f>
        <v>0</v>
      </c>
      <c r="V275" s="100"/>
      <c r="W275" s="100">
        <v>426</v>
      </c>
      <c r="X275" s="109">
        <v>10602.016121090763</v>
      </c>
      <c r="Y275" s="109">
        <v>34408.361411176389</v>
      </c>
      <c r="Z275" s="110">
        <v>0.78027871252955106</v>
      </c>
      <c r="AA275" s="110">
        <v>0.23554603854389722</v>
      </c>
      <c r="AB275" s="110">
        <v>0.76445396145610278</v>
      </c>
      <c r="AC275" s="109">
        <f>IF(ISERROR((X275*SUMIF('Rev_for_allocation(Hard)'!$A$3:$A$249,$T275,'Rev_for_allocation(Hard)'!$I$3:$I$249)/SUMIF(Historic_capex_list!$T$9:$T$586,$T275,Historic_capex_list!$X$9:$X$586))=TRUE),0,X275*SUMIF('Rev_for_allocation(Hard)'!$A$3:$A$249,$T275,'Rev_for_allocation(Hard)'!$I$3:$I$249)/SUMIF(Historic_capex_list!$T$9:$T$586,$T275,Historic_capex_list!$X$9:$X$586))</f>
        <v>0</v>
      </c>
      <c r="AD275" s="109">
        <f t="shared" si="153"/>
        <v>10602.016121090763</v>
      </c>
      <c r="AE275" s="109">
        <f t="shared" si="154"/>
        <v>10602.016121090763</v>
      </c>
      <c r="AF275" s="109">
        <f t="shared" si="155"/>
        <v>45010.37753226715</v>
      </c>
      <c r="AG275" s="332" t="str">
        <f t="shared" si="156"/>
        <v>N</v>
      </c>
      <c r="AH275" s="332">
        <f t="shared" si="182"/>
        <v>0</v>
      </c>
      <c r="AI275" s="332">
        <f t="shared" si="183"/>
        <v>0</v>
      </c>
      <c r="AJ275" s="109">
        <f t="shared" si="184"/>
        <v>45010.37753226715</v>
      </c>
      <c r="AK275" s="109">
        <f t="shared" si="157"/>
        <v>0</v>
      </c>
      <c r="AL275" s="109">
        <v>0</v>
      </c>
      <c r="AM275" s="111">
        <f t="shared" si="158"/>
        <v>32.454545454545453</v>
      </c>
      <c r="AN275" s="111">
        <f t="shared" si="159"/>
        <v>29.454545454545453</v>
      </c>
      <c r="AO275" s="111" t="str">
        <f t="shared" si="160"/>
        <v>Use deduct 3yrs</v>
      </c>
      <c r="AP275" s="111">
        <f t="shared" si="161"/>
        <v>29.454545454545453</v>
      </c>
      <c r="AQ275" s="112">
        <f t="shared" si="162"/>
        <v>0.74654377880184331</v>
      </c>
      <c r="AR275" s="112">
        <f t="shared" si="163"/>
        <v>0.25345622119815669</v>
      </c>
      <c r="AS275" s="113">
        <f t="shared" si="164"/>
        <v>2057</v>
      </c>
      <c r="AT275" s="109">
        <v>45010.375405957173</v>
      </c>
      <c r="AU275" s="114">
        <v>0.25345622119815669</v>
      </c>
      <c r="AV275" s="113">
        <v>2057</v>
      </c>
      <c r="AW275" s="112">
        <f t="shared" si="165"/>
        <v>0.78033826464441247</v>
      </c>
      <c r="AX275" s="109">
        <f t="shared" si="166"/>
        <v>11408.159665104353</v>
      </c>
      <c r="AY275" s="109">
        <f t="shared" si="167"/>
        <v>33602.215740852815</v>
      </c>
      <c r="AZ275" s="109">
        <f t="shared" si="168"/>
        <v>45010.375405957166</v>
      </c>
      <c r="BA275" s="111">
        <f t="shared" si="169"/>
        <v>0</v>
      </c>
      <c r="BB275" s="117"/>
      <c r="BC275" s="115" t="str">
        <f t="shared" si="170"/>
        <v>N</v>
      </c>
      <c r="BD275" s="115" t="str">
        <f t="shared" si="171"/>
        <v>N</v>
      </c>
      <c r="BE275" s="115" t="str">
        <f t="shared" si="172"/>
        <v>N</v>
      </c>
      <c r="BF275" s="109" t="str">
        <f t="shared" si="173"/>
        <v/>
      </c>
      <c r="BG275" s="111" t="s">
        <v>2499</v>
      </c>
      <c r="BH275" s="115" t="s">
        <v>1168</v>
      </c>
      <c r="BI275" s="116"/>
      <c r="BJ275" s="222">
        <v>0.78027867566884235</v>
      </c>
      <c r="BK275" s="265">
        <f t="shared" si="174"/>
        <v>2.5659662015823415</v>
      </c>
      <c r="BL275" s="265">
        <f t="shared" si="175"/>
        <v>-2.5659662015823415</v>
      </c>
      <c r="BM275" s="265">
        <f t="shared" si="176"/>
        <v>0</v>
      </c>
      <c r="BN275" s="265">
        <f t="shared" si="177"/>
        <v>-805.27238264885455</v>
      </c>
      <c r="BO275" s="109"/>
      <c r="BP275" s="265">
        <f t="shared" si="178"/>
        <v>2.1263099770294502E-3</v>
      </c>
      <c r="BQ275" s="265">
        <v>2.1263099770294502E-3</v>
      </c>
      <c r="BR275" s="265" t="e">
        <f t="shared" si="179"/>
        <v>#REF!</v>
      </c>
      <c r="BS275" s="265">
        <v>2.39548458129599E-4</v>
      </c>
      <c r="BT275" s="475">
        <v>12674.624594042829</v>
      </c>
      <c r="BU275" s="475">
        <v>11408.159665104353</v>
      </c>
      <c r="BV275" s="475">
        <v>33602.215740852822</v>
      </c>
      <c r="BW275" s="483">
        <f t="shared" si="180"/>
        <v>-0.87116136473559891</v>
      </c>
      <c r="BX275" s="483">
        <f t="shared" si="181"/>
        <v>-2.5659662015896174</v>
      </c>
    </row>
    <row r="276" spans="1:77" s="103" customFormat="1" ht="14.5">
      <c r="A276" s="100" t="s">
        <v>2259</v>
      </c>
      <c r="B276" s="91" t="str">
        <f t="shared" si="149"/>
        <v>STW</v>
      </c>
      <c r="C276" s="92" t="s">
        <v>466</v>
      </c>
      <c r="D276" s="448"/>
      <c r="E276" s="449" t="s">
        <v>2136</v>
      </c>
      <c r="F276" s="467" t="s">
        <v>4836</v>
      </c>
      <c r="G276" s="384" t="s">
        <v>4686</v>
      </c>
      <c r="H276" s="470">
        <v>0.33329999999999999</v>
      </c>
      <c r="I276" s="95" t="s">
        <v>962</v>
      </c>
      <c r="J276" s="95" t="s">
        <v>1166</v>
      </c>
      <c r="K276" s="469">
        <v>158500</v>
      </c>
      <c r="L276" s="471">
        <v>0.811489822695596</v>
      </c>
      <c r="M276" s="584">
        <v>0.25345622119815669</v>
      </c>
      <c r="N276" s="267">
        <f t="shared" si="150"/>
        <v>0.74654377880184331</v>
      </c>
      <c r="O276" s="96">
        <f t="shared" si="151"/>
        <v>115630.57507214593</v>
      </c>
      <c r="P276" s="96">
        <f t="shared" si="185"/>
        <v>10865.522447151956</v>
      </c>
      <c r="Q276" s="96">
        <f t="shared" si="152"/>
        <v>32003.902480702123</v>
      </c>
      <c r="R276" s="187" t="s">
        <v>2314</v>
      </c>
      <c r="S276" s="187" t="s">
        <v>3607</v>
      </c>
      <c r="T276" s="94" t="s">
        <v>5395</v>
      </c>
      <c r="U276" s="395">
        <f>COUNTIF(Aggregation_of_rev_to_allocate!$A$3:$A$137,$T276)</f>
        <v>0</v>
      </c>
      <c r="V276" s="100"/>
      <c r="W276" s="100">
        <v>428</v>
      </c>
      <c r="X276" s="109">
        <v>10098.669852381239</v>
      </c>
      <c r="Y276" s="109">
        <v>32774.773975455479</v>
      </c>
      <c r="Z276" s="110">
        <v>0.81148986103073295</v>
      </c>
      <c r="AA276" s="110">
        <v>0.23554603854389722</v>
      </c>
      <c r="AB276" s="110">
        <v>0.76445396145610278</v>
      </c>
      <c r="AC276" s="109">
        <f>IF(ISERROR((X276*SUMIF('Rev_for_allocation(Hard)'!$A$3:$A$249,$T276,'Rev_for_allocation(Hard)'!$I$3:$I$249)/SUMIF(Historic_capex_list!$T$9:$T$586,$T276,Historic_capex_list!$X$9:$X$586))=TRUE),0,X276*SUMIF('Rev_for_allocation(Hard)'!$A$3:$A$249,$T276,'Rev_for_allocation(Hard)'!$I$3:$I$249)/SUMIF(Historic_capex_list!$T$9:$T$586,$T276,Historic_capex_list!$X$9:$X$586))</f>
        <v>0</v>
      </c>
      <c r="AD276" s="109">
        <f t="shared" si="153"/>
        <v>10098.669852381239</v>
      </c>
      <c r="AE276" s="109">
        <f t="shared" si="154"/>
        <v>10098.669852381239</v>
      </c>
      <c r="AF276" s="109">
        <f t="shared" si="155"/>
        <v>42873.443827836716</v>
      </c>
      <c r="AG276" s="332" t="str">
        <f t="shared" si="156"/>
        <v>N</v>
      </c>
      <c r="AH276" s="332">
        <f t="shared" si="182"/>
        <v>0</v>
      </c>
      <c r="AI276" s="332">
        <f t="shared" si="183"/>
        <v>0</v>
      </c>
      <c r="AJ276" s="109">
        <f t="shared" si="184"/>
        <v>42873.443827836716</v>
      </c>
      <c r="AK276" s="109">
        <f t="shared" si="157"/>
        <v>0</v>
      </c>
      <c r="AL276" s="109">
        <v>0</v>
      </c>
      <c r="AM276" s="111">
        <f t="shared" si="158"/>
        <v>32.454545454545453</v>
      </c>
      <c r="AN276" s="111">
        <f t="shared" si="159"/>
        <v>29.454545454545453</v>
      </c>
      <c r="AO276" s="111" t="str">
        <f t="shared" si="160"/>
        <v>Use deduct 3yrs</v>
      </c>
      <c r="AP276" s="111">
        <f t="shared" si="161"/>
        <v>29.454545454545453</v>
      </c>
      <c r="AQ276" s="112">
        <f t="shared" si="162"/>
        <v>0.74654377880184331</v>
      </c>
      <c r="AR276" s="112">
        <f t="shared" si="163"/>
        <v>0.25345622119815669</v>
      </c>
      <c r="AS276" s="113">
        <f t="shared" si="164"/>
        <v>2057</v>
      </c>
      <c r="AT276" s="109">
        <v>42873.441802476424</v>
      </c>
      <c r="AU276" s="114">
        <v>0.25345622119815669</v>
      </c>
      <c r="AV276" s="113">
        <v>2057</v>
      </c>
      <c r="AW276" s="112">
        <f t="shared" si="165"/>
        <v>0.81156585947193638</v>
      </c>
      <c r="AX276" s="109">
        <f t="shared" si="166"/>
        <v>10866.540549014764</v>
      </c>
      <c r="AY276" s="109">
        <f t="shared" si="167"/>
        <v>32006.901253461663</v>
      </c>
      <c r="AZ276" s="109">
        <f t="shared" si="168"/>
        <v>42873.441802476431</v>
      </c>
      <c r="BA276" s="111">
        <f t="shared" si="169"/>
        <v>0</v>
      </c>
      <c r="BB276" s="117"/>
      <c r="BC276" s="115" t="str">
        <f t="shared" si="170"/>
        <v>N</v>
      </c>
      <c r="BD276" s="115" t="str">
        <f t="shared" si="171"/>
        <v>N</v>
      </c>
      <c r="BE276" s="115" t="str">
        <f t="shared" si="172"/>
        <v>N</v>
      </c>
      <c r="BF276" s="109" t="str">
        <f t="shared" si="173"/>
        <v/>
      </c>
      <c r="BG276" s="111" t="s">
        <v>2499</v>
      </c>
      <c r="BH276" s="115" t="s">
        <v>1168</v>
      </c>
      <c r="BI276" s="116"/>
      <c r="BJ276" s="222">
        <v>0.811489822695596</v>
      </c>
      <c r="BK276" s="265">
        <f t="shared" si="174"/>
        <v>2.998772759539861</v>
      </c>
      <c r="BL276" s="265">
        <f t="shared" si="175"/>
        <v>-2.998772759539861</v>
      </c>
      <c r="BM276" s="265">
        <f t="shared" si="176"/>
        <v>0</v>
      </c>
      <c r="BN276" s="265">
        <f t="shared" si="177"/>
        <v>-766.85259477071668</v>
      </c>
      <c r="BO276" s="109"/>
      <c r="BP276" s="265">
        <f t="shared" si="178"/>
        <v>2.025360292464029E-3</v>
      </c>
      <c r="BQ276" s="265">
        <v>2.025360292464029E-3</v>
      </c>
      <c r="BR276" s="265" t="e">
        <f t="shared" si="179"/>
        <v>#REF!</v>
      </c>
      <c r="BS276" s="265">
        <v>2.2817554376266375E-4</v>
      </c>
      <c r="BT276" s="475">
        <v>9959.5581975235764</v>
      </c>
      <c r="BU276" s="475">
        <v>10866.540549014762</v>
      </c>
      <c r="BV276" s="475">
        <v>32006.90125346166</v>
      </c>
      <c r="BW276" s="483">
        <f t="shared" si="180"/>
        <v>-1.0181018628063612</v>
      </c>
      <c r="BX276" s="483">
        <f t="shared" si="181"/>
        <v>-2.998772759536223</v>
      </c>
    </row>
    <row r="277" spans="1:77" s="103" customFormat="1" ht="29">
      <c r="A277" s="100" t="s">
        <v>2259</v>
      </c>
      <c r="B277" s="91" t="str">
        <f t="shared" si="149"/>
        <v>STW</v>
      </c>
      <c r="C277" s="92" t="s">
        <v>466</v>
      </c>
      <c r="D277" s="448"/>
      <c r="E277" s="449" t="s">
        <v>2076</v>
      </c>
      <c r="F277" s="467" t="s">
        <v>4840</v>
      </c>
      <c r="G277" s="467" t="s">
        <v>4985</v>
      </c>
      <c r="H277" s="470">
        <v>0.29389999999999999</v>
      </c>
      <c r="I277" s="95" t="s">
        <v>962</v>
      </c>
      <c r="J277" s="95" t="s">
        <v>1166</v>
      </c>
      <c r="K277" s="469">
        <v>1166567</v>
      </c>
      <c r="L277" s="471">
        <v>1.0282342107117945</v>
      </c>
      <c r="M277" s="584">
        <v>0.25345622119815669</v>
      </c>
      <c r="N277" s="267">
        <f t="shared" si="150"/>
        <v>0.74654377880184331</v>
      </c>
      <c r="O277" s="96">
        <f t="shared" si="151"/>
        <v>814032.74545454548</v>
      </c>
      <c r="P277" s="96">
        <f t="shared" si="185"/>
        <v>89351.999999999985</v>
      </c>
      <c r="Q277" s="96">
        <f t="shared" si="152"/>
        <v>263182.25454545452</v>
      </c>
      <c r="R277" s="187" t="s">
        <v>2314</v>
      </c>
      <c r="S277" s="187" t="s">
        <v>3607</v>
      </c>
      <c r="T277" s="94" t="s">
        <v>5395</v>
      </c>
      <c r="U277" s="395">
        <f>COUNTIF(Aggregation_of_rev_to_allocate!$A$3:$A$137,$T277)</f>
        <v>0</v>
      </c>
      <c r="V277" s="100"/>
      <c r="W277" s="100">
        <v>429</v>
      </c>
      <c r="X277" s="109">
        <v>83037.945628662783</v>
      </c>
      <c r="Y277" s="109">
        <v>269495.87808575103</v>
      </c>
      <c r="Z277" s="110">
        <v>0.78027871252955106</v>
      </c>
      <c r="AA277" s="110">
        <v>0.23554603854389722</v>
      </c>
      <c r="AB277" s="110">
        <v>0.76445396145610278</v>
      </c>
      <c r="AC277" s="109">
        <f>IF(ISERROR((X277*SUMIF('Rev_for_allocation(Hard)'!$A$3:$A$249,$T277,'Rev_for_allocation(Hard)'!$I$3:$I$249)/SUMIF(Historic_capex_list!$T$9:$T$586,$T277,Historic_capex_list!$X$9:$X$586))=TRUE),0,X277*SUMIF('Rev_for_allocation(Hard)'!$A$3:$A$249,$T277,'Rev_for_allocation(Hard)'!$I$3:$I$249)/SUMIF(Historic_capex_list!$T$9:$T$586,$T277,Historic_capex_list!$X$9:$X$586))</f>
        <v>0</v>
      </c>
      <c r="AD277" s="109">
        <f t="shared" si="153"/>
        <v>83037.945628662783</v>
      </c>
      <c r="AE277" s="109">
        <f t="shared" si="154"/>
        <v>83037.945628662783</v>
      </c>
      <c r="AF277" s="109">
        <f t="shared" si="155"/>
        <v>352533.8237144138</v>
      </c>
      <c r="AG277" s="332" t="str">
        <f t="shared" si="156"/>
        <v>N</v>
      </c>
      <c r="AH277" s="332">
        <f t="shared" si="182"/>
        <v>0</v>
      </c>
      <c r="AI277" s="332">
        <f t="shared" si="183"/>
        <v>0</v>
      </c>
      <c r="AJ277" s="109">
        <f t="shared" si="184"/>
        <v>352533.8237144138</v>
      </c>
      <c r="AK277" s="109">
        <f t="shared" si="157"/>
        <v>0</v>
      </c>
      <c r="AL277" s="109">
        <v>0</v>
      </c>
      <c r="AM277" s="111">
        <f t="shared" si="158"/>
        <v>32.454545454545453</v>
      </c>
      <c r="AN277" s="111">
        <f t="shared" si="159"/>
        <v>29.454545454545453</v>
      </c>
      <c r="AO277" s="111" t="str">
        <f t="shared" si="160"/>
        <v>Use deduct 3yrs</v>
      </c>
      <c r="AP277" s="111">
        <f t="shared" si="161"/>
        <v>29.454545454545453</v>
      </c>
      <c r="AQ277" s="112">
        <f t="shared" si="162"/>
        <v>0.74654377880184331</v>
      </c>
      <c r="AR277" s="112">
        <f t="shared" si="163"/>
        <v>0.25345622119815669</v>
      </c>
      <c r="AS277" s="113">
        <f t="shared" si="164"/>
        <v>2057</v>
      </c>
      <c r="AT277" s="109">
        <v>352533.80706056138</v>
      </c>
      <c r="AU277" s="114">
        <v>0.25345622119815669</v>
      </c>
      <c r="AV277" s="113">
        <v>2057</v>
      </c>
      <c r="AW277" s="112">
        <f t="shared" si="165"/>
        <v>1.028232905535716</v>
      </c>
      <c r="AX277" s="109">
        <f t="shared" si="166"/>
        <v>89351.886582169915</v>
      </c>
      <c r="AY277" s="109">
        <f t="shared" si="167"/>
        <v>263181.9204783914</v>
      </c>
      <c r="AZ277" s="109">
        <f t="shared" si="168"/>
        <v>352533.80706056132</v>
      </c>
      <c r="BA277" s="111">
        <f t="shared" si="169"/>
        <v>0</v>
      </c>
      <c r="BB277" s="117"/>
      <c r="BC277" s="115" t="str">
        <f t="shared" si="170"/>
        <v>N</v>
      </c>
      <c r="BD277" s="115" t="str">
        <f t="shared" si="171"/>
        <v>N</v>
      </c>
      <c r="BE277" s="115" t="str">
        <f t="shared" si="172"/>
        <v>N</v>
      </c>
      <c r="BF277" s="109" t="str">
        <f t="shared" si="173"/>
        <v/>
      </c>
      <c r="BG277" s="111" t="s">
        <v>2499</v>
      </c>
      <c r="BH277" s="115" t="s">
        <v>1168</v>
      </c>
      <c r="BI277" s="116"/>
      <c r="BJ277" s="222">
        <v>0.78027867566884246</v>
      </c>
      <c r="BK277" s="265">
        <f t="shared" si="174"/>
        <v>-0.33406706311507151</v>
      </c>
      <c r="BL277" s="265">
        <f t="shared" si="175"/>
        <v>0.33406706311507151</v>
      </c>
      <c r="BM277" s="265">
        <f t="shared" si="176"/>
        <v>0</v>
      </c>
      <c r="BN277" s="265">
        <f t="shared" si="177"/>
        <v>-6314.0543713372026</v>
      </c>
      <c r="BO277" s="109"/>
      <c r="BP277" s="265">
        <f t="shared" si="178"/>
        <v>1.6653852420859039E-2</v>
      </c>
      <c r="BQ277" s="265">
        <v>1.6653852420859039E-2</v>
      </c>
      <c r="BR277" s="265" t="e">
        <f t="shared" si="179"/>
        <v>#REF!</v>
      </c>
      <c r="BS277" s="265">
        <v>1.8762102950332991E-3</v>
      </c>
      <c r="BT277" s="475">
        <v>99271.192939438639</v>
      </c>
      <c r="BU277" s="475">
        <v>89351.886582169944</v>
      </c>
      <c r="BV277" s="475">
        <v>263181.92047839146</v>
      </c>
      <c r="BW277" s="483">
        <f t="shared" si="180"/>
        <v>0.11341783004172612</v>
      </c>
      <c r="BX277" s="483">
        <f t="shared" si="181"/>
        <v>0.33406706305686384</v>
      </c>
    </row>
    <row r="278" spans="1:77" s="511" customFormat="1" ht="14.5">
      <c r="A278" s="100" t="s">
        <v>2259</v>
      </c>
      <c r="B278" s="91" t="str">
        <f t="shared" si="149"/>
        <v>STW</v>
      </c>
      <c r="C278" s="92" t="s">
        <v>466</v>
      </c>
      <c r="D278" s="448"/>
      <c r="E278" s="492" t="s">
        <v>2108</v>
      </c>
      <c r="F278" s="620" t="s">
        <v>4841</v>
      </c>
      <c r="G278" s="620" t="s">
        <v>4688</v>
      </c>
      <c r="H278" s="486">
        <v>1</v>
      </c>
      <c r="I278" s="487" t="s">
        <v>962</v>
      </c>
      <c r="J278" s="487" t="s">
        <v>1166</v>
      </c>
      <c r="K278" s="488">
        <v>14510</v>
      </c>
      <c r="L278" s="489">
        <v>0.75259518738690034</v>
      </c>
      <c r="M278" s="584">
        <v>0.25345622119815669</v>
      </c>
      <c r="N278" s="490">
        <f t="shared" si="150"/>
        <v>0.74654377880184331</v>
      </c>
      <c r="O278" s="491">
        <f t="shared" si="151"/>
        <v>3589.8438310160759</v>
      </c>
      <c r="P278" s="491">
        <f t="shared" si="185"/>
        <v>2767.781517484405</v>
      </c>
      <c r="Q278" s="491">
        <f t="shared" si="152"/>
        <v>8152.3746514995191</v>
      </c>
      <c r="R278" s="187" t="s">
        <v>2563</v>
      </c>
      <c r="S278" s="187" t="s">
        <v>3607</v>
      </c>
      <c r="T278" s="493" t="s">
        <v>5394</v>
      </c>
      <c r="U278" s="395">
        <f>COUNTIF(Aggregation_of_rev_to_allocate!$A$3:$A$137,$T278)</f>
        <v>0</v>
      </c>
      <c r="V278" s="100"/>
      <c r="W278" s="100">
        <v>340</v>
      </c>
      <c r="X278" s="109">
        <v>2666.8155311957526</v>
      </c>
      <c r="Y278" s="109">
        <v>8655.0285876080325</v>
      </c>
      <c r="Z278" s="110">
        <v>0.78027871252955106</v>
      </c>
      <c r="AA278" s="110">
        <v>0.23554603854389722</v>
      </c>
      <c r="AB278" s="110">
        <v>0.76445396145610278</v>
      </c>
      <c r="AC278" s="109">
        <f>IF(ISERROR((X278*SUMIF('Rev_for_allocation(Hard)'!$A$3:$A$249,$T278,'Rev_for_allocation(Hard)'!$I$3:$I$249)/SUMIF(Historic_capex_list!$T$9:$T$586,$T278,Historic_capex_list!$X$9:$X$586))=TRUE),0,X278*SUMIF('Rev_for_allocation(Hard)'!$A$3:$A$249,$T278,'Rev_for_allocation(Hard)'!$I$3:$I$249)/SUMIF(Historic_capex_list!$T$9:$T$586,$T278,Historic_capex_list!$X$9:$X$586))</f>
        <v>0</v>
      </c>
      <c r="AD278" s="109">
        <f t="shared" si="153"/>
        <v>2666.8155311957526</v>
      </c>
      <c r="AE278" s="109">
        <f t="shared" si="154"/>
        <v>2666.8155311957526</v>
      </c>
      <c r="AF278" s="109">
        <f t="shared" si="155"/>
        <v>11321.844118803785</v>
      </c>
      <c r="AG278" s="332" t="str">
        <f t="shared" si="156"/>
        <v>N</v>
      </c>
      <c r="AH278" s="332">
        <f t="shared" si="182"/>
        <v>0</v>
      </c>
      <c r="AI278" s="332">
        <f t="shared" si="183"/>
        <v>0</v>
      </c>
      <c r="AJ278" s="109">
        <f t="shared" si="184"/>
        <v>11321.844118803785</v>
      </c>
      <c r="AK278" s="109">
        <f t="shared" si="157"/>
        <v>0</v>
      </c>
      <c r="AL278" s="109">
        <v>0</v>
      </c>
      <c r="AM278" s="111">
        <f t="shared" si="158"/>
        <v>32.454545454545453</v>
      </c>
      <c r="AN278" s="111">
        <f t="shared" si="159"/>
        <v>29.454545454545453</v>
      </c>
      <c r="AO278" s="111" t="str">
        <f t="shared" si="160"/>
        <v>Use deduct 3yrs</v>
      </c>
      <c r="AP278" s="111">
        <f t="shared" si="161"/>
        <v>29.454545454545453</v>
      </c>
      <c r="AQ278" s="112">
        <f t="shared" si="162"/>
        <v>0.74654377880184331</v>
      </c>
      <c r="AR278" s="112">
        <f t="shared" si="163"/>
        <v>0.25345622119815669</v>
      </c>
      <c r="AS278" s="113">
        <f t="shared" si="164"/>
        <v>2057</v>
      </c>
      <c r="AT278" s="109">
        <v>10920.156168983924</v>
      </c>
      <c r="AU278" s="114">
        <v>0.25345622119815669</v>
      </c>
      <c r="AV278" s="113">
        <v>2057</v>
      </c>
      <c r="AW278" s="112">
        <f t="shared" si="165"/>
        <v>0.75259518738690034</v>
      </c>
      <c r="AX278" s="109">
        <f t="shared" si="166"/>
        <v>2767.781517484405</v>
      </c>
      <c r="AY278" s="109">
        <f t="shared" si="167"/>
        <v>8152.3746514995191</v>
      </c>
      <c r="AZ278" s="109">
        <f t="shared" si="168"/>
        <v>10920.156168983924</v>
      </c>
      <c r="BA278" s="111">
        <f t="shared" si="169"/>
        <v>0</v>
      </c>
      <c r="BB278" s="117"/>
      <c r="BC278" s="115" t="str">
        <f t="shared" si="170"/>
        <v>Y</v>
      </c>
      <c r="BD278" s="115" t="str">
        <f t="shared" si="171"/>
        <v>Y</v>
      </c>
      <c r="BE278" s="115" t="str">
        <f t="shared" si="172"/>
        <v>N</v>
      </c>
      <c r="BF278" s="109" t="str">
        <f t="shared" si="173"/>
        <v/>
      </c>
      <c r="BG278" s="111" t="s">
        <v>2499</v>
      </c>
      <c r="BH278" s="115" t="s">
        <v>1168</v>
      </c>
      <c r="BI278" s="116"/>
      <c r="BJ278" s="222">
        <v>0.75259518738690034</v>
      </c>
      <c r="BK278" s="265">
        <f t="shared" si="174"/>
        <v>0</v>
      </c>
      <c r="BL278" s="265">
        <f t="shared" si="175"/>
        <v>0</v>
      </c>
      <c r="BM278" s="265">
        <f t="shared" si="176"/>
        <v>0</v>
      </c>
      <c r="BN278" s="265">
        <f t="shared" si="177"/>
        <v>-100.9659862886524</v>
      </c>
      <c r="BO278" s="109"/>
      <c r="BP278" s="265">
        <f t="shared" si="178"/>
        <v>401.68794981986139</v>
      </c>
      <c r="BQ278" s="265">
        <v>401.68794981986139</v>
      </c>
      <c r="BR278" s="265" t="e">
        <f t="shared" si="179"/>
        <v>#REF!</v>
      </c>
      <c r="BS278" s="265">
        <v>45.253857653913833</v>
      </c>
      <c r="BT278" s="491">
        <v>3589.8438310160759</v>
      </c>
      <c r="BU278" s="491">
        <v>2767.781517484405</v>
      </c>
      <c r="BV278" s="491">
        <v>8152.3746514995191</v>
      </c>
      <c r="BW278" s="494">
        <f t="shared" si="180"/>
        <v>0</v>
      </c>
      <c r="BX278" s="494">
        <f t="shared" si="181"/>
        <v>0</v>
      </c>
      <c r="BY278" s="511" t="s">
        <v>5332</v>
      </c>
    </row>
    <row r="279" spans="1:77" s="103" customFormat="1" ht="14.5">
      <c r="A279" s="100" t="s">
        <v>2259</v>
      </c>
      <c r="B279" s="91" t="str">
        <f t="shared" si="149"/>
        <v>STW</v>
      </c>
      <c r="C279" s="92" t="s">
        <v>466</v>
      </c>
      <c r="D279" s="448"/>
      <c r="E279" s="449" t="s">
        <v>2137</v>
      </c>
      <c r="F279" s="467" t="s">
        <v>4844</v>
      </c>
      <c r="G279" s="384" t="s">
        <v>4688</v>
      </c>
      <c r="H279" s="470">
        <v>0.33329999999999999</v>
      </c>
      <c r="I279" s="504" t="s">
        <v>962</v>
      </c>
      <c r="J279" s="95" t="s">
        <v>1166</v>
      </c>
      <c r="K279" s="469">
        <v>196747</v>
      </c>
      <c r="L279" s="471">
        <v>0.78269899488237638</v>
      </c>
      <c r="M279" s="584">
        <v>0.25345622119815669</v>
      </c>
      <c r="N279" s="267">
        <f t="shared" si="150"/>
        <v>0.74654377880184331</v>
      </c>
      <c r="O279" s="96">
        <f t="shared" si="151"/>
        <v>145420.90674059725</v>
      </c>
      <c r="P279" s="96">
        <f t="shared" si="185"/>
        <v>13008.917646392407</v>
      </c>
      <c r="Q279" s="96">
        <f t="shared" si="152"/>
        <v>38317.17561301036</v>
      </c>
      <c r="R279" s="187" t="s">
        <v>2558</v>
      </c>
      <c r="S279" s="187" t="s">
        <v>3607</v>
      </c>
      <c r="T279" s="94" t="s">
        <v>5394</v>
      </c>
      <c r="U279" s="395">
        <f>COUNTIF(Aggregation_of_rev_to_allocate!$A$3:$A$137,$T279)</f>
        <v>0</v>
      </c>
      <c r="V279" s="100">
        <v>56</v>
      </c>
      <c r="W279" s="100">
        <v>368</v>
      </c>
      <c r="X279" s="109">
        <v>12535.554790734324</v>
      </c>
      <c r="Y279" s="109">
        <v>40683.573275383213</v>
      </c>
      <c r="Z279" s="110">
        <v>0.81148986103073317</v>
      </c>
      <c r="AA279" s="110">
        <v>0.23554603854389722</v>
      </c>
      <c r="AB279" s="110">
        <v>0.76445396145610278</v>
      </c>
      <c r="AC279" s="109">
        <f>IF(ISERROR((X279*SUMIF('Rev_for_allocation(Hard)'!$A$3:$A$249,$T279,'Rev_for_allocation(Hard)'!$I$3:$I$249)/SUMIF(Historic_capex_list!$T$9:$T$586,$T279,Historic_capex_list!$X$9:$X$586))=TRUE),0,X279*SUMIF('Rev_for_allocation(Hard)'!$A$3:$A$249,$T279,'Rev_for_allocation(Hard)'!$I$3:$I$249)/SUMIF(Historic_capex_list!$T$9:$T$586,$T279,Historic_capex_list!$X$9:$X$586))</f>
        <v>0</v>
      </c>
      <c r="AD279" s="109">
        <f t="shared" si="153"/>
        <v>12535.554790734324</v>
      </c>
      <c r="AE279" s="109">
        <f t="shared" si="154"/>
        <v>12535.554790734324</v>
      </c>
      <c r="AF279" s="109">
        <f t="shared" si="155"/>
        <v>53219.128066117541</v>
      </c>
      <c r="AG279" s="332" t="str">
        <f t="shared" si="156"/>
        <v>N</v>
      </c>
      <c r="AH279" s="332">
        <f t="shared" si="182"/>
        <v>0</v>
      </c>
      <c r="AI279" s="332">
        <f t="shared" si="183"/>
        <v>0</v>
      </c>
      <c r="AJ279" s="109">
        <f t="shared" si="184"/>
        <v>53219.128066117541</v>
      </c>
      <c r="AK279" s="109">
        <f t="shared" si="157"/>
        <v>0</v>
      </c>
      <c r="AL279" s="109">
        <v>0</v>
      </c>
      <c r="AM279" s="111">
        <f t="shared" si="158"/>
        <v>32.454545454545453</v>
      </c>
      <c r="AN279" s="111">
        <f t="shared" si="159"/>
        <v>29.454545454545453</v>
      </c>
      <c r="AO279" s="111" t="str">
        <f t="shared" si="160"/>
        <v>Use deduct 3yrs</v>
      </c>
      <c r="AP279" s="111">
        <f t="shared" si="161"/>
        <v>29.454545454545453</v>
      </c>
      <c r="AQ279" s="112">
        <f t="shared" si="162"/>
        <v>0.74654377880184331</v>
      </c>
      <c r="AR279" s="112">
        <f t="shared" si="163"/>
        <v>0.25345622119815669</v>
      </c>
      <c r="AS279" s="113">
        <f t="shared" si="164"/>
        <v>2057</v>
      </c>
      <c r="AT279" s="109">
        <v>51330.965482376007</v>
      </c>
      <c r="AU279" s="114">
        <v>0.25345622119815669</v>
      </c>
      <c r="AV279" s="113">
        <v>2057</v>
      </c>
      <c r="AW279" s="112">
        <f t="shared" si="165"/>
        <v>0.78277329401137352</v>
      </c>
      <c r="AX279" s="109">
        <f t="shared" si="166"/>
        <v>13010.15254161604</v>
      </c>
      <c r="AY279" s="109">
        <f t="shared" si="167"/>
        <v>38320.81294075997</v>
      </c>
      <c r="AZ279" s="109">
        <f t="shared" si="168"/>
        <v>51330.965482376007</v>
      </c>
      <c r="BA279" s="111">
        <f t="shared" si="169"/>
        <v>0</v>
      </c>
      <c r="BB279" s="117"/>
      <c r="BC279" s="115" t="str">
        <f t="shared" si="170"/>
        <v>N</v>
      </c>
      <c r="BD279" s="115" t="str">
        <f t="shared" si="171"/>
        <v>N</v>
      </c>
      <c r="BE279" s="115" t="str">
        <f t="shared" si="172"/>
        <v>N</v>
      </c>
      <c r="BF279" s="109" t="str">
        <f t="shared" si="173"/>
        <v/>
      </c>
      <c r="BG279" s="111" t="s">
        <v>2499</v>
      </c>
      <c r="BH279" s="115" t="s">
        <v>1168</v>
      </c>
      <c r="BI279" s="116"/>
      <c r="BJ279" s="222">
        <v>0.78269899488237638</v>
      </c>
      <c r="BK279" s="265">
        <f t="shared" si="174"/>
        <v>3.6373277496095398</v>
      </c>
      <c r="BL279" s="265">
        <f t="shared" si="175"/>
        <v>-3.6373277496095398</v>
      </c>
      <c r="BM279" s="265">
        <f t="shared" si="176"/>
        <v>0</v>
      </c>
      <c r="BN279" s="265">
        <f t="shared" si="177"/>
        <v>-473.36285565808248</v>
      </c>
      <c r="BO279" s="109"/>
      <c r="BP279" s="265">
        <f t="shared" si="178"/>
        <v>1888.162583741534</v>
      </c>
      <c r="BQ279" s="265">
        <v>1888.162583741534</v>
      </c>
      <c r="BR279" s="265" t="e">
        <f t="shared" si="179"/>
        <v>#REF!</v>
      </c>
      <c r="BS279" s="265">
        <v>212.71895467714288</v>
      </c>
      <c r="BT279" s="475">
        <v>14251.034517623993</v>
      </c>
      <c r="BU279" s="475">
        <v>13010.152541616038</v>
      </c>
      <c r="BV279" s="475">
        <v>38320.81294075997</v>
      </c>
      <c r="BW279" s="483">
        <f t="shared" si="180"/>
        <v>-1.2348952236316109</v>
      </c>
      <c r="BX279" s="483">
        <f t="shared" si="181"/>
        <v>-3.6373277496095398</v>
      </c>
    </row>
    <row r="280" spans="1:77" s="103" customFormat="1" ht="29">
      <c r="A280" s="100" t="s">
        <v>2259</v>
      </c>
      <c r="B280" s="91" t="str">
        <f t="shared" si="149"/>
        <v>STW</v>
      </c>
      <c r="C280" s="92" t="s">
        <v>466</v>
      </c>
      <c r="D280" s="448"/>
      <c r="E280" s="449" t="s">
        <v>2138</v>
      </c>
      <c r="F280" s="467" t="s">
        <v>4845</v>
      </c>
      <c r="G280" s="384" t="s">
        <v>4688</v>
      </c>
      <c r="H280" s="470">
        <v>0.33</v>
      </c>
      <c r="I280" s="504" t="s">
        <v>962</v>
      </c>
      <c r="J280" s="95" t="s">
        <v>1166</v>
      </c>
      <c r="K280" s="469">
        <v>2103260.1</v>
      </c>
      <c r="L280" s="471">
        <v>6.1454825341698799E-2</v>
      </c>
      <c r="M280" s="584">
        <v>0.25345622119815669</v>
      </c>
      <c r="N280" s="267">
        <f t="shared" si="150"/>
        <v>0.74654377880184331</v>
      </c>
      <c r="O280" s="96">
        <f t="shared" si="151"/>
        <v>2060605.790909091</v>
      </c>
      <c r="P280" s="96">
        <f t="shared" si="185"/>
        <v>10811.000000000005</v>
      </c>
      <c r="Q280" s="96">
        <f t="shared" si="152"/>
        <v>31843.309090909101</v>
      </c>
      <c r="R280" s="187" t="s">
        <v>2558</v>
      </c>
      <c r="S280" s="187" t="s">
        <v>3607</v>
      </c>
      <c r="T280" s="94" t="s">
        <v>5394</v>
      </c>
      <c r="U280" s="395">
        <f>COUNTIF(Aggregation_of_rev_to_allocate!$A$3:$A$137,$T280)</f>
        <v>0</v>
      </c>
      <c r="V280" s="100">
        <v>56</v>
      </c>
      <c r="W280" s="100">
        <v>369</v>
      </c>
      <c r="X280" s="109">
        <v>10416.34988748539</v>
      </c>
      <c r="Y280" s="109">
        <v>33805.790089384405</v>
      </c>
      <c r="Z280" s="110">
        <v>0.81148986103073306</v>
      </c>
      <c r="AA280" s="110">
        <v>0.23554603854389722</v>
      </c>
      <c r="AB280" s="110">
        <v>0.76445396145610278</v>
      </c>
      <c r="AC280" s="109">
        <f>IF(ISERROR((X280*SUMIF('Rev_for_allocation(Hard)'!$A$3:$A$249,$T280,'Rev_for_allocation(Hard)'!$I$3:$I$249)/SUMIF(Historic_capex_list!$T$9:$T$586,$T280,Historic_capex_list!$X$9:$X$586))=TRUE),0,X280*SUMIF('Rev_for_allocation(Hard)'!$A$3:$A$249,$T280,'Rev_for_allocation(Hard)'!$I$3:$I$249)/SUMIF(Historic_capex_list!$T$9:$T$586,$T280,Historic_capex_list!$X$9:$X$586))</f>
        <v>0</v>
      </c>
      <c r="AD280" s="109">
        <f t="shared" si="153"/>
        <v>10416.34988748539</v>
      </c>
      <c r="AE280" s="109">
        <f t="shared" si="154"/>
        <v>10416.34988748539</v>
      </c>
      <c r="AF280" s="109">
        <f t="shared" si="155"/>
        <v>44222.139976869796</v>
      </c>
      <c r="AG280" s="332" t="str">
        <f t="shared" si="156"/>
        <v>N</v>
      </c>
      <c r="AH280" s="332">
        <f t="shared" si="182"/>
        <v>0</v>
      </c>
      <c r="AI280" s="332">
        <f t="shared" si="183"/>
        <v>0</v>
      </c>
      <c r="AJ280" s="109">
        <f t="shared" si="184"/>
        <v>44222.139976869796</v>
      </c>
      <c r="AK280" s="109">
        <f t="shared" si="157"/>
        <v>0</v>
      </c>
      <c r="AL280" s="109">
        <v>0</v>
      </c>
      <c r="AM280" s="111">
        <f t="shared" si="158"/>
        <v>32.454545454545453</v>
      </c>
      <c r="AN280" s="111">
        <f t="shared" si="159"/>
        <v>29.454545454545453</v>
      </c>
      <c r="AO280" s="111" t="str">
        <f t="shared" si="160"/>
        <v>Use deduct 3yrs</v>
      </c>
      <c r="AP280" s="111">
        <f t="shared" si="161"/>
        <v>29.454545454545453</v>
      </c>
      <c r="AQ280" s="112">
        <f t="shared" si="162"/>
        <v>0.74654377880184331</v>
      </c>
      <c r="AR280" s="112">
        <f t="shared" si="163"/>
        <v>0.25345622119815669</v>
      </c>
      <c r="AS280" s="113">
        <f t="shared" si="164"/>
        <v>2057</v>
      </c>
      <c r="AT280" s="109">
        <v>42653.181726115101</v>
      </c>
      <c r="AU280" s="114">
        <v>0.25345622119815669</v>
      </c>
      <c r="AV280" s="113">
        <v>2057</v>
      </c>
      <c r="AW280" s="112">
        <f t="shared" si="165"/>
        <v>6.1453201074233479E-2</v>
      </c>
      <c r="AX280" s="109">
        <f t="shared" si="166"/>
        <v>10810.714262379404</v>
      </c>
      <c r="AY280" s="109">
        <f t="shared" si="167"/>
        <v>31842.467463735698</v>
      </c>
      <c r="AZ280" s="109">
        <f t="shared" si="168"/>
        <v>42653.181726115101</v>
      </c>
      <c r="BA280" s="111">
        <f t="shared" si="169"/>
        <v>0</v>
      </c>
      <c r="BB280" s="117"/>
      <c r="BC280" s="115" t="str">
        <f t="shared" si="170"/>
        <v>N</v>
      </c>
      <c r="BD280" s="115" t="str">
        <f t="shared" si="171"/>
        <v>N</v>
      </c>
      <c r="BE280" s="115" t="str">
        <f t="shared" si="172"/>
        <v>N</v>
      </c>
      <c r="BF280" s="109" t="str">
        <f t="shared" si="173"/>
        <v/>
      </c>
      <c r="BG280" s="111" t="s">
        <v>2499</v>
      </c>
      <c r="BH280" s="115" t="s">
        <v>1168</v>
      </c>
      <c r="BI280" s="116"/>
      <c r="BJ280" s="222">
        <v>0.78269899488237638</v>
      </c>
      <c r="BK280" s="265">
        <f t="shared" si="174"/>
        <v>-0.84162717340223026</v>
      </c>
      <c r="BL280" s="265">
        <f t="shared" si="175"/>
        <v>0.84162717340223026</v>
      </c>
      <c r="BM280" s="265">
        <f t="shared" si="176"/>
        <v>0</v>
      </c>
      <c r="BN280" s="265">
        <f t="shared" si="177"/>
        <v>-394.6501125146151</v>
      </c>
      <c r="BO280" s="109"/>
      <c r="BP280" s="265">
        <f t="shared" si="178"/>
        <v>1568.9582507546947</v>
      </c>
      <c r="BQ280" s="265">
        <v>1568.9582507546947</v>
      </c>
      <c r="BR280" s="265" t="e">
        <f t="shared" si="179"/>
        <v>#REF!</v>
      </c>
      <c r="BS280" s="265">
        <v>176.75763830213845</v>
      </c>
      <c r="BT280" s="475">
        <v>11841.818273884899</v>
      </c>
      <c r="BU280" s="475">
        <v>10810.714262379404</v>
      </c>
      <c r="BV280" s="475">
        <v>31842.467463735698</v>
      </c>
      <c r="BW280" s="483">
        <f t="shared" si="180"/>
        <v>0.2857376206011395</v>
      </c>
      <c r="BX280" s="483">
        <f t="shared" si="181"/>
        <v>0.84162717340223026</v>
      </c>
    </row>
    <row r="281" spans="1:77" s="103" customFormat="1" ht="29">
      <c r="A281" s="100" t="s">
        <v>2259</v>
      </c>
      <c r="B281" s="91" t="str">
        <f t="shared" si="149"/>
        <v>STW</v>
      </c>
      <c r="C281" s="92" t="s">
        <v>466</v>
      </c>
      <c r="D281" s="448"/>
      <c r="E281" s="449" t="s">
        <v>2121</v>
      </c>
      <c r="F281" s="467" t="s">
        <v>4846</v>
      </c>
      <c r="G281" s="467" t="s">
        <v>4986</v>
      </c>
      <c r="H281" s="470">
        <v>0.2356</v>
      </c>
      <c r="I281" s="95" t="s">
        <v>962</v>
      </c>
      <c r="J281" s="95" t="s">
        <v>1166</v>
      </c>
      <c r="K281" s="469">
        <v>52807</v>
      </c>
      <c r="L281" s="471">
        <v>0.75259518738690023</v>
      </c>
      <c r="M281" s="584">
        <v>0.25345622119815669</v>
      </c>
      <c r="N281" s="267">
        <f t="shared" si="150"/>
        <v>0.74654377880184331</v>
      </c>
      <c r="O281" s="96">
        <f t="shared" si="151"/>
        <v>43443.715519383884</v>
      </c>
      <c r="P281" s="96">
        <f t="shared" si="185"/>
        <v>2373.1827024603053</v>
      </c>
      <c r="Q281" s="96">
        <f t="shared" si="152"/>
        <v>6990.1017781558085</v>
      </c>
      <c r="R281" s="187" t="s">
        <v>2563</v>
      </c>
      <c r="S281" s="187" t="s">
        <v>3607</v>
      </c>
      <c r="T281" s="94" t="s">
        <v>5394</v>
      </c>
      <c r="U281" s="395">
        <f>COUNTIF(Aggregation_of_rev_to_allocate!$A$3:$A$137,$T281)</f>
        <v>0</v>
      </c>
      <c r="V281" s="100"/>
      <c r="W281" s="100">
        <v>341</v>
      </c>
      <c r="X281" s="109">
        <v>2286.7345857434561</v>
      </c>
      <c r="Y281" s="109">
        <v>7421.4931555492167</v>
      </c>
      <c r="Z281" s="110">
        <v>0.78027871252955094</v>
      </c>
      <c r="AA281" s="110">
        <v>0.23554603854389722</v>
      </c>
      <c r="AB281" s="110">
        <v>0.76445396145610278</v>
      </c>
      <c r="AC281" s="109">
        <f>IF(ISERROR((X281*SUMIF('Rev_for_allocation(Hard)'!$A$3:$A$249,$T281,'Rev_for_allocation(Hard)'!$I$3:$I$249)/SUMIF(Historic_capex_list!$T$9:$T$586,$T281,Historic_capex_list!$X$9:$X$586))=TRUE),0,X281*SUMIF('Rev_for_allocation(Hard)'!$A$3:$A$249,$T281,'Rev_for_allocation(Hard)'!$I$3:$I$249)/SUMIF(Historic_capex_list!$T$9:$T$586,$T281,Historic_capex_list!$X$9:$X$586))</f>
        <v>0</v>
      </c>
      <c r="AD281" s="109">
        <f t="shared" si="153"/>
        <v>2286.7345857434561</v>
      </c>
      <c r="AE281" s="109">
        <f t="shared" si="154"/>
        <v>2286.7345857434561</v>
      </c>
      <c r="AF281" s="109">
        <f t="shared" si="155"/>
        <v>9708.2277412926724</v>
      </c>
      <c r="AG281" s="332" t="str">
        <f t="shared" si="156"/>
        <v>N</v>
      </c>
      <c r="AH281" s="332">
        <f t="shared" si="182"/>
        <v>0</v>
      </c>
      <c r="AI281" s="332">
        <f t="shared" si="183"/>
        <v>0</v>
      </c>
      <c r="AJ281" s="109">
        <f t="shared" si="184"/>
        <v>9708.2277412926724</v>
      </c>
      <c r="AK281" s="109">
        <f t="shared" si="157"/>
        <v>0</v>
      </c>
      <c r="AL281" s="109">
        <v>0</v>
      </c>
      <c r="AM281" s="111">
        <f t="shared" si="158"/>
        <v>32.454545454545453</v>
      </c>
      <c r="AN281" s="111">
        <f t="shared" si="159"/>
        <v>29.454545454545453</v>
      </c>
      <c r="AO281" s="111" t="str">
        <f t="shared" si="160"/>
        <v>Use deduct 3yrs</v>
      </c>
      <c r="AP281" s="111">
        <f t="shared" si="161"/>
        <v>29.454545454545453</v>
      </c>
      <c r="AQ281" s="112">
        <f t="shared" si="162"/>
        <v>0.74654377880184331</v>
      </c>
      <c r="AR281" s="112">
        <f t="shared" si="163"/>
        <v>0.25345622119815669</v>
      </c>
      <c r="AS281" s="113">
        <f t="shared" si="164"/>
        <v>2057</v>
      </c>
      <c r="AT281" s="109">
        <v>9363.7893214678134</v>
      </c>
      <c r="AU281" s="114">
        <v>0.25345622119815669</v>
      </c>
      <c r="AV281" s="113">
        <v>2057</v>
      </c>
      <c r="AW281" s="112">
        <f t="shared" si="165"/>
        <v>0.75263576511324959</v>
      </c>
      <c r="AX281" s="109">
        <f t="shared" si="166"/>
        <v>2373.3106575148836</v>
      </c>
      <c r="AY281" s="109">
        <f t="shared" si="167"/>
        <v>6990.4786639529293</v>
      </c>
      <c r="AZ281" s="109">
        <f t="shared" si="168"/>
        <v>9363.7893214678134</v>
      </c>
      <c r="BA281" s="111">
        <f t="shared" si="169"/>
        <v>0</v>
      </c>
      <c r="BB281" s="117"/>
      <c r="BC281" s="115" t="str">
        <f t="shared" si="170"/>
        <v>Y</v>
      </c>
      <c r="BD281" s="115" t="str">
        <f t="shared" si="171"/>
        <v>Y</v>
      </c>
      <c r="BE281" s="115" t="str">
        <f t="shared" si="172"/>
        <v>N</v>
      </c>
      <c r="BF281" s="109" t="str">
        <f t="shared" si="173"/>
        <v/>
      </c>
      <c r="BG281" s="111" t="s">
        <v>2499</v>
      </c>
      <c r="BH281" s="115" t="s">
        <v>1168</v>
      </c>
      <c r="BI281" s="116"/>
      <c r="BJ281" s="222">
        <v>0.75259518738690023</v>
      </c>
      <c r="BK281" s="265">
        <f t="shared" si="174"/>
        <v>0.37688579712084902</v>
      </c>
      <c r="BL281" s="265">
        <f t="shared" si="175"/>
        <v>-0.37688579712084902</v>
      </c>
      <c r="BM281" s="265">
        <f t="shared" si="176"/>
        <v>0</v>
      </c>
      <c r="BN281" s="265">
        <f t="shared" si="177"/>
        <v>-86.448116716849199</v>
      </c>
      <c r="BO281" s="109"/>
      <c r="BP281" s="265">
        <f t="shared" si="178"/>
        <v>344.43841982485901</v>
      </c>
      <c r="BQ281" s="265">
        <v>344.43841982485901</v>
      </c>
      <c r="BR281" s="265" t="e">
        <f t="shared" si="179"/>
        <v>#REF!</v>
      </c>
      <c r="BS281" s="265">
        <v>38.804169326670895</v>
      </c>
      <c r="BT281" s="475">
        <v>3078.2106785321871</v>
      </c>
      <c r="BU281" s="475">
        <v>2373.3106575148836</v>
      </c>
      <c r="BV281" s="475">
        <v>6990.4786639529293</v>
      </c>
      <c r="BW281" s="483">
        <f t="shared" si="180"/>
        <v>-0.12795505457825129</v>
      </c>
      <c r="BX281" s="483">
        <f t="shared" si="181"/>
        <v>-0.37688579712084902</v>
      </c>
    </row>
    <row r="282" spans="1:77" s="103" customFormat="1" ht="29">
      <c r="A282" s="100" t="s">
        <v>2259</v>
      </c>
      <c r="B282" s="91" t="str">
        <f t="shared" si="149"/>
        <v>STW</v>
      </c>
      <c r="C282" s="92" t="s">
        <v>466</v>
      </c>
      <c r="D282" s="448"/>
      <c r="E282" s="449" t="s">
        <v>2077</v>
      </c>
      <c r="F282" s="467" t="s">
        <v>4847</v>
      </c>
      <c r="G282" s="467" t="s">
        <v>4987</v>
      </c>
      <c r="H282" s="470">
        <v>0.33679999999999999</v>
      </c>
      <c r="I282" s="95" t="s">
        <v>962</v>
      </c>
      <c r="J282" s="95" t="s">
        <v>1166</v>
      </c>
      <c r="K282" s="469">
        <v>2796088</v>
      </c>
      <c r="L282" s="471">
        <v>0.75259518738690034</v>
      </c>
      <c r="M282" s="584">
        <v>0.25345622119815669</v>
      </c>
      <c r="N282" s="267">
        <f t="shared" si="150"/>
        <v>0.74654377880184331</v>
      </c>
      <c r="O282" s="96">
        <f t="shared" si="151"/>
        <v>2087352.2250059033</v>
      </c>
      <c r="P282" s="96">
        <f t="shared" si="185"/>
        <v>179633.49135795078</v>
      </c>
      <c r="Q282" s="96">
        <f t="shared" si="152"/>
        <v>529102.28363614599</v>
      </c>
      <c r="R282" s="187" t="s">
        <v>2563</v>
      </c>
      <c r="S282" s="187" t="s">
        <v>3607</v>
      </c>
      <c r="T282" s="94" t="s">
        <v>5394</v>
      </c>
      <c r="U282" s="395">
        <f>COUNTIF(Aggregation_of_rev_to_allocate!$A$3:$A$137,$T282)</f>
        <v>0</v>
      </c>
      <c r="V282" s="100"/>
      <c r="W282" s="100">
        <v>342</v>
      </c>
      <c r="X282" s="109">
        <v>173079.82001423856</v>
      </c>
      <c r="Y282" s="109">
        <v>561722.68859166512</v>
      </c>
      <c r="Z282" s="110">
        <v>0.78027871252955106</v>
      </c>
      <c r="AA282" s="110">
        <v>0.23554603854389722</v>
      </c>
      <c r="AB282" s="110">
        <v>0.76445396145610278</v>
      </c>
      <c r="AC282" s="109">
        <f>IF(ISERROR((X282*SUMIF('Rev_for_allocation(Hard)'!$A$3:$A$249,$T282,'Rev_for_allocation(Hard)'!$I$3:$I$249)/SUMIF(Historic_capex_list!$T$9:$T$586,$T282,Historic_capex_list!$X$9:$X$586))=TRUE),0,X282*SUMIF('Rev_for_allocation(Hard)'!$A$3:$A$249,$T282,'Rev_for_allocation(Hard)'!$I$3:$I$249)/SUMIF(Historic_capex_list!$T$9:$T$586,$T282,Historic_capex_list!$X$9:$X$586))</f>
        <v>0</v>
      </c>
      <c r="AD282" s="109">
        <f t="shared" si="153"/>
        <v>173079.82001423856</v>
      </c>
      <c r="AE282" s="109">
        <f t="shared" si="154"/>
        <v>173079.82001423856</v>
      </c>
      <c r="AF282" s="109">
        <f t="shared" si="155"/>
        <v>734802.50860590371</v>
      </c>
      <c r="AG282" s="332" t="str">
        <f t="shared" si="156"/>
        <v>N</v>
      </c>
      <c r="AH282" s="332">
        <f t="shared" si="182"/>
        <v>0</v>
      </c>
      <c r="AI282" s="332">
        <f t="shared" si="183"/>
        <v>0</v>
      </c>
      <c r="AJ282" s="109">
        <f t="shared" si="184"/>
        <v>734802.50860590371</v>
      </c>
      <c r="AK282" s="109">
        <f t="shared" si="157"/>
        <v>0</v>
      </c>
      <c r="AL282" s="109">
        <v>0</v>
      </c>
      <c r="AM282" s="111">
        <f t="shared" si="158"/>
        <v>32.454545454545453</v>
      </c>
      <c r="AN282" s="111">
        <f t="shared" si="159"/>
        <v>29.454545454545453</v>
      </c>
      <c r="AO282" s="111" t="str">
        <f t="shared" si="160"/>
        <v>Use deduct 3yrs</v>
      </c>
      <c r="AP282" s="111">
        <f t="shared" si="161"/>
        <v>29.454545454545453</v>
      </c>
      <c r="AQ282" s="112">
        <f t="shared" si="162"/>
        <v>0.74654377880184331</v>
      </c>
      <c r="AR282" s="112">
        <f t="shared" si="163"/>
        <v>0.25345622119815669</v>
      </c>
      <c r="AS282" s="113">
        <f t="shared" si="164"/>
        <v>2057</v>
      </c>
      <c r="AT282" s="109">
        <v>708732.43467561703</v>
      </c>
      <c r="AU282" s="114">
        <v>0.25345622119815669</v>
      </c>
      <c r="AV282" s="113">
        <v>2057</v>
      </c>
      <c r="AW282" s="112">
        <f t="shared" si="165"/>
        <v>0.75259164035611559</v>
      </c>
      <c r="AX282" s="109">
        <f t="shared" si="166"/>
        <v>179632.64473345134</v>
      </c>
      <c r="AY282" s="109">
        <f t="shared" si="167"/>
        <v>529099.78994216572</v>
      </c>
      <c r="AZ282" s="109">
        <f t="shared" si="168"/>
        <v>708732.43467561703</v>
      </c>
      <c r="BA282" s="111">
        <f t="shared" si="169"/>
        <v>0</v>
      </c>
      <c r="BB282" s="117"/>
      <c r="BC282" s="115" t="str">
        <f t="shared" si="170"/>
        <v>N</v>
      </c>
      <c r="BD282" s="115" t="str">
        <f t="shared" si="171"/>
        <v>N</v>
      </c>
      <c r="BE282" s="115" t="str">
        <f t="shared" si="172"/>
        <v>N</v>
      </c>
      <c r="BF282" s="109" t="str">
        <f t="shared" si="173"/>
        <v/>
      </c>
      <c r="BG282" s="111" t="s">
        <v>2499</v>
      </c>
      <c r="BH282" s="115" t="s">
        <v>1168</v>
      </c>
      <c r="BI282" s="116"/>
      <c r="BJ282" s="222">
        <v>0.75259518738690034</v>
      </c>
      <c r="BK282" s="265">
        <f t="shared" si="174"/>
        <v>-2.493693980271928</v>
      </c>
      <c r="BL282" s="265">
        <f t="shared" si="175"/>
        <v>2.493693980271928</v>
      </c>
      <c r="BM282" s="265">
        <f t="shared" si="176"/>
        <v>0</v>
      </c>
      <c r="BN282" s="265">
        <f t="shared" si="177"/>
        <v>-6553.6713437122235</v>
      </c>
      <c r="BO282" s="109"/>
      <c r="BP282" s="265">
        <f t="shared" si="178"/>
        <v>26070.073930286686</v>
      </c>
      <c r="BQ282" s="265">
        <v>26070.073930286686</v>
      </c>
      <c r="BR282" s="265" t="e">
        <f t="shared" si="179"/>
        <v>#REF!</v>
      </c>
      <c r="BS282" s="265">
        <v>2937.0346190302121</v>
      </c>
      <c r="BT282" s="475">
        <v>232985.56532438297</v>
      </c>
      <c r="BU282" s="475">
        <v>179632.64473345134</v>
      </c>
      <c r="BV282" s="475">
        <v>529099.78994216572</v>
      </c>
      <c r="BW282" s="483">
        <f t="shared" si="180"/>
        <v>0.84662449944880791</v>
      </c>
      <c r="BX282" s="483">
        <f t="shared" si="181"/>
        <v>2.493693980271928</v>
      </c>
    </row>
    <row r="283" spans="1:77" s="103" customFormat="1" ht="14.5">
      <c r="A283" s="100" t="s">
        <v>2259</v>
      </c>
      <c r="B283" s="91" t="str">
        <f t="shared" si="149"/>
        <v>STW</v>
      </c>
      <c r="C283" s="92" t="s">
        <v>466</v>
      </c>
      <c r="D283" s="448"/>
      <c r="E283" s="449" t="s">
        <v>2192</v>
      </c>
      <c r="F283" s="384" t="s">
        <v>5360</v>
      </c>
      <c r="G283" s="384" t="s">
        <v>4668</v>
      </c>
      <c r="H283" s="470">
        <v>0.38866969364590315</v>
      </c>
      <c r="I283" s="95" t="s">
        <v>951</v>
      </c>
      <c r="J283" s="95" t="s">
        <v>1166</v>
      </c>
      <c r="K283" s="469">
        <v>353976.66</v>
      </c>
      <c r="L283" s="268">
        <v>0.19261892279486048</v>
      </c>
      <c r="M283" s="584">
        <v>0.30805687203791476</v>
      </c>
      <c r="N283" s="267">
        <f t="shared" si="150"/>
        <v>0.69194312796208524</v>
      </c>
      <c r="O283" s="96">
        <f t="shared" si="151"/>
        <v>327476.14860188309</v>
      </c>
      <c r="P283" s="96">
        <f t="shared" si="185"/>
        <v>8163.6646487090011</v>
      </c>
      <c r="Q283" s="96">
        <f t="shared" si="152"/>
        <v>18336.846749407905</v>
      </c>
      <c r="R283" s="187" t="s">
        <v>2564</v>
      </c>
      <c r="S283" s="187" t="s">
        <v>3607</v>
      </c>
      <c r="T283" s="94" t="s">
        <v>5393</v>
      </c>
      <c r="U283" s="395">
        <f>COUNTIF(Aggregation_of_rev_to_allocate!$A$3:$A$137,$T283)</f>
        <v>0</v>
      </c>
      <c r="V283" s="100"/>
      <c r="W283" s="100">
        <v>383</v>
      </c>
      <c r="X283" s="109">
        <v>28835.984980064997</v>
      </c>
      <c r="Y283" s="109">
        <v>73420.854064627041</v>
      </c>
      <c r="Z283" s="110">
        <v>0.74325366364800149</v>
      </c>
      <c r="AA283" s="110">
        <v>0.28199566160520606</v>
      </c>
      <c r="AB283" s="110">
        <v>0.71800433839479394</v>
      </c>
      <c r="AC283" s="109">
        <f>IF(ISERROR((X283*SUMIF('Rev_for_allocation(Hard)'!$A$3:$A$249,$T283,'Rev_for_allocation(Hard)'!$I$3:$I$249)/SUMIF(Historic_capex_list!$T$9:$T$586,$T283,Historic_capex_list!$X$9:$X$586))=TRUE),0,X283*SUMIF('Rev_for_allocation(Hard)'!$A$3:$A$249,$T283,'Rev_for_allocation(Hard)'!$I$3:$I$249)/SUMIF(Historic_capex_list!$T$9:$T$586,$T283,Historic_capex_list!$X$9:$X$586))</f>
        <v>0</v>
      </c>
      <c r="AD283" s="109">
        <f t="shared" si="153"/>
        <v>28835.984980064997</v>
      </c>
      <c r="AE283" s="109">
        <f t="shared" si="154"/>
        <v>28835.984980064997</v>
      </c>
      <c r="AF283" s="109">
        <f t="shared" si="155"/>
        <v>102256.83904469204</v>
      </c>
      <c r="AG283" s="332" t="str">
        <f t="shared" si="156"/>
        <v>N</v>
      </c>
      <c r="AH283" s="332">
        <f t="shared" si="182"/>
        <v>0</v>
      </c>
      <c r="AI283" s="332">
        <f t="shared" si="183"/>
        <v>0</v>
      </c>
      <c r="AJ283" s="109">
        <f t="shared" si="184"/>
        <v>102256.83904469204</v>
      </c>
      <c r="AK283" s="109">
        <f t="shared" si="157"/>
        <v>0</v>
      </c>
      <c r="AL283" s="109">
        <v>0</v>
      </c>
      <c r="AM283" s="111">
        <f t="shared" si="158"/>
        <v>25.461538461538463</v>
      </c>
      <c r="AN283" s="111">
        <f t="shared" si="159"/>
        <v>22.461538461538463</v>
      </c>
      <c r="AO283" s="111" t="str">
        <f t="shared" si="160"/>
        <v>Use deduct 3yrs</v>
      </c>
      <c r="AP283" s="111">
        <f t="shared" si="161"/>
        <v>22.461538461538463</v>
      </c>
      <c r="AQ283" s="112">
        <f t="shared" si="162"/>
        <v>0.69194312796208524</v>
      </c>
      <c r="AR283" s="112">
        <f t="shared" si="163"/>
        <v>0.30805687203791476</v>
      </c>
      <c r="AS283" s="113">
        <f t="shared" si="164"/>
        <v>2050</v>
      </c>
      <c r="AT283" s="109">
        <v>26500.511398116905</v>
      </c>
      <c r="AU283" s="114">
        <v>0.30805687203791476</v>
      </c>
      <c r="AV283" s="113">
        <v>2043</v>
      </c>
      <c r="AW283" s="112">
        <f t="shared" si="165"/>
        <v>0.19261892279486048</v>
      </c>
      <c r="AX283" s="109">
        <f t="shared" si="166"/>
        <v>8163.6646487090011</v>
      </c>
      <c r="AY283" s="109">
        <f t="shared" si="167"/>
        <v>18336.846749407905</v>
      </c>
      <c r="AZ283" s="109">
        <f t="shared" si="168"/>
        <v>26500.511398116905</v>
      </c>
      <c r="BA283" s="111">
        <f t="shared" si="169"/>
        <v>0</v>
      </c>
      <c r="BB283" s="117"/>
      <c r="BC283" s="115" t="str">
        <f t="shared" si="170"/>
        <v>Y</v>
      </c>
      <c r="BD283" s="115" t="str">
        <f t="shared" si="171"/>
        <v>Y</v>
      </c>
      <c r="BE283" s="115" t="str">
        <f t="shared" si="172"/>
        <v>N</v>
      </c>
      <c r="BF283" s="109" t="str">
        <f t="shared" si="173"/>
        <v/>
      </c>
      <c r="BG283" s="111" t="s">
        <v>2499</v>
      </c>
      <c r="BH283" s="115" t="s">
        <v>1168</v>
      </c>
      <c r="BI283" s="116"/>
      <c r="BJ283" s="222">
        <v>0.19261892279486048</v>
      </c>
      <c r="BK283" s="265">
        <f t="shared" si="174"/>
        <v>0</v>
      </c>
      <c r="BL283" s="265">
        <f t="shared" si="175"/>
        <v>0</v>
      </c>
      <c r="BM283" s="265">
        <f t="shared" si="176"/>
        <v>0</v>
      </c>
      <c r="BN283" s="265">
        <f t="shared" si="177"/>
        <v>20672.320331355997</v>
      </c>
      <c r="BO283" s="109"/>
      <c r="BP283" s="265">
        <f t="shared" si="178"/>
        <v>75756.327646575141</v>
      </c>
      <c r="BQ283" s="265">
        <v>75756.327646575141</v>
      </c>
      <c r="BR283" s="265" t="e">
        <f t="shared" si="179"/>
        <v>#REF!</v>
      </c>
      <c r="BS283" s="265">
        <v>8534.6500168570856</v>
      </c>
      <c r="BT283" s="475">
        <v>111079.4886018831</v>
      </c>
      <c r="BU283" s="475">
        <v>8163.6646487090011</v>
      </c>
      <c r="BV283" s="475">
        <v>18336.846749407905</v>
      </c>
      <c r="BW283" s="483">
        <f t="shared" si="180"/>
        <v>0</v>
      </c>
      <c r="BX283" s="483">
        <f t="shared" si="181"/>
        <v>0</v>
      </c>
    </row>
    <row r="284" spans="1:77" s="103" customFormat="1" ht="29">
      <c r="A284" s="100" t="s">
        <v>2259</v>
      </c>
      <c r="B284" s="91" t="str">
        <f t="shared" si="149"/>
        <v>STW</v>
      </c>
      <c r="C284" s="92" t="s">
        <v>466</v>
      </c>
      <c r="D284" s="448"/>
      <c r="E284" s="449" t="s">
        <v>2109</v>
      </c>
      <c r="F284" s="467" t="s">
        <v>4850</v>
      </c>
      <c r="G284" s="467" t="s">
        <v>4988</v>
      </c>
      <c r="H284" s="470">
        <v>0.33069999999999999</v>
      </c>
      <c r="I284" s="95" t="s">
        <v>962</v>
      </c>
      <c r="J284" s="95" t="s">
        <v>1166</v>
      </c>
      <c r="K284" s="469">
        <v>66415</v>
      </c>
      <c r="L284" s="471">
        <v>0.78027867566884235</v>
      </c>
      <c r="M284" s="584">
        <v>0.25345622119815669</v>
      </c>
      <c r="N284" s="267">
        <f t="shared" si="150"/>
        <v>0.74654377880184331</v>
      </c>
      <c r="O284" s="96">
        <f t="shared" si="151"/>
        <v>49277.395733528589</v>
      </c>
      <c r="P284" s="96">
        <f t="shared" si="185"/>
        <v>4343.6324177692532</v>
      </c>
      <c r="Q284" s="96">
        <f t="shared" si="152"/>
        <v>12793.971848702164</v>
      </c>
      <c r="R284" s="189" t="s">
        <v>2314</v>
      </c>
      <c r="S284" s="187" t="s">
        <v>3607</v>
      </c>
      <c r="T284" s="94" t="s">
        <v>5395</v>
      </c>
      <c r="U284" s="395">
        <f>COUNTIF(Aggregation_of_rev_to_allocate!$A$3:$A$137,$T284)</f>
        <v>0</v>
      </c>
      <c r="V284" s="100"/>
      <c r="W284" s="100">
        <v>430</v>
      </c>
      <c r="X284" s="109">
        <v>4037.349191852315</v>
      </c>
      <c r="Y284" s="109">
        <v>13103.033286284332</v>
      </c>
      <c r="Z284" s="110">
        <v>0.78027871252955094</v>
      </c>
      <c r="AA284" s="110">
        <v>0.23554603854389722</v>
      </c>
      <c r="AB284" s="110">
        <v>0.76445396145610278</v>
      </c>
      <c r="AC284" s="109">
        <f>IF(ISERROR((X284*SUMIF('Rev_for_allocation(Hard)'!$A$3:$A$249,$T284,'Rev_for_allocation(Hard)'!$I$3:$I$249)/SUMIF(Historic_capex_list!$T$9:$T$586,$T284,Historic_capex_list!$X$9:$X$586))=TRUE),0,X284*SUMIF('Rev_for_allocation(Hard)'!$A$3:$A$249,$T284,'Rev_for_allocation(Hard)'!$I$3:$I$249)/SUMIF(Historic_capex_list!$T$9:$T$586,$T284,Historic_capex_list!$X$9:$X$586))</f>
        <v>0</v>
      </c>
      <c r="AD284" s="109">
        <f t="shared" si="153"/>
        <v>4037.349191852315</v>
      </c>
      <c r="AE284" s="109">
        <f t="shared" si="154"/>
        <v>4037.349191852315</v>
      </c>
      <c r="AF284" s="109">
        <f t="shared" si="155"/>
        <v>17140.382478136646</v>
      </c>
      <c r="AG284" s="332" t="str">
        <f t="shared" si="156"/>
        <v>N</v>
      </c>
      <c r="AH284" s="332">
        <f t="shared" si="182"/>
        <v>0</v>
      </c>
      <c r="AI284" s="332">
        <f t="shared" si="183"/>
        <v>0</v>
      </c>
      <c r="AJ284" s="109">
        <f t="shared" si="184"/>
        <v>17140.382478136646</v>
      </c>
      <c r="AK284" s="109">
        <f t="shared" si="157"/>
        <v>0</v>
      </c>
      <c r="AL284" s="109">
        <v>0</v>
      </c>
      <c r="AM284" s="111">
        <f t="shared" si="158"/>
        <v>32.454545454545453</v>
      </c>
      <c r="AN284" s="111">
        <f t="shared" si="159"/>
        <v>29.454545454545453</v>
      </c>
      <c r="AO284" s="111" t="str">
        <f t="shared" si="160"/>
        <v>Use deduct 3yrs</v>
      </c>
      <c r="AP284" s="111">
        <f t="shared" si="161"/>
        <v>29.454545454545453</v>
      </c>
      <c r="AQ284" s="112">
        <f t="shared" si="162"/>
        <v>0.74654377880184331</v>
      </c>
      <c r="AR284" s="112">
        <f t="shared" si="163"/>
        <v>0.25345622119815669</v>
      </c>
      <c r="AS284" s="113">
        <f t="shared" si="164"/>
        <v>2057</v>
      </c>
      <c r="AT284" s="109">
        <v>17140.38166841746</v>
      </c>
      <c r="AU284" s="114">
        <v>0.25345622119815669</v>
      </c>
      <c r="AV284" s="113">
        <v>2057</v>
      </c>
      <c r="AW284" s="112">
        <f t="shared" si="165"/>
        <v>0.7804051313553293</v>
      </c>
      <c r="AX284" s="109">
        <f t="shared" si="166"/>
        <v>4344.3363675712453</v>
      </c>
      <c r="AY284" s="109">
        <f t="shared" si="167"/>
        <v>12796.045300846214</v>
      </c>
      <c r="AZ284" s="109">
        <f t="shared" si="168"/>
        <v>17140.38166841746</v>
      </c>
      <c r="BA284" s="111">
        <f t="shared" si="169"/>
        <v>0</v>
      </c>
      <c r="BB284" s="117"/>
      <c r="BC284" s="115" t="str">
        <f t="shared" si="170"/>
        <v>Y</v>
      </c>
      <c r="BD284" s="115" t="str">
        <f t="shared" si="171"/>
        <v>Y</v>
      </c>
      <c r="BE284" s="115" t="str">
        <f t="shared" si="172"/>
        <v>N</v>
      </c>
      <c r="BF284" s="109" t="str">
        <f t="shared" si="173"/>
        <v/>
      </c>
      <c r="BG284" s="111" t="s">
        <v>2499</v>
      </c>
      <c r="BH284" s="115" t="s">
        <v>1168</v>
      </c>
      <c r="BI284" s="116"/>
      <c r="BJ284" s="222">
        <v>0.78027867566884235</v>
      </c>
      <c r="BK284" s="265">
        <f t="shared" si="174"/>
        <v>2.073452144049952</v>
      </c>
      <c r="BL284" s="265">
        <f t="shared" si="175"/>
        <v>-2.073452144049952</v>
      </c>
      <c r="BM284" s="265">
        <f t="shared" si="176"/>
        <v>0</v>
      </c>
      <c r="BN284" s="265">
        <f t="shared" si="177"/>
        <v>-306.28322591693814</v>
      </c>
      <c r="BO284" s="109"/>
      <c r="BP284" s="265">
        <f t="shared" si="178"/>
        <v>8.0971918578143232E-4</v>
      </c>
      <c r="BQ284" s="265">
        <v>8.0971918578143232E-4</v>
      </c>
      <c r="BR284" s="265" t="e">
        <f t="shared" si="179"/>
        <v>#REF!</v>
      </c>
      <c r="BS284" s="265">
        <v>9.1222345080126531E-5</v>
      </c>
      <c r="BT284" s="475">
        <v>4826.6183315825401</v>
      </c>
      <c r="BU284" s="475">
        <v>4344.3363675712462</v>
      </c>
      <c r="BV284" s="475">
        <v>12796.045300846214</v>
      </c>
      <c r="BW284" s="483">
        <f t="shared" si="180"/>
        <v>-0.70394980199307611</v>
      </c>
      <c r="BX284" s="483">
        <f t="shared" si="181"/>
        <v>-2.073452144049952</v>
      </c>
    </row>
    <row r="285" spans="1:77" s="103" customFormat="1" ht="14.5">
      <c r="A285" s="100" t="s">
        <v>2259</v>
      </c>
      <c r="B285" s="91" t="str">
        <f t="shared" si="149"/>
        <v>STW</v>
      </c>
      <c r="C285" s="92" t="s">
        <v>466</v>
      </c>
      <c r="D285" s="448"/>
      <c r="E285" s="449" t="s">
        <v>2184</v>
      </c>
      <c r="F285" s="384" t="s">
        <v>5361</v>
      </c>
      <c r="G285" s="384" t="s">
        <v>4668</v>
      </c>
      <c r="H285" s="470">
        <v>0.21428600434508943</v>
      </c>
      <c r="I285" s="95" t="s">
        <v>951</v>
      </c>
      <c r="J285" s="95" t="s">
        <v>1166</v>
      </c>
      <c r="K285" s="469">
        <v>246255</v>
      </c>
      <c r="L285" s="268">
        <v>0.18424418702117093</v>
      </c>
      <c r="M285" s="584">
        <v>0.30805687203791476</v>
      </c>
      <c r="N285" s="267">
        <f t="shared" si="150"/>
        <v>0.69194312796208524</v>
      </c>
      <c r="O285" s="96">
        <f t="shared" si="151"/>
        <v>236532.61849507986</v>
      </c>
      <c r="P285" s="96">
        <f t="shared" si="185"/>
        <v>2995.0464351649816</v>
      </c>
      <c r="Q285" s="96">
        <f t="shared" si="152"/>
        <v>6727.3350697551859</v>
      </c>
      <c r="R285" s="189" t="s">
        <v>2564</v>
      </c>
      <c r="S285" s="189" t="s">
        <v>3607</v>
      </c>
      <c r="T285" s="94" t="s">
        <v>5393</v>
      </c>
      <c r="U285" s="395">
        <f>COUNTIF(Aggregation_of_rev_to_allocate!$A$3:$A$137,$T285)</f>
        <v>0</v>
      </c>
      <c r="V285" s="100"/>
      <c r="W285" s="100">
        <v>384</v>
      </c>
      <c r="X285" s="109">
        <v>10579.208938068317</v>
      </c>
      <c r="Y285" s="109">
        <v>26936.293526927795</v>
      </c>
      <c r="Z285" s="110">
        <v>0.7109382869676536</v>
      </c>
      <c r="AA285" s="110">
        <v>0.28199566160520606</v>
      </c>
      <c r="AB285" s="110">
        <v>0.71800433839479394</v>
      </c>
      <c r="AC285" s="109">
        <f>IF(ISERROR((X285*SUMIF('Rev_for_allocation(Hard)'!$A$3:$A$249,$T285,'Rev_for_allocation(Hard)'!$I$3:$I$249)/SUMIF(Historic_capex_list!$T$9:$T$586,$T285,Historic_capex_list!$X$9:$X$586))=TRUE),0,X285*SUMIF('Rev_for_allocation(Hard)'!$A$3:$A$249,$T285,'Rev_for_allocation(Hard)'!$I$3:$I$249)/SUMIF(Historic_capex_list!$T$9:$T$586,$T285,Historic_capex_list!$X$9:$X$586))</f>
        <v>0</v>
      </c>
      <c r="AD285" s="109">
        <f t="shared" si="153"/>
        <v>10579.208938068317</v>
      </c>
      <c r="AE285" s="109">
        <f t="shared" si="154"/>
        <v>10579.208938068317</v>
      </c>
      <c r="AF285" s="109">
        <f t="shared" si="155"/>
        <v>37515.502464996112</v>
      </c>
      <c r="AG285" s="332" t="str">
        <f t="shared" si="156"/>
        <v>N</v>
      </c>
      <c r="AH285" s="332">
        <f t="shared" si="182"/>
        <v>0</v>
      </c>
      <c r="AI285" s="332">
        <f t="shared" si="183"/>
        <v>0</v>
      </c>
      <c r="AJ285" s="109">
        <f t="shared" si="184"/>
        <v>37515.502464996112</v>
      </c>
      <c r="AK285" s="109">
        <f t="shared" si="157"/>
        <v>0</v>
      </c>
      <c r="AL285" s="109">
        <v>0</v>
      </c>
      <c r="AM285" s="111">
        <f t="shared" si="158"/>
        <v>25.461538461538463</v>
      </c>
      <c r="AN285" s="111">
        <f t="shared" si="159"/>
        <v>22.461538461538463</v>
      </c>
      <c r="AO285" s="111" t="str">
        <f t="shared" si="160"/>
        <v>Use deduct 3yrs</v>
      </c>
      <c r="AP285" s="111">
        <f t="shared" si="161"/>
        <v>22.461538461538463</v>
      </c>
      <c r="AQ285" s="112">
        <f t="shared" si="162"/>
        <v>0.69194312796208524</v>
      </c>
      <c r="AR285" s="112">
        <f t="shared" si="163"/>
        <v>0.30805687203791476</v>
      </c>
      <c r="AS285" s="113">
        <f t="shared" si="164"/>
        <v>2050</v>
      </c>
      <c r="AT285" s="109">
        <v>9722.3815049201694</v>
      </c>
      <c r="AU285" s="114">
        <v>0.30805687203791476</v>
      </c>
      <c r="AV285" s="113">
        <v>2043</v>
      </c>
      <c r="AW285" s="112">
        <f t="shared" si="165"/>
        <v>0.18424418702117093</v>
      </c>
      <c r="AX285" s="109">
        <f t="shared" si="166"/>
        <v>2995.0464351649816</v>
      </c>
      <c r="AY285" s="109">
        <f t="shared" si="167"/>
        <v>6727.3350697551859</v>
      </c>
      <c r="AZ285" s="109">
        <f t="shared" si="168"/>
        <v>9722.3815049201676</v>
      </c>
      <c r="BA285" s="111">
        <f t="shared" si="169"/>
        <v>0</v>
      </c>
      <c r="BB285" s="117"/>
      <c r="BC285" s="115" t="str">
        <f t="shared" si="170"/>
        <v>Y</v>
      </c>
      <c r="BD285" s="115" t="str">
        <f t="shared" si="171"/>
        <v>Y</v>
      </c>
      <c r="BE285" s="115" t="str">
        <f t="shared" si="172"/>
        <v>N</v>
      </c>
      <c r="BF285" s="109" t="str">
        <f t="shared" si="173"/>
        <v/>
      </c>
      <c r="BG285" s="111" t="s">
        <v>2499</v>
      </c>
      <c r="BH285" s="115" t="s">
        <v>1168</v>
      </c>
      <c r="BI285" s="116"/>
      <c r="BJ285" s="222">
        <v>0.18424418702117093</v>
      </c>
      <c r="BK285" s="265">
        <f t="shared" si="174"/>
        <v>0</v>
      </c>
      <c r="BL285" s="265">
        <f t="shared" si="175"/>
        <v>0</v>
      </c>
      <c r="BM285" s="265">
        <f t="shared" si="176"/>
        <v>-3.092281986027956E-11</v>
      </c>
      <c r="BN285" s="265">
        <f t="shared" si="177"/>
        <v>7584.1625029033357</v>
      </c>
      <c r="BO285" s="109"/>
      <c r="BP285" s="265">
        <f t="shared" si="178"/>
        <v>27793.120960075943</v>
      </c>
      <c r="BQ285" s="265">
        <v>27793.120960075943</v>
      </c>
      <c r="BR285" s="265" t="e">
        <f t="shared" si="179"/>
        <v>#REF!</v>
      </c>
      <c r="BS285" s="265">
        <v>3131.1517814993631</v>
      </c>
      <c r="BT285" s="475">
        <v>43046.618495079827</v>
      </c>
      <c r="BU285" s="475">
        <v>2995.0464351649816</v>
      </c>
      <c r="BV285" s="475">
        <v>6727.3350697551878</v>
      </c>
      <c r="BW285" s="483">
        <f t="shared" si="180"/>
        <v>0</v>
      </c>
      <c r="BX285" s="483">
        <f t="shared" si="181"/>
        <v>0</v>
      </c>
    </row>
    <row r="286" spans="1:77" s="103" customFormat="1" ht="29">
      <c r="A286" s="100" t="s">
        <v>2259</v>
      </c>
      <c r="B286" s="91" t="str">
        <f t="shared" si="149"/>
        <v>STW</v>
      </c>
      <c r="C286" s="92" t="s">
        <v>466</v>
      </c>
      <c r="D286" s="448"/>
      <c r="E286" s="449" t="s">
        <v>2110</v>
      </c>
      <c r="F286" s="467" t="s">
        <v>4851</v>
      </c>
      <c r="G286" s="467" t="s">
        <v>4989</v>
      </c>
      <c r="H286" s="470">
        <v>0.33679999999999999</v>
      </c>
      <c r="I286" s="95" t="s">
        <v>962</v>
      </c>
      <c r="J286" s="95" t="s">
        <v>1166</v>
      </c>
      <c r="K286" s="469">
        <v>404340</v>
      </c>
      <c r="L286" s="471">
        <v>0.78027867566884235</v>
      </c>
      <c r="M286" s="584">
        <v>0.25345622119815669</v>
      </c>
      <c r="N286" s="267">
        <f t="shared" si="150"/>
        <v>0.74654377880184331</v>
      </c>
      <c r="O286" s="96">
        <f t="shared" si="151"/>
        <v>298080.31411032431</v>
      </c>
      <c r="P286" s="96">
        <f t="shared" si="185"/>
        <v>26932.178451300289</v>
      </c>
      <c r="Q286" s="96">
        <f t="shared" si="152"/>
        <v>79327.507438375411</v>
      </c>
      <c r="R286" s="187" t="s">
        <v>2314</v>
      </c>
      <c r="S286" s="189" t="s">
        <v>3607</v>
      </c>
      <c r="T286" s="94" t="s">
        <v>5395</v>
      </c>
      <c r="U286" s="395">
        <f>COUNTIF(Aggregation_of_rev_to_allocate!$A$3:$A$137,$T286)</f>
        <v>0</v>
      </c>
      <c r="V286" s="100"/>
      <c r="W286" s="100">
        <v>431</v>
      </c>
      <c r="X286" s="109">
        <v>25029.102182584422</v>
      </c>
      <c r="Y286" s="109">
        <v>81230.813447114895</v>
      </c>
      <c r="Z286" s="110">
        <v>0.78027871252955106</v>
      </c>
      <c r="AA286" s="110">
        <v>0.23554603854389722</v>
      </c>
      <c r="AB286" s="110">
        <v>0.76445396145610278</v>
      </c>
      <c r="AC286" s="109">
        <f>IF(ISERROR((X286*SUMIF('Rev_for_allocation(Hard)'!$A$3:$A$249,$T286,'Rev_for_allocation(Hard)'!$I$3:$I$249)/SUMIF(Historic_capex_list!$T$9:$T$586,$T286,Historic_capex_list!$X$9:$X$586))=TRUE),0,X286*SUMIF('Rev_for_allocation(Hard)'!$A$3:$A$249,$T286,'Rev_for_allocation(Hard)'!$I$3:$I$249)/SUMIF(Historic_capex_list!$T$9:$T$586,$T286,Historic_capex_list!$X$9:$X$586))</f>
        <v>0</v>
      </c>
      <c r="AD286" s="109">
        <f t="shared" si="153"/>
        <v>25029.102182584422</v>
      </c>
      <c r="AE286" s="109">
        <f t="shared" si="154"/>
        <v>25029.102182584422</v>
      </c>
      <c r="AF286" s="109">
        <f t="shared" si="155"/>
        <v>106259.91562969932</v>
      </c>
      <c r="AG286" s="332" t="str">
        <f t="shared" si="156"/>
        <v>N</v>
      </c>
      <c r="AH286" s="332">
        <f t="shared" si="182"/>
        <v>0</v>
      </c>
      <c r="AI286" s="332">
        <f t="shared" si="183"/>
        <v>0</v>
      </c>
      <c r="AJ286" s="109">
        <f t="shared" si="184"/>
        <v>106259.91562969932</v>
      </c>
      <c r="AK286" s="109">
        <f t="shared" si="157"/>
        <v>0</v>
      </c>
      <c r="AL286" s="109">
        <v>0</v>
      </c>
      <c r="AM286" s="111">
        <f t="shared" si="158"/>
        <v>32.454545454545453</v>
      </c>
      <c r="AN286" s="111">
        <f t="shared" si="159"/>
        <v>29.454545454545453</v>
      </c>
      <c r="AO286" s="111" t="str">
        <f t="shared" si="160"/>
        <v>Use deduct 3yrs</v>
      </c>
      <c r="AP286" s="111">
        <f t="shared" si="161"/>
        <v>29.454545454545453</v>
      </c>
      <c r="AQ286" s="112">
        <f t="shared" si="162"/>
        <v>0.74654377880184331</v>
      </c>
      <c r="AR286" s="112">
        <f t="shared" si="163"/>
        <v>0.25345622119815669</v>
      </c>
      <c r="AS286" s="113">
        <f t="shared" si="164"/>
        <v>2057</v>
      </c>
      <c r="AT286" s="109">
        <v>106259.91060993429</v>
      </c>
      <c r="AU286" s="114">
        <v>0.25345622119815669</v>
      </c>
      <c r="AV286" s="113">
        <v>2057</v>
      </c>
      <c r="AW286" s="112">
        <f t="shared" si="165"/>
        <v>0.7802803258188904</v>
      </c>
      <c r="AX286" s="109">
        <f t="shared" si="166"/>
        <v>26932.235408047865</v>
      </c>
      <c r="AY286" s="109">
        <f t="shared" si="167"/>
        <v>79327.675201886435</v>
      </c>
      <c r="AZ286" s="109">
        <f t="shared" si="168"/>
        <v>106259.9106099343</v>
      </c>
      <c r="BA286" s="111">
        <f t="shared" si="169"/>
        <v>0</v>
      </c>
      <c r="BB286" s="117"/>
      <c r="BC286" s="115" t="str">
        <f t="shared" si="170"/>
        <v>N</v>
      </c>
      <c r="BD286" s="115" t="str">
        <f t="shared" si="171"/>
        <v>N</v>
      </c>
      <c r="BE286" s="115" t="str">
        <f t="shared" si="172"/>
        <v>N</v>
      </c>
      <c r="BF286" s="109" t="str">
        <f t="shared" si="173"/>
        <v/>
      </c>
      <c r="BG286" s="111" t="s">
        <v>2499</v>
      </c>
      <c r="BH286" s="115" t="s">
        <v>1168</v>
      </c>
      <c r="BI286" s="116"/>
      <c r="BJ286" s="222">
        <v>0.78027867566884235</v>
      </c>
      <c r="BK286" s="265">
        <f t="shared" si="174"/>
        <v>0.16776351102453191</v>
      </c>
      <c r="BL286" s="265">
        <f t="shared" si="175"/>
        <v>-0.16776351102453191</v>
      </c>
      <c r="BM286" s="265">
        <f t="shared" si="176"/>
        <v>0</v>
      </c>
      <c r="BN286" s="265">
        <f t="shared" si="177"/>
        <v>-1903.0762687158676</v>
      </c>
      <c r="BO286" s="109"/>
      <c r="BP286" s="265">
        <f t="shared" si="178"/>
        <v>5.0197650271002203E-3</v>
      </c>
      <c r="BQ286" s="265">
        <v>5.0197650271002203E-3</v>
      </c>
      <c r="BR286" s="265" t="e">
        <f t="shared" si="179"/>
        <v>#REF!</v>
      </c>
      <c r="BS286" s="265">
        <v>5.65522894312266E-4</v>
      </c>
      <c r="BT286" s="475">
        <v>29922.08939006571</v>
      </c>
      <c r="BU286" s="475">
        <v>26932.235408047862</v>
      </c>
      <c r="BV286" s="475">
        <v>79327.675201886421</v>
      </c>
      <c r="BW286" s="483">
        <f t="shared" si="180"/>
        <v>-5.6956747572257882E-2</v>
      </c>
      <c r="BX286" s="483">
        <f t="shared" si="181"/>
        <v>-0.16776351100997999</v>
      </c>
    </row>
    <row r="287" spans="1:77" s="103" customFormat="1" ht="14.5">
      <c r="A287" s="100" t="s">
        <v>2259</v>
      </c>
      <c r="B287" s="91" t="str">
        <f t="shared" si="149"/>
        <v>STW</v>
      </c>
      <c r="C287" s="92" t="s">
        <v>466</v>
      </c>
      <c r="D287" s="448"/>
      <c r="E287" s="449" t="s">
        <v>2111</v>
      </c>
      <c r="F287" s="467" t="s">
        <v>4853</v>
      </c>
      <c r="G287" s="467" t="s">
        <v>4990</v>
      </c>
      <c r="H287" s="470">
        <v>0.2581</v>
      </c>
      <c r="I287" s="95" t="s">
        <v>962</v>
      </c>
      <c r="J287" s="95" t="s">
        <v>1166</v>
      </c>
      <c r="K287" s="469">
        <v>257170</v>
      </c>
      <c r="L287" s="471">
        <v>0.75259518738690012</v>
      </c>
      <c r="M287" s="584">
        <v>0.25345622119815669</v>
      </c>
      <c r="N287" s="267">
        <f t="shared" si="150"/>
        <v>0.74654377880184331</v>
      </c>
      <c r="O287" s="96">
        <f t="shared" si="151"/>
        <v>207216.06018977141</v>
      </c>
      <c r="P287" s="96">
        <f t="shared" si="185"/>
        <v>12661.136818260709</v>
      </c>
      <c r="Q287" s="96">
        <f t="shared" si="152"/>
        <v>37292.802991967903</v>
      </c>
      <c r="R287" s="187" t="s">
        <v>2563</v>
      </c>
      <c r="S287" s="189" t="s">
        <v>3607</v>
      </c>
      <c r="T287" s="94" t="s">
        <v>5394</v>
      </c>
      <c r="U287" s="395">
        <f>COUNTIF(Aggregation_of_rev_to_allocate!$A$3:$A$137,$T287)</f>
        <v>0</v>
      </c>
      <c r="V287" s="100"/>
      <c r="W287" s="100">
        <v>345</v>
      </c>
      <c r="X287" s="109">
        <v>12197.694442375498</v>
      </c>
      <c r="Y287" s="109">
        <v>39587.062872073206</v>
      </c>
      <c r="Z287" s="110">
        <v>0.78027871252955083</v>
      </c>
      <c r="AA287" s="110">
        <v>0.23554603854389722</v>
      </c>
      <c r="AB287" s="110">
        <v>0.76445396145610278</v>
      </c>
      <c r="AC287" s="109">
        <f>IF(ISERROR((X287*SUMIF('Rev_for_allocation(Hard)'!$A$3:$A$249,$T287,'Rev_for_allocation(Hard)'!$I$3:$I$249)/SUMIF(Historic_capex_list!$T$9:$T$586,$T287,Historic_capex_list!$X$9:$X$586))=TRUE),0,X287*SUMIF('Rev_for_allocation(Hard)'!$A$3:$A$249,$T287,'Rev_for_allocation(Hard)'!$I$3:$I$249)/SUMIF(Historic_capex_list!$T$9:$T$586,$T287,Historic_capex_list!$X$9:$X$586))</f>
        <v>0</v>
      </c>
      <c r="AD287" s="109">
        <f t="shared" si="153"/>
        <v>12197.694442375498</v>
      </c>
      <c r="AE287" s="109">
        <f t="shared" si="154"/>
        <v>12197.694442375498</v>
      </c>
      <c r="AF287" s="109">
        <f t="shared" si="155"/>
        <v>51784.757314448703</v>
      </c>
      <c r="AG287" s="332" t="str">
        <f t="shared" si="156"/>
        <v>N</v>
      </c>
      <c r="AH287" s="332">
        <f t="shared" si="182"/>
        <v>0</v>
      </c>
      <c r="AI287" s="332">
        <f t="shared" si="183"/>
        <v>0</v>
      </c>
      <c r="AJ287" s="109">
        <f t="shared" si="184"/>
        <v>51784.757314448703</v>
      </c>
      <c r="AK287" s="109">
        <f t="shared" si="157"/>
        <v>0</v>
      </c>
      <c r="AL287" s="109">
        <v>0</v>
      </c>
      <c r="AM287" s="111">
        <f t="shared" si="158"/>
        <v>32.454545454545453</v>
      </c>
      <c r="AN287" s="111">
        <f t="shared" si="159"/>
        <v>29.454545454545453</v>
      </c>
      <c r="AO287" s="111" t="str">
        <f t="shared" si="160"/>
        <v>Use deduct 3yrs</v>
      </c>
      <c r="AP287" s="111">
        <f t="shared" si="161"/>
        <v>29.454545454545453</v>
      </c>
      <c r="AQ287" s="112">
        <f t="shared" si="162"/>
        <v>0.74654377880184331</v>
      </c>
      <c r="AR287" s="112">
        <f t="shared" si="163"/>
        <v>0.25345622119815669</v>
      </c>
      <c r="AS287" s="113">
        <f t="shared" si="164"/>
        <v>2057</v>
      </c>
      <c r="AT287" s="109">
        <v>49947.484801306404</v>
      </c>
      <c r="AU287" s="114">
        <v>0.25345622119815669</v>
      </c>
      <c r="AV287" s="113">
        <v>2057</v>
      </c>
      <c r="AW287" s="112">
        <f t="shared" si="165"/>
        <v>0.7524979376270643</v>
      </c>
      <c r="AX287" s="109">
        <f t="shared" si="166"/>
        <v>12659.500756091486</v>
      </c>
      <c r="AY287" s="109">
        <f t="shared" si="167"/>
        <v>37287.984045214915</v>
      </c>
      <c r="AZ287" s="109">
        <f t="shared" si="168"/>
        <v>49947.484801306404</v>
      </c>
      <c r="BA287" s="111">
        <f t="shared" si="169"/>
        <v>0</v>
      </c>
      <c r="BB287" s="117"/>
      <c r="BC287" s="115" t="str">
        <f t="shared" si="170"/>
        <v>N</v>
      </c>
      <c r="BD287" s="115" t="str">
        <f t="shared" si="171"/>
        <v>N</v>
      </c>
      <c r="BE287" s="115" t="str">
        <f t="shared" si="172"/>
        <v>N</v>
      </c>
      <c r="BF287" s="109" t="str">
        <f t="shared" si="173"/>
        <v/>
      </c>
      <c r="BG287" s="111" t="s">
        <v>2499</v>
      </c>
      <c r="BH287" s="115" t="s">
        <v>1168</v>
      </c>
      <c r="BI287" s="116"/>
      <c r="BJ287" s="222">
        <v>0.75259518738690012</v>
      </c>
      <c r="BK287" s="265">
        <f t="shared" si="174"/>
        <v>-4.8189467529882677</v>
      </c>
      <c r="BL287" s="265">
        <f t="shared" si="175"/>
        <v>4.8189467529882677</v>
      </c>
      <c r="BM287" s="265">
        <f t="shared" si="176"/>
        <v>0</v>
      </c>
      <c r="BN287" s="265">
        <f t="shared" si="177"/>
        <v>-463.44237588521173</v>
      </c>
      <c r="BO287" s="109"/>
      <c r="BP287" s="265">
        <f t="shared" si="178"/>
        <v>1837.2725131422994</v>
      </c>
      <c r="BQ287" s="265">
        <v>1837.2725131422994</v>
      </c>
      <c r="BR287" s="265" t="e">
        <f t="shared" si="179"/>
        <v>#REF!</v>
      </c>
      <c r="BS287" s="265">
        <v>206.98571818864934</v>
      </c>
      <c r="BT287" s="475">
        <v>16419.5151986936</v>
      </c>
      <c r="BU287" s="475">
        <v>12659.500756091486</v>
      </c>
      <c r="BV287" s="475">
        <v>37287.984045214922</v>
      </c>
      <c r="BW287" s="483">
        <f t="shared" si="180"/>
        <v>1.6360621692238055</v>
      </c>
      <c r="BX287" s="483">
        <f t="shared" si="181"/>
        <v>4.8189467529809917</v>
      </c>
    </row>
    <row r="288" spans="1:77" s="103" customFormat="1" ht="29">
      <c r="A288" s="100" t="s">
        <v>2259</v>
      </c>
      <c r="B288" s="91" t="str">
        <f t="shared" si="149"/>
        <v>STW</v>
      </c>
      <c r="C288" s="92" t="s">
        <v>466</v>
      </c>
      <c r="D288" s="448"/>
      <c r="E288" s="449" t="s">
        <v>2129</v>
      </c>
      <c r="F288" s="467" t="s">
        <v>4782</v>
      </c>
      <c r="G288" s="384" t="s">
        <v>4509</v>
      </c>
      <c r="H288" s="470">
        <v>0.33333332636681384</v>
      </c>
      <c r="I288" s="95" t="s">
        <v>962</v>
      </c>
      <c r="J288" s="95" t="s">
        <v>1166</v>
      </c>
      <c r="K288" s="469">
        <v>956958.02</v>
      </c>
      <c r="L288" s="471">
        <v>4.2610305496450979E-2</v>
      </c>
      <c r="M288" s="584">
        <v>0.25345622119815669</v>
      </c>
      <c r="N288" s="267">
        <f t="shared" si="150"/>
        <v>0.74654377880184331</v>
      </c>
      <c r="O288" s="96">
        <f t="shared" si="151"/>
        <v>943365.92909090919</v>
      </c>
      <c r="P288" s="96">
        <f t="shared" si="185"/>
        <v>3445.0000000000005</v>
      </c>
      <c r="Q288" s="96">
        <f t="shared" si="152"/>
        <v>10147.09090909091</v>
      </c>
      <c r="R288" s="187" t="s">
        <v>2563</v>
      </c>
      <c r="S288" s="187" t="s">
        <v>3607</v>
      </c>
      <c r="T288" s="94" t="s">
        <v>5394</v>
      </c>
      <c r="U288" s="395">
        <f>COUNTIF(Aggregation_of_rev_to_allocate!$A$3:$A$137,$T288)</f>
        <v>0</v>
      </c>
      <c r="V288" s="100"/>
      <c r="W288" s="100">
        <v>325</v>
      </c>
      <c r="X288" s="109">
        <v>3319.4887663274621</v>
      </c>
      <c r="Y288" s="109">
        <v>10773.249905262763</v>
      </c>
      <c r="Z288" s="110">
        <v>0.81148986103073306</v>
      </c>
      <c r="AA288" s="110">
        <v>0.23554603854389722</v>
      </c>
      <c r="AB288" s="110">
        <v>0.76445396145610278</v>
      </c>
      <c r="AC288" s="109">
        <f>IF(ISERROR((X288*SUMIF('Rev_for_allocation(Hard)'!$A$3:$A$249,$T288,'Rev_for_allocation(Hard)'!$I$3:$I$249)/SUMIF(Historic_capex_list!$T$9:$T$586,$T288,Historic_capex_list!$X$9:$X$586))=TRUE),0,X288*SUMIF('Rev_for_allocation(Hard)'!$A$3:$A$249,$T288,'Rev_for_allocation(Hard)'!$I$3:$I$249)/SUMIF(Historic_capex_list!$T$9:$T$586,$T288,Historic_capex_list!$X$9:$X$586))</f>
        <v>0</v>
      </c>
      <c r="AD288" s="109">
        <f t="shared" si="153"/>
        <v>3319.4887663274621</v>
      </c>
      <c r="AE288" s="109">
        <f t="shared" si="154"/>
        <v>3319.4887663274621</v>
      </c>
      <c r="AF288" s="109">
        <f t="shared" si="155"/>
        <v>14092.738671590225</v>
      </c>
      <c r="AG288" s="332" t="str">
        <f t="shared" si="156"/>
        <v>N</v>
      </c>
      <c r="AH288" s="332">
        <f t="shared" si="182"/>
        <v>0</v>
      </c>
      <c r="AI288" s="332">
        <f t="shared" si="183"/>
        <v>0</v>
      </c>
      <c r="AJ288" s="109">
        <f t="shared" si="184"/>
        <v>14092.738671590225</v>
      </c>
      <c r="AK288" s="109">
        <f t="shared" si="157"/>
        <v>0</v>
      </c>
      <c r="AL288" s="109">
        <v>0</v>
      </c>
      <c r="AM288" s="111">
        <f t="shared" si="158"/>
        <v>32.454545454545453</v>
      </c>
      <c r="AN288" s="111">
        <f t="shared" si="159"/>
        <v>29.454545454545453</v>
      </c>
      <c r="AO288" s="111" t="str">
        <f t="shared" si="160"/>
        <v>Use deduct 3yrs</v>
      </c>
      <c r="AP288" s="111">
        <f t="shared" si="161"/>
        <v>29.454545454545453</v>
      </c>
      <c r="AQ288" s="112">
        <f t="shared" si="162"/>
        <v>0.74654377880184331</v>
      </c>
      <c r="AR288" s="112">
        <f t="shared" si="163"/>
        <v>0.25345622119815669</v>
      </c>
      <c r="AS288" s="113">
        <f t="shared" si="164"/>
        <v>2057</v>
      </c>
      <c r="AT288" s="109">
        <v>13592.742094624788</v>
      </c>
      <c r="AU288" s="114">
        <v>0.25345622119815669</v>
      </c>
      <c r="AV288" s="113">
        <v>2057</v>
      </c>
      <c r="AW288" s="112">
        <f t="shared" si="165"/>
        <v>4.2612346920005227E-2</v>
      </c>
      <c r="AX288" s="109">
        <f t="shared" si="166"/>
        <v>3445.1650470247155</v>
      </c>
      <c r="AY288" s="109">
        <f t="shared" si="167"/>
        <v>10147.577047600071</v>
      </c>
      <c r="AZ288" s="109">
        <f t="shared" si="168"/>
        <v>13592.742094624786</v>
      </c>
      <c r="BA288" s="111">
        <f t="shared" si="169"/>
        <v>0</v>
      </c>
      <c r="BB288" s="117"/>
      <c r="BC288" s="115" t="str">
        <f t="shared" si="170"/>
        <v>Y</v>
      </c>
      <c r="BD288" s="115" t="str">
        <f t="shared" si="171"/>
        <v>Y</v>
      </c>
      <c r="BE288" s="115" t="str">
        <f t="shared" si="172"/>
        <v>N</v>
      </c>
      <c r="BF288" s="109" t="str">
        <f t="shared" si="173"/>
        <v/>
      </c>
      <c r="BG288" s="111" t="s">
        <v>2499</v>
      </c>
      <c r="BH288" s="115" t="s">
        <v>1168</v>
      </c>
      <c r="BI288" s="116"/>
      <c r="BJ288" s="222">
        <v>0.78269899488237626</v>
      </c>
      <c r="BK288" s="265">
        <f t="shared" si="174"/>
        <v>0.48613850916080992</v>
      </c>
      <c r="BL288" s="265">
        <f t="shared" si="175"/>
        <v>-0.48613850916080992</v>
      </c>
      <c r="BM288" s="265">
        <f t="shared" si="176"/>
        <v>-8.5492501966655254E-11</v>
      </c>
      <c r="BN288" s="265">
        <f t="shared" si="177"/>
        <v>-125.51123367253831</v>
      </c>
      <c r="BO288" s="109"/>
      <c r="BP288" s="265">
        <f t="shared" si="178"/>
        <v>499.99657696543727</v>
      </c>
      <c r="BQ288" s="265">
        <v>499.99657696543727</v>
      </c>
      <c r="BR288" s="265" t="e">
        <f t="shared" si="179"/>
        <v>#REF!</v>
      </c>
      <c r="BS288" s="265">
        <v>56.329232508929231</v>
      </c>
      <c r="BT288" s="475">
        <v>3773.7579053752124</v>
      </c>
      <c r="BU288" s="475">
        <v>3445.1650470247159</v>
      </c>
      <c r="BV288" s="475">
        <v>10147.577047600073</v>
      </c>
      <c r="BW288" s="483">
        <f t="shared" si="180"/>
        <v>-0.16504702471547716</v>
      </c>
      <c r="BX288" s="483">
        <f t="shared" si="181"/>
        <v>-0.48613850916262891</v>
      </c>
    </row>
    <row r="289" spans="1:77" s="103" customFormat="1" ht="29">
      <c r="A289" s="100" t="s">
        <v>2259</v>
      </c>
      <c r="B289" s="91" t="str">
        <f t="shared" si="149"/>
        <v>STW</v>
      </c>
      <c r="C289" s="92" t="s">
        <v>466</v>
      </c>
      <c r="D289" s="448"/>
      <c r="E289" s="449" t="s">
        <v>2129</v>
      </c>
      <c r="F289" s="467" t="s">
        <v>4782</v>
      </c>
      <c r="G289" s="384" t="s">
        <v>4509</v>
      </c>
      <c r="H289" s="470">
        <v>0.33333332636681384</v>
      </c>
      <c r="I289" s="95" t="s">
        <v>962</v>
      </c>
      <c r="J289" s="95" t="s">
        <v>1166</v>
      </c>
      <c r="K289" s="469">
        <v>956958.02</v>
      </c>
      <c r="L289" s="471">
        <v>4.4181135336233079E-2</v>
      </c>
      <c r="M289" s="584">
        <v>0.25345622119815669</v>
      </c>
      <c r="N289" s="267">
        <f t="shared" si="150"/>
        <v>0.74654377880184331</v>
      </c>
      <c r="O289" s="96">
        <f t="shared" si="151"/>
        <v>942864.85636363644</v>
      </c>
      <c r="P289" s="96">
        <f t="shared" si="185"/>
        <v>3572.0000000000023</v>
      </c>
      <c r="Q289" s="96">
        <f t="shared" si="152"/>
        <v>10521.163636363641</v>
      </c>
      <c r="R289" s="187" t="s">
        <v>2314</v>
      </c>
      <c r="S289" s="187" t="s">
        <v>3607</v>
      </c>
      <c r="T289" s="94" t="s">
        <v>5395</v>
      </c>
      <c r="U289" s="395">
        <f>COUNTIF(Aggregation_of_rev_to_allocate!$A$3:$A$137,$T289)</f>
        <v>0</v>
      </c>
      <c r="V289" s="100"/>
      <c r="W289" s="100">
        <v>401</v>
      </c>
      <c r="X289" s="109">
        <v>3319.4887663274621</v>
      </c>
      <c r="Y289" s="109">
        <v>10773.249905262763</v>
      </c>
      <c r="Z289" s="110">
        <v>0.81148986103073306</v>
      </c>
      <c r="AA289" s="110">
        <v>0.23554603854389722</v>
      </c>
      <c r="AB289" s="110">
        <v>0.76445396145610278</v>
      </c>
      <c r="AC289" s="109">
        <f>IF(ISERROR((X289*SUMIF('Rev_for_allocation(Hard)'!$A$3:$A$249,$T289,'Rev_for_allocation(Hard)'!$I$3:$I$249)/SUMIF(Historic_capex_list!$T$9:$T$586,$T289,Historic_capex_list!$X$9:$X$586))=TRUE),0,X289*SUMIF('Rev_for_allocation(Hard)'!$A$3:$A$249,$T289,'Rev_for_allocation(Hard)'!$I$3:$I$249)/SUMIF(Historic_capex_list!$T$9:$T$586,$T289,Historic_capex_list!$X$9:$X$586))</f>
        <v>0</v>
      </c>
      <c r="AD289" s="109">
        <f t="shared" si="153"/>
        <v>3319.4887663274621</v>
      </c>
      <c r="AE289" s="109">
        <f t="shared" si="154"/>
        <v>3319.4887663274621</v>
      </c>
      <c r="AF289" s="109">
        <f t="shared" si="155"/>
        <v>14092.738671590225</v>
      </c>
      <c r="AG289" s="332" t="str">
        <f t="shared" si="156"/>
        <v>N</v>
      </c>
      <c r="AH289" s="332">
        <f t="shared" si="182"/>
        <v>0</v>
      </c>
      <c r="AI289" s="332">
        <f t="shared" si="183"/>
        <v>0</v>
      </c>
      <c r="AJ289" s="109">
        <f t="shared" si="184"/>
        <v>14092.738671590225</v>
      </c>
      <c r="AK289" s="109">
        <f t="shared" si="157"/>
        <v>0</v>
      </c>
      <c r="AL289" s="109">
        <v>0</v>
      </c>
      <c r="AM289" s="111">
        <f t="shared" si="158"/>
        <v>32.454545454545453</v>
      </c>
      <c r="AN289" s="111">
        <f t="shared" si="159"/>
        <v>29.454545454545453</v>
      </c>
      <c r="AO289" s="111" t="str">
        <f t="shared" si="160"/>
        <v>Use deduct 3yrs</v>
      </c>
      <c r="AP289" s="111">
        <f t="shared" si="161"/>
        <v>29.454545454545453</v>
      </c>
      <c r="AQ289" s="112">
        <f t="shared" si="162"/>
        <v>0.74654377880184331</v>
      </c>
      <c r="AR289" s="112">
        <f t="shared" si="163"/>
        <v>0.25345622119815669</v>
      </c>
      <c r="AS289" s="113">
        <f t="shared" si="164"/>
        <v>2057</v>
      </c>
      <c r="AT289" s="109">
        <v>14092.738005843068</v>
      </c>
      <c r="AU289" s="114">
        <v>0.25345622119815669</v>
      </c>
      <c r="AV289" s="113">
        <v>2057</v>
      </c>
      <c r="AW289" s="112">
        <f t="shared" si="165"/>
        <v>4.4179801012718643E-2</v>
      </c>
      <c r="AX289" s="109">
        <f t="shared" si="166"/>
        <v>3571.8921212966302</v>
      </c>
      <c r="AY289" s="109">
        <f t="shared" si="167"/>
        <v>10520.845884546436</v>
      </c>
      <c r="AZ289" s="109">
        <f t="shared" si="168"/>
        <v>14092.738005843066</v>
      </c>
      <c r="BA289" s="111">
        <f t="shared" si="169"/>
        <v>0</v>
      </c>
      <c r="BB289" s="117"/>
      <c r="BC289" s="115" t="str">
        <f t="shared" si="170"/>
        <v>Y</v>
      </c>
      <c r="BD289" s="115" t="str">
        <f t="shared" si="171"/>
        <v>Y</v>
      </c>
      <c r="BE289" s="115" t="str">
        <f t="shared" si="172"/>
        <v>N</v>
      </c>
      <c r="BF289" s="109" t="str">
        <f t="shared" si="173"/>
        <v/>
      </c>
      <c r="BG289" s="111" t="s">
        <v>2499</v>
      </c>
      <c r="BH289" s="115" t="s">
        <v>1168</v>
      </c>
      <c r="BI289" s="116"/>
      <c r="BJ289" s="222">
        <v>0.811489822695596</v>
      </c>
      <c r="BK289" s="265">
        <f t="shared" si="174"/>
        <v>-0.31775181720513501</v>
      </c>
      <c r="BL289" s="265">
        <f t="shared" si="175"/>
        <v>0.31775181720513501</v>
      </c>
      <c r="BM289" s="265">
        <f t="shared" si="176"/>
        <v>-6.5483618527650833E-11</v>
      </c>
      <c r="BN289" s="265">
        <f t="shared" si="177"/>
        <v>-252.51123367254013</v>
      </c>
      <c r="BO289" s="109"/>
      <c r="BP289" s="265">
        <f t="shared" si="178"/>
        <v>6.6574715674505569E-4</v>
      </c>
      <c r="BQ289" s="265">
        <v>6.6574715674505569E-4</v>
      </c>
      <c r="BR289" s="265" t="e">
        <f t="shared" si="179"/>
        <v>#REF!</v>
      </c>
      <c r="BS289" s="265">
        <v>7.5002566241654664E-5</v>
      </c>
      <c r="BT289" s="475">
        <v>3273.7619941569319</v>
      </c>
      <c r="BU289" s="475">
        <v>3571.8921212966302</v>
      </c>
      <c r="BV289" s="475">
        <v>10520.845884546437</v>
      </c>
      <c r="BW289" s="483">
        <f t="shared" si="180"/>
        <v>0.10787870337208005</v>
      </c>
      <c r="BX289" s="483">
        <f t="shared" si="181"/>
        <v>0.31775181720331602</v>
      </c>
    </row>
    <row r="290" spans="1:77" s="103" customFormat="1" ht="29">
      <c r="A290" s="100" t="s">
        <v>2259</v>
      </c>
      <c r="B290" s="91" t="str">
        <f t="shared" si="149"/>
        <v>STW</v>
      </c>
      <c r="C290" s="92" t="s">
        <v>466</v>
      </c>
      <c r="D290" s="448"/>
      <c r="E290" s="449" t="s">
        <v>2130</v>
      </c>
      <c r="F290" s="467" t="s">
        <v>4916</v>
      </c>
      <c r="G290" s="384" t="s">
        <v>4509</v>
      </c>
      <c r="H290" s="470">
        <v>0.33333333333333326</v>
      </c>
      <c r="I290" s="95" t="s">
        <v>962</v>
      </c>
      <c r="J290" s="95" t="s">
        <v>1166</v>
      </c>
      <c r="K290" s="469">
        <v>1131527.3700000001</v>
      </c>
      <c r="L290" s="471">
        <v>3.4728923324874872E-2</v>
      </c>
      <c r="M290" s="584">
        <v>0.25345622119815669</v>
      </c>
      <c r="N290" s="267">
        <f t="shared" si="150"/>
        <v>0.74654377880184331</v>
      </c>
      <c r="O290" s="96">
        <f t="shared" si="151"/>
        <v>1118428.4609090909</v>
      </c>
      <c r="P290" s="96">
        <f t="shared" si="185"/>
        <v>3320.0000000000036</v>
      </c>
      <c r="Q290" s="96">
        <f t="shared" si="152"/>
        <v>9778.909090909101</v>
      </c>
      <c r="R290" s="187" t="s">
        <v>2563</v>
      </c>
      <c r="S290" s="187" t="s">
        <v>3607</v>
      </c>
      <c r="T290" s="94" t="s">
        <v>5394</v>
      </c>
      <c r="U290" s="395">
        <f>COUNTIF(Aggregation_of_rev_to_allocate!$A$3:$A$137,$T290)</f>
        <v>0</v>
      </c>
      <c r="V290" s="100"/>
      <c r="W290" s="100">
        <v>326</v>
      </c>
      <c r="X290" s="109">
        <v>3198.8773931922519</v>
      </c>
      <c r="Y290" s="109">
        <v>10381.811176087582</v>
      </c>
      <c r="Z290" s="110">
        <v>0.81148986103073306</v>
      </c>
      <c r="AA290" s="110">
        <v>0.23554603854389722</v>
      </c>
      <c r="AB290" s="110">
        <v>0.76445396145610278</v>
      </c>
      <c r="AC290" s="109">
        <f>IF(ISERROR((X290*SUMIF('Rev_for_allocation(Hard)'!$A$3:$A$249,$T290,'Rev_for_allocation(Hard)'!$I$3:$I$249)/SUMIF(Historic_capex_list!$T$9:$T$586,$T290,Historic_capex_list!$X$9:$X$586))=TRUE),0,X290*SUMIF('Rev_for_allocation(Hard)'!$A$3:$A$249,$T290,'Rev_for_allocation(Hard)'!$I$3:$I$249)/SUMIF(Historic_capex_list!$T$9:$T$586,$T290,Historic_capex_list!$X$9:$X$586))</f>
        <v>0</v>
      </c>
      <c r="AD290" s="109">
        <f t="shared" si="153"/>
        <v>3198.8773931922519</v>
      </c>
      <c r="AE290" s="109">
        <f t="shared" si="154"/>
        <v>3198.8773931922519</v>
      </c>
      <c r="AF290" s="109">
        <f t="shared" si="155"/>
        <v>13580.688569279833</v>
      </c>
      <c r="AG290" s="332" t="str">
        <f t="shared" si="156"/>
        <v>N</v>
      </c>
      <c r="AH290" s="332">
        <f t="shared" si="182"/>
        <v>0</v>
      </c>
      <c r="AI290" s="332">
        <f t="shared" si="183"/>
        <v>0</v>
      </c>
      <c r="AJ290" s="109">
        <f t="shared" si="184"/>
        <v>13580.688569279833</v>
      </c>
      <c r="AK290" s="109">
        <f t="shared" si="157"/>
        <v>0</v>
      </c>
      <c r="AL290" s="109">
        <v>0</v>
      </c>
      <c r="AM290" s="111">
        <f t="shared" si="158"/>
        <v>32.454545454545453</v>
      </c>
      <c r="AN290" s="111">
        <f t="shared" si="159"/>
        <v>29.454545454545453</v>
      </c>
      <c r="AO290" s="111" t="str">
        <f t="shared" si="160"/>
        <v>Use deduct 3yrs</v>
      </c>
      <c r="AP290" s="111">
        <f t="shared" si="161"/>
        <v>29.454545454545453</v>
      </c>
      <c r="AQ290" s="112">
        <f t="shared" si="162"/>
        <v>0.74654377880184331</v>
      </c>
      <c r="AR290" s="112">
        <f t="shared" si="163"/>
        <v>0.25345622119815669</v>
      </c>
      <c r="AS290" s="113">
        <f t="shared" si="164"/>
        <v>2057</v>
      </c>
      <c r="AT290" s="109">
        <v>13098.859028854011</v>
      </c>
      <c r="AU290" s="114">
        <v>0.25345622119815669</v>
      </c>
      <c r="AV290" s="113">
        <v>2057</v>
      </c>
      <c r="AW290" s="112">
        <f t="shared" si="165"/>
        <v>3.4728790596167403E-2</v>
      </c>
      <c r="AX290" s="109">
        <f t="shared" si="166"/>
        <v>3319.9873114606935</v>
      </c>
      <c r="AY290" s="109">
        <f t="shared" si="167"/>
        <v>9778.8717173933146</v>
      </c>
      <c r="AZ290" s="109">
        <f t="shared" si="168"/>
        <v>13098.859028854007</v>
      </c>
      <c r="BA290" s="111">
        <f t="shared" si="169"/>
        <v>0</v>
      </c>
      <c r="BB290" s="117"/>
      <c r="BC290" s="115" t="str">
        <f t="shared" si="170"/>
        <v>Y</v>
      </c>
      <c r="BD290" s="115" t="str">
        <f t="shared" si="171"/>
        <v>Y</v>
      </c>
      <c r="BE290" s="115" t="str">
        <f t="shared" si="172"/>
        <v>N</v>
      </c>
      <c r="BF290" s="109" t="str">
        <f t="shared" si="173"/>
        <v/>
      </c>
      <c r="BG290" s="111" t="s">
        <v>2499</v>
      </c>
      <c r="BH290" s="115" t="s">
        <v>1168</v>
      </c>
      <c r="BI290" s="116"/>
      <c r="BJ290" s="222">
        <v>0.78269899488237649</v>
      </c>
      <c r="BK290" s="265">
        <f t="shared" si="174"/>
        <v>-3.7373515786384814E-2</v>
      </c>
      <c r="BL290" s="265">
        <f t="shared" si="175"/>
        <v>3.7373515786384814E-2</v>
      </c>
      <c r="BM290" s="265">
        <f t="shared" si="176"/>
        <v>7.0940586738288403E-11</v>
      </c>
      <c r="BN290" s="265">
        <f t="shared" si="177"/>
        <v>-121.12260680775171</v>
      </c>
      <c r="BO290" s="109"/>
      <c r="BP290" s="265">
        <f t="shared" si="178"/>
        <v>481.82954042582242</v>
      </c>
      <c r="BQ290" s="265">
        <v>481.82954042582242</v>
      </c>
      <c r="BR290" s="265" t="e">
        <f t="shared" si="179"/>
        <v>#REF!</v>
      </c>
      <c r="BS290" s="265">
        <v>54.282548046709572</v>
      </c>
      <c r="BT290" s="475">
        <v>3636.6409711459883</v>
      </c>
      <c r="BU290" s="475">
        <v>3319.9873114606939</v>
      </c>
      <c r="BV290" s="475">
        <v>9778.8717173933164</v>
      </c>
      <c r="BW290" s="483">
        <f t="shared" si="180"/>
        <v>1.2688539309692715E-2</v>
      </c>
      <c r="BX290" s="483">
        <f t="shared" si="181"/>
        <v>3.7373515784565825E-2</v>
      </c>
    </row>
    <row r="291" spans="1:77" s="103" customFormat="1" ht="29">
      <c r="A291" s="100" t="s">
        <v>2259</v>
      </c>
      <c r="B291" s="91" t="str">
        <f t="shared" si="149"/>
        <v>STW</v>
      </c>
      <c r="C291" s="92" t="s">
        <v>466</v>
      </c>
      <c r="D291" s="448"/>
      <c r="E291" s="449" t="s">
        <v>2130</v>
      </c>
      <c r="F291" s="467" t="s">
        <v>4916</v>
      </c>
      <c r="G291" s="384" t="s">
        <v>4509</v>
      </c>
      <c r="H291" s="470">
        <v>0.33333333333333326</v>
      </c>
      <c r="I291" s="95" t="s">
        <v>962</v>
      </c>
      <c r="J291" s="95" t="s">
        <v>1166</v>
      </c>
      <c r="K291" s="469">
        <v>1131527.3700000001</v>
      </c>
      <c r="L291" s="471">
        <v>3.6005106651873287E-2</v>
      </c>
      <c r="M291" s="584">
        <v>0.25345622119815669</v>
      </c>
      <c r="N291" s="267">
        <f t="shared" si="150"/>
        <v>0.74654377880184331</v>
      </c>
      <c r="O291" s="96">
        <f t="shared" si="151"/>
        <v>1117947.1154545457</v>
      </c>
      <c r="P291" s="96">
        <f t="shared" si="185"/>
        <v>3442.0000000000041</v>
      </c>
      <c r="Q291" s="96">
        <f t="shared" si="152"/>
        <v>10138.254545454556</v>
      </c>
      <c r="R291" s="187" t="s">
        <v>2314</v>
      </c>
      <c r="S291" s="187" t="s">
        <v>3607</v>
      </c>
      <c r="T291" s="94" t="s">
        <v>5395</v>
      </c>
      <c r="U291" s="395">
        <f>COUNTIF(Aggregation_of_rev_to_allocate!$A$3:$A$137,$T291)</f>
        <v>0</v>
      </c>
      <c r="V291" s="100"/>
      <c r="W291" s="100">
        <v>402</v>
      </c>
      <c r="X291" s="109">
        <v>3198.8773931922519</v>
      </c>
      <c r="Y291" s="109">
        <v>10381.811176087582</v>
      </c>
      <c r="Z291" s="110">
        <v>0.81148986103073306</v>
      </c>
      <c r="AA291" s="110">
        <v>0.23554603854389722</v>
      </c>
      <c r="AB291" s="110">
        <v>0.76445396145610278</v>
      </c>
      <c r="AC291" s="109">
        <f>IF(ISERROR((X291*SUMIF('Rev_for_allocation(Hard)'!$A$3:$A$249,$T291,'Rev_for_allocation(Hard)'!$I$3:$I$249)/SUMIF(Historic_capex_list!$T$9:$T$586,$T291,Historic_capex_list!$X$9:$X$586))=TRUE),0,X291*SUMIF('Rev_for_allocation(Hard)'!$A$3:$A$249,$T291,'Rev_for_allocation(Hard)'!$I$3:$I$249)/SUMIF(Historic_capex_list!$T$9:$T$586,$T291,Historic_capex_list!$X$9:$X$586))</f>
        <v>0</v>
      </c>
      <c r="AD291" s="109">
        <f t="shared" si="153"/>
        <v>3198.8773931922519</v>
      </c>
      <c r="AE291" s="109">
        <f t="shared" si="154"/>
        <v>3198.8773931922519</v>
      </c>
      <c r="AF291" s="109">
        <f t="shared" si="155"/>
        <v>13580.688569279833</v>
      </c>
      <c r="AG291" s="332" t="str">
        <f t="shared" si="156"/>
        <v>N</v>
      </c>
      <c r="AH291" s="332">
        <f t="shared" si="182"/>
        <v>0</v>
      </c>
      <c r="AI291" s="332">
        <f t="shared" si="183"/>
        <v>0</v>
      </c>
      <c r="AJ291" s="109">
        <f t="shared" si="184"/>
        <v>13580.688569279833</v>
      </c>
      <c r="AK291" s="109">
        <f t="shared" si="157"/>
        <v>0</v>
      </c>
      <c r="AL291" s="109">
        <v>0</v>
      </c>
      <c r="AM291" s="111">
        <f t="shared" si="158"/>
        <v>32.454545454545453</v>
      </c>
      <c r="AN291" s="111">
        <f t="shared" si="159"/>
        <v>29.454545454545453</v>
      </c>
      <c r="AO291" s="111" t="str">
        <f t="shared" si="160"/>
        <v>Use deduct 3yrs</v>
      </c>
      <c r="AP291" s="111">
        <f t="shared" si="161"/>
        <v>29.454545454545453</v>
      </c>
      <c r="AQ291" s="112">
        <f t="shared" si="162"/>
        <v>0.74654377880184331</v>
      </c>
      <c r="AR291" s="112">
        <f t="shared" si="163"/>
        <v>0.25345622119815669</v>
      </c>
      <c r="AS291" s="113">
        <f t="shared" si="164"/>
        <v>2057</v>
      </c>
      <c r="AT291" s="109">
        <v>13580.687927722149</v>
      </c>
      <c r="AU291" s="114">
        <v>0.25345622119815669</v>
      </c>
      <c r="AV291" s="113">
        <v>2057</v>
      </c>
      <c r="AW291" s="112">
        <f t="shared" si="165"/>
        <v>3.6006255671187565E-2</v>
      </c>
      <c r="AX291" s="109">
        <f t="shared" si="166"/>
        <v>3442.1098434318815</v>
      </c>
      <c r="AY291" s="109">
        <f t="shared" si="167"/>
        <v>10138.578084290268</v>
      </c>
      <c r="AZ291" s="109">
        <f t="shared" si="168"/>
        <v>13580.687927722149</v>
      </c>
      <c r="BA291" s="111">
        <f t="shared" si="169"/>
        <v>0</v>
      </c>
      <c r="BB291" s="117"/>
      <c r="BC291" s="115" t="str">
        <f t="shared" si="170"/>
        <v>Y</v>
      </c>
      <c r="BD291" s="115" t="str">
        <f t="shared" si="171"/>
        <v>Y</v>
      </c>
      <c r="BE291" s="115" t="str">
        <f t="shared" si="172"/>
        <v>N</v>
      </c>
      <c r="BF291" s="109" t="str">
        <f t="shared" si="173"/>
        <v/>
      </c>
      <c r="BG291" s="111" t="s">
        <v>2499</v>
      </c>
      <c r="BH291" s="115" t="s">
        <v>1168</v>
      </c>
      <c r="BI291" s="116"/>
      <c r="BJ291" s="222">
        <v>0.81148982269559611</v>
      </c>
      <c r="BK291" s="265">
        <f t="shared" si="174"/>
        <v>0.32353883571158804</v>
      </c>
      <c r="BL291" s="265">
        <f t="shared" si="175"/>
        <v>-0.32353883571158804</v>
      </c>
      <c r="BM291" s="265">
        <f t="shared" si="176"/>
        <v>-1.5825207810848951E-10</v>
      </c>
      <c r="BN291" s="265">
        <f t="shared" si="177"/>
        <v>-243.12260680775216</v>
      </c>
      <c r="BO291" s="109"/>
      <c r="BP291" s="265">
        <f t="shared" si="178"/>
        <v>6.4155768450291362E-4</v>
      </c>
      <c r="BQ291" s="265">
        <v>6.4155768450291362E-4</v>
      </c>
      <c r="BR291" s="265" t="e">
        <f t="shared" si="179"/>
        <v>#REF!</v>
      </c>
      <c r="BS291" s="265">
        <v>7.2277398772577973E-5</v>
      </c>
      <c r="BT291" s="475">
        <v>3154.8120722778513</v>
      </c>
      <c r="BU291" s="475">
        <v>3442.109843431881</v>
      </c>
      <c r="BV291" s="475">
        <v>10138.578084290268</v>
      </c>
      <c r="BW291" s="483">
        <f t="shared" si="180"/>
        <v>-0.10984343187692502</v>
      </c>
      <c r="BX291" s="483">
        <f t="shared" si="181"/>
        <v>-0.32353883571158804</v>
      </c>
    </row>
    <row r="292" spans="1:77" s="103" customFormat="1" ht="29">
      <c r="A292" s="100" t="s">
        <v>2259</v>
      </c>
      <c r="B292" s="91" t="str">
        <f t="shared" si="149"/>
        <v>STW</v>
      </c>
      <c r="C292" s="92" t="s">
        <v>466</v>
      </c>
      <c r="D292" s="448"/>
      <c r="E292" s="449" t="s">
        <v>2131</v>
      </c>
      <c r="F292" s="467" t="s">
        <v>4783</v>
      </c>
      <c r="G292" s="384" t="s">
        <v>4671</v>
      </c>
      <c r="H292" s="470">
        <v>0.33333333068203408</v>
      </c>
      <c r="I292" s="95" t="s">
        <v>962</v>
      </c>
      <c r="J292" s="95" t="s">
        <v>1166</v>
      </c>
      <c r="K292" s="469">
        <v>2514490.46</v>
      </c>
      <c r="L292" s="471">
        <v>3.4730174161684696E-2</v>
      </c>
      <c r="M292" s="584">
        <v>0.25345622119815669</v>
      </c>
      <c r="N292" s="267">
        <f t="shared" si="150"/>
        <v>0.74654377880184331</v>
      </c>
      <c r="O292" s="96">
        <f t="shared" si="151"/>
        <v>2485380.8963636365</v>
      </c>
      <c r="P292" s="96">
        <f t="shared" si="185"/>
        <v>7378.0000000000227</v>
      </c>
      <c r="Q292" s="96">
        <f t="shared" si="152"/>
        <v>21731.563636363702</v>
      </c>
      <c r="R292" s="187" t="s">
        <v>2563</v>
      </c>
      <c r="S292" s="187" t="s">
        <v>3608</v>
      </c>
      <c r="T292" s="94" t="s">
        <v>5394</v>
      </c>
      <c r="U292" s="395">
        <f>COUNTIF(Aggregation_of_rev_to_allocate!$A$3:$A$137,$T292)</f>
        <v>0</v>
      </c>
      <c r="V292" s="100"/>
      <c r="W292" s="100">
        <v>327</v>
      </c>
      <c r="X292" s="109">
        <v>7108.5208577050744</v>
      </c>
      <c r="Y292" s="109">
        <v>23070.381329097378</v>
      </c>
      <c r="Z292" s="110">
        <v>0.81148986103073317</v>
      </c>
      <c r="AA292" s="110">
        <v>0.23554603854389722</v>
      </c>
      <c r="AB292" s="110">
        <v>0.76445396145610278</v>
      </c>
      <c r="AC292" s="109">
        <f>IF(ISERROR((X292*SUMIF('Rev_for_allocation(Hard)'!$A$3:$A$249,$T292,'Rev_for_allocation(Hard)'!$I$3:$I$249)/SUMIF(Historic_capex_list!$T$9:$T$586,$T292,Historic_capex_list!$X$9:$X$586))=TRUE),0,X292*SUMIF('Rev_for_allocation(Hard)'!$A$3:$A$249,$T292,'Rev_for_allocation(Hard)'!$I$3:$I$249)/SUMIF(Historic_capex_list!$T$9:$T$586,$T292,Historic_capex_list!$X$9:$X$586))</f>
        <v>0</v>
      </c>
      <c r="AD292" s="109">
        <f t="shared" si="153"/>
        <v>7108.5208577050744</v>
      </c>
      <c r="AE292" s="109">
        <f t="shared" si="154"/>
        <v>7108.5208577050744</v>
      </c>
      <c r="AF292" s="109">
        <f t="shared" si="155"/>
        <v>30178.90218680245</v>
      </c>
      <c r="AG292" s="332" t="str">
        <f t="shared" si="156"/>
        <v>N</v>
      </c>
      <c r="AH292" s="332">
        <f t="shared" si="182"/>
        <v>0</v>
      </c>
      <c r="AI292" s="332">
        <f t="shared" si="183"/>
        <v>0</v>
      </c>
      <c r="AJ292" s="109">
        <f t="shared" si="184"/>
        <v>30178.90218680245</v>
      </c>
      <c r="AK292" s="109">
        <f t="shared" si="157"/>
        <v>0</v>
      </c>
      <c r="AL292" s="109">
        <v>0</v>
      </c>
      <c r="AM292" s="111">
        <f t="shared" si="158"/>
        <v>32.454545454545453</v>
      </c>
      <c r="AN292" s="111">
        <f t="shared" si="159"/>
        <v>29.454545454545453</v>
      </c>
      <c r="AO292" s="111" t="str">
        <f t="shared" si="160"/>
        <v>Use deduct 3yrs</v>
      </c>
      <c r="AP292" s="111">
        <f t="shared" si="161"/>
        <v>29.454545454545453</v>
      </c>
      <c r="AQ292" s="112">
        <f t="shared" si="162"/>
        <v>0.74654377880184331</v>
      </c>
      <c r="AR292" s="112">
        <f t="shared" si="163"/>
        <v>0.25345622119815669</v>
      </c>
      <c r="AS292" s="113">
        <f t="shared" si="164"/>
        <v>2057</v>
      </c>
      <c r="AT292" s="109">
        <v>29108.184270178142</v>
      </c>
      <c r="AU292" s="114">
        <v>0.25345622119815669</v>
      </c>
      <c r="AV292" s="113">
        <v>2057</v>
      </c>
      <c r="AW292" s="112">
        <f t="shared" si="165"/>
        <v>3.4728528461032616E-2</v>
      </c>
      <c r="AX292" s="109">
        <f t="shared" si="166"/>
        <v>7377.6503910589763</v>
      </c>
      <c r="AY292" s="109">
        <f t="shared" si="167"/>
        <v>21730.533879119164</v>
      </c>
      <c r="AZ292" s="109">
        <f t="shared" si="168"/>
        <v>29108.184270178142</v>
      </c>
      <c r="BA292" s="111">
        <f t="shared" si="169"/>
        <v>0</v>
      </c>
      <c r="BB292" s="117"/>
      <c r="BC292" s="115" t="str">
        <f t="shared" si="170"/>
        <v>Y</v>
      </c>
      <c r="BD292" s="115" t="str">
        <f t="shared" si="171"/>
        <v>Y</v>
      </c>
      <c r="BE292" s="115" t="str">
        <f t="shared" si="172"/>
        <v>N</v>
      </c>
      <c r="BF292" s="109" t="str">
        <f t="shared" si="173"/>
        <v/>
      </c>
      <c r="BG292" s="111" t="s">
        <v>2499</v>
      </c>
      <c r="BH292" s="115" t="s">
        <v>1168</v>
      </c>
      <c r="BI292" s="116"/>
      <c r="BJ292" s="222">
        <v>0.7826989948823766</v>
      </c>
      <c r="BK292" s="265">
        <f t="shared" si="174"/>
        <v>-1.0297572445379046</v>
      </c>
      <c r="BL292" s="265">
        <f t="shared" si="175"/>
        <v>1.0297572445379046</v>
      </c>
      <c r="BM292" s="265">
        <f t="shared" si="176"/>
        <v>-2.4010660126805305E-10</v>
      </c>
      <c r="BN292" s="265">
        <f t="shared" si="177"/>
        <v>-269.47914229494836</v>
      </c>
      <c r="BO292" s="109"/>
      <c r="BP292" s="265">
        <f t="shared" si="178"/>
        <v>1070.7179166243077</v>
      </c>
      <c r="BQ292" s="265">
        <v>1070.7179166243077</v>
      </c>
      <c r="BR292" s="265" t="e">
        <f t="shared" si="179"/>
        <v>#REF!</v>
      </c>
      <c r="BS292" s="265">
        <v>120.62626276974713</v>
      </c>
      <c r="BT292" s="475">
        <v>8081.3157298218557</v>
      </c>
      <c r="BU292" s="475">
        <v>7377.6503910589772</v>
      </c>
      <c r="BV292" s="475">
        <v>21730.533879119168</v>
      </c>
      <c r="BW292" s="483">
        <f t="shared" si="180"/>
        <v>0.34960894104551699</v>
      </c>
      <c r="BX292" s="483">
        <f t="shared" si="181"/>
        <v>1.0297572445342666</v>
      </c>
    </row>
    <row r="293" spans="1:77" s="103" customFormat="1" ht="29">
      <c r="A293" s="100" t="s">
        <v>2259</v>
      </c>
      <c r="B293" s="91" t="str">
        <f t="shared" si="149"/>
        <v>STW</v>
      </c>
      <c r="C293" s="92" t="s">
        <v>466</v>
      </c>
      <c r="D293" s="448"/>
      <c r="E293" s="449" t="s">
        <v>2131</v>
      </c>
      <c r="F293" s="467" t="s">
        <v>4783</v>
      </c>
      <c r="G293" s="384" t="s">
        <v>4671</v>
      </c>
      <c r="H293" s="470">
        <v>0.33333333068203408</v>
      </c>
      <c r="I293" s="95" t="s">
        <v>962</v>
      </c>
      <c r="J293" s="95" t="s">
        <v>1166</v>
      </c>
      <c r="K293" s="469">
        <v>2514490.46</v>
      </c>
      <c r="L293" s="471">
        <v>3.6005841984647097E-2</v>
      </c>
      <c r="M293" s="584">
        <v>0.25345622119815669</v>
      </c>
      <c r="N293" s="267">
        <f t="shared" si="150"/>
        <v>0.74654377880184331</v>
      </c>
      <c r="O293" s="96">
        <f t="shared" si="151"/>
        <v>2484311.6781818182</v>
      </c>
      <c r="P293" s="96">
        <f t="shared" si="185"/>
        <v>7649.0000000000246</v>
      </c>
      <c r="Q293" s="96">
        <f t="shared" si="152"/>
        <v>22529.781818181888</v>
      </c>
      <c r="R293" s="187" t="s">
        <v>2314</v>
      </c>
      <c r="S293" s="187" t="s">
        <v>3608</v>
      </c>
      <c r="T293" s="94" t="s">
        <v>5395</v>
      </c>
      <c r="U293" s="395">
        <f>COUNTIF(Aggregation_of_rev_to_allocate!$A$3:$A$137,$T293)</f>
        <v>0</v>
      </c>
      <c r="V293" s="100"/>
      <c r="W293" s="100">
        <v>403</v>
      </c>
      <c r="X293" s="109">
        <v>7108.5208577050744</v>
      </c>
      <c r="Y293" s="109">
        <v>23070.381329097378</v>
      </c>
      <c r="Z293" s="110">
        <v>0.81148986103073317</v>
      </c>
      <c r="AA293" s="110">
        <v>0.23554603854389722</v>
      </c>
      <c r="AB293" s="110">
        <v>0.76445396145610278</v>
      </c>
      <c r="AC293" s="109">
        <f>IF(ISERROR((X293*SUMIF('Rev_for_allocation(Hard)'!$A$3:$A$249,$T293,'Rev_for_allocation(Hard)'!$I$3:$I$249)/SUMIF(Historic_capex_list!$T$9:$T$586,$T293,Historic_capex_list!$X$9:$X$586))=TRUE),0,X293*SUMIF('Rev_for_allocation(Hard)'!$A$3:$A$249,$T293,'Rev_for_allocation(Hard)'!$I$3:$I$249)/SUMIF(Historic_capex_list!$T$9:$T$586,$T293,Historic_capex_list!$X$9:$X$586))</f>
        <v>0</v>
      </c>
      <c r="AD293" s="109">
        <f t="shared" si="153"/>
        <v>7108.5208577050744</v>
      </c>
      <c r="AE293" s="109">
        <f t="shared" si="154"/>
        <v>7108.5208577050744</v>
      </c>
      <c r="AF293" s="109">
        <f t="shared" si="155"/>
        <v>30178.90218680245</v>
      </c>
      <c r="AG293" s="332" t="str">
        <f t="shared" si="156"/>
        <v>N</v>
      </c>
      <c r="AH293" s="332">
        <f t="shared" si="182"/>
        <v>0</v>
      </c>
      <c r="AI293" s="332">
        <f t="shared" si="183"/>
        <v>0</v>
      </c>
      <c r="AJ293" s="109">
        <f t="shared" si="184"/>
        <v>30178.90218680245</v>
      </c>
      <c r="AK293" s="109">
        <f t="shared" si="157"/>
        <v>0</v>
      </c>
      <c r="AL293" s="109">
        <v>0</v>
      </c>
      <c r="AM293" s="111">
        <f t="shared" si="158"/>
        <v>32.454545454545453</v>
      </c>
      <c r="AN293" s="111">
        <f t="shared" si="159"/>
        <v>29.454545454545453</v>
      </c>
      <c r="AO293" s="111" t="str">
        <f t="shared" si="160"/>
        <v>Use deduct 3yrs</v>
      </c>
      <c r="AP293" s="111">
        <f t="shared" si="161"/>
        <v>29.454545454545453</v>
      </c>
      <c r="AQ293" s="112">
        <f t="shared" si="162"/>
        <v>0.74654377880184331</v>
      </c>
      <c r="AR293" s="112">
        <f t="shared" si="163"/>
        <v>0.25345622119815669</v>
      </c>
      <c r="AS293" s="113">
        <f t="shared" si="164"/>
        <v>2057</v>
      </c>
      <c r="AT293" s="109">
        <v>30178.900761137877</v>
      </c>
      <c r="AU293" s="114">
        <v>0.25345622119815669</v>
      </c>
      <c r="AV293" s="113">
        <v>2057</v>
      </c>
      <c r="AW293" s="112">
        <f t="shared" si="165"/>
        <v>3.6005983893664606E-2</v>
      </c>
      <c r="AX293" s="109">
        <f t="shared" si="166"/>
        <v>7649.0301468321795</v>
      </c>
      <c r="AY293" s="109">
        <f t="shared" si="167"/>
        <v>22529.870614305695</v>
      </c>
      <c r="AZ293" s="109">
        <f t="shared" si="168"/>
        <v>30178.900761137877</v>
      </c>
      <c r="BA293" s="111">
        <f t="shared" si="169"/>
        <v>0</v>
      </c>
      <c r="BB293" s="117"/>
      <c r="BC293" s="115" t="str">
        <f t="shared" si="170"/>
        <v>Y</v>
      </c>
      <c r="BD293" s="115" t="str">
        <f t="shared" si="171"/>
        <v>Y</v>
      </c>
      <c r="BE293" s="115" t="str">
        <f t="shared" si="172"/>
        <v>N</v>
      </c>
      <c r="BF293" s="109" t="str">
        <f t="shared" si="173"/>
        <v/>
      </c>
      <c r="BG293" s="111" t="s">
        <v>2499</v>
      </c>
      <c r="BH293" s="115" t="s">
        <v>1168</v>
      </c>
      <c r="BI293" s="116"/>
      <c r="BJ293" s="222">
        <v>0.81148982269559622</v>
      </c>
      <c r="BK293" s="265">
        <f t="shared" si="174"/>
        <v>8.8796123807696858E-2</v>
      </c>
      <c r="BL293" s="265">
        <f t="shared" si="175"/>
        <v>-8.8796123807696858E-2</v>
      </c>
      <c r="BM293" s="265">
        <f t="shared" si="176"/>
        <v>-1.7098500393331051E-10</v>
      </c>
      <c r="BN293" s="265">
        <f t="shared" si="177"/>
        <v>-540.47914229495018</v>
      </c>
      <c r="BO293" s="109"/>
      <c r="BP293" s="265">
        <f t="shared" si="178"/>
        <v>1.4256645736168139E-3</v>
      </c>
      <c r="BQ293" s="265">
        <v>1.4256645736168139E-3</v>
      </c>
      <c r="BR293" s="265" t="e">
        <f t="shared" si="179"/>
        <v>#REF!</v>
      </c>
      <c r="BS293" s="265">
        <v>1.6061428207048752E-4</v>
      </c>
      <c r="BT293" s="475">
        <v>7010.5992388621244</v>
      </c>
      <c r="BU293" s="475">
        <v>7649.0301468321813</v>
      </c>
      <c r="BV293" s="475">
        <v>22529.870614305695</v>
      </c>
      <c r="BW293" s="483">
        <f t="shared" si="180"/>
        <v>-3.014683215678815E-2</v>
      </c>
      <c r="BX293" s="483">
        <f t="shared" si="181"/>
        <v>-8.8796123807696858E-2</v>
      </c>
    </row>
    <row r="294" spans="1:77" s="103" customFormat="1" ht="43.5">
      <c r="A294" s="100" t="s">
        <v>2259</v>
      </c>
      <c r="B294" s="91" t="str">
        <f t="shared" si="149"/>
        <v>STW</v>
      </c>
      <c r="C294" s="92" t="s">
        <v>466</v>
      </c>
      <c r="D294" s="448"/>
      <c r="E294" s="449" t="s">
        <v>2080</v>
      </c>
      <c r="F294" s="467" t="s">
        <v>4785</v>
      </c>
      <c r="G294" s="384" t="s">
        <v>4673</v>
      </c>
      <c r="H294" s="470">
        <v>0.33333333333333337</v>
      </c>
      <c r="I294" s="95" t="s">
        <v>962</v>
      </c>
      <c r="J294" s="95" t="s">
        <v>1166</v>
      </c>
      <c r="K294" s="469">
        <v>1885865.8049999999</v>
      </c>
      <c r="L294" s="471">
        <v>0.27953852127964013</v>
      </c>
      <c r="M294" s="584">
        <v>0.30805687203791476</v>
      </c>
      <c r="N294" s="267">
        <f t="shared" si="150"/>
        <v>0.69194312796208524</v>
      </c>
      <c r="O294" s="96">
        <f t="shared" si="151"/>
        <v>1710141.758846154</v>
      </c>
      <c r="P294" s="96">
        <f t="shared" si="185"/>
        <v>54132.999999999985</v>
      </c>
      <c r="Q294" s="96">
        <f t="shared" si="152"/>
        <v>121591.04615384608</v>
      </c>
      <c r="R294" s="187" t="s">
        <v>2563</v>
      </c>
      <c r="S294" s="187" t="s">
        <v>3607</v>
      </c>
      <c r="T294" s="94" t="s">
        <v>5394</v>
      </c>
      <c r="U294" s="395">
        <f>COUNTIF(Aggregation_of_rev_to_allocate!$A$3:$A$137,$T294)</f>
        <v>0</v>
      </c>
      <c r="V294" s="100"/>
      <c r="W294" s="100">
        <v>328</v>
      </c>
      <c r="X294" s="109">
        <v>51751.395494186632</v>
      </c>
      <c r="Y294" s="109">
        <v>131767.01468135213</v>
      </c>
      <c r="Z294" s="110">
        <v>0.71093828696765371</v>
      </c>
      <c r="AA294" s="110">
        <v>0.28199566160520606</v>
      </c>
      <c r="AB294" s="110">
        <v>0.71800433839479394</v>
      </c>
      <c r="AC294" s="109">
        <f>IF(ISERROR((X294*SUMIF('Rev_for_allocation(Hard)'!$A$3:$A$249,$T294,'Rev_for_allocation(Hard)'!$I$3:$I$249)/SUMIF(Historic_capex_list!$T$9:$T$586,$T294,Historic_capex_list!$X$9:$X$586))=TRUE),0,X294*SUMIF('Rev_for_allocation(Hard)'!$A$3:$A$249,$T294,'Rev_for_allocation(Hard)'!$I$3:$I$249)/SUMIF(Historic_capex_list!$T$9:$T$586,$T294,Historic_capex_list!$X$9:$X$586))</f>
        <v>0</v>
      </c>
      <c r="AD294" s="109">
        <f t="shared" si="153"/>
        <v>51751.395494186632</v>
      </c>
      <c r="AE294" s="109">
        <f t="shared" si="154"/>
        <v>51751.395494186632</v>
      </c>
      <c r="AF294" s="109">
        <f t="shared" si="155"/>
        <v>183518.41017553877</v>
      </c>
      <c r="AG294" s="332" t="str">
        <f t="shared" si="156"/>
        <v>N</v>
      </c>
      <c r="AH294" s="332">
        <f t="shared" si="182"/>
        <v>0</v>
      </c>
      <c r="AI294" s="332">
        <f t="shared" si="183"/>
        <v>0</v>
      </c>
      <c r="AJ294" s="109">
        <f t="shared" si="184"/>
        <v>183518.41017553877</v>
      </c>
      <c r="AK294" s="109">
        <f t="shared" si="157"/>
        <v>0</v>
      </c>
      <c r="AL294" s="109">
        <v>0</v>
      </c>
      <c r="AM294" s="111">
        <f t="shared" si="158"/>
        <v>25.461538461538463</v>
      </c>
      <c r="AN294" s="111">
        <f t="shared" si="159"/>
        <v>22.461538461538463</v>
      </c>
      <c r="AO294" s="111" t="str">
        <f t="shared" si="160"/>
        <v>Use deduct 3yrs</v>
      </c>
      <c r="AP294" s="111">
        <f t="shared" si="161"/>
        <v>22.461538461538463</v>
      </c>
      <c r="AQ294" s="112">
        <f t="shared" si="162"/>
        <v>0.69194312796208524</v>
      </c>
      <c r="AR294" s="112">
        <f t="shared" si="163"/>
        <v>0.30805687203791476</v>
      </c>
      <c r="AS294" s="113">
        <f t="shared" si="164"/>
        <v>2050</v>
      </c>
      <c r="AT294" s="109">
        <v>175723.37834330113</v>
      </c>
      <c r="AU294" s="114">
        <v>0.30805687203791476</v>
      </c>
      <c r="AV294" s="113">
        <v>2050</v>
      </c>
      <c r="AW294" s="112">
        <f t="shared" si="165"/>
        <v>0.27953745893913345</v>
      </c>
      <c r="AX294" s="109">
        <f t="shared" si="166"/>
        <v>54132.794276372399</v>
      </c>
      <c r="AY294" s="109">
        <f t="shared" si="167"/>
        <v>121590.58406692874</v>
      </c>
      <c r="AZ294" s="109">
        <f t="shared" si="168"/>
        <v>175723.37834330113</v>
      </c>
      <c r="BA294" s="111">
        <f t="shared" si="169"/>
        <v>0</v>
      </c>
      <c r="BB294" s="117"/>
      <c r="BC294" s="115" t="str">
        <f t="shared" si="170"/>
        <v>N</v>
      </c>
      <c r="BD294" s="115" t="str">
        <f t="shared" si="171"/>
        <v>N</v>
      </c>
      <c r="BE294" s="115" t="str">
        <f t="shared" si="172"/>
        <v>N</v>
      </c>
      <c r="BF294" s="109" t="str">
        <f t="shared" si="173"/>
        <v/>
      </c>
      <c r="BG294" s="111" t="s">
        <v>2499</v>
      </c>
      <c r="BH294" s="115" t="s">
        <v>1168</v>
      </c>
      <c r="BI294" s="116"/>
      <c r="BJ294" s="222">
        <v>0.68074084480166863</v>
      </c>
      <c r="BK294" s="265">
        <f t="shared" si="174"/>
        <v>-0.46208691733772866</v>
      </c>
      <c r="BL294" s="265">
        <f t="shared" si="175"/>
        <v>0.46208691733772866</v>
      </c>
      <c r="BM294" s="265">
        <f t="shared" si="176"/>
        <v>0</v>
      </c>
      <c r="BN294" s="265">
        <f t="shared" si="177"/>
        <v>-2381.6045058133532</v>
      </c>
      <c r="BO294" s="109"/>
      <c r="BP294" s="265">
        <f t="shared" si="178"/>
        <v>7795.0318322376406</v>
      </c>
      <c r="BQ294" s="265">
        <v>7795.0318322376406</v>
      </c>
      <c r="BR294" s="265" t="e">
        <f t="shared" si="179"/>
        <v>#REF!</v>
      </c>
      <c r="BS294" s="265">
        <v>878.18233308219442</v>
      </c>
      <c r="BT294" s="475">
        <v>82412.121656698873</v>
      </c>
      <c r="BU294" s="475">
        <v>54132.794276372399</v>
      </c>
      <c r="BV294" s="475">
        <v>121590.58406692873</v>
      </c>
      <c r="BW294" s="483">
        <f t="shared" si="180"/>
        <v>0.20572362758684903</v>
      </c>
      <c r="BX294" s="483">
        <f t="shared" si="181"/>
        <v>0.46208691735228058</v>
      </c>
    </row>
    <row r="295" spans="1:77" s="103" customFormat="1" ht="43.5">
      <c r="A295" s="100" t="s">
        <v>2259</v>
      </c>
      <c r="B295" s="91" t="str">
        <f t="shared" si="149"/>
        <v>STW</v>
      </c>
      <c r="C295" s="92" t="s">
        <v>466</v>
      </c>
      <c r="D295" s="448"/>
      <c r="E295" s="449" t="s">
        <v>2080</v>
      </c>
      <c r="F295" s="467" t="s">
        <v>4785</v>
      </c>
      <c r="G295" s="384" t="s">
        <v>4673</v>
      </c>
      <c r="H295" s="470">
        <v>0.33333333333333337</v>
      </c>
      <c r="I295" s="95" t="s">
        <v>962</v>
      </c>
      <c r="J295" s="95" t="s">
        <v>1166</v>
      </c>
      <c r="K295" s="469">
        <v>1885865.8049999999</v>
      </c>
      <c r="L295" s="471">
        <v>0.29193709497022474</v>
      </c>
      <c r="M295" s="584">
        <v>0.30805687203791476</v>
      </c>
      <c r="N295" s="267">
        <f t="shared" si="150"/>
        <v>0.69194312796208524</v>
      </c>
      <c r="O295" s="96">
        <f t="shared" si="151"/>
        <v>1702347.7434615386</v>
      </c>
      <c r="P295" s="96">
        <f t="shared" si="185"/>
        <v>56533.999999999985</v>
      </c>
      <c r="Q295" s="96">
        <f t="shared" si="152"/>
        <v>126984.06153846148</v>
      </c>
      <c r="R295" s="187" t="s">
        <v>2314</v>
      </c>
      <c r="S295" s="189" t="s">
        <v>3607</v>
      </c>
      <c r="T295" s="94" t="s">
        <v>5395</v>
      </c>
      <c r="U295" s="395">
        <f>COUNTIF(Aggregation_of_rev_to_allocate!$A$3:$A$137,$T295)</f>
        <v>0</v>
      </c>
      <c r="V295" s="100"/>
      <c r="W295" s="100">
        <v>404</v>
      </c>
      <c r="X295" s="109">
        <v>51751.39549418664</v>
      </c>
      <c r="Y295" s="109">
        <v>131767.01468135216</v>
      </c>
      <c r="Z295" s="110">
        <v>0.71093828696765382</v>
      </c>
      <c r="AA295" s="110">
        <v>0.28199566160520606</v>
      </c>
      <c r="AB295" s="110">
        <v>0.71800433839479394</v>
      </c>
      <c r="AC295" s="109">
        <f>IF(ISERROR((X295*SUMIF('Rev_for_allocation(Hard)'!$A$3:$A$249,$T295,'Rev_for_allocation(Hard)'!$I$3:$I$249)/SUMIF(Historic_capex_list!$T$9:$T$586,$T295,Historic_capex_list!$X$9:$X$586))=TRUE),0,X295*SUMIF('Rev_for_allocation(Hard)'!$A$3:$A$249,$T295,'Rev_for_allocation(Hard)'!$I$3:$I$249)/SUMIF(Historic_capex_list!$T$9:$T$586,$T295,Historic_capex_list!$X$9:$X$586))</f>
        <v>0</v>
      </c>
      <c r="AD295" s="109">
        <f t="shared" si="153"/>
        <v>51751.39549418664</v>
      </c>
      <c r="AE295" s="109">
        <f t="shared" si="154"/>
        <v>51751.39549418664</v>
      </c>
      <c r="AF295" s="109">
        <f t="shared" si="155"/>
        <v>183518.4101755388</v>
      </c>
      <c r="AG295" s="332" t="str">
        <f t="shared" si="156"/>
        <v>N</v>
      </c>
      <c r="AH295" s="332">
        <f t="shared" si="182"/>
        <v>0</v>
      </c>
      <c r="AI295" s="332">
        <f t="shared" si="183"/>
        <v>0</v>
      </c>
      <c r="AJ295" s="109">
        <f t="shared" si="184"/>
        <v>183518.4101755388</v>
      </c>
      <c r="AK295" s="109">
        <f t="shared" si="157"/>
        <v>0</v>
      </c>
      <c r="AL295" s="109">
        <v>0</v>
      </c>
      <c r="AM295" s="111">
        <f t="shared" si="158"/>
        <v>25.461538461538463</v>
      </c>
      <c r="AN295" s="111">
        <f t="shared" si="159"/>
        <v>22.461538461538463</v>
      </c>
      <c r="AO295" s="111" t="str">
        <f t="shared" si="160"/>
        <v>Use deduct 3yrs</v>
      </c>
      <c r="AP295" s="111">
        <f t="shared" si="161"/>
        <v>22.461538461538463</v>
      </c>
      <c r="AQ295" s="112">
        <f t="shared" si="162"/>
        <v>0.69194312796208524</v>
      </c>
      <c r="AR295" s="112">
        <f t="shared" si="163"/>
        <v>0.30805687203791476</v>
      </c>
      <c r="AS295" s="113">
        <f t="shared" si="164"/>
        <v>2050</v>
      </c>
      <c r="AT295" s="109">
        <v>183518.3997964272</v>
      </c>
      <c r="AU295" s="114">
        <v>0.30805687203791476</v>
      </c>
      <c r="AV295" s="113">
        <v>2050</v>
      </c>
      <c r="AW295" s="112">
        <f t="shared" si="165"/>
        <v>0.29193763306466103</v>
      </c>
      <c r="AX295" s="109">
        <f t="shared" si="166"/>
        <v>56534.104202690862</v>
      </c>
      <c r="AY295" s="109">
        <f t="shared" si="167"/>
        <v>126984.29559373636</v>
      </c>
      <c r="AZ295" s="109">
        <f t="shared" si="168"/>
        <v>183518.39979642723</v>
      </c>
      <c r="BA295" s="111">
        <f t="shared" si="169"/>
        <v>0</v>
      </c>
      <c r="BB295" s="117"/>
      <c r="BC295" s="115" t="str">
        <f t="shared" si="170"/>
        <v>N</v>
      </c>
      <c r="BD295" s="115" t="str">
        <f t="shared" si="171"/>
        <v>N</v>
      </c>
      <c r="BE295" s="115" t="str">
        <f t="shared" si="172"/>
        <v>N</v>
      </c>
      <c r="BF295" s="109" t="str">
        <f t="shared" si="173"/>
        <v/>
      </c>
      <c r="BG295" s="111" t="s">
        <v>2499</v>
      </c>
      <c r="BH295" s="115" t="s">
        <v>1168</v>
      </c>
      <c r="BI295" s="116"/>
      <c r="BJ295" s="222">
        <v>0.71093824675965611</v>
      </c>
      <c r="BK295" s="265">
        <f t="shared" si="174"/>
        <v>0.23405527487921063</v>
      </c>
      <c r="BL295" s="265">
        <f t="shared" si="175"/>
        <v>-0.23405527487921063</v>
      </c>
      <c r="BM295" s="265">
        <f t="shared" si="176"/>
        <v>0</v>
      </c>
      <c r="BN295" s="265">
        <f t="shared" si="177"/>
        <v>-4782.6045058133459</v>
      </c>
      <c r="BO295" s="109"/>
      <c r="BP295" s="265">
        <f t="shared" si="178"/>
        <v>1.0379111598012969E-2</v>
      </c>
      <c r="BQ295" s="265">
        <v>1.0379111598012969E-2</v>
      </c>
      <c r="BR295" s="265" t="e">
        <f t="shared" si="179"/>
        <v>#REF!</v>
      </c>
      <c r="BS295" s="265">
        <v>1.1693027860088948E-3</v>
      </c>
      <c r="BT295" s="475">
        <v>74617.100203572787</v>
      </c>
      <c r="BU295" s="475">
        <v>56534.104202690854</v>
      </c>
      <c r="BV295" s="475">
        <v>126984.29559373634</v>
      </c>
      <c r="BW295" s="483">
        <f t="shared" si="180"/>
        <v>-0.1042026908689877</v>
      </c>
      <c r="BX295" s="483">
        <f t="shared" si="181"/>
        <v>-0.23405527486465871</v>
      </c>
    </row>
    <row r="296" spans="1:77" s="103" customFormat="1" ht="29">
      <c r="A296" s="100" t="s">
        <v>2259</v>
      </c>
      <c r="B296" s="91" t="str">
        <f t="shared" si="149"/>
        <v>STW</v>
      </c>
      <c r="C296" s="92" t="s">
        <v>466</v>
      </c>
      <c r="D296" s="448"/>
      <c r="E296" s="449" t="s">
        <v>2124</v>
      </c>
      <c r="F296" s="468" t="s">
        <v>4917</v>
      </c>
      <c r="G296" s="620" t="s">
        <v>5364</v>
      </c>
      <c r="H296" s="470">
        <v>0.33333332270063754</v>
      </c>
      <c r="I296" s="95" t="s">
        <v>962</v>
      </c>
      <c r="J296" s="95" t="s">
        <v>1166</v>
      </c>
      <c r="K296" s="469">
        <v>156749.21</v>
      </c>
      <c r="L296" s="471">
        <v>3.9719035721599183E-2</v>
      </c>
      <c r="M296" s="584">
        <v>0.25345622119815669</v>
      </c>
      <c r="N296" s="267">
        <f t="shared" si="150"/>
        <v>0.74654377880184331</v>
      </c>
      <c r="O296" s="96">
        <f t="shared" si="151"/>
        <v>154673.90090909091</v>
      </c>
      <c r="P296" s="96">
        <f t="shared" si="185"/>
        <v>526.00000000000011</v>
      </c>
      <c r="Q296" s="96">
        <f t="shared" si="152"/>
        <v>1549.3090909090909</v>
      </c>
      <c r="R296" s="187" t="s">
        <v>2563</v>
      </c>
      <c r="S296" s="189" t="s">
        <v>3607</v>
      </c>
      <c r="T296" s="94" t="s">
        <v>5394</v>
      </c>
      <c r="U296" s="395">
        <f>COUNTIF(Aggregation_of_rev_to_allocate!$A$3:$A$137,$T296)</f>
        <v>0</v>
      </c>
      <c r="V296" s="100"/>
      <c r="W296" s="100">
        <v>329</v>
      </c>
      <c r="X296" s="109">
        <v>506.33839530138181</v>
      </c>
      <c r="Y296" s="109">
        <v>1643.2982465690302</v>
      </c>
      <c r="Z296" s="110">
        <v>0.81148986103073306</v>
      </c>
      <c r="AA296" s="110">
        <v>0.23554603854389722</v>
      </c>
      <c r="AB296" s="110">
        <v>0.76445396145610278</v>
      </c>
      <c r="AC296" s="109">
        <f>IF(ISERROR((X296*SUMIF('Rev_for_allocation(Hard)'!$A$3:$A$249,$T296,'Rev_for_allocation(Hard)'!$I$3:$I$249)/SUMIF(Historic_capex_list!$T$9:$T$586,$T296,Historic_capex_list!$X$9:$X$586))=TRUE),0,X296*SUMIF('Rev_for_allocation(Hard)'!$A$3:$A$249,$T296,'Rev_for_allocation(Hard)'!$I$3:$I$249)/SUMIF(Historic_capex_list!$T$9:$T$586,$T296,Historic_capex_list!$X$9:$X$586))</f>
        <v>0</v>
      </c>
      <c r="AD296" s="109">
        <f t="shared" si="153"/>
        <v>506.33839530138181</v>
      </c>
      <c r="AE296" s="109">
        <f t="shared" si="154"/>
        <v>506.33839530138181</v>
      </c>
      <c r="AF296" s="109">
        <f t="shared" si="155"/>
        <v>2149.6366418704119</v>
      </c>
      <c r="AG296" s="332" t="str">
        <f t="shared" si="156"/>
        <v>N</v>
      </c>
      <c r="AH296" s="332">
        <f t="shared" si="182"/>
        <v>0</v>
      </c>
      <c r="AI296" s="332">
        <f t="shared" si="183"/>
        <v>0</v>
      </c>
      <c r="AJ296" s="109">
        <f t="shared" si="184"/>
        <v>2149.6366418704119</v>
      </c>
      <c r="AK296" s="109">
        <f t="shared" si="157"/>
        <v>0</v>
      </c>
      <c r="AL296" s="109">
        <v>0</v>
      </c>
      <c r="AM296" s="111">
        <f t="shared" si="158"/>
        <v>32.454545454545453</v>
      </c>
      <c r="AN296" s="111">
        <f t="shared" si="159"/>
        <v>29.454545454545453</v>
      </c>
      <c r="AO296" s="111" t="str">
        <f t="shared" si="160"/>
        <v>Use deduct 3yrs</v>
      </c>
      <c r="AP296" s="111">
        <f t="shared" si="161"/>
        <v>29.454545454545453</v>
      </c>
      <c r="AQ296" s="112">
        <f t="shared" si="162"/>
        <v>0.74654377880184331</v>
      </c>
      <c r="AR296" s="112">
        <f t="shared" si="163"/>
        <v>0.25345622119815669</v>
      </c>
      <c r="AS296" s="113">
        <f t="shared" si="164"/>
        <v>2057</v>
      </c>
      <c r="AT296" s="109">
        <v>2073.3696374434153</v>
      </c>
      <c r="AU296" s="114">
        <v>0.25345622119815669</v>
      </c>
      <c r="AV296" s="113">
        <v>2057</v>
      </c>
      <c r="AW296" s="112">
        <f t="shared" si="165"/>
        <v>3.9681916806724768E-2</v>
      </c>
      <c r="AX296" s="109">
        <f t="shared" si="166"/>
        <v>525.50843345340024</v>
      </c>
      <c r="AY296" s="109">
        <f t="shared" si="167"/>
        <v>1547.8612039900149</v>
      </c>
      <c r="AZ296" s="109">
        <f t="shared" si="168"/>
        <v>2073.3696374434153</v>
      </c>
      <c r="BA296" s="111">
        <f t="shared" si="169"/>
        <v>0</v>
      </c>
      <c r="BB296" s="117"/>
      <c r="BC296" s="115" t="str">
        <f t="shared" si="170"/>
        <v>Y</v>
      </c>
      <c r="BD296" s="115" t="str">
        <f t="shared" si="171"/>
        <v>Y</v>
      </c>
      <c r="BE296" s="115" t="str">
        <f t="shared" si="172"/>
        <v>N</v>
      </c>
      <c r="BF296" s="109" t="str">
        <f t="shared" si="173"/>
        <v/>
      </c>
      <c r="BG296" s="111" t="s">
        <v>2499</v>
      </c>
      <c r="BH296" s="115" t="s">
        <v>1168</v>
      </c>
      <c r="BI296" s="116"/>
      <c r="BJ296" s="222">
        <v>0.78269899488237649</v>
      </c>
      <c r="BK296" s="265">
        <f t="shared" si="174"/>
        <v>-1.4478869190759269</v>
      </c>
      <c r="BL296" s="265">
        <f t="shared" si="175"/>
        <v>1.4478869190759269</v>
      </c>
      <c r="BM296" s="265">
        <f t="shared" si="176"/>
        <v>-8.4128259913995862E-12</v>
      </c>
      <c r="BN296" s="265">
        <f t="shared" si="177"/>
        <v>-19.661604698618305</v>
      </c>
      <c r="BO296" s="109"/>
      <c r="BP296" s="265">
        <f t="shared" si="178"/>
        <v>76.267004426996664</v>
      </c>
      <c r="BQ296" s="265">
        <v>76.267004426996664</v>
      </c>
      <c r="BR296" s="265" t="e">
        <f t="shared" si="179"/>
        <v>#REF!</v>
      </c>
      <c r="BS296" s="265">
        <v>8.5921824729308085</v>
      </c>
      <c r="BT296" s="475">
        <v>575.63036255658471</v>
      </c>
      <c r="BU296" s="475">
        <v>525.50843345340024</v>
      </c>
      <c r="BV296" s="475">
        <v>1547.8612039900152</v>
      </c>
      <c r="BW296" s="483">
        <f t="shared" si="180"/>
        <v>0.49156654659986998</v>
      </c>
      <c r="BX296" s="483">
        <f t="shared" si="181"/>
        <v>1.4478869190756996</v>
      </c>
    </row>
    <row r="297" spans="1:77" s="103" customFormat="1" ht="29">
      <c r="A297" s="100" t="s">
        <v>2259</v>
      </c>
      <c r="B297" s="91" t="str">
        <f t="shared" si="149"/>
        <v>STW</v>
      </c>
      <c r="C297" s="92" t="s">
        <v>466</v>
      </c>
      <c r="D297" s="448"/>
      <c r="E297" s="449" t="s">
        <v>2124</v>
      </c>
      <c r="F297" s="468" t="s">
        <v>4917</v>
      </c>
      <c r="G297" s="620" t="s">
        <v>5364</v>
      </c>
      <c r="H297" s="470">
        <v>0.33333332270063754</v>
      </c>
      <c r="I297" s="95" t="s">
        <v>962</v>
      </c>
      <c r="J297" s="95" t="s">
        <v>1166</v>
      </c>
      <c r="K297" s="469">
        <v>156749.21</v>
      </c>
      <c r="L297" s="471">
        <v>4.1153753741961119E-2</v>
      </c>
      <c r="M297" s="584">
        <v>0.25345622119815669</v>
      </c>
      <c r="N297" s="267">
        <f t="shared" si="150"/>
        <v>0.74654377880184331</v>
      </c>
      <c r="O297" s="96">
        <f t="shared" si="151"/>
        <v>154598.93727272726</v>
      </c>
      <c r="P297" s="96">
        <f t="shared" si="185"/>
        <v>544.99999999999989</v>
      </c>
      <c r="Q297" s="96">
        <f t="shared" si="152"/>
        <v>1605.272727272727</v>
      </c>
      <c r="R297" s="187" t="s">
        <v>2314</v>
      </c>
      <c r="S297" s="189" t="s">
        <v>3607</v>
      </c>
      <c r="T297" s="94" t="s">
        <v>5395</v>
      </c>
      <c r="U297" s="395">
        <f>COUNTIF(Aggregation_of_rev_to_allocate!$A$3:$A$137,$T297)</f>
        <v>0</v>
      </c>
      <c r="V297" s="100"/>
      <c r="W297" s="100">
        <v>405</v>
      </c>
      <c r="X297" s="109">
        <v>506.33839530138181</v>
      </c>
      <c r="Y297" s="109">
        <v>1643.2982465690302</v>
      </c>
      <c r="Z297" s="110">
        <v>0.81148986103073306</v>
      </c>
      <c r="AA297" s="110">
        <v>0.23554603854389722</v>
      </c>
      <c r="AB297" s="110">
        <v>0.76445396145610278</v>
      </c>
      <c r="AC297" s="109">
        <f>IF(ISERROR((X297*SUMIF('Rev_for_allocation(Hard)'!$A$3:$A$249,$T297,'Rev_for_allocation(Hard)'!$I$3:$I$249)/SUMIF(Historic_capex_list!$T$9:$T$586,$T297,Historic_capex_list!$X$9:$X$586))=TRUE),0,X297*SUMIF('Rev_for_allocation(Hard)'!$A$3:$A$249,$T297,'Rev_for_allocation(Hard)'!$I$3:$I$249)/SUMIF(Historic_capex_list!$T$9:$T$586,$T297,Historic_capex_list!$X$9:$X$586))</f>
        <v>0</v>
      </c>
      <c r="AD297" s="109">
        <f t="shared" si="153"/>
        <v>506.33839530138181</v>
      </c>
      <c r="AE297" s="109">
        <f t="shared" si="154"/>
        <v>506.33839530138181</v>
      </c>
      <c r="AF297" s="109">
        <f t="shared" si="155"/>
        <v>2149.6366418704119</v>
      </c>
      <c r="AG297" s="332" t="str">
        <f t="shared" si="156"/>
        <v>N</v>
      </c>
      <c r="AH297" s="332">
        <f t="shared" si="182"/>
        <v>0</v>
      </c>
      <c r="AI297" s="332">
        <f t="shared" si="183"/>
        <v>0</v>
      </c>
      <c r="AJ297" s="109">
        <f t="shared" si="184"/>
        <v>2149.6366418704119</v>
      </c>
      <c r="AK297" s="109">
        <f t="shared" si="157"/>
        <v>0</v>
      </c>
      <c r="AL297" s="109">
        <v>0</v>
      </c>
      <c r="AM297" s="111">
        <f t="shared" si="158"/>
        <v>32.454545454545453</v>
      </c>
      <c r="AN297" s="111">
        <f t="shared" si="159"/>
        <v>29.454545454545453</v>
      </c>
      <c r="AO297" s="111" t="str">
        <f t="shared" si="160"/>
        <v>Use deduct 3yrs</v>
      </c>
      <c r="AP297" s="111">
        <f t="shared" si="161"/>
        <v>29.454545454545453</v>
      </c>
      <c r="AQ297" s="112">
        <f t="shared" si="162"/>
        <v>0.74654377880184331</v>
      </c>
      <c r="AR297" s="112">
        <f t="shared" si="163"/>
        <v>0.25345622119815669</v>
      </c>
      <c r="AS297" s="113">
        <f t="shared" si="164"/>
        <v>2057</v>
      </c>
      <c r="AT297" s="109">
        <v>2149.6365403206341</v>
      </c>
      <c r="AU297" s="114">
        <v>0.25345622119815669</v>
      </c>
      <c r="AV297" s="113">
        <v>2057</v>
      </c>
      <c r="AW297" s="112">
        <f t="shared" si="165"/>
        <v>4.1141577853373495E-2</v>
      </c>
      <c r="AX297" s="109">
        <f t="shared" si="166"/>
        <v>544.8387544591468</v>
      </c>
      <c r="AY297" s="109">
        <f t="shared" si="167"/>
        <v>1604.797785861487</v>
      </c>
      <c r="AZ297" s="109">
        <f t="shared" si="168"/>
        <v>2149.6365403206337</v>
      </c>
      <c r="BA297" s="111">
        <f t="shared" si="169"/>
        <v>0</v>
      </c>
      <c r="BB297" s="117"/>
      <c r="BC297" s="115" t="str">
        <f t="shared" si="170"/>
        <v>Y</v>
      </c>
      <c r="BD297" s="115" t="str">
        <f t="shared" si="171"/>
        <v>Y</v>
      </c>
      <c r="BE297" s="115" t="str">
        <f t="shared" si="172"/>
        <v>N</v>
      </c>
      <c r="BF297" s="109" t="str">
        <f t="shared" si="173"/>
        <v/>
      </c>
      <c r="BG297" s="111" t="s">
        <v>2499</v>
      </c>
      <c r="BH297" s="115" t="s">
        <v>1168</v>
      </c>
      <c r="BI297" s="116"/>
      <c r="BJ297" s="222">
        <v>0.81148982269559611</v>
      </c>
      <c r="BK297" s="265">
        <f t="shared" si="174"/>
        <v>-0.47494141124002454</v>
      </c>
      <c r="BL297" s="265">
        <f t="shared" si="175"/>
        <v>0.47494141124002454</v>
      </c>
      <c r="BM297" s="265">
        <f t="shared" si="176"/>
        <v>8.1854523159563541E-12</v>
      </c>
      <c r="BN297" s="265">
        <f t="shared" si="177"/>
        <v>-38.661604698618078</v>
      </c>
      <c r="BO297" s="109"/>
      <c r="BP297" s="265">
        <f t="shared" si="178"/>
        <v>1.0154977780985064E-4</v>
      </c>
      <c r="BQ297" s="265">
        <v>1.0154977780985064E-4</v>
      </c>
      <c r="BR297" s="265" t="e">
        <f t="shared" si="179"/>
        <v>#REF!</v>
      </c>
      <c r="BS297" s="265">
        <v>1.144052041355594E-5</v>
      </c>
      <c r="BT297" s="475">
        <v>499.36345967936592</v>
      </c>
      <c r="BU297" s="475">
        <v>544.83875445914691</v>
      </c>
      <c r="BV297" s="475">
        <v>1604.7977858614872</v>
      </c>
      <c r="BW297" s="483">
        <f t="shared" si="180"/>
        <v>0.16124554085297405</v>
      </c>
      <c r="BX297" s="483">
        <f t="shared" si="181"/>
        <v>0.47494141123979716</v>
      </c>
    </row>
    <row r="298" spans="1:77" s="103" customFormat="1" ht="29">
      <c r="A298" s="100" t="s">
        <v>2259</v>
      </c>
      <c r="B298" s="91" t="str">
        <f t="shared" si="149"/>
        <v>STW</v>
      </c>
      <c r="C298" s="92" t="s">
        <v>466</v>
      </c>
      <c r="D298" s="448"/>
      <c r="E298" s="449" t="s">
        <v>2095</v>
      </c>
      <c r="F298" s="468" t="s">
        <v>4786</v>
      </c>
      <c r="G298" s="620" t="s">
        <v>5365</v>
      </c>
      <c r="H298" s="470">
        <v>0.33333333350649941</v>
      </c>
      <c r="I298" s="95" t="s">
        <v>962</v>
      </c>
      <c r="J298" s="95" t="s">
        <v>1166</v>
      </c>
      <c r="K298" s="469">
        <v>19249350.184999999</v>
      </c>
      <c r="L298" s="471">
        <v>2.5441354668780003E-2</v>
      </c>
      <c r="M298" s="584">
        <v>0.25345622119815669</v>
      </c>
      <c r="N298" s="267">
        <f t="shared" si="150"/>
        <v>0.74654377880184331</v>
      </c>
      <c r="O298" s="96">
        <f t="shared" si="151"/>
        <v>19086107.003181815</v>
      </c>
      <c r="P298" s="96">
        <f t="shared" si="185"/>
        <v>41374.999999999927</v>
      </c>
      <c r="Q298" s="96">
        <f t="shared" si="152"/>
        <v>121868.18181818159</v>
      </c>
      <c r="R298" s="187" t="s">
        <v>2563</v>
      </c>
      <c r="S298" s="189" t="s">
        <v>3607</v>
      </c>
      <c r="T298" s="94" t="s">
        <v>5394</v>
      </c>
      <c r="U298" s="395">
        <f>COUNTIF(Aggregation_of_rev_to_allocate!$A$3:$A$137,$T298)</f>
        <v>0</v>
      </c>
      <c r="V298" s="100"/>
      <c r="W298" s="100">
        <v>330</v>
      </c>
      <c r="X298" s="109">
        <v>39866.135317981047</v>
      </c>
      <c r="Y298" s="109">
        <v>129383.73007744757</v>
      </c>
      <c r="Z298" s="110">
        <v>0.78027871252955083</v>
      </c>
      <c r="AA298" s="110">
        <v>0.23554603854389722</v>
      </c>
      <c r="AB298" s="110">
        <v>0.76445396145610278</v>
      </c>
      <c r="AC298" s="109">
        <f>IF(ISERROR((X298*SUMIF('Rev_for_allocation(Hard)'!$A$3:$A$249,$T298,'Rev_for_allocation(Hard)'!$I$3:$I$249)/SUMIF(Historic_capex_list!$T$9:$T$586,$T298,Historic_capex_list!$X$9:$X$586))=TRUE),0,X298*SUMIF('Rev_for_allocation(Hard)'!$A$3:$A$249,$T298,'Rev_for_allocation(Hard)'!$I$3:$I$249)/SUMIF(Historic_capex_list!$T$9:$T$586,$T298,Historic_capex_list!$X$9:$X$586))</f>
        <v>0</v>
      </c>
      <c r="AD298" s="109">
        <f t="shared" si="153"/>
        <v>39866.135317981047</v>
      </c>
      <c r="AE298" s="109">
        <f t="shared" si="154"/>
        <v>39866.135317981047</v>
      </c>
      <c r="AF298" s="109">
        <f t="shared" si="155"/>
        <v>169249.86539542861</v>
      </c>
      <c r="AG298" s="332" t="str">
        <f t="shared" si="156"/>
        <v>N</v>
      </c>
      <c r="AH298" s="332">
        <f t="shared" si="182"/>
        <v>0</v>
      </c>
      <c r="AI298" s="332">
        <f t="shared" si="183"/>
        <v>0</v>
      </c>
      <c r="AJ298" s="109">
        <f t="shared" si="184"/>
        <v>169249.86539542861</v>
      </c>
      <c r="AK298" s="109">
        <f t="shared" si="157"/>
        <v>0</v>
      </c>
      <c r="AL298" s="109">
        <v>0</v>
      </c>
      <c r="AM298" s="111">
        <f t="shared" si="158"/>
        <v>32.454545454545453</v>
      </c>
      <c r="AN298" s="111">
        <f t="shared" si="159"/>
        <v>29.454545454545453</v>
      </c>
      <c r="AO298" s="111" t="str">
        <f t="shared" si="160"/>
        <v>Use deduct 3yrs</v>
      </c>
      <c r="AP298" s="111">
        <f t="shared" si="161"/>
        <v>29.454545454545453</v>
      </c>
      <c r="AQ298" s="112">
        <f t="shared" si="162"/>
        <v>0.74654377880184331</v>
      </c>
      <c r="AR298" s="112">
        <f t="shared" si="163"/>
        <v>0.25345622119815669</v>
      </c>
      <c r="AS298" s="113">
        <f t="shared" si="164"/>
        <v>2057</v>
      </c>
      <c r="AT298" s="109">
        <v>163245.04579849885</v>
      </c>
      <c r="AU298" s="114">
        <v>0.25345622119815669</v>
      </c>
      <c r="AV298" s="113">
        <v>2057</v>
      </c>
      <c r="AW298" s="112">
        <f t="shared" si="165"/>
        <v>2.5441645169025223E-2</v>
      </c>
      <c r="AX298" s="109">
        <f t="shared" si="166"/>
        <v>41375.472437407538</v>
      </c>
      <c r="AY298" s="109">
        <f t="shared" si="167"/>
        <v>121869.5733610913</v>
      </c>
      <c r="AZ298" s="109">
        <f t="shared" si="168"/>
        <v>163245.04579849885</v>
      </c>
      <c r="BA298" s="111">
        <f t="shared" si="169"/>
        <v>0</v>
      </c>
      <c r="BB298" s="117"/>
      <c r="BC298" s="115" t="str">
        <f t="shared" si="170"/>
        <v>N</v>
      </c>
      <c r="BD298" s="115" t="str">
        <f t="shared" si="171"/>
        <v>N</v>
      </c>
      <c r="BE298" s="115" t="str">
        <f t="shared" si="172"/>
        <v>N</v>
      </c>
      <c r="BF298" s="109" t="str">
        <f t="shared" si="173"/>
        <v/>
      </c>
      <c r="BG298" s="111" t="s">
        <v>2499</v>
      </c>
      <c r="BH298" s="115" t="s">
        <v>1168</v>
      </c>
      <c r="BI298" s="116"/>
      <c r="BJ298" s="222">
        <v>0.75259518738690023</v>
      </c>
      <c r="BK298" s="265">
        <f t="shared" si="174"/>
        <v>1.3915429097105516</v>
      </c>
      <c r="BL298" s="265">
        <f t="shared" si="175"/>
        <v>-1.3915429097105516</v>
      </c>
      <c r="BM298" s="265">
        <f t="shared" si="176"/>
        <v>1.9936123862862587E-9</v>
      </c>
      <c r="BN298" s="265">
        <f t="shared" si="177"/>
        <v>-1508.8646820188806</v>
      </c>
      <c r="BO298" s="109"/>
      <c r="BP298" s="265">
        <f t="shared" si="178"/>
        <v>6004.8195969297667</v>
      </c>
      <c r="BQ298" s="265">
        <v>6004.8195969297667</v>
      </c>
      <c r="BR298" s="265" t="e">
        <f t="shared" si="179"/>
        <v>#REF!</v>
      </c>
      <c r="BS298" s="265">
        <v>676.49838985400334</v>
      </c>
      <c r="BT298" s="475">
        <v>53664.454201501161</v>
      </c>
      <c r="BU298" s="475">
        <v>41375.472437407545</v>
      </c>
      <c r="BV298" s="475">
        <v>121869.5733610913</v>
      </c>
      <c r="BW298" s="483">
        <f t="shared" si="180"/>
        <v>-0.47243740761769004</v>
      </c>
      <c r="BX298" s="483">
        <f t="shared" si="181"/>
        <v>-1.3915429097105516</v>
      </c>
    </row>
    <row r="299" spans="1:77" s="103" customFormat="1" ht="29">
      <c r="A299" s="100" t="s">
        <v>2259</v>
      </c>
      <c r="B299" s="91" t="str">
        <f t="shared" si="149"/>
        <v>STW</v>
      </c>
      <c r="C299" s="92" t="s">
        <v>466</v>
      </c>
      <c r="D299" s="448"/>
      <c r="E299" s="449" t="s">
        <v>2095</v>
      </c>
      <c r="F299" s="468" t="s">
        <v>4786</v>
      </c>
      <c r="G299" s="686" t="s">
        <v>5366</v>
      </c>
      <c r="H299" s="470">
        <v>0.33333333350649941</v>
      </c>
      <c r="I299" s="95" t="s">
        <v>962</v>
      </c>
      <c r="J299" s="95" t="s">
        <v>1166</v>
      </c>
      <c r="K299" s="469">
        <v>19249350.184999999</v>
      </c>
      <c r="L299" s="471">
        <v>2.6377227582517371E-2</v>
      </c>
      <c r="M299" s="584">
        <v>0.25345622119815669</v>
      </c>
      <c r="N299" s="267">
        <f t="shared" si="150"/>
        <v>0.74654377880184331</v>
      </c>
      <c r="O299" s="96">
        <f t="shared" si="151"/>
        <v>19080102.021363635</v>
      </c>
      <c r="P299" s="96">
        <f t="shared" si="185"/>
        <v>42896.999999999942</v>
      </c>
      <c r="Q299" s="96">
        <f t="shared" si="152"/>
        <v>126351.16363636346</v>
      </c>
      <c r="R299" s="187" t="s">
        <v>2314</v>
      </c>
      <c r="S299" s="189" t="s">
        <v>3607</v>
      </c>
      <c r="T299" s="94" t="s">
        <v>5395</v>
      </c>
      <c r="U299" s="395">
        <f>COUNTIF(Aggregation_of_rev_to_allocate!$A$3:$A$137,$T299)</f>
        <v>0</v>
      </c>
      <c r="V299" s="100"/>
      <c r="W299" s="100">
        <v>406</v>
      </c>
      <c r="X299" s="109">
        <v>39866.135317981054</v>
      </c>
      <c r="Y299" s="109">
        <v>129383.73007744759</v>
      </c>
      <c r="Z299" s="110">
        <v>0.78027871252955094</v>
      </c>
      <c r="AA299" s="110">
        <v>0.23554603854389722</v>
      </c>
      <c r="AB299" s="110">
        <v>0.76445396145610278</v>
      </c>
      <c r="AC299" s="109">
        <f>IF(ISERROR((X299*SUMIF('Rev_for_allocation(Hard)'!$A$3:$A$249,$T299,'Rev_for_allocation(Hard)'!$I$3:$I$249)/SUMIF(Historic_capex_list!$T$9:$T$586,$T299,Historic_capex_list!$X$9:$X$586))=TRUE),0,X299*SUMIF('Rev_for_allocation(Hard)'!$A$3:$A$249,$T299,'Rev_for_allocation(Hard)'!$I$3:$I$249)/SUMIF(Historic_capex_list!$T$9:$T$586,$T299,Historic_capex_list!$X$9:$X$586))</f>
        <v>0</v>
      </c>
      <c r="AD299" s="109">
        <f t="shared" si="153"/>
        <v>39866.135317981054</v>
      </c>
      <c r="AE299" s="109">
        <f t="shared" si="154"/>
        <v>39866.135317981054</v>
      </c>
      <c r="AF299" s="109">
        <f t="shared" si="155"/>
        <v>169249.86539542864</v>
      </c>
      <c r="AG299" s="332" t="str">
        <f t="shared" si="156"/>
        <v>N</v>
      </c>
      <c r="AH299" s="332">
        <f t="shared" si="182"/>
        <v>0</v>
      </c>
      <c r="AI299" s="332">
        <f t="shared" si="183"/>
        <v>0</v>
      </c>
      <c r="AJ299" s="109">
        <f t="shared" si="184"/>
        <v>169249.86539542864</v>
      </c>
      <c r="AK299" s="109">
        <f t="shared" si="157"/>
        <v>0</v>
      </c>
      <c r="AL299" s="109">
        <v>0</v>
      </c>
      <c r="AM299" s="111">
        <f t="shared" si="158"/>
        <v>32.454545454545453</v>
      </c>
      <c r="AN299" s="111">
        <f t="shared" si="159"/>
        <v>29.454545454545453</v>
      </c>
      <c r="AO299" s="111" t="str">
        <f t="shared" si="160"/>
        <v>Use deduct 3yrs</v>
      </c>
      <c r="AP299" s="111">
        <f t="shared" si="161"/>
        <v>29.454545454545453</v>
      </c>
      <c r="AQ299" s="112">
        <f t="shared" si="162"/>
        <v>0.74654377880184331</v>
      </c>
      <c r="AR299" s="112">
        <f t="shared" si="163"/>
        <v>0.25345622119815669</v>
      </c>
      <c r="AS299" s="113">
        <f t="shared" si="164"/>
        <v>2057</v>
      </c>
      <c r="AT299" s="109">
        <v>169249.85739999075</v>
      </c>
      <c r="AU299" s="114">
        <v>0.25345622119815669</v>
      </c>
      <c r="AV299" s="113">
        <v>2057</v>
      </c>
      <c r="AW299" s="112">
        <f t="shared" si="165"/>
        <v>2.6377491554590744E-2</v>
      </c>
      <c r="AX299" s="109">
        <f t="shared" si="166"/>
        <v>42897.42929492853</v>
      </c>
      <c r="AY299" s="109">
        <f t="shared" si="167"/>
        <v>126352.42810506222</v>
      </c>
      <c r="AZ299" s="109">
        <f t="shared" si="168"/>
        <v>169249.85739999075</v>
      </c>
      <c r="BA299" s="111">
        <f t="shared" si="169"/>
        <v>0</v>
      </c>
      <c r="BB299" s="117"/>
      <c r="BC299" s="115" t="str">
        <f t="shared" si="170"/>
        <v>N</v>
      </c>
      <c r="BD299" s="115" t="str">
        <f t="shared" si="171"/>
        <v>N</v>
      </c>
      <c r="BE299" s="115" t="str">
        <f t="shared" si="172"/>
        <v>N</v>
      </c>
      <c r="BF299" s="109" t="str">
        <f t="shared" si="173"/>
        <v/>
      </c>
      <c r="BG299" s="111" t="s">
        <v>2499</v>
      </c>
      <c r="BH299" s="115" t="s">
        <v>1168</v>
      </c>
      <c r="BI299" s="116"/>
      <c r="BJ299" s="222">
        <v>0.78027867566884235</v>
      </c>
      <c r="BK299" s="265">
        <f t="shared" si="174"/>
        <v>1.2644686987623572</v>
      </c>
      <c r="BL299" s="265">
        <f t="shared" si="175"/>
        <v>-1.2644686987623572</v>
      </c>
      <c r="BM299" s="265">
        <f t="shared" si="176"/>
        <v>6.4028427004814148E-10</v>
      </c>
      <c r="BN299" s="265">
        <f t="shared" si="177"/>
        <v>-3030.8646820188878</v>
      </c>
      <c r="BO299" s="109"/>
      <c r="BP299" s="265">
        <f t="shared" si="178"/>
        <v>7.9954378888942301E-3</v>
      </c>
      <c r="BQ299" s="265">
        <v>7.9954378888942301E-3</v>
      </c>
      <c r="BR299" s="265" t="e">
        <f t="shared" si="179"/>
        <v>#REF!</v>
      </c>
      <c r="BS299" s="265">
        <v>9.0075992637317218E-4</v>
      </c>
      <c r="BT299" s="475">
        <v>47659.64260000924</v>
      </c>
      <c r="BU299" s="475">
        <v>42897.429294928537</v>
      </c>
      <c r="BV299" s="475">
        <v>126352.42810506222</v>
      </c>
      <c r="BW299" s="483">
        <f t="shared" si="180"/>
        <v>-0.42929492859548191</v>
      </c>
      <c r="BX299" s="483">
        <f t="shared" si="181"/>
        <v>-1.2644686987623572</v>
      </c>
    </row>
    <row r="300" spans="1:77" s="103" customFormat="1" ht="43.5">
      <c r="A300" s="100" t="s">
        <v>2259</v>
      </c>
      <c r="B300" s="91" t="str">
        <f t="shared" si="149"/>
        <v>STW</v>
      </c>
      <c r="C300" s="92" t="s">
        <v>466</v>
      </c>
      <c r="D300" s="448"/>
      <c r="E300" s="449" t="s">
        <v>2103</v>
      </c>
      <c r="F300" s="467" t="s">
        <v>4787</v>
      </c>
      <c r="G300" s="467" t="s">
        <v>4967</v>
      </c>
      <c r="H300" s="470">
        <v>0.33333333068202325</v>
      </c>
      <c r="I300" s="95" t="s">
        <v>962</v>
      </c>
      <c r="J300" s="95" t="s">
        <v>1166</v>
      </c>
      <c r="K300" s="469">
        <v>1257240.1000000001</v>
      </c>
      <c r="L300" s="471">
        <v>8.8807554793944088E-2</v>
      </c>
      <c r="M300" s="584">
        <v>0.25345622119815669</v>
      </c>
      <c r="N300" s="267">
        <f t="shared" si="150"/>
        <v>0.74654377880184331</v>
      </c>
      <c r="O300" s="96">
        <f t="shared" si="151"/>
        <v>1220022.6272727274</v>
      </c>
      <c r="P300" s="96">
        <f t="shared" si="185"/>
        <v>9433.0000000000018</v>
      </c>
      <c r="Q300" s="96">
        <f t="shared" si="152"/>
        <v>27784.472727272729</v>
      </c>
      <c r="R300" s="187" t="s">
        <v>2563</v>
      </c>
      <c r="S300" s="189" t="s">
        <v>3607</v>
      </c>
      <c r="T300" s="94" t="s">
        <v>5394</v>
      </c>
      <c r="U300" s="395">
        <f>COUNTIF(Aggregation_of_rev_to_allocate!$A$3:$A$137,$T300)</f>
        <v>0</v>
      </c>
      <c r="V300" s="100"/>
      <c r="W300" s="100">
        <v>331</v>
      </c>
      <c r="X300" s="109">
        <v>9088.8602101097422</v>
      </c>
      <c r="Y300" s="109">
        <v>29497.482681901616</v>
      </c>
      <c r="Z300" s="110">
        <v>0.78027871252955106</v>
      </c>
      <c r="AA300" s="110">
        <v>0.23554603854389722</v>
      </c>
      <c r="AB300" s="110">
        <v>0.76445396145610278</v>
      </c>
      <c r="AC300" s="109">
        <f>IF(ISERROR((X300*SUMIF('Rev_for_allocation(Hard)'!$A$3:$A$249,$T300,'Rev_for_allocation(Hard)'!$I$3:$I$249)/SUMIF(Historic_capex_list!$T$9:$T$586,$T300,Historic_capex_list!$X$9:$X$586))=TRUE),0,X300*SUMIF('Rev_for_allocation(Hard)'!$A$3:$A$249,$T300,'Rev_for_allocation(Hard)'!$I$3:$I$249)/SUMIF(Historic_capex_list!$T$9:$T$586,$T300,Historic_capex_list!$X$9:$X$586))</f>
        <v>0</v>
      </c>
      <c r="AD300" s="109">
        <f t="shared" si="153"/>
        <v>9088.8602101097422</v>
      </c>
      <c r="AE300" s="109">
        <f t="shared" si="154"/>
        <v>9088.8602101097422</v>
      </c>
      <c r="AF300" s="109">
        <f t="shared" si="155"/>
        <v>38586.342892011358</v>
      </c>
      <c r="AG300" s="332" t="str">
        <f t="shared" si="156"/>
        <v>N</v>
      </c>
      <c r="AH300" s="332">
        <f t="shared" si="182"/>
        <v>0</v>
      </c>
      <c r="AI300" s="332">
        <f t="shared" si="183"/>
        <v>0</v>
      </c>
      <c r="AJ300" s="109">
        <f t="shared" si="184"/>
        <v>38586.342892011358</v>
      </c>
      <c r="AK300" s="109">
        <f t="shared" si="157"/>
        <v>0</v>
      </c>
      <c r="AL300" s="109">
        <v>0</v>
      </c>
      <c r="AM300" s="111">
        <f t="shared" si="158"/>
        <v>32.454545454545453</v>
      </c>
      <c r="AN300" s="111">
        <f t="shared" si="159"/>
        <v>29.454545454545453</v>
      </c>
      <c r="AO300" s="111" t="str">
        <f t="shared" si="160"/>
        <v>Use deduct 3yrs</v>
      </c>
      <c r="AP300" s="111">
        <f t="shared" si="161"/>
        <v>29.454545454545453</v>
      </c>
      <c r="AQ300" s="112">
        <f t="shared" si="162"/>
        <v>0.74654377880184331</v>
      </c>
      <c r="AR300" s="112">
        <f t="shared" si="163"/>
        <v>0.25345622119815669</v>
      </c>
      <c r="AS300" s="113">
        <f t="shared" si="164"/>
        <v>2057</v>
      </c>
      <c r="AT300" s="109">
        <v>37217.337206657001</v>
      </c>
      <c r="AU300" s="114">
        <v>0.25345622119815669</v>
      </c>
      <c r="AV300" s="113">
        <v>2057</v>
      </c>
      <c r="AW300" s="112">
        <f t="shared" si="165"/>
        <v>8.880723141748606E-2</v>
      </c>
      <c r="AX300" s="109">
        <f t="shared" si="166"/>
        <v>9432.9656514568433</v>
      </c>
      <c r="AY300" s="109">
        <f t="shared" si="167"/>
        <v>27784.371555200156</v>
      </c>
      <c r="AZ300" s="109">
        <f t="shared" si="168"/>
        <v>37217.337206657001</v>
      </c>
      <c r="BA300" s="111">
        <f t="shared" si="169"/>
        <v>0</v>
      </c>
      <c r="BB300" s="117"/>
      <c r="BC300" s="115" t="str">
        <f t="shared" si="170"/>
        <v>Y</v>
      </c>
      <c r="BD300" s="115" t="str">
        <f t="shared" si="171"/>
        <v>Y</v>
      </c>
      <c r="BE300" s="115" t="str">
        <f t="shared" si="172"/>
        <v>N</v>
      </c>
      <c r="BF300" s="109" t="str">
        <f t="shared" si="173"/>
        <v/>
      </c>
      <c r="BG300" s="111" t="s">
        <v>2499</v>
      </c>
      <c r="BH300" s="115" t="s">
        <v>1168</v>
      </c>
      <c r="BI300" s="116"/>
      <c r="BJ300" s="222">
        <v>0.75259518738690045</v>
      </c>
      <c r="BK300" s="265">
        <f t="shared" si="174"/>
        <v>-0.10117207257280825</v>
      </c>
      <c r="BL300" s="265">
        <f t="shared" si="175"/>
        <v>0.10117207257280825</v>
      </c>
      <c r="BM300" s="265">
        <f t="shared" si="176"/>
        <v>-6.9121597334742546E-11</v>
      </c>
      <c r="BN300" s="265">
        <f t="shared" si="177"/>
        <v>-344.13978989025964</v>
      </c>
      <c r="BO300" s="109"/>
      <c r="BP300" s="265">
        <f t="shared" si="178"/>
        <v>1369.0056853543574</v>
      </c>
      <c r="BQ300" s="265">
        <v>1369.0056853543574</v>
      </c>
      <c r="BR300" s="265" t="e">
        <f t="shared" si="179"/>
        <v>#REF!</v>
      </c>
      <c r="BS300" s="265">
        <v>154.23113498975465</v>
      </c>
      <c r="BT300" s="475">
        <v>12234.662793342999</v>
      </c>
      <c r="BU300" s="475">
        <v>9432.9656514568433</v>
      </c>
      <c r="BV300" s="475">
        <v>27784.371555200156</v>
      </c>
      <c r="BW300" s="483">
        <f t="shared" si="180"/>
        <v>3.4348543158557732E-2</v>
      </c>
      <c r="BX300" s="483">
        <f t="shared" si="181"/>
        <v>0.10117207257280825</v>
      </c>
    </row>
    <row r="301" spans="1:77" s="103" customFormat="1" ht="43.5">
      <c r="A301" s="100" t="s">
        <v>2259</v>
      </c>
      <c r="B301" s="91" t="str">
        <f t="shared" si="149"/>
        <v>STW</v>
      </c>
      <c r="C301" s="92" t="s">
        <v>466</v>
      </c>
      <c r="D301" s="448"/>
      <c r="E301" s="449" t="s">
        <v>2103</v>
      </c>
      <c r="F301" s="467" t="s">
        <v>4787</v>
      </c>
      <c r="G301" s="467" t="s">
        <v>4967</v>
      </c>
      <c r="H301" s="470">
        <v>0.33333333068202325</v>
      </c>
      <c r="I301" s="95" t="s">
        <v>962</v>
      </c>
      <c r="J301" s="95" t="s">
        <v>1166</v>
      </c>
      <c r="K301" s="469">
        <v>1257240.1000000001</v>
      </c>
      <c r="L301" s="471">
        <v>9.2074407493350302E-2</v>
      </c>
      <c r="M301" s="584">
        <v>0.25345622119815669</v>
      </c>
      <c r="N301" s="267">
        <f t="shared" si="150"/>
        <v>0.74654377880184331</v>
      </c>
      <c r="O301" s="96">
        <f t="shared" si="151"/>
        <v>1218653.5545454547</v>
      </c>
      <c r="P301" s="96">
        <f t="shared" si="185"/>
        <v>9780.0000000000036</v>
      </c>
      <c r="Q301" s="96">
        <f t="shared" si="152"/>
        <v>28806.545454545467</v>
      </c>
      <c r="R301" s="187" t="s">
        <v>2314</v>
      </c>
      <c r="S301" s="187" t="s">
        <v>3607</v>
      </c>
      <c r="T301" s="94" t="s">
        <v>5395</v>
      </c>
      <c r="U301" s="395">
        <f>COUNTIF(Aggregation_of_rev_to_allocate!$A$3:$A$137,$T301)</f>
        <v>0</v>
      </c>
      <c r="V301" s="100"/>
      <c r="W301" s="100">
        <v>407</v>
      </c>
      <c r="X301" s="109">
        <v>9088.8602101097422</v>
      </c>
      <c r="Y301" s="109">
        <v>29497.482681901616</v>
      </c>
      <c r="Z301" s="110">
        <v>0.78027871252955106</v>
      </c>
      <c r="AA301" s="110">
        <v>0.23554603854389722</v>
      </c>
      <c r="AB301" s="110">
        <v>0.76445396145610278</v>
      </c>
      <c r="AC301" s="109">
        <f>IF(ISERROR((X301*SUMIF('Rev_for_allocation(Hard)'!$A$3:$A$249,$T301,'Rev_for_allocation(Hard)'!$I$3:$I$249)/SUMIF(Historic_capex_list!$T$9:$T$586,$T301,Historic_capex_list!$X$9:$X$586))=TRUE),0,X301*SUMIF('Rev_for_allocation(Hard)'!$A$3:$A$249,$T301,'Rev_for_allocation(Hard)'!$I$3:$I$249)/SUMIF(Historic_capex_list!$T$9:$T$586,$T301,Historic_capex_list!$X$9:$X$586))</f>
        <v>0</v>
      </c>
      <c r="AD301" s="109">
        <f t="shared" si="153"/>
        <v>9088.8602101097422</v>
      </c>
      <c r="AE301" s="109">
        <f t="shared" si="154"/>
        <v>9088.8602101097422</v>
      </c>
      <c r="AF301" s="109">
        <f t="shared" si="155"/>
        <v>38586.342892011358</v>
      </c>
      <c r="AG301" s="332" t="str">
        <f t="shared" si="156"/>
        <v>N</v>
      </c>
      <c r="AH301" s="332">
        <f t="shared" si="182"/>
        <v>0</v>
      </c>
      <c r="AI301" s="332">
        <f t="shared" si="183"/>
        <v>0</v>
      </c>
      <c r="AJ301" s="109">
        <f t="shared" si="184"/>
        <v>38586.342892011358</v>
      </c>
      <c r="AK301" s="109">
        <f t="shared" si="157"/>
        <v>0</v>
      </c>
      <c r="AL301" s="109">
        <v>0</v>
      </c>
      <c r="AM301" s="111">
        <f t="shared" si="158"/>
        <v>32.454545454545453</v>
      </c>
      <c r="AN301" s="111">
        <f t="shared" si="159"/>
        <v>29.454545454545453</v>
      </c>
      <c r="AO301" s="111" t="str">
        <f t="shared" si="160"/>
        <v>Use deduct 3yrs</v>
      </c>
      <c r="AP301" s="111">
        <f t="shared" si="161"/>
        <v>29.454545454545453</v>
      </c>
      <c r="AQ301" s="112">
        <f t="shared" si="162"/>
        <v>0.74654377880184331</v>
      </c>
      <c r="AR301" s="112">
        <f t="shared" si="163"/>
        <v>0.25345622119815669</v>
      </c>
      <c r="AS301" s="113">
        <f t="shared" si="164"/>
        <v>2057</v>
      </c>
      <c r="AT301" s="109">
        <v>38586.341069175593</v>
      </c>
      <c r="AU301" s="114">
        <v>0.25345622119815669</v>
      </c>
      <c r="AV301" s="113">
        <v>2057</v>
      </c>
      <c r="AW301" s="112">
        <f t="shared" si="165"/>
        <v>9.2073919793256645E-2</v>
      </c>
      <c r="AX301" s="109">
        <f t="shared" si="166"/>
        <v>9779.9481972564863</v>
      </c>
      <c r="AY301" s="109">
        <f t="shared" si="167"/>
        <v>28806.392871919103</v>
      </c>
      <c r="AZ301" s="109">
        <f t="shared" si="168"/>
        <v>38586.341069175585</v>
      </c>
      <c r="BA301" s="111">
        <f t="shared" si="169"/>
        <v>0</v>
      </c>
      <c r="BB301" s="117"/>
      <c r="BC301" s="115" t="str">
        <f t="shared" si="170"/>
        <v>Y</v>
      </c>
      <c r="BD301" s="115" t="str">
        <f t="shared" si="171"/>
        <v>Y</v>
      </c>
      <c r="BE301" s="115" t="str">
        <f t="shared" si="172"/>
        <v>N</v>
      </c>
      <c r="BF301" s="109" t="str">
        <f t="shared" si="173"/>
        <v/>
      </c>
      <c r="BG301" s="111" t="s">
        <v>2499</v>
      </c>
      <c r="BH301" s="115" t="s">
        <v>1168</v>
      </c>
      <c r="BI301" s="116"/>
      <c r="BJ301" s="222">
        <v>0.78027867566884235</v>
      </c>
      <c r="BK301" s="265">
        <f t="shared" si="174"/>
        <v>-0.15258262636416475</v>
      </c>
      <c r="BL301" s="265">
        <f t="shared" si="175"/>
        <v>0.15258262636416475</v>
      </c>
      <c r="BM301" s="265">
        <f t="shared" si="176"/>
        <v>-5.8207660913467407E-11</v>
      </c>
      <c r="BN301" s="265">
        <f t="shared" si="177"/>
        <v>-691.13978989026145</v>
      </c>
      <c r="BO301" s="109"/>
      <c r="BP301" s="265">
        <f t="shared" si="178"/>
        <v>1.8228357657790184E-3</v>
      </c>
      <c r="BQ301" s="265">
        <v>1.8228357657790184E-3</v>
      </c>
      <c r="BR301" s="265" t="e">
        <f t="shared" si="179"/>
        <v>#REF!</v>
      </c>
      <c r="BS301" s="265">
        <v>2.053592852561792E-4</v>
      </c>
      <c r="BT301" s="475">
        <v>10865.658930824407</v>
      </c>
      <c r="BU301" s="475">
        <v>9779.9481972564863</v>
      </c>
      <c r="BV301" s="475">
        <v>28806.392871919106</v>
      </c>
      <c r="BW301" s="483">
        <f t="shared" si="180"/>
        <v>5.1802743517328054E-2</v>
      </c>
      <c r="BX301" s="483">
        <f t="shared" si="181"/>
        <v>0.15258262636052677</v>
      </c>
    </row>
    <row r="302" spans="1:77" s="103" customFormat="1" ht="14.5">
      <c r="A302" s="100" t="s">
        <v>2259</v>
      </c>
      <c r="B302" s="91" t="str">
        <f t="shared" si="149"/>
        <v>STW</v>
      </c>
      <c r="C302" s="92" t="s">
        <v>466</v>
      </c>
      <c r="D302" s="448"/>
      <c r="E302" s="449" t="s">
        <v>2091</v>
      </c>
      <c r="F302" s="468" t="s">
        <v>4854</v>
      </c>
      <c r="G302" s="620" t="s">
        <v>5343</v>
      </c>
      <c r="H302" s="470">
        <v>0.97419999999999995</v>
      </c>
      <c r="I302" s="504" t="s">
        <v>962</v>
      </c>
      <c r="J302" s="95" t="s">
        <v>1166</v>
      </c>
      <c r="K302" s="469">
        <v>568587</v>
      </c>
      <c r="L302" s="471">
        <v>0.75259518738690034</v>
      </c>
      <c r="M302" s="584">
        <v>0.25345622119815669</v>
      </c>
      <c r="N302" s="267">
        <f t="shared" si="150"/>
        <v>0.74654377880184331</v>
      </c>
      <c r="O302" s="96">
        <f t="shared" si="151"/>
        <v>151711.388856362</v>
      </c>
      <c r="P302" s="96">
        <f t="shared" si="185"/>
        <v>105659.71711013866</v>
      </c>
      <c r="Q302" s="96">
        <f t="shared" si="152"/>
        <v>311215.89403349935</v>
      </c>
      <c r="R302" s="187" t="s">
        <v>2563</v>
      </c>
      <c r="S302" s="189" t="s">
        <v>3607</v>
      </c>
      <c r="T302" s="94" t="s">
        <v>5394</v>
      </c>
      <c r="U302" s="395">
        <f>COUNTIF(Aggregation_of_rev_to_allocate!$A$3:$A$137,$T302)</f>
        <v>0</v>
      </c>
      <c r="V302" s="100"/>
      <c r="W302" s="100">
        <v>346</v>
      </c>
      <c r="X302" s="109">
        <v>101806.55591330641</v>
      </c>
      <c r="Y302" s="109">
        <v>330408.5496459126</v>
      </c>
      <c r="Z302" s="110">
        <v>0.78027871252955106</v>
      </c>
      <c r="AA302" s="110">
        <v>0.23554603854389722</v>
      </c>
      <c r="AB302" s="110">
        <v>0.76445396145610278</v>
      </c>
      <c r="AC302" s="109">
        <f>IF(ISERROR((X302*SUMIF('Rev_for_allocation(Hard)'!$A$3:$A$249,$T302,'Rev_for_allocation(Hard)'!$I$3:$I$249)/SUMIF(Historic_capex_list!$T$9:$T$586,$T302,Historic_capex_list!$X$9:$X$586))=TRUE),0,X302*SUMIF('Rev_for_allocation(Hard)'!$A$3:$A$249,$T302,'Rev_for_allocation(Hard)'!$I$3:$I$249)/SUMIF(Historic_capex_list!$T$9:$T$586,$T302,Historic_capex_list!$X$9:$X$586))</f>
        <v>0</v>
      </c>
      <c r="AD302" s="109">
        <f t="shared" si="153"/>
        <v>101806.55591330641</v>
      </c>
      <c r="AE302" s="109">
        <f t="shared" si="154"/>
        <v>101806.55591330641</v>
      </c>
      <c r="AF302" s="109">
        <f t="shared" si="155"/>
        <v>432215.10555921902</v>
      </c>
      <c r="AG302" s="332" t="str">
        <f t="shared" si="156"/>
        <v>N</v>
      </c>
      <c r="AH302" s="332">
        <f t="shared" si="182"/>
        <v>0</v>
      </c>
      <c r="AI302" s="332">
        <f t="shared" si="183"/>
        <v>0</v>
      </c>
      <c r="AJ302" s="109">
        <f t="shared" si="184"/>
        <v>432215.10555921902</v>
      </c>
      <c r="AK302" s="109">
        <f t="shared" si="157"/>
        <v>0</v>
      </c>
      <c r="AL302" s="109">
        <v>0</v>
      </c>
      <c r="AM302" s="111">
        <f t="shared" si="158"/>
        <v>32.454545454545453</v>
      </c>
      <c r="AN302" s="111">
        <f t="shared" si="159"/>
        <v>29.454545454545453</v>
      </c>
      <c r="AO302" s="111" t="str">
        <f t="shared" si="160"/>
        <v>Use deduct 3yrs</v>
      </c>
      <c r="AP302" s="111">
        <f t="shared" si="161"/>
        <v>29.454545454545453</v>
      </c>
      <c r="AQ302" s="112">
        <f t="shared" si="162"/>
        <v>0.74654377880184331</v>
      </c>
      <c r="AR302" s="112">
        <f t="shared" si="163"/>
        <v>0.25345622119815669</v>
      </c>
      <c r="AS302" s="113">
        <f t="shared" si="164"/>
        <v>2057</v>
      </c>
      <c r="AT302" s="109">
        <v>416880.5365781014</v>
      </c>
      <c r="AU302" s="114">
        <v>0.25345622119815669</v>
      </c>
      <c r="AV302" s="113">
        <v>2057</v>
      </c>
      <c r="AW302" s="112">
        <f t="shared" si="165"/>
        <v>0.75260407938771268</v>
      </c>
      <c r="AX302" s="109">
        <f t="shared" si="166"/>
        <v>105660.96549214552</v>
      </c>
      <c r="AY302" s="109">
        <f t="shared" si="167"/>
        <v>311219.57108595583</v>
      </c>
      <c r="AZ302" s="109">
        <f t="shared" si="168"/>
        <v>416880.53657810134</v>
      </c>
      <c r="BA302" s="111">
        <f t="shared" si="169"/>
        <v>0</v>
      </c>
      <c r="BB302" s="117"/>
      <c r="BC302" s="115" t="str">
        <f t="shared" si="170"/>
        <v>N</v>
      </c>
      <c r="BD302" s="115" t="str">
        <f t="shared" si="171"/>
        <v>N</v>
      </c>
      <c r="BE302" s="115" t="str">
        <f t="shared" si="172"/>
        <v>N</v>
      </c>
      <c r="BF302" s="109" t="str">
        <f t="shared" si="173"/>
        <v/>
      </c>
      <c r="BG302" s="111" t="s">
        <v>2499</v>
      </c>
      <c r="BH302" s="115" t="s">
        <v>1168</v>
      </c>
      <c r="BI302" s="116"/>
      <c r="BJ302" s="222">
        <v>0.75259518738690034</v>
      </c>
      <c r="BK302" s="265">
        <f t="shared" si="174"/>
        <v>3.6770524564781226</v>
      </c>
      <c r="BL302" s="265">
        <f t="shared" si="175"/>
        <v>-3.6770524564781226</v>
      </c>
      <c r="BM302" s="265">
        <f t="shared" si="176"/>
        <v>0</v>
      </c>
      <c r="BN302" s="265">
        <f t="shared" si="177"/>
        <v>-3853.1611968322541</v>
      </c>
      <c r="BO302" s="109"/>
      <c r="BP302" s="265">
        <f t="shared" si="178"/>
        <v>15334.568981117627</v>
      </c>
      <c r="BQ302" s="265">
        <v>15334.568981117627</v>
      </c>
      <c r="BR302" s="265" t="e">
        <f t="shared" si="179"/>
        <v>#REF!</v>
      </c>
      <c r="BS302" s="265">
        <v>1727.5808302609614</v>
      </c>
      <c r="BT302" s="475">
        <v>137043.4634218986</v>
      </c>
      <c r="BU302" s="475">
        <v>105660.96549214552</v>
      </c>
      <c r="BV302" s="475">
        <v>311219.57108595589</v>
      </c>
      <c r="BW302" s="483">
        <f t="shared" si="180"/>
        <v>-1.248382006859174</v>
      </c>
      <c r="BX302" s="483">
        <f t="shared" si="181"/>
        <v>-3.6770524565363303</v>
      </c>
      <c r="BY302" s="103" t="s">
        <v>5331</v>
      </c>
    </row>
    <row r="303" spans="1:77" s="103" customFormat="1" ht="14.5">
      <c r="A303" s="100" t="s">
        <v>2259</v>
      </c>
      <c r="B303" s="91" t="str">
        <f t="shared" si="149"/>
        <v>STW</v>
      </c>
      <c r="C303" s="92" t="s">
        <v>466</v>
      </c>
      <c r="D303" s="448"/>
      <c r="E303" s="449" t="s">
        <v>2143</v>
      </c>
      <c r="F303" s="467" t="s">
        <v>4855</v>
      </c>
      <c r="G303" s="467" t="s">
        <v>4991</v>
      </c>
      <c r="H303" s="470">
        <v>0.2331</v>
      </c>
      <c r="I303" s="95" t="s">
        <v>962</v>
      </c>
      <c r="J303" s="95" t="s">
        <v>1166</v>
      </c>
      <c r="K303" s="469">
        <v>303999</v>
      </c>
      <c r="L303" s="471">
        <v>0.78027867566884224</v>
      </c>
      <c r="M303" s="584">
        <v>0.25345622119815669</v>
      </c>
      <c r="N303" s="267">
        <f t="shared" si="150"/>
        <v>0.74654377880184331</v>
      </c>
      <c r="O303" s="96">
        <f t="shared" si="151"/>
        <v>248706.76225624356</v>
      </c>
      <c r="P303" s="96">
        <f t="shared" si="185"/>
        <v>14014.161640122607</v>
      </c>
      <c r="Q303" s="96">
        <f t="shared" si="152"/>
        <v>41278.076103633866</v>
      </c>
      <c r="R303" s="187" t="s">
        <v>2314</v>
      </c>
      <c r="S303" s="187" t="s">
        <v>3607</v>
      </c>
      <c r="T303" s="94" t="s">
        <v>5395</v>
      </c>
      <c r="U303" s="395">
        <f>COUNTIF(Aggregation_of_rev_to_allocate!$A$3:$A$137,$T303)</f>
        <v>0</v>
      </c>
      <c r="V303" s="100"/>
      <c r="W303" s="100">
        <v>432</v>
      </c>
      <c r="X303" s="109">
        <v>13025.49162724839</v>
      </c>
      <c r="Y303" s="109">
        <v>42273.641008433413</v>
      </c>
      <c r="Z303" s="110">
        <v>0.78027871252955094</v>
      </c>
      <c r="AA303" s="110">
        <v>0.23554603854389722</v>
      </c>
      <c r="AB303" s="110">
        <v>0.76445396145610278</v>
      </c>
      <c r="AC303" s="109">
        <f>IF(ISERROR((X303*SUMIF('Rev_for_allocation(Hard)'!$A$3:$A$249,$T303,'Rev_for_allocation(Hard)'!$I$3:$I$249)/SUMIF(Historic_capex_list!$T$9:$T$586,$T303,Historic_capex_list!$X$9:$X$586))=TRUE),0,X303*SUMIF('Rev_for_allocation(Hard)'!$A$3:$A$249,$T303,'Rev_for_allocation(Hard)'!$I$3:$I$249)/SUMIF(Historic_capex_list!$T$9:$T$586,$T303,Historic_capex_list!$X$9:$X$586))</f>
        <v>0</v>
      </c>
      <c r="AD303" s="109">
        <f t="shared" si="153"/>
        <v>13025.49162724839</v>
      </c>
      <c r="AE303" s="109">
        <f t="shared" si="154"/>
        <v>13025.49162724839</v>
      </c>
      <c r="AF303" s="109">
        <f t="shared" si="155"/>
        <v>55299.132635681803</v>
      </c>
      <c r="AG303" s="332" t="str">
        <f t="shared" si="156"/>
        <v>N</v>
      </c>
      <c r="AH303" s="332">
        <f t="shared" si="182"/>
        <v>0</v>
      </c>
      <c r="AI303" s="332">
        <f t="shared" si="183"/>
        <v>0</v>
      </c>
      <c r="AJ303" s="109">
        <f t="shared" si="184"/>
        <v>55299.132635681803</v>
      </c>
      <c r="AK303" s="109">
        <f t="shared" si="157"/>
        <v>0</v>
      </c>
      <c r="AL303" s="109">
        <v>0</v>
      </c>
      <c r="AM303" s="111">
        <f t="shared" si="158"/>
        <v>32.454545454545453</v>
      </c>
      <c r="AN303" s="111">
        <f t="shared" si="159"/>
        <v>29.454545454545453</v>
      </c>
      <c r="AO303" s="111" t="str">
        <f t="shared" si="160"/>
        <v>Use deduct 3yrs</v>
      </c>
      <c r="AP303" s="111">
        <f t="shared" si="161"/>
        <v>29.454545454545453</v>
      </c>
      <c r="AQ303" s="112">
        <f t="shared" si="162"/>
        <v>0.74654377880184331</v>
      </c>
      <c r="AR303" s="112">
        <f t="shared" si="163"/>
        <v>0.25345622119815669</v>
      </c>
      <c r="AS303" s="113">
        <f t="shared" si="164"/>
        <v>2057</v>
      </c>
      <c r="AT303" s="109">
        <v>55299.130023326521</v>
      </c>
      <c r="AU303" s="114">
        <v>0.25345622119815669</v>
      </c>
      <c r="AV303" s="113">
        <v>2057</v>
      </c>
      <c r="AW303" s="112">
        <f t="shared" si="165"/>
        <v>0.78037593884708767</v>
      </c>
      <c r="AX303" s="109">
        <f t="shared" si="166"/>
        <v>14015.908531257875</v>
      </c>
      <c r="AY303" s="109">
        <f t="shared" si="167"/>
        <v>41283.221492068653</v>
      </c>
      <c r="AZ303" s="109">
        <f t="shared" si="168"/>
        <v>55299.130023326528</v>
      </c>
      <c r="BA303" s="111">
        <f t="shared" si="169"/>
        <v>0</v>
      </c>
      <c r="BB303" s="117"/>
      <c r="BC303" s="115" t="str">
        <f t="shared" si="170"/>
        <v>N</v>
      </c>
      <c r="BD303" s="115" t="str">
        <f t="shared" si="171"/>
        <v>N</v>
      </c>
      <c r="BE303" s="115" t="str">
        <f t="shared" si="172"/>
        <v>N</v>
      </c>
      <c r="BF303" s="109" t="str">
        <f t="shared" si="173"/>
        <v/>
      </c>
      <c r="BG303" s="111" t="s">
        <v>2499</v>
      </c>
      <c r="BH303" s="115" t="s">
        <v>1168</v>
      </c>
      <c r="BI303" s="116"/>
      <c r="BJ303" s="222">
        <v>0.78027867566884224</v>
      </c>
      <c r="BK303" s="265">
        <f t="shared" si="174"/>
        <v>5.1453884347865824</v>
      </c>
      <c r="BL303" s="265">
        <f t="shared" si="175"/>
        <v>-5.1453884347865824</v>
      </c>
      <c r="BM303" s="265">
        <f t="shared" si="176"/>
        <v>0</v>
      </c>
      <c r="BN303" s="265">
        <f t="shared" si="177"/>
        <v>-988.67001287421772</v>
      </c>
      <c r="BO303" s="109"/>
      <c r="BP303" s="265">
        <f t="shared" si="178"/>
        <v>2.612355281598866E-3</v>
      </c>
      <c r="BQ303" s="265">
        <v>2.612355281598866E-3</v>
      </c>
      <c r="BR303" s="265" t="e">
        <f t="shared" si="179"/>
        <v>#REF!</v>
      </c>
      <c r="BS303" s="265">
        <v>2.9430595094510784E-4</v>
      </c>
      <c r="BT303" s="475">
        <v>15571.869976673483</v>
      </c>
      <c r="BU303" s="475">
        <v>14015.908531257875</v>
      </c>
      <c r="BV303" s="475">
        <v>41283.221492068646</v>
      </c>
      <c r="BW303" s="483">
        <f t="shared" si="180"/>
        <v>-1.7468911352680152</v>
      </c>
      <c r="BX303" s="483">
        <f t="shared" si="181"/>
        <v>-5.1453884347793064</v>
      </c>
    </row>
    <row r="304" spans="1:77" s="103" customFormat="1" ht="29">
      <c r="A304" s="100" t="s">
        <v>2259</v>
      </c>
      <c r="B304" s="91" t="str">
        <f t="shared" si="149"/>
        <v>STW</v>
      </c>
      <c r="C304" s="92" t="s">
        <v>466</v>
      </c>
      <c r="D304" s="448"/>
      <c r="E304" s="449" t="s">
        <v>2070</v>
      </c>
      <c r="F304" s="467" t="s">
        <v>4857</v>
      </c>
      <c r="G304" s="467" t="s">
        <v>4992</v>
      </c>
      <c r="H304" s="470">
        <v>0.27750000000000002</v>
      </c>
      <c r="I304" s="95" t="s">
        <v>962</v>
      </c>
      <c r="J304" s="95" t="s">
        <v>1166</v>
      </c>
      <c r="K304" s="469">
        <v>602809</v>
      </c>
      <c r="L304" s="471">
        <v>0.78027867566884246</v>
      </c>
      <c r="M304" s="584">
        <v>0.25345622119815669</v>
      </c>
      <c r="N304" s="267">
        <f t="shared" si="150"/>
        <v>0.74654377880184331</v>
      </c>
      <c r="O304" s="96">
        <f t="shared" si="151"/>
        <v>472284.37522415048</v>
      </c>
      <c r="P304" s="96">
        <f t="shared" si="185"/>
        <v>33082.278168994104</v>
      </c>
      <c r="Q304" s="96">
        <f t="shared" si="152"/>
        <v>97442.346606855339</v>
      </c>
      <c r="R304" s="187" t="s">
        <v>2314</v>
      </c>
      <c r="S304" s="187" t="s">
        <v>3607</v>
      </c>
      <c r="T304" s="94" t="s">
        <v>5395</v>
      </c>
      <c r="U304" s="395">
        <f>COUNTIF(Aggregation_of_rev_to_allocate!$A$3:$A$137,$T304)</f>
        <v>0</v>
      </c>
      <c r="V304" s="100"/>
      <c r="W304" s="100">
        <v>433</v>
      </c>
      <c r="X304" s="109">
        <v>30746.490021622154</v>
      </c>
      <c r="Y304" s="109">
        <v>99786.335797446445</v>
      </c>
      <c r="Z304" s="110">
        <v>0.78027871252955106</v>
      </c>
      <c r="AA304" s="110">
        <v>0.23554603854389722</v>
      </c>
      <c r="AB304" s="110">
        <v>0.76445396145610278</v>
      </c>
      <c r="AC304" s="109">
        <f>IF(ISERROR((X304*SUMIF('Rev_for_allocation(Hard)'!$A$3:$A$249,$T304,'Rev_for_allocation(Hard)'!$I$3:$I$249)/SUMIF(Historic_capex_list!$T$9:$T$586,$T304,Historic_capex_list!$X$9:$X$586))=TRUE),0,X304*SUMIF('Rev_for_allocation(Hard)'!$A$3:$A$249,$T304,'Rev_for_allocation(Hard)'!$I$3:$I$249)/SUMIF(Historic_capex_list!$T$9:$T$586,$T304,Historic_capex_list!$X$9:$X$586))</f>
        <v>0</v>
      </c>
      <c r="AD304" s="109">
        <f t="shared" si="153"/>
        <v>30746.490021622154</v>
      </c>
      <c r="AE304" s="109">
        <f t="shared" si="154"/>
        <v>30746.490021622154</v>
      </c>
      <c r="AF304" s="109">
        <f t="shared" si="155"/>
        <v>130532.8258190686</v>
      </c>
      <c r="AG304" s="332" t="str">
        <f t="shared" si="156"/>
        <v>N</v>
      </c>
      <c r="AH304" s="332">
        <f t="shared" si="182"/>
        <v>0</v>
      </c>
      <c r="AI304" s="332">
        <f t="shared" si="183"/>
        <v>0</v>
      </c>
      <c r="AJ304" s="109">
        <f t="shared" si="184"/>
        <v>130532.8258190686</v>
      </c>
      <c r="AK304" s="109">
        <f t="shared" si="157"/>
        <v>0</v>
      </c>
      <c r="AL304" s="109">
        <v>0</v>
      </c>
      <c r="AM304" s="111">
        <f t="shared" si="158"/>
        <v>32.454545454545453</v>
      </c>
      <c r="AN304" s="111">
        <f t="shared" si="159"/>
        <v>29.454545454545453</v>
      </c>
      <c r="AO304" s="111" t="str">
        <f t="shared" si="160"/>
        <v>Use deduct 3yrs</v>
      </c>
      <c r="AP304" s="111">
        <f t="shared" si="161"/>
        <v>29.454545454545453</v>
      </c>
      <c r="AQ304" s="112">
        <f t="shared" si="162"/>
        <v>0.74654377880184331</v>
      </c>
      <c r="AR304" s="112">
        <f t="shared" si="163"/>
        <v>0.25345622119815669</v>
      </c>
      <c r="AS304" s="113">
        <f t="shared" si="164"/>
        <v>2057</v>
      </c>
      <c r="AT304" s="109">
        <v>130532.81965264065</v>
      </c>
      <c r="AU304" s="114">
        <v>0.25345622119815669</v>
      </c>
      <c r="AV304" s="113">
        <v>2057</v>
      </c>
      <c r="AW304" s="112">
        <f t="shared" si="165"/>
        <v>0.78032766479729909</v>
      </c>
      <c r="AX304" s="109">
        <f t="shared" si="166"/>
        <v>33084.355211498783</v>
      </c>
      <c r="AY304" s="109">
        <f t="shared" si="167"/>
        <v>97448.46444114187</v>
      </c>
      <c r="AZ304" s="109">
        <f t="shared" si="168"/>
        <v>130532.81965264065</v>
      </c>
      <c r="BA304" s="111">
        <f t="shared" si="169"/>
        <v>0</v>
      </c>
      <c r="BB304" s="117"/>
      <c r="BC304" s="115" t="str">
        <f t="shared" si="170"/>
        <v>N</v>
      </c>
      <c r="BD304" s="115" t="str">
        <f t="shared" si="171"/>
        <v>N</v>
      </c>
      <c r="BE304" s="115" t="str">
        <f t="shared" si="172"/>
        <v>N</v>
      </c>
      <c r="BF304" s="109" t="str">
        <f t="shared" si="173"/>
        <v/>
      </c>
      <c r="BG304" s="111" t="s">
        <v>2499</v>
      </c>
      <c r="BH304" s="115" t="s">
        <v>1168</v>
      </c>
      <c r="BI304" s="116"/>
      <c r="BJ304" s="222">
        <v>0.78027867566884246</v>
      </c>
      <c r="BK304" s="265">
        <f t="shared" si="174"/>
        <v>6.1178342865314335</v>
      </c>
      <c r="BL304" s="265">
        <f t="shared" si="175"/>
        <v>-6.1178342865314335</v>
      </c>
      <c r="BM304" s="265">
        <f t="shared" si="176"/>
        <v>0</v>
      </c>
      <c r="BN304" s="265">
        <f t="shared" si="177"/>
        <v>-2335.7881473719499</v>
      </c>
      <c r="BO304" s="109"/>
      <c r="BP304" s="265">
        <f t="shared" si="178"/>
        <v>6.1664279492106289E-3</v>
      </c>
      <c r="BQ304" s="265">
        <v>6.1664279492106289E-3</v>
      </c>
      <c r="BR304" s="265" t="e">
        <f t="shared" si="179"/>
        <v>#REF!</v>
      </c>
      <c r="BS304" s="265">
        <v>6.9470506340017617E-4</v>
      </c>
      <c r="BT304" s="475">
        <v>36757.180347359346</v>
      </c>
      <c r="BU304" s="475">
        <v>33084.355211498783</v>
      </c>
      <c r="BV304" s="475">
        <v>97448.46444114187</v>
      </c>
      <c r="BW304" s="483">
        <f t="shared" si="180"/>
        <v>-2.0770425046794116</v>
      </c>
      <c r="BX304" s="483">
        <f t="shared" si="181"/>
        <v>-6.1178342865314335</v>
      </c>
    </row>
    <row r="305" spans="1:77" s="103" customFormat="1" ht="43.5">
      <c r="A305" s="100" t="s">
        <v>2259</v>
      </c>
      <c r="B305" s="91" t="str">
        <f t="shared" si="149"/>
        <v>STW</v>
      </c>
      <c r="C305" s="92" t="s">
        <v>466</v>
      </c>
      <c r="D305" s="448"/>
      <c r="E305" s="449" t="s">
        <v>2140</v>
      </c>
      <c r="F305" s="468" t="s">
        <v>4858</v>
      </c>
      <c r="G305" s="620" t="s">
        <v>5344</v>
      </c>
      <c r="H305" s="470">
        <v>0.33329999999999999</v>
      </c>
      <c r="I305" s="504" t="s">
        <v>962</v>
      </c>
      <c r="J305" s="95" t="s">
        <v>1166</v>
      </c>
      <c r="K305" s="469">
        <v>114639</v>
      </c>
      <c r="L305" s="471">
        <v>0.78280905077634932</v>
      </c>
      <c r="M305" s="584">
        <v>0.25345622119815669</v>
      </c>
      <c r="N305" s="267">
        <f t="shared" si="150"/>
        <v>0.74654377880184331</v>
      </c>
      <c r="O305" s="96">
        <f t="shared" si="151"/>
        <v>84728.509090909109</v>
      </c>
      <c r="P305" s="96">
        <f t="shared" si="185"/>
        <v>7580.9999999999991</v>
      </c>
      <c r="Q305" s="96">
        <f t="shared" si="152"/>
        <v>22329.490909090906</v>
      </c>
      <c r="R305" s="187" t="s">
        <v>2563</v>
      </c>
      <c r="S305" s="187" t="s">
        <v>3607</v>
      </c>
      <c r="T305" s="94" t="s">
        <v>5394</v>
      </c>
      <c r="U305" s="395">
        <f>COUNTIF(Aggregation_of_rev_to_allocate!$A$3:$A$137,$T305)</f>
        <v>0</v>
      </c>
      <c r="V305" s="100"/>
      <c r="W305" s="100">
        <v>347</v>
      </c>
      <c r="X305" s="109">
        <v>7304.1559455083807</v>
      </c>
      <c r="Y305" s="109">
        <v>23705.306114059018</v>
      </c>
      <c r="Z305" s="110">
        <v>0.81148986103073295</v>
      </c>
      <c r="AA305" s="110">
        <v>0.23554603854389722</v>
      </c>
      <c r="AB305" s="110">
        <v>0.76445396145610278</v>
      </c>
      <c r="AC305" s="109">
        <f>IF(ISERROR((X305*SUMIF('Rev_for_allocation(Hard)'!$A$3:$A$249,$T305,'Rev_for_allocation(Hard)'!$I$3:$I$249)/SUMIF(Historic_capex_list!$T$9:$T$586,$T305,Historic_capex_list!$X$9:$X$586))=TRUE),0,X305*SUMIF('Rev_for_allocation(Hard)'!$A$3:$A$249,$T305,'Rev_for_allocation(Hard)'!$I$3:$I$249)/SUMIF(Historic_capex_list!$T$9:$T$586,$T305,Historic_capex_list!$X$9:$X$586))</f>
        <v>0</v>
      </c>
      <c r="AD305" s="109">
        <f t="shared" si="153"/>
        <v>7304.1559455083807</v>
      </c>
      <c r="AE305" s="109">
        <f t="shared" si="154"/>
        <v>7304.1559455083807</v>
      </c>
      <c r="AF305" s="109">
        <f t="shared" si="155"/>
        <v>31009.462059567399</v>
      </c>
      <c r="AG305" s="332" t="str">
        <f t="shared" si="156"/>
        <v>N</v>
      </c>
      <c r="AH305" s="332">
        <f t="shared" si="182"/>
        <v>0</v>
      </c>
      <c r="AI305" s="332">
        <f t="shared" si="183"/>
        <v>0</v>
      </c>
      <c r="AJ305" s="109">
        <f t="shared" si="184"/>
        <v>31009.462059567399</v>
      </c>
      <c r="AK305" s="109">
        <f t="shared" si="157"/>
        <v>0</v>
      </c>
      <c r="AL305" s="109">
        <v>0</v>
      </c>
      <c r="AM305" s="111">
        <f t="shared" si="158"/>
        <v>32.454545454545453</v>
      </c>
      <c r="AN305" s="111">
        <f t="shared" si="159"/>
        <v>29.454545454545453</v>
      </c>
      <c r="AO305" s="111" t="str">
        <f t="shared" si="160"/>
        <v>Use deduct 3yrs</v>
      </c>
      <c r="AP305" s="111">
        <f t="shared" si="161"/>
        <v>29.454545454545453</v>
      </c>
      <c r="AQ305" s="112">
        <f t="shared" si="162"/>
        <v>0.74654377880184331</v>
      </c>
      <c r="AR305" s="112">
        <f t="shared" si="163"/>
        <v>0.25345622119815669</v>
      </c>
      <c r="AS305" s="113">
        <f t="shared" si="164"/>
        <v>2057</v>
      </c>
      <c r="AT305" s="109">
        <v>29909.276691440245</v>
      </c>
      <c r="AU305" s="114">
        <v>0.25345622119815669</v>
      </c>
      <c r="AV305" s="113">
        <v>2057</v>
      </c>
      <c r="AW305" s="112">
        <f t="shared" si="165"/>
        <v>0.78277727260963736</v>
      </c>
      <c r="AX305" s="109">
        <f t="shared" si="166"/>
        <v>7580.6922489825511</v>
      </c>
      <c r="AY305" s="109">
        <f t="shared" si="167"/>
        <v>22328.584442457697</v>
      </c>
      <c r="AZ305" s="109">
        <f t="shared" si="168"/>
        <v>29909.276691440249</v>
      </c>
      <c r="BA305" s="111">
        <f t="shared" si="169"/>
        <v>0</v>
      </c>
      <c r="BB305" s="117"/>
      <c r="BC305" s="115" t="str">
        <f t="shared" si="170"/>
        <v>Y</v>
      </c>
      <c r="BD305" s="115" t="str">
        <f t="shared" si="171"/>
        <v>Y</v>
      </c>
      <c r="BE305" s="115" t="str">
        <f t="shared" si="172"/>
        <v>N</v>
      </c>
      <c r="BF305" s="109" t="str">
        <f t="shared" si="173"/>
        <v/>
      </c>
      <c r="BG305" s="111" t="s">
        <v>2499</v>
      </c>
      <c r="BH305" s="115" t="s">
        <v>1168</v>
      </c>
      <c r="BI305" s="116"/>
      <c r="BJ305" s="222">
        <v>0.78269899488237626</v>
      </c>
      <c r="BK305" s="265">
        <f t="shared" si="174"/>
        <v>-0.90646663320876542</v>
      </c>
      <c r="BL305" s="265">
        <f t="shared" si="175"/>
        <v>0.90646663320876542</v>
      </c>
      <c r="BM305" s="265">
        <f t="shared" si="176"/>
        <v>0</v>
      </c>
      <c r="BN305" s="265">
        <f t="shared" si="177"/>
        <v>-276.84405449161841</v>
      </c>
      <c r="BO305" s="109"/>
      <c r="BP305" s="265">
        <f t="shared" si="178"/>
        <v>1100.1853681271532</v>
      </c>
      <c r="BQ305" s="265">
        <v>1100.1853681271532</v>
      </c>
      <c r="BR305" s="265" t="e">
        <f t="shared" si="179"/>
        <v>#REF!</v>
      </c>
      <c r="BS305" s="265">
        <v>123.94604335149323</v>
      </c>
      <c r="BT305" s="475">
        <v>8303.7233085597563</v>
      </c>
      <c r="BU305" s="475">
        <v>7580.6922489825511</v>
      </c>
      <c r="BV305" s="475">
        <v>22328.584442457694</v>
      </c>
      <c r="BW305" s="483">
        <f t="shared" si="180"/>
        <v>0.30775101744802669</v>
      </c>
      <c r="BX305" s="483">
        <f t="shared" si="181"/>
        <v>0.90646663321240339</v>
      </c>
      <c r="BY305" s="103" t="s">
        <v>5331</v>
      </c>
    </row>
    <row r="306" spans="1:77" s="103" customFormat="1" ht="29">
      <c r="A306" s="100" t="s">
        <v>2259</v>
      </c>
      <c r="B306" s="91" t="str">
        <f t="shared" si="149"/>
        <v>STW</v>
      </c>
      <c r="C306" s="92" t="s">
        <v>466</v>
      </c>
      <c r="D306" s="448"/>
      <c r="E306" s="449" t="s">
        <v>2125</v>
      </c>
      <c r="F306" s="468" t="s">
        <v>4859</v>
      </c>
      <c r="G306" s="620" t="s">
        <v>5345</v>
      </c>
      <c r="H306" s="470">
        <v>0.33</v>
      </c>
      <c r="I306" s="504" t="s">
        <v>962</v>
      </c>
      <c r="J306" s="95" t="s">
        <v>1166</v>
      </c>
      <c r="K306" s="469">
        <v>441722.58</v>
      </c>
      <c r="L306" s="471">
        <v>1.2532912678849191</v>
      </c>
      <c r="M306" s="584">
        <v>0.25345622119815669</v>
      </c>
      <c r="N306" s="267">
        <f t="shared" si="150"/>
        <v>0.74654377880184331</v>
      </c>
      <c r="O306" s="96">
        <f t="shared" si="151"/>
        <v>259032.25272727277</v>
      </c>
      <c r="P306" s="96">
        <f t="shared" si="185"/>
        <v>46303.999999999993</v>
      </c>
      <c r="Q306" s="96">
        <f t="shared" si="152"/>
        <v>136386.32727272724</v>
      </c>
      <c r="R306" s="187" t="s">
        <v>2563</v>
      </c>
      <c r="S306" s="187" t="s">
        <v>3607</v>
      </c>
      <c r="T306" s="94" t="s">
        <v>5394</v>
      </c>
      <c r="U306" s="395">
        <f>COUNTIF(Aggregation_of_rev_to_allocate!$A$3:$A$137,$T306)</f>
        <v>0</v>
      </c>
      <c r="V306" s="100"/>
      <c r="W306" s="100">
        <v>348</v>
      </c>
      <c r="X306" s="109">
        <v>44615.312896368989</v>
      </c>
      <c r="Y306" s="109">
        <v>144796.97003639751</v>
      </c>
      <c r="Z306" s="110">
        <v>0.81148986103073317</v>
      </c>
      <c r="AA306" s="110">
        <v>0.23554603854389722</v>
      </c>
      <c r="AB306" s="110">
        <v>0.76445396145610278</v>
      </c>
      <c r="AC306" s="109">
        <f>IF(ISERROR((X306*SUMIF('Rev_for_allocation(Hard)'!$A$3:$A$249,$T306,'Rev_for_allocation(Hard)'!$I$3:$I$249)/SUMIF(Historic_capex_list!$T$9:$T$586,$T306,Historic_capex_list!$X$9:$X$586))=TRUE),0,X306*SUMIF('Rev_for_allocation(Hard)'!$A$3:$A$249,$T306,'Rev_for_allocation(Hard)'!$I$3:$I$249)/SUMIF(Historic_capex_list!$T$9:$T$586,$T306,Historic_capex_list!$X$9:$X$586))</f>
        <v>0</v>
      </c>
      <c r="AD306" s="109">
        <f t="shared" si="153"/>
        <v>44615.312896368989</v>
      </c>
      <c r="AE306" s="109">
        <f t="shared" si="154"/>
        <v>44615.312896368989</v>
      </c>
      <c r="AF306" s="109">
        <f t="shared" si="155"/>
        <v>189412.28293276651</v>
      </c>
      <c r="AG306" s="332" t="str">
        <f t="shared" si="156"/>
        <v>N</v>
      </c>
      <c r="AH306" s="332">
        <f t="shared" si="182"/>
        <v>0</v>
      </c>
      <c r="AI306" s="332">
        <f t="shared" si="183"/>
        <v>0</v>
      </c>
      <c r="AJ306" s="109">
        <f t="shared" si="184"/>
        <v>189412.28293276651</v>
      </c>
      <c r="AK306" s="109">
        <f t="shared" si="157"/>
        <v>0</v>
      </c>
      <c r="AL306" s="109">
        <v>0</v>
      </c>
      <c r="AM306" s="111">
        <f t="shared" si="158"/>
        <v>32.454545454545453</v>
      </c>
      <c r="AN306" s="111">
        <f t="shared" si="159"/>
        <v>29.454545454545453</v>
      </c>
      <c r="AO306" s="111" t="str">
        <f t="shared" si="160"/>
        <v>Use deduct 3yrs</v>
      </c>
      <c r="AP306" s="111">
        <f t="shared" si="161"/>
        <v>29.454545454545453</v>
      </c>
      <c r="AQ306" s="112">
        <f t="shared" si="162"/>
        <v>0.74654377880184331</v>
      </c>
      <c r="AR306" s="112">
        <f t="shared" si="163"/>
        <v>0.25345622119815669</v>
      </c>
      <c r="AS306" s="113">
        <f t="shared" si="164"/>
        <v>2057</v>
      </c>
      <c r="AT306" s="109">
        <v>182692.12049248011</v>
      </c>
      <c r="AU306" s="114">
        <v>0.25345622119815669</v>
      </c>
      <c r="AV306" s="113">
        <v>2057</v>
      </c>
      <c r="AW306" s="112">
        <f t="shared" si="165"/>
        <v>1.2533035697220838</v>
      </c>
      <c r="AX306" s="109">
        <f t="shared" si="166"/>
        <v>46304.454502702334</v>
      </c>
      <c r="AY306" s="109">
        <f t="shared" si="167"/>
        <v>136387.66598977777</v>
      </c>
      <c r="AZ306" s="109">
        <f t="shared" si="168"/>
        <v>182692.12049248011</v>
      </c>
      <c r="BA306" s="111">
        <f t="shared" si="169"/>
        <v>0</v>
      </c>
      <c r="BB306" s="117"/>
      <c r="BC306" s="115" t="str">
        <f t="shared" si="170"/>
        <v>N</v>
      </c>
      <c r="BD306" s="115" t="str">
        <f t="shared" si="171"/>
        <v>N</v>
      </c>
      <c r="BE306" s="115" t="str">
        <f t="shared" si="172"/>
        <v>N</v>
      </c>
      <c r="BF306" s="109" t="str">
        <f t="shared" si="173"/>
        <v/>
      </c>
      <c r="BG306" s="111" t="s">
        <v>2499</v>
      </c>
      <c r="BH306" s="115" t="s">
        <v>1168</v>
      </c>
      <c r="BI306" s="116"/>
      <c r="BJ306" s="222">
        <v>0.78269899488237638</v>
      </c>
      <c r="BK306" s="265">
        <f t="shared" si="174"/>
        <v>1.3387170505302493</v>
      </c>
      <c r="BL306" s="265">
        <f t="shared" si="175"/>
        <v>-1.3387170505302493</v>
      </c>
      <c r="BM306" s="265">
        <f t="shared" si="176"/>
        <v>0</v>
      </c>
      <c r="BN306" s="265">
        <f t="shared" si="177"/>
        <v>-1688.687103631004</v>
      </c>
      <c r="BO306" s="109"/>
      <c r="BP306" s="265">
        <f t="shared" si="178"/>
        <v>6720.1624402863963</v>
      </c>
      <c r="BQ306" s="265">
        <v>6720.1624402863963</v>
      </c>
      <c r="BR306" s="265" t="e">
        <f t="shared" si="179"/>
        <v>#REF!</v>
      </c>
      <c r="BS306" s="265">
        <v>757.08836827263463</v>
      </c>
      <c r="BT306" s="475">
        <v>50720.87950751988</v>
      </c>
      <c r="BU306" s="475">
        <v>46304.454502702334</v>
      </c>
      <c r="BV306" s="475">
        <v>136387.66598977777</v>
      </c>
      <c r="BW306" s="483">
        <f t="shared" si="180"/>
        <v>-0.45450270234141499</v>
      </c>
      <c r="BX306" s="483">
        <f t="shared" si="181"/>
        <v>-1.3387170505302493</v>
      </c>
      <c r="BY306" s="103" t="s">
        <v>5331</v>
      </c>
    </row>
    <row r="307" spans="1:77" s="103" customFormat="1" ht="29">
      <c r="A307" s="100" t="s">
        <v>2259</v>
      </c>
      <c r="B307" s="91" t="str">
        <f t="shared" si="149"/>
        <v>STW</v>
      </c>
      <c r="C307" s="92" t="s">
        <v>466</v>
      </c>
      <c r="D307" s="448"/>
      <c r="E307" s="449" t="s">
        <v>2098</v>
      </c>
      <c r="F307" s="468" t="s">
        <v>4860</v>
      </c>
      <c r="G307" s="620" t="s">
        <v>5346</v>
      </c>
      <c r="H307" s="470">
        <v>0.33329999999999999</v>
      </c>
      <c r="I307" s="504" t="s">
        <v>962</v>
      </c>
      <c r="J307" s="95" t="s">
        <v>1166</v>
      </c>
      <c r="K307" s="469">
        <v>200677</v>
      </c>
      <c r="L307" s="471">
        <v>0.78269899488237626</v>
      </c>
      <c r="M307" s="584">
        <v>0.25345622119815669</v>
      </c>
      <c r="N307" s="267">
        <f t="shared" si="150"/>
        <v>0.74654377880184331</v>
      </c>
      <c r="O307" s="96">
        <f t="shared" si="151"/>
        <v>148325.67359086967</v>
      </c>
      <c r="P307" s="96">
        <f t="shared" si="185"/>
        <v>13268.769366369441</v>
      </c>
      <c r="Q307" s="96">
        <f t="shared" si="152"/>
        <v>39082.557042760891</v>
      </c>
      <c r="R307" s="187" t="s">
        <v>2563</v>
      </c>
      <c r="S307" s="187" t="s">
        <v>3607</v>
      </c>
      <c r="T307" s="94" t="s">
        <v>5394</v>
      </c>
      <c r="U307" s="395">
        <f>COUNTIF(Aggregation_of_rev_to_allocate!$A$3:$A$137,$T307)</f>
        <v>0</v>
      </c>
      <c r="V307" s="100"/>
      <c r="W307" s="100">
        <v>349</v>
      </c>
      <c r="X307" s="109">
        <v>12786.143554886876</v>
      </c>
      <c r="Y307" s="109">
        <v>41496.847719041951</v>
      </c>
      <c r="Z307" s="110">
        <v>0.81148986103073306</v>
      </c>
      <c r="AA307" s="110">
        <v>0.23554603854389722</v>
      </c>
      <c r="AB307" s="110">
        <v>0.76445396145610278</v>
      </c>
      <c r="AC307" s="109">
        <f>IF(ISERROR((X307*SUMIF('Rev_for_allocation(Hard)'!$A$3:$A$249,$T307,'Rev_for_allocation(Hard)'!$I$3:$I$249)/SUMIF(Historic_capex_list!$T$9:$T$586,$T307,Historic_capex_list!$X$9:$X$586))=TRUE),0,X307*SUMIF('Rev_for_allocation(Hard)'!$A$3:$A$249,$T307,'Rev_for_allocation(Hard)'!$I$3:$I$249)/SUMIF(Historic_capex_list!$T$9:$T$586,$T307,Historic_capex_list!$X$9:$X$586))</f>
        <v>0</v>
      </c>
      <c r="AD307" s="109">
        <f t="shared" si="153"/>
        <v>12786.143554886876</v>
      </c>
      <c r="AE307" s="109">
        <f t="shared" si="154"/>
        <v>12786.143554886876</v>
      </c>
      <c r="AF307" s="109">
        <f t="shared" si="155"/>
        <v>54282.991273928827</v>
      </c>
      <c r="AG307" s="332" t="str">
        <f t="shared" si="156"/>
        <v>N</v>
      </c>
      <c r="AH307" s="332">
        <f t="shared" si="182"/>
        <v>0</v>
      </c>
      <c r="AI307" s="332">
        <f t="shared" si="183"/>
        <v>0</v>
      </c>
      <c r="AJ307" s="109">
        <f t="shared" si="184"/>
        <v>54282.991273928827</v>
      </c>
      <c r="AK307" s="109">
        <f t="shared" si="157"/>
        <v>0</v>
      </c>
      <c r="AL307" s="109">
        <v>0</v>
      </c>
      <c r="AM307" s="111">
        <f t="shared" si="158"/>
        <v>32.454545454545453</v>
      </c>
      <c r="AN307" s="111">
        <f t="shared" si="159"/>
        <v>29.454545454545453</v>
      </c>
      <c r="AO307" s="111" t="str">
        <f t="shared" si="160"/>
        <v>Use deduct 3yrs</v>
      </c>
      <c r="AP307" s="111">
        <f t="shared" si="161"/>
        <v>29.454545454545453</v>
      </c>
      <c r="AQ307" s="112">
        <f t="shared" si="162"/>
        <v>0.74654377880184331</v>
      </c>
      <c r="AR307" s="112">
        <f t="shared" si="163"/>
        <v>0.25345622119815669</v>
      </c>
      <c r="AS307" s="113">
        <f t="shared" si="164"/>
        <v>2057</v>
      </c>
      <c r="AT307" s="109">
        <v>52357.083864666798</v>
      </c>
      <c r="AU307" s="114">
        <v>0.25345622119815669</v>
      </c>
      <c r="AV307" s="113">
        <v>2057</v>
      </c>
      <c r="AW307" s="112">
        <f t="shared" si="165"/>
        <v>0.78278507397474262</v>
      </c>
      <c r="AX307" s="109">
        <f t="shared" si="166"/>
        <v>13270.22862929343</v>
      </c>
      <c r="AY307" s="109">
        <f t="shared" si="167"/>
        <v>39086.855235373368</v>
      </c>
      <c r="AZ307" s="109">
        <f t="shared" si="168"/>
        <v>52357.083864666798</v>
      </c>
      <c r="BA307" s="111">
        <f t="shared" si="169"/>
        <v>0</v>
      </c>
      <c r="BB307" s="117"/>
      <c r="BC307" s="115" t="str">
        <f t="shared" si="170"/>
        <v>N</v>
      </c>
      <c r="BD307" s="115" t="str">
        <f t="shared" si="171"/>
        <v>N</v>
      </c>
      <c r="BE307" s="115" t="str">
        <f t="shared" si="172"/>
        <v>N</v>
      </c>
      <c r="BF307" s="109" t="str">
        <f t="shared" si="173"/>
        <v/>
      </c>
      <c r="BG307" s="111" t="s">
        <v>2499</v>
      </c>
      <c r="BH307" s="115" t="s">
        <v>1168</v>
      </c>
      <c r="BI307" s="116"/>
      <c r="BJ307" s="222">
        <v>0.78269899488237626</v>
      </c>
      <c r="BK307" s="265">
        <f t="shared" si="174"/>
        <v>4.2981926124775782</v>
      </c>
      <c r="BL307" s="265">
        <f t="shared" si="175"/>
        <v>-4.2981926124775782</v>
      </c>
      <c r="BM307" s="265">
        <f t="shared" si="176"/>
        <v>0</v>
      </c>
      <c r="BN307" s="265">
        <f t="shared" si="177"/>
        <v>-482.62581148256504</v>
      </c>
      <c r="BO307" s="109"/>
      <c r="BP307" s="265">
        <f t="shared" si="178"/>
        <v>1925.9074092620285</v>
      </c>
      <c r="BQ307" s="265">
        <v>1925.9074092620285</v>
      </c>
      <c r="BR307" s="265" t="e">
        <f t="shared" si="179"/>
        <v>#REF!</v>
      </c>
      <c r="BS307" s="265">
        <v>216.97125789421045</v>
      </c>
      <c r="BT307" s="475">
        <v>14535.916135333204</v>
      </c>
      <c r="BU307" s="475">
        <v>13270.22862929343</v>
      </c>
      <c r="BV307" s="475">
        <v>39086.855235373368</v>
      </c>
      <c r="BW307" s="483">
        <f t="shared" si="180"/>
        <v>-1.4592629239887174</v>
      </c>
      <c r="BX307" s="483">
        <f t="shared" si="181"/>
        <v>-4.2981926124775782</v>
      </c>
      <c r="BY307" s="103" t="s">
        <v>5331</v>
      </c>
    </row>
    <row r="308" spans="1:77" s="103" customFormat="1" ht="14.5">
      <c r="A308" s="100" t="s">
        <v>2259</v>
      </c>
      <c r="B308" s="91" t="str">
        <f t="shared" si="149"/>
        <v>STW</v>
      </c>
      <c r="C308" s="92" t="s">
        <v>466</v>
      </c>
      <c r="D308" s="448"/>
      <c r="E308" s="449" t="s">
        <v>2071</v>
      </c>
      <c r="F308" s="467" t="s">
        <v>4861</v>
      </c>
      <c r="G308" s="384" t="s">
        <v>4692</v>
      </c>
      <c r="H308" s="470">
        <v>0.51759999999999995</v>
      </c>
      <c r="I308" s="504" t="s">
        <v>962</v>
      </c>
      <c r="J308" s="95" t="s">
        <v>1166</v>
      </c>
      <c r="K308" s="469">
        <v>1190493</v>
      </c>
      <c r="L308" s="471">
        <v>0.75259518738690023</v>
      </c>
      <c r="M308" s="584">
        <v>0.25345622119815669</v>
      </c>
      <c r="N308" s="267">
        <f t="shared" si="150"/>
        <v>0.74654377880184331</v>
      </c>
      <c r="O308" s="96">
        <f t="shared" si="151"/>
        <v>726744.46506855043</v>
      </c>
      <c r="P308" s="96">
        <f t="shared" si="185"/>
        <v>117539.95124990659</v>
      </c>
      <c r="Q308" s="96">
        <f t="shared" si="152"/>
        <v>346208.58368154301</v>
      </c>
      <c r="R308" s="187" t="s">
        <v>2563</v>
      </c>
      <c r="S308" s="187" t="s">
        <v>3607</v>
      </c>
      <c r="T308" s="94" t="s">
        <v>5394</v>
      </c>
      <c r="U308" s="395">
        <f>COUNTIF(Aggregation_of_rev_to_allocate!$A$3:$A$137,$T308)</f>
        <v>0</v>
      </c>
      <c r="V308" s="100"/>
      <c r="W308" s="100">
        <v>350</v>
      </c>
      <c r="X308" s="109">
        <v>113253.27804276212</v>
      </c>
      <c r="Y308" s="109">
        <v>367558.36601150979</v>
      </c>
      <c r="Z308" s="110">
        <v>0.78027871252955094</v>
      </c>
      <c r="AA308" s="110">
        <v>0.23554603854389722</v>
      </c>
      <c r="AB308" s="110">
        <v>0.76445396145610278</v>
      </c>
      <c r="AC308" s="109">
        <f>IF(ISERROR((X308*SUMIF('Rev_for_allocation(Hard)'!$A$3:$A$249,$T308,'Rev_for_allocation(Hard)'!$I$3:$I$249)/SUMIF(Historic_capex_list!$T$9:$T$586,$T308,Historic_capex_list!$X$9:$X$586))=TRUE),0,X308*SUMIF('Rev_for_allocation(Hard)'!$A$3:$A$249,$T308,'Rev_for_allocation(Hard)'!$I$3:$I$249)/SUMIF(Historic_capex_list!$T$9:$T$586,$T308,Historic_capex_list!$X$9:$X$586))</f>
        <v>0</v>
      </c>
      <c r="AD308" s="109">
        <f t="shared" si="153"/>
        <v>113253.27804276212</v>
      </c>
      <c r="AE308" s="109">
        <f t="shared" si="154"/>
        <v>113253.27804276212</v>
      </c>
      <c r="AF308" s="109">
        <f t="shared" si="155"/>
        <v>480811.64405427192</v>
      </c>
      <c r="AG308" s="332" t="str">
        <f t="shared" si="156"/>
        <v>N</v>
      </c>
      <c r="AH308" s="332">
        <f t="shared" si="182"/>
        <v>0</v>
      </c>
      <c r="AI308" s="332">
        <f t="shared" si="183"/>
        <v>0</v>
      </c>
      <c r="AJ308" s="109">
        <f t="shared" si="184"/>
        <v>480811.64405427192</v>
      </c>
      <c r="AK308" s="109">
        <f t="shared" si="157"/>
        <v>0</v>
      </c>
      <c r="AL308" s="109">
        <v>0</v>
      </c>
      <c r="AM308" s="111">
        <f t="shared" si="158"/>
        <v>32.454545454545453</v>
      </c>
      <c r="AN308" s="111">
        <f t="shared" si="159"/>
        <v>29.454545454545453</v>
      </c>
      <c r="AO308" s="111" t="str">
        <f t="shared" si="160"/>
        <v>Use deduct 3yrs</v>
      </c>
      <c r="AP308" s="111">
        <f t="shared" si="161"/>
        <v>29.454545454545453</v>
      </c>
      <c r="AQ308" s="112">
        <f t="shared" si="162"/>
        <v>0.74654377880184331</v>
      </c>
      <c r="AR308" s="112">
        <f t="shared" si="163"/>
        <v>0.25345622119815669</v>
      </c>
      <c r="AS308" s="113">
        <f t="shared" si="164"/>
        <v>2057</v>
      </c>
      <c r="AT308" s="109">
        <v>463752.91744374484</v>
      </c>
      <c r="AU308" s="114">
        <v>0.25345622119815669</v>
      </c>
      <c r="AV308" s="113">
        <v>2057</v>
      </c>
      <c r="AW308" s="112">
        <f t="shared" si="165"/>
        <v>0.75260229955527091</v>
      </c>
      <c r="AX308" s="109">
        <f t="shared" si="166"/>
        <v>117541.0620249123</v>
      </c>
      <c r="AY308" s="109">
        <f t="shared" si="167"/>
        <v>346211.85541883257</v>
      </c>
      <c r="AZ308" s="109">
        <f t="shared" si="168"/>
        <v>463752.91744374484</v>
      </c>
      <c r="BA308" s="111">
        <f t="shared" si="169"/>
        <v>0</v>
      </c>
      <c r="BB308" s="117"/>
      <c r="BC308" s="115" t="str">
        <f t="shared" si="170"/>
        <v>N</v>
      </c>
      <c r="BD308" s="115" t="str">
        <f t="shared" si="171"/>
        <v>N</v>
      </c>
      <c r="BE308" s="115" t="str">
        <f t="shared" si="172"/>
        <v>N</v>
      </c>
      <c r="BF308" s="109" t="str">
        <f t="shared" si="173"/>
        <v/>
      </c>
      <c r="BG308" s="111" t="s">
        <v>2499</v>
      </c>
      <c r="BH308" s="115" t="s">
        <v>1168</v>
      </c>
      <c r="BI308" s="116"/>
      <c r="BJ308" s="222">
        <v>0.75259518738690023</v>
      </c>
      <c r="BK308" s="265">
        <f t="shared" si="174"/>
        <v>3.2717372895567678</v>
      </c>
      <c r="BL308" s="265">
        <f t="shared" si="175"/>
        <v>-3.2717372895567678</v>
      </c>
      <c r="BM308" s="265">
        <f t="shared" si="176"/>
        <v>0</v>
      </c>
      <c r="BN308" s="265">
        <f t="shared" si="177"/>
        <v>-4286.6732071444712</v>
      </c>
      <c r="BO308" s="109"/>
      <c r="BP308" s="265">
        <f t="shared" si="178"/>
        <v>17058.726610527083</v>
      </c>
      <c r="BQ308" s="265">
        <v>17058.726610527083</v>
      </c>
      <c r="BR308" s="265" t="e">
        <f t="shared" si="179"/>
        <v>#REF!</v>
      </c>
      <c r="BS308" s="265">
        <v>1921.8231120351486</v>
      </c>
      <c r="BT308" s="475">
        <v>152452.08255625513</v>
      </c>
      <c r="BU308" s="475">
        <v>117541.06202491229</v>
      </c>
      <c r="BV308" s="475">
        <v>346211.85541883257</v>
      </c>
      <c r="BW308" s="483">
        <f t="shared" si="180"/>
        <v>-1.1107750056980876</v>
      </c>
      <c r="BX308" s="483">
        <f t="shared" si="181"/>
        <v>-3.2717372895567678</v>
      </c>
    </row>
    <row r="309" spans="1:77" s="103" customFormat="1" ht="14.5">
      <c r="A309" s="100" t="s">
        <v>2259</v>
      </c>
      <c r="B309" s="91" t="str">
        <f t="shared" si="149"/>
        <v>STW</v>
      </c>
      <c r="C309" s="92" t="s">
        <v>466</v>
      </c>
      <c r="D309" s="448"/>
      <c r="E309" s="449" t="s">
        <v>2078</v>
      </c>
      <c r="F309" s="467" t="s">
        <v>4866</v>
      </c>
      <c r="G309" s="467" t="s">
        <v>4993</v>
      </c>
      <c r="H309" s="470">
        <v>0.30980000000000002</v>
      </c>
      <c r="I309" s="95" t="s">
        <v>962</v>
      </c>
      <c r="J309" s="95" t="s">
        <v>1166</v>
      </c>
      <c r="K309" s="469">
        <v>214768</v>
      </c>
      <c r="L309" s="471">
        <v>0.81818379323918689</v>
      </c>
      <c r="M309" s="584">
        <v>0.1177730192719485</v>
      </c>
      <c r="N309" s="267">
        <f t="shared" si="150"/>
        <v>0.8822269807280515</v>
      </c>
      <c r="O309" s="96">
        <f t="shared" si="151"/>
        <v>160330.03789839923</v>
      </c>
      <c r="P309" s="96">
        <f t="shared" si="185"/>
        <v>6411.323159717429</v>
      </c>
      <c r="Q309" s="96">
        <f t="shared" si="152"/>
        <v>48026.638941883342</v>
      </c>
      <c r="R309" s="187" t="s">
        <v>2563</v>
      </c>
      <c r="S309" s="189" t="s">
        <v>3607</v>
      </c>
      <c r="T309" s="94" t="s">
        <v>5394</v>
      </c>
      <c r="U309" s="395">
        <f>COUNTIF(Aggregation_of_rev_to_allocate!$A$3:$A$137,$T309)</f>
        <v>0</v>
      </c>
      <c r="V309" s="100"/>
      <c r="W309" s="100">
        <v>352</v>
      </c>
      <c r="X309" s="109">
        <v>6299.5236708285138</v>
      </c>
      <c r="Y309" s="109">
        <v>49079.01623545491</v>
      </c>
      <c r="Z309" s="110">
        <v>0.83244704857246787</v>
      </c>
      <c r="AA309" s="110">
        <v>0.11375387797311265</v>
      </c>
      <c r="AB309" s="110">
        <v>0.88624612202688735</v>
      </c>
      <c r="AC309" s="109">
        <f>IF(ISERROR((X309*SUMIF('Rev_for_allocation(Hard)'!$A$3:$A$249,$T309,'Rev_for_allocation(Hard)'!$I$3:$I$249)/SUMIF(Historic_capex_list!$T$9:$T$586,$T309,Historic_capex_list!$X$9:$X$586))=TRUE),0,X309*SUMIF('Rev_for_allocation(Hard)'!$A$3:$A$249,$T309,'Rev_for_allocation(Hard)'!$I$3:$I$249)/SUMIF(Historic_capex_list!$T$9:$T$586,$T309,Historic_capex_list!$X$9:$X$586))</f>
        <v>0</v>
      </c>
      <c r="AD309" s="109">
        <f t="shared" si="153"/>
        <v>6299.5236708285138</v>
      </c>
      <c r="AE309" s="109">
        <f t="shared" si="154"/>
        <v>6299.5236708285138</v>
      </c>
      <c r="AF309" s="109">
        <f t="shared" si="155"/>
        <v>55378.539906283426</v>
      </c>
      <c r="AG309" s="332" t="str">
        <f t="shared" si="156"/>
        <v>N</v>
      </c>
      <c r="AH309" s="332">
        <f t="shared" si="182"/>
        <v>0</v>
      </c>
      <c r="AI309" s="332">
        <f t="shared" si="183"/>
        <v>0</v>
      </c>
      <c r="AJ309" s="109">
        <f t="shared" si="184"/>
        <v>55378.539906283426</v>
      </c>
      <c r="AK309" s="109">
        <f t="shared" si="157"/>
        <v>0</v>
      </c>
      <c r="AL309" s="109">
        <v>0</v>
      </c>
      <c r="AM309" s="111">
        <f t="shared" si="158"/>
        <v>77.909090909090963</v>
      </c>
      <c r="AN309" s="111">
        <f t="shared" si="159"/>
        <v>74.909090909090963</v>
      </c>
      <c r="AO309" s="111" t="str">
        <f t="shared" si="160"/>
        <v>Use deduct 3yrs</v>
      </c>
      <c r="AP309" s="111">
        <f t="shared" si="161"/>
        <v>74.909090909090963</v>
      </c>
      <c r="AQ309" s="112">
        <f t="shared" si="162"/>
        <v>0.8822269807280515</v>
      </c>
      <c r="AR309" s="112">
        <f t="shared" si="163"/>
        <v>0.1177730192719485</v>
      </c>
      <c r="AS309" s="113">
        <f t="shared" si="164"/>
        <v>2103</v>
      </c>
      <c r="AT309" s="109">
        <v>54429.676845236907</v>
      </c>
      <c r="AU309" s="114">
        <v>0.1177730192719485</v>
      </c>
      <c r="AV309" s="113">
        <v>2103</v>
      </c>
      <c r="AW309" s="112">
        <f t="shared" si="165"/>
        <v>0.81805926869385037</v>
      </c>
      <c r="AX309" s="109">
        <f t="shared" si="166"/>
        <v>6410.347380060015</v>
      </c>
      <c r="AY309" s="109">
        <f t="shared" si="167"/>
        <v>48019.329465176888</v>
      </c>
      <c r="AZ309" s="109">
        <f t="shared" si="168"/>
        <v>54429.6768452369</v>
      </c>
      <c r="BA309" s="111">
        <f t="shared" si="169"/>
        <v>0</v>
      </c>
      <c r="BB309" s="117"/>
      <c r="BC309" s="115" t="str">
        <f t="shared" si="170"/>
        <v>Y</v>
      </c>
      <c r="BD309" s="115" t="str">
        <f t="shared" si="171"/>
        <v>N</v>
      </c>
      <c r="BE309" s="115" t="str">
        <f t="shared" si="172"/>
        <v>N</v>
      </c>
      <c r="BF309" s="109" t="str">
        <f t="shared" si="173"/>
        <v/>
      </c>
      <c r="BG309" s="111" t="s">
        <v>2499</v>
      </c>
      <c r="BH309" s="115" t="s">
        <v>1168</v>
      </c>
      <c r="BI309" s="116"/>
      <c r="BJ309" s="222">
        <v>0.81818379323918689</v>
      </c>
      <c r="BK309" s="265">
        <f t="shared" si="174"/>
        <v>-7.3094767064540065</v>
      </c>
      <c r="BL309" s="265">
        <f t="shared" si="175"/>
        <v>7.3094767064540065</v>
      </c>
      <c r="BM309" s="265">
        <f t="shared" si="176"/>
        <v>0</v>
      </c>
      <c r="BN309" s="265">
        <f t="shared" si="177"/>
        <v>-111.79948888891522</v>
      </c>
      <c r="BO309" s="109"/>
      <c r="BP309" s="265">
        <f t="shared" si="178"/>
        <v>948.86306104651885</v>
      </c>
      <c r="BQ309" s="265">
        <v>948.86306104651885</v>
      </c>
      <c r="BR309" s="265" t="e">
        <f t="shared" si="179"/>
        <v>#REF!</v>
      </c>
      <c r="BS309" s="265">
        <v>106.89818780203042</v>
      </c>
      <c r="BT309" s="475">
        <v>12095.323154763093</v>
      </c>
      <c r="BU309" s="475">
        <v>6410.347380060015</v>
      </c>
      <c r="BV309" s="475">
        <v>48019.329465176888</v>
      </c>
      <c r="BW309" s="483">
        <f t="shared" si="180"/>
        <v>0.97577965741402295</v>
      </c>
      <c r="BX309" s="483">
        <f t="shared" si="181"/>
        <v>7.3094767064540065</v>
      </c>
    </row>
    <row r="310" spans="1:77" s="103" customFormat="1" ht="14.5">
      <c r="A310" s="100" t="s">
        <v>2259</v>
      </c>
      <c r="B310" s="91" t="str">
        <f t="shared" si="149"/>
        <v>STW</v>
      </c>
      <c r="C310" s="92" t="s">
        <v>466</v>
      </c>
      <c r="D310" s="448"/>
      <c r="E310" s="449" t="s">
        <v>2112</v>
      </c>
      <c r="F310" s="467" t="s">
        <v>4867</v>
      </c>
      <c r="G310" s="467" t="s">
        <v>4993</v>
      </c>
      <c r="H310" s="470">
        <v>0.30980000000000002</v>
      </c>
      <c r="I310" s="95" t="s">
        <v>962</v>
      </c>
      <c r="J310" s="95" t="s">
        <v>1166</v>
      </c>
      <c r="K310" s="469">
        <v>107047</v>
      </c>
      <c r="L310" s="471">
        <v>0.75259518738690023</v>
      </c>
      <c r="M310" s="584">
        <v>0.25345622119815669</v>
      </c>
      <c r="N310" s="267">
        <f t="shared" si="150"/>
        <v>0.74654377880184331</v>
      </c>
      <c r="O310" s="96">
        <f t="shared" si="151"/>
        <v>82088.564933901129</v>
      </c>
      <c r="P310" s="96">
        <f t="shared" si="185"/>
        <v>6325.8706388729852</v>
      </c>
      <c r="Q310" s="96">
        <f t="shared" si="152"/>
        <v>18632.564427225883</v>
      </c>
      <c r="R310" s="187" t="s">
        <v>2563</v>
      </c>
      <c r="S310" s="189" t="s">
        <v>3607</v>
      </c>
      <c r="T310" s="94" t="s">
        <v>5394</v>
      </c>
      <c r="U310" s="395">
        <f>COUNTIF(Aggregation_of_rev_to_allocate!$A$3:$A$137,$T310)</f>
        <v>0</v>
      </c>
      <c r="V310" s="100"/>
      <c r="W310" s="100">
        <v>353</v>
      </c>
      <c r="X310" s="109">
        <v>6094.1605364154893</v>
      </c>
      <c r="Y310" s="109">
        <v>19778.321013639361</v>
      </c>
      <c r="Z310" s="110">
        <v>0.78027871252955094</v>
      </c>
      <c r="AA310" s="110">
        <v>0.23554603854389722</v>
      </c>
      <c r="AB310" s="110">
        <v>0.76445396145610278</v>
      </c>
      <c r="AC310" s="109">
        <f>IF(ISERROR((X310*SUMIF('Rev_for_allocation(Hard)'!$A$3:$A$249,$T310,'Rev_for_allocation(Hard)'!$I$3:$I$249)/SUMIF(Historic_capex_list!$T$9:$T$586,$T310,Historic_capex_list!$X$9:$X$586))=TRUE),0,X310*SUMIF('Rev_for_allocation(Hard)'!$A$3:$A$249,$T310,'Rev_for_allocation(Hard)'!$I$3:$I$249)/SUMIF(Historic_capex_list!$T$9:$T$586,$T310,Historic_capex_list!$X$9:$X$586))</f>
        <v>0</v>
      </c>
      <c r="AD310" s="109">
        <f t="shared" si="153"/>
        <v>6094.1605364154893</v>
      </c>
      <c r="AE310" s="109">
        <f t="shared" si="154"/>
        <v>6094.1605364154893</v>
      </c>
      <c r="AF310" s="109">
        <f t="shared" si="155"/>
        <v>25872.48155005485</v>
      </c>
      <c r="AG310" s="332" t="str">
        <f t="shared" si="156"/>
        <v>N</v>
      </c>
      <c r="AH310" s="332">
        <f t="shared" si="182"/>
        <v>0</v>
      </c>
      <c r="AI310" s="332">
        <f t="shared" si="183"/>
        <v>0</v>
      </c>
      <c r="AJ310" s="109">
        <f t="shared" si="184"/>
        <v>25872.48155005485</v>
      </c>
      <c r="AK310" s="109">
        <f t="shared" si="157"/>
        <v>0</v>
      </c>
      <c r="AL310" s="109">
        <v>0</v>
      </c>
      <c r="AM310" s="111">
        <f t="shared" si="158"/>
        <v>32.454545454545453</v>
      </c>
      <c r="AN310" s="111">
        <f t="shared" si="159"/>
        <v>29.454545454545453</v>
      </c>
      <c r="AO310" s="111" t="str">
        <f t="shared" si="160"/>
        <v>Use deduct 3yrs</v>
      </c>
      <c r="AP310" s="111">
        <f t="shared" si="161"/>
        <v>29.454545454545453</v>
      </c>
      <c r="AQ310" s="112">
        <f t="shared" si="162"/>
        <v>0.74654377880184331</v>
      </c>
      <c r="AR310" s="112">
        <f t="shared" si="163"/>
        <v>0.25345622119815669</v>
      </c>
      <c r="AS310" s="113">
        <f t="shared" si="164"/>
        <v>2057</v>
      </c>
      <c r="AT310" s="109">
        <v>24954.551223374838</v>
      </c>
      <c r="AU310" s="114">
        <v>0.25345622119815669</v>
      </c>
      <c r="AV310" s="113">
        <v>2057</v>
      </c>
      <c r="AW310" s="112">
        <f t="shared" si="165"/>
        <v>0.75247807422115354</v>
      </c>
      <c r="AX310" s="109">
        <f t="shared" si="166"/>
        <v>6324.8862547724248</v>
      </c>
      <c r="AY310" s="109">
        <f t="shared" si="167"/>
        <v>18629.664968602414</v>
      </c>
      <c r="AZ310" s="109">
        <f t="shared" si="168"/>
        <v>24954.551223374838</v>
      </c>
      <c r="BA310" s="111">
        <f t="shared" si="169"/>
        <v>0</v>
      </c>
      <c r="BB310" s="117"/>
      <c r="BC310" s="115" t="str">
        <f t="shared" si="170"/>
        <v>Y</v>
      </c>
      <c r="BD310" s="115" t="str">
        <f t="shared" si="171"/>
        <v>Y</v>
      </c>
      <c r="BE310" s="115" t="str">
        <f t="shared" si="172"/>
        <v>N</v>
      </c>
      <c r="BF310" s="109" t="str">
        <f t="shared" si="173"/>
        <v/>
      </c>
      <c r="BG310" s="111" t="s">
        <v>2499</v>
      </c>
      <c r="BH310" s="115" t="s">
        <v>1168</v>
      </c>
      <c r="BI310" s="116"/>
      <c r="BJ310" s="222">
        <v>0.75259518738690023</v>
      </c>
      <c r="BK310" s="265">
        <f t="shared" si="174"/>
        <v>-2.8994586234693998</v>
      </c>
      <c r="BL310" s="265">
        <f t="shared" si="175"/>
        <v>2.8994586234693998</v>
      </c>
      <c r="BM310" s="265">
        <f t="shared" si="176"/>
        <v>0</v>
      </c>
      <c r="BN310" s="265">
        <f t="shared" si="177"/>
        <v>-231.71010245749585</v>
      </c>
      <c r="BO310" s="109"/>
      <c r="BP310" s="265">
        <f t="shared" si="178"/>
        <v>917.93032668001251</v>
      </c>
      <c r="BQ310" s="265">
        <v>917.93032668001251</v>
      </c>
      <c r="BR310" s="265" t="e">
        <f t="shared" si="179"/>
        <v>#REF!</v>
      </c>
      <c r="BS310" s="265">
        <v>103.41332957191432</v>
      </c>
      <c r="BT310" s="475">
        <v>8203.4487766251623</v>
      </c>
      <c r="BU310" s="475">
        <v>6324.8862547724248</v>
      </c>
      <c r="BV310" s="475">
        <v>18629.664968602414</v>
      </c>
      <c r="BW310" s="483">
        <f t="shared" si="180"/>
        <v>0.98438410056041903</v>
      </c>
      <c r="BX310" s="483">
        <f t="shared" si="181"/>
        <v>2.8994586234693998</v>
      </c>
    </row>
    <row r="311" spans="1:77" s="103" customFormat="1" ht="14.5">
      <c r="A311" s="100" t="s">
        <v>2259</v>
      </c>
      <c r="B311" s="91" t="str">
        <f t="shared" si="149"/>
        <v>STW</v>
      </c>
      <c r="C311" s="92" t="s">
        <v>466</v>
      </c>
      <c r="D311" s="448"/>
      <c r="E311" s="449" t="s">
        <v>2113</v>
      </c>
      <c r="F311" s="467" t="s">
        <v>4871</v>
      </c>
      <c r="G311" s="384" t="s">
        <v>4668</v>
      </c>
      <c r="H311" s="470">
        <v>0.33329999999999999</v>
      </c>
      <c r="I311" s="95" t="s">
        <v>962</v>
      </c>
      <c r="J311" s="95" t="s">
        <v>1166</v>
      </c>
      <c r="K311" s="469">
        <v>272084</v>
      </c>
      <c r="L311" s="471">
        <v>0.75259518738690045</v>
      </c>
      <c r="M311" s="584">
        <v>0.25345622119815669</v>
      </c>
      <c r="N311" s="267">
        <f t="shared" si="150"/>
        <v>0.74654377880184331</v>
      </c>
      <c r="O311" s="96">
        <f t="shared" si="151"/>
        <v>203834.45598197303</v>
      </c>
      <c r="P311" s="96">
        <f t="shared" si="185"/>
        <v>17298.271525306376</v>
      </c>
      <c r="Q311" s="96">
        <f t="shared" si="152"/>
        <v>50951.272492720593</v>
      </c>
      <c r="R311" s="187" t="s">
        <v>2563</v>
      </c>
      <c r="S311" s="187" t="s">
        <v>3607</v>
      </c>
      <c r="T311" s="94" t="s">
        <v>5394</v>
      </c>
      <c r="U311" s="395">
        <f>COUNTIF(Aggregation_of_rev_to_allocate!$A$3:$A$137,$T311)</f>
        <v>0</v>
      </c>
      <c r="V311" s="100"/>
      <c r="W311" s="100">
        <v>354</v>
      </c>
      <c r="X311" s="109">
        <v>16668.791715111482</v>
      </c>
      <c r="Y311" s="109">
        <v>54097.80583904362</v>
      </c>
      <c r="Z311" s="110">
        <v>0.78027871252955106</v>
      </c>
      <c r="AA311" s="110">
        <v>0.23554603854389722</v>
      </c>
      <c r="AB311" s="110">
        <v>0.76445396145610278</v>
      </c>
      <c r="AC311" s="109">
        <f>IF(ISERROR((X311*SUMIF('Rev_for_allocation(Hard)'!$A$3:$A$249,$T311,'Rev_for_allocation(Hard)'!$I$3:$I$249)/SUMIF(Historic_capex_list!$T$9:$T$586,$T311,Historic_capex_list!$X$9:$X$586))=TRUE),0,X311*SUMIF('Rev_for_allocation(Hard)'!$A$3:$A$249,$T311,'Rev_for_allocation(Hard)'!$I$3:$I$249)/SUMIF(Historic_capex_list!$T$9:$T$586,$T311,Historic_capex_list!$X$9:$X$586))</f>
        <v>0</v>
      </c>
      <c r="AD311" s="109">
        <f t="shared" si="153"/>
        <v>16668.791715111482</v>
      </c>
      <c r="AE311" s="109">
        <f t="shared" si="154"/>
        <v>16668.791715111482</v>
      </c>
      <c r="AF311" s="109">
        <f t="shared" si="155"/>
        <v>70766.597554155102</v>
      </c>
      <c r="AG311" s="332" t="str">
        <f t="shared" si="156"/>
        <v>N</v>
      </c>
      <c r="AH311" s="332">
        <f t="shared" si="182"/>
        <v>0</v>
      </c>
      <c r="AI311" s="332">
        <f t="shared" si="183"/>
        <v>0</v>
      </c>
      <c r="AJ311" s="109">
        <f t="shared" si="184"/>
        <v>70766.597554155102</v>
      </c>
      <c r="AK311" s="109">
        <f t="shared" si="157"/>
        <v>0</v>
      </c>
      <c r="AL311" s="109">
        <v>0</v>
      </c>
      <c r="AM311" s="111">
        <f t="shared" si="158"/>
        <v>32.454545454545453</v>
      </c>
      <c r="AN311" s="111">
        <f t="shared" si="159"/>
        <v>29.454545454545453</v>
      </c>
      <c r="AO311" s="111" t="str">
        <f t="shared" si="160"/>
        <v>Use deduct 3yrs</v>
      </c>
      <c r="AP311" s="111">
        <f t="shared" si="161"/>
        <v>29.454545454545453</v>
      </c>
      <c r="AQ311" s="112">
        <f t="shared" si="162"/>
        <v>0.74654377880184331</v>
      </c>
      <c r="AR311" s="112">
        <f t="shared" si="163"/>
        <v>0.25345622119815669</v>
      </c>
      <c r="AS311" s="113">
        <f t="shared" si="164"/>
        <v>2057</v>
      </c>
      <c r="AT311" s="109">
        <v>68255.867924867547</v>
      </c>
      <c r="AU311" s="114">
        <v>0.25345622119815669</v>
      </c>
      <c r="AV311" s="113">
        <v>2057</v>
      </c>
      <c r="AW311" s="112">
        <f t="shared" si="165"/>
        <v>0.75266492179937428</v>
      </c>
      <c r="AX311" s="109">
        <f t="shared" si="166"/>
        <v>17299.874358837398</v>
      </c>
      <c r="AY311" s="109">
        <f t="shared" si="167"/>
        <v>50955.993566030156</v>
      </c>
      <c r="AZ311" s="109">
        <f t="shared" si="168"/>
        <v>68255.867924867547</v>
      </c>
      <c r="BA311" s="111">
        <f t="shared" si="169"/>
        <v>0</v>
      </c>
      <c r="BB311" s="117"/>
      <c r="BC311" s="115" t="str">
        <f t="shared" si="170"/>
        <v>N</v>
      </c>
      <c r="BD311" s="115" t="str">
        <f t="shared" si="171"/>
        <v>N</v>
      </c>
      <c r="BE311" s="115" t="str">
        <f t="shared" si="172"/>
        <v>N</v>
      </c>
      <c r="BF311" s="109" t="str">
        <f t="shared" si="173"/>
        <v/>
      </c>
      <c r="BG311" s="111" t="s">
        <v>2499</v>
      </c>
      <c r="BH311" s="115" t="s">
        <v>1168</v>
      </c>
      <c r="BI311" s="116"/>
      <c r="BJ311" s="222">
        <v>0.75259518738690045</v>
      </c>
      <c r="BK311" s="265">
        <f t="shared" si="174"/>
        <v>4.7210733095635078</v>
      </c>
      <c r="BL311" s="265">
        <f t="shared" si="175"/>
        <v>-4.7210733095635078</v>
      </c>
      <c r="BM311" s="265">
        <f t="shared" si="176"/>
        <v>0</v>
      </c>
      <c r="BN311" s="265">
        <f t="shared" si="177"/>
        <v>-629.47981019489453</v>
      </c>
      <c r="BO311" s="109"/>
      <c r="BP311" s="265">
        <f t="shared" si="178"/>
        <v>2510.7296292875544</v>
      </c>
      <c r="BQ311" s="265">
        <v>2510.7296292875544</v>
      </c>
      <c r="BR311" s="265" t="e">
        <f t="shared" si="179"/>
        <v>#REF!</v>
      </c>
      <c r="BS311" s="265">
        <v>282.85688256816337</v>
      </c>
      <c r="BT311" s="475">
        <v>22438.132075132449</v>
      </c>
      <c r="BU311" s="475">
        <v>17299.874358837398</v>
      </c>
      <c r="BV311" s="475">
        <v>50955.993566030149</v>
      </c>
      <c r="BW311" s="483">
        <f t="shared" si="180"/>
        <v>-1.6028335310220427</v>
      </c>
      <c r="BX311" s="483">
        <f t="shared" si="181"/>
        <v>-4.7210733095562318</v>
      </c>
    </row>
    <row r="312" spans="1:77" s="103" customFormat="1" ht="14.5">
      <c r="A312" s="100" t="s">
        <v>2259</v>
      </c>
      <c r="B312" s="91" t="str">
        <f t="shared" si="149"/>
        <v>STW</v>
      </c>
      <c r="C312" s="92" t="s">
        <v>466</v>
      </c>
      <c r="D312" s="448"/>
      <c r="E312" s="449" t="s">
        <v>2114</v>
      </c>
      <c r="F312" s="467" t="s">
        <v>4872</v>
      </c>
      <c r="G312" s="467" t="s">
        <v>4994</v>
      </c>
      <c r="H312" s="470">
        <v>0.48049999999999998</v>
      </c>
      <c r="I312" s="95" t="s">
        <v>962</v>
      </c>
      <c r="J312" s="95" t="s">
        <v>1166</v>
      </c>
      <c r="K312" s="469">
        <v>27369</v>
      </c>
      <c r="L312" s="471">
        <v>0.78027867566884224</v>
      </c>
      <c r="M312" s="584">
        <v>0.25345622119815669</v>
      </c>
      <c r="N312" s="267">
        <f t="shared" si="150"/>
        <v>0.74654377880184331</v>
      </c>
      <c r="O312" s="96">
        <f t="shared" si="151"/>
        <v>17107.707680760152</v>
      </c>
      <c r="P312" s="96">
        <f t="shared" si="185"/>
        <v>2600.7883758442022</v>
      </c>
      <c r="Q312" s="96">
        <f t="shared" si="152"/>
        <v>7660.503943395649</v>
      </c>
      <c r="R312" s="187" t="s">
        <v>2314</v>
      </c>
      <c r="S312" s="187" t="s">
        <v>3607</v>
      </c>
      <c r="T312" s="94" t="s">
        <v>5395</v>
      </c>
      <c r="U312" s="395">
        <f>COUNTIF(Aggregation_of_rev_to_allocate!$A$3:$A$137,$T312)</f>
        <v>0</v>
      </c>
      <c r="V312" s="100"/>
      <c r="W312" s="100">
        <v>434</v>
      </c>
      <c r="X312" s="109">
        <v>2417.2265931279485</v>
      </c>
      <c r="Y312" s="109">
        <v>7844.9990340607055</v>
      </c>
      <c r="Z312" s="110">
        <v>0.78027871252955094</v>
      </c>
      <c r="AA312" s="110">
        <v>0.23554603854389722</v>
      </c>
      <c r="AB312" s="110">
        <v>0.76445396145610278</v>
      </c>
      <c r="AC312" s="109">
        <f>IF(ISERROR((X312*SUMIF('Rev_for_allocation(Hard)'!$A$3:$A$249,$T312,'Rev_for_allocation(Hard)'!$I$3:$I$249)/SUMIF(Historic_capex_list!$T$9:$T$586,$T312,Historic_capex_list!$X$9:$X$586))=TRUE),0,X312*SUMIF('Rev_for_allocation(Hard)'!$A$3:$A$249,$T312,'Rev_for_allocation(Hard)'!$I$3:$I$249)/SUMIF(Historic_capex_list!$T$9:$T$586,$T312,Historic_capex_list!$X$9:$X$586))</f>
        <v>0</v>
      </c>
      <c r="AD312" s="109">
        <f t="shared" si="153"/>
        <v>2417.2265931279485</v>
      </c>
      <c r="AE312" s="109">
        <f t="shared" si="154"/>
        <v>2417.2265931279485</v>
      </c>
      <c r="AF312" s="109">
        <f t="shared" si="155"/>
        <v>10262.225627188654</v>
      </c>
      <c r="AG312" s="332" t="str">
        <f t="shared" si="156"/>
        <v>N</v>
      </c>
      <c r="AH312" s="332">
        <f t="shared" si="182"/>
        <v>0</v>
      </c>
      <c r="AI312" s="332">
        <f t="shared" si="183"/>
        <v>0</v>
      </c>
      <c r="AJ312" s="109">
        <f t="shared" si="184"/>
        <v>10262.225627188654</v>
      </c>
      <c r="AK312" s="109">
        <f t="shared" si="157"/>
        <v>0</v>
      </c>
      <c r="AL312" s="109">
        <v>0</v>
      </c>
      <c r="AM312" s="111">
        <f t="shared" si="158"/>
        <v>32.454545454545453</v>
      </c>
      <c r="AN312" s="111">
        <f t="shared" si="159"/>
        <v>29.454545454545453</v>
      </c>
      <c r="AO312" s="111" t="str">
        <f t="shared" si="160"/>
        <v>Use deduct 3yrs</v>
      </c>
      <c r="AP312" s="111">
        <f t="shared" si="161"/>
        <v>29.454545454545453</v>
      </c>
      <c r="AQ312" s="112">
        <f t="shared" si="162"/>
        <v>0.74654377880184331</v>
      </c>
      <c r="AR312" s="112">
        <f t="shared" si="163"/>
        <v>0.25345622119815669</v>
      </c>
      <c r="AS312" s="113">
        <f t="shared" si="164"/>
        <v>2057</v>
      </c>
      <c r="AT312" s="109">
        <v>10262.225142396614</v>
      </c>
      <c r="AU312" s="114">
        <v>0.25345622119815669</v>
      </c>
      <c r="AV312" s="113">
        <v>2057</v>
      </c>
      <c r="AW312" s="112">
        <f t="shared" si="165"/>
        <v>0.78034960845145351</v>
      </c>
      <c r="AX312" s="109">
        <f t="shared" si="166"/>
        <v>2601.0248056765608</v>
      </c>
      <c r="AY312" s="109">
        <f t="shared" si="167"/>
        <v>7661.2003367200514</v>
      </c>
      <c r="AZ312" s="109">
        <f t="shared" si="168"/>
        <v>10262.225142396612</v>
      </c>
      <c r="BA312" s="111">
        <f t="shared" si="169"/>
        <v>0</v>
      </c>
      <c r="BB312" s="117"/>
      <c r="BC312" s="115" t="str">
        <f t="shared" si="170"/>
        <v>Y</v>
      </c>
      <c r="BD312" s="115" t="str">
        <f t="shared" si="171"/>
        <v>Y</v>
      </c>
      <c r="BE312" s="115" t="str">
        <f t="shared" si="172"/>
        <v>N</v>
      </c>
      <c r="BF312" s="109" t="str">
        <f t="shared" si="173"/>
        <v/>
      </c>
      <c r="BG312" s="111" t="s">
        <v>2499</v>
      </c>
      <c r="BH312" s="115" t="s">
        <v>1168</v>
      </c>
      <c r="BI312" s="116"/>
      <c r="BJ312" s="222">
        <v>0.78027867566884224</v>
      </c>
      <c r="BK312" s="265">
        <f t="shared" si="174"/>
        <v>0.69639332440237922</v>
      </c>
      <c r="BL312" s="265">
        <f t="shared" si="175"/>
        <v>-0.69639332440237922</v>
      </c>
      <c r="BM312" s="265">
        <f t="shared" si="176"/>
        <v>0</v>
      </c>
      <c r="BN312" s="265">
        <f t="shared" si="177"/>
        <v>-183.56178271625367</v>
      </c>
      <c r="BO312" s="109"/>
      <c r="BP312" s="265">
        <f t="shared" si="178"/>
        <v>4.8479204087925609E-4</v>
      </c>
      <c r="BQ312" s="265">
        <v>4.8479204087925609E-4</v>
      </c>
      <c r="BR312" s="265" t="e">
        <f t="shared" si="179"/>
        <v>#REF!</v>
      </c>
      <c r="BS312" s="265">
        <v>5.4616301085304488E-5</v>
      </c>
      <c r="BT312" s="475">
        <v>2889.7748576033869</v>
      </c>
      <c r="BU312" s="475">
        <v>2601.0248056765613</v>
      </c>
      <c r="BV312" s="475">
        <v>7661.2003367200523</v>
      </c>
      <c r="BW312" s="483">
        <f t="shared" si="180"/>
        <v>-0.23642983235913562</v>
      </c>
      <c r="BX312" s="483">
        <f t="shared" si="181"/>
        <v>-0.69639332440328872</v>
      </c>
    </row>
    <row r="313" spans="1:77" s="103" customFormat="1" ht="29">
      <c r="A313" s="100" t="s">
        <v>2259</v>
      </c>
      <c r="B313" s="91" t="str">
        <f t="shared" ref="B313:B375" si="186">LEFT(T313,3)</f>
        <v>STW</v>
      </c>
      <c r="C313" s="92" t="s">
        <v>466</v>
      </c>
      <c r="D313" s="448"/>
      <c r="E313" s="449" t="s">
        <v>2122</v>
      </c>
      <c r="F313" s="467" t="s">
        <v>4876</v>
      </c>
      <c r="G313" s="467" t="s">
        <v>4995</v>
      </c>
      <c r="H313" s="470">
        <v>0.43519999999999998</v>
      </c>
      <c r="I313" s="95" t="s">
        <v>962</v>
      </c>
      <c r="J313" s="95" t="s">
        <v>1166</v>
      </c>
      <c r="K313" s="469">
        <v>197936</v>
      </c>
      <c r="L313" s="471">
        <v>0.75259518738690023</v>
      </c>
      <c r="M313" s="584">
        <v>0.25345622119815669</v>
      </c>
      <c r="N313" s="267">
        <f t="shared" ref="N313:N375" si="187">100%-M313</f>
        <v>0.74654377880184331</v>
      </c>
      <c r="O313" s="96">
        <f t="shared" ref="O313:O375" si="188">(K313*(100%-H313))+(K313*H313*(100%-L313))</f>
        <v>133106.13562418101</v>
      </c>
      <c r="P313" s="96">
        <f t="shared" si="185"/>
        <v>16431.532445484074</v>
      </c>
      <c r="Q313" s="96">
        <f t="shared" ref="Q313:Q375" si="189">+K313*L313*N313*H313</f>
        <v>48398.331930334913</v>
      </c>
      <c r="R313" s="187" t="s">
        <v>2563</v>
      </c>
      <c r="S313" s="187" t="s">
        <v>3607</v>
      </c>
      <c r="T313" s="94" t="s">
        <v>5394</v>
      </c>
      <c r="U313" s="395">
        <f>COUNTIF(Aggregation_of_rev_to_allocate!$A$3:$A$137,$T313)</f>
        <v>0</v>
      </c>
      <c r="V313" s="100"/>
      <c r="W313" s="100">
        <v>355</v>
      </c>
      <c r="X313" s="109">
        <v>15832.907701611941</v>
      </c>
      <c r="Y313" s="109">
        <v>51384.982267958752</v>
      </c>
      <c r="Z313" s="110">
        <v>0.78027871252955094</v>
      </c>
      <c r="AA313" s="110">
        <v>0.23554603854389722</v>
      </c>
      <c r="AB313" s="110">
        <v>0.76445396145610278</v>
      </c>
      <c r="AC313" s="109">
        <f>IF(ISERROR((X313*SUMIF('Rev_for_allocation(Hard)'!$A$3:$A$249,$T313,'Rev_for_allocation(Hard)'!$I$3:$I$249)/SUMIF(Historic_capex_list!$T$9:$T$586,$T313,Historic_capex_list!$X$9:$X$586))=TRUE),0,X313*SUMIF('Rev_for_allocation(Hard)'!$A$3:$A$249,$T313,'Rev_for_allocation(Hard)'!$I$3:$I$249)/SUMIF(Historic_capex_list!$T$9:$T$586,$T313,Historic_capex_list!$X$9:$X$586))</f>
        <v>0</v>
      </c>
      <c r="AD313" s="109">
        <f t="shared" ref="AD313:AD375" si="190">+AC313+X313</f>
        <v>15832.907701611941</v>
      </c>
      <c r="AE313" s="109">
        <f t="shared" ref="AE313:AE375" si="191">IF(AD313&lt;0,+Q313+P313+AC313,+AD313)</f>
        <v>15832.907701611941</v>
      </c>
      <c r="AF313" s="109">
        <f t="shared" ref="AF313:AF375" si="192">+Y313+AD313</f>
        <v>67217.889969570693</v>
      </c>
      <c r="AG313" s="332" t="str">
        <f t="shared" ref="AG313:AG375" si="193">IF(AF313&lt;0,"Y","N")</f>
        <v>N</v>
      </c>
      <c r="AH313" s="332">
        <f t="shared" si="182"/>
        <v>0</v>
      </c>
      <c r="AI313" s="332">
        <f t="shared" si="183"/>
        <v>0</v>
      </c>
      <c r="AJ313" s="109">
        <f t="shared" si="184"/>
        <v>67217.889969570693</v>
      </c>
      <c r="AK313" s="109">
        <f t="shared" ref="AK313:AK375" si="194">IF(AJ313&lt;0,+AJ313,0)</f>
        <v>0</v>
      </c>
      <c r="AL313" s="109">
        <v>0</v>
      </c>
      <c r="AM313" s="111">
        <f t="shared" ref="AM313:AM375" si="195">AB313/(1-AB313)*10</f>
        <v>32.454545454545453</v>
      </c>
      <c r="AN313" s="111">
        <f t="shared" ref="AN313:AN375" si="196">IF(AM313=0,0,IF(AD313&lt;0,AM313-10,AM313-3))</f>
        <v>29.454545454545453</v>
      </c>
      <c r="AO313" s="111" t="str">
        <f t="shared" ref="AO313:AO375" si="197">IF(-AC313&gt;AE313,((AE313+Y313+AC313)/(AE313+Y313))*(AM313+10),"Use deduct 3yrs")</f>
        <v>Use deduct 3yrs</v>
      </c>
      <c r="AP313" s="111">
        <f t="shared" ref="AP313:AP375" si="198">IF(AO313&lt;=10,0,AN313)</f>
        <v>29.454545454545453</v>
      </c>
      <c r="AQ313" s="112">
        <f t="shared" ref="AQ313:AQ375" si="199">IF(AN313&lt;=0,0,(AP313/(AP313+10)))</f>
        <v>0.74654377880184331</v>
      </c>
      <c r="AR313" s="112">
        <f t="shared" ref="AR313:AR375" si="200">IF(O313=0,1,1-AQ313)</f>
        <v>0.25345622119815669</v>
      </c>
      <c r="AS313" s="113">
        <f t="shared" ref="AS313:AS375" si="201">ROUND(IF(+$AS$7+AP313&lt;+$AS$7,+$AS$7,+$AS$7+AP313),0)</f>
        <v>2057</v>
      </c>
      <c r="AT313" s="109">
        <v>64833.065012631909</v>
      </c>
      <c r="AU313" s="114">
        <v>0.25345622119815669</v>
      </c>
      <c r="AV313" s="113">
        <v>2057</v>
      </c>
      <c r="AW313" s="112">
        <f t="shared" ref="AW313:AW375" si="202">IF(ISERR($AT313/($K313*$H313)),0,($AT313/($K313*$H313)))</f>
        <v>0.7526323428535231</v>
      </c>
      <c r="AX313" s="109">
        <f t="shared" ref="AX313:AX375" si="203">$K313*$AW313*$AU313*$H313</f>
        <v>16432.343666796103</v>
      </c>
      <c r="AY313" s="109">
        <f t="shared" ref="AY313:AY375" si="204">$K313*$AW313*(1-$AU313)*$H313</f>
        <v>48400.721345835802</v>
      </c>
      <c r="AZ313" s="109">
        <f t="shared" ref="AZ313:AZ375" si="205">IF(K313&lt;1,+AF313,+AY313+AX313)</f>
        <v>64833.065012631909</v>
      </c>
      <c r="BA313" s="111">
        <f t="shared" ref="BA313:BA375" si="206">+AZ313-AT313</f>
        <v>0</v>
      </c>
      <c r="BB313" s="117"/>
      <c r="BC313" s="115" t="str">
        <f t="shared" ref="BC313:BC375" si="207">IF(P313&lt;=BC$7,"Y","N")</f>
        <v>N</v>
      </c>
      <c r="BD313" s="115" t="str">
        <f t="shared" ref="BD313:BD375" si="208">IF(Q313&lt;=BD$7,"Y","N")</f>
        <v>N</v>
      </c>
      <c r="BE313" s="115" t="str">
        <f t="shared" ref="BE313:BE375" si="209">IF(AND(BC313="Y",Q313=0),"Y","N")</f>
        <v>N</v>
      </c>
      <c r="BF313" s="109" t="str">
        <f t="shared" ref="BF313:BF375" si="210">IF(BE313="Y",+P313,"")</f>
        <v/>
      </c>
      <c r="BG313" s="111" t="s">
        <v>2499</v>
      </c>
      <c r="BH313" s="115" t="s">
        <v>1168</v>
      </c>
      <c r="BI313" s="116"/>
      <c r="BJ313" s="222">
        <v>0.75259518738690023</v>
      </c>
      <c r="BK313" s="265">
        <f t="shared" ref="BK313:BK375" si="211">+AY313-Q313</f>
        <v>2.3894155008892994</v>
      </c>
      <c r="BL313" s="265">
        <f t="shared" ref="BL313:BL375" si="212">+Q313-AY313</f>
        <v>-2.3894155008892994</v>
      </c>
      <c r="BM313" s="265">
        <f t="shared" ref="BM313:BM375" si="213">+K313-O313-P313-Q313</f>
        <v>0</v>
      </c>
      <c r="BN313" s="265">
        <f t="shared" ref="BN313:BN375" si="214">+X313-P313</f>
        <v>-598.62474387213297</v>
      </c>
      <c r="BO313" s="109"/>
      <c r="BP313" s="265">
        <f t="shared" ref="BP313:BP375" si="215">+X313+Y313-AT313</f>
        <v>2384.8249569387845</v>
      </c>
      <c r="BQ313" s="265">
        <v>2384.8249569387845</v>
      </c>
      <c r="BR313" s="265" t="e">
        <f t="shared" ref="BR313:BR375" si="216">+BQ313*$BR$7</f>
        <v>#REF!</v>
      </c>
      <c r="BS313" s="265">
        <v>268.67255833591037</v>
      </c>
      <c r="BT313" s="475">
        <v>21312.934987368091</v>
      </c>
      <c r="BU313" s="475">
        <v>16432.343666796107</v>
      </c>
      <c r="BV313" s="475">
        <v>48400.721345835802</v>
      </c>
      <c r="BW313" s="483">
        <f t="shared" ref="BW313:BW375" si="217">P313-BU313</f>
        <v>-0.81122131203301251</v>
      </c>
      <c r="BX313" s="483">
        <f t="shared" ref="BX313:BX375" si="218">Q313-BV313</f>
        <v>-2.3894155008892994</v>
      </c>
    </row>
    <row r="314" spans="1:77" s="103" customFormat="1" ht="14.5">
      <c r="A314" s="100" t="s">
        <v>2259</v>
      </c>
      <c r="B314" s="91" t="str">
        <f t="shared" si="186"/>
        <v>STW</v>
      </c>
      <c r="C314" s="92" t="s">
        <v>466</v>
      </c>
      <c r="D314" s="448"/>
      <c r="E314" s="449" t="s">
        <v>2126</v>
      </c>
      <c r="F314" s="467" t="s">
        <v>4877</v>
      </c>
      <c r="G314" s="467" t="s">
        <v>4969</v>
      </c>
      <c r="H314" s="470">
        <v>1</v>
      </c>
      <c r="I314" s="95" t="s">
        <v>962</v>
      </c>
      <c r="J314" s="95" t="s">
        <v>1166</v>
      </c>
      <c r="K314" s="469">
        <v>345555</v>
      </c>
      <c r="L314" s="471">
        <v>0.20056388865869265</v>
      </c>
      <c r="M314" s="584">
        <v>0.25345622119815669</v>
      </c>
      <c r="N314" s="267">
        <f t="shared" si="187"/>
        <v>0.74654377880184331</v>
      </c>
      <c r="O314" s="96">
        <f t="shared" si="188"/>
        <v>276249.14545454545</v>
      </c>
      <c r="P314" s="96">
        <f t="shared" si="185"/>
        <v>17566</v>
      </c>
      <c r="Q314" s="96">
        <f t="shared" si="189"/>
        <v>51739.854545454538</v>
      </c>
      <c r="R314" s="187" t="s">
        <v>2563</v>
      </c>
      <c r="S314" s="189" t="s">
        <v>3607</v>
      </c>
      <c r="T314" s="94" t="s">
        <v>5394</v>
      </c>
      <c r="U314" s="395">
        <f>COUNTIF(Aggregation_of_rev_to_allocate!$A$3:$A$137,$T314)</f>
        <v>0</v>
      </c>
      <c r="V314" s="100"/>
      <c r="W314" s="100">
        <v>356</v>
      </c>
      <c r="X314" s="109">
        <v>16925.548524007441</v>
      </c>
      <c r="Y314" s="109">
        <v>54931.09839155143</v>
      </c>
      <c r="Z314" s="110">
        <v>0.78027871252955094</v>
      </c>
      <c r="AA314" s="110">
        <v>0.23554603854389722</v>
      </c>
      <c r="AB314" s="110">
        <v>0.76445396145610278</v>
      </c>
      <c r="AC314" s="109">
        <f>IF(ISERROR((X314*SUMIF('Rev_for_allocation(Hard)'!$A$3:$A$249,$T314,'Rev_for_allocation(Hard)'!$I$3:$I$249)/SUMIF(Historic_capex_list!$T$9:$T$586,$T314,Historic_capex_list!$X$9:$X$586))=TRUE),0,X314*SUMIF('Rev_for_allocation(Hard)'!$A$3:$A$249,$T314,'Rev_for_allocation(Hard)'!$I$3:$I$249)/SUMIF(Historic_capex_list!$T$9:$T$586,$T314,Historic_capex_list!$X$9:$X$586))</f>
        <v>0</v>
      </c>
      <c r="AD314" s="109">
        <f t="shared" si="190"/>
        <v>16925.548524007441</v>
      </c>
      <c r="AE314" s="109">
        <f t="shared" si="191"/>
        <v>16925.548524007441</v>
      </c>
      <c r="AF314" s="109">
        <f t="shared" si="192"/>
        <v>71856.646915558871</v>
      </c>
      <c r="AG314" s="332" t="str">
        <f t="shared" si="193"/>
        <v>N</v>
      </c>
      <c r="AH314" s="332">
        <f t="shared" si="182"/>
        <v>0</v>
      </c>
      <c r="AI314" s="332">
        <f t="shared" si="183"/>
        <v>0</v>
      </c>
      <c r="AJ314" s="109">
        <f t="shared" si="184"/>
        <v>71856.646915558871</v>
      </c>
      <c r="AK314" s="109">
        <f t="shared" si="194"/>
        <v>0</v>
      </c>
      <c r="AL314" s="109">
        <v>0</v>
      </c>
      <c r="AM314" s="111">
        <f t="shared" si="195"/>
        <v>32.454545454545453</v>
      </c>
      <c r="AN314" s="111">
        <f t="shared" si="196"/>
        <v>29.454545454545453</v>
      </c>
      <c r="AO314" s="111" t="str">
        <f t="shared" si="197"/>
        <v>Use deduct 3yrs</v>
      </c>
      <c r="AP314" s="111">
        <f t="shared" si="198"/>
        <v>29.454545454545453</v>
      </c>
      <c r="AQ314" s="112">
        <f t="shared" si="199"/>
        <v>0.74654377880184331</v>
      </c>
      <c r="AR314" s="112">
        <f t="shared" si="200"/>
        <v>0.25345622119815669</v>
      </c>
      <c r="AS314" s="113">
        <f t="shared" si="201"/>
        <v>2057</v>
      </c>
      <c r="AT314" s="109">
        <v>69307.243401647022</v>
      </c>
      <c r="AU314" s="114">
        <v>0.25345622119815669</v>
      </c>
      <c r="AV314" s="113">
        <v>2057</v>
      </c>
      <c r="AW314" s="112">
        <f t="shared" si="202"/>
        <v>0.20056790786313908</v>
      </c>
      <c r="AX314" s="109">
        <f t="shared" si="203"/>
        <v>17566.352014242333</v>
      </c>
      <c r="AY314" s="109">
        <f t="shared" si="204"/>
        <v>51740.891387404685</v>
      </c>
      <c r="AZ314" s="109">
        <f t="shared" si="205"/>
        <v>69307.243401647022</v>
      </c>
      <c r="BA314" s="111">
        <f t="shared" si="206"/>
        <v>0</v>
      </c>
      <c r="BB314" s="117"/>
      <c r="BC314" s="115" t="str">
        <f t="shared" si="207"/>
        <v>N</v>
      </c>
      <c r="BD314" s="115" t="str">
        <f t="shared" si="208"/>
        <v>N</v>
      </c>
      <c r="BE314" s="115" t="str">
        <f t="shared" si="209"/>
        <v>N</v>
      </c>
      <c r="BF314" s="109" t="str">
        <f t="shared" si="210"/>
        <v/>
      </c>
      <c r="BG314" s="111" t="s">
        <v>2499</v>
      </c>
      <c r="BH314" s="115" t="s">
        <v>1168</v>
      </c>
      <c r="BI314" s="116"/>
      <c r="BJ314" s="222">
        <v>0.75259518738690012</v>
      </c>
      <c r="BK314" s="265">
        <f t="shared" si="211"/>
        <v>1.0368419501464814</v>
      </c>
      <c r="BL314" s="265">
        <f t="shared" si="212"/>
        <v>-1.0368419501464814</v>
      </c>
      <c r="BM314" s="265">
        <f t="shared" si="213"/>
        <v>0</v>
      </c>
      <c r="BN314" s="265">
        <f t="shared" si="214"/>
        <v>-640.4514759925587</v>
      </c>
      <c r="BO314" s="109"/>
      <c r="BP314" s="265">
        <f t="shared" si="215"/>
        <v>2549.4035139118496</v>
      </c>
      <c r="BQ314" s="265">
        <v>2549.4035139118496</v>
      </c>
      <c r="BR314" s="265" t="e">
        <f t="shared" si="216"/>
        <v>#REF!</v>
      </c>
      <c r="BS314" s="265">
        <v>287.21385287433412</v>
      </c>
      <c r="BT314" s="475">
        <v>22783.756598352982</v>
      </c>
      <c r="BU314" s="475">
        <v>17566.352014242333</v>
      </c>
      <c r="BV314" s="475">
        <v>51740.891387404685</v>
      </c>
      <c r="BW314" s="483">
        <f t="shared" si="217"/>
        <v>-0.35201424233309808</v>
      </c>
      <c r="BX314" s="483">
        <f t="shared" si="218"/>
        <v>-1.0368419501464814</v>
      </c>
    </row>
    <row r="315" spans="1:77" s="103" customFormat="1" ht="14.5">
      <c r="A315" s="100" t="s">
        <v>2259</v>
      </c>
      <c r="B315" s="91" t="str">
        <f t="shared" si="186"/>
        <v>STW</v>
      </c>
      <c r="C315" s="92" t="s">
        <v>466</v>
      </c>
      <c r="D315" s="448"/>
      <c r="E315" s="449" t="s">
        <v>2083</v>
      </c>
      <c r="F315" s="467" t="s">
        <v>4878</v>
      </c>
      <c r="G315" s="467" t="s">
        <v>4969</v>
      </c>
      <c r="H315" s="470">
        <v>0.30059999999999998</v>
      </c>
      <c r="I315" s="95" t="s">
        <v>962</v>
      </c>
      <c r="J315" s="95" t="s">
        <v>1166</v>
      </c>
      <c r="K315" s="469">
        <v>326970</v>
      </c>
      <c r="L315" s="471">
        <v>0.75259518738690034</v>
      </c>
      <c r="M315" s="584">
        <v>0.25345622119815669</v>
      </c>
      <c r="N315" s="267">
        <f t="shared" si="187"/>
        <v>0.74654377880184331</v>
      </c>
      <c r="O315" s="96">
        <f t="shared" si="188"/>
        <v>252999.53984497962</v>
      </c>
      <c r="P315" s="96">
        <f t="shared" si="185"/>
        <v>18748.273311180277</v>
      </c>
      <c r="Q315" s="96">
        <f t="shared" si="189"/>
        <v>55222.186843840092</v>
      </c>
      <c r="R315" s="187" t="s">
        <v>2563</v>
      </c>
      <c r="S315" s="189" t="s">
        <v>3607</v>
      </c>
      <c r="T315" s="94" t="s">
        <v>5394</v>
      </c>
      <c r="U315" s="395">
        <f>COUNTIF(Aggregation_of_rev_to_allocate!$A$3:$A$137,$T315)</f>
        <v>0</v>
      </c>
      <c r="V315" s="100"/>
      <c r="W315" s="100">
        <v>357</v>
      </c>
      <c r="X315" s="109">
        <v>18063.034486968885</v>
      </c>
      <c r="Y315" s="109">
        <v>58622.757380435389</v>
      </c>
      <c r="Z315" s="110">
        <v>0.78027871252955106</v>
      </c>
      <c r="AA315" s="110">
        <v>0.23554603854389722</v>
      </c>
      <c r="AB315" s="110">
        <v>0.76445396145610278</v>
      </c>
      <c r="AC315" s="109">
        <f>IF(ISERROR((X315*SUMIF('Rev_for_allocation(Hard)'!$A$3:$A$249,$T315,'Rev_for_allocation(Hard)'!$I$3:$I$249)/SUMIF(Historic_capex_list!$T$9:$T$586,$T315,Historic_capex_list!$X$9:$X$586))=TRUE),0,X315*SUMIF('Rev_for_allocation(Hard)'!$A$3:$A$249,$T315,'Rev_for_allocation(Hard)'!$I$3:$I$249)/SUMIF(Historic_capex_list!$T$9:$T$586,$T315,Historic_capex_list!$X$9:$X$586))</f>
        <v>0</v>
      </c>
      <c r="AD315" s="109">
        <f t="shared" si="190"/>
        <v>18063.034486968885</v>
      </c>
      <c r="AE315" s="109">
        <f t="shared" si="191"/>
        <v>18063.034486968885</v>
      </c>
      <c r="AF315" s="109">
        <f t="shared" si="192"/>
        <v>76685.791867404274</v>
      </c>
      <c r="AG315" s="332" t="str">
        <f t="shared" si="193"/>
        <v>N</v>
      </c>
      <c r="AH315" s="332">
        <f t="shared" si="182"/>
        <v>0</v>
      </c>
      <c r="AI315" s="332">
        <f t="shared" si="183"/>
        <v>0</v>
      </c>
      <c r="AJ315" s="109">
        <f t="shared" si="184"/>
        <v>76685.791867404274</v>
      </c>
      <c r="AK315" s="109">
        <f t="shared" si="194"/>
        <v>0</v>
      </c>
      <c r="AL315" s="109">
        <v>0</v>
      </c>
      <c r="AM315" s="111">
        <f t="shared" si="195"/>
        <v>32.454545454545453</v>
      </c>
      <c r="AN315" s="111">
        <f t="shared" si="196"/>
        <v>29.454545454545453</v>
      </c>
      <c r="AO315" s="111" t="str">
        <f t="shared" si="197"/>
        <v>Use deduct 3yrs</v>
      </c>
      <c r="AP315" s="111">
        <f t="shared" si="198"/>
        <v>29.454545454545453</v>
      </c>
      <c r="AQ315" s="112">
        <f t="shared" si="199"/>
        <v>0.74654377880184331</v>
      </c>
      <c r="AR315" s="112">
        <f t="shared" si="200"/>
        <v>0.25345622119815669</v>
      </c>
      <c r="AS315" s="113">
        <f t="shared" si="201"/>
        <v>2057</v>
      </c>
      <c r="AT315" s="109">
        <v>73965.055016384562</v>
      </c>
      <c r="AU315" s="114">
        <v>0.25345622119815669</v>
      </c>
      <c r="AV315" s="113">
        <v>2057</v>
      </c>
      <c r="AW315" s="112">
        <f t="shared" si="202"/>
        <v>0.75254019406502648</v>
      </c>
      <c r="AX315" s="109">
        <f t="shared" si="203"/>
        <v>18746.903345166596</v>
      </c>
      <c r="AY315" s="109">
        <f t="shared" si="204"/>
        <v>55218.151671217973</v>
      </c>
      <c r="AZ315" s="109">
        <f t="shared" si="205"/>
        <v>73965.055016384576</v>
      </c>
      <c r="BA315" s="111">
        <f t="shared" si="206"/>
        <v>0</v>
      </c>
      <c r="BB315" s="117"/>
      <c r="BC315" s="115" t="str">
        <f t="shared" si="207"/>
        <v>N</v>
      </c>
      <c r="BD315" s="115" t="str">
        <f t="shared" si="208"/>
        <v>N</v>
      </c>
      <c r="BE315" s="115" t="str">
        <f t="shared" si="209"/>
        <v>N</v>
      </c>
      <c r="BF315" s="109" t="str">
        <f t="shared" si="210"/>
        <v/>
      </c>
      <c r="BG315" s="111" t="s">
        <v>2499</v>
      </c>
      <c r="BH315" s="115" t="s">
        <v>1168</v>
      </c>
      <c r="BI315" s="116"/>
      <c r="BJ315" s="222">
        <v>0.75259518738690034</v>
      </c>
      <c r="BK315" s="265">
        <f t="shared" si="211"/>
        <v>-4.0351726221197168</v>
      </c>
      <c r="BL315" s="265">
        <f t="shared" si="212"/>
        <v>4.0351726221197168</v>
      </c>
      <c r="BM315" s="265">
        <f t="shared" si="213"/>
        <v>0</v>
      </c>
      <c r="BN315" s="265">
        <f t="shared" si="214"/>
        <v>-685.23882421139206</v>
      </c>
      <c r="BO315" s="109"/>
      <c r="BP315" s="265">
        <f t="shared" si="215"/>
        <v>2720.736851019712</v>
      </c>
      <c r="BQ315" s="265">
        <v>2720.736851019712</v>
      </c>
      <c r="BR315" s="265" t="e">
        <f t="shared" si="216"/>
        <v>#REF!</v>
      </c>
      <c r="BS315" s="265">
        <v>306.51613578405625</v>
      </c>
      <c r="BT315" s="475">
        <v>24314.944983615434</v>
      </c>
      <c r="BU315" s="475">
        <v>18746.903345166596</v>
      </c>
      <c r="BV315" s="475">
        <v>55218.151671217965</v>
      </c>
      <c r="BW315" s="483">
        <f t="shared" si="217"/>
        <v>1.3699660136808234</v>
      </c>
      <c r="BX315" s="483">
        <f t="shared" si="218"/>
        <v>4.0351726221269928</v>
      </c>
    </row>
    <row r="316" spans="1:77" s="103" customFormat="1" ht="14.5">
      <c r="A316" s="100" t="s">
        <v>2259</v>
      </c>
      <c r="B316" s="91" t="str">
        <f t="shared" si="186"/>
        <v>STW</v>
      </c>
      <c r="C316" s="92" t="s">
        <v>466</v>
      </c>
      <c r="D316" s="448"/>
      <c r="E316" s="449" t="s">
        <v>2092</v>
      </c>
      <c r="F316" s="467" t="s">
        <v>4880</v>
      </c>
      <c r="G316" s="467" t="s">
        <v>4969</v>
      </c>
      <c r="H316" s="470">
        <v>0.27</v>
      </c>
      <c r="I316" s="95" t="s">
        <v>962</v>
      </c>
      <c r="J316" s="95" t="s">
        <v>1166</v>
      </c>
      <c r="K316" s="469">
        <v>613632.01</v>
      </c>
      <c r="L316" s="471">
        <v>4.8817904653032929E-2</v>
      </c>
      <c r="M316" s="584">
        <v>0.25345622119815669</v>
      </c>
      <c r="N316" s="267">
        <f t="shared" si="187"/>
        <v>0.74654377880184331</v>
      </c>
      <c r="O316" s="96">
        <f t="shared" si="188"/>
        <v>605543.82818181813</v>
      </c>
      <c r="P316" s="96">
        <f t="shared" si="185"/>
        <v>2049.9999999999995</v>
      </c>
      <c r="Q316" s="96">
        <f t="shared" si="189"/>
        <v>6038.1818181818171</v>
      </c>
      <c r="R316" s="187" t="s">
        <v>2314</v>
      </c>
      <c r="S316" s="189" t="s">
        <v>3607</v>
      </c>
      <c r="T316" s="94" t="s">
        <v>5395</v>
      </c>
      <c r="U316" s="395">
        <f>COUNTIF(Aggregation_of_rev_to_allocate!$A$3:$A$137,$T316)</f>
        <v>0</v>
      </c>
      <c r="V316" s="100"/>
      <c r="W316" s="100">
        <v>435</v>
      </c>
      <c r="X316" s="109">
        <v>1904.9333512924015</v>
      </c>
      <c r="Y316" s="109">
        <v>6182.3746037398851</v>
      </c>
      <c r="Z316" s="110">
        <v>0.81148986103073317</v>
      </c>
      <c r="AA316" s="110">
        <v>0.23554603854389722</v>
      </c>
      <c r="AB316" s="110">
        <v>0.76445396145610278</v>
      </c>
      <c r="AC316" s="109">
        <f>IF(ISERROR((X316*SUMIF('Rev_for_allocation(Hard)'!$A$3:$A$249,$T316,'Rev_for_allocation(Hard)'!$I$3:$I$249)/SUMIF(Historic_capex_list!$T$9:$T$586,$T316,Historic_capex_list!$X$9:$X$586))=TRUE),0,X316*SUMIF('Rev_for_allocation(Hard)'!$A$3:$A$249,$T316,'Rev_for_allocation(Hard)'!$I$3:$I$249)/SUMIF(Historic_capex_list!$T$9:$T$586,$T316,Historic_capex_list!$X$9:$X$586))</f>
        <v>0</v>
      </c>
      <c r="AD316" s="109">
        <f t="shared" si="190"/>
        <v>1904.9333512924015</v>
      </c>
      <c r="AE316" s="109">
        <f t="shared" si="191"/>
        <v>1904.9333512924015</v>
      </c>
      <c r="AF316" s="109">
        <f t="shared" si="192"/>
        <v>8087.3079550322864</v>
      </c>
      <c r="AG316" s="332" t="str">
        <f t="shared" si="193"/>
        <v>N</v>
      </c>
      <c r="AH316" s="332">
        <f t="shared" si="182"/>
        <v>0</v>
      </c>
      <c r="AI316" s="332">
        <f t="shared" si="183"/>
        <v>0</v>
      </c>
      <c r="AJ316" s="109">
        <f t="shared" si="184"/>
        <v>8087.3079550322864</v>
      </c>
      <c r="AK316" s="109">
        <f t="shared" si="194"/>
        <v>0</v>
      </c>
      <c r="AL316" s="109">
        <v>0</v>
      </c>
      <c r="AM316" s="111">
        <f t="shared" si="195"/>
        <v>32.454545454545453</v>
      </c>
      <c r="AN316" s="111">
        <f t="shared" si="196"/>
        <v>29.454545454545453</v>
      </c>
      <c r="AO316" s="111" t="str">
        <f t="shared" si="197"/>
        <v>Use deduct 3yrs</v>
      </c>
      <c r="AP316" s="111">
        <f t="shared" si="198"/>
        <v>29.454545454545453</v>
      </c>
      <c r="AQ316" s="112">
        <f t="shared" si="199"/>
        <v>0.74654377880184331</v>
      </c>
      <c r="AR316" s="112">
        <f t="shared" si="200"/>
        <v>0.25345622119815669</v>
      </c>
      <c r="AS316" s="113">
        <f t="shared" si="201"/>
        <v>2057</v>
      </c>
      <c r="AT316" s="109">
        <v>8087.3075729843113</v>
      </c>
      <c r="AU316" s="114">
        <v>0.25345622119815669</v>
      </c>
      <c r="AV316" s="113">
        <v>2057</v>
      </c>
      <c r="AW316" s="112">
        <f t="shared" si="202"/>
        <v>4.8812627964197955E-2</v>
      </c>
      <c r="AX316" s="109">
        <f t="shared" si="203"/>
        <v>2049.7784171158391</v>
      </c>
      <c r="AY316" s="109">
        <f t="shared" si="204"/>
        <v>6037.5291558684712</v>
      </c>
      <c r="AZ316" s="109">
        <f t="shared" si="205"/>
        <v>8087.3075729843104</v>
      </c>
      <c r="BA316" s="111">
        <f t="shared" si="206"/>
        <v>0</v>
      </c>
      <c r="BB316" s="117"/>
      <c r="BC316" s="115" t="str">
        <f t="shared" si="207"/>
        <v>Y</v>
      </c>
      <c r="BD316" s="115" t="str">
        <f t="shared" si="208"/>
        <v>Y</v>
      </c>
      <c r="BE316" s="115" t="str">
        <f t="shared" si="209"/>
        <v>N</v>
      </c>
      <c r="BF316" s="109" t="str">
        <f t="shared" si="210"/>
        <v/>
      </c>
      <c r="BG316" s="111" t="s">
        <v>2499</v>
      </c>
      <c r="BH316" s="115" t="s">
        <v>1168</v>
      </c>
      <c r="BI316" s="116"/>
      <c r="BJ316" s="222">
        <v>0.81148982269559611</v>
      </c>
      <c r="BK316" s="265">
        <f t="shared" si="211"/>
        <v>-0.65266231334589975</v>
      </c>
      <c r="BL316" s="265">
        <f t="shared" si="212"/>
        <v>0.65266231334589975</v>
      </c>
      <c r="BM316" s="265">
        <f t="shared" si="213"/>
        <v>6.4574123825877905E-11</v>
      </c>
      <c r="BN316" s="265">
        <f t="shared" si="214"/>
        <v>-145.06664870759801</v>
      </c>
      <c r="BO316" s="109"/>
      <c r="BP316" s="265">
        <f t="shared" si="215"/>
        <v>3.8204797510843491E-4</v>
      </c>
      <c r="BQ316" s="265">
        <v>3.8204797510843491E-4</v>
      </c>
      <c r="BR316" s="265" t="e">
        <f t="shared" si="216"/>
        <v>#REF!</v>
      </c>
      <c r="BS316" s="265">
        <v>4.3041233102154336E-5</v>
      </c>
      <c r="BT316" s="475">
        <v>1878.6924270156892</v>
      </c>
      <c r="BU316" s="475">
        <v>2049.7784171158391</v>
      </c>
      <c r="BV316" s="475">
        <v>6037.5291558684721</v>
      </c>
      <c r="BW316" s="483">
        <f t="shared" si="217"/>
        <v>0.22158288416039795</v>
      </c>
      <c r="BX316" s="483">
        <f t="shared" si="218"/>
        <v>0.65266231334499025</v>
      </c>
    </row>
    <row r="317" spans="1:77" s="103" customFormat="1" ht="14.5">
      <c r="A317" s="100" t="s">
        <v>2259</v>
      </c>
      <c r="B317" s="91" t="str">
        <f t="shared" si="186"/>
        <v>STW</v>
      </c>
      <c r="C317" s="92" t="s">
        <v>466</v>
      </c>
      <c r="D317" s="448"/>
      <c r="E317" s="449" t="s">
        <v>2187</v>
      </c>
      <c r="F317" s="384" t="s">
        <v>5362</v>
      </c>
      <c r="G317" s="384" t="s">
        <v>4679</v>
      </c>
      <c r="H317" s="470">
        <v>0.17697407407407406</v>
      </c>
      <c r="I317" s="95" t="s">
        <v>951</v>
      </c>
      <c r="J317" s="95" t="s">
        <v>1166</v>
      </c>
      <c r="K317" s="469">
        <v>270000</v>
      </c>
      <c r="L317" s="268">
        <v>0.18833850228830809</v>
      </c>
      <c r="M317" s="584">
        <v>0.30805687203791476</v>
      </c>
      <c r="N317" s="267">
        <f t="shared" si="187"/>
        <v>0.69194312796208524</v>
      </c>
      <c r="O317" s="96">
        <f t="shared" si="188"/>
        <v>261000.62134515779</v>
      </c>
      <c r="P317" s="96">
        <f t="shared" si="185"/>
        <v>2772.3204386954726</v>
      </c>
      <c r="Q317" s="96">
        <f t="shared" si="189"/>
        <v>6227.0582161467528</v>
      </c>
      <c r="R317" s="187" t="s">
        <v>2564</v>
      </c>
      <c r="S317" s="189" t="s">
        <v>3607</v>
      </c>
      <c r="T317" s="94" t="s">
        <v>5393</v>
      </c>
      <c r="U317" s="395">
        <f>COUNTIF(Aggregation_of_rev_to_allocate!$A$3:$A$137,$T317)</f>
        <v>0</v>
      </c>
      <c r="V317" s="100"/>
      <c r="W317" s="100">
        <v>385</v>
      </c>
      <c r="X317" s="109">
        <v>9792.488296636724</v>
      </c>
      <c r="Y317" s="109">
        <v>24933.181739898122</v>
      </c>
      <c r="Z317" s="110">
        <v>0.72673691556693476</v>
      </c>
      <c r="AA317" s="110">
        <v>0.28199566160520606</v>
      </c>
      <c r="AB317" s="110">
        <v>0.71800433839479394</v>
      </c>
      <c r="AC317" s="109">
        <f>IF(ISERROR((X317*SUMIF('Rev_for_allocation(Hard)'!$A$3:$A$249,$T317,'Rev_for_allocation(Hard)'!$I$3:$I$249)/SUMIF(Historic_capex_list!$T$9:$T$586,$T317,Historic_capex_list!$X$9:$X$586))=TRUE),0,X317*SUMIF('Rev_for_allocation(Hard)'!$A$3:$A$249,$T317,'Rev_for_allocation(Hard)'!$I$3:$I$249)/SUMIF(Historic_capex_list!$T$9:$T$586,$T317,Historic_capex_list!$X$9:$X$586))</f>
        <v>0</v>
      </c>
      <c r="AD317" s="109">
        <f t="shared" si="190"/>
        <v>9792.488296636724</v>
      </c>
      <c r="AE317" s="109">
        <f t="shared" si="191"/>
        <v>9792.488296636724</v>
      </c>
      <c r="AF317" s="109">
        <f t="shared" si="192"/>
        <v>34725.670036534844</v>
      </c>
      <c r="AG317" s="332" t="str">
        <f t="shared" si="193"/>
        <v>N</v>
      </c>
      <c r="AH317" s="332">
        <f t="shared" si="182"/>
        <v>0</v>
      </c>
      <c r="AI317" s="332">
        <f t="shared" si="183"/>
        <v>0</v>
      </c>
      <c r="AJ317" s="109">
        <f t="shared" si="184"/>
        <v>34725.670036534844</v>
      </c>
      <c r="AK317" s="109">
        <f t="shared" si="194"/>
        <v>0</v>
      </c>
      <c r="AL317" s="109">
        <v>0</v>
      </c>
      <c r="AM317" s="111">
        <f t="shared" si="195"/>
        <v>25.461538461538463</v>
      </c>
      <c r="AN317" s="111">
        <f t="shared" si="196"/>
        <v>22.461538461538463</v>
      </c>
      <c r="AO317" s="111" t="str">
        <f t="shared" si="197"/>
        <v>Use deduct 3yrs</v>
      </c>
      <c r="AP317" s="111">
        <f t="shared" si="198"/>
        <v>22.461538461538463</v>
      </c>
      <c r="AQ317" s="112">
        <f t="shared" si="199"/>
        <v>0.69194312796208524</v>
      </c>
      <c r="AR317" s="112">
        <f t="shared" si="200"/>
        <v>0.30805687203791476</v>
      </c>
      <c r="AS317" s="113">
        <f t="shared" si="201"/>
        <v>2050</v>
      </c>
      <c r="AT317" s="109">
        <v>8999.3786548422249</v>
      </c>
      <c r="AU317" s="114">
        <v>0.30805687203791476</v>
      </c>
      <c r="AV317" s="113">
        <v>2043</v>
      </c>
      <c r="AW317" s="112">
        <f t="shared" si="202"/>
        <v>0.18833850228830809</v>
      </c>
      <c r="AX317" s="109">
        <f t="shared" si="203"/>
        <v>2772.3204386954726</v>
      </c>
      <c r="AY317" s="109">
        <f t="shared" si="204"/>
        <v>6227.0582161467528</v>
      </c>
      <c r="AZ317" s="109">
        <f t="shared" si="205"/>
        <v>8999.3786548422249</v>
      </c>
      <c r="BA317" s="111">
        <f t="shared" si="206"/>
        <v>0</v>
      </c>
      <c r="BB317" s="117"/>
      <c r="BC317" s="115" t="str">
        <f t="shared" si="207"/>
        <v>Y</v>
      </c>
      <c r="BD317" s="115" t="str">
        <f t="shared" si="208"/>
        <v>Y</v>
      </c>
      <c r="BE317" s="115" t="str">
        <f t="shared" si="209"/>
        <v>N</v>
      </c>
      <c r="BF317" s="109" t="str">
        <f t="shared" si="210"/>
        <v/>
      </c>
      <c r="BG317" s="111" t="s">
        <v>2499</v>
      </c>
      <c r="BH317" s="115" t="s">
        <v>1168</v>
      </c>
      <c r="BI317" s="116"/>
      <c r="BJ317" s="222">
        <v>0.18833850228830809</v>
      </c>
      <c r="BK317" s="265">
        <f t="shared" si="211"/>
        <v>0</v>
      </c>
      <c r="BL317" s="265">
        <f t="shared" si="212"/>
        <v>0</v>
      </c>
      <c r="BM317" s="265">
        <f t="shared" si="213"/>
        <v>-1.9099388737231493E-11</v>
      </c>
      <c r="BN317" s="265">
        <f t="shared" si="214"/>
        <v>7020.167857941251</v>
      </c>
      <c r="BO317" s="109"/>
      <c r="BP317" s="265">
        <f t="shared" si="215"/>
        <v>25726.291381692619</v>
      </c>
      <c r="BQ317" s="265">
        <v>25726.291381692619</v>
      </c>
      <c r="BR317" s="265" t="e">
        <f t="shared" si="216"/>
        <v>#REF!</v>
      </c>
      <c r="BS317" s="265">
        <v>2898.3043396555076</v>
      </c>
      <c r="BT317" s="475">
        <v>38783.621345157779</v>
      </c>
      <c r="BU317" s="475">
        <v>2772.3204386954726</v>
      </c>
      <c r="BV317" s="475">
        <v>6227.0582161467519</v>
      </c>
      <c r="BW317" s="483">
        <f t="shared" si="217"/>
        <v>0</v>
      </c>
      <c r="BX317" s="483">
        <f t="shared" si="218"/>
        <v>0</v>
      </c>
    </row>
    <row r="318" spans="1:77" s="103" customFormat="1" ht="14.5">
      <c r="A318" s="100" t="s">
        <v>2259</v>
      </c>
      <c r="B318" s="91" t="str">
        <f t="shared" si="186"/>
        <v>STW</v>
      </c>
      <c r="C318" s="92" t="s">
        <v>466</v>
      </c>
      <c r="D318" s="448"/>
      <c r="E318" s="449" t="s">
        <v>2191</v>
      </c>
      <c r="F318" s="384" t="s">
        <v>5363</v>
      </c>
      <c r="G318" s="384" t="s">
        <v>4679</v>
      </c>
      <c r="H318" s="470">
        <v>0.42121481481481482</v>
      </c>
      <c r="I318" s="95" t="s">
        <v>951</v>
      </c>
      <c r="J318" s="95" t="s">
        <v>1166</v>
      </c>
      <c r="K318" s="469">
        <v>135000</v>
      </c>
      <c r="L318" s="268">
        <v>0.26506930444351495</v>
      </c>
      <c r="M318" s="584">
        <v>1</v>
      </c>
      <c r="N318" s="267">
        <f t="shared" si="187"/>
        <v>0</v>
      </c>
      <c r="O318" s="96">
        <f t="shared" si="188"/>
        <v>119927.09907212397</v>
      </c>
      <c r="P318" s="96">
        <f t="shared" si="185"/>
        <v>15072.900927876033</v>
      </c>
      <c r="Q318" s="96">
        <f t="shared" si="189"/>
        <v>0</v>
      </c>
      <c r="R318" s="187" t="s">
        <v>2388</v>
      </c>
      <c r="S318" s="189" t="s">
        <v>3607</v>
      </c>
      <c r="T318" s="94" t="s">
        <v>5399</v>
      </c>
      <c r="U318" s="395">
        <f>COUNTIF(Aggregation_of_rev_to_allocate!$A$3:$A$137,$T318)</f>
        <v>0</v>
      </c>
      <c r="V318" s="100"/>
      <c r="W318" s="100">
        <v>273</v>
      </c>
      <c r="X318" s="109">
        <v>15073.272325385662</v>
      </c>
      <c r="Y318" s="109">
        <v>0</v>
      </c>
      <c r="Z318" s="110">
        <v>0.26507583577282046</v>
      </c>
      <c r="AA318" s="110">
        <v>1</v>
      </c>
      <c r="AB318" s="110">
        <v>0</v>
      </c>
      <c r="AC318" s="109">
        <f>IF(ISERROR((X318*SUMIF('Rev_for_allocation(Hard)'!$A$3:$A$249,$T318,'Rev_for_allocation(Hard)'!$I$3:$I$249)/SUMIF(Historic_capex_list!$T$9:$T$586,$T318,Historic_capex_list!$X$9:$X$586))=TRUE),0,X318*SUMIF('Rev_for_allocation(Hard)'!$A$3:$A$249,$T318,'Rev_for_allocation(Hard)'!$I$3:$I$249)/SUMIF(Historic_capex_list!$T$9:$T$586,$T318,Historic_capex_list!$X$9:$X$586))</f>
        <v>0</v>
      </c>
      <c r="AD318" s="109">
        <f t="shared" si="190"/>
        <v>15073.272325385662</v>
      </c>
      <c r="AE318" s="109">
        <f t="shared" si="191"/>
        <v>15073.272325385662</v>
      </c>
      <c r="AF318" s="109">
        <f t="shared" si="192"/>
        <v>15073.272325385662</v>
      </c>
      <c r="AG318" s="332" t="str">
        <f t="shared" si="193"/>
        <v>N</v>
      </c>
      <c r="AH318" s="332">
        <f t="shared" si="182"/>
        <v>0</v>
      </c>
      <c r="AI318" s="332">
        <f t="shared" si="183"/>
        <v>0</v>
      </c>
      <c r="AJ318" s="109">
        <f t="shared" si="184"/>
        <v>15073.272325385662</v>
      </c>
      <c r="AK318" s="109">
        <f t="shared" si="194"/>
        <v>0</v>
      </c>
      <c r="AL318" s="109">
        <v>0</v>
      </c>
      <c r="AM318" s="111">
        <f t="shared" si="195"/>
        <v>0</v>
      </c>
      <c r="AN318" s="111">
        <f t="shared" si="196"/>
        <v>0</v>
      </c>
      <c r="AO318" s="111" t="str">
        <f t="shared" si="197"/>
        <v>Use deduct 3yrs</v>
      </c>
      <c r="AP318" s="111">
        <f t="shared" si="198"/>
        <v>0</v>
      </c>
      <c r="AQ318" s="112">
        <f t="shared" si="199"/>
        <v>0</v>
      </c>
      <c r="AR318" s="112">
        <f t="shared" si="200"/>
        <v>1</v>
      </c>
      <c r="AS318" s="113">
        <f t="shared" si="201"/>
        <v>2028</v>
      </c>
      <c r="AT318" s="109">
        <v>15072.900927876035</v>
      </c>
      <c r="AU318" s="114">
        <v>1</v>
      </c>
      <c r="AV318" s="113">
        <v>2028</v>
      </c>
      <c r="AW318" s="112">
        <f t="shared" si="202"/>
        <v>0.26506930444351495</v>
      </c>
      <c r="AX318" s="109">
        <f t="shared" si="203"/>
        <v>15072.900927876033</v>
      </c>
      <c r="AY318" s="109">
        <f t="shared" si="204"/>
        <v>0</v>
      </c>
      <c r="AZ318" s="109">
        <f t="shared" si="205"/>
        <v>15072.900927876033</v>
      </c>
      <c r="BA318" s="111">
        <f t="shared" si="206"/>
        <v>0</v>
      </c>
      <c r="BB318" s="117"/>
      <c r="BC318" s="115" t="str">
        <f t="shared" si="207"/>
        <v>N</v>
      </c>
      <c r="BD318" s="115" t="str">
        <f t="shared" si="208"/>
        <v>Y</v>
      </c>
      <c r="BE318" s="115" t="str">
        <f t="shared" si="209"/>
        <v>N</v>
      </c>
      <c r="BF318" s="109" t="str">
        <f t="shared" si="210"/>
        <v/>
      </c>
      <c r="BG318" s="111" t="s">
        <v>2499</v>
      </c>
      <c r="BH318" s="115" t="s">
        <v>1168</v>
      </c>
      <c r="BI318" s="116"/>
      <c r="BJ318" s="222">
        <v>0.26506930444351495</v>
      </c>
      <c r="BK318" s="265">
        <f t="shared" si="211"/>
        <v>0</v>
      </c>
      <c r="BL318" s="265">
        <f t="shared" si="212"/>
        <v>0</v>
      </c>
      <c r="BM318" s="265">
        <f t="shared" si="213"/>
        <v>1.8189894035458565E-12</v>
      </c>
      <c r="BN318" s="265">
        <f t="shared" si="214"/>
        <v>0.37139750962887774</v>
      </c>
      <c r="BO318" s="109"/>
      <c r="BP318" s="265">
        <f t="shared" si="215"/>
        <v>0.37139750962705875</v>
      </c>
      <c r="BQ318" s="265">
        <v>0.37139750962705875</v>
      </c>
      <c r="BR318" s="265" t="e">
        <f t="shared" si="216"/>
        <v>#REF!</v>
      </c>
      <c r="BS318" s="265">
        <v>4.1841359794881211E-2</v>
      </c>
      <c r="BT318" s="475">
        <v>41791.099072123965</v>
      </c>
      <c r="BU318" s="475">
        <v>15072.900927876035</v>
      </c>
      <c r="BV318" s="475">
        <v>0</v>
      </c>
      <c r="BW318" s="483">
        <f t="shared" si="217"/>
        <v>0</v>
      </c>
      <c r="BX318" s="483">
        <f t="shared" si="218"/>
        <v>0</v>
      </c>
    </row>
    <row r="319" spans="1:77" s="103" customFormat="1" ht="14.5">
      <c r="A319" s="100" t="s">
        <v>2259</v>
      </c>
      <c r="B319" s="91" t="str">
        <f t="shared" si="186"/>
        <v>STW</v>
      </c>
      <c r="C319" s="92" t="s">
        <v>466</v>
      </c>
      <c r="D319" s="448"/>
      <c r="E319" s="449" t="s">
        <v>2115</v>
      </c>
      <c r="F319" s="467" t="s">
        <v>4881</v>
      </c>
      <c r="G319" s="467" t="s">
        <v>4969</v>
      </c>
      <c r="H319" s="470">
        <v>0.27750000000000002</v>
      </c>
      <c r="I319" s="95" t="s">
        <v>962</v>
      </c>
      <c r="J319" s="95" t="s">
        <v>1166</v>
      </c>
      <c r="K319" s="469">
        <v>148988</v>
      </c>
      <c r="L319" s="471">
        <v>0.78027867566884246</v>
      </c>
      <c r="M319" s="584">
        <v>0.25345622119815669</v>
      </c>
      <c r="N319" s="267">
        <f t="shared" si="187"/>
        <v>0.74654377880184331</v>
      </c>
      <c r="O319" s="96">
        <f t="shared" si="188"/>
        <v>116728.02578577251</v>
      </c>
      <c r="P319" s="96">
        <f t="shared" si="185"/>
        <v>8176.4911602880738</v>
      </c>
      <c r="Q319" s="96">
        <f t="shared" si="189"/>
        <v>24083.483053939417</v>
      </c>
      <c r="R319" s="187" t="s">
        <v>2314</v>
      </c>
      <c r="S319" s="187" t="s">
        <v>3607</v>
      </c>
      <c r="T319" s="94" t="s">
        <v>5395</v>
      </c>
      <c r="U319" s="395">
        <f>COUNTIF(Aggregation_of_rev_to_allocate!$A$3:$A$137,$T319)</f>
        <v>0</v>
      </c>
      <c r="V319" s="100"/>
      <c r="W319" s="100">
        <v>436</v>
      </c>
      <c r="X319" s="109">
        <v>7599.2296187698676</v>
      </c>
      <c r="Y319" s="109">
        <v>24662.954308189481</v>
      </c>
      <c r="Z319" s="110">
        <v>0.78027871252955106</v>
      </c>
      <c r="AA319" s="110">
        <v>0.23554603854389722</v>
      </c>
      <c r="AB319" s="110">
        <v>0.76445396145610278</v>
      </c>
      <c r="AC319" s="109">
        <f>IF(ISERROR((X319*SUMIF('Rev_for_allocation(Hard)'!$A$3:$A$249,$T319,'Rev_for_allocation(Hard)'!$I$3:$I$249)/SUMIF(Historic_capex_list!$T$9:$T$586,$T319,Historic_capex_list!$X$9:$X$586))=TRUE),0,X319*SUMIF('Rev_for_allocation(Hard)'!$A$3:$A$249,$T319,'Rev_for_allocation(Hard)'!$I$3:$I$249)/SUMIF(Historic_capex_list!$T$9:$T$586,$T319,Historic_capex_list!$X$9:$X$586))</f>
        <v>0</v>
      </c>
      <c r="AD319" s="109">
        <f t="shared" si="190"/>
        <v>7599.2296187698676</v>
      </c>
      <c r="AE319" s="109">
        <f t="shared" si="191"/>
        <v>7599.2296187698676</v>
      </c>
      <c r="AF319" s="109">
        <f t="shared" si="192"/>
        <v>32262.183926959347</v>
      </c>
      <c r="AG319" s="332" t="str">
        <f t="shared" si="193"/>
        <v>N</v>
      </c>
      <c r="AH319" s="332">
        <f t="shared" si="182"/>
        <v>0</v>
      </c>
      <c r="AI319" s="332">
        <f t="shared" si="183"/>
        <v>0</v>
      </c>
      <c r="AJ319" s="109">
        <f t="shared" si="184"/>
        <v>32262.183926959347</v>
      </c>
      <c r="AK319" s="109">
        <f t="shared" si="194"/>
        <v>0</v>
      </c>
      <c r="AL319" s="109">
        <v>0</v>
      </c>
      <c r="AM319" s="111">
        <f t="shared" si="195"/>
        <v>32.454545454545453</v>
      </c>
      <c r="AN319" s="111">
        <f t="shared" si="196"/>
        <v>29.454545454545453</v>
      </c>
      <c r="AO319" s="111" t="str">
        <f t="shared" si="197"/>
        <v>Use deduct 3yrs</v>
      </c>
      <c r="AP319" s="111">
        <f t="shared" si="198"/>
        <v>29.454545454545453</v>
      </c>
      <c r="AQ319" s="112">
        <f t="shared" si="199"/>
        <v>0.74654377880184331</v>
      </c>
      <c r="AR319" s="112">
        <f t="shared" si="200"/>
        <v>0.25345622119815669</v>
      </c>
      <c r="AS319" s="113">
        <f t="shared" si="201"/>
        <v>2057</v>
      </c>
      <c r="AT319" s="109">
        <v>32262.182402879629</v>
      </c>
      <c r="AU319" s="114">
        <v>0.25345622119815669</v>
      </c>
      <c r="AV319" s="113">
        <v>2057</v>
      </c>
      <c r="AW319" s="112">
        <f t="shared" si="202"/>
        <v>0.7803320855849718</v>
      </c>
      <c r="AX319" s="109">
        <f t="shared" si="203"/>
        <v>8177.0508394395374</v>
      </c>
      <c r="AY319" s="109">
        <f t="shared" si="204"/>
        <v>24085.131563440089</v>
      </c>
      <c r="AZ319" s="109">
        <f t="shared" si="205"/>
        <v>32262.182402879625</v>
      </c>
      <c r="BA319" s="111">
        <f t="shared" si="206"/>
        <v>0</v>
      </c>
      <c r="BB319" s="117"/>
      <c r="BC319" s="115" t="str">
        <f t="shared" si="207"/>
        <v>Y</v>
      </c>
      <c r="BD319" s="115" t="str">
        <f t="shared" si="208"/>
        <v>Y</v>
      </c>
      <c r="BE319" s="115" t="str">
        <f t="shared" si="209"/>
        <v>N</v>
      </c>
      <c r="BF319" s="109" t="str">
        <f t="shared" si="210"/>
        <v/>
      </c>
      <c r="BG319" s="111" t="s">
        <v>2499</v>
      </c>
      <c r="BH319" s="115" t="s">
        <v>1168</v>
      </c>
      <c r="BI319" s="116"/>
      <c r="BJ319" s="222">
        <v>0.78027867566884246</v>
      </c>
      <c r="BK319" s="265">
        <f t="shared" si="211"/>
        <v>1.6485095006719348</v>
      </c>
      <c r="BL319" s="265">
        <f t="shared" si="212"/>
        <v>-1.6485095006719348</v>
      </c>
      <c r="BM319" s="265">
        <f t="shared" si="213"/>
        <v>0</v>
      </c>
      <c r="BN319" s="265">
        <f t="shared" si="214"/>
        <v>-577.26154151820629</v>
      </c>
      <c r="BO319" s="109"/>
      <c r="BP319" s="265">
        <f t="shared" si="215"/>
        <v>1.5240797183651011E-3</v>
      </c>
      <c r="BQ319" s="265">
        <v>1.5240797183651011E-3</v>
      </c>
      <c r="BR319" s="265" t="e">
        <f t="shared" si="216"/>
        <v>#REF!</v>
      </c>
      <c r="BS319" s="265">
        <v>1.7170165711727592E-4</v>
      </c>
      <c r="BT319" s="475">
        <v>9084.8175971203709</v>
      </c>
      <c r="BU319" s="475">
        <v>8177.0508394395374</v>
      </c>
      <c r="BV319" s="475">
        <v>24085.131563440093</v>
      </c>
      <c r="BW319" s="483">
        <f t="shared" si="217"/>
        <v>-0.55967915146356972</v>
      </c>
      <c r="BX319" s="483">
        <f t="shared" si="218"/>
        <v>-1.6485095006755728</v>
      </c>
    </row>
    <row r="320" spans="1:77" s="103" customFormat="1" ht="29">
      <c r="A320" s="100" t="s">
        <v>2259</v>
      </c>
      <c r="B320" s="91" t="str">
        <f t="shared" si="186"/>
        <v>STW</v>
      </c>
      <c r="C320" s="92" t="s">
        <v>466</v>
      </c>
      <c r="D320" s="448"/>
      <c r="E320" s="449" t="s">
        <v>2116</v>
      </c>
      <c r="F320" s="467" t="s">
        <v>4888</v>
      </c>
      <c r="G320" s="467" t="s">
        <v>4996</v>
      </c>
      <c r="H320" s="470">
        <v>0.17119999999999999</v>
      </c>
      <c r="I320" s="95" t="s">
        <v>962</v>
      </c>
      <c r="J320" s="95" t="s">
        <v>1166</v>
      </c>
      <c r="K320" s="469">
        <v>717347</v>
      </c>
      <c r="L320" s="471">
        <v>0.75259518738690034</v>
      </c>
      <c r="M320" s="584">
        <v>0.25345622119815669</v>
      </c>
      <c r="N320" s="267">
        <f t="shared" si="187"/>
        <v>0.74654377880184331</v>
      </c>
      <c r="O320" s="96">
        <f t="shared" si="188"/>
        <v>624920.93073944305</v>
      </c>
      <c r="P320" s="96">
        <f t="shared" si="185"/>
        <v>23425.962254979873</v>
      </c>
      <c r="Q320" s="96">
        <f t="shared" si="189"/>
        <v>69000.107005577083</v>
      </c>
      <c r="R320" s="187" t="s">
        <v>2563</v>
      </c>
      <c r="S320" s="189" t="s">
        <v>3607</v>
      </c>
      <c r="T320" s="94" t="s">
        <v>5394</v>
      </c>
      <c r="U320" s="395">
        <f>COUNTIF(Aggregation_of_rev_to_allocate!$A$3:$A$137,$T320)</f>
        <v>0</v>
      </c>
      <c r="V320" s="100"/>
      <c r="W320" s="100">
        <v>358</v>
      </c>
      <c r="X320" s="109">
        <v>22572.176612562038</v>
      </c>
      <c r="Y320" s="109">
        <v>73256.973188042248</v>
      </c>
      <c r="Z320" s="110">
        <v>0.78027871252955106</v>
      </c>
      <c r="AA320" s="110">
        <v>0.23554603854389722</v>
      </c>
      <c r="AB320" s="110">
        <v>0.76445396145610278</v>
      </c>
      <c r="AC320" s="109">
        <f>IF(ISERROR((X320*SUMIF('Rev_for_allocation(Hard)'!$A$3:$A$249,$T320,'Rev_for_allocation(Hard)'!$I$3:$I$249)/SUMIF(Historic_capex_list!$T$9:$T$586,$T320,Historic_capex_list!$X$9:$X$586))=TRUE),0,X320*SUMIF('Rev_for_allocation(Hard)'!$A$3:$A$249,$T320,'Rev_for_allocation(Hard)'!$I$3:$I$249)/SUMIF(Historic_capex_list!$T$9:$T$586,$T320,Historic_capex_list!$X$9:$X$586))</f>
        <v>0</v>
      </c>
      <c r="AD320" s="109">
        <f t="shared" si="190"/>
        <v>22572.176612562038</v>
      </c>
      <c r="AE320" s="109">
        <f t="shared" si="191"/>
        <v>22572.176612562038</v>
      </c>
      <c r="AF320" s="109">
        <f t="shared" si="192"/>
        <v>95829.149800604282</v>
      </c>
      <c r="AG320" s="332" t="str">
        <f t="shared" si="193"/>
        <v>N</v>
      </c>
      <c r="AH320" s="332">
        <f t="shared" si="182"/>
        <v>0</v>
      </c>
      <c r="AI320" s="332">
        <f t="shared" si="183"/>
        <v>0</v>
      </c>
      <c r="AJ320" s="109">
        <f t="shared" si="184"/>
        <v>95829.149800604282</v>
      </c>
      <c r="AK320" s="109">
        <f t="shared" si="194"/>
        <v>0</v>
      </c>
      <c r="AL320" s="109">
        <v>0</v>
      </c>
      <c r="AM320" s="111">
        <f t="shared" si="195"/>
        <v>32.454545454545453</v>
      </c>
      <c r="AN320" s="111">
        <f t="shared" si="196"/>
        <v>29.454545454545453</v>
      </c>
      <c r="AO320" s="111" t="str">
        <f t="shared" si="197"/>
        <v>Use deduct 3yrs</v>
      </c>
      <c r="AP320" s="111">
        <f t="shared" si="198"/>
        <v>29.454545454545453</v>
      </c>
      <c r="AQ320" s="112">
        <f t="shared" si="199"/>
        <v>0.74654377880184331</v>
      </c>
      <c r="AR320" s="112">
        <f t="shared" si="200"/>
        <v>0.25345622119815669</v>
      </c>
      <c r="AS320" s="113">
        <f t="shared" si="201"/>
        <v>2057</v>
      </c>
      <c r="AT320" s="109">
        <v>92429.225343734783</v>
      </c>
      <c r="AU320" s="114">
        <v>0.25345622119815669</v>
      </c>
      <c r="AV320" s="113">
        <v>2057</v>
      </c>
      <c r="AW320" s="112">
        <f t="shared" si="202"/>
        <v>0.75262088633774438</v>
      </c>
      <c r="AX320" s="109">
        <f t="shared" si="203"/>
        <v>23426.762183895917</v>
      </c>
      <c r="AY320" s="109">
        <f t="shared" si="204"/>
        <v>69002.463159838881</v>
      </c>
      <c r="AZ320" s="109">
        <f t="shared" si="205"/>
        <v>92429.225343734797</v>
      </c>
      <c r="BA320" s="111">
        <f t="shared" si="206"/>
        <v>0</v>
      </c>
      <c r="BB320" s="117"/>
      <c r="BC320" s="115" t="str">
        <f t="shared" si="207"/>
        <v>N</v>
      </c>
      <c r="BD320" s="115" t="str">
        <f t="shared" si="208"/>
        <v>N</v>
      </c>
      <c r="BE320" s="115" t="str">
        <f t="shared" si="209"/>
        <v>N</v>
      </c>
      <c r="BF320" s="109" t="str">
        <f t="shared" si="210"/>
        <v/>
      </c>
      <c r="BG320" s="111" t="s">
        <v>2499</v>
      </c>
      <c r="BH320" s="115" t="s">
        <v>1168</v>
      </c>
      <c r="BI320" s="116"/>
      <c r="BJ320" s="222">
        <v>0.75259518738690034</v>
      </c>
      <c r="BK320" s="265">
        <f t="shared" si="211"/>
        <v>2.3561542617972009</v>
      </c>
      <c r="BL320" s="265">
        <f t="shared" si="212"/>
        <v>-2.3561542617972009</v>
      </c>
      <c r="BM320" s="265">
        <f t="shared" si="213"/>
        <v>0</v>
      </c>
      <c r="BN320" s="265">
        <f t="shared" si="214"/>
        <v>-853.78564241783533</v>
      </c>
      <c r="BO320" s="109"/>
      <c r="BP320" s="265">
        <f t="shared" si="215"/>
        <v>3399.9244568694994</v>
      </c>
      <c r="BQ320" s="265">
        <v>3399.9244568694994</v>
      </c>
      <c r="BR320" s="265" t="e">
        <f t="shared" si="216"/>
        <v>#REF!</v>
      </c>
      <c r="BS320" s="265">
        <v>383.03289275725507</v>
      </c>
      <c r="BT320" s="475">
        <v>30384.774656265221</v>
      </c>
      <c r="BU320" s="475">
        <v>23426.762183895913</v>
      </c>
      <c r="BV320" s="475">
        <v>69002.463159838866</v>
      </c>
      <c r="BW320" s="483">
        <f t="shared" si="217"/>
        <v>-0.79992891603978933</v>
      </c>
      <c r="BX320" s="483">
        <f t="shared" si="218"/>
        <v>-2.356154261782649</v>
      </c>
    </row>
    <row r="321" spans="1:76" s="103" customFormat="1" ht="29">
      <c r="A321" s="100" t="s">
        <v>2259</v>
      </c>
      <c r="B321" s="91" t="str">
        <f t="shared" si="186"/>
        <v>STW</v>
      </c>
      <c r="C321" s="92" t="s">
        <v>466</v>
      </c>
      <c r="D321" s="448"/>
      <c r="E321" s="449" t="s">
        <v>2210</v>
      </c>
      <c r="F321" s="620" t="s">
        <v>4478</v>
      </c>
      <c r="G321" s="620" t="s">
        <v>5318</v>
      </c>
      <c r="H321" s="398">
        <v>0.46</v>
      </c>
      <c r="I321" s="95" t="s">
        <v>890</v>
      </c>
      <c r="J321" s="95" t="s">
        <v>1166</v>
      </c>
      <c r="K321" s="191">
        <v>53108380</v>
      </c>
      <c r="L321" s="268">
        <v>0.29279419350207797</v>
      </c>
      <c r="M321" s="584">
        <v>1</v>
      </c>
      <c r="N321" s="267">
        <f t="shared" si="187"/>
        <v>0</v>
      </c>
      <c r="O321" s="96">
        <f t="shared" si="188"/>
        <v>45955460.366461135</v>
      </c>
      <c r="P321" s="96">
        <f t="shared" si="185"/>
        <v>7152919.6335388683</v>
      </c>
      <c r="Q321" s="96">
        <f t="shared" si="189"/>
        <v>0</v>
      </c>
      <c r="R321" s="187" t="s">
        <v>2324</v>
      </c>
      <c r="S321" s="187" t="s">
        <v>3607</v>
      </c>
      <c r="T321" s="94" t="s">
        <v>5400</v>
      </c>
      <c r="U321" s="395">
        <f>COUNTIF(Aggregation_of_rev_to_allocate!$A$3:$A$137,$T321)</f>
        <v>0</v>
      </c>
      <c r="V321" s="100"/>
      <c r="W321" s="100">
        <v>300</v>
      </c>
      <c r="X321" s="109">
        <v>7152919.5067411857</v>
      </c>
      <c r="Y321" s="109">
        <v>0</v>
      </c>
      <c r="Z321" s="110">
        <v>0.29279418831180221</v>
      </c>
      <c r="AA321" s="110">
        <v>1</v>
      </c>
      <c r="AB321" s="110">
        <v>0</v>
      </c>
      <c r="AC321" s="109">
        <f>IF(ISERROR((X321*SUMIF('Rev_for_allocation(Hard)'!$A$3:$A$249,$T321,'Rev_for_allocation(Hard)'!$I$3:$I$249)/SUMIF(Historic_capex_list!$T$9:$T$586,$T321,Historic_capex_list!$X$9:$X$586))=TRUE),0,X321*SUMIF('Rev_for_allocation(Hard)'!$A$3:$A$249,$T321,'Rev_for_allocation(Hard)'!$I$3:$I$249)/SUMIF(Historic_capex_list!$T$9:$T$586,$T321,Historic_capex_list!$X$9:$X$586))</f>
        <v>0</v>
      </c>
      <c r="AD321" s="109">
        <f t="shared" si="190"/>
        <v>7152919.5067411857</v>
      </c>
      <c r="AE321" s="109">
        <f t="shared" si="191"/>
        <v>7152919.5067411857</v>
      </c>
      <c r="AF321" s="109">
        <f t="shared" si="192"/>
        <v>7152919.5067411857</v>
      </c>
      <c r="AG321" s="332" t="str">
        <f t="shared" si="193"/>
        <v>N</v>
      </c>
      <c r="AH321" s="332">
        <f t="shared" si="182"/>
        <v>0</v>
      </c>
      <c r="AI321" s="332">
        <f t="shared" si="183"/>
        <v>0</v>
      </c>
      <c r="AJ321" s="109">
        <f t="shared" si="184"/>
        <v>7152919.5067411857</v>
      </c>
      <c r="AK321" s="109">
        <f t="shared" si="194"/>
        <v>0</v>
      </c>
      <c r="AL321" s="109">
        <v>0</v>
      </c>
      <c r="AM321" s="111">
        <f t="shared" si="195"/>
        <v>0</v>
      </c>
      <c r="AN321" s="111">
        <f t="shared" si="196"/>
        <v>0</v>
      </c>
      <c r="AO321" s="111" t="str">
        <f t="shared" si="197"/>
        <v>Use deduct 3yrs</v>
      </c>
      <c r="AP321" s="111">
        <f t="shared" si="198"/>
        <v>0</v>
      </c>
      <c r="AQ321" s="112">
        <f t="shared" si="199"/>
        <v>0</v>
      </c>
      <c r="AR321" s="112">
        <f t="shared" si="200"/>
        <v>1</v>
      </c>
      <c r="AS321" s="113">
        <f t="shared" si="201"/>
        <v>2028</v>
      </c>
      <c r="AT321" s="109">
        <v>7152919.6335388692</v>
      </c>
      <c r="AU321" s="114">
        <v>1</v>
      </c>
      <c r="AV321" s="113">
        <v>2028</v>
      </c>
      <c r="AW321" s="112">
        <f t="shared" si="202"/>
        <v>0.29279419350207797</v>
      </c>
      <c r="AX321" s="109">
        <f t="shared" si="203"/>
        <v>7152919.6335388683</v>
      </c>
      <c r="AY321" s="109">
        <f t="shared" si="204"/>
        <v>0</v>
      </c>
      <c r="AZ321" s="109">
        <f t="shared" si="205"/>
        <v>7152919.6335388683</v>
      </c>
      <c r="BA321" s="111">
        <f t="shared" si="206"/>
        <v>0</v>
      </c>
      <c r="BB321" s="117"/>
      <c r="BC321" s="115" t="str">
        <f t="shared" si="207"/>
        <v>N</v>
      </c>
      <c r="BD321" s="115" t="str">
        <f t="shared" si="208"/>
        <v>Y</v>
      </c>
      <c r="BE321" s="115" t="str">
        <f t="shared" si="209"/>
        <v>N</v>
      </c>
      <c r="BF321" s="109" t="str">
        <f t="shared" si="210"/>
        <v/>
      </c>
      <c r="BG321" s="111" t="s">
        <v>2499</v>
      </c>
      <c r="BH321" s="115" t="s">
        <v>1168</v>
      </c>
      <c r="BI321" s="116"/>
      <c r="BJ321" s="222">
        <v>0.29279419350207797</v>
      </c>
      <c r="BK321" s="265">
        <f t="shared" si="211"/>
        <v>0</v>
      </c>
      <c r="BL321" s="265">
        <f t="shared" si="212"/>
        <v>0</v>
      </c>
      <c r="BM321" s="265">
        <f t="shared" si="213"/>
        <v>-3.7252902984619141E-9</v>
      </c>
      <c r="BN321" s="265">
        <f t="shared" si="214"/>
        <v>-0.1267976826056838</v>
      </c>
      <c r="BO321" s="109"/>
      <c r="BP321" s="265">
        <f t="shared" si="215"/>
        <v>-0.12679768353700638</v>
      </c>
      <c r="BQ321" s="265">
        <v>-0.12679768353700638</v>
      </c>
      <c r="BR321" s="265" t="e">
        <f t="shared" si="216"/>
        <v>#REF!</v>
      </c>
      <c r="BS321" s="265">
        <v>-1.4284930190718859E-2</v>
      </c>
      <c r="BT321" s="475">
        <v>45955460.366461135</v>
      </c>
      <c r="BU321" s="475">
        <v>7152919.6335388683</v>
      </c>
      <c r="BV321" s="475">
        <v>0</v>
      </c>
      <c r="BW321" s="483">
        <f t="shared" si="217"/>
        <v>0</v>
      </c>
      <c r="BX321" s="483">
        <f t="shared" si="218"/>
        <v>0</v>
      </c>
    </row>
    <row r="322" spans="1:76" s="103" customFormat="1" ht="29">
      <c r="A322" s="100" t="s">
        <v>2259</v>
      </c>
      <c r="B322" s="91" t="str">
        <f t="shared" si="186"/>
        <v>STW</v>
      </c>
      <c r="C322" s="92" t="s">
        <v>466</v>
      </c>
      <c r="D322" s="448"/>
      <c r="E322" s="449" t="s">
        <v>2210</v>
      </c>
      <c r="F322" s="620" t="s">
        <v>4478</v>
      </c>
      <c r="G322" s="620" t="s">
        <v>5318</v>
      </c>
      <c r="H322" s="398">
        <v>0.46</v>
      </c>
      <c r="I322" s="95" t="s">
        <v>890</v>
      </c>
      <c r="J322" s="95" t="s">
        <v>1166</v>
      </c>
      <c r="K322" s="191">
        <v>53108380</v>
      </c>
      <c r="L322" s="268">
        <v>0.27537449482572368</v>
      </c>
      <c r="M322" s="584">
        <v>1</v>
      </c>
      <c r="N322" s="267">
        <f t="shared" si="187"/>
        <v>0</v>
      </c>
      <c r="O322" s="96">
        <f t="shared" si="188"/>
        <v>46381021.075784221</v>
      </c>
      <c r="P322" s="96">
        <f t="shared" si="185"/>
        <v>6727358.9242157815</v>
      </c>
      <c r="Q322" s="96">
        <f t="shared" si="189"/>
        <v>0</v>
      </c>
      <c r="R322" s="187" t="s">
        <v>2562</v>
      </c>
      <c r="S322" s="187" t="s">
        <v>3607</v>
      </c>
      <c r="T322" s="94" t="s">
        <v>5401</v>
      </c>
      <c r="U322" s="395">
        <f>COUNTIF(Aggregation_of_rev_to_allocate!$A$3:$A$137,$T322)</f>
        <v>0</v>
      </c>
      <c r="V322" s="100"/>
      <c r="W322" s="100">
        <v>299</v>
      </c>
      <c r="X322" s="109">
        <v>7152919.5067411857</v>
      </c>
      <c r="Y322" s="109">
        <v>0</v>
      </c>
      <c r="Z322" s="110">
        <v>0.29279418831180221</v>
      </c>
      <c r="AA322" s="110">
        <v>1</v>
      </c>
      <c r="AB322" s="110">
        <v>0</v>
      </c>
      <c r="AC322" s="109">
        <f>IF(ISERROR((X322*SUMIF('Rev_for_allocation(Hard)'!$A$3:$A$249,$T322,'Rev_for_allocation(Hard)'!$I$3:$I$249)/SUMIF(Historic_capex_list!$T$9:$T$586,$T322,Historic_capex_list!$X$9:$X$586))=TRUE),0,X322*SUMIF('Rev_for_allocation(Hard)'!$A$3:$A$249,$T322,'Rev_for_allocation(Hard)'!$I$3:$I$249)/SUMIF(Historic_capex_list!$T$9:$T$586,$T322,Historic_capex_list!$X$9:$X$586))</f>
        <v>0</v>
      </c>
      <c r="AD322" s="109">
        <f t="shared" si="190"/>
        <v>7152919.5067411857</v>
      </c>
      <c r="AE322" s="109">
        <f t="shared" si="191"/>
        <v>7152919.5067411857</v>
      </c>
      <c r="AF322" s="109">
        <f t="shared" si="192"/>
        <v>7152919.5067411857</v>
      </c>
      <c r="AG322" s="332" t="str">
        <f t="shared" si="193"/>
        <v>N</v>
      </c>
      <c r="AH322" s="332">
        <f t="shared" si="182"/>
        <v>0</v>
      </c>
      <c r="AI322" s="332">
        <f t="shared" si="183"/>
        <v>0</v>
      </c>
      <c r="AJ322" s="109">
        <f t="shared" si="184"/>
        <v>7152919.5067411857</v>
      </c>
      <c r="AK322" s="109">
        <f t="shared" si="194"/>
        <v>0</v>
      </c>
      <c r="AL322" s="109">
        <v>0</v>
      </c>
      <c r="AM322" s="111">
        <f t="shared" si="195"/>
        <v>0</v>
      </c>
      <c r="AN322" s="111">
        <f t="shared" si="196"/>
        <v>0</v>
      </c>
      <c r="AO322" s="111" t="str">
        <f t="shared" si="197"/>
        <v>Use deduct 3yrs</v>
      </c>
      <c r="AP322" s="111">
        <f t="shared" si="198"/>
        <v>0</v>
      </c>
      <c r="AQ322" s="112">
        <f t="shared" si="199"/>
        <v>0</v>
      </c>
      <c r="AR322" s="112">
        <f t="shared" si="200"/>
        <v>1</v>
      </c>
      <c r="AS322" s="113">
        <f t="shared" si="201"/>
        <v>2028</v>
      </c>
      <c r="AT322" s="109">
        <v>6727358.9242157815</v>
      </c>
      <c r="AU322" s="114">
        <v>1</v>
      </c>
      <c r="AV322" s="113">
        <v>2028</v>
      </c>
      <c r="AW322" s="112">
        <f t="shared" si="202"/>
        <v>0.27537449482572368</v>
      </c>
      <c r="AX322" s="109">
        <f t="shared" si="203"/>
        <v>6727358.9242157815</v>
      </c>
      <c r="AY322" s="109">
        <f t="shared" si="204"/>
        <v>0</v>
      </c>
      <c r="AZ322" s="109">
        <f t="shared" si="205"/>
        <v>6727358.9242157815</v>
      </c>
      <c r="BA322" s="111">
        <f t="shared" si="206"/>
        <v>0</v>
      </c>
      <c r="BB322" s="117"/>
      <c r="BC322" s="115" t="str">
        <f t="shared" si="207"/>
        <v>N</v>
      </c>
      <c r="BD322" s="115" t="str">
        <f t="shared" si="208"/>
        <v>Y</v>
      </c>
      <c r="BE322" s="115" t="str">
        <f t="shared" si="209"/>
        <v>N</v>
      </c>
      <c r="BF322" s="109" t="str">
        <f t="shared" si="210"/>
        <v/>
      </c>
      <c r="BG322" s="111" t="s">
        <v>2499</v>
      </c>
      <c r="BH322" s="115" t="s">
        <v>1168</v>
      </c>
      <c r="BI322" s="116"/>
      <c r="BJ322" s="222">
        <v>0.27537449482572368</v>
      </c>
      <c r="BK322" s="265">
        <f t="shared" si="211"/>
        <v>0</v>
      </c>
      <c r="BL322" s="265">
        <f t="shared" si="212"/>
        <v>0</v>
      </c>
      <c r="BM322" s="265">
        <f t="shared" si="213"/>
        <v>-2.7939677238464355E-9</v>
      </c>
      <c r="BN322" s="265">
        <f t="shared" si="214"/>
        <v>425560.58252540417</v>
      </c>
      <c r="BO322" s="109"/>
      <c r="BP322" s="265">
        <f t="shared" si="215"/>
        <v>425560.58252540417</v>
      </c>
      <c r="BQ322" s="265">
        <v>425560.58252540417</v>
      </c>
      <c r="BR322" s="265" t="e">
        <f t="shared" si="216"/>
        <v>#REF!</v>
      </c>
      <c r="BS322" s="265">
        <v>47943.330222770528</v>
      </c>
      <c r="BT322" s="475">
        <v>46381021.075784221</v>
      </c>
      <c r="BU322" s="475">
        <v>6727358.9242157815</v>
      </c>
      <c r="BV322" s="475">
        <v>0</v>
      </c>
      <c r="BW322" s="483">
        <f t="shared" si="217"/>
        <v>0</v>
      </c>
      <c r="BX322" s="483">
        <f t="shared" si="218"/>
        <v>0</v>
      </c>
    </row>
    <row r="323" spans="1:76" s="103" customFormat="1" ht="14.5">
      <c r="A323" s="100"/>
      <c r="B323" s="91" t="str">
        <f t="shared" si="186"/>
        <v>STW</v>
      </c>
      <c r="C323" s="92" t="s">
        <v>2386</v>
      </c>
      <c r="D323" s="448"/>
      <c r="E323" s="451">
        <v>3101115</v>
      </c>
      <c r="F323" s="409" t="s">
        <v>2359</v>
      </c>
      <c r="G323" s="384" t="s">
        <v>4705</v>
      </c>
      <c r="H323" s="398">
        <v>1</v>
      </c>
      <c r="I323" s="151"/>
      <c r="J323" s="95" t="s">
        <v>1166</v>
      </c>
      <c r="K323" s="191">
        <v>7083946.7499999991</v>
      </c>
      <c r="L323" s="269">
        <v>0.4599999921099982</v>
      </c>
      <c r="M323" s="585">
        <v>1</v>
      </c>
      <c r="N323" s="267">
        <f t="shared" si="187"/>
        <v>0</v>
      </c>
      <c r="O323" s="96">
        <f t="shared" si="188"/>
        <v>3825331.3008923521</v>
      </c>
      <c r="P323" s="96">
        <f t="shared" si="185"/>
        <v>3258615.4491076469</v>
      </c>
      <c r="Q323" s="96">
        <f t="shared" si="189"/>
        <v>0</v>
      </c>
      <c r="R323" s="187" t="s">
        <v>2389</v>
      </c>
      <c r="S323" s="187" t="s">
        <v>3607</v>
      </c>
      <c r="T323" s="94" t="s">
        <v>5402</v>
      </c>
      <c r="U323" s="395">
        <f>COUNTIF(Aggregation_of_rev_to_allocate!$A$3:$A$137,$T323)</f>
        <v>0</v>
      </c>
      <c r="V323" s="100"/>
      <c r="W323" s="100">
        <v>274</v>
      </c>
      <c r="X323" s="109">
        <v>3258615.5049999999</v>
      </c>
      <c r="Y323" s="109">
        <v>0</v>
      </c>
      <c r="Z323" s="110">
        <v>0.46</v>
      </c>
      <c r="AA323" s="110">
        <v>1</v>
      </c>
      <c r="AB323" s="110">
        <v>0</v>
      </c>
      <c r="AC323" s="109">
        <f>IF(ISERROR((X323*SUMIF('Rev_for_allocation(Hard)'!$A$3:$A$249,$T323,'Rev_for_allocation(Hard)'!$I$3:$I$249)/SUMIF(Historic_capex_list!$T$9:$T$586,$T323,Historic_capex_list!$X$9:$X$586))=TRUE),0,X323*SUMIF('Rev_for_allocation(Hard)'!$A$3:$A$249,$T323,'Rev_for_allocation(Hard)'!$I$3:$I$249)/SUMIF(Historic_capex_list!$T$9:$T$586,$T323,Historic_capex_list!$X$9:$X$586))</f>
        <v>0</v>
      </c>
      <c r="AD323" s="109">
        <f t="shared" si="190"/>
        <v>3258615.5049999999</v>
      </c>
      <c r="AE323" s="109">
        <f t="shared" si="191"/>
        <v>3258615.5049999999</v>
      </c>
      <c r="AF323" s="109">
        <f t="shared" si="192"/>
        <v>3258615.5049999999</v>
      </c>
      <c r="AG323" s="332" t="str">
        <f t="shared" si="193"/>
        <v>N</v>
      </c>
      <c r="AH323" s="332">
        <f t="shared" si="182"/>
        <v>0</v>
      </c>
      <c r="AI323" s="332">
        <f t="shared" si="183"/>
        <v>0</v>
      </c>
      <c r="AJ323" s="109">
        <f t="shared" si="184"/>
        <v>3258615.5049999999</v>
      </c>
      <c r="AK323" s="109">
        <f t="shared" si="194"/>
        <v>0</v>
      </c>
      <c r="AL323" s="109">
        <v>0</v>
      </c>
      <c r="AM323" s="111">
        <f t="shared" si="195"/>
        <v>0</v>
      </c>
      <c r="AN323" s="111">
        <f t="shared" si="196"/>
        <v>0</v>
      </c>
      <c r="AO323" s="111" t="str">
        <f t="shared" si="197"/>
        <v>Use deduct 3yrs</v>
      </c>
      <c r="AP323" s="111">
        <f t="shared" si="198"/>
        <v>0</v>
      </c>
      <c r="AQ323" s="112">
        <f t="shared" si="199"/>
        <v>0</v>
      </c>
      <c r="AR323" s="112">
        <f t="shared" si="200"/>
        <v>1</v>
      </c>
      <c r="AS323" s="113">
        <f t="shared" si="201"/>
        <v>2028</v>
      </c>
      <c r="AT323" s="109">
        <v>3258615.4491076469</v>
      </c>
      <c r="AU323" s="114">
        <v>1</v>
      </c>
      <c r="AV323" s="113">
        <v>2028</v>
      </c>
      <c r="AW323" s="112">
        <f t="shared" si="202"/>
        <v>0.4599999921099982</v>
      </c>
      <c r="AX323" s="109">
        <f t="shared" si="203"/>
        <v>3258615.4491076469</v>
      </c>
      <c r="AY323" s="109">
        <f t="shared" si="204"/>
        <v>0</v>
      </c>
      <c r="AZ323" s="109">
        <f t="shared" si="205"/>
        <v>3258615.4491076469</v>
      </c>
      <c r="BA323" s="111">
        <f t="shared" si="206"/>
        <v>0</v>
      </c>
      <c r="BB323" s="117"/>
      <c r="BC323" s="115" t="str">
        <f t="shared" si="207"/>
        <v>N</v>
      </c>
      <c r="BD323" s="115" t="str">
        <f t="shared" si="208"/>
        <v>Y</v>
      </c>
      <c r="BE323" s="115" t="str">
        <f t="shared" si="209"/>
        <v>N</v>
      </c>
      <c r="BF323" s="109" t="str">
        <f t="shared" si="210"/>
        <v/>
      </c>
      <c r="BG323" s="111" t="s">
        <v>2499</v>
      </c>
      <c r="BH323" s="115" t="s">
        <v>1168</v>
      </c>
      <c r="BI323" s="116"/>
      <c r="BJ323" s="222">
        <v>0.4599999921099982</v>
      </c>
      <c r="BK323" s="265">
        <f t="shared" si="211"/>
        <v>0</v>
      </c>
      <c r="BL323" s="265">
        <f t="shared" si="212"/>
        <v>0</v>
      </c>
      <c r="BM323" s="265">
        <f t="shared" si="213"/>
        <v>0</v>
      </c>
      <c r="BN323" s="265">
        <f t="shared" si="214"/>
        <v>5.5892352946102619E-2</v>
      </c>
      <c r="BO323" s="109"/>
      <c r="BP323" s="265">
        <f t="shared" si="215"/>
        <v>5.5892352946102619E-2</v>
      </c>
      <c r="BQ323" s="265">
        <v>5.5892352946102619E-2</v>
      </c>
      <c r="BR323" s="265" t="e">
        <f t="shared" si="216"/>
        <v>#REF!</v>
      </c>
      <c r="BS323" s="265">
        <v>6.2967897974025222E-3</v>
      </c>
      <c r="BT323" s="475">
        <v>3825331.3008923521</v>
      </c>
      <c r="BU323" s="475">
        <v>3258615.4491076469</v>
      </c>
      <c r="BV323" s="475">
        <v>0</v>
      </c>
      <c r="BW323" s="483">
        <f t="shared" si="217"/>
        <v>0</v>
      </c>
      <c r="BX323" s="483">
        <f t="shared" si="218"/>
        <v>0</v>
      </c>
    </row>
    <row r="324" spans="1:76" s="103" customFormat="1" ht="14.5">
      <c r="A324" s="100"/>
      <c r="B324" s="91" t="str">
        <f t="shared" si="186"/>
        <v>STW</v>
      </c>
      <c r="C324" s="92" t="s">
        <v>2386</v>
      </c>
      <c r="D324" s="448"/>
      <c r="E324" s="451">
        <v>3101114</v>
      </c>
      <c r="F324" s="409" t="s">
        <v>2358</v>
      </c>
      <c r="G324" s="384" t="s">
        <v>4706</v>
      </c>
      <c r="H324" s="470">
        <v>0.29920067954258661</v>
      </c>
      <c r="I324" s="151" t="s">
        <v>951</v>
      </c>
      <c r="J324" s="95" t="s">
        <v>1166</v>
      </c>
      <c r="K324" s="469">
        <v>56134165.522874206</v>
      </c>
      <c r="L324" s="619">
        <v>0.40730583128153386</v>
      </c>
      <c r="M324" s="585">
        <v>0.95973524544953115</v>
      </c>
      <c r="N324" s="267">
        <f t="shared" si="187"/>
        <v>4.0264754550468851E-2</v>
      </c>
      <c r="O324" s="96">
        <f t="shared" si="188"/>
        <v>49293309.118851215</v>
      </c>
      <c r="P324" s="96">
        <f t="shared" si="185"/>
        <v>6565411</v>
      </c>
      <c r="Q324" s="96">
        <f t="shared" si="189"/>
        <v>275445.40402298857</v>
      </c>
      <c r="R324" s="187" t="s">
        <v>2389</v>
      </c>
      <c r="S324" s="187" t="s">
        <v>3607</v>
      </c>
      <c r="T324" s="94" t="s">
        <v>5402</v>
      </c>
      <c r="U324" s="395">
        <f>COUNTIF(Aggregation_of_rev_to_allocate!$A$3:$A$137,$T324)</f>
        <v>0</v>
      </c>
      <c r="V324" s="100"/>
      <c r="W324" s="100">
        <v>275</v>
      </c>
      <c r="X324" s="109">
        <v>3118093.4750041505</v>
      </c>
      <c r="Y324" s="109">
        <v>1066244.6078318793</v>
      </c>
      <c r="Z324" s="110">
        <v>0.40561366125436416</v>
      </c>
      <c r="AA324" s="110">
        <v>0.7451820128479657</v>
      </c>
      <c r="AB324" s="110">
        <v>0.2548179871520343</v>
      </c>
      <c r="AC324" s="109">
        <f>IF(ISERROR((X324*SUMIF('Rev_for_allocation(Hard)'!$A$3:$A$249,$T324,'Rev_for_allocation(Hard)'!$I$3:$I$249)/SUMIF(Historic_capex_list!$T$9:$T$586,$T324,Historic_capex_list!$X$9:$X$586))=TRUE),0,X324*SUMIF('Rev_for_allocation(Hard)'!$A$3:$A$249,$T324,'Rev_for_allocation(Hard)'!$I$3:$I$249)/SUMIF(Historic_capex_list!$T$9:$T$586,$T324,Historic_capex_list!$X$9:$X$586))</f>
        <v>0</v>
      </c>
      <c r="AD324" s="109">
        <f t="shared" si="190"/>
        <v>3118093.4750041505</v>
      </c>
      <c r="AE324" s="109">
        <f t="shared" si="191"/>
        <v>3118093.4750041505</v>
      </c>
      <c r="AF324" s="109">
        <f t="shared" si="192"/>
        <v>4184338.0828360301</v>
      </c>
      <c r="AG324" s="332" t="str">
        <f t="shared" si="193"/>
        <v>N</v>
      </c>
      <c r="AH324" s="332">
        <f t="shared" si="182"/>
        <v>0</v>
      </c>
      <c r="AI324" s="332">
        <f t="shared" si="183"/>
        <v>0</v>
      </c>
      <c r="AJ324" s="109">
        <f t="shared" si="184"/>
        <v>4184338.0828360301</v>
      </c>
      <c r="AK324" s="109">
        <f t="shared" si="194"/>
        <v>0</v>
      </c>
      <c r="AL324" s="109">
        <v>0</v>
      </c>
      <c r="AM324" s="111">
        <f t="shared" si="195"/>
        <v>3.4195402298850581</v>
      </c>
      <c r="AN324" s="111">
        <f t="shared" si="196"/>
        <v>0.41954022988505812</v>
      </c>
      <c r="AO324" s="111" t="str">
        <f t="shared" si="197"/>
        <v>Use deduct 3yrs</v>
      </c>
      <c r="AP324" s="111">
        <f t="shared" si="198"/>
        <v>0.41954022988505812</v>
      </c>
      <c r="AQ324" s="112">
        <f t="shared" si="199"/>
        <v>4.0264754550468899E-2</v>
      </c>
      <c r="AR324" s="112">
        <f t="shared" si="200"/>
        <v>0.95973524544953115</v>
      </c>
      <c r="AS324" s="113">
        <f t="shared" si="201"/>
        <v>2028</v>
      </c>
      <c r="AT324" s="109">
        <v>4184338.0293539362</v>
      </c>
      <c r="AU324" s="114">
        <v>0.95973524544953115</v>
      </c>
      <c r="AV324" s="113">
        <v>2028</v>
      </c>
      <c r="AW324" s="112">
        <f t="shared" si="202"/>
        <v>0.24913624534008169</v>
      </c>
      <c r="AX324" s="109">
        <f t="shared" si="203"/>
        <v>4015856.685645808</v>
      </c>
      <c r="AY324" s="109">
        <f t="shared" si="204"/>
        <v>168481.34370812876</v>
      </c>
      <c r="AZ324" s="109">
        <f t="shared" si="205"/>
        <v>4184338.0293539367</v>
      </c>
      <c r="BA324" s="111">
        <f t="shared" si="206"/>
        <v>0</v>
      </c>
      <c r="BB324" s="117"/>
      <c r="BC324" s="115" t="str">
        <f t="shared" si="207"/>
        <v>N</v>
      </c>
      <c r="BD324" s="115" t="str">
        <f t="shared" si="208"/>
        <v>N</v>
      </c>
      <c r="BE324" s="115" t="str">
        <f t="shared" si="209"/>
        <v>N</v>
      </c>
      <c r="BF324" s="109" t="str">
        <f t="shared" si="210"/>
        <v/>
      </c>
      <c r="BG324" s="111" t="s">
        <v>2499</v>
      </c>
      <c r="BH324" s="115" t="s">
        <v>1168</v>
      </c>
      <c r="BI324" s="116"/>
      <c r="BJ324" s="222">
        <v>0.40561365607001548</v>
      </c>
      <c r="BK324" s="265">
        <f t="shared" si="211"/>
        <v>-106964.06031485982</v>
      </c>
      <c r="BL324" s="265">
        <f t="shared" si="212"/>
        <v>106964.06031485982</v>
      </c>
      <c r="BM324" s="265">
        <f t="shared" si="213"/>
        <v>3.0850060284137726E-9</v>
      </c>
      <c r="BN324" s="265">
        <f t="shared" si="214"/>
        <v>-3447317.5249958495</v>
      </c>
      <c r="BO324" s="109"/>
      <c r="BP324" s="265">
        <f t="shared" si="215"/>
        <v>5.3482093848288059E-2</v>
      </c>
      <c r="BQ324" s="265">
        <v>5.3482093848288059E-2</v>
      </c>
      <c r="BR324" s="265" t="e">
        <f t="shared" si="216"/>
        <v>#REF!</v>
      </c>
      <c r="BS324" s="265">
        <v>6.0252518481798342E-3</v>
      </c>
      <c r="BT324" s="475">
        <v>9954524.3332003299</v>
      </c>
      <c r="BU324" s="475">
        <v>6565410.7435363596</v>
      </c>
      <c r="BV324" s="475">
        <v>275445.39326330728</v>
      </c>
      <c r="BW324" s="483">
        <f t="shared" si="217"/>
        <v>0.25646364036947489</v>
      </c>
      <c r="BX324" s="483">
        <f t="shared" si="218"/>
        <v>1.0759681288618594E-2</v>
      </c>
    </row>
    <row r="325" spans="1:76" s="103" customFormat="1" ht="29">
      <c r="A325" s="100" t="s">
        <v>2259</v>
      </c>
      <c r="B325" s="91" t="str">
        <f t="shared" si="186"/>
        <v>STW</v>
      </c>
      <c r="C325" s="92" t="s">
        <v>2330</v>
      </c>
      <c r="D325" s="448"/>
      <c r="E325" s="451">
        <v>2310130</v>
      </c>
      <c r="F325" s="409" t="s">
        <v>2356</v>
      </c>
      <c r="G325" s="384" t="s">
        <v>4541</v>
      </c>
      <c r="H325" s="398">
        <v>1</v>
      </c>
      <c r="I325" s="151"/>
      <c r="J325" s="95" t="s">
        <v>1166</v>
      </c>
      <c r="K325" s="191">
        <v>4360951</v>
      </c>
      <c r="L325" s="269">
        <v>0.46388273307654976</v>
      </c>
      <c r="M325" s="585">
        <v>1</v>
      </c>
      <c r="N325" s="267">
        <f t="shared" si="187"/>
        <v>0</v>
      </c>
      <c r="O325" s="96">
        <f t="shared" si="188"/>
        <v>2337981.1313070869</v>
      </c>
      <c r="P325" s="96">
        <f t="shared" si="185"/>
        <v>2022969.8686929129</v>
      </c>
      <c r="Q325" s="96">
        <f t="shared" si="189"/>
        <v>0</v>
      </c>
      <c r="R325" s="187" t="s">
        <v>2332</v>
      </c>
      <c r="S325" s="187" t="s">
        <v>3607</v>
      </c>
      <c r="T325" s="94" t="s">
        <v>5403</v>
      </c>
      <c r="U325" s="395">
        <f>COUNTIF(Aggregation_of_rev_to_allocate!$A$3:$A$137,$T325)</f>
        <v>0</v>
      </c>
      <c r="V325" s="100"/>
      <c r="W325" s="100">
        <v>251</v>
      </c>
      <c r="X325" s="109">
        <v>2022969.7794063052</v>
      </c>
      <c r="Y325" s="109">
        <v>0</v>
      </c>
      <c r="Z325" s="110">
        <v>0.46388271260243585</v>
      </c>
      <c r="AA325" s="110">
        <v>1</v>
      </c>
      <c r="AB325" s="110">
        <v>0</v>
      </c>
      <c r="AC325" s="109">
        <f>IF(ISERROR((X325*SUMIF('Rev_for_allocation(Hard)'!$A$3:$A$249,$T325,'Rev_for_allocation(Hard)'!$I$3:$I$249)/SUMIF(Historic_capex_list!$T$9:$T$586,$T325,Historic_capex_list!$X$9:$X$586))=TRUE),0,X325*SUMIF('Rev_for_allocation(Hard)'!$A$3:$A$249,$T325,'Rev_for_allocation(Hard)'!$I$3:$I$249)/SUMIF(Historic_capex_list!$T$9:$T$586,$T325,Historic_capex_list!$X$9:$X$586))</f>
        <v>0</v>
      </c>
      <c r="AD325" s="109">
        <f t="shared" si="190"/>
        <v>2022969.7794063052</v>
      </c>
      <c r="AE325" s="109">
        <f t="shared" si="191"/>
        <v>2022969.7794063052</v>
      </c>
      <c r="AF325" s="109">
        <f t="shared" si="192"/>
        <v>2022969.7794063052</v>
      </c>
      <c r="AG325" s="332" t="str">
        <f t="shared" si="193"/>
        <v>N</v>
      </c>
      <c r="AH325" s="332">
        <f t="shared" si="182"/>
        <v>0</v>
      </c>
      <c r="AI325" s="332">
        <f t="shared" si="183"/>
        <v>0</v>
      </c>
      <c r="AJ325" s="109">
        <f t="shared" si="184"/>
        <v>2022969.7794063052</v>
      </c>
      <c r="AK325" s="109">
        <f t="shared" si="194"/>
        <v>0</v>
      </c>
      <c r="AL325" s="109">
        <v>0</v>
      </c>
      <c r="AM325" s="111">
        <f t="shared" si="195"/>
        <v>0</v>
      </c>
      <c r="AN325" s="111">
        <f t="shared" si="196"/>
        <v>0</v>
      </c>
      <c r="AO325" s="111" t="str">
        <f t="shared" si="197"/>
        <v>Use deduct 3yrs</v>
      </c>
      <c r="AP325" s="111">
        <f t="shared" si="198"/>
        <v>0</v>
      </c>
      <c r="AQ325" s="112">
        <f t="shared" si="199"/>
        <v>0</v>
      </c>
      <c r="AR325" s="112">
        <f t="shared" si="200"/>
        <v>1</v>
      </c>
      <c r="AS325" s="113">
        <f t="shared" si="201"/>
        <v>2028</v>
      </c>
      <c r="AT325" s="109">
        <v>2022969.8686929126</v>
      </c>
      <c r="AU325" s="114">
        <v>1</v>
      </c>
      <c r="AV325" s="113">
        <v>2028</v>
      </c>
      <c r="AW325" s="112">
        <f t="shared" si="202"/>
        <v>0.46388273307654976</v>
      </c>
      <c r="AX325" s="109">
        <f t="shared" si="203"/>
        <v>2022969.8686929129</v>
      </c>
      <c r="AY325" s="109">
        <f t="shared" si="204"/>
        <v>0</v>
      </c>
      <c r="AZ325" s="109">
        <f t="shared" si="205"/>
        <v>2022969.8686929129</v>
      </c>
      <c r="BA325" s="111">
        <f t="shared" si="206"/>
        <v>0</v>
      </c>
      <c r="BB325" s="117"/>
      <c r="BC325" s="115" t="str">
        <f t="shared" si="207"/>
        <v>N</v>
      </c>
      <c r="BD325" s="115" t="str">
        <f t="shared" si="208"/>
        <v>Y</v>
      </c>
      <c r="BE325" s="115" t="str">
        <f t="shared" si="209"/>
        <v>N</v>
      </c>
      <c r="BF325" s="109" t="str">
        <f t="shared" si="210"/>
        <v/>
      </c>
      <c r="BG325" s="111" t="s">
        <v>2499</v>
      </c>
      <c r="BH325" s="115" t="s">
        <v>1168</v>
      </c>
      <c r="BI325" s="116"/>
      <c r="BJ325" s="222">
        <v>0.46388273307654976</v>
      </c>
      <c r="BK325" s="265">
        <f t="shared" si="211"/>
        <v>0</v>
      </c>
      <c r="BL325" s="265">
        <f t="shared" si="212"/>
        <v>0</v>
      </c>
      <c r="BM325" s="265">
        <f t="shared" si="213"/>
        <v>2.3283064365386963E-10</v>
      </c>
      <c r="BN325" s="265">
        <f t="shared" si="214"/>
        <v>-8.9286607690155506E-2</v>
      </c>
      <c r="BO325" s="109"/>
      <c r="BP325" s="265">
        <f t="shared" si="215"/>
        <v>-8.9286607457324862E-2</v>
      </c>
      <c r="BQ325" s="265">
        <v>-8.9286607457324862E-2</v>
      </c>
      <c r="BR325" s="265" t="e">
        <f t="shared" si="216"/>
        <v>#REF!</v>
      </c>
      <c r="BS325" s="265">
        <v>-1.0058961007136678E-2</v>
      </c>
      <c r="BT325" s="475">
        <v>2337981.1313070869</v>
      </c>
      <c r="BU325" s="475">
        <v>2022969.8686929129</v>
      </c>
      <c r="BV325" s="475">
        <v>0</v>
      </c>
      <c r="BW325" s="483">
        <f t="shared" si="217"/>
        <v>0</v>
      </c>
      <c r="BX325" s="483">
        <f t="shared" si="218"/>
        <v>0</v>
      </c>
    </row>
    <row r="326" spans="1:76" s="103" customFormat="1" ht="14.5">
      <c r="A326" s="100" t="s">
        <v>2259</v>
      </c>
      <c r="B326" s="91" t="str">
        <f t="shared" si="186"/>
        <v>STW</v>
      </c>
      <c r="C326" s="92" t="s">
        <v>466</v>
      </c>
      <c r="D326" s="448"/>
      <c r="E326" s="449" t="s">
        <v>2117</v>
      </c>
      <c r="F326" s="467" t="s">
        <v>4890</v>
      </c>
      <c r="G326" s="384" t="s">
        <v>4668</v>
      </c>
      <c r="H326" s="470">
        <v>0.25040000000000001</v>
      </c>
      <c r="I326" s="95" t="s">
        <v>962</v>
      </c>
      <c r="J326" s="95" t="s">
        <v>1166</v>
      </c>
      <c r="K326" s="469">
        <v>554701</v>
      </c>
      <c r="L326" s="471">
        <v>0.78027867566884235</v>
      </c>
      <c r="M326" s="584">
        <v>0.25345622119815669</v>
      </c>
      <c r="N326" s="267">
        <f t="shared" si="187"/>
        <v>0.74654377880184331</v>
      </c>
      <c r="O326" s="96">
        <f t="shared" si="188"/>
        <v>446322.53103728552</v>
      </c>
      <c r="P326" s="96">
        <f t="shared" si="185"/>
        <v>27469.19720253133</v>
      </c>
      <c r="Q326" s="96">
        <f t="shared" si="189"/>
        <v>80909.271760183168</v>
      </c>
      <c r="R326" s="187" t="s">
        <v>2314</v>
      </c>
      <c r="S326" s="187" t="s">
        <v>3607</v>
      </c>
      <c r="T326" s="94" t="s">
        <v>5395</v>
      </c>
      <c r="U326" s="395">
        <f>COUNTIF(Aggregation_of_rev_to_allocate!$A$3:$A$137,$T326)</f>
        <v>0</v>
      </c>
      <c r="V326" s="100"/>
      <c r="W326" s="100">
        <v>437</v>
      </c>
      <c r="X326" s="109">
        <v>25526.074560003672</v>
      </c>
      <c r="Y326" s="109">
        <v>82843.714708375541</v>
      </c>
      <c r="Z326" s="110">
        <v>0.78027871252955094</v>
      </c>
      <c r="AA326" s="110">
        <v>0.23554603854389722</v>
      </c>
      <c r="AB326" s="110">
        <v>0.76445396145610278</v>
      </c>
      <c r="AC326" s="109">
        <f>IF(ISERROR((X326*SUMIF('Rev_for_allocation(Hard)'!$A$3:$A$249,$T326,'Rev_for_allocation(Hard)'!$I$3:$I$249)/SUMIF(Historic_capex_list!$T$9:$T$586,$T326,Historic_capex_list!$X$9:$X$586))=TRUE),0,X326*SUMIF('Rev_for_allocation(Hard)'!$A$3:$A$249,$T326,'Rev_for_allocation(Hard)'!$I$3:$I$249)/SUMIF(Historic_capex_list!$T$9:$T$586,$T326,Historic_capex_list!$X$9:$X$586))</f>
        <v>0</v>
      </c>
      <c r="AD326" s="109">
        <f t="shared" si="190"/>
        <v>25526.074560003672</v>
      </c>
      <c r="AE326" s="109">
        <f t="shared" si="191"/>
        <v>25526.074560003672</v>
      </c>
      <c r="AF326" s="109">
        <f t="shared" si="192"/>
        <v>108369.78926837922</v>
      </c>
      <c r="AG326" s="332" t="str">
        <f t="shared" si="193"/>
        <v>N</v>
      </c>
      <c r="AH326" s="332">
        <f t="shared" si="182"/>
        <v>0</v>
      </c>
      <c r="AI326" s="332">
        <f t="shared" si="183"/>
        <v>0</v>
      </c>
      <c r="AJ326" s="109">
        <f t="shared" si="184"/>
        <v>108369.78926837922</v>
      </c>
      <c r="AK326" s="109">
        <f t="shared" si="194"/>
        <v>0</v>
      </c>
      <c r="AL326" s="109">
        <v>0</v>
      </c>
      <c r="AM326" s="111">
        <f t="shared" si="195"/>
        <v>32.454545454545453</v>
      </c>
      <c r="AN326" s="111">
        <f t="shared" si="196"/>
        <v>29.454545454545453</v>
      </c>
      <c r="AO326" s="111" t="str">
        <f t="shared" si="197"/>
        <v>Use deduct 3yrs</v>
      </c>
      <c r="AP326" s="111">
        <f t="shared" si="198"/>
        <v>29.454545454545453</v>
      </c>
      <c r="AQ326" s="112">
        <f t="shared" si="199"/>
        <v>0.74654377880184331</v>
      </c>
      <c r="AR326" s="112">
        <f t="shared" si="200"/>
        <v>0.25345622119815669</v>
      </c>
      <c r="AS326" s="113">
        <f t="shared" si="201"/>
        <v>2057</v>
      </c>
      <c r="AT326" s="109">
        <v>108369.78414894284</v>
      </c>
      <c r="AU326" s="114">
        <v>0.25345622119815669</v>
      </c>
      <c r="AV326" s="113">
        <v>2057</v>
      </c>
      <c r="AW326" s="112">
        <f t="shared" si="202"/>
        <v>0.78021614871996547</v>
      </c>
      <c r="AX326" s="109">
        <f t="shared" si="203"/>
        <v>27466.99598245095</v>
      </c>
      <c r="AY326" s="109">
        <f t="shared" si="204"/>
        <v>80902.788166491882</v>
      </c>
      <c r="AZ326" s="109">
        <f t="shared" si="205"/>
        <v>108369.78414894282</v>
      </c>
      <c r="BA326" s="111">
        <f t="shared" si="206"/>
        <v>0</v>
      </c>
      <c r="BB326" s="117"/>
      <c r="BC326" s="115" t="str">
        <f t="shared" si="207"/>
        <v>N</v>
      </c>
      <c r="BD326" s="115" t="str">
        <f t="shared" si="208"/>
        <v>N</v>
      </c>
      <c r="BE326" s="115" t="str">
        <f t="shared" si="209"/>
        <v>N</v>
      </c>
      <c r="BF326" s="109" t="str">
        <f t="shared" si="210"/>
        <v/>
      </c>
      <c r="BG326" s="111" t="s">
        <v>2499</v>
      </c>
      <c r="BH326" s="115" t="s">
        <v>1168</v>
      </c>
      <c r="BI326" s="116"/>
      <c r="BJ326" s="222">
        <v>0.78027867566884235</v>
      </c>
      <c r="BK326" s="265">
        <f t="shared" si="211"/>
        <v>-6.4835936912859324</v>
      </c>
      <c r="BL326" s="265">
        <f t="shared" si="212"/>
        <v>6.4835936912859324</v>
      </c>
      <c r="BM326" s="265">
        <f t="shared" si="213"/>
        <v>0</v>
      </c>
      <c r="BN326" s="265">
        <f t="shared" si="214"/>
        <v>-1943.1226425276582</v>
      </c>
      <c r="BO326" s="109"/>
      <c r="BP326" s="265">
        <f t="shared" si="215"/>
        <v>5.1194363768445328E-3</v>
      </c>
      <c r="BQ326" s="265">
        <v>5.1194363768445328E-3</v>
      </c>
      <c r="BR326" s="265" t="e">
        <f t="shared" si="216"/>
        <v>#REF!</v>
      </c>
      <c r="BS326" s="265">
        <v>5.7675179245453127E-4</v>
      </c>
      <c r="BT326" s="475">
        <v>30516.215851057161</v>
      </c>
      <c r="BU326" s="475">
        <v>27466.99598245095</v>
      </c>
      <c r="BV326" s="475">
        <v>80902.788166491882</v>
      </c>
      <c r="BW326" s="483">
        <f t="shared" si="217"/>
        <v>2.2012200803801534</v>
      </c>
      <c r="BX326" s="483">
        <f t="shared" si="218"/>
        <v>6.4835936912859324</v>
      </c>
    </row>
    <row r="327" spans="1:76" s="103" customFormat="1" ht="43.5">
      <c r="A327" s="100" t="s">
        <v>2259</v>
      </c>
      <c r="B327" s="91" t="str">
        <f t="shared" si="186"/>
        <v>STW</v>
      </c>
      <c r="C327" s="92" t="s">
        <v>2386</v>
      </c>
      <c r="D327" s="448"/>
      <c r="E327" s="451">
        <v>3200921</v>
      </c>
      <c r="F327" s="409" t="s">
        <v>4407</v>
      </c>
      <c r="G327" s="588" t="s">
        <v>4502</v>
      </c>
      <c r="H327" s="398">
        <v>0.15</v>
      </c>
      <c r="I327" s="151"/>
      <c r="J327" s="95" t="s">
        <v>1166</v>
      </c>
      <c r="K327" s="191">
        <v>326759.09000000003</v>
      </c>
      <c r="L327" s="269">
        <v>0.39401057724007787</v>
      </c>
      <c r="M327" s="585">
        <v>1</v>
      </c>
      <c r="N327" s="267">
        <f t="shared" si="187"/>
        <v>0</v>
      </c>
      <c r="O327" s="96">
        <f t="shared" si="188"/>
        <v>307447.10934959858</v>
      </c>
      <c r="P327" s="96">
        <f t="shared" si="185"/>
        <v>19311.980650401383</v>
      </c>
      <c r="Q327" s="96">
        <f t="shared" si="189"/>
        <v>0</v>
      </c>
      <c r="R327" s="187" t="s">
        <v>2563</v>
      </c>
      <c r="S327" s="187" t="s">
        <v>3607</v>
      </c>
      <c r="T327" s="94" t="s">
        <v>5404</v>
      </c>
      <c r="U327" s="395">
        <f>COUNTIF(Aggregation_of_rev_to_allocate!$A$3:$A$137,$T327)</f>
        <v>0</v>
      </c>
      <c r="V327" s="100"/>
      <c r="W327" s="100">
        <v>359</v>
      </c>
      <c r="X327" s="109">
        <v>22736.683955505523</v>
      </c>
      <c r="Y327" s="109">
        <v>0</v>
      </c>
      <c r="Z327" s="110">
        <v>0.46388271260243585</v>
      </c>
      <c r="AA327" s="110">
        <v>1</v>
      </c>
      <c r="AB327" s="110">
        <v>0</v>
      </c>
      <c r="AC327" s="109">
        <f>IF(ISERROR((X327*SUMIF('Rev_for_allocation(Hard)'!$A$3:$A$249,$T327,'Rev_for_allocation(Hard)'!$I$3:$I$249)/SUMIF(Historic_capex_list!$T$9:$T$586,$T327,Historic_capex_list!$X$9:$X$586))=TRUE),0,X327*SUMIF('Rev_for_allocation(Hard)'!$A$3:$A$249,$T327,'Rev_for_allocation(Hard)'!$I$3:$I$249)/SUMIF(Historic_capex_list!$T$9:$T$586,$T327,Historic_capex_list!$X$9:$X$586))</f>
        <v>0</v>
      </c>
      <c r="AD327" s="109">
        <f t="shared" si="190"/>
        <v>22736.683955505523</v>
      </c>
      <c r="AE327" s="109">
        <f t="shared" si="191"/>
        <v>22736.683955505523</v>
      </c>
      <c r="AF327" s="109">
        <f t="shared" si="192"/>
        <v>22736.683955505523</v>
      </c>
      <c r="AG327" s="332" t="str">
        <f t="shared" si="193"/>
        <v>N</v>
      </c>
      <c r="AH327" s="332">
        <f t="shared" si="182"/>
        <v>0</v>
      </c>
      <c r="AI327" s="332">
        <f t="shared" si="183"/>
        <v>0</v>
      </c>
      <c r="AJ327" s="109">
        <f t="shared" si="184"/>
        <v>22736.683955505523</v>
      </c>
      <c r="AK327" s="109">
        <f t="shared" si="194"/>
        <v>0</v>
      </c>
      <c r="AL327" s="109">
        <v>0</v>
      </c>
      <c r="AM327" s="111">
        <f t="shared" si="195"/>
        <v>0</v>
      </c>
      <c r="AN327" s="111">
        <f t="shared" si="196"/>
        <v>0</v>
      </c>
      <c r="AO327" s="111" t="str">
        <f t="shared" si="197"/>
        <v>Use deduct 3yrs</v>
      </c>
      <c r="AP327" s="111">
        <f t="shared" si="198"/>
        <v>0</v>
      </c>
      <c r="AQ327" s="112">
        <f t="shared" si="199"/>
        <v>0</v>
      </c>
      <c r="AR327" s="112">
        <f t="shared" si="200"/>
        <v>1</v>
      </c>
      <c r="AS327" s="113">
        <f t="shared" si="201"/>
        <v>2028</v>
      </c>
      <c r="AT327" s="109">
        <v>19311.980650401383</v>
      </c>
      <c r="AU327" s="114">
        <v>1</v>
      </c>
      <c r="AV327" s="113">
        <v>2028</v>
      </c>
      <c r="AW327" s="112">
        <f t="shared" si="202"/>
        <v>0.39401057724007787</v>
      </c>
      <c r="AX327" s="109">
        <f t="shared" si="203"/>
        <v>19311.980650401383</v>
      </c>
      <c r="AY327" s="109">
        <f t="shared" si="204"/>
        <v>0</v>
      </c>
      <c r="AZ327" s="109">
        <f t="shared" si="205"/>
        <v>19311.980650401383</v>
      </c>
      <c r="BA327" s="111">
        <f t="shared" si="206"/>
        <v>0</v>
      </c>
      <c r="BB327" s="117"/>
      <c r="BC327" s="115" t="str">
        <f t="shared" si="207"/>
        <v>N</v>
      </c>
      <c r="BD327" s="115" t="str">
        <f t="shared" si="208"/>
        <v>Y</v>
      </c>
      <c r="BE327" s="115" t="str">
        <f t="shared" si="209"/>
        <v>N</v>
      </c>
      <c r="BF327" s="109" t="str">
        <f t="shared" si="210"/>
        <v/>
      </c>
      <c r="BG327" s="111" t="s">
        <v>2499</v>
      </c>
      <c r="BH327" s="115" t="s">
        <v>1168</v>
      </c>
      <c r="BI327" s="116"/>
      <c r="BJ327" s="222">
        <v>0.39401057724007787</v>
      </c>
      <c r="BK327" s="265">
        <f t="shared" si="211"/>
        <v>0</v>
      </c>
      <c r="BL327" s="265">
        <f t="shared" si="212"/>
        <v>0</v>
      </c>
      <c r="BM327" s="265">
        <f t="shared" si="213"/>
        <v>5.8207660913467407E-11</v>
      </c>
      <c r="BN327" s="265">
        <f t="shared" si="214"/>
        <v>3424.7033051041399</v>
      </c>
      <c r="BO327" s="109"/>
      <c r="BP327" s="265">
        <f t="shared" si="215"/>
        <v>3424.7033051041399</v>
      </c>
      <c r="BQ327" s="265">
        <v>3424.7033051041399</v>
      </c>
      <c r="BR327" s="265" t="e">
        <f t="shared" si="216"/>
        <v>#REF!</v>
      </c>
      <c r="BS327" s="265">
        <v>385.82445887553473</v>
      </c>
      <c r="BT327" s="475">
        <v>307447.10934959858</v>
      </c>
      <c r="BU327" s="475">
        <v>19311.980650401383</v>
      </c>
      <c r="BV327" s="475">
        <v>0</v>
      </c>
      <c r="BW327" s="483">
        <f t="shared" si="217"/>
        <v>0</v>
      </c>
      <c r="BX327" s="483">
        <f t="shared" si="218"/>
        <v>0</v>
      </c>
    </row>
    <row r="328" spans="1:76" s="103" customFormat="1" ht="43.5">
      <c r="A328" s="100" t="s">
        <v>2259</v>
      </c>
      <c r="B328" s="91" t="str">
        <f t="shared" si="186"/>
        <v>STW</v>
      </c>
      <c r="C328" s="92" t="s">
        <v>2386</v>
      </c>
      <c r="D328" s="448"/>
      <c r="E328" s="451">
        <v>3200924</v>
      </c>
      <c r="F328" s="409" t="s">
        <v>2279</v>
      </c>
      <c r="G328" s="588" t="s">
        <v>4502</v>
      </c>
      <c r="H328" s="398">
        <v>0.15</v>
      </c>
      <c r="I328" s="151"/>
      <c r="J328" s="95" t="s">
        <v>1166</v>
      </c>
      <c r="K328" s="191">
        <v>308734.45</v>
      </c>
      <c r="L328" s="269">
        <v>0.54946435080316136</v>
      </c>
      <c r="M328" s="585">
        <v>1</v>
      </c>
      <c r="N328" s="267">
        <f t="shared" si="187"/>
        <v>0</v>
      </c>
      <c r="O328" s="96">
        <f t="shared" si="188"/>
        <v>283288.66387902689</v>
      </c>
      <c r="P328" s="96">
        <f t="shared" si="185"/>
        <v>25445.78612097316</v>
      </c>
      <c r="Q328" s="96">
        <f t="shared" si="189"/>
        <v>0</v>
      </c>
      <c r="R328" s="187" t="s">
        <v>2311</v>
      </c>
      <c r="S328" s="187" t="s">
        <v>3607</v>
      </c>
      <c r="T328" s="94" t="s">
        <v>5405</v>
      </c>
      <c r="U328" s="395">
        <f>COUNTIF(Aggregation_of_rev_to_allocate!$A$3:$A$137,$T328)</f>
        <v>0</v>
      </c>
      <c r="V328" s="100"/>
      <c r="W328" s="100">
        <v>244</v>
      </c>
      <c r="X328" s="109">
        <v>21482.486120973164</v>
      </c>
      <c r="Y328" s="109">
        <v>0</v>
      </c>
      <c r="Z328" s="110">
        <v>0.46388271260243585</v>
      </c>
      <c r="AA328" s="110">
        <v>1</v>
      </c>
      <c r="AB328" s="110">
        <v>0</v>
      </c>
      <c r="AC328" s="109">
        <f>IF(ISERROR((X328*SUMIF('Rev_for_allocation(Hard)'!$A$3:$A$249,$T328,'Rev_for_allocation(Hard)'!$I$3:$I$249)/SUMIF(Historic_capex_list!$T$9:$T$586,$T328,Historic_capex_list!$X$9:$X$586))=TRUE),0,X328*SUMIF('Rev_for_allocation(Hard)'!$A$3:$A$249,$T328,'Rev_for_allocation(Hard)'!$I$3:$I$249)/SUMIF(Historic_capex_list!$T$9:$T$586,$T328,Historic_capex_list!$X$9:$X$586))</f>
        <v>0</v>
      </c>
      <c r="AD328" s="109">
        <f t="shared" si="190"/>
        <v>21482.486120973164</v>
      </c>
      <c r="AE328" s="109">
        <f t="shared" si="191"/>
        <v>21482.486120973164</v>
      </c>
      <c r="AF328" s="109">
        <f t="shared" si="192"/>
        <v>21482.486120973164</v>
      </c>
      <c r="AG328" s="332" t="str">
        <f t="shared" si="193"/>
        <v>N</v>
      </c>
      <c r="AH328" s="332">
        <f t="shared" si="182"/>
        <v>0</v>
      </c>
      <c r="AI328" s="332">
        <f t="shared" si="183"/>
        <v>0</v>
      </c>
      <c r="AJ328" s="109">
        <f t="shared" si="184"/>
        <v>21482.486120973164</v>
      </c>
      <c r="AK328" s="109">
        <f t="shared" si="194"/>
        <v>0</v>
      </c>
      <c r="AL328" s="109">
        <v>0</v>
      </c>
      <c r="AM328" s="111">
        <f t="shared" si="195"/>
        <v>0</v>
      </c>
      <c r="AN328" s="111">
        <f t="shared" si="196"/>
        <v>0</v>
      </c>
      <c r="AO328" s="111" t="str">
        <f t="shared" si="197"/>
        <v>Use deduct 3yrs</v>
      </c>
      <c r="AP328" s="111">
        <f t="shared" si="198"/>
        <v>0</v>
      </c>
      <c r="AQ328" s="112">
        <f t="shared" si="199"/>
        <v>0</v>
      </c>
      <c r="AR328" s="112">
        <f t="shared" si="200"/>
        <v>1</v>
      </c>
      <c r="AS328" s="113">
        <f t="shared" si="201"/>
        <v>2028</v>
      </c>
      <c r="AT328" s="109">
        <v>25445.786120973164</v>
      </c>
      <c r="AU328" s="114">
        <v>1</v>
      </c>
      <c r="AV328" s="113">
        <v>2028</v>
      </c>
      <c r="AW328" s="112">
        <f t="shared" si="202"/>
        <v>0.54946435080316136</v>
      </c>
      <c r="AX328" s="109">
        <f t="shared" si="203"/>
        <v>25445.78612097316</v>
      </c>
      <c r="AY328" s="109">
        <f t="shared" si="204"/>
        <v>0</v>
      </c>
      <c r="AZ328" s="109">
        <f t="shared" si="205"/>
        <v>25445.78612097316</v>
      </c>
      <c r="BA328" s="111">
        <f t="shared" si="206"/>
        <v>0</v>
      </c>
      <c r="BB328" s="117"/>
      <c r="BC328" s="115" t="str">
        <f t="shared" si="207"/>
        <v>N</v>
      </c>
      <c r="BD328" s="115" t="str">
        <f t="shared" si="208"/>
        <v>Y</v>
      </c>
      <c r="BE328" s="115" t="str">
        <f t="shared" si="209"/>
        <v>N</v>
      </c>
      <c r="BF328" s="109" t="str">
        <f t="shared" si="210"/>
        <v/>
      </c>
      <c r="BG328" s="111" t="s">
        <v>2499</v>
      </c>
      <c r="BH328" s="115" t="s">
        <v>1168</v>
      </c>
      <c r="BI328" s="116"/>
      <c r="BJ328" s="222">
        <v>0.54946435080316136</v>
      </c>
      <c r="BK328" s="265">
        <f t="shared" si="211"/>
        <v>0</v>
      </c>
      <c r="BL328" s="265">
        <f t="shared" si="212"/>
        <v>0</v>
      </c>
      <c r="BM328" s="265">
        <f t="shared" si="213"/>
        <v>-4.0017766878008842E-11</v>
      </c>
      <c r="BN328" s="265">
        <f t="shared" si="214"/>
        <v>-3963.2999999999956</v>
      </c>
      <c r="BO328" s="109"/>
      <c r="BP328" s="265">
        <f t="shared" si="215"/>
        <v>-3963.2999999999993</v>
      </c>
      <c r="BQ328" s="265">
        <v>-3963.2999999999993</v>
      </c>
      <c r="BR328" s="265" t="e">
        <f t="shared" si="216"/>
        <v>#REF!</v>
      </c>
      <c r="BS328" s="265">
        <v>-446.50235119123931</v>
      </c>
      <c r="BT328" s="475">
        <v>283288.66387902689</v>
      </c>
      <c r="BU328" s="475">
        <v>25445.78612097316</v>
      </c>
      <c r="BV328" s="475">
        <v>0</v>
      </c>
      <c r="BW328" s="483">
        <f t="shared" si="217"/>
        <v>0</v>
      </c>
      <c r="BX328" s="483">
        <f t="shared" si="218"/>
        <v>0</v>
      </c>
    </row>
    <row r="329" spans="1:76" s="103" customFormat="1" ht="43.5">
      <c r="A329" s="100" t="s">
        <v>2259</v>
      </c>
      <c r="B329" s="91" t="str">
        <f t="shared" si="186"/>
        <v>STW</v>
      </c>
      <c r="C329" s="92" t="s">
        <v>2386</v>
      </c>
      <c r="D329" s="448"/>
      <c r="E329" s="451">
        <v>3201229</v>
      </c>
      <c r="F329" s="409" t="s">
        <v>2280</v>
      </c>
      <c r="G329" s="588" t="s">
        <v>4502</v>
      </c>
      <c r="H329" s="398">
        <v>0.15</v>
      </c>
      <c r="I329" s="151"/>
      <c r="J329" s="95" t="s">
        <v>1166</v>
      </c>
      <c r="K329" s="191">
        <v>227872.23</v>
      </c>
      <c r="L329" s="269">
        <v>0.46388272082554727</v>
      </c>
      <c r="M329" s="585">
        <v>1</v>
      </c>
      <c r="N329" s="267">
        <f t="shared" si="187"/>
        <v>0</v>
      </c>
      <c r="O329" s="96">
        <f t="shared" si="188"/>
        <v>212016.33149205227</v>
      </c>
      <c r="P329" s="96">
        <f t="shared" si="185"/>
        <v>15855.898507947733</v>
      </c>
      <c r="Q329" s="96">
        <f t="shared" si="189"/>
        <v>0</v>
      </c>
      <c r="R329" s="187" t="s">
        <v>2324</v>
      </c>
      <c r="S329" s="187" t="s">
        <v>3607</v>
      </c>
      <c r="T329" s="94" t="s">
        <v>5400</v>
      </c>
      <c r="U329" s="395">
        <f>COUNTIF(Aggregation_of_rev_to_allocate!$A$3:$A$137,$T329)</f>
        <v>0</v>
      </c>
      <c r="V329" s="100"/>
      <c r="W329" s="100">
        <v>281</v>
      </c>
      <c r="X329" s="109">
        <v>15855.898226874926</v>
      </c>
      <c r="Y329" s="109">
        <v>0</v>
      </c>
      <c r="Z329" s="110">
        <v>0.46388271260243591</v>
      </c>
      <c r="AA329" s="110">
        <v>1</v>
      </c>
      <c r="AB329" s="110">
        <v>0</v>
      </c>
      <c r="AC329" s="109">
        <f>IF(ISERROR((X329*SUMIF('Rev_for_allocation(Hard)'!$A$3:$A$249,$T329,'Rev_for_allocation(Hard)'!$I$3:$I$249)/SUMIF(Historic_capex_list!$T$9:$T$586,$T329,Historic_capex_list!$X$9:$X$586))=TRUE),0,X329*SUMIF('Rev_for_allocation(Hard)'!$A$3:$A$249,$T329,'Rev_for_allocation(Hard)'!$I$3:$I$249)/SUMIF(Historic_capex_list!$T$9:$T$586,$T329,Historic_capex_list!$X$9:$X$586))</f>
        <v>0</v>
      </c>
      <c r="AD329" s="109">
        <f t="shared" si="190"/>
        <v>15855.898226874926</v>
      </c>
      <c r="AE329" s="109">
        <f t="shared" si="191"/>
        <v>15855.898226874926</v>
      </c>
      <c r="AF329" s="109">
        <f t="shared" si="192"/>
        <v>15855.898226874926</v>
      </c>
      <c r="AG329" s="332" t="str">
        <f t="shared" si="193"/>
        <v>N</v>
      </c>
      <c r="AH329" s="332">
        <f t="shared" ref="AH329:AH392" si="219">SUMIFS($AF$9:$AF$506,$T$9:$T$506,$T329,$AG$9:$AG$506,"Y")</f>
        <v>0</v>
      </c>
      <c r="AI329" s="332">
        <f t="shared" ref="AI329:AI392" si="220">IF(AND(AH329&lt;0,AG329="N"),AH329*AF329/SUMIFS($AE$9:$AE$506,$T$9:$T$506,$T329,$AG$9:$AG$506,"N"),0)</f>
        <v>0</v>
      </c>
      <c r="AJ329" s="109">
        <f t="shared" ref="AJ329:AJ392" si="221">IF(AND(AI329&lt;0,AF329&gt;0),AI329+AF329,IF(AND(AI329=0,AF329&lt;0,COUNTIFS($T$9:$T$506,$T329,$AF$9:$AF$506,"&gt;0")&gt;0),0,+AF329))</f>
        <v>15855.898226874926</v>
      </c>
      <c r="AK329" s="109">
        <f t="shared" si="194"/>
        <v>0</v>
      </c>
      <c r="AL329" s="109">
        <v>0</v>
      </c>
      <c r="AM329" s="111">
        <f t="shared" si="195"/>
        <v>0</v>
      </c>
      <c r="AN329" s="111">
        <f t="shared" si="196"/>
        <v>0</v>
      </c>
      <c r="AO329" s="111" t="str">
        <f t="shared" si="197"/>
        <v>Use deduct 3yrs</v>
      </c>
      <c r="AP329" s="111">
        <f t="shared" si="198"/>
        <v>0</v>
      </c>
      <c r="AQ329" s="112">
        <f t="shared" si="199"/>
        <v>0</v>
      </c>
      <c r="AR329" s="112">
        <f t="shared" si="200"/>
        <v>1</v>
      </c>
      <c r="AS329" s="113">
        <f t="shared" si="201"/>
        <v>2028</v>
      </c>
      <c r="AT329" s="109">
        <v>15855.898507947733</v>
      </c>
      <c r="AU329" s="114">
        <v>1</v>
      </c>
      <c r="AV329" s="113">
        <v>2028</v>
      </c>
      <c r="AW329" s="112">
        <f t="shared" si="202"/>
        <v>0.46388272082554727</v>
      </c>
      <c r="AX329" s="109">
        <f t="shared" si="203"/>
        <v>15855.898507947733</v>
      </c>
      <c r="AY329" s="109">
        <f t="shared" si="204"/>
        <v>0</v>
      </c>
      <c r="AZ329" s="109">
        <f t="shared" si="205"/>
        <v>15855.898507947733</v>
      </c>
      <c r="BA329" s="111">
        <f t="shared" si="206"/>
        <v>0</v>
      </c>
      <c r="BB329" s="117"/>
      <c r="BC329" s="115" t="str">
        <f t="shared" si="207"/>
        <v>N</v>
      </c>
      <c r="BD329" s="115" t="str">
        <f t="shared" si="208"/>
        <v>Y</v>
      </c>
      <c r="BE329" s="115" t="str">
        <f t="shared" si="209"/>
        <v>N</v>
      </c>
      <c r="BF329" s="109" t="str">
        <f t="shared" si="210"/>
        <v/>
      </c>
      <c r="BG329" s="111" t="s">
        <v>2499</v>
      </c>
      <c r="BH329" s="115" t="s">
        <v>1168</v>
      </c>
      <c r="BI329" s="116"/>
      <c r="BJ329" s="222">
        <v>0.46388272082554727</v>
      </c>
      <c r="BK329" s="265">
        <f t="shared" si="211"/>
        <v>0</v>
      </c>
      <c r="BL329" s="265">
        <f t="shared" si="212"/>
        <v>0</v>
      </c>
      <c r="BM329" s="265">
        <f t="shared" si="213"/>
        <v>9.0949470177292824E-12</v>
      </c>
      <c r="BN329" s="265">
        <f t="shared" si="214"/>
        <v>-2.8107280741096474E-4</v>
      </c>
      <c r="BO329" s="109"/>
      <c r="BP329" s="265">
        <f t="shared" si="215"/>
        <v>-2.8107280741096474E-4</v>
      </c>
      <c r="BQ329" s="265">
        <v>-2.8107280741096474E-4</v>
      </c>
      <c r="BR329" s="265" t="e">
        <f t="shared" si="216"/>
        <v>#REF!</v>
      </c>
      <c r="BS329" s="265">
        <v>-3.1665447825024136E-5</v>
      </c>
      <c r="BT329" s="475">
        <v>212016.33149205227</v>
      </c>
      <c r="BU329" s="475">
        <v>15855.898507947733</v>
      </c>
      <c r="BV329" s="475">
        <v>0</v>
      </c>
      <c r="BW329" s="483">
        <f t="shared" si="217"/>
        <v>0</v>
      </c>
      <c r="BX329" s="483">
        <f t="shared" si="218"/>
        <v>0</v>
      </c>
    </row>
    <row r="330" spans="1:76" s="103" customFormat="1" ht="43.5">
      <c r="A330" s="100" t="s">
        <v>2259</v>
      </c>
      <c r="B330" s="91" t="str">
        <f t="shared" si="186"/>
        <v>STW</v>
      </c>
      <c r="C330" s="92" t="s">
        <v>2386</v>
      </c>
      <c r="D330" s="448"/>
      <c r="E330" s="451">
        <v>3200926</v>
      </c>
      <c r="F330" s="409" t="s">
        <v>2281</v>
      </c>
      <c r="G330" s="588" t="s">
        <v>4502</v>
      </c>
      <c r="H330" s="398">
        <v>0.15</v>
      </c>
      <c r="I330" s="151"/>
      <c r="J330" s="95" t="s">
        <v>1166</v>
      </c>
      <c r="K330" s="191">
        <v>810105.4</v>
      </c>
      <c r="L330" s="269">
        <v>0.46388271155069316</v>
      </c>
      <c r="M330" s="585">
        <v>1</v>
      </c>
      <c r="N330" s="267">
        <f t="shared" si="187"/>
        <v>0</v>
      </c>
      <c r="O330" s="96">
        <f t="shared" si="188"/>
        <v>753736.31656092114</v>
      </c>
      <c r="P330" s="96">
        <f t="shared" si="185"/>
        <v>56369.083439078837</v>
      </c>
      <c r="Q330" s="96">
        <f t="shared" si="189"/>
        <v>0</v>
      </c>
      <c r="R330" s="187" t="s">
        <v>2312</v>
      </c>
      <c r="S330" s="187" t="s">
        <v>3607</v>
      </c>
      <c r="T330" s="94" t="s">
        <v>5406</v>
      </c>
      <c r="U330" s="395">
        <f>COUNTIF(Aggregation_of_rev_to_allocate!$A$3:$A$137,$T330)</f>
        <v>0</v>
      </c>
      <c r="V330" s="100"/>
      <c r="W330" s="100">
        <v>474</v>
      </c>
      <c r="X330" s="109">
        <v>56369.083566882204</v>
      </c>
      <c r="Y330" s="109">
        <v>0</v>
      </c>
      <c r="Z330" s="110">
        <v>0.46388271260243585</v>
      </c>
      <c r="AA330" s="110">
        <v>1</v>
      </c>
      <c r="AB330" s="110">
        <v>0</v>
      </c>
      <c r="AC330" s="109">
        <f>IF(ISERROR((X330*SUMIF('Rev_for_allocation(Hard)'!$A$3:$A$249,$T330,'Rev_for_allocation(Hard)'!$I$3:$I$249)/SUMIF(Historic_capex_list!$T$9:$T$586,$T330,Historic_capex_list!$X$9:$X$586))=TRUE),0,X330*SUMIF('Rev_for_allocation(Hard)'!$A$3:$A$249,$T330,'Rev_for_allocation(Hard)'!$I$3:$I$249)/SUMIF(Historic_capex_list!$T$9:$T$586,$T330,Historic_capex_list!$X$9:$X$586))</f>
        <v>0</v>
      </c>
      <c r="AD330" s="109">
        <f t="shared" si="190"/>
        <v>56369.083566882204</v>
      </c>
      <c r="AE330" s="109">
        <f t="shared" si="191"/>
        <v>56369.083566882204</v>
      </c>
      <c r="AF330" s="109">
        <f t="shared" si="192"/>
        <v>56369.083566882204</v>
      </c>
      <c r="AG330" s="332" t="str">
        <f t="shared" si="193"/>
        <v>N</v>
      </c>
      <c r="AH330" s="332">
        <f t="shared" si="219"/>
        <v>0</v>
      </c>
      <c r="AI330" s="332">
        <f t="shared" si="220"/>
        <v>0</v>
      </c>
      <c r="AJ330" s="109">
        <f t="shared" si="221"/>
        <v>56369.083566882204</v>
      </c>
      <c r="AK330" s="109">
        <f t="shared" si="194"/>
        <v>0</v>
      </c>
      <c r="AL330" s="109">
        <v>0</v>
      </c>
      <c r="AM330" s="111">
        <f t="shared" si="195"/>
        <v>0</v>
      </c>
      <c r="AN330" s="111">
        <f t="shared" si="196"/>
        <v>0</v>
      </c>
      <c r="AO330" s="111" t="str">
        <f t="shared" si="197"/>
        <v>Use deduct 3yrs</v>
      </c>
      <c r="AP330" s="111">
        <f t="shared" si="198"/>
        <v>0</v>
      </c>
      <c r="AQ330" s="112">
        <f t="shared" si="199"/>
        <v>0</v>
      </c>
      <c r="AR330" s="112">
        <f t="shared" si="200"/>
        <v>1</v>
      </c>
      <c r="AS330" s="113">
        <f t="shared" si="201"/>
        <v>2028</v>
      </c>
      <c r="AT330" s="109">
        <v>56369.083439078837</v>
      </c>
      <c r="AU330" s="114">
        <v>1</v>
      </c>
      <c r="AV330" s="113">
        <v>2028</v>
      </c>
      <c r="AW330" s="112">
        <f t="shared" si="202"/>
        <v>0.46388271155069316</v>
      </c>
      <c r="AX330" s="109">
        <f t="shared" si="203"/>
        <v>56369.083439078837</v>
      </c>
      <c r="AY330" s="109">
        <f t="shared" si="204"/>
        <v>0</v>
      </c>
      <c r="AZ330" s="109">
        <f t="shared" si="205"/>
        <v>56369.083439078837</v>
      </c>
      <c r="BA330" s="111">
        <f t="shared" si="206"/>
        <v>0</v>
      </c>
      <c r="BB330" s="117"/>
      <c r="BC330" s="115" t="str">
        <f t="shared" si="207"/>
        <v>N</v>
      </c>
      <c r="BD330" s="115" t="str">
        <f t="shared" si="208"/>
        <v>Y</v>
      </c>
      <c r="BE330" s="115" t="str">
        <f t="shared" si="209"/>
        <v>N</v>
      </c>
      <c r="BF330" s="109" t="str">
        <f t="shared" si="210"/>
        <v/>
      </c>
      <c r="BG330" s="111" t="s">
        <v>2499</v>
      </c>
      <c r="BH330" s="115" t="s">
        <v>1168</v>
      </c>
      <c r="BI330" s="116"/>
      <c r="BJ330" s="222">
        <v>0.46388271155069316</v>
      </c>
      <c r="BK330" s="265">
        <f t="shared" si="211"/>
        <v>0</v>
      </c>
      <c r="BL330" s="265">
        <f t="shared" si="212"/>
        <v>0</v>
      </c>
      <c r="BM330" s="265">
        <f t="shared" si="213"/>
        <v>4.3655745685100555E-11</v>
      </c>
      <c r="BN330" s="265">
        <f t="shared" si="214"/>
        <v>1.2780336692230776E-4</v>
      </c>
      <c r="BO330" s="109"/>
      <c r="BP330" s="265">
        <f t="shared" si="215"/>
        <v>1.2780336692230776E-4</v>
      </c>
      <c r="BQ330" s="265">
        <v>1.2780336692230776E-4</v>
      </c>
      <c r="BR330" s="265" t="e">
        <f t="shared" si="216"/>
        <v>#REF!</v>
      </c>
      <c r="BS330" s="265">
        <v>1.4398229712857236E-5</v>
      </c>
      <c r="BT330" s="475">
        <v>753736.31656092114</v>
      </c>
      <c r="BU330" s="475">
        <v>56369.083439078837</v>
      </c>
      <c r="BV330" s="475">
        <v>0</v>
      </c>
      <c r="BW330" s="483">
        <f t="shared" si="217"/>
        <v>0</v>
      </c>
      <c r="BX330" s="483">
        <f t="shared" si="218"/>
        <v>0</v>
      </c>
    </row>
    <row r="331" spans="1:76" s="103" customFormat="1" ht="43.5">
      <c r="A331" s="100" t="s">
        <v>2259</v>
      </c>
      <c r="B331" s="91" t="str">
        <f t="shared" si="186"/>
        <v>STW</v>
      </c>
      <c r="C331" s="92" t="s">
        <v>2386</v>
      </c>
      <c r="D331" s="448"/>
      <c r="E331" s="451">
        <v>3201237</v>
      </c>
      <c r="F331" s="409" t="s">
        <v>2282</v>
      </c>
      <c r="G331" s="588" t="s">
        <v>4502</v>
      </c>
      <c r="H331" s="398">
        <v>0.15</v>
      </c>
      <c r="I331" s="151"/>
      <c r="J331" s="95" t="s">
        <v>1166</v>
      </c>
      <c r="K331" s="191">
        <v>250474.47</v>
      </c>
      <c r="L331" s="269">
        <v>9.2644981186135907E-3</v>
      </c>
      <c r="M331" s="585">
        <v>1</v>
      </c>
      <c r="N331" s="267">
        <f t="shared" si="187"/>
        <v>0</v>
      </c>
      <c r="O331" s="96">
        <f t="shared" si="188"/>
        <v>250126.39196158864</v>
      </c>
      <c r="P331" s="96">
        <f t="shared" si="185"/>
        <v>348.07803841136041</v>
      </c>
      <c r="Q331" s="96">
        <f t="shared" si="189"/>
        <v>0</v>
      </c>
      <c r="R331" s="187" t="s">
        <v>2392</v>
      </c>
      <c r="S331" s="187" t="s">
        <v>3607</v>
      </c>
      <c r="T331" s="94" t="s">
        <v>5396</v>
      </c>
      <c r="U331" s="395">
        <f>COUNTIF(Aggregation_of_rev_to_allocate!$A$3:$A$137,$T331)</f>
        <v>0</v>
      </c>
      <c r="V331" s="100"/>
      <c r="W331" s="100">
        <v>286</v>
      </c>
      <c r="X331" s="109">
        <v>17428.616487188618</v>
      </c>
      <c r="Y331" s="109">
        <v>0</v>
      </c>
      <c r="Z331" s="110">
        <v>0.46388271260243591</v>
      </c>
      <c r="AA331" s="110">
        <v>1</v>
      </c>
      <c r="AB331" s="110">
        <v>0</v>
      </c>
      <c r="AC331" s="109">
        <f>IF(ISERROR((X331*SUMIF('Rev_for_allocation(Hard)'!$A$3:$A$249,$T331,'Rev_for_allocation(Hard)'!$I$3:$I$249)/SUMIF(Historic_capex_list!$T$9:$T$586,$T331,Historic_capex_list!$X$9:$X$586))=TRUE),0,X331*SUMIF('Rev_for_allocation(Hard)'!$A$3:$A$249,$T331,'Rev_for_allocation(Hard)'!$I$3:$I$249)/SUMIF(Historic_capex_list!$T$9:$T$586,$T331,Historic_capex_list!$X$9:$X$586))</f>
        <v>0</v>
      </c>
      <c r="AD331" s="109">
        <f t="shared" si="190"/>
        <v>17428.616487188618</v>
      </c>
      <c r="AE331" s="109">
        <f t="shared" si="191"/>
        <v>17428.616487188618</v>
      </c>
      <c r="AF331" s="109">
        <f t="shared" si="192"/>
        <v>17428.616487188618</v>
      </c>
      <c r="AG331" s="332" t="str">
        <f t="shared" si="193"/>
        <v>N</v>
      </c>
      <c r="AH331" s="332">
        <f t="shared" si="219"/>
        <v>0</v>
      </c>
      <c r="AI331" s="332">
        <f t="shared" si="220"/>
        <v>0</v>
      </c>
      <c r="AJ331" s="109">
        <f t="shared" si="221"/>
        <v>17428.616487188618</v>
      </c>
      <c r="AK331" s="109">
        <f t="shared" si="194"/>
        <v>0</v>
      </c>
      <c r="AL331" s="109">
        <v>0</v>
      </c>
      <c r="AM331" s="111">
        <f t="shared" si="195"/>
        <v>0</v>
      </c>
      <c r="AN331" s="111">
        <f t="shared" si="196"/>
        <v>0</v>
      </c>
      <c r="AO331" s="111" t="str">
        <f t="shared" si="197"/>
        <v>Use deduct 3yrs</v>
      </c>
      <c r="AP331" s="111">
        <f t="shared" si="198"/>
        <v>0</v>
      </c>
      <c r="AQ331" s="112">
        <f t="shared" si="199"/>
        <v>0</v>
      </c>
      <c r="AR331" s="112">
        <f t="shared" si="200"/>
        <v>1</v>
      </c>
      <c r="AS331" s="113">
        <f t="shared" si="201"/>
        <v>2028</v>
      </c>
      <c r="AT331" s="109">
        <v>348.07803841136047</v>
      </c>
      <c r="AU331" s="114">
        <v>1</v>
      </c>
      <c r="AV331" s="113">
        <v>2028</v>
      </c>
      <c r="AW331" s="112">
        <f t="shared" si="202"/>
        <v>9.2644981186135907E-3</v>
      </c>
      <c r="AX331" s="109">
        <f t="shared" si="203"/>
        <v>348.07803841136041</v>
      </c>
      <c r="AY331" s="109">
        <f t="shared" si="204"/>
        <v>0</v>
      </c>
      <c r="AZ331" s="109">
        <f t="shared" si="205"/>
        <v>348.07803841136041</v>
      </c>
      <c r="BA331" s="111">
        <f t="shared" si="206"/>
        <v>0</v>
      </c>
      <c r="BB331" s="117"/>
      <c r="BC331" s="115" t="str">
        <f t="shared" si="207"/>
        <v>Y</v>
      </c>
      <c r="BD331" s="115" t="str">
        <f t="shared" si="208"/>
        <v>Y</v>
      </c>
      <c r="BE331" s="115" t="str">
        <f t="shared" si="209"/>
        <v>Y</v>
      </c>
      <c r="BF331" s="109">
        <f t="shared" si="210"/>
        <v>348.07803841136041</v>
      </c>
      <c r="BG331" s="111" t="s">
        <v>2499</v>
      </c>
      <c r="BH331" s="115" t="s">
        <v>1168</v>
      </c>
      <c r="BI331" s="116"/>
      <c r="BJ331" s="222">
        <v>9.2644981186135907E-3</v>
      </c>
      <c r="BK331" s="265">
        <f t="shared" si="211"/>
        <v>0</v>
      </c>
      <c r="BL331" s="265">
        <f t="shared" si="212"/>
        <v>0</v>
      </c>
      <c r="BM331" s="265">
        <f t="shared" si="213"/>
        <v>5.6843418860808015E-14</v>
      </c>
      <c r="BN331" s="265">
        <f t="shared" si="214"/>
        <v>17080.538448777257</v>
      </c>
      <c r="BO331" s="109"/>
      <c r="BP331" s="265">
        <f t="shared" si="215"/>
        <v>17080.538448777257</v>
      </c>
      <c r="BQ331" s="265">
        <v>17080.538448777257</v>
      </c>
      <c r="BR331" s="265" t="e">
        <f t="shared" si="216"/>
        <v>#REF!</v>
      </c>
      <c r="BS331" s="265">
        <v>1924.2804170745112</v>
      </c>
      <c r="BT331" s="475">
        <v>250126.39196158864</v>
      </c>
      <c r="BU331" s="475">
        <v>348.07803841136041</v>
      </c>
      <c r="BV331" s="475">
        <v>0</v>
      </c>
      <c r="BW331" s="483">
        <f t="shared" si="217"/>
        <v>0</v>
      </c>
      <c r="BX331" s="483">
        <f t="shared" si="218"/>
        <v>0</v>
      </c>
    </row>
    <row r="332" spans="1:76" s="103" customFormat="1" ht="29">
      <c r="A332" s="100" t="s">
        <v>2259</v>
      </c>
      <c r="B332" s="91" t="str">
        <f t="shared" si="186"/>
        <v>STW</v>
      </c>
      <c r="C332" s="92" t="s">
        <v>466</v>
      </c>
      <c r="D332" s="448"/>
      <c r="E332" s="455" t="s">
        <v>2231</v>
      </c>
      <c r="F332" s="623" t="s">
        <v>4479</v>
      </c>
      <c r="G332" s="620" t="s">
        <v>4708</v>
      </c>
      <c r="H332" s="398">
        <v>0.46</v>
      </c>
      <c r="I332" s="408" t="s">
        <v>890</v>
      </c>
      <c r="J332" s="95" t="s">
        <v>1166</v>
      </c>
      <c r="K332" s="191">
        <v>9675175</v>
      </c>
      <c r="L332" s="270">
        <v>0.34335804909985868</v>
      </c>
      <c r="M332" s="584">
        <v>1</v>
      </c>
      <c r="N332" s="267">
        <f t="shared" si="187"/>
        <v>0</v>
      </c>
      <c r="O332" s="96">
        <f t="shared" si="188"/>
        <v>8147032.3621581262</v>
      </c>
      <c r="P332" s="96">
        <f t="shared" si="185"/>
        <v>1528142.6378418738</v>
      </c>
      <c r="Q332" s="96">
        <f t="shared" si="189"/>
        <v>0</v>
      </c>
      <c r="R332" s="187" t="s">
        <v>2324</v>
      </c>
      <c r="S332" s="187" t="s">
        <v>3607</v>
      </c>
      <c r="T332" s="94" t="s">
        <v>5400</v>
      </c>
      <c r="U332" s="395">
        <f>COUNTIF(Aggregation_of_rev_to_allocate!$A$3:$A$137,$T332)</f>
        <v>0</v>
      </c>
      <c r="V332" s="100"/>
      <c r="W332" s="100">
        <v>282</v>
      </c>
      <c r="X332" s="109">
        <v>1528142.6107529425</v>
      </c>
      <c r="Y332" s="109">
        <v>0</v>
      </c>
      <c r="Z332" s="110">
        <v>0.34335804301325246</v>
      </c>
      <c r="AA332" s="110">
        <v>1</v>
      </c>
      <c r="AB332" s="110">
        <v>0</v>
      </c>
      <c r="AC332" s="109">
        <f>IF(ISERROR((X332*SUMIF('Rev_for_allocation(Hard)'!$A$3:$A$249,$T332,'Rev_for_allocation(Hard)'!$I$3:$I$249)/SUMIF(Historic_capex_list!$T$9:$T$586,$T332,Historic_capex_list!$X$9:$X$586))=TRUE),0,X332*SUMIF('Rev_for_allocation(Hard)'!$A$3:$A$249,$T332,'Rev_for_allocation(Hard)'!$I$3:$I$249)/SUMIF(Historic_capex_list!$T$9:$T$586,$T332,Historic_capex_list!$X$9:$X$586))</f>
        <v>0</v>
      </c>
      <c r="AD332" s="109">
        <f t="shared" si="190"/>
        <v>1528142.6107529425</v>
      </c>
      <c r="AE332" s="109">
        <f t="shared" si="191"/>
        <v>1528142.6107529425</v>
      </c>
      <c r="AF332" s="109">
        <f t="shared" si="192"/>
        <v>1528142.6107529425</v>
      </c>
      <c r="AG332" s="332" t="str">
        <f t="shared" si="193"/>
        <v>N</v>
      </c>
      <c r="AH332" s="332">
        <f t="shared" si="219"/>
        <v>0</v>
      </c>
      <c r="AI332" s="332">
        <f t="shared" si="220"/>
        <v>0</v>
      </c>
      <c r="AJ332" s="109">
        <f t="shared" si="221"/>
        <v>1528142.6107529425</v>
      </c>
      <c r="AK332" s="109">
        <f t="shared" si="194"/>
        <v>0</v>
      </c>
      <c r="AL332" s="109">
        <v>0</v>
      </c>
      <c r="AM332" s="111">
        <f t="shared" si="195"/>
        <v>0</v>
      </c>
      <c r="AN332" s="111">
        <f t="shared" si="196"/>
        <v>0</v>
      </c>
      <c r="AO332" s="111" t="str">
        <f t="shared" si="197"/>
        <v>Use deduct 3yrs</v>
      </c>
      <c r="AP332" s="111">
        <f t="shared" si="198"/>
        <v>0</v>
      </c>
      <c r="AQ332" s="112">
        <f t="shared" si="199"/>
        <v>0</v>
      </c>
      <c r="AR332" s="112">
        <f t="shared" si="200"/>
        <v>1</v>
      </c>
      <c r="AS332" s="113">
        <f t="shared" si="201"/>
        <v>2028</v>
      </c>
      <c r="AT332" s="109">
        <v>1528142.6378418736</v>
      </c>
      <c r="AU332" s="114">
        <v>1</v>
      </c>
      <c r="AV332" s="113">
        <v>2028</v>
      </c>
      <c r="AW332" s="112">
        <f t="shared" si="202"/>
        <v>0.34335804909985868</v>
      </c>
      <c r="AX332" s="109">
        <f t="shared" si="203"/>
        <v>1528142.6378418738</v>
      </c>
      <c r="AY332" s="109">
        <f t="shared" si="204"/>
        <v>0</v>
      </c>
      <c r="AZ332" s="109">
        <f t="shared" si="205"/>
        <v>1528142.6378418738</v>
      </c>
      <c r="BA332" s="111">
        <f t="shared" si="206"/>
        <v>0</v>
      </c>
      <c r="BB332" s="117"/>
      <c r="BC332" s="115" t="str">
        <f t="shared" si="207"/>
        <v>N</v>
      </c>
      <c r="BD332" s="115" t="str">
        <f t="shared" si="208"/>
        <v>Y</v>
      </c>
      <c r="BE332" s="115" t="str">
        <f t="shared" si="209"/>
        <v>N</v>
      </c>
      <c r="BF332" s="109" t="str">
        <f t="shared" si="210"/>
        <v/>
      </c>
      <c r="BG332" s="111" t="s">
        <v>2499</v>
      </c>
      <c r="BH332" s="115" t="s">
        <v>1168</v>
      </c>
      <c r="BI332" s="116"/>
      <c r="BJ332" s="222">
        <v>0.34335804909985868</v>
      </c>
      <c r="BK332" s="265">
        <f t="shared" si="211"/>
        <v>0</v>
      </c>
      <c r="BL332" s="265">
        <f t="shared" si="212"/>
        <v>0</v>
      </c>
      <c r="BM332" s="265">
        <f t="shared" si="213"/>
        <v>0</v>
      </c>
      <c r="BN332" s="265">
        <f t="shared" si="214"/>
        <v>-2.7088931296020746E-2</v>
      </c>
      <c r="BO332" s="109"/>
      <c r="BP332" s="265">
        <f t="shared" si="215"/>
        <v>-2.7088931063190103E-2</v>
      </c>
      <c r="BQ332" s="265">
        <v>-2.7088931063190103E-2</v>
      </c>
      <c r="BR332" s="265" t="e">
        <f t="shared" si="216"/>
        <v>#REF!</v>
      </c>
      <c r="BS332" s="265">
        <v>-3.0518182855125225E-3</v>
      </c>
      <c r="BT332" s="475">
        <v>8147032.3621581262</v>
      </c>
      <c r="BU332" s="475">
        <v>1528142.6378418738</v>
      </c>
      <c r="BV332" s="475">
        <v>0</v>
      </c>
      <c r="BW332" s="483">
        <f t="shared" si="217"/>
        <v>0</v>
      </c>
      <c r="BX332" s="483">
        <f t="shared" si="218"/>
        <v>0</v>
      </c>
    </row>
    <row r="333" spans="1:76" s="103" customFormat="1" ht="29">
      <c r="A333" s="100" t="s">
        <v>2259</v>
      </c>
      <c r="B333" s="91" t="str">
        <f t="shared" si="186"/>
        <v>STW</v>
      </c>
      <c r="C333" s="92" t="s">
        <v>466</v>
      </c>
      <c r="D333" s="448"/>
      <c r="E333" s="455" t="s">
        <v>2231</v>
      </c>
      <c r="F333" s="623" t="s">
        <v>4479</v>
      </c>
      <c r="G333" s="620" t="s">
        <v>4708</v>
      </c>
      <c r="H333" s="398">
        <v>0.46</v>
      </c>
      <c r="I333" s="408" t="s">
        <v>890</v>
      </c>
      <c r="J333" s="95" t="s">
        <v>1166</v>
      </c>
      <c r="K333" s="191">
        <v>9675175</v>
      </c>
      <c r="L333" s="270">
        <v>0.32293006969944771</v>
      </c>
      <c r="M333" s="584">
        <v>1</v>
      </c>
      <c r="N333" s="267">
        <f t="shared" si="187"/>
        <v>0</v>
      </c>
      <c r="O333" s="96">
        <f t="shared" si="188"/>
        <v>8237948.728931997</v>
      </c>
      <c r="P333" s="96">
        <f t="shared" si="185"/>
        <v>1437226.271068003</v>
      </c>
      <c r="Q333" s="96">
        <f t="shared" si="189"/>
        <v>0</v>
      </c>
      <c r="R333" s="187" t="s">
        <v>2562</v>
      </c>
      <c r="S333" s="187" t="s">
        <v>3607</v>
      </c>
      <c r="T333" s="94" t="s">
        <v>5401</v>
      </c>
      <c r="U333" s="395">
        <f>COUNTIF(Aggregation_of_rev_to_allocate!$A$3:$A$137,$T333)</f>
        <v>0</v>
      </c>
      <c r="V333" s="100"/>
      <c r="W333" s="100">
        <v>283</v>
      </c>
      <c r="X333" s="109">
        <v>1528142.6107529425</v>
      </c>
      <c r="Y333" s="109">
        <v>0</v>
      </c>
      <c r="Z333" s="110">
        <v>0.34335804301325246</v>
      </c>
      <c r="AA333" s="110">
        <v>1</v>
      </c>
      <c r="AB333" s="110">
        <v>0</v>
      </c>
      <c r="AC333" s="109">
        <f>IF(ISERROR((X333*SUMIF('Rev_for_allocation(Hard)'!$A$3:$A$249,$T333,'Rev_for_allocation(Hard)'!$I$3:$I$249)/SUMIF(Historic_capex_list!$T$9:$T$586,$T333,Historic_capex_list!$X$9:$X$586))=TRUE),0,X333*SUMIF('Rev_for_allocation(Hard)'!$A$3:$A$249,$T333,'Rev_for_allocation(Hard)'!$I$3:$I$249)/SUMIF(Historic_capex_list!$T$9:$T$586,$T333,Historic_capex_list!$X$9:$X$586))</f>
        <v>0</v>
      </c>
      <c r="AD333" s="109">
        <f t="shared" si="190"/>
        <v>1528142.6107529425</v>
      </c>
      <c r="AE333" s="109">
        <f t="shared" si="191"/>
        <v>1528142.6107529425</v>
      </c>
      <c r="AF333" s="109">
        <f t="shared" si="192"/>
        <v>1528142.6107529425</v>
      </c>
      <c r="AG333" s="332" t="str">
        <f t="shared" si="193"/>
        <v>N</v>
      </c>
      <c r="AH333" s="332">
        <f t="shared" si="219"/>
        <v>0</v>
      </c>
      <c r="AI333" s="332">
        <f t="shared" si="220"/>
        <v>0</v>
      </c>
      <c r="AJ333" s="109">
        <f t="shared" si="221"/>
        <v>1528142.6107529425</v>
      </c>
      <c r="AK333" s="109">
        <f t="shared" si="194"/>
        <v>0</v>
      </c>
      <c r="AL333" s="109">
        <v>0</v>
      </c>
      <c r="AM333" s="111">
        <f t="shared" si="195"/>
        <v>0</v>
      </c>
      <c r="AN333" s="111">
        <f t="shared" si="196"/>
        <v>0</v>
      </c>
      <c r="AO333" s="111" t="str">
        <f t="shared" si="197"/>
        <v>Use deduct 3yrs</v>
      </c>
      <c r="AP333" s="111">
        <f t="shared" si="198"/>
        <v>0</v>
      </c>
      <c r="AQ333" s="112">
        <f t="shared" si="199"/>
        <v>0</v>
      </c>
      <c r="AR333" s="112">
        <f t="shared" si="200"/>
        <v>1</v>
      </c>
      <c r="AS333" s="113">
        <f t="shared" si="201"/>
        <v>2028</v>
      </c>
      <c r="AT333" s="109">
        <v>1437226.2710680028</v>
      </c>
      <c r="AU333" s="114">
        <v>1</v>
      </c>
      <c r="AV333" s="113">
        <v>2028</v>
      </c>
      <c r="AW333" s="112">
        <f t="shared" si="202"/>
        <v>0.32293006969944771</v>
      </c>
      <c r="AX333" s="109">
        <f t="shared" si="203"/>
        <v>1437226.271068003</v>
      </c>
      <c r="AY333" s="109">
        <f t="shared" si="204"/>
        <v>0</v>
      </c>
      <c r="AZ333" s="109">
        <f t="shared" si="205"/>
        <v>1437226.271068003</v>
      </c>
      <c r="BA333" s="111">
        <f t="shared" si="206"/>
        <v>0</v>
      </c>
      <c r="BB333" s="117"/>
      <c r="BC333" s="115" t="str">
        <f t="shared" si="207"/>
        <v>N</v>
      </c>
      <c r="BD333" s="115" t="str">
        <f t="shared" si="208"/>
        <v>Y</v>
      </c>
      <c r="BE333" s="115" t="str">
        <f t="shared" si="209"/>
        <v>N</v>
      </c>
      <c r="BF333" s="109" t="str">
        <f t="shared" si="210"/>
        <v/>
      </c>
      <c r="BG333" s="111" t="s">
        <v>2499</v>
      </c>
      <c r="BH333" s="115" t="s">
        <v>1168</v>
      </c>
      <c r="BI333" s="116"/>
      <c r="BJ333" s="222">
        <v>0.32293006969944771</v>
      </c>
      <c r="BK333" s="265">
        <f t="shared" si="211"/>
        <v>0</v>
      </c>
      <c r="BL333" s="265">
        <f t="shared" si="212"/>
        <v>0</v>
      </c>
      <c r="BM333" s="265">
        <f t="shared" si="213"/>
        <v>0</v>
      </c>
      <c r="BN333" s="265">
        <f t="shared" si="214"/>
        <v>90916.339684939478</v>
      </c>
      <c r="BO333" s="109"/>
      <c r="BP333" s="265">
        <f t="shared" si="215"/>
        <v>90916.33968493971</v>
      </c>
      <c r="BQ333" s="265">
        <v>90916.33968493971</v>
      </c>
      <c r="BR333" s="265" t="e">
        <f t="shared" si="216"/>
        <v>#REF!</v>
      </c>
      <c r="BS333" s="265">
        <v>10242.565395258236</v>
      </c>
      <c r="BT333" s="475">
        <v>8237948.728931997</v>
      </c>
      <c r="BU333" s="475">
        <v>1437226.271068003</v>
      </c>
      <c r="BV333" s="475">
        <v>0</v>
      </c>
      <c r="BW333" s="483">
        <f t="shared" si="217"/>
        <v>0</v>
      </c>
      <c r="BX333" s="483">
        <f t="shared" si="218"/>
        <v>0</v>
      </c>
    </row>
    <row r="334" spans="1:76" s="103" customFormat="1" ht="43.5">
      <c r="A334" s="100" t="s">
        <v>2259</v>
      </c>
      <c r="B334" s="91" t="str">
        <f t="shared" si="186"/>
        <v>STW</v>
      </c>
      <c r="C334" s="92" t="s">
        <v>2308</v>
      </c>
      <c r="D334" s="448"/>
      <c r="E334" s="451">
        <v>3201344</v>
      </c>
      <c r="F334" s="409" t="s">
        <v>4665</v>
      </c>
      <c r="G334" s="587" t="s">
        <v>5206</v>
      </c>
      <c r="H334" s="398">
        <v>0.1</v>
      </c>
      <c r="I334" s="151"/>
      <c r="J334" s="95" t="s">
        <v>1166</v>
      </c>
      <c r="K334" s="191">
        <v>1701706.56</v>
      </c>
      <c r="L334" s="269">
        <v>0.43628416389620339</v>
      </c>
      <c r="M334" s="585">
        <v>1</v>
      </c>
      <c r="N334" s="267">
        <f t="shared" si="187"/>
        <v>0</v>
      </c>
      <c r="O334" s="96">
        <f t="shared" si="188"/>
        <v>1627463.7976273717</v>
      </c>
      <c r="P334" s="96">
        <f t="shared" si="185"/>
        <v>74242.762372628451</v>
      </c>
      <c r="Q334" s="96">
        <f t="shared" si="189"/>
        <v>0</v>
      </c>
      <c r="R334" s="187" t="s">
        <v>2562</v>
      </c>
      <c r="S334" s="187" t="s">
        <v>3607</v>
      </c>
      <c r="T334" s="94" t="s">
        <v>5401</v>
      </c>
      <c r="U334" s="395">
        <f>COUNTIF(Aggregation_of_rev_to_allocate!$A$3:$A$137,$T334)</f>
        <v>0</v>
      </c>
      <c r="V334" s="100"/>
      <c r="W334" s="100">
        <v>301</v>
      </c>
      <c r="X334" s="109">
        <v>78939.225510615986</v>
      </c>
      <c r="Y334" s="109">
        <v>0</v>
      </c>
      <c r="Z334" s="110">
        <v>0.46388271260243585</v>
      </c>
      <c r="AA334" s="110">
        <v>1</v>
      </c>
      <c r="AB334" s="110">
        <v>0</v>
      </c>
      <c r="AC334" s="109">
        <f>IF(ISERROR((X334*SUMIF('Rev_for_allocation(Hard)'!$A$3:$A$249,$T334,'Rev_for_allocation(Hard)'!$I$3:$I$249)/SUMIF(Historic_capex_list!$T$9:$T$586,$T334,Historic_capex_list!$X$9:$X$586))=TRUE),0,X334*SUMIF('Rev_for_allocation(Hard)'!$A$3:$A$249,$T334,'Rev_for_allocation(Hard)'!$I$3:$I$249)/SUMIF(Historic_capex_list!$T$9:$T$586,$T334,Historic_capex_list!$X$9:$X$586))</f>
        <v>0</v>
      </c>
      <c r="AD334" s="109">
        <f t="shared" si="190"/>
        <v>78939.225510615986</v>
      </c>
      <c r="AE334" s="109">
        <f t="shared" si="191"/>
        <v>78939.225510615986</v>
      </c>
      <c r="AF334" s="109">
        <f t="shared" si="192"/>
        <v>78939.225510615986</v>
      </c>
      <c r="AG334" s="332" t="str">
        <f t="shared" si="193"/>
        <v>N</v>
      </c>
      <c r="AH334" s="332">
        <f t="shared" si="219"/>
        <v>0</v>
      </c>
      <c r="AI334" s="332">
        <f t="shared" si="220"/>
        <v>0</v>
      </c>
      <c r="AJ334" s="109">
        <f t="shared" si="221"/>
        <v>78939.225510615986</v>
      </c>
      <c r="AK334" s="109">
        <f t="shared" si="194"/>
        <v>0</v>
      </c>
      <c r="AL334" s="109">
        <v>0</v>
      </c>
      <c r="AM334" s="111">
        <f t="shared" si="195"/>
        <v>0</v>
      </c>
      <c r="AN334" s="111">
        <f t="shared" si="196"/>
        <v>0</v>
      </c>
      <c r="AO334" s="111" t="str">
        <f t="shared" si="197"/>
        <v>Use deduct 3yrs</v>
      </c>
      <c r="AP334" s="111">
        <f t="shared" si="198"/>
        <v>0</v>
      </c>
      <c r="AQ334" s="112">
        <f t="shared" si="199"/>
        <v>0</v>
      </c>
      <c r="AR334" s="112">
        <f t="shared" si="200"/>
        <v>1</v>
      </c>
      <c r="AS334" s="113">
        <f t="shared" si="201"/>
        <v>2028</v>
      </c>
      <c r="AT334" s="109">
        <v>74242.762372628451</v>
      </c>
      <c r="AU334" s="114">
        <v>1</v>
      </c>
      <c r="AV334" s="113">
        <v>2028</v>
      </c>
      <c r="AW334" s="112">
        <f t="shared" si="202"/>
        <v>0.43628416389620339</v>
      </c>
      <c r="AX334" s="109">
        <f t="shared" si="203"/>
        <v>74242.762372628451</v>
      </c>
      <c r="AY334" s="109">
        <f t="shared" si="204"/>
        <v>0</v>
      </c>
      <c r="AZ334" s="109">
        <f t="shared" si="205"/>
        <v>74242.762372628451</v>
      </c>
      <c r="BA334" s="111">
        <f t="shared" si="206"/>
        <v>0</v>
      </c>
      <c r="BB334" s="117"/>
      <c r="BC334" s="115" t="str">
        <f t="shared" si="207"/>
        <v>N</v>
      </c>
      <c r="BD334" s="115" t="str">
        <f t="shared" si="208"/>
        <v>Y</v>
      </c>
      <c r="BE334" s="115" t="str">
        <f t="shared" si="209"/>
        <v>N</v>
      </c>
      <c r="BF334" s="109" t="str">
        <f t="shared" si="210"/>
        <v/>
      </c>
      <c r="BG334" s="111" t="s">
        <v>2499</v>
      </c>
      <c r="BH334" s="115" t="s">
        <v>1168</v>
      </c>
      <c r="BI334" s="116"/>
      <c r="BJ334" s="222">
        <v>0.43628416389620339</v>
      </c>
      <c r="BK334" s="265">
        <f t="shared" si="211"/>
        <v>0</v>
      </c>
      <c r="BL334" s="265">
        <f t="shared" si="212"/>
        <v>0</v>
      </c>
      <c r="BM334" s="265">
        <f t="shared" si="213"/>
        <v>-1.3096723705530167E-10</v>
      </c>
      <c r="BN334" s="265">
        <f t="shared" si="214"/>
        <v>4696.4631379875354</v>
      </c>
      <c r="BO334" s="109"/>
      <c r="BP334" s="265">
        <f t="shared" si="215"/>
        <v>4696.4631379875354</v>
      </c>
      <c r="BQ334" s="265">
        <v>4696.4631379875354</v>
      </c>
      <c r="BR334" s="265" t="e">
        <f t="shared" si="216"/>
        <v>#REF!</v>
      </c>
      <c r="BS334" s="265">
        <v>529.09995039346518</v>
      </c>
      <c r="BT334" s="475">
        <v>1627463.7976273717</v>
      </c>
      <c r="BU334" s="475">
        <v>74242.762372628451</v>
      </c>
      <c r="BV334" s="475">
        <v>0</v>
      </c>
      <c r="BW334" s="483">
        <f t="shared" si="217"/>
        <v>0</v>
      </c>
      <c r="BX334" s="483">
        <f t="shared" si="218"/>
        <v>0</v>
      </c>
    </row>
    <row r="335" spans="1:76" s="103" customFormat="1" ht="72.5">
      <c r="A335" s="100" t="s">
        <v>2259</v>
      </c>
      <c r="B335" s="91" t="str">
        <f t="shared" si="186"/>
        <v>STW</v>
      </c>
      <c r="C335" s="92" t="s">
        <v>2330</v>
      </c>
      <c r="D335" s="448"/>
      <c r="E335" s="451">
        <v>3201345</v>
      </c>
      <c r="F335" s="409" t="s">
        <v>4666</v>
      </c>
      <c r="G335" s="587" t="s">
        <v>5207</v>
      </c>
      <c r="H335" s="398">
        <v>0.1</v>
      </c>
      <c r="I335" s="151"/>
      <c r="J335" s="95" t="s">
        <v>1166</v>
      </c>
      <c r="K335" s="191">
        <v>1495372.43</v>
      </c>
      <c r="L335" s="269">
        <v>0.43628416389620334</v>
      </c>
      <c r="M335" s="585">
        <v>1</v>
      </c>
      <c r="N335" s="267">
        <f t="shared" si="187"/>
        <v>0</v>
      </c>
      <c r="O335" s="96">
        <f t="shared" si="188"/>
        <v>1430131.6989664016</v>
      </c>
      <c r="P335" s="96">
        <f t="shared" ref="P335:P397" si="222">(+K335*L335*M335*H335)</f>
        <v>65240.731033598393</v>
      </c>
      <c r="Q335" s="96">
        <f t="shared" si="189"/>
        <v>0</v>
      </c>
      <c r="R335" s="187" t="s">
        <v>2562</v>
      </c>
      <c r="S335" s="187" t="s">
        <v>3607</v>
      </c>
      <c r="T335" s="94" t="s">
        <v>5401</v>
      </c>
      <c r="U335" s="395">
        <f>COUNTIF(Aggregation_of_rev_to_allocate!$A$3:$A$137,$T335)</f>
        <v>0</v>
      </c>
      <c r="V335" s="100"/>
      <c r="W335" s="100">
        <v>302</v>
      </c>
      <c r="X335" s="109">
        <v>69367.741917929598</v>
      </c>
      <c r="Y335" s="109">
        <v>0</v>
      </c>
      <c r="Z335" s="110">
        <v>0.4638827126024358</v>
      </c>
      <c r="AA335" s="110">
        <v>1</v>
      </c>
      <c r="AB335" s="110">
        <v>0</v>
      </c>
      <c r="AC335" s="109">
        <f>IF(ISERROR((X335*SUMIF('Rev_for_allocation(Hard)'!$A$3:$A$249,$T335,'Rev_for_allocation(Hard)'!$I$3:$I$249)/SUMIF(Historic_capex_list!$T$9:$T$586,$T335,Historic_capex_list!$X$9:$X$586))=TRUE),0,X335*SUMIF('Rev_for_allocation(Hard)'!$A$3:$A$249,$T335,'Rev_for_allocation(Hard)'!$I$3:$I$249)/SUMIF(Historic_capex_list!$T$9:$T$586,$T335,Historic_capex_list!$X$9:$X$586))</f>
        <v>0</v>
      </c>
      <c r="AD335" s="109">
        <f t="shared" si="190"/>
        <v>69367.741917929598</v>
      </c>
      <c r="AE335" s="109">
        <f t="shared" si="191"/>
        <v>69367.741917929598</v>
      </c>
      <c r="AF335" s="109">
        <f t="shared" si="192"/>
        <v>69367.741917929598</v>
      </c>
      <c r="AG335" s="332" t="str">
        <f t="shared" si="193"/>
        <v>N</v>
      </c>
      <c r="AH335" s="332">
        <f t="shared" si="219"/>
        <v>0</v>
      </c>
      <c r="AI335" s="332">
        <f t="shared" si="220"/>
        <v>0</v>
      </c>
      <c r="AJ335" s="109">
        <f t="shared" si="221"/>
        <v>69367.741917929598</v>
      </c>
      <c r="AK335" s="109">
        <f t="shared" si="194"/>
        <v>0</v>
      </c>
      <c r="AL335" s="109">
        <v>0</v>
      </c>
      <c r="AM335" s="111">
        <f t="shared" si="195"/>
        <v>0</v>
      </c>
      <c r="AN335" s="111">
        <f t="shared" si="196"/>
        <v>0</v>
      </c>
      <c r="AO335" s="111" t="str">
        <f t="shared" si="197"/>
        <v>Use deduct 3yrs</v>
      </c>
      <c r="AP335" s="111">
        <f t="shared" si="198"/>
        <v>0</v>
      </c>
      <c r="AQ335" s="112">
        <f t="shared" si="199"/>
        <v>0</v>
      </c>
      <c r="AR335" s="112">
        <f t="shared" si="200"/>
        <v>1</v>
      </c>
      <c r="AS335" s="113">
        <f t="shared" si="201"/>
        <v>2028</v>
      </c>
      <c r="AT335" s="109">
        <v>65240.731033598378</v>
      </c>
      <c r="AU335" s="114">
        <v>1</v>
      </c>
      <c r="AV335" s="113">
        <v>2028</v>
      </c>
      <c r="AW335" s="112">
        <f t="shared" si="202"/>
        <v>0.43628416389620334</v>
      </c>
      <c r="AX335" s="109">
        <f t="shared" si="203"/>
        <v>65240.731033598393</v>
      </c>
      <c r="AY335" s="109">
        <f t="shared" si="204"/>
        <v>0</v>
      </c>
      <c r="AZ335" s="109">
        <f t="shared" si="205"/>
        <v>65240.731033598393</v>
      </c>
      <c r="BA335" s="111">
        <f t="shared" si="206"/>
        <v>0</v>
      </c>
      <c r="BB335" s="117"/>
      <c r="BC335" s="115" t="str">
        <f t="shared" si="207"/>
        <v>N</v>
      </c>
      <c r="BD335" s="115" t="str">
        <f t="shared" si="208"/>
        <v>Y</v>
      </c>
      <c r="BE335" s="115" t="str">
        <f t="shared" si="209"/>
        <v>N</v>
      </c>
      <c r="BF335" s="109" t="str">
        <f t="shared" si="210"/>
        <v/>
      </c>
      <c r="BG335" s="111" t="s">
        <v>2499</v>
      </c>
      <c r="BH335" s="115" t="s">
        <v>1168</v>
      </c>
      <c r="BI335" s="116"/>
      <c r="BJ335" s="222">
        <v>0.43628416389620334</v>
      </c>
      <c r="BK335" s="265">
        <f t="shared" si="211"/>
        <v>0</v>
      </c>
      <c r="BL335" s="265">
        <f t="shared" si="212"/>
        <v>0</v>
      </c>
      <c r="BM335" s="265">
        <f t="shared" si="213"/>
        <v>-8.7311491370201111E-11</v>
      </c>
      <c r="BN335" s="265">
        <f t="shared" si="214"/>
        <v>4127.0108843312046</v>
      </c>
      <c r="BO335" s="109"/>
      <c r="BP335" s="265">
        <f t="shared" si="215"/>
        <v>4127.0108843312191</v>
      </c>
      <c r="BQ335" s="265">
        <v>4127.0108843312191</v>
      </c>
      <c r="BR335" s="265" t="e">
        <f t="shared" si="216"/>
        <v>#REF!</v>
      </c>
      <c r="BS335" s="265">
        <v>464.94589439248239</v>
      </c>
      <c r="BT335" s="475">
        <v>1430131.6989664016</v>
      </c>
      <c r="BU335" s="475">
        <v>65240.731033598393</v>
      </c>
      <c r="BV335" s="475">
        <v>0</v>
      </c>
      <c r="BW335" s="483">
        <f t="shared" si="217"/>
        <v>0</v>
      </c>
      <c r="BX335" s="483">
        <f t="shared" si="218"/>
        <v>0</v>
      </c>
    </row>
    <row r="336" spans="1:76" s="103" customFormat="1" ht="29">
      <c r="A336" s="100" t="s">
        <v>2259</v>
      </c>
      <c r="B336" s="91" t="str">
        <f t="shared" si="186"/>
        <v>STW</v>
      </c>
      <c r="C336" s="92" t="s">
        <v>2330</v>
      </c>
      <c r="D336" s="448"/>
      <c r="E336" s="451">
        <v>3201346</v>
      </c>
      <c r="F336" s="409" t="s">
        <v>4667</v>
      </c>
      <c r="G336" s="384" t="s">
        <v>4508</v>
      </c>
      <c r="H336" s="398">
        <v>0.1</v>
      </c>
      <c r="I336" s="151"/>
      <c r="J336" s="95" t="s">
        <v>1166</v>
      </c>
      <c r="K336" s="191">
        <v>3425542.84</v>
      </c>
      <c r="L336" s="269">
        <v>0.43628416389620345</v>
      </c>
      <c r="M336" s="585">
        <v>1</v>
      </c>
      <c r="N336" s="267">
        <f t="shared" si="187"/>
        <v>0</v>
      </c>
      <c r="O336" s="96">
        <f t="shared" si="188"/>
        <v>3276091.8306159973</v>
      </c>
      <c r="P336" s="96">
        <f t="shared" si="222"/>
        <v>149451.00938400262</v>
      </c>
      <c r="Q336" s="96">
        <f t="shared" si="189"/>
        <v>0</v>
      </c>
      <c r="R336" s="187" t="s">
        <v>2562</v>
      </c>
      <c r="S336" s="187" t="s">
        <v>3607</v>
      </c>
      <c r="T336" s="94" t="s">
        <v>5401</v>
      </c>
      <c r="U336" s="395">
        <f>COUNTIF(Aggregation_of_rev_to_allocate!$A$3:$A$137,$T336)</f>
        <v>0</v>
      </c>
      <c r="V336" s="100"/>
      <c r="W336" s="100">
        <v>303</v>
      </c>
      <c r="X336" s="109">
        <v>158905.01047550523</v>
      </c>
      <c r="Y336" s="109">
        <v>0</v>
      </c>
      <c r="Z336" s="110">
        <v>0.46388271260243596</v>
      </c>
      <c r="AA336" s="110">
        <v>1</v>
      </c>
      <c r="AB336" s="110">
        <v>0</v>
      </c>
      <c r="AC336" s="109">
        <f>IF(ISERROR((X336*SUMIF('Rev_for_allocation(Hard)'!$A$3:$A$249,$T336,'Rev_for_allocation(Hard)'!$I$3:$I$249)/SUMIF(Historic_capex_list!$T$9:$T$586,$T336,Historic_capex_list!$X$9:$X$586))=TRUE),0,X336*SUMIF('Rev_for_allocation(Hard)'!$A$3:$A$249,$T336,'Rev_for_allocation(Hard)'!$I$3:$I$249)/SUMIF(Historic_capex_list!$T$9:$T$586,$T336,Historic_capex_list!$X$9:$X$586))</f>
        <v>0</v>
      </c>
      <c r="AD336" s="109">
        <f t="shared" si="190"/>
        <v>158905.01047550523</v>
      </c>
      <c r="AE336" s="109">
        <f t="shared" si="191"/>
        <v>158905.01047550523</v>
      </c>
      <c r="AF336" s="109">
        <f t="shared" si="192"/>
        <v>158905.01047550523</v>
      </c>
      <c r="AG336" s="332" t="str">
        <f t="shared" si="193"/>
        <v>N</v>
      </c>
      <c r="AH336" s="332">
        <f t="shared" si="219"/>
        <v>0</v>
      </c>
      <c r="AI336" s="332">
        <f t="shared" si="220"/>
        <v>0</v>
      </c>
      <c r="AJ336" s="109">
        <f t="shared" si="221"/>
        <v>158905.01047550523</v>
      </c>
      <c r="AK336" s="109">
        <f t="shared" si="194"/>
        <v>0</v>
      </c>
      <c r="AL336" s="109">
        <v>0</v>
      </c>
      <c r="AM336" s="111">
        <f t="shared" si="195"/>
        <v>0</v>
      </c>
      <c r="AN336" s="111">
        <f t="shared" si="196"/>
        <v>0</v>
      </c>
      <c r="AO336" s="111" t="str">
        <f t="shared" si="197"/>
        <v>Use deduct 3yrs</v>
      </c>
      <c r="AP336" s="111">
        <f t="shared" si="198"/>
        <v>0</v>
      </c>
      <c r="AQ336" s="112">
        <f t="shared" si="199"/>
        <v>0</v>
      </c>
      <c r="AR336" s="112">
        <f t="shared" si="200"/>
        <v>1</v>
      </c>
      <c r="AS336" s="113">
        <f t="shared" si="201"/>
        <v>2028</v>
      </c>
      <c r="AT336" s="109">
        <v>149451.00938400262</v>
      </c>
      <c r="AU336" s="114">
        <v>1</v>
      </c>
      <c r="AV336" s="113">
        <v>2028</v>
      </c>
      <c r="AW336" s="112">
        <f t="shared" si="202"/>
        <v>0.43628416389620345</v>
      </c>
      <c r="AX336" s="109">
        <f t="shared" si="203"/>
        <v>149451.00938400262</v>
      </c>
      <c r="AY336" s="109">
        <f t="shared" si="204"/>
        <v>0</v>
      </c>
      <c r="AZ336" s="109">
        <f t="shared" si="205"/>
        <v>149451.00938400262</v>
      </c>
      <c r="BA336" s="111">
        <f t="shared" si="206"/>
        <v>0</v>
      </c>
      <c r="BB336" s="117"/>
      <c r="BC336" s="115" t="str">
        <f t="shared" si="207"/>
        <v>N</v>
      </c>
      <c r="BD336" s="115" t="str">
        <f t="shared" si="208"/>
        <v>Y</v>
      </c>
      <c r="BE336" s="115" t="str">
        <f t="shared" si="209"/>
        <v>N</v>
      </c>
      <c r="BF336" s="109" t="str">
        <f t="shared" si="210"/>
        <v/>
      </c>
      <c r="BG336" s="111" t="s">
        <v>2499</v>
      </c>
      <c r="BH336" s="115" t="s">
        <v>1168</v>
      </c>
      <c r="BI336" s="116"/>
      <c r="BJ336" s="222">
        <v>0.43628416389620345</v>
      </c>
      <c r="BK336" s="265">
        <f t="shared" si="211"/>
        <v>0</v>
      </c>
      <c r="BL336" s="265">
        <f t="shared" si="212"/>
        <v>0</v>
      </c>
      <c r="BM336" s="265">
        <f t="shared" si="213"/>
        <v>-8.7311491370201111E-11</v>
      </c>
      <c r="BN336" s="265">
        <f t="shared" si="214"/>
        <v>9454.0010915026069</v>
      </c>
      <c r="BO336" s="109"/>
      <c r="BP336" s="265">
        <f t="shared" si="215"/>
        <v>9454.0010915026069</v>
      </c>
      <c r="BQ336" s="265">
        <v>9454.0010915026069</v>
      </c>
      <c r="BR336" s="265" t="e">
        <f t="shared" si="216"/>
        <v>#REF!</v>
      </c>
      <c r="BS336" s="265">
        <v>1065.0805428608628</v>
      </c>
      <c r="BT336" s="475">
        <v>3276091.8306159973</v>
      </c>
      <c r="BU336" s="475">
        <v>149451.00938400262</v>
      </c>
      <c r="BV336" s="475">
        <v>0</v>
      </c>
      <c r="BW336" s="483">
        <f t="shared" si="217"/>
        <v>0</v>
      </c>
      <c r="BX336" s="483">
        <f t="shared" si="218"/>
        <v>0</v>
      </c>
    </row>
    <row r="337" spans="1:76" s="103" customFormat="1" ht="29">
      <c r="A337" s="100" t="s">
        <v>2259</v>
      </c>
      <c r="B337" s="91" t="str">
        <f t="shared" si="186"/>
        <v>STW</v>
      </c>
      <c r="C337" s="92" t="s">
        <v>2330</v>
      </c>
      <c r="D337" s="448"/>
      <c r="E337" s="451">
        <v>3201346</v>
      </c>
      <c r="F337" s="409" t="s">
        <v>4667</v>
      </c>
      <c r="G337" s="384" t="s">
        <v>4508</v>
      </c>
      <c r="H337" s="398">
        <v>0.1</v>
      </c>
      <c r="I337" s="151"/>
      <c r="J337" s="95" t="s">
        <v>1166</v>
      </c>
      <c r="K337" s="191">
        <v>293943.26</v>
      </c>
      <c r="L337" s="269">
        <v>0.4362841638962035</v>
      </c>
      <c r="M337" s="585">
        <v>1</v>
      </c>
      <c r="N337" s="267">
        <f t="shared" si="187"/>
        <v>0</v>
      </c>
      <c r="O337" s="96">
        <f t="shared" si="188"/>
        <v>281118.98105779756</v>
      </c>
      <c r="P337" s="96">
        <f t="shared" si="222"/>
        <v>12824.278942202436</v>
      </c>
      <c r="Q337" s="96">
        <f t="shared" si="189"/>
        <v>0</v>
      </c>
      <c r="R337" s="187" t="s">
        <v>2562</v>
      </c>
      <c r="S337" s="187" t="s">
        <v>3607</v>
      </c>
      <c r="T337" s="94" t="s">
        <v>5401</v>
      </c>
      <c r="U337" s="395">
        <f>COUNTIF(Aggregation_of_rev_to_allocate!$A$3:$A$137,$T337)</f>
        <v>0</v>
      </c>
      <c r="V337" s="100"/>
      <c r="W337" s="100">
        <v>303</v>
      </c>
      <c r="X337" s="109">
        <v>13635.519680000312</v>
      </c>
      <c r="Y337" s="109">
        <v>0</v>
      </c>
      <c r="Z337" s="110">
        <v>0.46388271260243596</v>
      </c>
      <c r="AA337" s="110">
        <v>1</v>
      </c>
      <c r="AB337" s="110">
        <v>0</v>
      </c>
      <c r="AC337" s="109">
        <f>IF(ISERROR((X337*SUMIF('Rev_for_allocation(Hard)'!$A$3:$A$249,$T337,'Rev_for_allocation(Hard)'!$I$3:$I$249)/SUMIF(Historic_capex_list!$T$9:$T$586,$T337,Historic_capex_list!$X$9:$X$586))=TRUE),0,X337*SUMIF('Rev_for_allocation(Hard)'!$A$3:$A$249,$T337,'Rev_for_allocation(Hard)'!$I$3:$I$249)/SUMIF(Historic_capex_list!$T$9:$T$586,$T337,Historic_capex_list!$X$9:$X$586))</f>
        <v>0</v>
      </c>
      <c r="AD337" s="109">
        <f t="shared" si="190"/>
        <v>13635.519680000312</v>
      </c>
      <c r="AE337" s="109">
        <f t="shared" si="191"/>
        <v>13635.519680000312</v>
      </c>
      <c r="AF337" s="109">
        <f t="shared" si="192"/>
        <v>13635.519680000312</v>
      </c>
      <c r="AG337" s="332" t="str">
        <f t="shared" si="193"/>
        <v>N</v>
      </c>
      <c r="AH337" s="332">
        <f t="shared" si="219"/>
        <v>0</v>
      </c>
      <c r="AI337" s="332">
        <f t="shared" si="220"/>
        <v>0</v>
      </c>
      <c r="AJ337" s="109">
        <f t="shared" si="221"/>
        <v>13635.519680000312</v>
      </c>
      <c r="AK337" s="109">
        <f t="shared" si="194"/>
        <v>0</v>
      </c>
      <c r="AL337" s="109">
        <v>0</v>
      </c>
      <c r="AM337" s="111">
        <f t="shared" si="195"/>
        <v>0</v>
      </c>
      <c r="AN337" s="111">
        <f t="shared" si="196"/>
        <v>0</v>
      </c>
      <c r="AO337" s="111" t="str">
        <f t="shared" si="197"/>
        <v>Use deduct 3yrs</v>
      </c>
      <c r="AP337" s="111">
        <f t="shared" si="198"/>
        <v>0</v>
      </c>
      <c r="AQ337" s="112">
        <f t="shared" si="199"/>
        <v>0</v>
      </c>
      <c r="AR337" s="112">
        <f t="shared" si="200"/>
        <v>1</v>
      </c>
      <c r="AS337" s="113">
        <f t="shared" si="201"/>
        <v>2028</v>
      </c>
      <c r="AT337" s="109">
        <v>12824.278942202436</v>
      </c>
      <c r="AU337" s="114">
        <v>1</v>
      </c>
      <c r="AV337" s="113">
        <v>2028</v>
      </c>
      <c r="AW337" s="112">
        <f t="shared" si="202"/>
        <v>0.4362841638962035</v>
      </c>
      <c r="AX337" s="109">
        <f t="shared" si="203"/>
        <v>12824.278942202436</v>
      </c>
      <c r="AY337" s="109">
        <f t="shared" si="204"/>
        <v>0</v>
      </c>
      <c r="AZ337" s="109">
        <f t="shared" si="205"/>
        <v>12824.278942202436</v>
      </c>
      <c r="BA337" s="111">
        <f t="shared" si="206"/>
        <v>0</v>
      </c>
      <c r="BB337" s="117"/>
      <c r="BC337" s="115" t="str">
        <f t="shared" si="207"/>
        <v>N</v>
      </c>
      <c r="BD337" s="115" t="str">
        <f t="shared" si="208"/>
        <v>Y</v>
      </c>
      <c r="BE337" s="115" t="str">
        <f t="shared" si="209"/>
        <v>N</v>
      </c>
      <c r="BF337" s="109" t="str">
        <f t="shared" si="210"/>
        <v/>
      </c>
      <c r="BG337" s="111" t="s">
        <v>2499</v>
      </c>
      <c r="BH337" s="115" t="s">
        <v>1168</v>
      </c>
      <c r="BI337" s="116"/>
      <c r="BJ337" s="222">
        <v>0.4362841638962035</v>
      </c>
      <c r="BK337" s="265">
        <f t="shared" si="211"/>
        <v>0</v>
      </c>
      <c r="BL337" s="265">
        <f t="shared" si="212"/>
        <v>0</v>
      </c>
      <c r="BM337" s="265">
        <f t="shared" si="213"/>
        <v>1.4551915228366852E-11</v>
      </c>
      <c r="BN337" s="265">
        <f t="shared" si="214"/>
        <v>811.24073779787614</v>
      </c>
      <c r="BO337" s="109"/>
      <c r="BP337" s="265">
        <f t="shared" si="215"/>
        <v>811.24073779787614</v>
      </c>
      <c r="BQ337" s="265">
        <v>811.24073779787614</v>
      </c>
      <c r="BR337" s="265" t="e">
        <f t="shared" si="216"/>
        <v>#REF!</v>
      </c>
      <c r="BS337" s="265">
        <v>91.393761968275783</v>
      </c>
      <c r="BT337" s="475">
        <v>281118.98105779756</v>
      </c>
      <c r="BU337" s="475">
        <v>12824.278942202436</v>
      </c>
      <c r="BV337" s="475">
        <v>0</v>
      </c>
      <c r="BW337" s="483">
        <f t="shared" si="217"/>
        <v>0</v>
      </c>
      <c r="BX337" s="483">
        <f t="shared" si="218"/>
        <v>0</v>
      </c>
    </row>
    <row r="338" spans="1:76" s="103" customFormat="1" ht="14.5">
      <c r="A338" s="100" t="s">
        <v>2259</v>
      </c>
      <c r="B338" s="91" t="str">
        <f t="shared" si="186"/>
        <v>STW</v>
      </c>
      <c r="C338" s="92" t="s">
        <v>2330</v>
      </c>
      <c r="D338" s="448"/>
      <c r="E338" s="451">
        <v>3201350</v>
      </c>
      <c r="F338" s="409" t="s">
        <v>2363</v>
      </c>
      <c r="G338" s="588" t="s">
        <v>5208</v>
      </c>
      <c r="H338" s="398">
        <v>0.1</v>
      </c>
      <c r="I338" s="151"/>
      <c r="J338" s="95" t="s">
        <v>1166</v>
      </c>
      <c r="K338" s="191">
        <v>1489375.62</v>
      </c>
      <c r="L338" s="269">
        <v>0.39401057724007793</v>
      </c>
      <c r="M338" s="585">
        <v>1</v>
      </c>
      <c r="N338" s="267">
        <f t="shared" si="187"/>
        <v>0</v>
      </c>
      <c r="O338" s="96">
        <f t="shared" si="188"/>
        <v>1430692.6452236504</v>
      </c>
      <c r="P338" s="96">
        <f t="shared" si="222"/>
        <v>58682.974776349904</v>
      </c>
      <c r="Q338" s="96">
        <f t="shared" si="189"/>
        <v>0</v>
      </c>
      <c r="R338" s="187" t="s">
        <v>2563</v>
      </c>
      <c r="S338" s="187" t="s">
        <v>3607</v>
      </c>
      <c r="T338" s="94" t="s">
        <v>5394</v>
      </c>
      <c r="U338" s="395">
        <f>COUNTIF(Aggregation_of_rev_to_allocate!$A$3:$A$137,$T338)</f>
        <v>0</v>
      </c>
      <c r="V338" s="100"/>
      <c r="W338" s="100">
        <v>360</v>
      </c>
      <c r="X338" s="109">
        <v>69089.560268953486</v>
      </c>
      <c r="Y338" s="109">
        <v>0</v>
      </c>
      <c r="Z338" s="110">
        <v>0.46388271260243585</v>
      </c>
      <c r="AA338" s="110">
        <v>1</v>
      </c>
      <c r="AB338" s="110">
        <v>0</v>
      </c>
      <c r="AC338" s="109">
        <f>IF(ISERROR((X338*SUMIF('Rev_for_allocation(Hard)'!$A$3:$A$249,$T338,'Rev_for_allocation(Hard)'!$I$3:$I$249)/SUMIF(Historic_capex_list!$T$9:$T$586,$T338,Historic_capex_list!$X$9:$X$586))=TRUE),0,X338*SUMIF('Rev_for_allocation(Hard)'!$A$3:$A$249,$T338,'Rev_for_allocation(Hard)'!$I$3:$I$249)/SUMIF(Historic_capex_list!$T$9:$T$586,$T338,Historic_capex_list!$X$9:$X$586))</f>
        <v>0</v>
      </c>
      <c r="AD338" s="109">
        <f t="shared" si="190"/>
        <v>69089.560268953486</v>
      </c>
      <c r="AE338" s="109">
        <f t="shared" si="191"/>
        <v>69089.560268953486</v>
      </c>
      <c r="AF338" s="109">
        <f t="shared" si="192"/>
        <v>69089.560268953486</v>
      </c>
      <c r="AG338" s="332" t="str">
        <f t="shared" si="193"/>
        <v>N</v>
      </c>
      <c r="AH338" s="332">
        <f t="shared" si="219"/>
        <v>0</v>
      </c>
      <c r="AI338" s="332">
        <f t="shared" si="220"/>
        <v>0</v>
      </c>
      <c r="AJ338" s="109">
        <f t="shared" si="221"/>
        <v>69089.560268953486</v>
      </c>
      <c r="AK338" s="109">
        <f t="shared" si="194"/>
        <v>0</v>
      </c>
      <c r="AL338" s="109">
        <v>0</v>
      </c>
      <c r="AM338" s="111">
        <f t="shared" si="195"/>
        <v>0</v>
      </c>
      <c r="AN338" s="111">
        <f t="shared" si="196"/>
        <v>0</v>
      </c>
      <c r="AO338" s="111" t="str">
        <f t="shared" si="197"/>
        <v>Use deduct 3yrs</v>
      </c>
      <c r="AP338" s="111">
        <f t="shared" si="198"/>
        <v>0</v>
      </c>
      <c r="AQ338" s="112">
        <f t="shared" si="199"/>
        <v>0</v>
      </c>
      <c r="AR338" s="112">
        <f t="shared" si="200"/>
        <v>1</v>
      </c>
      <c r="AS338" s="113">
        <f t="shared" si="201"/>
        <v>2028</v>
      </c>
      <c r="AT338" s="109">
        <v>58682.974776349896</v>
      </c>
      <c r="AU338" s="114">
        <v>1</v>
      </c>
      <c r="AV338" s="113">
        <v>2028</v>
      </c>
      <c r="AW338" s="112">
        <f t="shared" si="202"/>
        <v>0.39401057724007793</v>
      </c>
      <c r="AX338" s="109">
        <f t="shared" si="203"/>
        <v>58682.974776349904</v>
      </c>
      <c r="AY338" s="109">
        <f t="shared" si="204"/>
        <v>0</v>
      </c>
      <c r="AZ338" s="109">
        <f t="shared" si="205"/>
        <v>58682.974776349904</v>
      </c>
      <c r="BA338" s="111">
        <f t="shared" si="206"/>
        <v>0</v>
      </c>
      <c r="BB338" s="117"/>
      <c r="BC338" s="115" t="str">
        <f t="shared" si="207"/>
        <v>N</v>
      </c>
      <c r="BD338" s="115" t="str">
        <f t="shared" si="208"/>
        <v>Y</v>
      </c>
      <c r="BE338" s="115" t="str">
        <f t="shared" si="209"/>
        <v>N</v>
      </c>
      <c r="BF338" s="109" t="str">
        <f t="shared" si="210"/>
        <v/>
      </c>
      <c r="BG338" s="111" t="s">
        <v>2499</v>
      </c>
      <c r="BH338" s="115" t="s">
        <v>1168</v>
      </c>
      <c r="BI338" s="116"/>
      <c r="BJ338" s="222">
        <v>0.39401057724007793</v>
      </c>
      <c r="BK338" s="265">
        <f t="shared" si="211"/>
        <v>0</v>
      </c>
      <c r="BL338" s="265">
        <f t="shared" si="212"/>
        <v>0</v>
      </c>
      <c r="BM338" s="265">
        <f t="shared" si="213"/>
        <v>-1.7462298274040222E-10</v>
      </c>
      <c r="BN338" s="265">
        <f t="shared" si="214"/>
        <v>10406.585492603583</v>
      </c>
      <c r="BO338" s="109"/>
      <c r="BP338" s="265">
        <f t="shared" si="215"/>
        <v>10406.58549260359</v>
      </c>
      <c r="BQ338" s="265">
        <v>10406.58549260359</v>
      </c>
      <c r="BR338" s="265" t="e">
        <f t="shared" si="216"/>
        <v>#REF!</v>
      </c>
      <c r="BS338" s="265">
        <v>1172.3979739914075</v>
      </c>
      <c r="BT338" s="475">
        <v>1430692.6452236504</v>
      </c>
      <c r="BU338" s="475">
        <v>58682.974776349904</v>
      </c>
      <c r="BV338" s="475">
        <v>0</v>
      </c>
      <c r="BW338" s="483">
        <f t="shared" si="217"/>
        <v>0</v>
      </c>
      <c r="BX338" s="483">
        <f t="shared" si="218"/>
        <v>0</v>
      </c>
    </row>
    <row r="339" spans="1:76" s="103" customFormat="1" ht="43.5">
      <c r="A339" s="100" t="s">
        <v>2259</v>
      </c>
      <c r="B339" s="91" t="str">
        <f t="shared" si="186"/>
        <v>STW</v>
      </c>
      <c r="C339" s="92" t="s">
        <v>2323</v>
      </c>
      <c r="D339" s="448"/>
      <c r="E339" s="451">
        <v>3201357</v>
      </c>
      <c r="F339" s="409" t="s">
        <v>5209</v>
      </c>
      <c r="G339" s="588" t="s">
        <v>4502</v>
      </c>
      <c r="H339" s="398">
        <v>0.51</v>
      </c>
      <c r="I339" s="151"/>
      <c r="J339" s="95" t="s">
        <v>1166</v>
      </c>
      <c r="K339" s="191">
        <v>245343</v>
      </c>
      <c r="L339" s="269">
        <v>0.32139996053849124</v>
      </c>
      <c r="M339" s="585">
        <v>1</v>
      </c>
      <c r="N339" s="267">
        <f t="shared" si="187"/>
        <v>0</v>
      </c>
      <c r="O339" s="96">
        <f t="shared" si="188"/>
        <v>205127.85243561852</v>
      </c>
      <c r="P339" s="96">
        <f t="shared" si="222"/>
        <v>40215.147564381477</v>
      </c>
      <c r="Q339" s="96">
        <f t="shared" si="189"/>
        <v>0</v>
      </c>
      <c r="R339" s="187" t="s">
        <v>2331</v>
      </c>
      <c r="S339" s="187" t="s">
        <v>3608</v>
      </c>
      <c r="T339" s="94" t="s">
        <v>5407</v>
      </c>
      <c r="U339" s="395">
        <f>COUNTIF(Aggregation_of_rev_to_allocate!$A$3:$A$137,$T339)</f>
        <v>0</v>
      </c>
      <c r="V339" s="100"/>
      <c r="W339" s="100">
        <v>259</v>
      </c>
      <c r="X339" s="109">
        <v>58043.291942589916</v>
      </c>
      <c r="Y339" s="109">
        <v>0</v>
      </c>
      <c r="Z339" s="110">
        <v>0.46388271260243591</v>
      </c>
      <c r="AA339" s="110">
        <v>1</v>
      </c>
      <c r="AB339" s="110">
        <v>0</v>
      </c>
      <c r="AC339" s="109">
        <f>IF(ISERROR((X339*SUMIF('Rev_for_allocation(Hard)'!$A$3:$A$249,$T339,'Rev_for_allocation(Hard)'!$I$3:$I$249)/SUMIF(Historic_capex_list!$T$9:$T$586,$T339,Historic_capex_list!$X$9:$X$586))=TRUE),0,X339*SUMIF('Rev_for_allocation(Hard)'!$A$3:$A$249,$T339,'Rev_for_allocation(Hard)'!$I$3:$I$249)/SUMIF(Historic_capex_list!$T$9:$T$586,$T339,Historic_capex_list!$X$9:$X$586))</f>
        <v>0</v>
      </c>
      <c r="AD339" s="109">
        <f t="shared" si="190"/>
        <v>58043.291942589916</v>
      </c>
      <c r="AE339" s="109">
        <f t="shared" si="191"/>
        <v>58043.291942589916</v>
      </c>
      <c r="AF339" s="109">
        <f t="shared" si="192"/>
        <v>58043.291942589916</v>
      </c>
      <c r="AG339" s="332" t="str">
        <f t="shared" si="193"/>
        <v>N</v>
      </c>
      <c r="AH339" s="332">
        <f t="shared" si="219"/>
        <v>0</v>
      </c>
      <c r="AI339" s="332">
        <f t="shared" si="220"/>
        <v>0</v>
      </c>
      <c r="AJ339" s="109">
        <f t="shared" si="221"/>
        <v>58043.291942589916</v>
      </c>
      <c r="AK339" s="109">
        <f t="shared" si="194"/>
        <v>0</v>
      </c>
      <c r="AL339" s="109">
        <v>0</v>
      </c>
      <c r="AM339" s="111">
        <f t="shared" si="195"/>
        <v>0</v>
      </c>
      <c r="AN339" s="111">
        <f t="shared" si="196"/>
        <v>0</v>
      </c>
      <c r="AO339" s="111" t="str">
        <f t="shared" si="197"/>
        <v>Use deduct 3yrs</v>
      </c>
      <c r="AP339" s="111">
        <f t="shared" si="198"/>
        <v>0</v>
      </c>
      <c r="AQ339" s="112">
        <f t="shared" si="199"/>
        <v>0</v>
      </c>
      <c r="AR339" s="112">
        <f t="shared" si="200"/>
        <v>1</v>
      </c>
      <c r="AS339" s="113">
        <f t="shared" si="201"/>
        <v>2028</v>
      </c>
      <c r="AT339" s="109">
        <v>40215.147564381477</v>
      </c>
      <c r="AU339" s="114">
        <v>1</v>
      </c>
      <c r="AV339" s="113">
        <v>2028</v>
      </c>
      <c r="AW339" s="112">
        <f t="shared" si="202"/>
        <v>0.32139996053849124</v>
      </c>
      <c r="AX339" s="109">
        <f t="shared" si="203"/>
        <v>40215.147564381477</v>
      </c>
      <c r="AY339" s="109">
        <f t="shared" si="204"/>
        <v>0</v>
      </c>
      <c r="AZ339" s="109">
        <f t="shared" si="205"/>
        <v>40215.147564381477</v>
      </c>
      <c r="BA339" s="111">
        <f t="shared" si="206"/>
        <v>0</v>
      </c>
      <c r="BB339" s="117"/>
      <c r="BC339" s="115" t="str">
        <f t="shared" si="207"/>
        <v>N</v>
      </c>
      <c r="BD339" s="115" t="str">
        <f t="shared" si="208"/>
        <v>Y</v>
      </c>
      <c r="BE339" s="115" t="str">
        <f t="shared" si="209"/>
        <v>N</v>
      </c>
      <c r="BF339" s="109" t="str">
        <f t="shared" si="210"/>
        <v/>
      </c>
      <c r="BG339" s="111" t="s">
        <v>2499</v>
      </c>
      <c r="BH339" s="115" t="s">
        <v>1168</v>
      </c>
      <c r="BI339" s="116"/>
      <c r="BJ339" s="222">
        <v>0.32139996053849124</v>
      </c>
      <c r="BK339" s="265">
        <f t="shared" si="211"/>
        <v>0</v>
      </c>
      <c r="BL339" s="265">
        <f t="shared" si="212"/>
        <v>0</v>
      </c>
      <c r="BM339" s="265">
        <f t="shared" si="213"/>
        <v>0</v>
      </c>
      <c r="BN339" s="265">
        <f t="shared" si="214"/>
        <v>17828.144378208439</v>
      </c>
      <c r="BO339" s="109"/>
      <c r="BP339" s="265">
        <f t="shared" si="215"/>
        <v>17828.144378208439</v>
      </c>
      <c r="BQ339" s="265">
        <v>17828.144378208439</v>
      </c>
      <c r="BR339" s="265" t="e">
        <f t="shared" si="216"/>
        <v>#REF!</v>
      </c>
      <c r="BS339" s="265">
        <v>2008.5051301306851</v>
      </c>
      <c r="BT339" s="475">
        <v>205127.85243561852</v>
      </c>
      <c r="BU339" s="475">
        <v>40215.147564381477</v>
      </c>
      <c r="BV339" s="475">
        <v>0</v>
      </c>
      <c r="BW339" s="483">
        <f t="shared" si="217"/>
        <v>0</v>
      </c>
      <c r="BX339" s="483">
        <f t="shared" si="218"/>
        <v>0</v>
      </c>
    </row>
    <row r="340" spans="1:76" s="103" customFormat="1" ht="43.5">
      <c r="A340" s="100" t="s">
        <v>2259</v>
      </c>
      <c r="B340" s="91" t="str">
        <f t="shared" si="186"/>
        <v>STW</v>
      </c>
      <c r="C340" s="92" t="s">
        <v>2323</v>
      </c>
      <c r="D340" s="448"/>
      <c r="E340" s="451">
        <v>3201357</v>
      </c>
      <c r="F340" s="409" t="s">
        <v>5209</v>
      </c>
      <c r="G340" s="588" t="s">
        <v>4502</v>
      </c>
      <c r="H340" s="398">
        <v>0.51</v>
      </c>
      <c r="I340" s="151"/>
      <c r="J340" s="95" t="s">
        <v>1166</v>
      </c>
      <c r="K340" s="191">
        <v>166068.11000000002</v>
      </c>
      <c r="L340" s="269">
        <v>0.32139996053849118</v>
      </c>
      <c r="M340" s="585">
        <v>1</v>
      </c>
      <c r="N340" s="267">
        <f t="shared" si="187"/>
        <v>0</v>
      </c>
      <c r="O340" s="96">
        <f t="shared" si="188"/>
        <v>138847.22515964208</v>
      </c>
      <c r="P340" s="96">
        <f t="shared" si="222"/>
        <v>27220.884840357929</v>
      </c>
      <c r="Q340" s="96">
        <f t="shared" si="189"/>
        <v>0</v>
      </c>
      <c r="R340" s="187" t="s">
        <v>2331</v>
      </c>
      <c r="S340" s="187" t="s">
        <v>3608</v>
      </c>
      <c r="T340" s="94" t="s">
        <v>5407</v>
      </c>
      <c r="U340" s="395">
        <f>COUNTIF(Aggregation_of_rev_to_allocate!$A$3:$A$137,$T340)</f>
        <v>0</v>
      </c>
      <c r="V340" s="100"/>
      <c r="W340" s="100">
        <v>259</v>
      </c>
      <c r="X340" s="109">
        <v>39288.423925215458</v>
      </c>
      <c r="Y340" s="109">
        <v>0</v>
      </c>
      <c r="Z340" s="110">
        <v>0.46388271260243591</v>
      </c>
      <c r="AA340" s="110">
        <v>1</v>
      </c>
      <c r="AB340" s="110">
        <v>0</v>
      </c>
      <c r="AC340" s="109">
        <f>IF(ISERROR((X340*SUMIF('Rev_for_allocation(Hard)'!$A$3:$A$249,$T340,'Rev_for_allocation(Hard)'!$I$3:$I$249)/SUMIF(Historic_capex_list!$T$9:$T$586,$T340,Historic_capex_list!$X$9:$X$586))=TRUE),0,X340*SUMIF('Rev_for_allocation(Hard)'!$A$3:$A$249,$T340,'Rev_for_allocation(Hard)'!$I$3:$I$249)/SUMIF(Historic_capex_list!$T$9:$T$586,$T340,Historic_capex_list!$X$9:$X$586))</f>
        <v>0</v>
      </c>
      <c r="AD340" s="109">
        <f t="shared" si="190"/>
        <v>39288.423925215458</v>
      </c>
      <c r="AE340" s="109">
        <f t="shared" si="191"/>
        <v>39288.423925215458</v>
      </c>
      <c r="AF340" s="109">
        <f t="shared" si="192"/>
        <v>39288.423925215458</v>
      </c>
      <c r="AG340" s="332" t="str">
        <f t="shared" si="193"/>
        <v>N</v>
      </c>
      <c r="AH340" s="332">
        <f t="shared" si="219"/>
        <v>0</v>
      </c>
      <c r="AI340" s="332">
        <f t="shared" si="220"/>
        <v>0</v>
      </c>
      <c r="AJ340" s="109">
        <f t="shared" si="221"/>
        <v>39288.423925215458</v>
      </c>
      <c r="AK340" s="109">
        <f t="shared" si="194"/>
        <v>0</v>
      </c>
      <c r="AL340" s="109">
        <v>0</v>
      </c>
      <c r="AM340" s="111">
        <f t="shared" si="195"/>
        <v>0</v>
      </c>
      <c r="AN340" s="111">
        <f t="shared" si="196"/>
        <v>0</v>
      </c>
      <c r="AO340" s="111" t="str">
        <f t="shared" si="197"/>
        <v>Use deduct 3yrs</v>
      </c>
      <c r="AP340" s="111">
        <f t="shared" si="198"/>
        <v>0</v>
      </c>
      <c r="AQ340" s="112">
        <f t="shared" si="199"/>
        <v>0</v>
      </c>
      <c r="AR340" s="112">
        <f t="shared" si="200"/>
        <v>1</v>
      </c>
      <c r="AS340" s="113">
        <f t="shared" si="201"/>
        <v>2028</v>
      </c>
      <c r="AT340" s="109">
        <v>27220.884840357929</v>
      </c>
      <c r="AU340" s="114">
        <v>1</v>
      </c>
      <c r="AV340" s="113">
        <v>2028</v>
      </c>
      <c r="AW340" s="112">
        <f t="shared" si="202"/>
        <v>0.32139996053849118</v>
      </c>
      <c r="AX340" s="109">
        <f t="shared" si="203"/>
        <v>27220.884840357929</v>
      </c>
      <c r="AY340" s="109">
        <f t="shared" si="204"/>
        <v>0</v>
      </c>
      <c r="AZ340" s="109">
        <f t="shared" si="205"/>
        <v>27220.884840357929</v>
      </c>
      <c r="BA340" s="111">
        <f t="shared" si="206"/>
        <v>0</v>
      </c>
      <c r="BB340" s="117"/>
      <c r="BC340" s="115" t="str">
        <f t="shared" si="207"/>
        <v>N</v>
      </c>
      <c r="BD340" s="115" t="str">
        <f t="shared" si="208"/>
        <v>Y</v>
      </c>
      <c r="BE340" s="115" t="str">
        <f t="shared" si="209"/>
        <v>N</v>
      </c>
      <c r="BF340" s="109" t="str">
        <f t="shared" si="210"/>
        <v/>
      </c>
      <c r="BG340" s="111" t="s">
        <v>2499</v>
      </c>
      <c r="BH340" s="115" t="s">
        <v>1168</v>
      </c>
      <c r="BI340" s="116"/>
      <c r="BJ340" s="222">
        <v>0.32139996053849118</v>
      </c>
      <c r="BK340" s="265">
        <f t="shared" si="211"/>
        <v>0</v>
      </c>
      <c r="BL340" s="265">
        <f t="shared" si="212"/>
        <v>0</v>
      </c>
      <c r="BM340" s="265">
        <f t="shared" si="213"/>
        <v>3.637978807091713E-12</v>
      </c>
      <c r="BN340" s="265">
        <f t="shared" si="214"/>
        <v>12067.53908485753</v>
      </c>
      <c r="BO340" s="109"/>
      <c r="BP340" s="265">
        <f t="shared" si="215"/>
        <v>12067.53908485753</v>
      </c>
      <c r="BQ340" s="265">
        <v>12067.53908485753</v>
      </c>
      <c r="BR340" s="265" t="e">
        <f t="shared" si="216"/>
        <v>#REF!</v>
      </c>
      <c r="BS340" s="265">
        <v>1359.5197372091602</v>
      </c>
      <c r="BT340" s="475">
        <v>138847.22515964208</v>
      </c>
      <c r="BU340" s="475">
        <v>27220.884840357929</v>
      </c>
      <c r="BV340" s="475">
        <v>0</v>
      </c>
      <c r="BW340" s="483">
        <f t="shared" si="217"/>
        <v>0</v>
      </c>
      <c r="BX340" s="483">
        <f t="shared" si="218"/>
        <v>0</v>
      </c>
    </row>
    <row r="341" spans="1:76" s="103" customFormat="1" ht="43.5">
      <c r="A341" s="100" t="s">
        <v>2259</v>
      </c>
      <c r="B341" s="91" t="str">
        <f t="shared" si="186"/>
        <v>STW</v>
      </c>
      <c r="C341" s="92" t="s">
        <v>2330</v>
      </c>
      <c r="D341" s="448"/>
      <c r="E341" s="451">
        <v>3201364</v>
      </c>
      <c r="F341" s="409" t="s">
        <v>5210</v>
      </c>
      <c r="G341" s="588" t="s">
        <v>4502</v>
      </c>
      <c r="H341" s="398">
        <v>0.51</v>
      </c>
      <c r="I341" s="151"/>
      <c r="J341" s="95" t="s">
        <v>1166</v>
      </c>
      <c r="K341" s="191">
        <v>5078220</v>
      </c>
      <c r="L341" s="269">
        <v>0.46388272082554716</v>
      </c>
      <c r="M341" s="585">
        <v>1</v>
      </c>
      <c r="N341" s="267">
        <f t="shared" si="187"/>
        <v>0</v>
      </c>
      <c r="O341" s="96">
        <f t="shared" si="188"/>
        <v>3876813.7596191377</v>
      </c>
      <c r="P341" s="96">
        <f t="shared" si="222"/>
        <v>1201406.240380862</v>
      </c>
      <c r="Q341" s="96">
        <f t="shared" si="189"/>
        <v>0</v>
      </c>
      <c r="R341" s="187" t="s">
        <v>2324</v>
      </c>
      <c r="S341" s="189" t="s">
        <v>3608</v>
      </c>
      <c r="T341" s="94" t="s">
        <v>5400</v>
      </c>
      <c r="U341" s="395">
        <f>COUNTIF(Aggregation_of_rev_to_allocate!$A$3:$A$137,$T341)</f>
        <v>0</v>
      </c>
      <c r="V341" s="100"/>
      <c r="W341" s="100">
        <v>284</v>
      </c>
      <c r="X341" s="109">
        <v>1201406.2190838903</v>
      </c>
      <c r="Y341" s="109">
        <v>0</v>
      </c>
      <c r="Z341" s="110">
        <v>0.4638827126024358</v>
      </c>
      <c r="AA341" s="110">
        <v>1</v>
      </c>
      <c r="AB341" s="110">
        <v>0</v>
      </c>
      <c r="AC341" s="109">
        <f>IF(ISERROR((X341*SUMIF('Rev_for_allocation(Hard)'!$A$3:$A$249,$T341,'Rev_for_allocation(Hard)'!$I$3:$I$249)/SUMIF(Historic_capex_list!$T$9:$T$586,$T341,Historic_capex_list!$X$9:$X$586))=TRUE),0,X341*SUMIF('Rev_for_allocation(Hard)'!$A$3:$A$249,$T341,'Rev_for_allocation(Hard)'!$I$3:$I$249)/SUMIF(Historic_capex_list!$T$9:$T$586,$T341,Historic_capex_list!$X$9:$X$586))</f>
        <v>0</v>
      </c>
      <c r="AD341" s="109">
        <f t="shared" si="190"/>
        <v>1201406.2190838903</v>
      </c>
      <c r="AE341" s="109">
        <f t="shared" si="191"/>
        <v>1201406.2190838903</v>
      </c>
      <c r="AF341" s="109">
        <f t="shared" si="192"/>
        <v>1201406.2190838903</v>
      </c>
      <c r="AG341" s="332" t="str">
        <f t="shared" si="193"/>
        <v>N</v>
      </c>
      <c r="AH341" s="332">
        <f t="shared" si="219"/>
        <v>0</v>
      </c>
      <c r="AI341" s="332">
        <f t="shared" si="220"/>
        <v>0</v>
      </c>
      <c r="AJ341" s="109">
        <f t="shared" si="221"/>
        <v>1201406.2190838903</v>
      </c>
      <c r="AK341" s="109">
        <f t="shared" si="194"/>
        <v>0</v>
      </c>
      <c r="AL341" s="109">
        <v>0</v>
      </c>
      <c r="AM341" s="111">
        <f t="shared" si="195"/>
        <v>0</v>
      </c>
      <c r="AN341" s="111">
        <f t="shared" si="196"/>
        <v>0</v>
      </c>
      <c r="AO341" s="111" t="str">
        <f t="shared" si="197"/>
        <v>Use deduct 3yrs</v>
      </c>
      <c r="AP341" s="111">
        <f t="shared" si="198"/>
        <v>0</v>
      </c>
      <c r="AQ341" s="112">
        <f t="shared" si="199"/>
        <v>0</v>
      </c>
      <c r="AR341" s="112">
        <f t="shared" si="200"/>
        <v>1</v>
      </c>
      <c r="AS341" s="113">
        <f t="shared" si="201"/>
        <v>2028</v>
      </c>
      <c r="AT341" s="109">
        <v>1201406.2403808623</v>
      </c>
      <c r="AU341" s="114">
        <v>1</v>
      </c>
      <c r="AV341" s="113">
        <v>2028</v>
      </c>
      <c r="AW341" s="112">
        <f t="shared" si="202"/>
        <v>0.46388272082554716</v>
      </c>
      <c r="AX341" s="109">
        <f t="shared" si="203"/>
        <v>1201406.240380862</v>
      </c>
      <c r="AY341" s="109">
        <f t="shared" si="204"/>
        <v>0</v>
      </c>
      <c r="AZ341" s="109">
        <f t="shared" si="205"/>
        <v>1201406.240380862</v>
      </c>
      <c r="BA341" s="111">
        <f t="shared" si="206"/>
        <v>0</v>
      </c>
      <c r="BB341" s="117"/>
      <c r="BC341" s="115" t="str">
        <f t="shared" si="207"/>
        <v>N</v>
      </c>
      <c r="BD341" s="115" t="str">
        <f t="shared" si="208"/>
        <v>Y</v>
      </c>
      <c r="BE341" s="115" t="str">
        <f t="shared" si="209"/>
        <v>N</v>
      </c>
      <c r="BF341" s="109" t="str">
        <f t="shared" si="210"/>
        <v/>
      </c>
      <c r="BG341" s="111" t="s">
        <v>2499</v>
      </c>
      <c r="BH341" s="115" t="s">
        <v>1168</v>
      </c>
      <c r="BI341" s="116"/>
      <c r="BJ341" s="222">
        <v>0.46388272082554716</v>
      </c>
      <c r="BK341" s="265">
        <f t="shared" si="211"/>
        <v>0</v>
      </c>
      <c r="BL341" s="265">
        <f t="shared" si="212"/>
        <v>0</v>
      </c>
      <c r="BM341" s="265">
        <f t="shared" si="213"/>
        <v>2.3283064365386963E-10</v>
      </c>
      <c r="BN341" s="265">
        <f t="shared" si="214"/>
        <v>-2.1296971710398793E-2</v>
      </c>
      <c r="BO341" s="109"/>
      <c r="BP341" s="265">
        <f t="shared" si="215"/>
        <v>-2.1296971943229437E-2</v>
      </c>
      <c r="BQ341" s="265">
        <v>-2.1296971943229437E-2</v>
      </c>
      <c r="BR341" s="265" t="e">
        <f t="shared" si="216"/>
        <v>#REF!</v>
      </c>
      <c r="BS341" s="265">
        <v>-2.3993005944303487E-3</v>
      </c>
      <c r="BT341" s="475">
        <v>3876813.7596191377</v>
      </c>
      <c r="BU341" s="475">
        <v>1201406.240380862</v>
      </c>
      <c r="BV341" s="475">
        <v>0</v>
      </c>
      <c r="BW341" s="483">
        <f t="shared" si="217"/>
        <v>0</v>
      </c>
      <c r="BX341" s="483">
        <f t="shared" si="218"/>
        <v>0</v>
      </c>
    </row>
    <row r="342" spans="1:76" s="103" customFormat="1" ht="43.5">
      <c r="A342" s="100" t="s">
        <v>2259</v>
      </c>
      <c r="B342" s="91" t="str">
        <f t="shared" si="186"/>
        <v>STW</v>
      </c>
      <c r="C342" s="92" t="s">
        <v>2330</v>
      </c>
      <c r="D342" s="448"/>
      <c r="E342" s="451">
        <v>3201364</v>
      </c>
      <c r="F342" s="409" t="s">
        <v>5210</v>
      </c>
      <c r="G342" s="588" t="s">
        <v>4502</v>
      </c>
      <c r="H342" s="398">
        <v>0.51</v>
      </c>
      <c r="I342" s="151"/>
      <c r="J342" s="95" t="s">
        <v>1166</v>
      </c>
      <c r="K342" s="191">
        <v>790170.64500000002</v>
      </c>
      <c r="L342" s="269">
        <v>0.43628416389620334</v>
      </c>
      <c r="M342" s="585">
        <v>1</v>
      </c>
      <c r="N342" s="267">
        <f t="shared" si="187"/>
        <v>0</v>
      </c>
      <c r="O342" s="96">
        <f t="shared" si="188"/>
        <v>614353.78601353418</v>
      </c>
      <c r="P342" s="96">
        <f t="shared" si="222"/>
        <v>175816.85898646584</v>
      </c>
      <c r="Q342" s="96">
        <f t="shared" si="189"/>
        <v>0</v>
      </c>
      <c r="R342" s="187" t="s">
        <v>2562</v>
      </c>
      <c r="S342" s="187" t="s">
        <v>3608</v>
      </c>
      <c r="T342" s="94" t="s">
        <v>5401</v>
      </c>
      <c r="U342" s="395">
        <f>COUNTIF(Aggregation_of_rev_to_allocate!$A$3:$A$137,$T342)</f>
        <v>0</v>
      </c>
      <c r="V342" s="100"/>
      <c r="W342" s="100">
        <v>304</v>
      </c>
      <c r="X342" s="109">
        <v>186938.71613292233</v>
      </c>
      <c r="Y342" s="109">
        <v>0</v>
      </c>
      <c r="Z342" s="110">
        <v>0.4638827126024358</v>
      </c>
      <c r="AA342" s="110">
        <v>1</v>
      </c>
      <c r="AB342" s="110">
        <v>0</v>
      </c>
      <c r="AC342" s="109">
        <f>IF(ISERROR((X342*SUMIF('Rev_for_allocation(Hard)'!$A$3:$A$249,$T342,'Rev_for_allocation(Hard)'!$I$3:$I$249)/SUMIF(Historic_capex_list!$T$9:$T$586,$T342,Historic_capex_list!$X$9:$X$586))=TRUE),0,X342*SUMIF('Rev_for_allocation(Hard)'!$A$3:$A$249,$T342,'Rev_for_allocation(Hard)'!$I$3:$I$249)/SUMIF(Historic_capex_list!$T$9:$T$586,$T342,Historic_capex_list!$X$9:$X$586))</f>
        <v>0</v>
      </c>
      <c r="AD342" s="109">
        <f t="shared" si="190"/>
        <v>186938.71613292233</v>
      </c>
      <c r="AE342" s="109">
        <f t="shared" si="191"/>
        <v>186938.71613292233</v>
      </c>
      <c r="AF342" s="109">
        <f t="shared" si="192"/>
        <v>186938.71613292233</v>
      </c>
      <c r="AG342" s="332" t="str">
        <f t="shared" si="193"/>
        <v>N</v>
      </c>
      <c r="AH342" s="332">
        <f t="shared" si="219"/>
        <v>0</v>
      </c>
      <c r="AI342" s="332">
        <f t="shared" si="220"/>
        <v>0</v>
      </c>
      <c r="AJ342" s="109">
        <f t="shared" si="221"/>
        <v>186938.71613292233</v>
      </c>
      <c r="AK342" s="109">
        <f t="shared" si="194"/>
        <v>0</v>
      </c>
      <c r="AL342" s="109">
        <v>0</v>
      </c>
      <c r="AM342" s="111">
        <f t="shared" si="195"/>
        <v>0</v>
      </c>
      <c r="AN342" s="111">
        <f t="shared" si="196"/>
        <v>0</v>
      </c>
      <c r="AO342" s="111" t="str">
        <f t="shared" si="197"/>
        <v>Use deduct 3yrs</v>
      </c>
      <c r="AP342" s="111">
        <f t="shared" si="198"/>
        <v>0</v>
      </c>
      <c r="AQ342" s="112">
        <f t="shared" si="199"/>
        <v>0</v>
      </c>
      <c r="AR342" s="112">
        <f t="shared" si="200"/>
        <v>1</v>
      </c>
      <c r="AS342" s="113">
        <f t="shared" si="201"/>
        <v>2028</v>
      </c>
      <c r="AT342" s="109">
        <v>175816.85898646584</v>
      </c>
      <c r="AU342" s="114">
        <v>1</v>
      </c>
      <c r="AV342" s="113">
        <v>2028</v>
      </c>
      <c r="AW342" s="112">
        <f t="shared" si="202"/>
        <v>0.43628416389620334</v>
      </c>
      <c r="AX342" s="109">
        <f t="shared" si="203"/>
        <v>175816.85898646584</v>
      </c>
      <c r="AY342" s="109">
        <f t="shared" si="204"/>
        <v>0</v>
      </c>
      <c r="AZ342" s="109">
        <f t="shared" si="205"/>
        <v>175816.85898646584</v>
      </c>
      <c r="BA342" s="111">
        <f t="shared" si="206"/>
        <v>0</v>
      </c>
      <c r="BB342" s="117"/>
      <c r="BC342" s="115" t="str">
        <f t="shared" si="207"/>
        <v>N</v>
      </c>
      <c r="BD342" s="115" t="str">
        <f t="shared" si="208"/>
        <v>Y</v>
      </c>
      <c r="BE342" s="115" t="str">
        <f t="shared" si="209"/>
        <v>N</v>
      </c>
      <c r="BF342" s="109" t="str">
        <f t="shared" si="210"/>
        <v/>
      </c>
      <c r="BG342" s="111" t="s">
        <v>2499</v>
      </c>
      <c r="BH342" s="115" t="s">
        <v>1168</v>
      </c>
      <c r="BI342" s="116"/>
      <c r="BJ342" s="222">
        <v>0.43628416389620334</v>
      </c>
      <c r="BK342" s="265">
        <f t="shared" si="211"/>
        <v>0</v>
      </c>
      <c r="BL342" s="265">
        <f t="shared" si="212"/>
        <v>0</v>
      </c>
      <c r="BM342" s="265">
        <f t="shared" si="213"/>
        <v>0</v>
      </c>
      <c r="BN342" s="265">
        <f t="shared" si="214"/>
        <v>11121.857146456488</v>
      </c>
      <c r="BO342" s="109"/>
      <c r="BP342" s="265">
        <f t="shared" si="215"/>
        <v>11121.857146456488</v>
      </c>
      <c r="BQ342" s="265">
        <v>11121.857146456488</v>
      </c>
      <c r="BR342" s="265" t="e">
        <f t="shared" si="216"/>
        <v>#REF!</v>
      </c>
      <c r="BS342" s="265">
        <v>1252.9799322549165</v>
      </c>
      <c r="BT342" s="475">
        <v>614353.78601353418</v>
      </c>
      <c r="BU342" s="475">
        <v>175816.85898646584</v>
      </c>
      <c r="BV342" s="475">
        <v>0</v>
      </c>
      <c r="BW342" s="483">
        <f t="shared" si="217"/>
        <v>0</v>
      </c>
      <c r="BX342" s="483">
        <f t="shared" si="218"/>
        <v>0</v>
      </c>
    </row>
    <row r="343" spans="1:76" s="103" customFormat="1" ht="43.5">
      <c r="A343" s="100" t="s">
        <v>2259</v>
      </c>
      <c r="B343" s="91" t="str">
        <f t="shared" si="186"/>
        <v>STW</v>
      </c>
      <c r="C343" s="92" t="s">
        <v>2330</v>
      </c>
      <c r="D343" s="448"/>
      <c r="E343" s="451">
        <v>3201364</v>
      </c>
      <c r="F343" s="409" t="s">
        <v>5210</v>
      </c>
      <c r="G343" s="588" t="s">
        <v>4502</v>
      </c>
      <c r="H343" s="398">
        <v>0.51</v>
      </c>
      <c r="I343" s="151"/>
      <c r="J343" s="95" t="s">
        <v>1166</v>
      </c>
      <c r="K343" s="191">
        <v>1901979.0300000003</v>
      </c>
      <c r="L343" s="269">
        <v>0.43628416389620328</v>
      </c>
      <c r="M343" s="585">
        <v>1</v>
      </c>
      <c r="N343" s="267">
        <f t="shared" si="187"/>
        <v>0</v>
      </c>
      <c r="O343" s="96">
        <f t="shared" si="188"/>
        <v>1478779.3312656526</v>
      </c>
      <c r="P343" s="96">
        <f t="shared" si="222"/>
        <v>423199.69873434753</v>
      </c>
      <c r="Q343" s="96">
        <f t="shared" si="189"/>
        <v>0</v>
      </c>
      <c r="R343" s="187" t="s">
        <v>2562</v>
      </c>
      <c r="S343" s="187" t="s">
        <v>3608</v>
      </c>
      <c r="T343" s="94" t="s">
        <v>5401</v>
      </c>
      <c r="U343" s="395">
        <f>COUNTIF(Aggregation_of_rev_to_allocate!$A$3:$A$137,$T343)</f>
        <v>0</v>
      </c>
      <c r="V343" s="100"/>
      <c r="W343" s="100">
        <v>304</v>
      </c>
      <c r="X343" s="109">
        <v>449970.54779216833</v>
      </c>
      <c r="Y343" s="109">
        <v>0</v>
      </c>
      <c r="Z343" s="110">
        <v>0.4638827126024358</v>
      </c>
      <c r="AA343" s="110">
        <v>1</v>
      </c>
      <c r="AB343" s="110">
        <v>0</v>
      </c>
      <c r="AC343" s="109">
        <f>IF(ISERROR((X343*SUMIF('Rev_for_allocation(Hard)'!$A$3:$A$249,$T343,'Rev_for_allocation(Hard)'!$I$3:$I$249)/SUMIF(Historic_capex_list!$T$9:$T$586,$T343,Historic_capex_list!$X$9:$X$586))=TRUE),0,X343*SUMIF('Rev_for_allocation(Hard)'!$A$3:$A$249,$T343,'Rev_for_allocation(Hard)'!$I$3:$I$249)/SUMIF(Historic_capex_list!$T$9:$T$586,$T343,Historic_capex_list!$X$9:$X$586))</f>
        <v>0</v>
      </c>
      <c r="AD343" s="109">
        <f t="shared" si="190"/>
        <v>449970.54779216833</v>
      </c>
      <c r="AE343" s="109">
        <f t="shared" si="191"/>
        <v>449970.54779216833</v>
      </c>
      <c r="AF343" s="109">
        <f t="shared" si="192"/>
        <v>449970.54779216833</v>
      </c>
      <c r="AG343" s="332" t="str">
        <f t="shared" si="193"/>
        <v>N</v>
      </c>
      <c r="AH343" s="332">
        <f t="shared" si="219"/>
        <v>0</v>
      </c>
      <c r="AI343" s="332">
        <f t="shared" si="220"/>
        <v>0</v>
      </c>
      <c r="AJ343" s="109">
        <f t="shared" si="221"/>
        <v>449970.54779216833</v>
      </c>
      <c r="AK343" s="109">
        <f t="shared" si="194"/>
        <v>0</v>
      </c>
      <c r="AL343" s="109">
        <v>0</v>
      </c>
      <c r="AM343" s="111">
        <f t="shared" si="195"/>
        <v>0</v>
      </c>
      <c r="AN343" s="111">
        <f t="shared" si="196"/>
        <v>0</v>
      </c>
      <c r="AO343" s="111" t="str">
        <f t="shared" si="197"/>
        <v>Use deduct 3yrs</v>
      </c>
      <c r="AP343" s="111">
        <f t="shared" si="198"/>
        <v>0</v>
      </c>
      <c r="AQ343" s="112">
        <f t="shared" si="199"/>
        <v>0</v>
      </c>
      <c r="AR343" s="112">
        <f t="shared" si="200"/>
        <v>1</v>
      </c>
      <c r="AS343" s="113">
        <f t="shared" si="201"/>
        <v>2028</v>
      </c>
      <c r="AT343" s="109">
        <v>423199.69873434753</v>
      </c>
      <c r="AU343" s="114">
        <v>1</v>
      </c>
      <c r="AV343" s="113">
        <v>2028</v>
      </c>
      <c r="AW343" s="112">
        <f t="shared" si="202"/>
        <v>0.43628416389620328</v>
      </c>
      <c r="AX343" s="109">
        <f t="shared" si="203"/>
        <v>423199.69873434753</v>
      </c>
      <c r="AY343" s="109">
        <f t="shared" si="204"/>
        <v>0</v>
      </c>
      <c r="AZ343" s="109">
        <f t="shared" si="205"/>
        <v>423199.69873434753</v>
      </c>
      <c r="BA343" s="111">
        <f t="shared" si="206"/>
        <v>0</v>
      </c>
      <c r="BB343" s="117"/>
      <c r="BC343" s="115" t="str">
        <f t="shared" si="207"/>
        <v>N</v>
      </c>
      <c r="BD343" s="115" t="str">
        <f t="shared" si="208"/>
        <v>Y</v>
      </c>
      <c r="BE343" s="115" t="str">
        <f t="shared" si="209"/>
        <v>N</v>
      </c>
      <c r="BF343" s="109" t="str">
        <f t="shared" si="210"/>
        <v/>
      </c>
      <c r="BG343" s="111" t="s">
        <v>2499</v>
      </c>
      <c r="BH343" s="115" t="s">
        <v>1168</v>
      </c>
      <c r="BI343" s="116"/>
      <c r="BJ343" s="222">
        <v>0.43628416389620328</v>
      </c>
      <c r="BK343" s="265">
        <f t="shared" si="211"/>
        <v>0</v>
      </c>
      <c r="BL343" s="265">
        <f t="shared" si="212"/>
        <v>0</v>
      </c>
      <c r="BM343" s="265">
        <f t="shared" si="213"/>
        <v>1.7462298274040222E-10</v>
      </c>
      <c r="BN343" s="265">
        <f t="shared" si="214"/>
        <v>26770.8490578208</v>
      </c>
      <c r="BO343" s="109"/>
      <c r="BP343" s="265">
        <f t="shared" si="215"/>
        <v>26770.8490578208</v>
      </c>
      <c r="BQ343" s="265">
        <v>26770.8490578208</v>
      </c>
      <c r="BR343" s="265" t="e">
        <f t="shared" si="216"/>
        <v>#REF!</v>
      </c>
      <c r="BS343" s="265">
        <v>3015.9834097097778</v>
      </c>
      <c r="BT343" s="475">
        <v>1478779.3312656526</v>
      </c>
      <c r="BU343" s="475">
        <v>423199.69873434753</v>
      </c>
      <c r="BV343" s="475">
        <v>0</v>
      </c>
      <c r="BW343" s="483">
        <f t="shared" si="217"/>
        <v>0</v>
      </c>
      <c r="BX343" s="483">
        <f t="shared" si="218"/>
        <v>0</v>
      </c>
    </row>
    <row r="344" spans="1:76" s="103" customFormat="1" ht="29">
      <c r="A344" s="100" t="s">
        <v>2259</v>
      </c>
      <c r="B344" s="91" t="str">
        <f t="shared" si="186"/>
        <v>STW</v>
      </c>
      <c r="C344" s="92" t="s">
        <v>2330</v>
      </c>
      <c r="D344" s="448"/>
      <c r="E344" s="451">
        <v>3201368</v>
      </c>
      <c r="F344" s="409" t="s">
        <v>2361</v>
      </c>
      <c r="G344" s="588" t="s">
        <v>5211</v>
      </c>
      <c r="H344" s="398">
        <v>0.05</v>
      </c>
      <c r="I344" s="151"/>
      <c r="J344" s="95" t="s">
        <v>1166</v>
      </c>
      <c r="K344" s="191">
        <v>4226987</v>
      </c>
      <c r="L344" s="269">
        <v>0.46388261956744814</v>
      </c>
      <c r="M344" s="585">
        <v>1</v>
      </c>
      <c r="N344" s="267">
        <f t="shared" si="187"/>
        <v>0</v>
      </c>
      <c r="O344" s="96">
        <f t="shared" si="188"/>
        <v>4128945.7098781224</v>
      </c>
      <c r="P344" s="96">
        <f t="shared" si="222"/>
        <v>98041.29012187745</v>
      </c>
      <c r="Q344" s="96">
        <f t="shared" si="189"/>
        <v>0</v>
      </c>
      <c r="R344" s="187" t="s">
        <v>2314</v>
      </c>
      <c r="S344" s="187" t="s">
        <v>3607</v>
      </c>
      <c r="T344" s="94" t="s">
        <v>5395</v>
      </c>
      <c r="U344" s="395">
        <f>COUNTIF(Aggregation_of_rev_to_allocate!$A$3:$A$137,$T344)</f>
        <v>0</v>
      </c>
      <c r="V344" s="100"/>
      <c r="W344" s="100">
        <v>438</v>
      </c>
      <c r="X344" s="109">
        <v>98041.309784761645</v>
      </c>
      <c r="Y344" s="109">
        <v>0</v>
      </c>
      <c r="Z344" s="110">
        <v>0.46388271260243591</v>
      </c>
      <c r="AA344" s="110">
        <v>1</v>
      </c>
      <c r="AB344" s="110">
        <v>0</v>
      </c>
      <c r="AC344" s="109">
        <f>IF(ISERROR((X344*SUMIF('Rev_for_allocation(Hard)'!$A$3:$A$249,$T344,'Rev_for_allocation(Hard)'!$I$3:$I$249)/SUMIF(Historic_capex_list!$T$9:$T$586,$T344,Historic_capex_list!$X$9:$X$586))=TRUE),0,X344*SUMIF('Rev_for_allocation(Hard)'!$A$3:$A$249,$T344,'Rev_for_allocation(Hard)'!$I$3:$I$249)/SUMIF(Historic_capex_list!$T$9:$T$586,$T344,Historic_capex_list!$X$9:$X$586))</f>
        <v>0</v>
      </c>
      <c r="AD344" s="109">
        <f t="shared" si="190"/>
        <v>98041.309784761645</v>
      </c>
      <c r="AE344" s="109">
        <f t="shared" si="191"/>
        <v>98041.309784761645</v>
      </c>
      <c r="AF344" s="109">
        <f t="shared" si="192"/>
        <v>98041.309784761645</v>
      </c>
      <c r="AG344" s="332" t="str">
        <f t="shared" si="193"/>
        <v>N</v>
      </c>
      <c r="AH344" s="332">
        <f t="shared" si="219"/>
        <v>0</v>
      </c>
      <c r="AI344" s="332">
        <f t="shared" si="220"/>
        <v>0</v>
      </c>
      <c r="AJ344" s="109">
        <f t="shared" si="221"/>
        <v>98041.309784761645</v>
      </c>
      <c r="AK344" s="109">
        <f t="shared" si="194"/>
        <v>0</v>
      </c>
      <c r="AL344" s="109">
        <v>0</v>
      </c>
      <c r="AM344" s="111">
        <f t="shared" si="195"/>
        <v>0</v>
      </c>
      <c r="AN344" s="111">
        <f t="shared" si="196"/>
        <v>0</v>
      </c>
      <c r="AO344" s="111" t="str">
        <f t="shared" si="197"/>
        <v>Use deduct 3yrs</v>
      </c>
      <c r="AP344" s="111">
        <f t="shared" si="198"/>
        <v>0</v>
      </c>
      <c r="AQ344" s="112">
        <f t="shared" si="199"/>
        <v>0</v>
      </c>
      <c r="AR344" s="112">
        <f t="shared" si="200"/>
        <v>1</v>
      </c>
      <c r="AS344" s="113">
        <f t="shared" si="201"/>
        <v>2028</v>
      </c>
      <c r="AT344" s="109">
        <v>98041.29012187745</v>
      </c>
      <c r="AU344" s="114">
        <v>1</v>
      </c>
      <c r="AV344" s="113">
        <v>2028</v>
      </c>
      <c r="AW344" s="112">
        <f t="shared" si="202"/>
        <v>0.46388261956744814</v>
      </c>
      <c r="AX344" s="109">
        <f t="shared" si="203"/>
        <v>98041.29012187745</v>
      </c>
      <c r="AY344" s="109">
        <f t="shared" si="204"/>
        <v>0</v>
      </c>
      <c r="AZ344" s="109">
        <f t="shared" si="205"/>
        <v>98041.29012187745</v>
      </c>
      <c r="BA344" s="111">
        <f t="shared" si="206"/>
        <v>0</v>
      </c>
      <c r="BB344" s="117"/>
      <c r="BC344" s="115" t="str">
        <f t="shared" si="207"/>
        <v>N</v>
      </c>
      <c r="BD344" s="115" t="str">
        <f t="shared" si="208"/>
        <v>Y</v>
      </c>
      <c r="BE344" s="115" t="str">
        <f t="shared" si="209"/>
        <v>N</v>
      </c>
      <c r="BF344" s="109" t="str">
        <f t="shared" si="210"/>
        <v/>
      </c>
      <c r="BG344" s="111" t="s">
        <v>2499</v>
      </c>
      <c r="BH344" s="115" t="s">
        <v>1168</v>
      </c>
      <c r="BI344" s="116"/>
      <c r="BJ344" s="222">
        <v>0.46388261956744814</v>
      </c>
      <c r="BK344" s="265">
        <f t="shared" si="211"/>
        <v>0</v>
      </c>
      <c r="BL344" s="265">
        <f t="shared" si="212"/>
        <v>0</v>
      </c>
      <c r="BM344" s="265">
        <f t="shared" si="213"/>
        <v>1.1641532182693481E-10</v>
      </c>
      <c r="BN344" s="265">
        <f t="shared" si="214"/>
        <v>1.9662884194985963E-2</v>
      </c>
      <c r="BO344" s="109"/>
      <c r="BP344" s="265">
        <f t="shared" si="215"/>
        <v>1.9662884194985963E-2</v>
      </c>
      <c r="BQ344" s="265">
        <v>1.9662884194985963E-2</v>
      </c>
      <c r="BR344" s="265" t="e">
        <f t="shared" si="216"/>
        <v>#REF!</v>
      </c>
      <c r="BS344" s="265">
        <v>2.2152055166811224E-3</v>
      </c>
      <c r="BT344" s="475">
        <v>4128945.7098781224</v>
      </c>
      <c r="BU344" s="475">
        <v>98041.29012187745</v>
      </c>
      <c r="BV344" s="475">
        <v>0</v>
      </c>
      <c r="BW344" s="483">
        <f t="shared" si="217"/>
        <v>0</v>
      </c>
      <c r="BX344" s="483">
        <f t="shared" si="218"/>
        <v>0</v>
      </c>
    </row>
    <row r="345" spans="1:76" s="103" customFormat="1" ht="29">
      <c r="A345" s="100" t="s">
        <v>2259</v>
      </c>
      <c r="B345" s="91" t="str">
        <f t="shared" si="186"/>
        <v>STW</v>
      </c>
      <c r="C345" s="92" t="s">
        <v>2330</v>
      </c>
      <c r="D345" s="448"/>
      <c r="E345" s="451">
        <v>3201377</v>
      </c>
      <c r="F345" s="409" t="s">
        <v>2364</v>
      </c>
      <c r="G345" s="588" t="s">
        <v>4523</v>
      </c>
      <c r="H345" s="398">
        <v>0.3</v>
      </c>
      <c r="I345" s="151"/>
      <c r="J345" s="95" t="s">
        <v>1166</v>
      </c>
      <c r="K345" s="191">
        <v>1183361</v>
      </c>
      <c r="L345" s="269">
        <v>0.46388261956744814</v>
      </c>
      <c r="M345" s="585">
        <v>1</v>
      </c>
      <c r="N345" s="267">
        <f t="shared" si="187"/>
        <v>0</v>
      </c>
      <c r="O345" s="96">
        <f t="shared" si="188"/>
        <v>1018678.8198278134</v>
      </c>
      <c r="P345" s="96">
        <f t="shared" si="222"/>
        <v>164682.18017218649</v>
      </c>
      <c r="Q345" s="96">
        <f t="shared" si="189"/>
        <v>0</v>
      </c>
      <c r="R345" s="187" t="s">
        <v>2314</v>
      </c>
      <c r="S345" s="187" t="s">
        <v>3607</v>
      </c>
      <c r="T345" s="94" t="s">
        <v>5395</v>
      </c>
      <c r="U345" s="395">
        <f>COUNTIF(Aggregation_of_rev_to_allocate!$A$3:$A$137,$T345)</f>
        <v>0</v>
      </c>
      <c r="V345" s="100"/>
      <c r="W345" s="100">
        <v>439</v>
      </c>
      <c r="X345" s="109">
        <v>164682.21320037934</v>
      </c>
      <c r="Y345" s="109">
        <v>0</v>
      </c>
      <c r="Z345" s="110">
        <v>0.46388271260243591</v>
      </c>
      <c r="AA345" s="110">
        <v>1</v>
      </c>
      <c r="AB345" s="110">
        <v>0</v>
      </c>
      <c r="AC345" s="109">
        <f>IF(ISERROR((X345*SUMIF('Rev_for_allocation(Hard)'!$A$3:$A$249,$T345,'Rev_for_allocation(Hard)'!$I$3:$I$249)/SUMIF(Historic_capex_list!$T$9:$T$586,$T345,Historic_capex_list!$X$9:$X$586))=TRUE),0,X345*SUMIF('Rev_for_allocation(Hard)'!$A$3:$A$249,$T345,'Rev_for_allocation(Hard)'!$I$3:$I$249)/SUMIF(Historic_capex_list!$T$9:$T$586,$T345,Historic_capex_list!$X$9:$X$586))</f>
        <v>0</v>
      </c>
      <c r="AD345" s="109">
        <f t="shared" si="190"/>
        <v>164682.21320037934</v>
      </c>
      <c r="AE345" s="109">
        <f t="shared" si="191"/>
        <v>164682.21320037934</v>
      </c>
      <c r="AF345" s="109">
        <f t="shared" si="192"/>
        <v>164682.21320037934</v>
      </c>
      <c r="AG345" s="332" t="str">
        <f t="shared" si="193"/>
        <v>N</v>
      </c>
      <c r="AH345" s="332">
        <f t="shared" si="219"/>
        <v>0</v>
      </c>
      <c r="AI345" s="332">
        <f t="shared" si="220"/>
        <v>0</v>
      </c>
      <c r="AJ345" s="109">
        <f t="shared" si="221"/>
        <v>164682.21320037934</v>
      </c>
      <c r="AK345" s="109">
        <f t="shared" si="194"/>
        <v>0</v>
      </c>
      <c r="AL345" s="109">
        <v>0</v>
      </c>
      <c r="AM345" s="111">
        <f t="shared" si="195"/>
        <v>0</v>
      </c>
      <c r="AN345" s="111">
        <f t="shared" si="196"/>
        <v>0</v>
      </c>
      <c r="AO345" s="111" t="str">
        <f t="shared" si="197"/>
        <v>Use deduct 3yrs</v>
      </c>
      <c r="AP345" s="111">
        <f t="shared" si="198"/>
        <v>0</v>
      </c>
      <c r="AQ345" s="112">
        <f t="shared" si="199"/>
        <v>0</v>
      </c>
      <c r="AR345" s="112">
        <f t="shared" si="200"/>
        <v>1</v>
      </c>
      <c r="AS345" s="113">
        <f t="shared" si="201"/>
        <v>2028</v>
      </c>
      <c r="AT345" s="109">
        <v>164682.18017218649</v>
      </c>
      <c r="AU345" s="114">
        <v>1</v>
      </c>
      <c r="AV345" s="113">
        <v>2028</v>
      </c>
      <c r="AW345" s="112">
        <f t="shared" si="202"/>
        <v>0.46388261956744814</v>
      </c>
      <c r="AX345" s="109">
        <f t="shared" si="203"/>
        <v>164682.18017218649</v>
      </c>
      <c r="AY345" s="109">
        <f t="shared" si="204"/>
        <v>0</v>
      </c>
      <c r="AZ345" s="109">
        <f t="shared" si="205"/>
        <v>164682.18017218649</v>
      </c>
      <c r="BA345" s="111">
        <f t="shared" si="206"/>
        <v>0</v>
      </c>
      <c r="BB345" s="117"/>
      <c r="BC345" s="115" t="str">
        <f t="shared" si="207"/>
        <v>N</v>
      </c>
      <c r="BD345" s="115" t="str">
        <f t="shared" si="208"/>
        <v>Y</v>
      </c>
      <c r="BE345" s="115" t="str">
        <f t="shared" si="209"/>
        <v>N</v>
      </c>
      <c r="BF345" s="109" t="str">
        <f t="shared" si="210"/>
        <v/>
      </c>
      <c r="BG345" s="111" t="s">
        <v>2499</v>
      </c>
      <c r="BH345" s="115" t="s">
        <v>1168</v>
      </c>
      <c r="BI345" s="116"/>
      <c r="BJ345" s="222">
        <v>0.46388261956744814</v>
      </c>
      <c r="BK345" s="265">
        <f t="shared" si="211"/>
        <v>0</v>
      </c>
      <c r="BL345" s="265">
        <f t="shared" si="212"/>
        <v>0</v>
      </c>
      <c r="BM345" s="265">
        <f t="shared" si="213"/>
        <v>8.7311491370201111E-11</v>
      </c>
      <c r="BN345" s="265">
        <f t="shared" si="214"/>
        <v>3.3028192847268656E-2</v>
      </c>
      <c r="BO345" s="109"/>
      <c r="BP345" s="265">
        <f t="shared" si="215"/>
        <v>3.3028192847268656E-2</v>
      </c>
      <c r="BQ345" s="265">
        <v>3.3028192847268656E-2</v>
      </c>
      <c r="BR345" s="265" t="e">
        <f t="shared" si="216"/>
        <v>#REF!</v>
      </c>
      <c r="BS345" s="265">
        <v>3.7209309822378144E-3</v>
      </c>
      <c r="BT345" s="475">
        <v>1018678.8198278134</v>
      </c>
      <c r="BU345" s="475">
        <v>164682.18017218649</v>
      </c>
      <c r="BV345" s="475">
        <v>0</v>
      </c>
      <c r="BW345" s="483">
        <f t="shared" si="217"/>
        <v>0</v>
      </c>
      <c r="BX345" s="483">
        <f t="shared" si="218"/>
        <v>0</v>
      </c>
    </row>
    <row r="346" spans="1:76" s="103" customFormat="1" ht="29">
      <c r="A346" s="100" t="s">
        <v>2259</v>
      </c>
      <c r="B346" s="91" t="str">
        <f t="shared" si="186"/>
        <v>STW</v>
      </c>
      <c r="C346" s="92" t="s">
        <v>2330</v>
      </c>
      <c r="D346" s="448"/>
      <c r="E346" s="451">
        <v>3201377</v>
      </c>
      <c r="F346" s="409" t="s">
        <v>2364</v>
      </c>
      <c r="G346" s="588" t="s">
        <v>4523</v>
      </c>
      <c r="H346" s="398">
        <v>0.3</v>
      </c>
      <c r="I346" s="151"/>
      <c r="J346" s="95" t="s">
        <v>1166</v>
      </c>
      <c r="K346" s="191">
        <v>5239610.66</v>
      </c>
      <c r="L346" s="269">
        <v>0.46388261956744814</v>
      </c>
      <c r="M346" s="585">
        <v>1</v>
      </c>
      <c r="N346" s="267">
        <f t="shared" si="187"/>
        <v>0</v>
      </c>
      <c r="O346" s="96">
        <f t="shared" si="188"/>
        <v>4510441.3644577023</v>
      </c>
      <c r="P346" s="96">
        <f t="shared" si="222"/>
        <v>729169.29554229777</v>
      </c>
      <c r="Q346" s="96">
        <f t="shared" si="189"/>
        <v>0</v>
      </c>
      <c r="R346" s="187" t="s">
        <v>2314</v>
      </c>
      <c r="S346" s="187" t="s">
        <v>3607</v>
      </c>
      <c r="T346" s="94" t="s">
        <v>5395</v>
      </c>
      <c r="U346" s="395">
        <f>COUNTIF(Aggregation_of_rev_to_allocate!$A$3:$A$137,$T346)</f>
        <v>0</v>
      </c>
      <c r="V346" s="100"/>
      <c r="W346" s="100">
        <v>439</v>
      </c>
      <c r="X346" s="109">
        <v>729169.44178243191</v>
      </c>
      <c r="Y346" s="109">
        <v>0</v>
      </c>
      <c r="Z346" s="110">
        <v>0.46388271260243591</v>
      </c>
      <c r="AA346" s="110">
        <v>1</v>
      </c>
      <c r="AB346" s="110">
        <v>0</v>
      </c>
      <c r="AC346" s="109">
        <f>IF(ISERROR((X346*SUMIF('Rev_for_allocation(Hard)'!$A$3:$A$249,$T346,'Rev_for_allocation(Hard)'!$I$3:$I$249)/SUMIF(Historic_capex_list!$T$9:$T$586,$T346,Historic_capex_list!$X$9:$X$586))=TRUE),0,X346*SUMIF('Rev_for_allocation(Hard)'!$A$3:$A$249,$T346,'Rev_for_allocation(Hard)'!$I$3:$I$249)/SUMIF(Historic_capex_list!$T$9:$T$586,$T346,Historic_capex_list!$X$9:$X$586))</f>
        <v>0</v>
      </c>
      <c r="AD346" s="109">
        <f t="shared" si="190"/>
        <v>729169.44178243191</v>
      </c>
      <c r="AE346" s="109">
        <f t="shared" si="191"/>
        <v>729169.44178243191</v>
      </c>
      <c r="AF346" s="109">
        <f t="shared" si="192"/>
        <v>729169.44178243191</v>
      </c>
      <c r="AG346" s="332" t="str">
        <f t="shared" si="193"/>
        <v>N</v>
      </c>
      <c r="AH346" s="332">
        <f t="shared" si="219"/>
        <v>0</v>
      </c>
      <c r="AI346" s="332">
        <f t="shared" si="220"/>
        <v>0</v>
      </c>
      <c r="AJ346" s="109">
        <f t="shared" si="221"/>
        <v>729169.44178243191</v>
      </c>
      <c r="AK346" s="109">
        <f t="shared" si="194"/>
        <v>0</v>
      </c>
      <c r="AL346" s="109">
        <v>0</v>
      </c>
      <c r="AM346" s="111">
        <f t="shared" si="195"/>
        <v>0</v>
      </c>
      <c r="AN346" s="111">
        <f t="shared" si="196"/>
        <v>0</v>
      </c>
      <c r="AO346" s="111" t="str">
        <f t="shared" si="197"/>
        <v>Use deduct 3yrs</v>
      </c>
      <c r="AP346" s="111">
        <f t="shared" si="198"/>
        <v>0</v>
      </c>
      <c r="AQ346" s="112">
        <f t="shared" si="199"/>
        <v>0</v>
      </c>
      <c r="AR346" s="112">
        <f t="shared" si="200"/>
        <v>1</v>
      </c>
      <c r="AS346" s="113">
        <f t="shared" si="201"/>
        <v>2028</v>
      </c>
      <c r="AT346" s="109">
        <v>729169.29554229777</v>
      </c>
      <c r="AU346" s="114">
        <v>1</v>
      </c>
      <c r="AV346" s="113">
        <v>2028</v>
      </c>
      <c r="AW346" s="112">
        <f t="shared" si="202"/>
        <v>0.46388261956744814</v>
      </c>
      <c r="AX346" s="109">
        <f t="shared" si="203"/>
        <v>729169.29554229777</v>
      </c>
      <c r="AY346" s="109">
        <f t="shared" si="204"/>
        <v>0</v>
      </c>
      <c r="AZ346" s="109">
        <f t="shared" si="205"/>
        <v>729169.29554229777</v>
      </c>
      <c r="BA346" s="111">
        <f t="shared" si="206"/>
        <v>0</v>
      </c>
      <c r="BB346" s="117"/>
      <c r="BC346" s="115" t="str">
        <f t="shared" si="207"/>
        <v>N</v>
      </c>
      <c r="BD346" s="115" t="str">
        <f t="shared" si="208"/>
        <v>Y</v>
      </c>
      <c r="BE346" s="115" t="str">
        <f t="shared" si="209"/>
        <v>N</v>
      </c>
      <c r="BF346" s="109" t="str">
        <f t="shared" si="210"/>
        <v/>
      </c>
      <c r="BG346" s="111" t="s">
        <v>2499</v>
      </c>
      <c r="BH346" s="115" t="s">
        <v>1168</v>
      </c>
      <c r="BI346" s="116"/>
      <c r="BJ346" s="222">
        <v>0.46388261956744814</v>
      </c>
      <c r="BK346" s="265">
        <f t="shared" si="211"/>
        <v>0</v>
      </c>
      <c r="BL346" s="265">
        <f t="shared" si="212"/>
        <v>0</v>
      </c>
      <c r="BM346" s="265">
        <f t="shared" si="213"/>
        <v>1.1641532182693481E-10</v>
      </c>
      <c r="BN346" s="265">
        <f t="shared" si="214"/>
        <v>0.14624013414140791</v>
      </c>
      <c r="BO346" s="109"/>
      <c r="BP346" s="265">
        <f t="shared" si="215"/>
        <v>0.14624013414140791</v>
      </c>
      <c r="BQ346" s="265">
        <v>0.14624013414140791</v>
      </c>
      <c r="BR346" s="265" t="e">
        <f t="shared" si="216"/>
        <v>#REF!</v>
      </c>
      <c r="BS346" s="265">
        <v>1.6475301827431905E-2</v>
      </c>
      <c r="BT346" s="475">
        <v>4510441.3644577023</v>
      </c>
      <c r="BU346" s="475">
        <v>729169.29554229777</v>
      </c>
      <c r="BV346" s="475">
        <v>0</v>
      </c>
      <c r="BW346" s="483">
        <f t="shared" si="217"/>
        <v>0</v>
      </c>
      <c r="BX346" s="483">
        <f t="shared" si="218"/>
        <v>0</v>
      </c>
    </row>
    <row r="347" spans="1:76" s="103" customFormat="1" ht="72.5">
      <c r="A347" s="100" t="s">
        <v>2259</v>
      </c>
      <c r="B347" s="91" t="str">
        <f t="shared" si="186"/>
        <v>STW</v>
      </c>
      <c r="C347" s="92" t="s">
        <v>2308</v>
      </c>
      <c r="D347" s="448"/>
      <c r="E347" s="451">
        <v>3201382</v>
      </c>
      <c r="F347" s="409" t="s">
        <v>2366</v>
      </c>
      <c r="G347" s="588" t="s">
        <v>5212</v>
      </c>
      <c r="H347" s="398">
        <v>0.3</v>
      </c>
      <c r="I347" s="151"/>
      <c r="J347" s="95" t="s">
        <v>1166</v>
      </c>
      <c r="K347" s="191">
        <v>9670347</v>
      </c>
      <c r="L347" s="269">
        <v>0.43628416389620339</v>
      </c>
      <c r="M347" s="585">
        <v>1</v>
      </c>
      <c r="N347" s="267">
        <f t="shared" si="187"/>
        <v>0</v>
      </c>
      <c r="O347" s="96">
        <f t="shared" si="188"/>
        <v>8404641.2233556509</v>
      </c>
      <c r="P347" s="96">
        <f t="shared" si="222"/>
        <v>1265705.7766443475</v>
      </c>
      <c r="Q347" s="96">
        <f t="shared" si="189"/>
        <v>0</v>
      </c>
      <c r="R347" s="187" t="s">
        <v>2562</v>
      </c>
      <c r="S347" s="187" t="s">
        <v>3607</v>
      </c>
      <c r="T347" s="94" t="s">
        <v>5401</v>
      </c>
      <c r="U347" s="395">
        <f>COUNTIF(Aggregation_of_rev_to_allocate!$A$3:$A$137,$T347)</f>
        <v>0</v>
      </c>
      <c r="V347" s="100"/>
      <c r="W347" s="100">
        <v>305</v>
      </c>
      <c r="X347" s="109">
        <v>1345772.0394500485</v>
      </c>
      <c r="Y347" s="109">
        <v>0</v>
      </c>
      <c r="Z347" s="110">
        <v>0.46388271260243591</v>
      </c>
      <c r="AA347" s="110">
        <v>1</v>
      </c>
      <c r="AB347" s="110">
        <v>0</v>
      </c>
      <c r="AC347" s="109">
        <f>IF(ISERROR((X347*SUMIF('Rev_for_allocation(Hard)'!$A$3:$A$249,$T347,'Rev_for_allocation(Hard)'!$I$3:$I$249)/SUMIF(Historic_capex_list!$T$9:$T$586,$T347,Historic_capex_list!$X$9:$X$586))=TRUE),0,X347*SUMIF('Rev_for_allocation(Hard)'!$A$3:$A$249,$T347,'Rev_for_allocation(Hard)'!$I$3:$I$249)/SUMIF(Historic_capex_list!$T$9:$T$586,$T347,Historic_capex_list!$X$9:$X$586))</f>
        <v>0</v>
      </c>
      <c r="AD347" s="109">
        <f t="shared" si="190"/>
        <v>1345772.0394500485</v>
      </c>
      <c r="AE347" s="109">
        <f t="shared" si="191"/>
        <v>1345772.0394500485</v>
      </c>
      <c r="AF347" s="109">
        <f t="shared" si="192"/>
        <v>1345772.0394500485</v>
      </c>
      <c r="AG347" s="332" t="str">
        <f t="shared" si="193"/>
        <v>N</v>
      </c>
      <c r="AH347" s="332">
        <f t="shared" si="219"/>
        <v>0</v>
      </c>
      <c r="AI347" s="332">
        <f t="shared" si="220"/>
        <v>0</v>
      </c>
      <c r="AJ347" s="109">
        <f t="shared" si="221"/>
        <v>1345772.0394500485</v>
      </c>
      <c r="AK347" s="109">
        <f t="shared" si="194"/>
        <v>0</v>
      </c>
      <c r="AL347" s="109">
        <v>0</v>
      </c>
      <c r="AM347" s="111">
        <f t="shared" si="195"/>
        <v>0</v>
      </c>
      <c r="AN347" s="111">
        <f t="shared" si="196"/>
        <v>0</v>
      </c>
      <c r="AO347" s="111" t="str">
        <f t="shared" si="197"/>
        <v>Use deduct 3yrs</v>
      </c>
      <c r="AP347" s="111">
        <f t="shared" si="198"/>
        <v>0</v>
      </c>
      <c r="AQ347" s="112">
        <f t="shared" si="199"/>
        <v>0</v>
      </c>
      <c r="AR347" s="112">
        <f t="shared" si="200"/>
        <v>1</v>
      </c>
      <c r="AS347" s="113">
        <f t="shared" si="201"/>
        <v>2028</v>
      </c>
      <c r="AT347" s="109">
        <v>1265705.7766443477</v>
      </c>
      <c r="AU347" s="114">
        <v>1</v>
      </c>
      <c r="AV347" s="113">
        <v>2028</v>
      </c>
      <c r="AW347" s="112">
        <f t="shared" si="202"/>
        <v>0.43628416389620339</v>
      </c>
      <c r="AX347" s="109">
        <f t="shared" si="203"/>
        <v>1265705.7766443475</v>
      </c>
      <c r="AY347" s="109">
        <f t="shared" si="204"/>
        <v>0</v>
      </c>
      <c r="AZ347" s="109">
        <f t="shared" si="205"/>
        <v>1265705.7766443475</v>
      </c>
      <c r="BA347" s="111">
        <f t="shared" si="206"/>
        <v>0</v>
      </c>
      <c r="BB347" s="117"/>
      <c r="BC347" s="115" t="str">
        <f t="shared" si="207"/>
        <v>N</v>
      </c>
      <c r="BD347" s="115" t="str">
        <f t="shared" si="208"/>
        <v>Y</v>
      </c>
      <c r="BE347" s="115" t="str">
        <f t="shared" si="209"/>
        <v>N</v>
      </c>
      <c r="BF347" s="109" t="str">
        <f t="shared" si="210"/>
        <v/>
      </c>
      <c r="BG347" s="111" t="s">
        <v>2499</v>
      </c>
      <c r="BH347" s="115" t="s">
        <v>1168</v>
      </c>
      <c r="BI347" s="116"/>
      <c r="BJ347" s="222">
        <v>0.43628416389620339</v>
      </c>
      <c r="BK347" s="265">
        <f t="shared" si="211"/>
        <v>0</v>
      </c>
      <c r="BL347" s="265">
        <f t="shared" si="212"/>
        <v>0</v>
      </c>
      <c r="BM347" s="265">
        <f t="shared" si="213"/>
        <v>1.6298145055770874E-9</v>
      </c>
      <c r="BN347" s="265">
        <f t="shared" si="214"/>
        <v>80066.262805701001</v>
      </c>
      <c r="BO347" s="109"/>
      <c r="BP347" s="265">
        <f t="shared" si="215"/>
        <v>80066.262805700768</v>
      </c>
      <c r="BQ347" s="265">
        <v>80066.262805700768</v>
      </c>
      <c r="BR347" s="265" t="e">
        <f t="shared" si="216"/>
        <v>#REF!</v>
      </c>
      <c r="BS347" s="265">
        <v>9020.2040203469514</v>
      </c>
      <c r="BT347" s="475">
        <v>8404641.2233556509</v>
      </c>
      <c r="BU347" s="475">
        <v>1265705.7766443475</v>
      </c>
      <c r="BV347" s="475">
        <v>0</v>
      </c>
      <c r="BW347" s="483">
        <f t="shared" si="217"/>
        <v>0</v>
      </c>
      <c r="BX347" s="483">
        <f t="shared" si="218"/>
        <v>0</v>
      </c>
    </row>
    <row r="348" spans="1:76" s="103" customFormat="1" ht="29">
      <c r="A348" s="100" t="s">
        <v>2259</v>
      </c>
      <c r="B348" s="91" t="str">
        <f t="shared" si="186"/>
        <v>STW</v>
      </c>
      <c r="C348" s="92" t="s">
        <v>2330</v>
      </c>
      <c r="D348" s="448"/>
      <c r="E348" s="451">
        <v>3201380</v>
      </c>
      <c r="F348" s="409" t="s">
        <v>2365</v>
      </c>
      <c r="G348" s="588" t="s">
        <v>5213</v>
      </c>
      <c r="H348" s="398">
        <v>0.3</v>
      </c>
      <c r="I348" s="151"/>
      <c r="J348" s="95" t="s">
        <v>1166</v>
      </c>
      <c r="K348" s="191">
        <v>3194750</v>
      </c>
      <c r="L348" s="269">
        <v>0.46388273307654981</v>
      </c>
      <c r="M348" s="585">
        <v>1</v>
      </c>
      <c r="N348" s="267">
        <f t="shared" si="187"/>
        <v>0</v>
      </c>
      <c r="O348" s="96">
        <f t="shared" si="188"/>
        <v>2750153.1915511079</v>
      </c>
      <c r="P348" s="96">
        <f t="shared" si="222"/>
        <v>444596.8084488922</v>
      </c>
      <c r="Q348" s="96">
        <f t="shared" si="189"/>
        <v>0</v>
      </c>
      <c r="R348" s="187" t="s">
        <v>2332</v>
      </c>
      <c r="S348" s="187" t="s">
        <v>3607</v>
      </c>
      <c r="T348" s="94" t="s">
        <v>5403</v>
      </c>
      <c r="U348" s="395">
        <f>COUNTIF(Aggregation_of_rev_to_allocate!$A$3:$A$137,$T348)</f>
        <v>0</v>
      </c>
      <c r="V348" s="100"/>
      <c r="W348" s="100">
        <v>252</v>
      </c>
      <c r="X348" s="109">
        <v>444596.78882598964</v>
      </c>
      <c r="Y348" s="109">
        <v>0</v>
      </c>
      <c r="Z348" s="110">
        <v>0.46388271260243591</v>
      </c>
      <c r="AA348" s="110">
        <v>1</v>
      </c>
      <c r="AB348" s="110">
        <v>0</v>
      </c>
      <c r="AC348" s="109">
        <f>IF(ISERROR((X348*SUMIF('Rev_for_allocation(Hard)'!$A$3:$A$249,$T348,'Rev_for_allocation(Hard)'!$I$3:$I$249)/SUMIF(Historic_capex_list!$T$9:$T$586,$T348,Historic_capex_list!$X$9:$X$586))=TRUE),0,X348*SUMIF('Rev_for_allocation(Hard)'!$A$3:$A$249,$T348,'Rev_for_allocation(Hard)'!$I$3:$I$249)/SUMIF(Historic_capex_list!$T$9:$T$586,$T348,Historic_capex_list!$X$9:$X$586))</f>
        <v>0</v>
      </c>
      <c r="AD348" s="109">
        <f t="shared" si="190"/>
        <v>444596.78882598964</v>
      </c>
      <c r="AE348" s="109">
        <f t="shared" si="191"/>
        <v>444596.78882598964</v>
      </c>
      <c r="AF348" s="109">
        <f t="shared" si="192"/>
        <v>444596.78882598964</v>
      </c>
      <c r="AG348" s="332" t="str">
        <f t="shared" si="193"/>
        <v>N</v>
      </c>
      <c r="AH348" s="332">
        <f t="shared" si="219"/>
        <v>0</v>
      </c>
      <c r="AI348" s="332">
        <f t="shared" si="220"/>
        <v>0</v>
      </c>
      <c r="AJ348" s="109">
        <f t="shared" si="221"/>
        <v>444596.78882598964</v>
      </c>
      <c r="AK348" s="109">
        <f t="shared" si="194"/>
        <v>0</v>
      </c>
      <c r="AL348" s="109">
        <v>0</v>
      </c>
      <c r="AM348" s="111">
        <f t="shared" si="195"/>
        <v>0</v>
      </c>
      <c r="AN348" s="111">
        <f t="shared" si="196"/>
        <v>0</v>
      </c>
      <c r="AO348" s="111" t="str">
        <f t="shared" si="197"/>
        <v>Use deduct 3yrs</v>
      </c>
      <c r="AP348" s="111">
        <f t="shared" si="198"/>
        <v>0</v>
      </c>
      <c r="AQ348" s="112">
        <f t="shared" si="199"/>
        <v>0</v>
      </c>
      <c r="AR348" s="112">
        <f t="shared" si="200"/>
        <v>1</v>
      </c>
      <c r="AS348" s="113">
        <f t="shared" si="201"/>
        <v>2028</v>
      </c>
      <c r="AT348" s="109">
        <v>444596.80844889226</v>
      </c>
      <c r="AU348" s="114">
        <v>1</v>
      </c>
      <c r="AV348" s="113">
        <v>2028</v>
      </c>
      <c r="AW348" s="112">
        <f t="shared" si="202"/>
        <v>0.46388273307654981</v>
      </c>
      <c r="AX348" s="109">
        <f t="shared" si="203"/>
        <v>444596.8084488922</v>
      </c>
      <c r="AY348" s="109">
        <f t="shared" si="204"/>
        <v>0</v>
      </c>
      <c r="AZ348" s="109">
        <f t="shared" si="205"/>
        <v>444596.8084488922</v>
      </c>
      <c r="BA348" s="111">
        <f t="shared" si="206"/>
        <v>0</v>
      </c>
      <c r="BB348" s="117"/>
      <c r="BC348" s="115" t="str">
        <f t="shared" si="207"/>
        <v>N</v>
      </c>
      <c r="BD348" s="115" t="str">
        <f t="shared" si="208"/>
        <v>Y</v>
      </c>
      <c r="BE348" s="115" t="str">
        <f t="shared" si="209"/>
        <v>N</v>
      </c>
      <c r="BF348" s="109" t="str">
        <f t="shared" si="210"/>
        <v/>
      </c>
      <c r="BG348" s="111" t="s">
        <v>2499</v>
      </c>
      <c r="BH348" s="115" t="s">
        <v>1168</v>
      </c>
      <c r="BI348" s="116"/>
      <c r="BJ348" s="222">
        <v>0.46388273307654981</v>
      </c>
      <c r="BK348" s="265">
        <f t="shared" si="211"/>
        <v>0</v>
      </c>
      <c r="BL348" s="265">
        <f t="shared" si="212"/>
        <v>0</v>
      </c>
      <c r="BM348" s="265">
        <f t="shared" si="213"/>
        <v>-1.1641532182693481E-10</v>
      </c>
      <c r="BN348" s="265">
        <f t="shared" si="214"/>
        <v>-1.9622902560513467E-2</v>
      </c>
      <c r="BO348" s="109"/>
      <c r="BP348" s="265">
        <f t="shared" si="215"/>
        <v>-1.9622902618721128E-2</v>
      </c>
      <c r="BQ348" s="265">
        <v>-1.9622902618721128E-2</v>
      </c>
      <c r="BR348" s="265" t="e">
        <f t="shared" si="216"/>
        <v>#REF!</v>
      </c>
      <c r="BS348" s="265">
        <v>-2.2107012228334247E-3</v>
      </c>
      <c r="BT348" s="475">
        <v>2750153.1915511079</v>
      </c>
      <c r="BU348" s="475">
        <v>444596.8084488922</v>
      </c>
      <c r="BV348" s="475">
        <v>0</v>
      </c>
      <c r="BW348" s="483">
        <f t="shared" si="217"/>
        <v>0</v>
      </c>
      <c r="BX348" s="483">
        <f t="shared" si="218"/>
        <v>0</v>
      </c>
    </row>
    <row r="349" spans="1:76" s="103" customFormat="1" ht="188.5">
      <c r="A349" s="100" t="s">
        <v>2259</v>
      </c>
      <c r="B349" s="91" t="str">
        <f t="shared" si="186"/>
        <v>STW</v>
      </c>
      <c r="C349" s="92" t="s">
        <v>2313</v>
      </c>
      <c r="D349" s="448"/>
      <c r="E349" s="451">
        <v>3201383</v>
      </c>
      <c r="F349" s="409" t="s">
        <v>2367</v>
      </c>
      <c r="G349" s="587" t="s">
        <v>5214</v>
      </c>
      <c r="H349" s="398">
        <v>0.3</v>
      </c>
      <c r="I349" s="151"/>
      <c r="J349" s="95" t="s">
        <v>1166</v>
      </c>
      <c r="K349" s="191">
        <v>2300464</v>
      </c>
      <c r="L349" s="269">
        <v>0.43628416389620334</v>
      </c>
      <c r="M349" s="585">
        <v>1</v>
      </c>
      <c r="N349" s="267">
        <f t="shared" si="187"/>
        <v>0</v>
      </c>
      <c r="O349" s="96">
        <f t="shared" si="188"/>
        <v>1999367.1961560051</v>
      </c>
      <c r="P349" s="96">
        <f t="shared" si="222"/>
        <v>301096.80384399462</v>
      </c>
      <c r="Q349" s="96">
        <f t="shared" si="189"/>
        <v>0</v>
      </c>
      <c r="R349" s="187" t="s">
        <v>2562</v>
      </c>
      <c r="S349" s="187" t="s">
        <v>3607</v>
      </c>
      <c r="T349" s="94" t="s">
        <v>5401</v>
      </c>
      <c r="U349" s="395">
        <f>COUNTIF(Aggregation_of_rev_to_allocate!$A$3:$A$137,$T349)</f>
        <v>0</v>
      </c>
      <c r="V349" s="100"/>
      <c r="W349" s="100">
        <v>306</v>
      </c>
      <c r="X349" s="109">
        <v>320143.64416927495</v>
      </c>
      <c r="Y349" s="109">
        <v>0</v>
      </c>
      <c r="Z349" s="110">
        <v>0.46388271260243585</v>
      </c>
      <c r="AA349" s="110">
        <v>1</v>
      </c>
      <c r="AB349" s="110">
        <v>0</v>
      </c>
      <c r="AC349" s="109">
        <f>IF(ISERROR((X349*SUMIF('Rev_for_allocation(Hard)'!$A$3:$A$249,$T349,'Rev_for_allocation(Hard)'!$I$3:$I$249)/SUMIF(Historic_capex_list!$T$9:$T$586,$T349,Historic_capex_list!$X$9:$X$586))=TRUE),0,X349*SUMIF('Rev_for_allocation(Hard)'!$A$3:$A$249,$T349,'Rev_for_allocation(Hard)'!$I$3:$I$249)/SUMIF(Historic_capex_list!$T$9:$T$586,$T349,Historic_capex_list!$X$9:$X$586))</f>
        <v>0</v>
      </c>
      <c r="AD349" s="109">
        <f t="shared" si="190"/>
        <v>320143.64416927495</v>
      </c>
      <c r="AE349" s="109">
        <f t="shared" si="191"/>
        <v>320143.64416927495</v>
      </c>
      <c r="AF349" s="109">
        <f t="shared" si="192"/>
        <v>320143.64416927495</v>
      </c>
      <c r="AG349" s="332" t="str">
        <f t="shared" si="193"/>
        <v>N</v>
      </c>
      <c r="AH349" s="332">
        <f t="shared" si="219"/>
        <v>0</v>
      </c>
      <c r="AI349" s="332">
        <f t="shared" si="220"/>
        <v>0</v>
      </c>
      <c r="AJ349" s="109">
        <f t="shared" si="221"/>
        <v>320143.64416927495</v>
      </c>
      <c r="AK349" s="109">
        <f t="shared" si="194"/>
        <v>0</v>
      </c>
      <c r="AL349" s="109">
        <v>0</v>
      </c>
      <c r="AM349" s="111">
        <f t="shared" si="195"/>
        <v>0</v>
      </c>
      <c r="AN349" s="111">
        <f t="shared" si="196"/>
        <v>0</v>
      </c>
      <c r="AO349" s="111" t="str">
        <f t="shared" si="197"/>
        <v>Use deduct 3yrs</v>
      </c>
      <c r="AP349" s="111">
        <f t="shared" si="198"/>
        <v>0</v>
      </c>
      <c r="AQ349" s="112">
        <f t="shared" si="199"/>
        <v>0</v>
      </c>
      <c r="AR349" s="112">
        <f t="shared" si="200"/>
        <v>1</v>
      </c>
      <c r="AS349" s="113">
        <f t="shared" si="201"/>
        <v>2028</v>
      </c>
      <c r="AT349" s="109">
        <v>301096.80384399462</v>
      </c>
      <c r="AU349" s="114">
        <v>1</v>
      </c>
      <c r="AV349" s="113">
        <v>2028</v>
      </c>
      <c r="AW349" s="112">
        <f t="shared" si="202"/>
        <v>0.43628416389620334</v>
      </c>
      <c r="AX349" s="109">
        <f t="shared" si="203"/>
        <v>301096.80384399462</v>
      </c>
      <c r="AY349" s="109">
        <f t="shared" si="204"/>
        <v>0</v>
      </c>
      <c r="AZ349" s="109">
        <f t="shared" si="205"/>
        <v>301096.80384399462</v>
      </c>
      <c r="BA349" s="111">
        <f t="shared" si="206"/>
        <v>0</v>
      </c>
      <c r="BB349" s="117"/>
      <c r="BC349" s="115" t="str">
        <f t="shared" si="207"/>
        <v>N</v>
      </c>
      <c r="BD349" s="115" t="str">
        <f t="shared" si="208"/>
        <v>Y</v>
      </c>
      <c r="BE349" s="115" t="str">
        <f t="shared" si="209"/>
        <v>N</v>
      </c>
      <c r="BF349" s="109" t="str">
        <f t="shared" si="210"/>
        <v/>
      </c>
      <c r="BG349" s="111" t="s">
        <v>2499</v>
      </c>
      <c r="BH349" s="115" t="s">
        <v>1168</v>
      </c>
      <c r="BI349" s="116"/>
      <c r="BJ349" s="222">
        <v>0.43628416389620334</v>
      </c>
      <c r="BK349" s="265">
        <f t="shared" si="211"/>
        <v>0</v>
      </c>
      <c r="BL349" s="265">
        <f t="shared" si="212"/>
        <v>0</v>
      </c>
      <c r="BM349" s="265">
        <f t="shared" si="213"/>
        <v>2.3283064365386963E-10</v>
      </c>
      <c r="BN349" s="265">
        <f t="shared" si="214"/>
        <v>19046.840325280325</v>
      </c>
      <c r="BO349" s="109"/>
      <c r="BP349" s="265">
        <f t="shared" si="215"/>
        <v>19046.840325280325</v>
      </c>
      <c r="BQ349" s="265">
        <v>19046.840325280325</v>
      </c>
      <c r="BR349" s="265" t="e">
        <f t="shared" si="216"/>
        <v>#REF!</v>
      </c>
      <c r="BS349" s="265">
        <v>2145.8024847984698</v>
      </c>
      <c r="BT349" s="475">
        <v>1999367.1961560051</v>
      </c>
      <c r="BU349" s="475">
        <v>301096.80384399462</v>
      </c>
      <c r="BV349" s="475">
        <v>0</v>
      </c>
      <c r="BW349" s="483">
        <f t="shared" si="217"/>
        <v>0</v>
      </c>
      <c r="BX349" s="483">
        <f t="shared" si="218"/>
        <v>0</v>
      </c>
    </row>
    <row r="350" spans="1:76" s="103" customFormat="1" ht="58">
      <c r="A350" s="100" t="s">
        <v>2259</v>
      </c>
      <c r="B350" s="91" t="str">
        <f t="shared" si="186"/>
        <v>STW</v>
      </c>
      <c r="C350" s="92" t="s">
        <v>2330</v>
      </c>
      <c r="D350" s="448"/>
      <c r="E350" s="451">
        <v>3201384</v>
      </c>
      <c r="F350" s="409" t="s">
        <v>2368</v>
      </c>
      <c r="G350" s="588" t="s">
        <v>5215</v>
      </c>
      <c r="H350" s="398">
        <v>0.3</v>
      </c>
      <c r="I350" s="151"/>
      <c r="J350" s="95" t="s">
        <v>1166</v>
      </c>
      <c r="K350" s="191">
        <v>2315121</v>
      </c>
      <c r="L350" s="269">
        <v>0.43628416389620339</v>
      </c>
      <c r="M350" s="585">
        <v>1</v>
      </c>
      <c r="N350" s="267">
        <f t="shared" si="187"/>
        <v>0</v>
      </c>
      <c r="O350" s="96">
        <f t="shared" si="188"/>
        <v>2012105.8110589371</v>
      </c>
      <c r="P350" s="96">
        <f t="shared" si="222"/>
        <v>303015.18894106266</v>
      </c>
      <c r="Q350" s="96">
        <f t="shared" si="189"/>
        <v>0</v>
      </c>
      <c r="R350" s="187" t="s">
        <v>2562</v>
      </c>
      <c r="S350" s="187" t="s">
        <v>3607</v>
      </c>
      <c r="T350" s="94" t="s">
        <v>5401</v>
      </c>
      <c r="U350" s="395">
        <f>COUNTIF(Aggregation_of_rev_to_allocate!$A$3:$A$137,$T350)</f>
        <v>0</v>
      </c>
      <c r="V350" s="100"/>
      <c r="W350" s="100">
        <v>307</v>
      </c>
      <c r="X350" s="109">
        <v>322183.38284485915</v>
      </c>
      <c r="Y350" s="109">
        <v>0</v>
      </c>
      <c r="Z350" s="110">
        <v>0.46388271260243585</v>
      </c>
      <c r="AA350" s="110">
        <v>1</v>
      </c>
      <c r="AB350" s="110">
        <v>0</v>
      </c>
      <c r="AC350" s="109">
        <f>IF(ISERROR((X350*SUMIF('Rev_for_allocation(Hard)'!$A$3:$A$249,$T350,'Rev_for_allocation(Hard)'!$I$3:$I$249)/SUMIF(Historic_capex_list!$T$9:$T$586,$T350,Historic_capex_list!$X$9:$X$586))=TRUE),0,X350*SUMIF('Rev_for_allocation(Hard)'!$A$3:$A$249,$T350,'Rev_for_allocation(Hard)'!$I$3:$I$249)/SUMIF(Historic_capex_list!$T$9:$T$586,$T350,Historic_capex_list!$X$9:$X$586))</f>
        <v>0</v>
      </c>
      <c r="AD350" s="109">
        <f t="shared" si="190"/>
        <v>322183.38284485915</v>
      </c>
      <c r="AE350" s="109">
        <f t="shared" si="191"/>
        <v>322183.38284485915</v>
      </c>
      <c r="AF350" s="109">
        <f t="shared" si="192"/>
        <v>322183.38284485915</v>
      </c>
      <c r="AG350" s="332" t="str">
        <f t="shared" si="193"/>
        <v>N</v>
      </c>
      <c r="AH350" s="332">
        <f t="shared" si="219"/>
        <v>0</v>
      </c>
      <c r="AI350" s="332">
        <f t="shared" si="220"/>
        <v>0</v>
      </c>
      <c r="AJ350" s="109">
        <f t="shared" si="221"/>
        <v>322183.38284485915</v>
      </c>
      <c r="AK350" s="109">
        <f t="shared" si="194"/>
        <v>0</v>
      </c>
      <c r="AL350" s="109">
        <v>0</v>
      </c>
      <c r="AM350" s="111">
        <f t="shared" si="195"/>
        <v>0</v>
      </c>
      <c r="AN350" s="111">
        <f t="shared" si="196"/>
        <v>0</v>
      </c>
      <c r="AO350" s="111" t="str">
        <f t="shared" si="197"/>
        <v>Use deduct 3yrs</v>
      </c>
      <c r="AP350" s="111">
        <f t="shared" si="198"/>
        <v>0</v>
      </c>
      <c r="AQ350" s="112">
        <f t="shared" si="199"/>
        <v>0</v>
      </c>
      <c r="AR350" s="112">
        <f t="shared" si="200"/>
        <v>1</v>
      </c>
      <c r="AS350" s="113">
        <f t="shared" si="201"/>
        <v>2028</v>
      </c>
      <c r="AT350" s="109">
        <v>303015.18894106266</v>
      </c>
      <c r="AU350" s="114">
        <v>1</v>
      </c>
      <c r="AV350" s="113">
        <v>2028</v>
      </c>
      <c r="AW350" s="112">
        <f t="shared" si="202"/>
        <v>0.43628416389620339</v>
      </c>
      <c r="AX350" s="109">
        <f t="shared" si="203"/>
        <v>303015.18894106266</v>
      </c>
      <c r="AY350" s="109">
        <f t="shared" si="204"/>
        <v>0</v>
      </c>
      <c r="AZ350" s="109">
        <f t="shared" si="205"/>
        <v>303015.18894106266</v>
      </c>
      <c r="BA350" s="111">
        <f t="shared" si="206"/>
        <v>0</v>
      </c>
      <c r="BB350" s="117"/>
      <c r="BC350" s="115" t="str">
        <f t="shared" si="207"/>
        <v>N</v>
      </c>
      <c r="BD350" s="115" t="str">
        <f t="shared" si="208"/>
        <v>Y</v>
      </c>
      <c r="BE350" s="115" t="str">
        <f t="shared" si="209"/>
        <v>N</v>
      </c>
      <c r="BF350" s="109" t="str">
        <f t="shared" si="210"/>
        <v/>
      </c>
      <c r="BG350" s="111" t="s">
        <v>2499</v>
      </c>
      <c r="BH350" s="115" t="s">
        <v>1168</v>
      </c>
      <c r="BI350" s="116"/>
      <c r="BJ350" s="222">
        <v>0.43628416389620339</v>
      </c>
      <c r="BK350" s="265">
        <f t="shared" si="211"/>
        <v>0</v>
      </c>
      <c r="BL350" s="265">
        <f t="shared" si="212"/>
        <v>0</v>
      </c>
      <c r="BM350" s="265">
        <f t="shared" si="213"/>
        <v>2.3283064365386963E-10</v>
      </c>
      <c r="BN350" s="265">
        <f t="shared" si="214"/>
        <v>19168.193903796491</v>
      </c>
      <c r="BO350" s="109"/>
      <c r="BP350" s="265">
        <f t="shared" si="215"/>
        <v>19168.193903796491</v>
      </c>
      <c r="BQ350" s="265">
        <v>19168.193903796491</v>
      </c>
      <c r="BR350" s="265" t="e">
        <f t="shared" si="216"/>
        <v>#REF!</v>
      </c>
      <c r="BS350" s="265">
        <v>2159.4740862752542</v>
      </c>
      <c r="BT350" s="475">
        <v>2012105.8110589371</v>
      </c>
      <c r="BU350" s="475">
        <v>303015.18894106266</v>
      </c>
      <c r="BV350" s="475">
        <v>0</v>
      </c>
      <c r="BW350" s="483">
        <f t="shared" si="217"/>
        <v>0</v>
      </c>
      <c r="BX350" s="483">
        <f t="shared" si="218"/>
        <v>0</v>
      </c>
    </row>
    <row r="351" spans="1:76" s="103" customFormat="1" ht="58">
      <c r="A351" s="100" t="s">
        <v>2259</v>
      </c>
      <c r="B351" s="91" t="str">
        <f t="shared" si="186"/>
        <v>STW</v>
      </c>
      <c r="C351" s="92" t="s">
        <v>2330</v>
      </c>
      <c r="D351" s="448"/>
      <c r="E351" s="451">
        <v>3201384</v>
      </c>
      <c r="F351" s="409" t="s">
        <v>2368</v>
      </c>
      <c r="G351" s="588" t="s">
        <v>5215</v>
      </c>
      <c r="H351" s="398">
        <v>0.3</v>
      </c>
      <c r="I351" s="151"/>
      <c r="J351" s="95" t="s">
        <v>1166</v>
      </c>
      <c r="K351" s="191">
        <v>319569.56</v>
      </c>
      <c r="L351" s="269">
        <v>0.43628416389620345</v>
      </c>
      <c r="M351" s="585">
        <v>1</v>
      </c>
      <c r="N351" s="267">
        <f t="shared" si="187"/>
        <v>0</v>
      </c>
      <c r="O351" s="96">
        <f t="shared" si="188"/>
        <v>277742.61851261673</v>
      </c>
      <c r="P351" s="96">
        <f t="shared" si="222"/>
        <v>41826.941487383287</v>
      </c>
      <c r="Q351" s="96">
        <f t="shared" si="189"/>
        <v>0</v>
      </c>
      <c r="R351" s="187" t="s">
        <v>2562</v>
      </c>
      <c r="S351" s="187" t="s">
        <v>3607</v>
      </c>
      <c r="T351" s="94" t="s">
        <v>5401</v>
      </c>
      <c r="U351" s="395">
        <f>COUNTIF(Aggregation_of_rev_to_allocate!$A$3:$A$137,$T351)</f>
        <v>0</v>
      </c>
      <c r="V351" s="100"/>
      <c r="W351" s="100">
        <v>307</v>
      </c>
      <c r="X351" s="109">
        <v>44472.83830739007</v>
      </c>
      <c r="Y351" s="109">
        <v>0</v>
      </c>
      <c r="Z351" s="110">
        <v>0.46388271260243585</v>
      </c>
      <c r="AA351" s="110">
        <v>1</v>
      </c>
      <c r="AB351" s="110">
        <v>0</v>
      </c>
      <c r="AC351" s="109">
        <f>IF(ISERROR((X351*SUMIF('Rev_for_allocation(Hard)'!$A$3:$A$249,$T351,'Rev_for_allocation(Hard)'!$I$3:$I$249)/SUMIF(Historic_capex_list!$T$9:$T$586,$T351,Historic_capex_list!$X$9:$X$586))=TRUE),0,X351*SUMIF('Rev_for_allocation(Hard)'!$A$3:$A$249,$T351,'Rev_for_allocation(Hard)'!$I$3:$I$249)/SUMIF(Historic_capex_list!$T$9:$T$586,$T351,Historic_capex_list!$X$9:$X$586))</f>
        <v>0</v>
      </c>
      <c r="AD351" s="109">
        <f t="shared" si="190"/>
        <v>44472.83830739007</v>
      </c>
      <c r="AE351" s="109">
        <f t="shared" si="191"/>
        <v>44472.83830739007</v>
      </c>
      <c r="AF351" s="109">
        <f t="shared" si="192"/>
        <v>44472.83830739007</v>
      </c>
      <c r="AG351" s="332" t="str">
        <f t="shared" si="193"/>
        <v>N</v>
      </c>
      <c r="AH351" s="332">
        <f t="shared" si="219"/>
        <v>0</v>
      </c>
      <c r="AI351" s="332">
        <f t="shared" si="220"/>
        <v>0</v>
      </c>
      <c r="AJ351" s="109">
        <f t="shared" si="221"/>
        <v>44472.83830739007</v>
      </c>
      <c r="AK351" s="109">
        <f t="shared" si="194"/>
        <v>0</v>
      </c>
      <c r="AL351" s="109">
        <v>0</v>
      </c>
      <c r="AM351" s="111">
        <f t="shared" si="195"/>
        <v>0</v>
      </c>
      <c r="AN351" s="111">
        <f t="shared" si="196"/>
        <v>0</v>
      </c>
      <c r="AO351" s="111" t="str">
        <f t="shared" si="197"/>
        <v>Use deduct 3yrs</v>
      </c>
      <c r="AP351" s="111">
        <f t="shared" si="198"/>
        <v>0</v>
      </c>
      <c r="AQ351" s="112">
        <f t="shared" si="199"/>
        <v>0</v>
      </c>
      <c r="AR351" s="112">
        <f t="shared" si="200"/>
        <v>1</v>
      </c>
      <c r="AS351" s="113">
        <f t="shared" si="201"/>
        <v>2028</v>
      </c>
      <c r="AT351" s="109">
        <v>41826.941487383287</v>
      </c>
      <c r="AU351" s="114">
        <v>1</v>
      </c>
      <c r="AV351" s="113">
        <v>2028</v>
      </c>
      <c r="AW351" s="112">
        <f t="shared" si="202"/>
        <v>0.43628416389620345</v>
      </c>
      <c r="AX351" s="109">
        <f t="shared" si="203"/>
        <v>41826.941487383287</v>
      </c>
      <c r="AY351" s="109">
        <f t="shared" si="204"/>
        <v>0</v>
      </c>
      <c r="AZ351" s="109">
        <f t="shared" si="205"/>
        <v>41826.941487383287</v>
      </c>
      <c r="BA351" s="111">
        <f t="shared" si="206"/>
        <v>0</v>
      </c>
      <c r="BB351" s="117"/>
      <c r="BC351" s="115" t="str">
        <f t="shared" si="207"/>
        <v>N</v>
      </c>
      <c r="BD351" s="115" t="str">
        <f t="shared" si="208"/>
        <v>Y</v>
      </c>
      <c r="BE351" s="115" t="str">
        <f t="shared" si="209"/>
        <v>N</v>
      </c>
      <c r="BF351" s="109" t="str">
        <f t="shared" si="210"/>
        <v/>
      </c>
      <c r="BG351" s="111" t="s">
        <v>2499</v>
      </c>
      <c r="BH351" s="115" t="s">
        <v>1168</v>
      </c>
      <c r="BI351" s="116"/>
      <c r="BJ351" s="222">
        <v>0.43628416389620345</v>
      </c>
      <c r="BK351" s="265">
        <f t="shared" si="211"/>
        <v>0</v>
      </c>
      <c r="BL351" s="265">
        <f t="shared" si="212"/>
        <v>0</v>
      </c>
      <c r="BM351" s="265">
        <f t="shared" si="213"/>
        <v>-1.4551915228366852E-11</v>
      </c>
      <c r="BN351" s="265">
        <f t="shared" si="214"/>
        <v>2645.8968200067829</v>
      </c>
      <c r="BO351" s="109"/>
      <c r="BP351" s="265">
        <f t="shared" si="215"/>
        <v>2645.8968200067829</v>
      </c>
      <c r="BQ351" s="265">
        <v>2645.8968200067829</v>
      </c>
      <c r="BR351" s="265" t="e">
        <f t="shared" si="216"/>
        <v>#REF!</v>
      </c>
      <c r="BS351" s="265">
        <v>298.08471504616153</v>
      </c>
      <c r="BT351" s="475">
        <v>277742.61851261673</v>
      </c>
      <c r="BU351" s="475">
        <v>41826.941487383287</v>
      </c>
      <c r="BV351" s="475">
        <v>0</v>
      </c>
      <c r="BW351" s="483">
        <f t="shared" si="217"/>
        <v>0</v>
      </c>
      <c r="BX351" s="483">
        <f t="shared" si="218"/>
        <v>0</v>
      </c>
    </row>
    <row r="352" spans="1:76" s="103" customFormat="1" ht="29">
      <c r="A352" s="100"/>
      <c r="B352" s="91" t="str">
        <f t="shared" si="186"/>
        <v>STW</v>
      </c>
      <c r="C352" s="92"/>
      <c r="D352" s="448"/>
      <c r="E352" s="450">
        <v>3201388</v>
      </c>
      <c r="F352" s="384" t="s">
        <v>2369</v>
      </c>
      <c r="G352" s="467" t="s">
        <v>4570</v>
      </c>
      <c r="H352" s="398">
        <v>0.6</v>
      </c>
      <c r="I352" s="95"/>
      <c r="J352" s="95" t="s">
        <v>1166</v>
      </c>
      <c r="K352" s="191">
        <v>231610</v>
      </c>
      <c r="L352" s="268">
        <v>0.46000000815428366</v>
      </c>
      <c r="M352" s="584">
        <v>1</v>
      </c>
      <c r="N352" s="267">
        <f t="shared" si="187"/>
        <v>0</v>
      </c>
      <c r="O352" s="96">
        <f t="shared" si="188"/>
        <v>167685.63886683181</v>
      </c>
      <c r="P352" s="96">
        <f t="shared" si="222"/>
        <v>63924.361133168182</v>
      </c>
      <c r="Q352" s="96">
        <f t="shared" si="189"/>
        <v>0</v>
      </c>
      <c r="R352" s="187" t="s">
        <v>2324</v>
      </c>
      <c r="S352" s="187" t="s">
        <v>3607</v>
      </c>
      <c r="T352" s="94" t="s">
        <v>5400</v>
      </c>
      <c r="U352" s="395">
        <f>COUNTIF(Aggregation_of_rev_to_allocate!$A$3:$A$137,$T352)</f>
        <v>0</v>
      </c>
      <c r="V352" s="100"/>
      <c r="W352" s="100">
        <v>718</v>
      </c>
      <c r="X352" s="109">
        <v>63924.36</v>
      </c>
      <c r="Y352" s="109">
        <v>0</v>
      </c>
      <c r="Z352" s="110">
        <v>0.46</v>
      </c>
      <c r="AA352" s="110">
        <v>1</v>
      </c>
      <c r="AB352" s="110">
        <v>0</v>
      </c>
      <c r="AC352" s="109">
        <f>IF(ISERROR((X352*SUMIF('Rev_for_allocation(Hard)'!$A$3:$A$249,$T352,'Rev_for_allocation(Hard)'!$I$3:$I$249)/SUMIF(Historic_capex_list!$T$9:$T$586,$T352,Historic_capex_list!$X$9:$X$586))=TRUE),0,X352*SUMIF('Rev_for_allocation(Hard)'!$A$3:$A$249,$T352,'Rev_for_allocation(Hard)'!$I$3:$I$249)/SUMIF(Historic_capex_list!$T$9:$T$586,$T352,Historic_capex_list!$X$9:$X$586))</f>
        <v>0</v>
      </c>
      <c r="AD352" s="109">
        <f t="shared" si="190"/>
        <v>63924.36</v>
      </c>
      <c r="AE352" s="109">
        <f t="shared" si="191"/>
        <v>63924.36</v>
      </c>
      <c r="AF352" s="109">
        <f t="shared" si="192"/>
        <v>63924.36</v>
      </c>
      <c r="AG352" s="332" t="str">
        <f t="shared" si="193"/>
        <v>N</v>
      </c>
      <c r="AH352" s="332">
        <f t="shared" si="219"/>
        <v>0</v>
      </c>
      <c r="AI352" s="332">
        <f t="shared" si="220"/>
        <v>0</v>
      </c>
      <c r="AJ352" s="109">
        <f t="shared" si="221"/>
        <v>63924.36</v>
      </c>
      <c r="AK352" s="109">
        <f t="shared" si="194"/>
        <v>0</v>
      </c>
      <c r="AL352" s="109">
        <v>0</v>
      </c>
      <c r="AM352" s="111">
        <f t="shared" si="195"/>
        <v>0</v>
      </c>
      <c r="AN352" s="111">
        <f t="shared" si="196"/>
        <v>0</v>
      </c>
      <c r="AO352" s="111" t="str">
        <f t="shared" si="197"/>
        <v>Use deduct 3yrs</v>
      </c>
      <c r="AP352" s="111">
        <f t="shared" si="198"/>
        <v>0</v>
      </c>
      <c r="AQ352" s="112">
        <f t="shared" si="199"/>
        <v>0</v>
      </c>
      <c r="AR352" s="112">
        <f t="shared" si="200"/>
        <v>1</v>
      </c>
      <c r="AS352" s="113">
        <f t="shared" si="201"/>
        <v>2028</v>
      </c>
      <c r="AT352" s="109">
        <v>63924.361133168182</v>
      </c>
      <c r="AU352" s="114">
        <v>1</v>
      </c>
      <c r="AV352" s="113">
        <v>2028</v>
      </c>
      <c r="AW352" s="112">
        <f t="shared" si="202"/>
        <v>0.46000000815428366</v>
      </c>
      <c r="AX352" s="109">
        <f t="shared" si="203"/>
        <v>63924.361133168182</v>
      </c>
      <c r="AY352" s="109">
        <f t="shared" si="204"/>
        <v>0</v>
      </c>
      <c r="AZ352" s="109">
        <f t="shared" si="205"/>
        <v>63924.361133168182</v>
      </c>
      <c r="BA352" s="111">
        <f t="shared" si="206"/>
        <v>0</v>
      </c>
      <c r="BB352" s="117"/>
      <c r="BC352" s="115" t="str">
        <f t="shared" si="207"/>
        <v>N</v>
      </c>
      <c r="BD352" s="115" t="str">
        <f t="shared" si="208"/>
        <v>Y</v>
      </c>
      <c r="BE352" s="115" t="str">
        <f t="shared" si="209"/>
        <v>N</v>
      </c>
      <c r="BF352" s="109" t="str">
        <f t="shared" si="210"/>
        <v/>
      </c>
      <c r="BG352" s="111" t="s">
        <v>2499</v>
      </c>
      <c r="BH352" s="115" t="s">
        <v>1168</v>
      </c>
      <c r="BI352" s="116"/>
      <c r="BJ352" s="222">
        <v>0.46000000815428366</v>
      </c>
      <c r="BK352" s="265">
        <f t="shared" si="211"/>
        <v>0</v>
      </c>
      <c r="BL352" s="265">
        <f t="shared" si="212"/>
        <v>0</v>
      </c>
      <c r="BM352" s="265">
        <f t="shared" si="213"/>
        <v>7.2759576141834259E-12</v>
      </c>
      <c r="BN352" s="265">
        <f t="shared" si="214"/>
        <v>-1.1331681816955097E-3</v>
      </c>
      <c r="BO352" s="109"/>
      <c r="BP352" s="265">
        <f t="shared" si="215"/>
        <v>-1.1331681816955097E-3</v>
      </c>
      <c r="BQ352" s="265">
        <v>-1.1331681816955097E-3</v>
      </c>
      <c r="BR352" s="265" t="e">
        <f t="shared" si="216"/>
        <v>#REF!</v>
      </c>
      <c r="BS352" s="265">
        <v>-1.2766186193882538E-4</v>
      </c>
      <c r="BT352" s="475">
        <v>167685.63886683181</v>
      </c>
      <c r="BU352" s="475">
        <v>63924.361133168182</v>
      </c>
      <c r="BV352" s="475">
        <v>0</v>
      </c>
      <c r="BW352" s="483">
        <f t="shared" si="217"/>
        <v>0</v>
      </c>
      <c r="BX352" s="483">
        <f t="shared" si="218"/>
        <v>0</v>
      </c>
    </row>
    <row r="353" spans="1:76" s="103" customFormat="1" ht="290">
      <c r="A353" s="100" t="s">
        <v>2259</v>
      </c>
      <c r="B353" s="91" t="str">
        <f t="shared" si="186"/>
        <v>STW</v>
      </c>
      <c r="C353" s="92" t="s">
        <v>2330</v>
      </c>
      <c r="D353" s="448"/>
      <c r="E353" s="451">
        <v>3201389</v>
      </c>
      <c r="F353" s="409" t="s">
        <v>2370</v>
      </c>
      <c r="G353" s="587" t="s">
        <v>5216</v>
      </c>
      <c r="H353" s="398">
        <v>0.6</v>
      </c>
      <c r="I353" s="151"/>
      <c r="J353" s="95" t="s">
        <v>1166</v>
      </c>
      <c r="K353" s="191">
        <v>1907848</v>
      </c>
      <c r="L353" s="269">
        <v>0.46388273307654976</v>
      </c>
      <c r="M353" s="585">
        <v>1</v>
      </c>
      <c r="N353" s="267">
        <f t="shared" si="187"/>
        <v>0</v>
      </c>
      <c r="O353" s="96">
        <f t="shared" si="188"/>
        <v>1376837.3532792225</v>
      </c>
      <c r="P353" s="96">
        <f t="shared" si="222"/>
        <v>531010.6467207775</v>
      </c>
      <c r="Q353" s="96">
        <f t="shared" si="189"/>
        <v>0</v>
      </c>
      <c r="R353" s="187" t="s">
        <v>2332</v>
      </c>
      <c r="S353" s="187" t="s">
        <v>3607</v>
      </c>
      <c r="T353" s="94" t="s">
        <v>5403</v>
      </c>
      <c r="U353" s="395">
        <f>COUNTIF(Aggregation_of_rev_to_allocate!$A$3:$A$137,$T353)</f>
        <v>0</v>
      </c>
      <c r="V353" s="100"/>
      <c r="W353" s="100">
        <v>253</v>
      </c>
      <c r="X353" s="109">
        <v>531010.62328387925</v>
      </c>
      <c r="Y353" s="109">
        <v>0</v>
      </c>
      <c r="Z353" s="110">
        <v>0.46388271260243591</v>
      </c>
      <c r="AA353" s="110">
        <v>1</v>
      </c>
      <c r="AB353" s="110">
        <v>0</v>
      </c>
      <c r="AC353" s="109">
        <f>IF(ISERROR((X353*SUMIF('Rev_for_allocation(Hard)'!$A$3:$A$249,$T353,'Rev_for_allocation(Hard)'!$I$3:$I$249)/SUMIF(Historic_capex_list!$T$9:$T$586,$T353,Historic_capex_list!$X$9:$X$586))=TRUE),0,X353*SUMIF('Rev_for_allocation(Hard)'!$A$3:$A$249,$T353,'Rev_for_allocation(Hard)'!$I$3:$I$249)/SUMIF(Historic_capex_list!$T$9:$T$586,$T353,Historic_capex_list!$X$9:$X$586))</f>
        <v>0</v>
      </c>
      <c r="AD353" s="109">
        <f t="shared" si="190"/>
        <v>531010.62328387925</v>
      </c>
      <c r="AE353" s="109">
        <f t="shared" si="191"/>
        <v>531010.62328387925</v>
      </c>
      <c r="AF353" s="109">
        <f t="shared" si="192"/>
        <v>531010.62328387925</v>
      </c>
      <c r="AG353" s="332" t="str">
        <f t="shared" si="193"/>
        <v>N</v>
      </c>
      <c r="AH353" s="332">
        <f t="shared" si="219"/>
        <v>0</v>
      </c>
      <c r="AI353" s="332">
        <f t="shared" si="220"/>
        <v>0</v>
      </c>
      <c r="AJ353" s="109">
        <f t="shared" si="221"/>
        <v>531010.62328387925</v>
      </c>
      <c r="AK353" s="109">
        <f t="shared" si="194"/>
        <v>0</v>
      </c>
      <c r="AL353" s="109">
        <v>0</v>
      </c>
      <c r="AM353" s="111">
        <f t="shared" si="195"/>
        <v>0</v>
      </c>
      <c r="AN353" s="111">
        <f t="shared" si="196"/>
        <v>0</v>
      </c>
      <c r="AO353" s="111" t="str">
        <f t="shared" si="197"/>
        <v>Use deduct 3yrs</v>
      </c>
      <c r="AP353" s="111">
        <f t="shared" si="198"/>
        <v>0</v>
      </c>
      <c r="AQ353" s="112">
        <f t="shared" si="199"/>
        <v>0</v>
      </c>
      <c r="AR353" s="112">
        <f t="shared" si="200"/>
        <v>1</v>
      </c>
      <c r="AS353" s="113">
        <f t="shared" si="201"/>
        <v>2028</v>
      </c>
      <c r="AT353" s="109">
        <v>531010.64672077761</v>
      </c>
      <c r="AU353" s="114">
        <v>1</v>
      </c>
      <c r="AV353" s="113">
        <v>2028</v>
      </c>
      <c r="AW353" s="112">
        <f t="shared" si="202"/>
        <v>0.46388273307654976</v>
      </c>
      <c r="AX353" s="109">
        <f t="shared" si="203"/>
        <v>531010.6467207775</v>
      </c>
      <c r="AY353" s="109">
        <f t="shared" si="204"/>
        <v>0</v>
      </c>
      <c r="AZ353" s="109">
        <f t="shared" si="205"/>
        <v>531010.6467207775</v>
      </c>
      <c r="BA353" s="111">
        <f t="shared" si="206"/>
        <v>0</v>
      </c>
      <c r="BB353" s="117"/>
      <c r="BC353" s="115" t="str">
        <f t="shared" si="207"/>
        <v>N</v>
      </c>
      <c r="BD353" s="115" t="str">
        <f t="shared" si="208"/>
        <v>Y</v>
      </c>
      <c r="BE353" s="115" t="str">
        <f t="shared" si="209"/>
        <v>N</v>
      </c>
      <c r="BF353" s="109" t="str">
        <f t="shared" si="210"/>
        <v/>
      </c>
      <c r="BG353" s="111" t="s">
        <v>2499</v>
      </c>
      <c r="BH353" s="115" t="s">
        <v>1168</v>
      </c>
      <c r="BI353" s="116"/>
      <c r="BJ353" s="222">
        <v>0.46388273307654976</v>
      </c>
      <c r="BK353" s="265">
        <f t="shared" si="211"/>
        <v>0</v>
      </c>
      <c r="BL353" s="265">
        <f t="shared" si="212"/>
        <v>0</v>
      </c>
      <c r="BM353" s="265">
        <f t="shared" si="213"/>
        <v>0</v>
      </c>
      <c r="BN353" s="265">
        <f t="shared" si="214"/>
        <v>-2.3436898249201477E-2</v>
      </c>
      <c r="BO353" s="109"/>
      <c r="BP353" s="265">
        <f t="shared" si="215"/>
        <v>-2.3436898365616798E-2</v>
      </c>
      <c r="BQ353" s="265">
        <v>-2.3436898365616798E-2</v>
      </c>
      <c r="BR353" s="265" t="e">
        <f t="shared" si="216"/>
        <v>#REF!</v>
      </c>
      <c r="BS353" s="265">
        <v>-2.6403830708949653E-3</v>
      </c>
      <c r="BT353" s="475">
        <v>1376837.3532792225</v>
      </c>
      <c r="BU353" s="475">
        <v>531010.6467207775</v>
      </c>
      <c r="BV353" s="475">
        <v>0</v>
      </c>
      <c r="BW353" s="483">
        <f t="shared" si="217"/>
        <v>0</v>
      </c>
      <c r="BX353" s="483">
        <f t="shared" si="218"/>
        <v>0</v>
      </c>
    </row>
    <row r="354" spans="1:76" s="103" customFormat="1" ht="290">
      <c r="A354" s="100"/>
      <c r="B354" s="91" t="str">
        <f t="shared" si="186"/>
        <v>STW</v>
      </c>
      <c r="C354" s="92" t="s">
        <v>3626</v>
      </c>
      <c r="D354" s="448"/>
      <c r="E354" s="449">
        <v>3201389</v>
      </c>
      <c r="F354" s="384" t="s">
        <v>2370</v>
      </c>
      <c r="G354" s="587" t="s">
        <v>5216</v>
      </c>
      <c r="H354" s="398">
        <v>0.6</v>
      </c>
      <c r="I354" s="95"/>
      <c r="J354" s="95" t="s">
        <v>1166</v>
      </c>
      <c r="K354" s="191">
        <v>223784.86000000002</v>
      </c>
      <c r="L354" s="268">
        <v>0.46000002030274501</v>
      </c>
      <c r="M354" s="584">
        <v>1</v>
      </c>
      <c r="N354" s="267">
        <f t="shared" si="187"/>
        <v>0</v>
      </c>
      <c r="O354" s="96">
        <f t="shared" si="188"/>
        <v>162020.23591393186</v>
      </c>
      <c r="P354" s="96">
        <f t="shared" si="222"/>
        <v>61764.624086068172</v>
      </c>
      <c r="Q354" s="96">
        <f t="shared" si="189"/>
        <v>0</v>
      </c>
      <c r="R354" s="187" t="s">
        <v>2332</v>
      </c>
      <c r="S354" s="187" t="s">
        <v>3607</v>
      </c>
      <c r="T354" s="94" t="s">
        <v>5403</v>
      </c>
      <c r="U354" s="395">
        <f>COUNTIF(Aggregation_of_rev_to_allocate!$A$3:$A$137,$T354)</f>
        <v>0</v>
      </c>
      <c r="V354" s="100"/>
      <c r="W354" s="100">
        <v>1016</v>
      </c>
      <c r="X354" s="109">
        <v>61764.621360000005</v>
      </c>
      <c r="Y354" s="109">
        <v>0</v>
      </c>
      <c r="Z354" s="110">
        <v>0.46</v>
      </c>
      <c r="AA354" s="110">
        <v>1</v>
      </c>
      <c r="AB354" s="110">
        <v>0</v>
      </c>
      <c r="AC354" s="109">
        <f>IF(ISERROR((X354*SUMIF('Rev_for_allocation(Hard)'!$A$3:$A$249,$T354,'Rev_for_allocation(Hard)'!$I$3:$I$249)/SUMIF(Historic_capex_list!$T$9:$T$586,$T354,Historic_capex_list!$X$9:$X$586))=TRUE),0,X354*SUMIF('Rev_for_allocation(Hard)'!$A$3:$A$249,$T354,'Rev_for_allocation(Hard)'!$I$3:$I$249)/SUMIF(Historic_capex_list!$T$9:$T$586,$T354,Historic_capex_list!$X$9:$X$586))</f>
        <v>0</v>
      </c>
      <c r="AD354" s="109">
        <f t="shared" si="190"/>
        <v>61764.621360000005</v>
      </c>
      <c r="AE354" s="109">
        <f t="shared" si="191"/>
        <v>61764.621360000005</v>
      </c>
      <c r="AF354" s="109">
        <f t="shared" si="192"/>
        <v>61764.621360000005</v>
      </c>
      <c r="AG354" s="332" t="str">
        <f t="shared" si="193"/>
        <v>N</v>
      </c>
      <c r="AH354" s="332">
        <f t="shared" si="219"/>
        <v>0</v>
      </c>
      <c r="AI354" s="332">
        <f t="shared" si="220"/>
        <v>0</v>
      </c>
      <c r="AJ354" s="109">
        <f t="shared" si="221"/>
        <v>61764.621360000005</v>
      </c>
      <c r="AK354" s="109">
        <f t="shared" si="194"/>
        <v>0</v>
      </c>
      <c r="AL354" s="109">
        <v>0</v>
      </c>
      <c r="AM354" s="111">
        <f t="shared" si="195"/>
        <v>0</v>
      </c>
      <c r="AN354" s="111">
        <f t="shared" si="196"/>
        <v>0</v>
      </c>
      <c r="AO354" s="111" t="str">
        <f t="shared" si="197"/>
        <v>Use deduct 3yrs</v>
      </c>
      <c r="AP354" s="111">
        <f t="shared" si="198"/>
        <v>0</v>
      </c>
      <c r="AQ354" s="112">
        <f t="shared" si="199"/>
        <v>0</v>
      </c>
      <c r="AR354" s="112">
        <f t="shared" si="200"/>
        <v>1</v>
      </c>
      <c r="AS354" s="113">
        <f t="shared" si="201"/>
        <v>2028</v>
      </c>
      <c r="AT354" s="109">
        <v>61764.624086068165</v>
      </c>
      <c r="AU354" s="114">
        <v>1</v>
      </c>
      <c r="AV354" s="113">
        <v>2028</v>
      </c>
      <c r="AW354" s="112">
        <f t="shared" si="202"/>
        <v>0.46000002030274501</v>
      </c>
      <c r="AX354" s="109">
        <f t="shared" si="203"/>
        <v>61764.624086068172</v>
      </c>
      <c r="AY354" s="109">
        <f t="shared" si="204"/>
        <v>0</v>
      </c>
      <c r="AZ354" s="109">
        <f t="shared" si="205"/>
        <v>61764.624086068172</v>
      </c>
      <c r="BA354" s="111">
        <f t="shared" si="206"/>
        <v>0</v>
      </c>
      <c r="BB354" s="117"/>
      <c r="BC354" s="115" t="str">
        <f t="shared" si="207"/>
        <v>N</v>
      </c>
      <c r="BD354" s="115" t="str">
        <f t="shared" si="208"/>
        <v>Y</v>
      </c>
      <c r="BE354" s="115" t="str">
        <f t="shared" si="209"/>
        <v>N</v>
      </c>
      <c r="BF354" s="109" t="str">
        <f t="shared" si="210"/>
        <v/>
      </c>
      <c r="BG354" s="111" t="s">
        <v>2499</v>
      </c>
      <c r="BH354" s="115" t="s">
        <v>1168</v>
      </c>
      <c r="BI354" s="116"/>
      <c r="BJ354" s="222">
        <v>0.46000002030274501</v>
      </c>
      <c r="BK354" s="265">
        <f t="shared" si="211"/>
        <v>0</v>
      </c>
      <c r="BL354" s="265">
        <f t="shared" si="212"/>
        <v>0</v>
      </c>
      <c r="BM354" s="265">
        <f t="shared" si="213"/>
        <v>-1.4551915228366852E-11</v>
      </c>
      <c r="BN354" s="265">
        <f t="shared" si="214"/>
        <v>-2.7260681672487408E-3</v>
      </c>
      <c r="BO354" s="109"/>
      <c r="BP354" s="265">
        <f t="shared" si="215"/>
        <v>-2.7260681599727832E-3</v>
      </c>
      <c r="BQ354" s="265">
        <v>-2.7260681599727832E-3</v>
      </c>
      <c r="BR354" s="265" t="e">
        <f t="shared" si="216"/>
        <v>#REF!</v>
      </c>
      <c r="BS354" s="265">
        <v>-3.0711675697913944E-4</v>
      </c>
      <c r="BT354" s="475">
        <v>162020.23591393186</v>
      </c>
      <c r="BU354" s="475">
        <v>61764.624086068172</v>
      </c>
      <c r="BV354" s="475">
        <v>0</v>
      </c>
      <c r="BW354" s="483">
        <f t="shared" si="217"/>
        <v>0</v>
      </c>
      <c r="BX354" s="483">
        <f t="shared" si="218"/>
        <v>0</v>
      </c>
    </row>
    <row r="355" spans="1:76" s="103" customFormat="1" ht="29">
      <c r="A355" s="100" t="s">
        <v>2259</v>
      </c>
      <c r="B355" s="91" t="str">
        <f t="shared" si="186"/>
        <v>STW</v>
      </c>
      <c r="C355" s="92" t="s">
        <v>2330</v>
      </c>
      <c r="D355" s="448"/>
      <c r="E355" s="451">
        <v>3201390</v>
      </c>
      <c r="F355" s="409" t="s">
        <v>2373</v>
      </c>
      <c r="G355" s="588" t="s">
        <v>4559</v>
      </c>
      <c r="H355" s="398">
        <v>0.9</v>
      </c>
      <c r="I355" s="151"/>
      <c r="J355" s="95" t="s">
        <v>1166</v>
      </c>
      <c r="K355" s="191">
        <v>7847098</v>
      </c>
      <c r="L355" s="269">
        <v>0.46388273307654987</v>
      </c>
      <c r="M355" s="585">
        <v>1</v>
      </c>
      <c r="N355" s="267">
        <f t="shared" si="187"/>
        <v>0</v>
      </c>
      <c r="O355" s="96">
        <f t="shared" si="188"/>
        <v>4570978.0597364251</v>
      </c>
      <c r="P355" s="96">
        <f t="shared" si="222"/>
        <v>3276119.9402635759</v>
      </c>
      <c r="Q355" s="96">
        <f t="shared" si="189"/>
        <v>0</v>
      </c>
      <c r="R355" s="187" t="s">
        <v>2332</v>
      </c>
      <c r="S355" s="187" t="s">
        <v>3607</v>
      </c>
      <c r="T355" s="94" t="s">
        <v>5403</v>
      </c>
      <c r="U355" s="395">
        <f>COUNTIF(Aggregation_of_rev_to_allocate!$A$3:$A$137,$T355)</f>
        <v>0</v>
      </c>
      <c r="V355" s="100"/>
      <c r="W355" s="100">
        <v>254</v>
      </c>
      <c r="X355" s="109">
        <v>3276119.795667435</v>
      </c>
      <c r="Y355" s="109">
        <v>0</v>
      </c>
      <c r="Z355" s="110">
        <v>0.46388271260243591</v>
      </c>
      <c r="AA355" s="110">
        <v>1</v>
      </c>
      <c r="AB355" s="110">
        <v>0</v>
      </c>
      <c r="AC355" s="109">
        <f>IF(ISERROR((X355*SUMIF('Rev_for_allocation(Hard)'!$A$3:$A$249,$T355,'Rev_for_allocation(Hard)'!$I$3:$I$249)/SUMIF(Historic_capex_list!$T$9:$T$586,$T355,Historic_capex_list!$X$9:$X$586))=TRUE),0,X355*SUMIF('Rev_for_allocation(Hard)'!$A$3:$A$249,$T355,'Rev_for_allocation(Hard)'!$I$3:$I$249)/SUMIF(Historic_capex_list!$T$9:$T$586,$T355,Historic_capex_list!$X$9:$X$586))</f>
        <v>0</v>
      </c>
      <c r="AD355" s="109">
        <f t="shared" si="190"/>
        <v>3276119.795667435</v>
      </c>
      <c r="AE355" s="109">
        <f t="shared" si="191"/>
        <v>3276119.795667435</v>
      </c>
      <c r="AF355" s="109">
        <f t="shared" si="192"/>
        <v>3276119.795667435</v>
      </c>
      <c r="AG355" s="332" t="str">
        <f t="shared" si="193"/>
        <v>N</v>
      </c>
      <c r="AH355" s="332">
        <f t="shared" si="219"/>
        <v>0</v>
      </c>
      <c r="AI355" s="332">
        <f t="shared" si="220"/>
        <v>0</v>
      </c>
      <c r="AJ355" s="109">
        <f t="shared" si="221"/>
        <v>3276119.795667435</v>
      </c>
      <c r="AK355" s="109">
        <f t="shared" si="194"/>
        <v>0</v>
      </c>
      <c r="AL355" s="109">
        <v>0</v>
      </c>
      <c r="AM355" s="111">
        <f t="shared" si="195"/>
        <v>0</v>
      </c>
      <c r="AN355" s="111">
        <f t="shared" si="196"/>
        <v>0</v>
      </c>
      <c r="AO355" s="111" t="str">
        <f t="shared" si="197"/>
        <v>Use deduct 3yrs</v>
      </c>
      <c r="AP355" s="111">
        <f t="shared" si="198"/>
        <v>0</v>
      </c>
      <c r="AQ355" s="112">
        <f t="shared" si="199"/>
        <v>0</v>
      </c>
      <c r="AR355" s="112">
        <f t="shared" si="200"/>
        <v>1</v>
      </c>
      <c r="AS355" s="113">
        <f t="shared" si="201"/>
        <v>2028</v>
      </c>
      <c r="AT355" s="109">
        <v>3276119.9402635754</v>
      </c>
      <c r="AU355" s="114">
        <v>1</v>
      </c>
      <c r="AV355" s="113">
        <v>2028</v>
      </c>
      <c r="AW355" s="112">
        <f t="shared" si="202"/>
        <v>0.46388273307654987</v>
      </c>
      <c r="AX355" s="109">
        <f t="shared" si="203"/>
        <v>3276119.9402635759</v>
      </c>
      <c r="AY355" s="109">
        <f t="shared" si="204"/>
        <v>0</v>
      </c>
      <c r="AZ355" s="109">
        <f t="shared" si="205"/>
        <v>3276119.9402635759</v>
      </c>
      <c r="BA355" s="111">
        <f t="shared" si="206"/>
        <v>0</v>
      </c>
      <c r="BB355" s="117"/>
      <c r="BC355" s="115" t="str">
        <f t="shared" si="207"/>
        <v>N</v>
      </c>
      <c r="BD355" s="115" t="str">
        <f t="shared" si="208"/>
        <v>Y</v>
      </c>
      <c r="BE355" s="115" t="str">
        <f t="shared" si="209"/>
        <v>N</v>
      </c>
      <c r="BF355" s="109" t="str">
        <f t="shared" si="210"/>
        <v/>
      </c>
      <c r="BG355" s="111" t="s">
        <v>2499</v>
      </c>
      <c r="BH355" s="115" t="s">
        <v>1168</v>
      </c>
      <c r="BI355" s="116"/>
      <c r="BJ355" s="222">
        <v>0.46388273307654987</v>
      </c>
      <c r="BK355" s="265">
        <f t="shared" si="211"/>
        <v>0</v>
      </c>
      <c r="BL355" s="265">
        <f t="shared" si="212"/>
        <v>0</v>
      </c>
      <c r="BM355" s="265">
        <f t="shared" si="213"/>
        <v>-9.3132257461547852E-10</v>
      </c>
      <c r="BN355" s="265">
        <f t="shared" si="214"/>
        <v>-0.14459614083170891</v>
      </c>
      <c r="BO355" s="109"/>
      <c r="BP355" s="265">
        <f t="shared" si="215"/>
        <v>-0.14459614036604762</v>
      </c>
      <c r="BQ355" s="265">
        <v>-0.14459614036604762</v>
      </c>
      <c r="BR355" s="265" t="e">
        <f t="shared" si="216"/>
        <v>#REF!</v>
      </c>
      <c r="BS355" s="265">
        <v>-1.6290090744233023E-2</v>
      </c>
      <c r="BT355" s="475">
        <v>4570978.0597364251</v>
      </c>
      <c r="BU355" s="475">
        <v>3276119.9402635759</v>
      </c>
      <c r="BV355" s="475">
        <v>0</v>
      </c>
      <c r="BW355" s="483">
        <f t="shared" si="217"/>
        <v>0</v>
      </c>
      <c r="BX355" s="483">
        <f t="shared" si="218"/>
        <v>0</v>
      </c>
    </row>
    <row r="356" spans="1:76" s="103" customFormat="1" ht="29">
      <c r="A356" s="100" t="s">
        <v>2259</v>
      </c>
      <c r="B356" s="91" t="str">
        <f t="shared" si="186"/>
        <v>STW</v>
      </c>
      <c r="C356" s="92" t="s">
        <v>2330</v>
      </c>
      <c r="D356" s="448"/>
      <c r="E356" s="451">
        <v>3201390</v>
      </c>
      <c r="F356" s="409" t="s">
        <v>2373</v>
      </c>
      <c r="G356" s="588" t="s">
        <v>4559</v>
      </c>
      <c r="H356" s="398">
        <v>0.9</v>
      </c>
      <c r="I356" s="151"/>
      <c r="J356" s="95" t="s">
        <v>1166</v>
      </c>
      <c r="K356" s="191">
        <v>8759226.75</v>
      </c>
      <c r="L356" s="269">
        <v>0.46388273307654987</v>
      </c>
      <c r="M356" s="585">
        <v>1</v>
      </c>
      <c r="N356" s="267">
        <f t="shared" si="187"/>
        <v>0</v>
      </c>
      <c r="O356" s="96">
        <f t="shared" si="188"/>
        <v>5102298.1100154975</v>
      </c>
      <c r="P356" s="96">
        <f t="shared" si="222"/>
        <v>3656928.6399845029</v>
      </c>
      <c r="Q356" s="96">
        <f t="shared" si="189"/>
        <v>0</v>
      </c>
      <c r="R356" s="187" t="s">
        <v>2332</v>
      </c>
      <c r="S356" s="187" t="s">
        <v>3607</v>
      </c>
      <c r="T356" s="94" t="s">
        <v>5403</v>
      </c>
      <c r="U356" s="395">
        <f>COUNTIF(Aggregation_of_rev_to_allocate!$A$3:$A$137,$T356)</f>
        <v>0</v>
      </c>
      <c r="V356" s="100"/>
      <c r="W356" s="100">
        <v>254</v>
      </c>
      <c r="X356" s="109">
        <v>3656928.4785808371</v>
      </c>
      <c r="Y356" s="109">
        <v>0</v>
      </c>
      <c r="Z356" s="110">
        <v>0.46388271260243591</v>
      </c>
      <c r="AA356" s="110">
        <v>1</v>
      </c>
      <c r="AB356" s="110">
        <v>0</v>
      </c>
      <c r="AC356" s="109">
        <f>IF(ISERROR((X356*SUMIF('Rev_for_allocation(Hard)'!$A$3:$A$249,$T356,'Rev_for_allocation(Hard)'!$I$3:$I$249)/SUMIF(Historic_capex_list!$T$9:$T$586,$T356,Historic_capex_list!$X$9:$X$586))=TRUE),0,X356*SUMIF('Rev_for_allocation(Hard)'!$A$3:$A$249,$T356,'Rev_for_allocation(Hard)'!$I$3:$I$249)/SUMIF(Historic_capex_list!$T$9:$T$586,$T356,Historic_capex_list!$X$9:$X$586))</f>
        <v>0</v>
      </c>
      <c r="AD356" s="109">
        <f t="shared" si="190"/>
        <v>3656928.4785808371</v>
      </c>
      <c r="AE356" s="109">
        <f t="shared" si="191"/>
        <v>3656928.4785808371</v>
      </c>
      <c r="AF356" s="109">
        <f t="shared" si="192"/>
        <v>3656928.4785808371</v>
      </c>
      <c r="AG356" s="332" t="str">
        <f t="shared" si="193"/>
        <v>N</v>
      </c>
      <c r="AH356" s="332">
        <f t="shared" si="219"/>
        <v>0</v>
      </c>
      <c r="AI356" s="332">
        <f t="shared" si="220"/>
        <v>0</v>
      </c>
      <c r="AJ356" s="109">
        <f t="shared" si="221"/>
        <v>3656928.4785808371</v>
      </c>
      <c r="AK356" s="109">
        <f t="shared" si="194"/>
        <v>0</v>
      </c>
      <c r="AL356" s="109">
        <v>0</v>
      </c>
      <c r="AM356" s="111">
        <f t="shared" si="195"/>
        <v>0</v>
      </c>
      <c r="AN356" s="111">
        <f t="shared" si="196"/>
        <v>0</v>
      </c>
      <c r="AO356" s="111" t="str">
        <f t="shared" si="197"/>
        <v>Use deduct 3yrs</v>
      </c>
      <c r="AP356" s="111">
        <f t="shared" si="198"/>
        <v>0</v>
      </c>
      <c r="AQ356" s="112">
        <f t="shared" si="199"/>
        <v>0</v>
      </c>
      <c r="AR356" s="112">
        <f t="shared" si="200"/>
        <v>1</v>
      </c>
      <c r="AS356" s="113">
        <f t="shared" si="201"/>
        <v>2028</v>
      </c>
      <c r="AT356" s="109">
        <v>3656928.6399845029</v>
      </c>
      <c r="AU356" s="114">
        <v>1</v>
      </c>
      <c r="AV356" s="113">
        <v>2028</v>
      </c>
      <c r="AW356" s="112">
        <f t="shared" si="202"/>
        <v>0.46388273307654987</v>
      </c>
      <c r="AX356" s="109">
        <f t="shared" si="203"/>
        <v>3656928.6399845029</v>
      </c>
      <c r="AY356" s="109">
        <f t="shared" si="204"/>
        <v>0</v>
      </c>
      <c r="AZ356" s="109">
        <f t="shared" si="205"/>
        <v>3656928.6399845029</v>
      </c>
      <c r="BA356" s="111">
        <f t="shared" si="206"/>
        <v>0</v>
      </c>
      <c r="BB356" s="117"/>
      <c r="BC356" s="115" t="str">
        <f t="shared" si="207"/>
        <v>N</v>
      </c>
      <c r="BD356" s="115" t="str">
        <f t="shared" si="208"/>
        <v>Y</v>
      </c>
      <c r="BE356" s="115" t="str">
        <f t="shared" si="209"/>
        <v>N</v>
      </c>
      <c r="BF356" s="109" t="str">
        <f t="shared" si="210"/>
        <v/>
      </c>
      <c r="BG356" s="111" t="s">
        <v>2499</v>
      </c>
      <c r="BH356" s="115" t="s">
        <v>1168</v>
      </c>
      <c r="BI356" s="116"/>
      <c r="BJ356" s="222">
        <v>0.46388273307654987</v>
      </c>
      <c r="BK356" s="265">
        <f t="shared" si="211"/>
        <v>0</v>
      </c>
      <c r="BL356" s="265">
        <f t="shared" si="212"/>
        <v>0</v>
      </c>
      <c r="BM356" s="265">
        <f t="shared" si="213"/>
        <v>-4.6566128730773926E-10</v>
      </c>
      <c r="BN356" s="265">
        <f t="shared" si="214"/>
        <v>-0.16140366578474641</v>
      </c>
      <c r="BO356" s="109"/>
      <c r="BP356" s="265">
        <f t="shared" si="215"/>
        <v>-0.16140366578474641</v>
      </c>
      <c r="BQ356" s="265">
        <v>-0.16140366578474641</v>
      </c>
      <c r="BR356" s="265" t="e">
        <f t="shared" si="216"/>
        <v>#REF!</v>
      </c>
      <c r="BS356" s="265">
        <v>-1.8183613721841463E-2</v>
      </c>
      <c r="BT356" s="475">
        <v>5102298.1100154975</v>
      </c>
      <c r="BU356" s="475">
        <v>3656928.6399845029</v>
      </c>
      <c r="BV356" s="475">
        <v>0</v>
      </c>
      <c r="BW356" s="483">
        <f t="shared" si="217"/>
        <v>0</v>
      </c>
      <c r="BX356" s="483">
        <f t="shared" si="218"/>
        <v>0</v>
      </c>
    </row>
    <row r="357" spans="1:76" s="103" customFormat="1" ht="29">
      <c r="A357" s="100" t="s">
        <v>2259</v>
      </c>
      <c r="B357" s="91" t="str">
        <f t="shared" si="186"/>
        <v>STW</v>
      </c>
      <c r="C357" s="92" t="s">
        <v>2313</v>
      </c>
      <c r="D357" s="448"/>
      <c r="E357" s="451">
        <v>3201391</v>
      </c>
      <c r="F357" s="409" t="s">
        <v>2372</v>
      </c>
      <c r="G357" s="624" t="s">
        <v>5322</v>
      </c>
      <c r="H357" s="398">
        <v>0.6</v>
      </c>
      <c r="I357" s="151"/>
      <c r="J357" s="95" t="s">
        <v>1166</v>
      </c>
      <c r="K357" s="191">
        <v>2526407</v>
      </c>
      <c r="L357" s="269">
        <v>0.14872200123722246</v>
      </c>
      <c r="M357" s="585">
        <v>1</v>
      </c>
      <c r="N357" s="267">
        <f t="shared" si="187"/>
        <v>0</v>
      </c>
      <c r="O357" s="96">
        <f t="shared" si="188"/>
        <v>2300967.6170121636</v>
      </c>
      <c r="P357" s="96">
        <f t="shared" si="222"/>
        <v>225439.38298783649</v>
      </c>
      <c r="Q357" s="96">
        <f t="shared" si="189"/>
        <v>0</v>
      </c>
      <c r="R357" s="187" t="s">
        <v>2310</v>
      </c>
      <c r="S357" s="187" t="s">
        <v>3607</v>
      </c>
      <c r="T357" s="94" t="s">
        <v>5408</v>
      </c>
      <c r="U357" s="395">
        <f>COUNTIF(Aggregation_of_rev_to_allocate!$A$3:$A$137,$T357)</f>
        <v>0</v>
      </c>
      <c r="V357" s="100"/>
      <c r="W357" s="100">
        <v>476</v>
      </c>
      <c r="X357" s="109">
        <v>703173.91937866935</v>
      </c>
      <c r="Y357" s="109">
        <v>0</v>
      </c>
      <c r="Z357" s="110">
        <v>0.46388271260243591</v>
      </c>
      <c r="AA357" s="110">
        <v>1</v>
      </c>
      <c r="AB357" s="110">
        <v>0</v>
      </c>
      <c r="AC357" s="109">
        <f>IF(ISERROR((X357*SUMIF('Rev_for_allocation(Hard)'!$A$3:$A$249,$T357,'Rev_for_allocation(Hard)'!$I$3:$I$249)/SUMIF(Historic_capex_list!$T$9:$T$586,$T357,Historic_capex_list!$X$9:$X$586))=TRUE),0,X357*SUMIF('Rev_for_allocation(Hard)'!$A$3:$A$249,$T357,'Rev_for_allocation(Hard)'!$I$3:$I$249)/SUMIF(Historic_capex_list!$T$9:$T$586,$T357,Historic_capex_list!$X$9:$X$586))</f>
        <v>0</v>
      </c>
      <c r="AD357" s="109">
        <f t="shared" si="190"/>
        <v>703173.91937866935</v>
      </c>
      <c r="AE357" s="109">
        <f t="shared" si="191"/>
        <v>703173.91937866935</v>
      </c>
      <c r="AF357" s="109">
        <f t="shared" si="192"/>
        <v>703173.91937866935</v>
      </c>
      <c r="AG357" s="332" t="str">
        <f t="shared" si="193"/>
        <v>N</v>
      </c>
      <c r="AH357" s="332">
        <f t="shared" si="219"/>
        <v>0</v>
      </c>
      <c r="AI357" s="332">
        <f t="shared" si="220"/>
        <v>0</v>
      </c>
      <c r="AJ357" s="109">
        <f t="shared" si="221"/>
        <v>703173.91937866935</v>
      </c>
      <c r="AK357" s="109">
        <f t="shared" si="194"/>
        <v>0</v>
      </c>
      <c r="AL357" s="109">
        <v>0</v>
      </c>
      <c r="AM357" s="111">
        <f t="shared" si="195"/>
        <v>0</v>
      </c>
      <c r="AN357" s="111">
        <f t="shared" si="196"/>
        <v>0</v>
      </c>
      <c r="AO357" s="111" t="str">
        <f t="shared" si="197"/>
        <v>Use deduct 3yrs</v>
      </c>
      <c r="AP357" s="111">
        <f t="shared" si="198"/>
        <v>0</v>
      </c>
      <c r="AQ357" s="112">
        <f t="shared" si="199"/>
        <v>0</v>
      </c>
      <c r="AR357" s="112">
        <f t="shared" si="200"/>
        <v>1</v>
      </c>
      <c r="AS357" s="113">
        <f t="shared" si="201"/>
        <v>2028</v>
      </c>
      <c r="AT357" s="109">
        <v>225439.38298783649</v>
      </c>
      <c r="AU357" s="114">
        <v>1</v>
      </c>
      <c r="AV357" s="113">
        <v>2028</v>
      </c>
      <c r="AW357" s="112">
        <f t="shared" si="202"/>
        <v>0.14872200123722246</v>
      </c>
      <c r="AX357" s="109">
        <f t="shared" si="203"/>
        <v>225439.38298783649</v>
      </c>
      <c r="AY357" s="109">
        <f t="shared" si="204"/>
        <v>0</v>
      </c>
      <c r="AZ357" s="109">
        <f t="shared" si="205"/>
        <v>225439.38298783649</v>
      </c>
      <c r="BA357" s="111">
        <f t="shared" si="206"/>
        <v>0</v>
      </c>
      <c r="BB357" s="117"/>
      <c r="BC357" s="115" t="str">
        <f t="shared" si="207"/>
        <v>N</v>
      </c>
      <c r="BD357" s="115" t="str">
        <f t="shared" si="208"/>
        <v>Y</v>
      </c>
      <c r="BE357" s="115" t="str">
        <f t="shared" si="209"/>
        <v>N</v>
      </c>
      <c r="BF357" s="109" t="str">
        <f t="shared" si="210"/>
        <v/>
      </c>
      <c r="BG357" s="111" t="s">
        <v>2499</v>
      </c>
      <c r="BH357" s="115" t="s">
        <v>1168</v>
      </c>
      <c r="BI357" s="116"/>
      <c r="BJ357" s="222">
        <v>0.14872200123722246</v>
      </c>
      <c r="BK357" s="265">
        <f t="shared" si="211"/>
        <v>0</v>
      </c>
      <c r="BL357" s="265">
        <f t="shared" si="212"/>
        <v>0</v>
      </c>
      <c r="BM357" s="265">
        <f t="shared" si="213"/>
        <v>-1.1641532182693481E-10</v>
      </c>
      <c r="BN357" s="265">
        <f t="shared" si="214"/>
        <v>477734.53639083286</v>
      </c>
      <c r="BO357" s="109"/>
      <c r="BP357" s="265">
        <f t="shared" si="215"/>
        <v>477734.53639083286</v>
      </c>
      <c r="BQ357" s="265">
        <v>477734.53639083286</v>
      </c>
      <c r="BR357" s="265" t="e">
        <f t="shared" si="216"/>
        <v>#REF!</v>
      </c>
      <c r="BS357" s="265">
        <v>53821.208019519989</v>
      </c>
      <c r="BT357" s="475">
        <v>2300967.6170121636</v>
      </c>
      <c r="BU357" s="475">
        <v>225439.38298783649</v>
      </c>
      <c r="BV357" s="475">
        <v>0</v>
      </c>
      <c r="BW357" s="483">
        <f t="shared" si="217"/>
        <v>0</v>
      </c>
      <c r="BX357" s="483">
        <f t="shared" si="218"/>
        <v>0</v>
      </c>
    </row>
    <row r="358" spans="1:76" s="103" customFormat="1" ht="29">
      <c r="A358" s="100"/>
      <c r="B358" s="91" t="str">
        <f t="shared" si="186"/>
        <v>STW</v>
      </c>
      <c r="C358" s="92" t="s">
        <v>3626</v>
      </c>
      <c r="D358" s="448"/>
      <c r="E358" s="449">
        <v>3201391</v>
      </c>
      <c r="F358" s="384" t="s">
        <v>2372</v>
      </c>
      <c r="G358" s="624" t="s">
        <v>5322</v>
      </c>
      <c r="H358" s="398">
        <v>0.6</v>
      </c>
      <c r="I358" s="95"/>
      <c r="J358" s="95" t="s">
        <v>1166</v>
      </c>
      <c r="K358" s="191">
        <v>1492109.01</v>
      </c>
      <c r="L358" s="268">
        <v>0.14747719350290595</v>
      </c>
      <c r="M358" s="584">
        <v>1</v>
      </c>
      <c r="N358" s="267">
        <f t="shared" si="187"/>
        <v>0</v>
      </c>
      <c r="O358" s="96">
        <f t="shared" si="188"/>
        <v>1360077.7804828803</v>
      </c>
      <c r="P358" s="96">
        <f t="shared" si="222"/>
        <v>132031.22951711965</v>
      </c>
      <c r="Q358" s="96">
        <f t="shared" si="189"/>
        <v>0</v>
      </c>
      <c r="R358" s="187" t="s">
        <v>2310</v>
      </c>
      <c r="S358" s="187" t="s">
        <v>3607</v>
      </c>
      <c r="T358" s="94" t="s">
        <v>5408</v>
      </c>
      <c r="U358" s="395">
        <f>COUNTIF(Aggregation_of_rev_to_allocate!$A$3:$A$137,$T358)</f>
        <v>0</v>
      </c>
      <c r="V358" s="100"/>
      <c r="W358" s="100">
        <v>1017</v>
      </c>
      <c r="X358" s="109">
        <v>411822.08675999998</v>
      </c>
      <c r="Y358" s="109">
        <v>0</v>
      </c>
      <c r="Z358" s="110">
        <v>0.46</v>
      </c>
      <c r="AA358" s="110">
        <v>1</v>
      </c>
      <c r="AB358" s="110">
        <v>0</v>
      </c>
      <c r="AC358" s="109">
        <f>IF(ISERROR((X358*SUMIF('Rev_for_allocation(Hard)'!$A$3:$A$249,$T358,'Rev_for_allocation(Hard)'!$I$3:$I$249)/SUMIF(Historic_capex_list!$T$9:$T$586,$T358,Historic_capex_list!$X$9:$X$586))=TRUE),0,X358*SUMIF('Rev_for_allocation(Hard)'!$A$3:$A$249,$T358,'Rev_for_allocation(Hard)'!$I$3:$I$249)/SUMIF(Historic_capex_list!$T$9:$T$586,$T358,Historic_capex_list!$X$9:$X$586))</f>
        <v>0</v>
      </c>
      <c r="AD358" s="109">
        <f t="shared" si="190"/>
        <v>411822.08675999998</v>
      </c>
      <c r="AE358" s="109">
        <f t="shared" si="191"/>
        <v>411822.08675999998</v>
      </c>
      <c r="AF358" s="109">
        <f t="shared" si="192"/>
        <v>411822.08675999998</v>
      </c>
      <c r="AG358" s="332" t="str">
        <f t="shared" si="193"/>
        <v>N</v>
      </c>
      <c r="AH358" s="332">
        <f t="shared" si="219"/>
        <v>0</v>
      </c>
      <c r="AI358" s="332">
        <f t="shared" si="220"/>
        <v>0</v>
      </c>
      <c r="AJ358" s="109">
        <f t="shared" si="221"/>
        <v>411822.08675999998</v>
      </c>
      <c r="AK358" s="109">
        <f t="shared" si="194"/>
        <v>0</v>
      </c>
      <c r="AL358" s="109">
        <v>0</v>
      </c>
      <c r="AM358" s="111">
        <f t="shared" si="195"/>
        <v>0</v>
      </c>
      <c r="AN358" s="111">
        <f t="shared" si="196"/>
        <v>0</v>
      </c>
      <c r="AO358" s="111" t="str">
        <f t="shared" si="197"/>
        <v>Use deduct 3yrs</v>
      </c>
      <c r="AP358" s="111">
        <f t="shared" si="198"/>
        <v>0</v>
      </c>
      <c r="AQ358" s="112">
        <f t="shared" si="199"/>
        <v>0</v>
      </c>
      <c r="AR358" s="112">
        <f t="shared" si="200"/>
        <v>1</v>
      </c>
      <c r="AS358" s="113">
        <f t="shared" si="201"/>
        <v>2028</v>
      </c>
      <c r="AT358" s="109">
        <v>132031.22951711965</v>
      </c>
      <c r="AU358" s="114">
        <v>1</v>
      </c>
      <c r="AV358" s="113">
        <v>2028</v>
      </c>
      <c r="AW358" s="112">
        <f t="shared" si="202"/>
        <v>0.14747719350290595</v>
      </c>
      <c r="AX358" s="109">
        <f t="shared" si="203"/>
        <v>132031.22951711965</v>
      </c>
      <c r="AY358" s="109">
        <f t="shared" si="204"/>
        <v>0</v>
      </c>
      <c r="AZ358" s="109">
        <f t="shared" si="205"/>
        <v>132031.22951711965</v>
      </c>
      <c r="BA358" s="111">
        <f t="shared" si="206"/>
        <v>0</v>
      </c>
      <c r="BB358" s="117"/>
      <c r="BC358" s="115" t="str">
        <f t="shared" si="207"/>
        <v>N</v>
      </c>
      <c r="BD358" s="115" t="str">
        <f t="shared" si="208"/>
        <v>Y</v>
      </c>
      <c r="BE358" s="115" t="str">
        <f t="shared" si="209"/>
        <v>N</v>
      </c>
      <c r="BF358" s="109" t="str">
        <f t="shared" si="210"/>
        <v/>
      </c>
      <c r="BG358" s="111" t="s">
        <v>2499</v>
      </c>
      <c r="BH358" s="115" t="s">
        <v>1168</v>
      </c>
      <c r="BI358" s="116"/>
      <c r="BJ358" s="222">
        <v>0.14747719350290595</v>
      </c>
      <c r="BK358" s="265">
        <f t="shared" si="211"/>
        <v>0</v>
      </c>
      <c r="BL358" s="265">
        <f t="shared" si="212"/>
        <v>0</v>
      </c>
      <c r="BM358" s="265">
        <f t="shared" si="213"/>
        <v>5.8207660913467407E-11</v>
      </c>
      <c r="BN358" s="265">
        <f t="shared" si="214"/>
        <v>279790.85724288033</v>
      </c>
      <c r="BO358" s="109"/>
      <c r="BP358" s="265">
        <f t="shared" si="215"/>
        <v>279790.85724288033</v>
      </c>
      <c r="BQ358" s="265">
        <v>279790.85724288033</v>
      </c>
      <c r="BR358" s="265" t="e">
        <f t="shared" si="216"/>
        <v>#REF!</v>
      </c>
      <c r="BS358" s="265">
        <v>31521.024298124914</v>
      </c>
      <c r="BT358" s="475">
        <v>1360077.7804828803</v>
      </c>
      <c r="BU358" s="475">
        <v>132031.22951711965</v>
      </c>
      <c r="BV358" s="475">
        <v>0</v>
      </c>
      <c r="BW358" s="483">
        <f t="shared" si="217"/>
        <v>0</v>
      </c>
      <c r="BX358" s="483">
        <f t="shared" si="218"/>
        <v>0</v>
      </c>
    </row>
    <row r="359" spans="1:76" s="103" customFormat="1" ht="29">
      <c r="A359" s="100" t="s">
        <v>2259</v>
      </c>
      <c r="B359" s="91" t="str">
        <f t="shared" si="186"/>
        <v>STW</v>
      </c>
      <c r="C359" s="92" t="s">
        <v>2313</v>
      </c>
      <c r="D359" s="448"/>
      <c r="E359" s="451">
        <v>3201394</v>
      </c>
      <c r="F359" s="409" t="s">
        <v>2374</v>
      </c>
      <c r="G359" s="588" t="s">
        <v>4573</v>
      </c>
      <c r="H359" s="398">
        <v>0.9</v>
      </c>
      <c r="I359" s="151"/>
      <c r="J359" s="95" t="s">
        <v>1166</v>
      </c>
      <c r="K359" s="191">
        <v>19675364</v>
      </c>
      <c r="L359" s="269">
        <v>0.46388270286414107</v>
      </c>
      <c r="M359" s="585">
        <v>1</v>
      </c>
      <c r="N359" s="267">
        <f t="shared" si="187"/>
        <v>0</v>
      </c>
      <c r="O359" s="96">
        <f t="shared" si="188"/>
        <v>11461009.071059765</v>
      </c>
      <c r="P359" s="96">
        <f t="shared" si="222"/>
        <v>8214354.9289402356</v>
      </c>
      <c r="Q359" s="96">
        <f t="shared" si="189"/>
        <v>0</v>
      </c>
      <c r="R359" s="187" t="s">
        <v>2325</v>
      </c>
      <c r="S359" s="187" t="s">
        <v>3607</v>
      </c>
      <c r="T359" s="94" t="s">
        <v>5409</v>
      </c>
      <c r="U359" s="395">
        <f>COUNTIF(Aggregation_of_rev_to_allocate!$A$3:$A$137,$T359)</f>
        <v>0</v>
      </c>
      <c r="V359" s="100"/>
      <c r="W359" s="100">
        <v>478</v>
      </c>
      <c r="X359" s="109">
        <v>8214355.1013842812</v>
      </c>
      <c r="Y359" s="109">
        <v>0</v>
      </c>
      <c r="Z359" s="110">
        <v>0.4638827126024358</v>
      </c>
      <c r="AA359" s="110">
        <v>1</v>
      </c>
      <c r="AB359" s="110">
        <v>0</v>
      </c>
      <c r="AC359" s="109">
        <f>IF(ISERROR((X359*SUMIF('Rev_for_allocation(Hard)'!$A$3:$A$249,$T359,'Rev_for_allocation(Hard)'!$I$3:$I$249)/SUMIF(Historic_capex_list!$T$9:$T$586,$T359,Historic_capex_list!$X$9:$X$586))=TRUE),0,X359*SUMIF('Rev_for_allocation(Hard)'!$A$3:$A$249,$T359,'Rev_for_allocation(Hard)'!$I$3:$I$249)/SUMIF(Historic_capex_list!$T$9:$T$586,$T359,Historic_capex_list!$X$9:$X$586))</f>
        <v>0</v>
      </c>
      <c r="AD359" s="109">
        <f t="shared" si="190"/>
        <v>8214355.1013842812</v>
      </c>
      <c r="AE359" s="109">
        <f t="shared" si="191"/>
        <v>8214355.1013842812</v>
      </c>
      <c r="AF359" s="109">
        <f t="shared" si="192"/>
        <v>8214355.1013842812</v>
      </c>
      <c r="AG359" s="332" t="str">
        <f t="shared" si="193"/>
        <v>N</v>
      </c>
      <c r="AH359" s="332">
        <f t="shared" si="219"/>
        <v>0</v>
      </c>
      <c r="AI359" s="332">
        <f t="shared" si="220"/>
        <v>0</v>
      </c>
      <c r="AJ359" s="109">
        <f t="shared" si="221"/>
        <v>8214355.1013842812</v>
      </c>
      <c r="AK359" s="109">
        <f t="shared" si="194"/>
        <v>0</v>
      </c>
      <c r="AL359" s="109">
        <v>0</v>
      </c>
      <c r="AM359" s="111">
        <f t="shared" si="195"/>
        <v>0</v>
      </c>
      <c r="AN359" s="111">
        <f t="shared" si="196"/>
        <v>0</v>
      </c>
      <c r="AO359" s="111" t="str">
        <f t="shared" si="197"/>
        <v>Use deduct 3yrs</v>
      </c>
      <c r="AP359" s="111">
        <f t="shared" si="198"/>
        <v>0</v>
      </c>
      <c r="AQ359" s="112">
        <f t="shared" si="199"/>
        <v>0</v>
      </c>
      <c r="AR359" s="112">
        <f t="shared" si="200"/>
        <v>1</v>
      </c>
      <c r="AS359" s="113">
        <f t="shared" si="201"/>
        <v>2028</v>
      </c>
      <c r="AT359" s="109">
        <v>8214354.9289402375</v>
      </c>
      <c r="AU359" s="114">
        <v>1</v>
      </c>
      <c r="AV359" s="113">
        <v>2028</v>
      </c>
      <c r="AW359" s="112">
        <f t="shared" si="202"/>
        <v>0.46388270286414107</v>
      </c>
      <c r="AX359" s="109">
        <f t="shared" si="203"/>
        <v>8214354.9289402356</v>
      </c>
      <c r="AY359" s="109">
        <f t="shared" si="204"/>
        <v>0</v>
      </c>
      <c r="AZ359" s="109">
        <f t="shared" si="205"/>
        <v>8214354.9289402356</v>
      </c>
      <c r="BA359" s="111">
        <f t="shared" si="206"/>
        <v>0</v>
      </c>
      <c r="BB359" s="117"/>
      <c r="BC359" s="115" t="str">
        <f t="shared" si="207"/>
        <v>N</v>
      </c>
      <c r="BD359" s="115" t="str">
        <f t="shared" si="208"/>
        <v>Y</v>
      </c>
      <c r="BE359" s="115" t="str">
        <f t="shared" si="209"/>
        <v>N</v>
      </c>
      <c r="BF359" s="109" t="str">
        <f t="shared" si="210"/>
        <v/>
      </c>
      <c r="BG359" s="111" t="s">
        <v>2499</v>
      </c>
      <c r="BH359" s="115" t="s">
        <v>1168</v>
      </c>
      <c r="BI359" s="116"/>
      <c r="BJ359" s="222">
        <v>0.46388270286414107</v>
      </c>
      <c r="BK359" s="265">
        <f t="shared" si="211"/>
        <v>0</v>
      </c>
      <c r="BL359" s="265">
        <f t="shared" si="212"/>
        <v>0</v>
      </c>
      <c r="BM359" s="265">
        <f t="shared" si="213"/>
        <v>-9.3132257461547852E-10</v>
      </c>
      <c r="BN359" s="265">
        <f t="shared" si="214"/>
        <v>0.17244404554367065</v>
      </c>
      <c r="BO359" s="109"/>
      <c r="BP359" s="265">
        <f t="shared" si="215"/>
        <v>0.17244404368102551</v>
      </c>
      <c r="BQ359" s="265">
        <v>0.17244404368102551</v>
      </c>
      <c r="BR359" s="265" t="e">
        <f t="shared" si="216"/>
        <v>#REF!</v>
      </c>
      <c r="BS359" s="265">
        <v>1.9427414263997848E-2</v>
      </c>
      <c r="BT359" s="475">
        <v>11461009.071059765</v>
      </c>
      <c r="BU359" s="475">
        <v>8214354.9289402356</v>
      </c>
      <c r="BV359" s="475">
        <v>0</v>
      </c>
      <c r="BW359" s="483">
        <f t="shared" si="217"/>
        <v>0</v>
      </c>
      <c r="BX359" s="483">
        <f t="shared" si="218"/>
        <v>0</v>
      </c>
    </row>
    <row r="360" spans="1:76" s="103" customFormat="1" ht="29">
      <c r="A360" s="100" t="s">
        <v>2259</v>
      </c>
      <c r="B360" s="91" t="str">
        <f t="shared" si="186"/>
        <v>STW</v>
      </c>
      <c r="C360" s="92" t="s">
        <v>2313</v>
      </c>
      <c r="D360" s="448"/>
      <c r="E360" s="451">
        <v>3201394</v>
      </c>
      <c r="F360" s="409" t="s">
        <v>2374</v>
      </c>
      <c r="G360" s="588" t="s">
        <v>4573</v>
      </c>
      <c r="H360" s="398">
        <v>0.9</v>
      </c>
      <c r="I360" s="151"/>
      <c r="J360" s="95" t="s">
        <v>1166</v>
      </c>
      <c r="K360" s="191">
        <v>5648531.0099999998</v>
      </c>
      <c r="L360" s="269">
        <v>0.46388270286414102</v>
      </c>
      <c r="M360" s="585">
        <v>1</v>
      </c>
      <c r="N360" s="267">
        <f t="shared" si="187"/>
        <v>0</v>
      </c>
      <c r="O360" s="96">
        <f t="shared" si="188"/>
        <v>3290300.7610823549</v>
      </c>
      <c r="P360" s="96">
        <f t="shared" si="222"/>
        <v>2358230.2489176448</v>
      </c>
      <c r="Q360" s="96">
        <f t="shared" si="189"/>
        <v>0</v>
      </c>
      <c r="R360" s="187" t="s">
        <v>2325</v>
      </c>
      <c r="S360" s="187" t="s">
        <v>3607</v>
      </c>
      <c r="T360" s="94" t="s">
        <v>5409</v>
      </c>
      <c r="U360" s="395">
        <f>COUNTIF(Aggregation_of_rev_to_allocate!$A$3:$A$137,$T360)</f>
        <v>0</v>
      </c>
      <c r="V360" s="100"/>
      <c r="W360" s="100">
        <v>478</v>
      </c>
      <c r="X360" s="109">
        <v>2358230.2984239985</v>
      </c>
      <c r="Y360" s="109">
        <v>0</v>
      </c>
      <c r="Z360" s="110">
        <v>0.4638827126024358</v>
      </c>
      <c r="AA360" s="110">
        <v>1</v>
      </c>
      <c r="AB360" s="110">
        <v>0</v>
      </c>
      <c r="AC360" s="109">
        <f>IF(ISERROR((X360*SUMIF('Rev_for_allocation(Hard)'!$A$3:$A$249,$T360,'Rev_for_allocation(Hard)'!$I$3:$I$249)/SUMIF(Historic_capex_list!$T$9:$T$586,$T360,Historic_capex_list!$X$9:$X$586))=TRUE),0,X360*SUMIF('Rev_for_allocation(Hard)'!$A$3:$A$249,$T360,'Rev_for_allocation(Hard)'!$I$3:$I$249)/SUMIF(Historic_capex_list!$T$9:$T$586,$T360,Historic_capex_list!$X$9:$X$586))</f>
        <v>0</v>
      </c>
      <c r="AD360" s="109">
        <f t="shared" si="190"/>
        <v>2358230.2984239985</v>
      </c>
      <c r="AE360" s="109">
        <f t="shared" si="191"/>
        <v>2358230.2984239985</v>
      </c>
      <c r="AF360" s="109">
        <f t="shared" si="192"/>
        <v>2358230.2984239985</v>
      </c>
      <c r="AG360" s="332" t="str">
        <f t="shared" si="193"/>
        <v>N</v>
      </c>
      <c r="AH360" s="332">
        <f t="shared" si="219"/>
        <v>0</v>
      </c>
      <c r="AI360" s="332">
        <f t="shared" si="220"/>
        <v>0</v>
      </c>
      <c r="AJ360" s="109">
        <f t="shared" si="221"/>
        <v>2358230.2984239985</v>
      </c>
      <c r="AK360" s="109">
        <f t="shared" si="194"/>
        <v>0</v>
      </c>
      <c r="AL360" s="109">
        <v>0</v>
      </c>
      <c r="AM360" s="111">
        <f t="shared" si="195"/>
        <v>0</v>
      </c>
      <c r="AN360" s="111">
        <f t="shared" si="196"/>
        <v>0</v>
      </c>
      <c r="AO360" s="111" t="str">
        <f t="shared" si="197"/>
        <v>Use deduct 3yrs</v>
      </c>
      <c r="AP360" s="111">
        <f t="shared" si="198"/>
        <v>0</v>
      </c>
      <c r="AQ360" s="112">
        <f t="shared" si="199"/>
        <v>0</v>
      </c>
      <c r="AR360" s="112">
        <f t="shared" si="200"/>
        <v>1</v>
      </c>
      <c r="AS360" s="113">
        <f t="shared" si="201"/>
        <v>2028</v>
      </c>
      <c r="AT360" s="109">
        <v>2358230.2489176448</v>
      </c>
      <c r="AU360" s="114">
        <v>1</v>
      </c>
      <c r="AV360" s="113">
        <v>2028</v>
      </c>
      <c r="AW360" s="112">
        <f t="shared" si="202"/>
        <v>0.46388270286414102</v>
      </c>
      <c r="AX360" s="109">
        <f t="shared" si="203"/>
        <v>2358230.2489176448</v>
      </c>
      <c r="AY360" s="109">
        <f t="shared" si="204"/>
        <v>0</v>
      </c>
      <c r="AZ360" s="109">
        <f t="shared" si="205"/>
        <v>2358230.2489176448</v>
      </c>
      <c r="BA360" s="111">
        <f t="shared" si="206"/>
        <v>0</v>
      </c>
      <c r="BB360" s="117"/>
      <c r="BC360" s="115" t="str">
        <f t="shared" si="207"/>
        <v>N</v>
      </c>
      <c r="BD360" s="115" t="str">
        <f t="shared" si="208"/>
        <v>Y</v>
      </c>
      <c r="BE360" s="115" t="str">
        <f t="shared" si="209"/>
        <v>N</v>
      </c>
      <c r="BF360" s="109" t="str">
        <f t="shared" si="210"/>
        <v/>
      </c>
      <c r="BG360" s="111" t="s">
        <v>2499</v>
      </c>
      <c r="BH360" s="115" t="s">
        <v>1168</v>
      </c>
      <c r="BI360" s="116"/>
      <c r="BJ360" s="222">
        <v>0.46388270286414102</v>
      </c>
      <c r="BK360" s="265">
        <f t="shared" si="211"/>
        <v>0</v>
      </c>
      <c r="BL360" s="265">
        <f t="shared" si="212"/>
        <v>0</v>
      </c>
      <c r="BM360" s="265">
        <f t="shared" si="213"/>
        <v>0</v>
      </c>
      <c r="BN360" s="265">
        <f t="shared" si="214"/>
        <v>4.9506353680044413E-2</v>
      </c>
      <c r="BO360" s="109"/>
      <c r="BP360" s="265">
        <f t="shared" si="215"/>
        <v>4.9506353680044413E-2</v>
      </c>
      <c r="BQ360" s="265">
        <v>4.9506353680044413E-2</v>
      </c>
      <c r="BR360" s="265" t="e">
        <f t="shared" si="216"/>
        <v>#REF!</v>
      </c>
      <c r="BS360" s="265">
        <v>5.577347997134937E-3</v>
      </c>
      <c r="BT360" s="475">
        <v>3290300.7610823549</v>
      </c>
      <c r="BU360" s="475">
        <v>2358230.2489176448</v>
      </c>
      <c r="BV360" s="475">
        <v>0</v>
      </c>
      <c r="BW360" s="483">
        <f t="shared" si="217"/>
        <v>0</v>
      </c>
      <c r="BX360" s="483">
        <f t="shared" si="218"/>
        <v>0</v>
      </c>
    </row>
    <row r="361" spans="1:76" s="103" customFormat="1" ht="29">
      <c r="A361" s="100" t="s">
        <v>2259</v>
      </c>
      <c r="B361" s="91" t="str">
        <f t="shared" si="186"/>
        <v>STW</v>
      </c>
      <c r="C361" s="92" t="s">
        <v>2313</v>
      </c>
      <c r="D361" s="448"/>
      <c r="E361" s="451">
        <v>3201396</v>
      </c>
      <c r="F361" s="409" t="s">
        <v>2375</v>
      </c>
      <c r="G361" s="588" t="s">
        <v>5217</v>
      </c>
      <c r="H361" s="398">
        <v>0.9</v>
      </c>
      <c r="I361" s="151"/>
      <c r="J361" s="95" t="s">
        <v>1166</v>
      </c>
      <c r="K361" s="191">
        <v>4415824</v>
      </c>
      <c r="L361" s="269">
        <v>0.46388270286414113</v>
      </c>
      <c r="M361" s="585">
        <v>1</v>
      </c>
      <c r="N361" s="267">
        <f t="shared" si="187"/>
        <v>0</v>
      </c>
      <c r="O361" s="96">
        <f t="shared" si="188"/>
        <v>2572242.0647568912</v>
      </c>
      <c r="P361" s="96">
        <f t="shared" si="222"/>
        <v>1843581.935243109</v>
      </c>
      <c r="Q361" s="96">
        <f t="shared" si="189"/>
        <v>0</v>
      </c>
      <c r="R361" s="187" t="s">
        <v>2325</v>
      </c>
      <c r="S361" s="187" t="s">
        <v>3607</v>
      </c>
      <c r="T361" s="94" t="s">
        <v>5409</v>
      </c>
      <c r="U361" s="395">
        <f>COUNTIF(Aggregation_of_rev_to_allocate!$A$3:$A$137,$T361)</f>
        <v>0</v>
      </c>
      <c r="V361" s="100"/>
      <c r="W361" s="100">
        <v>479</v>
      </c>
      <c r="X361" s="109">
        <v>1843581.9739454447</v>
      </c>
      <c r="Y361" s="109">
        <v>0</v>
      </c>
      <c r="Z361" s="110">
        <v>0.46388271260243585</v>
      </c>
      <c r="AA361" s="110">
        <v>1</v>
      </c>
      <c r="AB361" s="110">
        <v>0</v>
      </c>
      <c r="AC361" s="109">
        <f>IF(ISERROR((X361*SUMIF('Rev_for_allocation(Hard)'!$A$3:$A$249,$T361,'Rev_for_allocation(Hard)'!$I$3:$I$249)/SUMIF(Historic_capex_list!$T$9:$T$586,$T361,Historic_capex_list!$X$9:$X$586))=TRUE),0,X361*SUMIF('Rev_for_allocation(Hard)'!$A$3:$A$249,$T361,'Rev_for_allocation(Hard)'!$I$3:$I$249)/SUMIF(Historic_capex_list!$T$9:$T$586,$T361,Historic_capex_list!$X$9:$X$586))</f>
        <v>0</v>
      </c>
      <c r="AD361" s="109">
        <f t="shared" si="190"/>
        <v>1843581.9739454447</v>
      </c>
      <c r="AE361" s="109">
        <f t="shared" si="191"/>
        <v>1843581.9739454447</v>
      </c>
      <c r="AF361" s="109">
        <f t="shared" si="192"/>
        <v>1843581.9739454447</v>
      </c>
      <c r="AG361" s="332" t="str">
        <f t="shared" si="193"/>
        <v>N</v>
      </c>
      <c r="AH361" s="332">
        <f t="shared" si="219"/>
        <v>0</v>
      </c>
      <c r="AI361" s="332">
        <f t="shared" si="220"/>
        <v>0</v>
      </c>
      <c r="AJ361" s="109">
        <f t="shared" si="221"/>
        <v>1843581.9739454447</v>
      </c>
      <c r="AK361" s="109">
        <f t="shared" si="194"/>
        <v>0</v>
      </c>
      <c r="AL361" s="109">
        <v>0</v>
      </c>
      <c r="AM361" s="111">
        <f t="shared" si="195"/>
        <v>0</v>
      </c>
      <c r="AN361" s="111">
        <f t="shared" si="196"/>
        <v>0</v>
      </c>
      <c r="AO361" s="111" t="str">
        <f t="shared" si="197"/>
        <v>Use deduct 3yrs</v>
      </c>
      <c r="AP361" s="111">
        <f t="shared" si="198"/>
        <v>0</v>
      </c>
      <c r="AQ361" s="112">
        <f t="shared" si="199"/>
        <v>0</v>
      </c>
      <c r="AR361" s="112">
        <f t="shared" si="200"/>
        <v>1</v>
      </c>
      <c r="AS361" s="113">
        <f t="shared" si="201"/>
        <v>2028</v>
      </c>
      <c r="AT361" s="109">
        <v>1843581.9352431088</v>
      </c>
      <c r="AU361" s="114">
        <v>1</v>
      </c>
      <c r="AV361" s="113">
        <v>2028</v>
      </c>
      <c r="AW361" s="112">
        <f t="shared" si="202"/>
        <v>0.46388270286414113</v>
      </c>
      <c r="AX361" s="109">
        <f t="shared" si="203"/>
        <v>1843581.935243109</v>
      </c>
      <c r="AY361" s="109">
        <f t="shared" si="204"/>
        <v>0</v>
      </c>
      <c r="AZ361" s="109">
        <f t="shared" si="205"/>
        <v>1843581.935243109</v>
      </c>
      <c r="BA361" s="111">
        <f t="shared" si="206"/>
        <v>0</v>
      </c>
      <c r="BB361" s="117"/>
      <c r="BC361" s="115" t="str">
        <f t="shared" si="207"/>
        <v>N</v>
      </c>
      <c r="BD361" s="115" t="str">
        <f t="shared" si="208"/>
        <v>Y</v>
      </c>
      <c r="BE361" s="115" t="str">
        <f t="shared" si="209"/>
        <v>N</v>
      </c>
      <c r="BF361" s="109" t="str">
        <f t="shared" si="210"/>
        <v/>
      </c>
      <c r="BG361" s="111" t="s">
        <v>2499</v>
      </c>
      <c r="BH361" s="115" t="s">
        <v>1168</v>
      </c>
      <c r="BI361" s="116"/>
      <c r="BJ361" s="222">
        <v>0.46388270286414113</v>
      </c>
      <c r="BK361" s="265">
        <f t="shared" si="211"/>
        <v>0</v>
      </c>
      <c r="BL361" s="265">
        <f t="shared" si="212"/>
        <v>0</v>
      </c>
      <c r="BM361" s="265">
        <f t="shared" si="213"/>
        <v>-2.3283064365386963E-10</v>
      </c>
      <c r="BN361" s="265">
        <f t="shared" si="214"/>
        <v>3.8702335674315691E-2</v>
      </c>
      <c r="BO361" s="109"/>
      <c r="BP361" s="265">
        <f t="shared" si="215"/>
        <v>3.8702335907146335E-2</v>
      </c>
      <c r="BQ361" s="265">
        <v>3.8702335907146335E-2</v>
      </c>
      <c r="BR361" s="265" t="e">
        <f t="shared" si="216"/>
        <v>#REF!</v>
      </c>
      <c r="BS361" s="265">
        <v>4.3601756059682504E-3</v>
      </c>
      <c r="BT361" s="475">
        <v>2572242.0647568912</v>
      </c>
      <c r="BU361" s="475">
        <v>1843581.935243109</v>
      </c>
      <c r="BV361" s="475">
        <v>0</v>
      </c>
      <c r="BW361" s="483">
        <f t="shared" si="217"/>
        <v>0</v>
      </c>
      <c r="BX361" s="483">
        <f t="shared" si="218"/>
        <v>0</v>
      </c>
    </row>
    <row r="362" spans="1:76" s="103" customFormat="1" ht="43.5">
      <c r="A362" s="100"/>
      <c r="B362" s="91" t="str">
        <f t="shared" si="186"/>
        <v>STW</v>
      </c>
      <c r="C362" s="92" t="s">
        <v>3626</v>
      </c>
      <c r="D362" s="448"/>
      <c r="E362" s="449">
        <v>3201392</v>
      </c>
      <c r="F362" s="384" t="s">
        <v>2381</v>
      </c>
      <c r="G362" s="588" t="s">
        <v>4551</v>
      </c>
      <c r="H362" s="398">
        <v>0.95</v>
      </c>
      <c r="I362" s="95"/>
      <c r="J362" s="95" t="s">
        <v>1166</v>
      </c>
      <c r="K362" s="191">
        <v>12440999.909999998</v>
      </c>
      <c r="L362" s="268">
        <v>0.45999999034321515</v>
      </c>
      <c r="M362" s="584">
        <v>1</v>
      </c>
      <c r="N362" s="267">
        <f t="shared" si="187"/>
        <v>0</v>
      </c>
      <c r="O362" s="96">
        <f t="shared" si="188"/>
        <v>7004283.0634630555</v>
      </c>
      <c r="P362" s="96">
        <f t="shared" si="222"/>
        <v>5436716.8465369428</v>
      </c>
      <c r="Q362" s="96">
        <f t="shared" si="189"/>
        <v>0</v>
      </c>
      <c r="R362" s="187" t="s">
        <v>2325</v>
      </c>
      <c r="S362" s="187" t="s">
        <v>3607</v>
      </c>
      <c r="T362" s="94" t="s">
        <v>5409</v>
      </c>
      <c r="U362" s="395">
        <f>COUNTIF(Aggregation_of_rev_to_allocate!$A$3:$A$137,$T362)</f>
        <v>0</v>
      </c>
      <c r="V362" s="100"/>
      <c r="W362" s="100">
        <v>1018</v>
      </c>
      <c r="X362" s="109">
        <v>5436716.960669999</v>
      </c>
      <c r="Y362" s="109">
        <v>0</v>
      </c>
      <c r="Z362" s="110">
        <v>0.46</v>
      </c>
      <c r="AA362" s="110">
        <v>1</v>
      </c>
      <c r="AB362" s="110">
        <v>0</v>
      </c>
      <c r="AC362" s="109">
        <f>IF(ISERROR((X362*SUMIF('Rev_for_allocation(Hard)'!$A$3:$A$249,$T362,'Rev_for_allocation(Hard)'!$I$3:$I$249)/SUMIF(Historic_capex_list!$T$9:$T$586,$T362,Historic_capex_list!$X$9:$X$586))=TRUE),0,X362*SUMIF('Rev_for_allocation(Hard)'!$A$3:$A$249,$T362,'Rev_for_allocation(Hard)'!$I$3:$I$249)/SUMIF(Historic_capex_list!$T$9:$T$586,$T362,Historic_capex_list!$X$9:$X$586))</f>
        <v>0</v>
      </c>
      <c r="AD362" s="109">
        <f t="shared" si="190"/>
        <v>5436716.960669999</v>
      </c>
      <c r="AE362" s="109">
        <f t="shared" si="191"/>
        <v>5436716.960669999</v>
      </c>
      <c r="AF362" s="109">
        <f t="shared" si="192"/>
        <v>5436716.960669999</v>
      </c>
      <c r="AG362" s="332" t="str">
        <f t="shared" si="193"/>
        <v>N</v>
      </c>
      <c r="AH362" s="332">
        <f t="shared" si="219"/>
        <v>0</v>
      </c>
      <c r="AI362" s="332">
        <f t="shared" si="220"/>
        <v>0</v>
      </c>
      <c r="AJ362" s="109">
        <f t="shared" si="221"/>
        <v>5436716.960669999</v>
      </c>
      <c r="AK362" s="109">
        <f t="shared" si="194"/>
        <v>0</v>
      </c>
      <c r="AL362" s="109">
        <v>0</v>
      </c>
      <c r="AM362" s="111">
        <f t="shared" si="195"/>
        <v>0</v>
      </c>
      <c r="AN362" s="111">
        <f t="shared" si="196"/>
        <v>0</v>
      </c>
      <c r="AO362" s="111" t="str">
        <f t="shared" si="197"/>
        <v>Use deduct 3yrs</v>
      </c>
      <c r="AP362" s="111">
        <f t="shared" si="198"/>
        <v>0</v>
      </c>
      <c r="AQ362" s="112">
        <f t="shared" si="199"/>
        <v>0</v>
      </c>
      <c r="AR362" s="112">
        <f t="shared" si="200"/>
        <v>1</v>
      </c>
      <c r="AS362" s="113">
        <f t="shared" si="201"/>
        <v>2028</v>
      </c>
      <c r="AT362" s="109">
        <v>5436716.8465369428</v>
      </c>
      <c r="AU362" s="114">
        <v>1</v>
      </c>
      <c r="AV362" s="113">
        <v>2028</v>
      </c>
      <c r="AW362" s="112">
        <f t="shared" si="202"/>
        <v>0.45999999034321515</v>
      </c>
      <c r="AX362" s="109">
        <f t="shared" si="203"/>
        <v>5436716.8465369428</v>
      </c>
      <c r="AY362" s="109">
        <f t="shared" si="204"/>
        <v>0</v>
      </c>
      <c r="AZ362" s="109">
        <f t="shared" si="205"/>
        <v>5436716.8465369428</v>
      </c>
      <c r="BA362" s="111">
        <f t="shared" si="206"/>
        <v>0</v>
      </c>
      <c r="BB362" s="117"/>
      <c r="BC362" s="115" t="str">
        <f t="shared" si="207"/>
        <v>N</v>
      </c>
      <c r="BD362" s="115" t="str">
        <f t="shared" si="208"/>
        <v>Y</v>
      </c>
      <c r="BE362" s="115" t="str">
        <f t="shared" si="209"/>
        <v>N</v>
      </c>
      <c r="BF362" s="109" t="str">
        <f t="shared" si="210"/>
        <v/>
      </c>
      <c r="BG362" s="111" t="s">
        <v>2499</v>
      </c>
      <c r="BH362" s="115" t="s">
        <v>1168</v>
      </c>
      <c r="BI362" s="116"/>
      <c r="BJ362" s="222">
        <v>0.45999999034321515</v>
      </c>
      <c r="BK362" s="265">
        <f t="shared" si="211"/>
        <v>0</v>
      </c>
      <c r="BL362" s="265">
        <f t="shared" si="212"/>
        <v>0</v>
      </c>
      <c r="BM362" s="265">
        <f t="shared" si="213"/>
        <v>0</v>
      </c>
      <c r="BN362" s="265">
        <f t="shared" si="214"/>
        <v>0.11413305625319481</v>
      </c>
      <c r="BO362" s="109"/>
      <c r="BP362" s="265">
        <f t="shared" si="215"/>
        <v>0.11413305625319481</v>
      </c>
      <c r="BQ362" s="265">
        <v>0.11413305625319481</v>
      </c>
      <c r="BR362" s="265" t="e">
        <f t="shared" si="216"/>
        <v>#REF!</v>
      </c>
      <c r="BS362" s="265">
        <v>1.2858142953017302E-2</v>
      </c>
      <c r="BT362" s="475">
        <v>7004283.0634630555</v>
      </c>
      <c r="BU362" s="475">
        <v>5436716.8465369428</v>
      </c>
      <c r="BV362" s="475">
        <v>0</v>
      </c>
      <c r="BW362" s="483">
        <f t="shared" si="217"/>
        <v>0</v>
      </c>
      <c r="BX362" s="483">
        <f t="shared" si="218"/>
        <v>0</v>
      </c>
    </row>
    <row r="363" spans="1:76" s="103" customFormat="1" ht="43.5">
      <c r="A363" s="100" t="s">
        <v>2259</v>
      </c>
      <c r="B363" s="91" t="str">
        <f t="shared" si="186"/>
        <v>STW</v>
      </c>
      <c r="C363" s="92" t="s">
        <v>2313</v>
      </c>
      <c r="D363" s="448"/>
      <c r="E363" s="451">
        <v>3201392</v>
      </c>
      <c r="F363" s="409" t="s">
        <v>2381</v>
      </c>
      <c r="G363" s="588" t="s">
        <v>4551</v>
      </c>
      <c r="H363" s="398">
        <v>0.95</v>
      </c>
      <c r="I363" s="151"/>
      <c r="J363" s="95" t="s">
        <v>1166</v>
      </c>
      <c r="K363" s="191">
        <v>5642824</v>
      </c>
      <c r="L363" s="269">
        <v>0.46388270286414113</v>
      </c>
      <c r="M363" s="585">
        <v>1</v>
      </c>
      <c r="N363" s="267">
        <f t="shared" si="187"/>
        <v>0</v>
      </c>
      <c r="O363" s="96">
        <f t="shared" si="188"/>
        <v>3156095.9735386879</v>
      </c>
      <c r="P363" s="96">
        <f t="shared" si="222"/>
        <v>2486728.0264613121</v>
      </c>
      <c r="Q363" s="96">
        <f t="shared" si="189"/>
        <v>0</v>
      </c>
      <c r="R363" s="187" t="s">
        <v>2325</v>
      </c>
      <c r="S363" s="187" t="s">
        <v>3607</v>
      </c>
      <c r="T363" s="94" t="s">
        <v>5409</v>
      </c>
      <c r="U363" s="395">
        <f>COUNTIF(Aggregation_of_rev_to_allocate!$A$3:$A$137,$T363)</f>
        <v>0</v>
      </c>
      <c r="V363" s="100"/>
      <c r="W363" s="100">
        <v>480</v>
      </c>
      <c r="X363" s="109">
        <v>2486728.0786652211</v>
      </c>
      <c r="Y363" s="109">
        <v>0</v>
      </c>
      <c r="Z363" s="110">
        <v>0.46388271260243585</v>
      </c>
      <c r="AA363" s="110">
        <v>1</v>
      </c>
      <c r="AB363" s="110">
        <v>0</v>
      </c>
      <c r="AC363" s="109">
        <f>IF(ISERROR((X363*SUMIF('Rev_for_allocation(Hard)'!$A$3:$A$249,$T363,'Rev_for_allocation(Hard)'!$I$3:$I$249)/SUMIF(Historic_capex_list!$T$9:$T$586,$T363,Historic_capex_list!$X$9:$X$586))=TRUE),0,X363*SUMIF('Rev_for_allocation(Hard)'!$A$3:$A$249,$T363,'Rev_for_allocation(Hard)'!$I$3:$I$249)/SUMIF(Historic_capex_list!$T$9:$T$586,$T363,Historic_capex_list!$X$9:$X$586))</f>
        <v>0</v>
      </c>
      <c r="AD363" s="109">
        <f t="shared" si="190"/>
        <v>2486728.0786652211</v>
      </c>
      <c r="AE363" s="109">
        <f t="shared" si="191"/>
        <v>2486728.0786652211</v>
      </c>
      <c r="AF363" s="109">
        <f t="shared" si="192"/>
        <v>2486728.0786652211</v>
      </c>
      <c r="AG363" s="332" t="str">
        <f t="shared" si="193"/>
        <v>N</v>
      </c>
      <c r="AH363" s="332">
        <f t="shared" si="219"/>
        <v>0</v>
      </c>
      <c r="AI363" s="332">
        <f t="shared" si="220"/>
        <v>0</v>
      </c>
      <c r="AJ363" s="109">
        <f t="shared" si="221"/>
        <v>2486728.0786652211</v>
      </c>
      <c r="AK363" s="109">
        <f t="shared" si="194"/>
        <v>0</v>
      </c>
      <c r="AL363" s="109">
        <v>0</v>
      </c>
      <c r="AM363" s="111">
        <f t="shared" si="195"/>
        <v>0</v>
      </c>
      <c r="AN363" s="111">
        <f t="shared" si="196"/>
        <v>0</v>
      </c>
      <c r="AO363" s="111" t="str">
        <f t="shared" si="197"/>
        <v>Use deduct 3yrs</v>
      </c>
      <c r="AP363" s="111">
        <f t="shared" si="198"/>
        <v>0</v>
      </c>
      <c r="AQ363" s="112">
        <f t="shared" si="199"/>
        <v>0</v>
      </c>
      <c r="AR363" s="112">
        <f t="shared" si="200"/>
        <v>1</v>
      </c>
      <c r="AS363" s="113">
        <f t="shared" si="201"/>
        <v>2028</v>
      </c>
      <c r="AT363" s="109">
        <v>2486728.0264613121</v>
      </c>
      <c r="AU363" s="114">
        <v>1</v>
      </c>
      <c r="AV363" s="113">
        <v>2028</v>
      </c>
      <c r="AW363" s="112">
        <f t="shared" si="202"/>
        <v>0.46388270286414113</v>
      </c>
      <c r="AX363" s="109">
        <f t="shared" si="203"/>
        <v>2486728.0264613121</v>
      </c>
      <c r="AY363" s="109">
        <f t="shared" si="204"/>
        <v>0</v>
      </c>
      <c r="AZ363" s="109">
        <f t="shared" si="205"/>
        <v>2486728.0264613121</v>
      </c>
      <c r="BA363" s="111">
        <f t="shared" si="206"/>
        <v>0</v>
      </c>
      <c r="BB363" s="117"/>
      <c r="BC363" s="115" t="str">
        <f t="shared" si="207"/>
        <v>N</v>
      </c>
      <c r="BD363" s="115" t="str">
        <f t="shared" si="208"/>
        <v>Y</v>
      </c>
      <c r="BE363" s="115" t="str">
        <f t="shared" si="209"/>
        <v>N</v>
      </c>
      <c r="BF363" s="109" t="str">
        <f t="shared" si="210"/>
        <v/>
      </c>
      <c r="BG363" s="111" t="s">
        <v>2499</v>
      </c>
      <c r="BH363" s="115" t="s">
        <v>1168</v>
      </c>
      <c r="BI363" s="116"/>
      <c r="BJ363" s="222">
        <v>0.46388270286414113</v>
      </c>
      <c r="BK363" s="265">
        <f t="shared" si="211"/>
        <v>0</v>
      </c>
      <c r="BL363" s="265">
        <f t="shared" si="212"/>
        <v>0</v>
      </c>
      <c r="BM363" s="265">
        <f t="shared" si="213"/>
        <v>0</v>
      </c>
      <c r="BN363" s="265">
        <f t="shared" si="214"/>
        <v>5.2203909028321505E-2</v>
      </c>
      <c r="BO363" s="109"/>
      <c r="BP363" s="265">
        <f t="shared" si="215"/>
        <v>5.2203909028321505E-2</v>
      </c>
      <c r="BQ363" s="265">
        <v>5.2203909028321505E-2</v>
      </c>
      <c r="BR363" s="265" t="e">
        <f t="shared" si="216"/>
        <v>#REF!</v>
      </c>
      <c r="BS363" s="265">
        <v>5.8812525225239373E-3</v>
      </c>
      <c r="BT363" s="475">
        <v>3156095.9735386879</v>
      </c>
      <c r="BU363" s="475">
        <v>2486728.0264613121</v>
      </c>
      <c r="BV363" s="475">
        <v>0</v>
      </c>
      <c r="BW363" s="483">
        <f t="shared" si="217"/>
        <v>0</v>
      </c>
      <c r="BX363" s="483">
        <f t="shared" si="218"/>
        <v>0</v>
      </c>
    </row>
    <row r="364" spans="1:76" s="103" customFormat="1" ht="43.5">
      <c r="A364" s="100" t="s">
        <v>2259</v>
      </c>
      <c r="B364" s="91" t="str">
        <f t="shared" si="186"/>
        <v>STW</v>
      </c>
      <c r="C364" s="92" t="s">
        <v>2313</v>
      </c>
      <c r="D364" s="448"/>
      <c r="E364" s="451">
        <v>3201397</v>
      </c>
      <c r="F364" s="409" t="s">
        <v>2376</v>
      </c>
      <c r="G364" s="588" t="s">
        <v>4564</v>
      </c>
      <c r="H364" s="398">
        <v>0.9</v>
      </c>
      <c r="I364" s="151"/>
      <c r="J364" s="95" t="s">
        <v>1166</v>
      </c>
      <c r="K364" s="191">
        <v>1147416.82</v>
      </c>
      <c r="L364" s="269">
        <v>0.46388270286414129</v>
      </c>
      <c r="M364" s="585">
        <v>1</v>
      </c>
      <c r="N364" s="267">
        <f t="shared" si="187"/>
        <v>0</v>
      </c>
      <c r="O364" s="96">
        <f t="shared" si="188"/>
        <v>668376.68580395996</v>
      </c>
      <c r="P364" s="96">
        <f t="shared" si="222"/>
        <v>479040.1341960401</v>
      </c>
      <c r="Q364" s="96">
        <f t="shared" si="189"/>
        <v>0</v>
      </c>
      <c r="R364" s="187" t="s">
        <v>2325</v>
      </c>
      <c r="S364" s="187" t="s">
        <v>3607</v>
      </c>
      <c r="T364" s="94" t="s">
        <v>5409</v>
      </c>
      <c r="U364" s="395">
        <f>COUNTIF(Aggregation_of_rev_to_allocate!$A$3:$A$137,$T364)</f>
        <v>0</v>
      </c>
      <c r="V364" s="100"/>
      <c r="W364" s="100">
        <v>481</v>
      </c>
      <c r="X364" s="109">
        <v>479040.1442525349</v>
      </c>
      <c r="Y364" s="109">
        <v>0</v>
      </c>
      <c r="Z364" s="110">
        <v>0.46388271260243591</v>
      </c>
      <c r="AA364" s="110">
        <v>1</v>
      </c>
      <c r="AB364" s="110">
        <v>0</v>
      </c>
      <c r="AC364" s="109">
        <f>IF(ISERROR((X364*SUMIF('Rev_for_allocation(Hard)'!$A$3:$A$249,$T364,'Rev_for_allocation(Hard)'!$I$3:$I$249)/SUMIF(Historic_capex_list!$T$9:$T$586,$T364,Historic_capex_list!$X$9:$X$586))=TRUE),0,X364*SUMIF('Rev_for_allocation(Hard)'!$A$3:$A$249,$T364,'Rev_for_allocation(Hard)'!$I$3:$I$249)/SUMIF(Historic_capex_list!$T$9:$T$586,$T364,Historic_capex_list!$X$9:$X$586))</f>
        <v>0</v>
      </c>
      <c r="AD364" s="109">
        <f t="shared" si="190"/>
        <v>479040.1442525349</v>
      </c>
      <c r="AE364" s="109">
        <f t="shared" si="191"/>
        <v>479040.1442525349</v>
      </c>
      <c r="AF364" s="109">
        <f t="shared" si="192"/>
        <v>479040.1442525349</v>
      </c>
      <c r="AG364" s="332" t="str">
        <f t="shared" si="193"/>
        <v>N</v>
      </c>
      <c r="AH364" s="332">
        <f t="shared" si="219"/>
        <v>0</v>
      </c>
      <c r="AI364" s="332">
        <f t="shared" si="220"/>
        <v>0</v>
      </c>
      <c r="AJ364" s="109">
        <f t="shared" si="221"/>
        <v>479040.1442525349</v>
      </c>
      <c r="AK364" s="109">
        <f t="shared" si="194"/>
        <v>0</v>
      </c>
      <c r="AL364" s="109">
        <v>0</v>
      </c>
      <c r="AM364" s="111">
        <f t="shared" si="195"/>
        <v>0</v>
      </c>
      <c r="AN364" s="111">
        <f t="shared" si="196"/>
        <v>0</v>
      </c>
      <c r="AO364" s="111" t="str">
        <f t="shared" si="197"/>
        <v>Use deduct 3yrs</v>
      </c>
      <c r="AP364" s="111">
        <f t="shared" si="198"/>
        <v>0</v>
      </c>
      <c r="AQ364" s="112">
        <f t="shared" si="199"/>
        <v>0</v>
      </c>
      <c r="AR364" s="112">
        <f t="shared" si="200"/>
        <v>1</v>
      </c>
      <c r="AS364" s="113">
        <f t="shared" si="201"/>
        <v>2028</v>
      </c>
      <c r="AT364" s="109">
        <v>479040.1341960401</v>
      </c>
      <c r="AU364" s="114">
        <v>1</v>
      </c>
      <c r="AV364" s="113">
        <v>2028</v>
      </c>
      <c r="AW364" s="112">
        <f t="shared" si="202"/>
        <v>0.46388270286414129</v>
      </c>
      <c r="AX364" s="109">
        <f t="shared" si="203"/>
        <v>479040.1341960401</v>
      </c>
      <c r="AY364" s="109">
        <f t="shared" si="204"/>
        <v>0</v>
      </c>
      <c r="AZ364" s="109">
        <f t="shared" si="205"/>
        <v>479040.1341960401</v>
      </c>
      <c r="BA364" s="111">
        <f t="shared" si="206"/>
        <v>0</v>
      </c>
      <c r="BB364" s="117"/>
      <c r="BC364" s="115" t="str">
        <f t="shared" si="207"/>
        <v>N</v>
      </c>
      <c r="BD364" s="115" t="str">
        <f t="shared" si="208"/>
        <v>Y</v>
      </c>
      <c r="BE364" s="115" t="str">
        <f t="shared" si="209"/>
        <v>N</v>
      </c>
      <c r="BF364" s="109" t="str">
        <f t="shared" si="210"/>
        <v/>
      </c>
      <c r="BG364" s="111" t="s">
        <v>2499</v>
      </c>
      <c r="BH364" s="115" t="s">
        <v>1168</v>
      </c>
      <c r="BI364" s="116"/>
      <c r="BJ364" s="222">
        <v>0.46388270286414129</v>
      </c>
      <c r="BK364" s="265">
        <f t="shared" si="211"/>
        <v>0</v>
      </c>
      <c r="BL364" s="265">
        <f t="shared" si="212"/>
        <v>0</v>
      </c>
      <c r="BM364" s="265">
        <f t="shared" si="213"/>
        <v>0</v>
      </c>
      <c r="BN364" s="265">
        <f t="shared" si="214"/>
        <v>1.0056494793388993E-2</v>
      </c>
      <c r="BO364" s="109"/>
      <c r="BP364" s="265">
        <f t="shared" si="215"/>
        <v>1.0056494793388993E-2</v>
      </c>
      <c r="BQ364" s="265">
        <v>1.0056494793388993E-2</v>
      </c>
      <c r="BR364" s="265" t="e">
        <f t="shared" si="216"/>
        <v>#REF!</v>
      </c>
      <c r="BS364" s="265">
        <v>1.1329570231853865E-3</v>
      </c>
      <c r="BT364" s="475">
        <v>668376.68580395996</v>
      </c>
      <c r="BU364" s="475">
        <v>479040.1341960401</v>
      </c>
      <c r="BV364" s="475">
        <v>0</v>
      </c>
      <c r="BW364" s="483">
        <f t="shared" si="217"/>
        <v>0</v>
      </c>
      <c r="BX364" s="483">
        <f t="shared" si="218"/>
        <v>0</v>
      </c>
    </row>
    <row r="365" spans="1:76" s="103" customFormat="1" ht="43.5">
      <c r="A365" s="100" t="s">
        <v>2259</v>
      </c>
      <c r="B365" s="91" t="str">
        <f t="shared" si="186"/>
        <v>STW</v>
      </c>
      <c r="C365" s="92" t="s">
        <v>2313</v>
      </c>
      <c r="D365" s="448"/>
      <c r="E365" s="451">
        <v>3201397</v>
      </c>
      <c r="F365" s="409" t="s">
        <v>2376</v>
      </c>
      <c r="G365" s="588" t="s">
        <v>4564</v>
      </c>
      <c r="H365" s="398">
        <v>0.9</v>
      </c>
      <c r="I365" s="151"/>
      <c r="J365" s="95" t="s">
        <v>1166</v>
      </c>
      <c r="K365" s="191">
        <v>139709.75</v>
      </c>
      <c r="L365" s="269">
        <v>0.46388270286414118</v>
      </c>
      <c r="M365" s="585">
        <v>1</v>
      </c>
      <c r="N365" s="267">
        <f t="shared" si="187"/>
        <v>0</v>
      </c>
      <c r="O365" s="96">
        <f t="shared" si="188"/>
        <v>81381.707198173885</v>
      </c>
      <c r="P365" s="96">
        <f t="shared" si="222"/>
        <v>58328.042801826101</v>
      </c>
      <c r="Q365" s="96">
        <f t="shared" si="189"/>
        <v>0</v>
      </c>
      <c r="R365" s="187" t="s">
        <v>2325</v>
      </c>
      <c r="S365" s="187" t="s">
        <v>3607</v>
      </c>
      <c r="T365" s="94" t="s">
        <v>5409</v>
      </c>
      <c r="U365" s="395">
        <f>COUNTIF(Aggregation_of_rev_to_allocate!$A$3:$A$137,$T365)</f>
        <v>0</v>
      </c>
      <c r="V365" s="100"/>
      <c r="W365" s="100">
        <v>481</v>
      </c>
      <c r="X365" s="109">
        <v>58328.044026307354</v>
      </c>
      <c r="Y365" s="109">
        <v>0</v>
      </c>
      <c r="Z365" s="110">
        <v>0.46388271260243591</v>
      </c>
      <c r="AA365" s="110">
        <v>1</v>
      </c>
      <c r="AB365" s="110">
        <v>0</v>
      </c>
      <c r="AC365" s="109">
        <f>IF(ISERROR((X365*SUMIF('Rev_for_allocation(Hard)'!$A$3:$A$249,$T365,'Rev_for_allocation(Hard)'!$I$3:$I$249)/SUMIF(Historic_capex_list!$T$9:$T$586,$T365,Historic_capex_list!$X$9:$X$586))=TRUE),0,X365*SUMIF('Rev_for_allocation(Hard)'!$A$3:$A$249,$T365,'Rev_for_allocation(Hard)'!$I$3:$I$249)/SUMIF(Historic_capex_list!$T$9:$T$586,$T365,Historic_capex_list!$X$9:$X$586))</f>
        <v>0</v>
      </c>
      <c r="AD365" s="109">
        <f t="shared" si="190"/>
        <v>58328.044026307354</v>
      </c>
      <c r="AE365" s="109">
        <f t="shared" si="191"/>
        <v>58328.044026307354</v>
      </c>
      <c r="AF365" s="109">
        <f t="shared" si="192"/>
        <v>58328.044026307354</v>
      </c>
      <c r="AG365" s="332" t="str">
        <f t="shared" si="193"/>
        <v>N</v>
      </c>
      <c r="AH365" s="332">
        <f t="shared" si="219"/>
        <v>0</v>
      </c>
      <c r="AI365" s="332">
        <f t="shared" si="220"/>
        <v>0</v>
      </c>
      <c r="AJ365" s="109">
        <f t="shared" si="221"/>
        <v>58328.044026307354</v>
      </c>
      <c r="AK365" s="109">
        <f t="shared" si="194"/>
        <v>0</v>
      </c>
      <c r="AL365" s="109">
        <v>0</v>
      </c>
      <c r="AM365" s="111">
        <f t="shared" si="195"/>
        <v>0</v>
      </c>
      <c r="AN365" s="111">
        <f t="shared" si="196"/>
        <v>0</v>
      </c>
      <c r="AO365" s="111" t="str">
        <f t="shared" si="197"/>
        <v>Use deduct 3yrs</v>
      </c>
      <c r="AP365" s="111">
        <f t="shared" si="198"/>
        <v>0</v>
      </c>
      <c r="AQ365" s="112">
        <f t="shared" si="199"/>
        <v>0</v>
      </c>
      <c r="AR365" s="112">
        <f t="shared" si="200"/>
        <v>1</v>
      </c>
      <c r="AS365" s="113">
        <f t="shared" si="201"/>
        <v>2028</v>
      </c>
      <c r="AT365" s="109">
        <v>58328.042801826108</v>
      </c>
      <c r="AU365" s="114">
        <v>1</v>
      </c>
      <c r="AV365" s="113">
        <v>2028</v>
      </c>
      <c r="AW365" s="112">
        <f t="shared" si="202"/>
        <v>0.46388270286414118</v>
      </c>
      <c r="AX365" s="109">
        <f t="shared" si="203"/>
        <v>58328.042801826101</v>
      </c>
      <c r="AY365" s="109">
        <f t="shared" si="204"/>
        <v>0</v>
      </c>
      <c r="AZ365" s="109">
        <f t="shared" si="205"/>
        <v>58328.042801826101</v>
      </c>
      <c r="BA365" s="111">
        <f t="shared" si="206"/>
        <v>0</v>
      </c>
      <c r="BB365" s="117"/>
      <c r="BC365" s="115" t="str">
        <f t="shared" si="207"/>
        <v>N</v>
      </c>
      <c r="BD365" s="115" t="str">
        <f t="shared" si="208"/>
        <v>Y</v>
      </c>
      <c r="BE365" s="115" t="str">
        <f t="shared" si="209"/>
        <v>N</v>
      </c>
      <c r="BF365" s="109" t="str">
        <f t="shared" si="210"/>
        <v/>
      </c>
      <c r="BG365" s="111" t="s">
        <v>2499</v>
      </c>
      <c r="BH365" s="115" t="s">
        <v>1168</v>
      </c>
      <c r="BI365" s="116"/>
      <c r="BJ365" s="222">
        <v>0.46388270286414118</v>
      </c>
      <c r="BK365" s="265">
        <f t="shared" si="211"/>
        <v>0</v>
      </c>
      <c r="BL365" s="265">
        <f t="shared" si="212"/>
        <v>0</v>
      </c>
      <c r="BM365" s="265">
        <f t="shared" si="213"/>
        <v>1.4551915228366852E-11</v>
      </c>
      <c r="BN365" s="265">
        <f t="shared" si="214"/>
        <v>1.2244812533026561E-3</v>
      </c>
      <c r="BO365" s="109"/>
      <c r="BP365" s="265">
        <f t="shared" si="215"/>
        <v>1.2244812460266985E-3</v>
      </c>
      <c r="BQ365" s="265">
        <v>1.2244812460266985E-3</v>
      </c>
      <c r="BR365" s="265" t="e">
        <f t="shared" si="216"/>
        <v>#REF!</v>
      </c>
      <c r="BS365" s="265">
        <v>1.3794912202974777E-4</v>
      </c>
      <c r="BT365" s="475">
        <v>81381.707198173885</v>
      </c>
      <c r="BU365" s="475">
        <v>58328.042801826101</v>
      </c>
      <c r="BV365" s="475">
        <v>0</v>
      </c>
      <c r="BW365" s="483">
        <f t="shared" si="217"/>
        <v>0</v>
      </c>
      <c r="BX365" s="483">
        <f t="shared" si="218"/>
        <v>0</v>
      </c>
    </row>
    <row r="366" spans="1:76" s="103" customFormat="1" ht="14.5">
      <c r="A366" s="100" t="s">
        <v>2259</v>
      </c>
      <c r="B366" s="91" t="str">
        <f t="shared" si="186"/>
        <v>STW</v>
      </c>
      <c r="C366" s="92" t="s">
        <v>2313</v>
      </c>
      <c r="D366" s="448"/>
      <c r="E366" s="451">
        <v>3201399</v>
      </c>
      <c r="F366" s="409" t="s">
        <v>2377</v>
      </c>
      <c r="G366" s="384" t="s">
        <v>4500</v>
      </c>
      <c r="H366" s="398">
        <v>0.9</v>
      </c>
      <c r="I366" s="151"/>
      <c r="J366" s="95" t="s">
        <v>1166</v>
      </c>
      <c r="K366" s="191">
        <v>178873.13</v>
      </c>
      <c r="L366" s="269">
        <v>9.2644981186135733E-3</v>
      </c>
      <c r="M366" s="585">
        <v>1</v>
      </c>
      <c r="N366" s="267">
        <f t="shared" si="187"/>
        <v>0</v>
      </c>
      <c r="O366" s="96">
        <f t="shared" si="188"/>
        <v>177381.67720128002</v>
      </c>
      <c r="P366" s="96">
        <f t="shared" si="222"/>
        <v>1491.4527987199692</v>
      </c>
      <c r="Q366" s="96">
        <f t="shared" si="189"/>
        <v>0</v>
      </c>
      <c r="R366" s="187" t="s">
        <v>2392</v>
      </c>
      <c r="S366" s="187" t="s">
        <v>3607</v>
      </c>
      <c r="T366" s="94" t="s">
        <v>5396</v>
      </c>
      <c r="U366" s="395">
        <f>COUNTIF(Aggregation_of_rev_to_allocate!$A$3:$A$137,$T366)</f>
        <v>0</v>
      </c>
      <c r="V366" s="100"/>
      <c r="W366" s="100">
        <v>287</v>
      </c>
      <c r="X366" s="109">
        <v>74678.537480479339</v>
      </c>
      <c r="Y366" s="109">
        <v>0</v>
      </c>
      <c r="Z366" s="110">
        <v>0.46388271260243585</v>
      </c>
      <c r="AA366" s="110">
        <v>1</v>
      </c>
      <c r="AB366" s="110">
        <v>0</v>
      </c>
      <c r="AC366" s="109">
        <f>IF(ISERROR((X366*SUMIF('Rev_for_allocation(Hard)'!$A$3:$A$249,$T366,'Rev_for_allocation(Hard)'!$I$3:$I$249)/SUMIF(Historic_capex_list!$T$9:$T$586,$T366,Historic_capex_list!$X$9:$X$586))=TRUE),0,X366*SUMIF('Rev_for_allocation(Hard)'!$A$3:$A$249,$T366,'Rev_for_allocation(Hard)'!$I$3:$I$249)/SUMIF(Historic_capex_list!$T$9:$T$586,$T366,Historic_capex_list!$X$9:$X$586))</f>
        <v>0</v>
      </c>
      <c r="AD366" s="109">
        <f t="shared" si="190"/>
        <v>74678.537480479339</v>
      </c>
      <c r="AE366" s="109">
        <f t="shared" si="191"/>
        <v>74678.537480479339</v>
      </c>
      <c r="AF366" s="109">
        <f t="shared" si="192"/>
        <v>74678.537480479339</v>
      </c>
      <c r="AG366" s="332" t="str">
        <f t="shared" si="193"/>
        <v>N</v>
      </c>
      <c r="AH366" s="332">
        <f t="shared" si="219"/>
        <v>0</v>
      </c>
      <c r="AI366" s="332">
        <f t="shared" si="220"/>
        <v>0</v>
      </c>
      <c r="AJ366" s="109">
        <f t="shared" si="221"/>
        <v>74678.537480479339</v>
      </c>
      <c r="AK366" s="109">
        <f t="shared" si="194"/>
        <v>0</v>
      </c>
      <c r="AL366" s="109">
        <v>0</v>
      </c>
      <c r="AM366" s="111">
        <f t="shared" si="195"/>
        <v>0</v>
      </c>
      <c r="AN366" s="111">
        <f t="shared" si="196"/>
        <v>0</v>
      </c>
      <c r="AO366" s="111" t="str">
        <f t="shared" si="197"/>
        <v>Use deduct 3yrs</v>
      </c>
      <c r="AP366" s="111">
        <f t="shared" si="198"/>
        <v>0</v>
      </c>
      <c r="AQ366" s="112">
        <f t="shared" si="199"/>
        <v>0</v>
      </c>
      <c r="AR366" s="112">
        <f t="shared" si="200"/>
        <v>1</v>
      </c>
      <c r="AS366" s="113">
        <f t="shared" si="201"/>
        <v>2028</v>
      </c>
      <c r="AT366" s="109">
        <v>1491.452798719969</v>
      </c>
      <c r="AU366" s="114">
        <v>1</v>
      </c>
      <c r="AV366" s="113">
        <v>2028</v>
      </c>
      <c r="AW366" s="112">
        <f t="shared" si="202"/>
        <v>9.2644981186135733E-3</v>
      </c>
      <c r="AX366" s="109">
        <f t="shared" si="203"/>
        <v>1491.4527987199692</v>
      </c>
      <c r="AY366" s="109">
        <f t="shared" si="204"/>
        <v>0</v>
      </c>
      <c r="AZ366" s="109">
        <f t="shared" si="205"/>
        <v>1491.4527987199692</v>
      </c>
      <c r="BA366" s="111">
        <f t="shared" si="206"/>
        <v>0</v>
      </c>
      <c r="BB366" s="117"/>
      <c r="BC366" s="115" t="str">
        <f t="shared" si="207"/>
        <v>Y</v>
      </c>
      <c r="BD366" s="115" t="str">
        <f t="shared" si="208"/>
        <v>Y</v>
      </c>
      <c r="BE366" s="115" t="str">
        <f t="shared" si="209"/>
        <v>Y</v>
      </c>
      <c r="BF366" s="109">
        <f t="shared" si="210"/>
        <v>1491.4527987199692</v>
      </c>
      <c r="BG366" s="111" t="s">
        <v>2499</v>
      </c>
      <c r="BH366" s="115" t="s">
        <v>1168</v>
      </c>
      <c r="BI366" s="116"/>
      <c r="BJ366" s="222">
        <v>9.2644981186135733E-3</v>
      </c>
      <c r="BK366" s="265">
        <f t="shared" si="211"/>
        <v>0</v>
      </c>
      <c r="BL366" s="265">
        <f t="shared" si="212"/>
        <v>0</v>
      </c>
      <c r="BM366" s="265">
        <f t="shared" si="213"/>
        <v>1.432454155292362E-11</v>
      </c>
      <c r="BN366" s="265">
        <f t="shared" si="214"/>
        <v>73187.08468175937</v>
      </c>
      <c r="BO366" s="109"/>
      <c r="BP366" s="265">
        <f t="shared" si="215"/>
        <v>73187.08468175937</v>
      </c>
      <c r="BQ366" s="265">
        <v>73187.08468175937</v>
      </c>
      <c r="BR366" s="265" t="e">
        <f t="shared" si="216"/>
        <v>#REF!</v>
      </c>
      <c r="BS366" s="265">
        <v>8245.2010665954876</v>
      </c>
      <c r="BT366" s="475">
        <v>177381.67720128002</v>
      </c>
      <c r="BU366" s="475">
        <v>1491.4527987199692</v>
      </c>
      <c r="BV366" s="475">
        <v>0</v>
      </c>
      <c r="BW366" s="483">
        <f t="shared" si="217"/>
        <v>0</v>
      </c>
      <c r="BX366" s="483">
        <f t="shared" si="218"/>
        <v>0</v>
      </c>
    </row>
    <row r="367" spans="1:76" s="103" customFormat="1" ht="29">
      <c r="A367" s="100" t="s">
        <v>2259</v>
      </c>
      <c r="B367" s="91" t="str">
        <f t="shared" si="186"/>
        <v>STW</v>
      </c>
      <c r="C367" s="92" t="s">
        <v>2308</v>
      </c>
      <c r="D367" s="448"/>
      <c r="E367" s="451">
        <v>3201403</v>
      </c>
      <c r="F367" s="409" t="s">
        <v>4321</v>
      </c>
      <c r="G367" s="588" t="s">
        <v>4552</v>
      </c>
      <c r="H367" s="398">
        <v>0.9</v>
      </c>
      <c r="I367" s="151"/>
      <c r="J367" s="95" t="s">
        <v>1166</v>
      </c>
      <c r="K367" s="191">
        <v>334285.33</v>
      </c>
      <c r="L367" s="269">
        <v>0.14872200123722248</v>
      </c>
      <c r="M367" s="585">
        <v>1</v>
      </c>
      <c r="N367" s="267">
        <f t="shared" si="187"/>
        <v>0</v>
      </c>
      <c r="O367" s="96">
        <f t="shared" si="188"/>
        <v>289541.30506433919</v>
      </c>
      <c r="P367" s="96">
        <f t="shared" si="222"/>
        <v>44744.024935660796</v>
      </c>
      <c r="Q367" s="96">
        <f t="shared" si="189"/>
        <v>0</v>
      </c>
      <c r="R367" s="187" t="s">
        <v>2556</v>
      </c>
      <c r="S367" s="187" t="s">
        <v>3607</v>
      </c>
      <c r="T367" s="94" t="s">
        <v>5408</v>
      </c>
      <c r="U367" s="395">
        <f>COUNTIF(Aggregation_of_rev_to_allocate!$A$3:$A$137,$T367)</f>
        <v>0</v>
      </c>
      <c r="V367" s="100"/>
      <c r="W367" s="100">
        <v>445</v>
      </c>
      <c r="X367" s="109">
        <v>139562.2670972404</v>
      </c>
      <c r="Y367" s="109">
        <v>0</v>
      </c>
      <c r="Z367" s="110">
        <v>0.46388271260243591</v>
      </c>
      <c r="AA367" s="110">
        <v>1</v>
      </c>
      <c r="AB367" s="110">
        <v>0</v>
      </c>
      <c r="AC367" s="109">
        <f>IF(ISERROR((X367*SUMIF('Rev_for_allocation(Hard)'!$A$3:$A$249,$T367,'Rev_for_allocation(Hard)'!$I$3:$I$249)/SUMIF(Historic_capex_list!$T$9:$T$586,$T367,Historic_capex_list!$X$9:$X$586))=TRUE),0,X367*SUMIF('Rev_for_allocation(Hard)'!$A$3:$A$249,$T367,'Rev_for_allocation(Hard)'!$I$3:$I$249)/SUMIF(Historic_capex_list!$T$9:$T$586,$T367,Historic_capex_list!$X$9:$X$586))</f>
        <v>0</v>
      </c>
      <c r="AD367" s="109">
        <f t="shared" si="190"/>
        <v>139562.2670972404</v>
      </c>
      <c r="AE367" s="109">
        <f t="shared" si="191"/>
        <v>139562.2670972404</v>
      </c>
      <c r="AF367" s="109">
        <f t="shared" si="192"/>
        <v>139562.2670972404</v>
      </c>
      <c r="AG367" s="332" t="str">
        <f t="shared" si="193"/>
        <v>N</v>
      </c>
      <c r="AH367" s="332">
        <f t="shared" si="219"/>
        <v>0</v>
      </c>
      <c r="AI367" s="332">
        <f t="shared" si="220"/>
        <v>0</v>
      </c>
      <c r="AJ367" s="109">
        <f t="shared" si="221"/>
        <v>139562.2670972404</v>
      </c>
      <c r="AK367" s="109">
        <f t="shared" si="194"/>
        <v>0</v>
      </c>
      <c r="AL367" s="109">
        <v>0</v>
      </c>
      <c r="AM367" s="111">
        <f t="shared" si="195"/>
        <v>0</v>
      </c>
      <c r="AN367" s="111">
        <f t="shared" si="196"/>
        <v>0</v>
      </c>
      <c r="AO367" s="111" t="str">
        <f t="shared" si="197"/>
        <v>Use deduct 3yrs</v>
      </c>
      <c r="AP367" s="111">
        <f t="shared" si="198"/>
        <v>0</v>
      </c>
      <c r="AQ367" s="112">
        <f t="shared" si="199"/>
        <v>0</v>
      </c>
      <c r="AR367" s="112">
        <f t="shared" si="200"/>
        <v>1</v>
      </c>
      <c r="AS367" s="113">
        <f t="shared" si="201"/>
        <v>2028</v>
      </c>
      <c r="AT367" s="109">
        <v>44744.024935660796</v>
      </c>
      <c r="AU367" s="114">
        <v>1</v>
      </c>
      <c r="AV367" s="113">
        <v>2028</v>
      </c>
      <c r="AW367" s="112">
        <f t="shared" si="202"/>
        <v>0.14872200123722248</v>
      </c>
      <c r="AX367" s="109">
        <f t="shared" si="203"/>
        <v>44744.024935660796</v>
      </c>
      <c r="AY367" s="109">
        <f t="shared" si="204"/>
        <v>0</v>
      </c>
      <c r="AZ367" s="109">
        <f t="shared" si="205"/>
        <v>44744.024935660796</v>
      </c>
      <c r="BA367" s="111">
        <f t="shared" si="206"/>
        <v>0</v>
      </c>
      <c r="BB367" s="117"/>
      <c r="BC367" s="115" t="str">
        <f t="shared" si="207"/>
        <v>N</v>
      </c>
      <c r="BD367" s="115" t="str">
        <f t="shared" si="208"/>
        <v>Y</v>
      </c>
      <c r="BE367" s="115" t="str">
        <f t="shared" si="209"/>
        <v>N</v>
      </c>
      <c r="BF367" s="109" t="str">
        <f t="shared" si="210"/>
        <v/>
      </c>
      <c r="BG367" s="111" t="s">
        <v>2499</v>
      </c>
      <c r="BH367" s="115" t="s">
        <v>1168</v>
      </c>
      <c r="BI367" s="116"/>
      <c r="BJ367" s="222">
        <v>0.14872200123722248</v>
      </c>
      <c r="BK367" s="265">
        <f t="shared" si="211"/>
        <v>0</v>
      </c>
      <c r="BL367" s="265">
        <f t="shared" si="212"/>
        <v>0</v>
      </c>
      <c r="BM367" s="265">
        <f t="shared" si="213"/>
        <v>2.9103830456733704E-11</v>
      </c>
      <c r="BN367" s="265">
        <f t="shared" si="214"/>
        <v>94818.242161579605</v>
      </c>
      <c r="BO367" s="109"/>
      <c r="BP367" s="265">
        <f t="shared" si="215"/>
        <v>94818.242161579605</v>
      </c>
      <c r="BQ367" s="265">
        <v>94818.242161579605</v>
      </c>
      <c r="BR367" s="265" t="e">
        <f t="shared" si="216"/>
        <v>#REF!</v>
      </c>
      <c r="BS367" s="265">
        <v>10682.150748357581</v>
      </c>
      <c r="BT367" s="475">
        <v>289541.30506433919</v>
      </c>
      <c r="BU367" s="475">
        <v>44744.024935660796</v>
      </c>
      <c r="BV367" s="475">
        <v>0</v>
      </c>
      <c r="BW367" s="483">
        <f t="shared" si="217"/>
        <v>0</v>
      </c>
      <c r="BX367" s="483">
        <f t="shared" si="218"/>
        <v>0</v>
      </c>
    </row>
    <row r="368" spans="1:76" s="103" customFormat="1" ht="43.5">
      <c r="A368" s="100" t="s">
        <v>2259</v>
      </c>
      <c r="B368" s="91" t="str">
        <f t="shared" si="186"/>
        <v>STW</v>
      </c>
      <c r="C368" s="92" t="s">
        <v>2308</v>
      </c>
      <c r="D368" s="448"/>
      <c r="E368" s="451">
        <v>3201404</v>
      </c>
      <c r="F368" s="409" t="s">
        <v>2378</v>
      </c>
      <c r="G368" s="588" t="s">
        <v>5218</v>
      </c>
      <c r="H368" s="398">
        <v>0.9</v>
      </c>
      <c r="I368" s="151"/>
      <c r="J368" s="95" t="s">
        <v>1166</v>
      </c>
      <c r="K368" s="191">
        <v>1147416.82</v>
      </c>
      <c r="L368" s="269">
        <v>0.43628416389620345</v>
      </c>
      <c r="M368" s="585">
        <v>1</v>
      </c>
      <c r="N368" s="267">
        <f t="shared" si="187"/>
        <v>0</v>
      </c>
      <c r="O368" s="96">
        <f t="shared" si="188"/>
        <v>696877.01084127359</v>
      </c>
      <c r="P368" s="96">
        <f t="shared" si="222"/>
        <v>450539.80915872654</v>
      </c>
      <c r="Q368" s="96">
        <f t="shared" si="189"/>
        <v>0</v>
      </c>
      <c r="R368" s="187" t="s">
        <v>2562</v>
      </c>
      <c r="S368" s="187" t="s">
        <v>3607</v>
      </c>
      <c r="T368" s="94" t="s">
        <v>5401</v>
      </c>
      <c r="U368" s="395">
        <f>COUNTIF(Aggregation_of_rev_to_allocate!$A$3:$A$137,$T368)</f>
        <v>0</v>
      </c>
      <c r="V368" s="100"/>
      <c r="W368" s="100">
        <v>308</v>
      </c>
      <c r="X368" s="109">
        <v>479040.1442525349</v>
      </c>
      <c r="Y368" s="109">
        <v>0</v>
      </c>
      <c r="Z368" s="110">
        <v>0.46388271260243591</v>
      </c>
      <c r="AA368" s="110">
        <v>1</v>
      </c>
      <c r="AB368" s="110">
        <v>0</v>
      </c>
      <c r="AC368" s="109">
        <f>IF(ISERROR((X368*SUMIF('Rev_for_allocation(Hard)'!$A$3:$A$249,$T368,'Rev_for_allocation(Hard)'!$I$3:$I$249)/SUMIF(Historic_capex_list!$T$9:$T$586,$T368,Historic_capex_list!$X$9:$X$586))=TRUE),0,X368*SUMIF('Rev_for_allocation(Hard)'!$A$3:$A$249,$T368,'Rev_for_allocation(Hard)'!$I$3:$I$249)/SUMIF(Historic_capex_list!$T$9:$T$586,$T368,Historic_capex_list!$X$9:$X$586))</f>
        <v>0</v>
      </c>
      <c r="AD368" s="109">
        <f t="shared" si="190"/>
        <v>479040.1442525349</v>
      </c>
      <c r="AE368" s="109">
        <f t="shared" si="191"/>
        <v>479040.1442525349</v>
      </c>
      <c r="AF368" s="109">
        <f t="shared" si="192"/>
        <v>479040.1442525349</v>
      </c>
      <c r="AG368" s="332" t="str">
        <f t="shared" si="193"/>
        <v>N</v>
      </c>
      <c r="AH368" s="332">
        <f t="shared" si="219"/>
        <v>0</v>
      </c>
      <c r="AI368" s="332">
        <f t="shared" si="220"/>
        <v>0</v>
      </c>
      <c r="AJ368" s="109">
        <f t="shared" si="221"/>
        <v>479040.1442525349</v>
      </c>
      <c r="AK368" s="109">
        <f t="shared" si="194"/>
        <v>0</v>
      </c>
      <c r="AL368" s="109">
        <v>0</v>
      </c>
      <c r="AM368" s="111">
        <f t="shared" si="195"/>
        <v>0</v>
      </c>
      <c r="AN368" s="111">
        <f t="shared" si="196"/>
        <v>0</v>
      </c>
      <c r="AO368" s="111" t="str">
        <f t="shared" si="197"/>
        <v>Use deduct 3yrs</v>
      </c>
      <c r="AP368" s="111">
        <f t="shared" si="198"/>
        <v>0</v>
      </c>
      <c r="AQ368" s="112">
        <f t="shared" si="199"/>
        <v>0</v>
      </c>
      <c r="AR368" s="112">
        <f t="shared" si="200"/>
        <v>1</v>
      </c>
      <c r="AS368" s="113">
        <f t="shared" si="201"/>
        <v>2028</v>
      </c>
      <c r="AT368" s="109">
        <v>450539.80915872654</v>
      </c>
      <c r="AU368" s="114">
        <v>1</v>
      </c>
      <c r="AV368" s="113">
        <v>2028</v>
      </c>
      <c r="AW368" s="112">
        <f t="shared" si="202"/>
        <v>0.43628416389620345</v>
      </c>
      <c r="AX368" s="109">
        <f t="shared" si="203"/>
        <v>450539.80915872654</v>
      </c>
      <c r="AY368" s="109">
        <f t="shared" si="204"/>
        <v>0</v>
      </c>
      <c r="AZ368" s="109">
        <f t="shared" si="205"/>
        <v>450539.80915872654</v>
      </c>
      <c r="BA368" s="111">
        <f t="shared" si="206"/>
        <v>0</v>
      </c>
      <c r="BB368" s="117"/>
      <c r="BC368" s="115" t="str">
        <f t="shared" si="207"/>
        <v>N</v>
      </c>
      <c r="BD368" s="115" t="str">
        <f t="shared" si="208"/>
        <v>Y</v>
      </c>
      <c r="BE368" s="115" t="str">
        <f t="shared" si="209"/>
        <v>N</v>
      </c>
      <c r="BF368" s="109" t="str">
        <f t="shared" si="210"/>
        <v/>
      </c>
      <c r="BG368" s="111" t="s">
        <v>2499</v>
      </c>
      <c r="BH368" s="115" t="s">
        <v>1168</v>
      </c>
      <c r="BI368" s="116"/>
      <c r="BJ368" s="222">
        <v>0.43628416389620345</v>
      </c>
      <c r="BK368" s="265">
        <f t="shared" si="211"/>
        <v>0</v>
      </c>
      <c r="BL368" s="265">
        <f t="shared" si="212"/>
        <v>0</v>
      </c>
      <c r="BM368" s="265">
        <f t="shared" si="213"/>
        <v>-5.8207660913467407E-11</v>
      </c>
      <c r="BN368" s="265">
        <f t="shared" si="214"/>
        <v>28500.33509380836</v>
      </c>
      <c r="BO368" s="109"/>
      <c r="BP368" s="265">
        <f t="shared" si="215"/>
        <v>28500.33509380836</v>
      </c>
      <c r="BQ368" s="265">
        <v>28500.33509380836</v>
      </c>
      <c r="BR368" s="265" t="e">
        <f t="shared" si="216"/>
        <v>#REF!</v>
      </c>
      <c r="BS368" s="265">
        <v>3210.8259856997011</v>
      </c>
      <c r="BT368" s="475">
        <v>696877.01084127359</v>
      </c>
      <c r="BU368" s="475">
        <v>450539.80915872654</v>
      </c>
      <c r="BV368" s="475">
        <v>0</v>
      </c>
      <c r="BW368" s="483">
        <f t="shared" si="217"/>
        <v>0</v>
      </c>
      <c r="BX368" s="483">
        <f t="shared" si="218"/>
        <v>0</v>
      </c>
    </row>
    <row r="369" spans="1:76" s="103" customFormat="1" ht="43.5">
      <c r="A369" s="100" t="s">
        <v>2259</v>
      </c>
      <c r="B369" s="91" t="str">
        <f t="shared" si="186"/>
        <v>STW</v>
      </c>
      <c r="C369" s="92" t="s">
        <v>2308</v>
      </c>
      <c r="D369" s="448"/>
      <c r="E369" s="451">
        <v>3201404</v>
      </c>
      <c r="F369" s="409" t="s">
        <v>2378</v>
      </c>
      <c r="G369" s="588" t="s">
        <v>5218</v>
      </c>
      <c r="H369" s="398">
        <v>0.9</v>
      </c>
      <c r="I369" s="151"/>
      <c r="J369" s="95" t="s">
        <v>1166</v>
      </c>
      <c r="K369" s="191">
        <v>1438670.2200000002</v>
      </c>
      <c r="L369" s="269">
        <v>0.43628416389620334</v>
      </c>
      <c r="M369" s="585">
        <v>1</v>
      </c>
      <c r="N369" s="267">
        <f t="shared" si="187"/>
        <v>0</v>
      </c>
      <c r="O369" s="96">
        <f t="shared" si="188"/>
        <v>873768.08935043984</v>
      </c>
      <c r="P369" s="96">
        <f t="shared" si="222"/>
        <v>564902.13064956036</v>
      </c>
      <c r="Q369" s="96">
        <f t="shared" si="189"/>
        <v>0</v>
      </c>
      <c r="R369" s="187" t="s">
        <v>2562</v>
      </c>
      <c r="S369" s="187" t="s">
        <v>3607</v>
      </c>
      <c r="T369" s="94" t="s">
        <v>5401</v>
      </c>
      <c r="U369" s="395">
        <f>COUNTIF(Aggregation_of_rev_to_allocate!$A$3:$A$137,$T369)</f>
        <v>0</v>
      </c>
      <c r="V369" s="100"/>
      <c r="W369" s="100">
        <v>308</v>
      </c>
      <c r="X369" s="109">
        <v>600636.81977454899</v>
      </c>
      <c r="Y369" s="109">
        <v>0</v>
      </c>
      <c r="Z369" s="110">
        <v>0.46388271260243591</v>
      </c>
      <c r="AA369" s="110">
        <v>1</v>
      </c>
      <c r="AB369" s="110">
        <v>0</v>
      </c>
      <c r="AC369" s="109">
        <f>IF(ISERROR((X369*SUMIF('Rev_for_allocation(Hard)'!$A$3:$A$249,$T369,'Rev_for_allocation(Hard)'!$I$3:$I$249)/SUMIF(Historic_capex_list!$T$9:$T$586,$T369,Historic_capex_list!$X$9:$X$586))=TRUE),0,X369*SUMIF('Rev_for_allocation(Hard)'!$A$3:$A$249,$T369,'Rev_for_allocation(Hard)'!$I$3:$I$249)/SUMIF(Historic_capex_list!$T$9:$T$586,$T369,Historic_capex_list!$X$9:$X$586))</f>
        <v>0</v>
      </c>
      <c r="AD369" s="109">
        <f t="shared" si="190"/>
        <v>600636.81977454899</v>
      </c>
      <c r="AE369" s="109">
        <f t="shared" si="191"/>
        <v>600636.81977454899</v>
      </c>
      <c r="AF369" s="109">
        <f t="shared" si="192"/>
        <v>600636.81977454899</v>
      </c>
      <c r="AG369" s="332" t="str">
        <f t="shared" si="193"/>
        <v>N</v>
      </c>
      <c r="AH369" s="332">
        <f t="shared" si="219"/>
        <v>0</v>
      </c>
      <c r="AI369" s="332">
        <f t="shared" si="220"/>
        <v>0</v>
      </c>
      <c r="AJ369" s="109">
        <f t="shared" si="221"/>
        <v>600636.81977454899</v>
      </c>
      <c r="AK369" s="109">
        <f t="shared" si="194"/>
        <v>0</v>
      </c>
      <c r="AL369" s="109">
        <v>0</v>
      </c>
      <c r="AM369" s="111">
        <f t="shared" si="195"/>
        <v>0</v>
      </c>
      <c r="AN369" s="111">
        <f t="shared" si="196"/>
        <v>0</v>
      </c>
      <c r="AO369" s="111" t="str">
        <f t="shared" si="197"/>
        <v>Use deduct 3yrs</v>
      </c>
      <c r="AP369" s="111">
        <f t="shared" si="198"/>
        <v>0</v>
      </c>
      <c r="AQ369" s="112">
        <f t="shared" si="199"/>
        <v>0</v>
      </c>
      <c r="AR369" s="112">
        <f t="shared" si="200"/>
        <v>1</v>
      </c>
      <c r="AS369" s="113">
        <f t="shared" si="201"/>
        <v>2028</v>
      </c>
      <c r="AT369" s="109">
        <v>564902.13064956036</v>
      </c>
      <c r="AU369" s="114">
        <v>1</v>
      </c>
      <c r="AV369" s="113">
        <v>2028</v>
      </c>
      <c r="AW369" s="112">
        <f t="shared" si="202"/>
        <v>0.43628416389620334</v>
      </c>
      <c r="AX369" s="109">
        <f t="shared" si="203"/>
        <v>564902.13064956036</v>
      </c>
      <c r="AY369" s="109">
        <f t="shared" si="204"/>
        <v>0</v>
      </c>
      <c r="AZ369" s="109">
        <f t="shared" si="205"/>
        <v>564902.13064956036</v>
      </c>
      <c r="BA369" s="111">
        <f t="shared" si="206"/>
        <v>0</v>
      </c>
      <c r="BB369" s="117"/>
      <c r="BC369" s="115" t="str">
        <f t="shared" si="207"/>
        <v>N</v>
      </c>
      <c r="BD369" s="115" t="str">
        <f t="shared" si="208"/>
        <v>Y</v>
      </c>
      <c r="BE369" s="115" t="str">
        <f t="shared" si="209"/>
        <v>N</v>
      </c>
      <c r="BF369" s="109" t="str">
        <f t="shared" si="210"/>
        <v/>
      </c>
      <c r="BG369" s="111" t="s">
        <v>2499</v>
      </c>
      <c r="BH369" s="115" t="s">
        <v>1168</v>
      </c>
      <c r="BI369" s="116"/>
      <c r="BJ369" s="222">
        <v>0.43628416389620334</v>
      </c>
      <c r="BK369" s="265">
        <f t="shared" si="211"/>
        <v>0</v>
      </c>
      <c r="BL369" s="265">
        <f t="shared" si="212"/>
        <v>0</v>
      </c>
      <c r="BM369" s="265">
        <f t="shared" si="213"/>
        <v>0</v>
      </c>
      <c r="BN369" s="265">
        <f t="shared" si="214"/>
        <v>35734.689124988625</v>
      </c>
      <c r="BO369" s="109"/>
      <c r="BP369" s="265">
        <f t="shared" si="215"/>
        <v>35734.689124988625</v>
      </c>
      <c r="BQ369" s="265">
        <v>35734.689124988625</v>
      </c>
      <c r="BR369" s="265" t="e">
        <f t="shared" si="216"/>
        <v>#REF!</v>
      </c>
      <c r="BS369" s="265">
        <v>4025.8427859095787</v>
      </c>
      <c r="BT369" s="475">
        <v>873768.08935043984</v>
      </c>
      <c r="BU369" s="475">
        <v>564902.13064956036</v>
      </c>
      <c r="BV369" s="475">
        <v>0</v>
      </c>
      <c r="BW369" s="483">
        <f t="shared" si="217"/>
        <v>0</v>
      </c>
      <c r="BX369" s="483">
        <f t="shared" si="218"/>
        <v>0</v>
      </c>
    </row>
    <row r="370" spans="1:76" s="103" customFormat="1" ht="43.5">
      <c r="A370" s="100" t="s">
        <v>2259</v>
      </c>
      <c r="B370" s="91" t="str">
        <f t="shared" si="186"/>
        <v>STW</v>
      </c>
      <c r="C370" s="92" t="s">
        <v>2330</v>
      </c>
      <c r="D370" s="448"/>
      <c r="E370" s="451">
        <v>3201406</v>
      </c>
      <c r="F370" s="409" t="s">
        <v>2379</v>
      </c>
      <c r="G370" s="587" t="s">
        <v>4703</v>
      </c>
      <c r="H370" s="398">
        <v>0.9</v>
      </c>
      <c r="I370" s="151"/>
      <c r="J370" s="95" t="s">
        <v>1166</v>
      </c>
      <c r="K370" s="191">
        <v>102900</v>
      </c>
      <c r="L370" s="269">
        <v>0.39401057724007799</v>
      </c>
      <c r="M370" s="585">
        <v>1</v>
      </c>
      <c r="N370" s="267">
        <f t="shared" si="187"/>
        <v>0</v>
      </c>
      <c r="O370" s="96">
        <f t="shared" si="188"/>
        <v>66410.680441796372</v>
      </c>
      <c r="P370" s="96">
        <f t="shared" si="222"/>
        <v>36489.319558203621</v>
      </c>
      <c r="Q370" s="96">
        <f t="shared" si="189"/>
        <v>0</v>
      </c>
      <c r="R370" s="187" t="s">
        <v>2563</v>
      </c>
      <c r="S370" s="187" t="s">
        <v>3607</v>
      </c>
      <c r="T370" s="94" t="s">
        <v>5394</v>
      </c>
      <c r="U370" s="395">
        <f>COUNTIF(Aggregation_of_rev_to_allocate!$A$3:$A$137,$T370)</f>
        <v>0</v>
      </c>
      <c r="V370" s="100"/>
      <c r="W370" s="100">
        <v>361</v>
      </c>
      <c r="X370" s="109">
        <v>42960.178014111596</v>
      </c>
      <c r="Y370" s="109">
        <v>0</v>
      </c>
      <c r="Z370" s="110">
        <v>0.46388271260243591</v>
      </c>
      <c r="AA370" s="110">
        <v>1</v>
      </c>
      <c r="AB370" s="110">
        <v>0</v>
      </c>
      <c r="AC370" s="109">
        <f>IF(ISERROR((X370*SUMIF('Rev_for_allocation(Hard)'!$A$3:$A$249,$T370,'Rev_for_allocation(Hard)'!$I$3:$I$249)/SUMIF(Historic_capex_list!$T$9:$T$586,$T370,Historic_capex_list!$X$9:$X$586))=TRUE),0,X370*SUMIF('Rev_for_allocation(Hard)'!$A$3:$A$249,$T370,'Rev_for_allocation(Hard)'!$I$3:$I$249)/SUMIF(Historic_capex_list!$T$9:$T$586,$T370,Historic_capex_list!$X$9:$X$586))</f>
        <v>0</v>
      </c>
      <c r="AD370" s="109">
        <f t="shared" si="190"/>
        <v>42960.178014111596</v>
      </c>
      <c r="AE370" s="109">
        <f t="shared" si="191"/>
        <v>42960.178014111596</v>
      </c>
      <c r="AF370" s="109">
        <f t="shared" si="192"/>
        <v>42960.178014111596</v>
      </c>
      <c r="AG370" s="332" t="str">
        <f t="shared" si="193"/>
        <v>N</v>
      </c>
      <c r="AH370" s="332">
        <f t="shared" si="219"/>
        <v>0</v>
      </c>
      <c r="AI370" s="332">
        <f t="shared" si="220"/>
        <v>0</v>
      </c>
      <c r="AJ370" s="109">
        <f t="shared" si="221"/>
        <v>42960.178014111596</v>
      </c>
      <c r="AK370" s="109">
        <f t="shared" si="194"/>
        <v>0</v>
      </c>
      <c r="AL370" s="109">
        <v>0</v>
      </c>
      <c r="AM370" s="111">
        <f t="shared" si="195"/>
        <v>0</v>
      </c>
      <c r="AN370" s="111">
        <f t="shared" si="196"/>
        <v>0</v>
      </c>
      <c r="AO370" s="111" t="str">
        <f t="shared" si="197"/>
        <v>Use deduct 3yrs</v>
      </c>
      <c r="AP370" s="111">
        <f t="shared" si="198"/>
        <v>0</v>
      </c>
      <c r="AQ370" s="112">
        <f t="shared" si="199"/>
        <v>0</v>
      </c>
      <c r="AR370" s="112">
        <f t="shared" si="200"/>
        <v>1</v>
      </c>
      <c r="AS370" s="113">
        <f t="shared" si="201"/>
        <v>2028</v>
      </c>
      <c r="AT370" s="109">
        <v>36489.319558203621</v>
      </c>
      <c r="AU370" s="114">
        <v>1</v>
      </c>
      <c r="AV370" s="113">
        <v>2028</v>
      </c>
      <c r="AW370" s="112">
        <f t="shared" si="202"/>
        <v>0.39401057724007799</v>
      </c>
      <c r="AX370" s="109">
        <f t="shared" si="203"/>
        <v>36489.319558203621</v>
      </c>
      <c r="AY370" s="109">
        <f t="shared" si="204"/>
        <v>0</v>
      </c>
      <c r="AZ370" s="109">
        <f t="shared" si="205"/>
        <v>36489.319558203621</v>
      </c>
      <c r="BA370" s="111">
        <f t="shared" si="206"/>
        <v>0</v>
      </c>
      <c r="BB370" s="117"/>
      <c r="BC370" s="115" t="str">
        <f t="shared" si="207"/>
        <v>N</v>
      </c>
      <c r="BD370" s="115" t="str">
        <f t="shared" si="208"/>
        <v>Y</v>
      </c>
      <c r="BE370" s="115" t="str">
        <f t="shared" si="209"/>
        <v>N</v>
      </c>
      <c r="BF370" s="109" t="str">
        <f t="shared" si="210"/>
        <v/>
      </c>
      <c r="BG370" s="111" t="s">
        <v>2499</v>
      </c>
      <c r="BH370" s="115" t="s">
        <v>1168</v>
      </c>
      <c r="BI370" s="116"/>
      <c r="BJ370" s="222">
        <v>0.39401057724007799</v>
      </c>
      <c r="BK370" s="265">
        <f t="shared" si="211"/>
        <v>0</v>
      </c>
      <c r="BL370" s="265">
        <f t="shared" si="212"/>
        <v>0</v>
      </c>
      <c r="BM370" s="265">
        <f t="shared" si="213"/>
        <v>7.2759576141834259E-12</v>
      </c>
      <c r="BN370" s="265">
        <f t="shared" si="214"/>
        <v>6470.8584559079754</v>
      </c>
      <c r="BO370" s="109"/>
      <c r="BP370" s="265">
        <f t="shared" si="215"/>
        <v>6470.8584559079754</v>
      </c>
      <c r="BQ370" s="265">
        <v>6470.8584559079754</v>
      </c>
      <c r="BR370" s="265" t="e">
        <f t="shared" si="216"/>
        <v>#REF!</v>
      </c>
      <c r="BS370" s="265">
        <v>729.00197178831377</v>
      </c>
      <c r="BT370" s="475">
        <v>66410.680441796372</v>
      </c>
      <c r="BU370" s="475">
        <v>36489.319558203621</v>
      </c>
      <c r="BV370" s="475">
        <v>0</v>
      </c>
      <c r="BW370" s="483">
        <f t="shared" si="217"/>
        <v>0</v>
      </c>
      <c r="BX370" s="483">
        <f t="shared" si="218"/>
        <v>0</v>
      </c>
    </row>
    <row r="371" spans="1:76" s="103" customFormat="1" ht="29">
      <c r="A371" s="100" t="s">
        <v>2259</v>
      </c>
      <c r="B371" s="91" t="str">
        <f t="shared" si="186"/>
        <v>STW</v>
      </c>
      <c r="C371" s="92" t="s">
        <v>2330</v>
      </c>
      <c r="D371" s="448"/>
      <c r="E371" s="451">
        <v>3201408</v>
      </c>
      <c r="F371" s="409" t="s">
        <v>2380</v>
      </c>
      <c r="G371" s="384" t="s">
        <v>4709</v>
      </c>
      <c r="H371" s="398">
        <v>0.9</v>
      </c>
      <c r="I371" s="151"/>
      <c r="J371" s="95" t="s">
        <v>1166</v>
      </c>
      <c r="K371" s="191">
        <v>2023138</v>
      </c>
      <c r="L371" s="269">
        <v>0.43628416389620345</v>
      </c>
      <c r="M371" s="585">
        <v>1</v>
      </c>
      <c r="N371" s="267">
        <f t="shared" si="187"/>
        <v>0</v>
      </c>
      <c r="O371" s="96">
        <f t="shared" si="188"/>
        <v>1228741.2363010265</v>
      </c>
      <c r="P371" s="96">
        <f t="shared" si="222"/>
        <v>794396.76369897358</v>
      </c>
      <c r="Q371" s="96">
        <f t="shared" si="189"/>
        <v>0</v>
      </c>
      <c r="R371" s="187" t="s">
        <v>2562</v>
      </c>
      <c r="S371" s="187" t="s">
        <v>3607</v>
      </c>
      <c r="T371" s="94" t="s">
        <v>5401</v>
      </c>
      <c r="U371" s="395">
        <f>COUNTIF(Aggregation_of_rev_to_allocate!$A$3:$A$137,$T371)</f>
        <v>0</v>
      </c>
      <c r="V371" s="100"/>
      <c r="W371" s="100">
        <v>309</v>
      </c>
      <c r="X371" s="109">
        <v>844648.8690681603</v>
      </c>
      <c r="Y371" s="109">
        <v>0</v>
      </c>
      <c r="Z371" s="110">
        <v>0.46388271260243591</v>
      </c>
      <c r="AA371" s="110">
        <v>1</v>
      </c>
      <c r="AB371" s="110">
        <v>0</v>
      </c>
      <c r="AC371" s="109">
        <f>IF(ISERROR((X371*SUMIF('Rev_for_allocation(Hard)'!$A$3:$A$249,$T371,'Rev_for_allocation(Hard)'!$I$3:$I$249)/SUMIF(Historic_capex_list!$T$9:$T$586,$T371,Historic_capex_list!$X$9:$X$586))=TRUE),0,X371*SUMIF('Rev_for_allocation(Hard)'!$A$3:$A$249,$T371,'Rev_for_allocation(Hard)'!$I$3:$I$249)/SUMIF(Historic_capex_list!$T$9:$T$586,$T371,Historic_capex_list!$X$9:$X$586))</f>
        <v>0</v>
      </c>
      <c r="AD371" s="109">
        <f t="shared" si="190"/>
        <v>844648.8690681603</v>
      </c>
      <c r="AE371" s="109">
        <f t="shared" si="191"/>
        <v>844648.8690681603</v>
      </c>
      <c r="AF371" s="109">
        <f t="shared" si="192"/>
        <v>844648.8690681603</v>
      </c>
      <c r="AG371" s="332" t="str">
        <f t="shared" si="193"/>
        <v>N</v>
      </c>
      <c r="AH371" s="332">
        <f t="shared" si="219"/>
        <v>0</v>
      </c>
      <c r="AI371" s="332">
        <f t="shared" si="220"/>
        <v>0</v>
      </c>
      <c r="AJ371" s="109">
        <f t="shared" si="221"/>
        <v>844648.8690681603</v>
      </c>
      <c r="AK371" s="109">
        <f t="shared" si="194"/>
        <v>0</v>
      </c>
      <c r="AL371" s="109">
        <v>0</v>
      </c>
      <c r="AM371" s="111">
        <f t="shared" si="195"/>
        <v>0</v>
      </c>
      <c r="AN371" s="111">
        <f t="shared" si="196"/>
        <v>0</v>
      </c>
      <c r="AO371" s="111" t="str">
        <f t="shared" si="197"/>
        <v>Use deduct 3yrs</v>
      </c>
      <c r="AP371" s="111">
        <f t="shared" si="198"/>
        <v>0</v>
      </c>
      <c r="AQ371" s="112">
        <f t="shared" si="199"/>
        <v>0</v>
      </c>
      <c r="AR371" s="112">
        <f t="shared" si="200"/>
        <v>1</v>
      </c>
      <c r="AS371" s="113">
        <f t="shared" si="201"/>
        <v>2028</v>
      </c>
      <c r="AT371" s="109">
        <v>794396.76369897346</v>
      </c>
      <c r="AU371" s="114">
        <v>1</v>
      </c>
      <c r="AV371" s="113">
        <v>2028</v>
      </c>
      <c r="AW371" s="112">
        <f t="shared" si="202"/>
        <v>0.43628416389620345</v>
      </c>
      <c r="AX371" s="109">
        <f t="shared" si="203"/>
        <v>794396.76369897358</v>
      </c>
      <c r="AY371" s="109">
        <f t="shared" si="204"/>
        <v>0</v>
      </c>
      <c r="AZ371" s="109">
        <f t="shared" si="205"/>
        <v>794396.76369897358</v>
      </c>
      <c r="BA371" s="111">
        <f t="shared" si="206"/>
        <v>0</v>
      </c>
      <c r="BB371" s="117"/>
      <c r="BC371" s="115" t="str">
        <f t="shared" si="207"/>
        <v>N</v>
      </c>
      <c r="BD371" s="115" t="str">
        <f t="shared" si="208"/>
        <v>Y</v>
      </c>
      <c r="BE371" s="115" t="str">
        <f t="shared" si="209"/>
        <v>N</v>
      </c>
      <c r="BF371" s="109" t="str">
        <f t="shared" si="210"/>
        <v/>
      </c>
      <c r="BG371" s="111" t="s">
        <v>2499</v>
      </c>
      <c r="BH371" s="115" t="s">
        <v>1168</v>
      </c>
      <c r="BI371" s="116"/>
      <c r="BJ371" s="222">
        <v>0.43628416389620345</v>
      </c>
      <c r="BK371" s="265">
        <f t="shared" si="211"/>
        <v>0</v>
      </c>
      <c r="BL371" s="265">
        <f t="shared" si="212"/>
        <v>0</v>
      </c>
      <c r="BM371" s="265">
        <f t="shared" si="213"/>
        <v>-1.1641532182693481E-10</v>
      </c>
      <c r="BN371" s="265">
        <f t="shared" si="214"/>
        <v>50252.105369186727</v>
      </c>
      <c r="BO371" s="109"/>
      <c r="BP371" s="265">
        <f t="shared" si="215"/>
        <v>50252.105369186844</v>
      </c>
      <c r="BQ371" s="265">
        <v>50252.105369186844</v>
      </c>
      <c r="BR371" s="265" t="e">
        <f t="shared" si="216"/>
        <v>#REF!</v>
      </c>
      <c r="BS371" s="265">
        <v>5661.3638128962812</v>
      </c>
      <c r="BT371" s="475">
        <v>1228741.2363010265</v>
      </c>
      <c r="BU371" s="475">
        <v>794396.76369897358</v>
      </c>
      <c r="BV371" s="475">
        <v>0</v>
      </c>
      <c r="BW371" s="483">
        <f t="shared" si="217"/>
        <v>0</v>
      </c>
      <c r="BX371" s="483">
        <f t="shared" si="218"/>
        <v>0</v>
      </c>
    </row>
    <row r="372" spans="1:76" s="103" customFormat="1" ht="29">
      <c r="A372" s="100" t="s">
        <v>2259</v>
      </c>
      <c r="B372" s="91" t="str">
        <f t="shared" si="186"/>
        <v>STW</v>
      </c>
      <c r="C372" s="92" t="s">
        <v>2330</v>
      </c>
      <c r="D372" s="448"/>
      <c r="E372" s="451">
        <v>3201408</v>
      </c>
      <c r="F372" s="409" t="s">
        <v>2380</v>
      </c>
      <c r="G372" s="384" t="s">
        <v>4709</v>
      </c>
      <c r="H372" s="398">
        <v>0.9</v>
      </c>
      <c r="I372" s="151"/>
      <c r="J372" s="95" t="s">
        <v>1166</v>
      </c>
      <c r="K372" s="191">
        <v>1679278.47</v>
      </c>
      <c r="L372" s="269">
        <v>0.4362841638962035</v>
      </c>
      <c r="M372" s="585">
        <v>1</v>
      </c>
      <c r="N372" s="267">
        <f t="shared" si="187"/>
        <v>0</v>
      </c>
      <c r="O372" s="96">
        <f t="shared" si="188"/>
        <v>1019900.1270904386</v>
      </c>
      <c r="P372" s="96">
        <f t="shared" si="222"/>
        <v>659378.34290956135</v>
      </c>
      <c r="Q372" s="96">
        <f t="shared" si="189"/>
        <v>0</v>
      </c>
      <c r="R372" s="187" t="s">
        <v>2562</v>
      </c>
      <c r="S372" s="187" t="s">
        <v>3607</v>
      </c>
      <c r="T372" s="94" t="s">
        <v>5401</v>
      </c>
      <c r="U372" s="395">
        <f>COUNTIF(Aggregation_of_rev_to_allocate!$A$3:$A$137,$T372)</f>
        <v>0</v>
      </c>
      <c r="V372" s="100"/>
      <c r="W372" s="100">
        <v>309</v>
      </c>
      <c r="X372" s="109">
        <v>701089.42669062153</v>
      </c>
      <c r="Y372" s="109">
        <v>0</v>
      </c>
      <c r="Z372" s="110">
        <v>0.46388271260243591</v>
      </c>
      <c r="AA372" s="110">
        <v>1</v>
      </c>
      <c r="AB372" s="110">
        <v>0</v>
      </c>
      <c r="AC372" s="109">
        <f>IF(ISERROR((X372*SUMIF('Rev_for_allocation(Hard)'!$A$3:$A$249,$T372,'Rev_for_allocation(Hard)'!$I$3:$I$249)/SUMIF(Historic_capex_list!$T$9:$T$586,$T372,Historic_capex_list!$X$9:$X$586))=TRUE),0,X372*SUMIF('Rev_for_allocation(Hard)'!$A$3:$A$249,$T372,'Rev_for_allocation(Hard)'!$I$3:$I$249)/SUMIF(Historic_capex_list!$T$9:$T$586,$T372,Historic_capex_list!$X$9:$X$586))</f>
        <v>0</v>
      </c>
      <c r="AD372" s="109">
        <f t="shared" si="190"/>
        <v>701089.42669062153</v>
      </c>
      <c r="AE372" s="109">
        <f t="shared" si="191"/>
        <v>701089.42669062153</v>
      </c>
      <c r="AF372" s="109">
        <f t="shared" si="192"/>
        <v>701089.42669062153</v>
      </c>
      <c r="AG372" s="332" t="str">
        <f t="shared" si="193"/>
        <v>N</v>
      </c>
      <c r="AH372" s="332">
        <f t="shared" si="219"/>
        <v>0</v>
      </c>
      <c r="AI372" s="332">
        <f t="shared" si="220"/>
        <v>0</v>
      </c>
      <c r="AJ372" s="109">
        <f t="shared" si="221"/>
        <v>701089.42669062153</v>
      </c>
      <c r="AK372" s="109">
        <f t="shared" si="194"/>
        <v>0</v>
      </c>
      <c r="AL372" s="109">
        <v>0</v>
      </c>
      <c r="AM372" s="111">
        <f t="shared" si="195"/>
        <v>0</v>
      </c>
      <c r="AN372" s="111">
        <f t="shared" si="196"/>
        <v>0</v>
      </c>
      <c r="AO372" s="111" t="str">
        <f t="shared" si="197"/>
        <v>Use deduct 3yrs</v>
      </c>
      <c r="AP372" s="111">
        <f t="shared" si="198"/>
        <v>0</v>
      </c>
      <c r="AQ372" s="112">
        <f t="shared" si="199"/>
        <v>0</v>
      </c>
      <c r="AR372" s="112">
        <f t="shared" si="200"/>
        <v>1</v>
      </c>
      <c r="AS372" s="113">
        <f t="shared" si="201"/>
        <v>2028</v>
      </c>
      <c r="AT372" s="109">
        <v>659378.34290956124</v>
      </c>
      <c r="AU372" s="114">
        <v>1</v>
      </c>
      <c r="AV372" s="113">
        <v>2028</v>
      </c>
      <c r="AW372" s="112">
        <f t="shared" si="202"/>
        <v>0.4362841638962035</v>
      </c>
      <c r="AX372" s="109">
        <f t="shared" si="203"/>
        <v>659378.34290956135</v>
      </c>
      <c r="AY372" s="109">
        <f t="shared" si="204"/>
        <v>0</v>
      </c>
      <c r="AZ372" s="109">
        <f t="shared" si="205"/>
        <v>659378.34290956135</v>
      </c>
      <c r="BA372" s="111">
        <f t="shared" si="206"/>
        <v>0</v>
      </c>
      <c r="BB372" s="117"/>
      <c r="BC372" s="115" t="str">
        <f t="shared" si="207"/>
        <v>N</v>
      </c>
      <c r="BD372" s="115" t="str">
        <f t="shared" si="208"/>
        <v>Y</v>
      </c>
      <c r="BE372" s="115" t="str">
        <f t="shared" si="209"/>
        <v>N</v>
      </c>
      <c r="BF372" s="109" t="str">
        <f t="shared" si="210"/>
        <v/>
      </c>
      <c r="BG372" s="111" t="s">
        <v>2499</v>
      </c>
      <c r="BH372" s="115" t="s">
        <v>1168</v>
      </c>
      <c r="BI372" s="116"/>
      <c r="BJ372" s="222">
        <v>0.4362841638962035</v>
      </c>
      <c r="BK372" s="265">
        <f t="shared" si="211"/>
        <v>0</v>
      </c>
      <c r="BL372" s="265">
        <f t="shared" si="212"/>
        <v>0</v>
      </c>
      <c r="BM372" s="265">
        <f t="shared" si="213"/>
        <v>0</v>
      </c>
      <c r="BN372" s="265">
        <f t="shared" si="214"/>
        <v>41711.083781060181</v>
      </c>
      <c r="BO372" s="109"/>
      <c r="BP372" s="265">
        <f t="shared" si="215"/>
        <v>41711.083781060297</v>
      </c>
      <c r="BQ372" s="265">
        <v>41711.083781060297</v>
      </c>
      <c r="BR372" s="265" t="e">
        <f t="shared" si="216"/>
        <v>#REF!</v>
      </c>
      <c r="BS372" s="265">
        <v>4699.1388436348989</v>
      </c>
      <c r="BT372" s="475">
        <v>1019900.1270904386</v>
      </c>
      <c r="BU372" s="475">
        <v>659378.34290956135</v>
      </c>
      <c r="BV372" s="475">
        <v>0</v>
      </c>
      <c r="BW372" s="483">
        <f t="shared" si="217"/>
        <v>0</v>
      </c>
      <c r="BX372" s="483">
        <f t="shared" si="218"/>
        <v>0</v>
      </c>
    </row>
    <row r="373" spans="1:76" s="103" customFormat="1" ht="29">
      <c r="A373" s="100" t="s">
        <v>2259</v>
      </c>
      <c r="B373" s="91" t="str">
        <f t="shared" si="186"/>
        <v>STW</v>
      </c>
      <c r="C373" s="92" t="s">
        <v>2386</v>
      </c>
      <c r="D373" s="448"/>
      <c r="E373" s="451">
        <v>3101062</v>
      </c>
      <c r="F373" s="409" t="s">
        <v>2283</v>
      </c>
      <c r="G373" s="588" t="s">
        <v>5219</v>
      </c>
      <c r="H373" s="398">
        <v>0.15</v>
      </c>
      <c r="I373" s="151"/>
      <c r="J373" s="95" t="s">
        <v>1166</v>
      </c>
      <c r="K373" s="191">
        <v>493131</v>
      </c>
      <c r="L373" s="269">
        <v>0.45655780614910574</v>
      </c>
      <c r="M373" s="585">
        <v>1</v>
      </c>
      <c r="N373" s="267">
        <f t="shared" si="187"/>
        <v>0</v>
      </c>
      <c r="O373" s="96">
        <f t="shared" si="188"/>
        <v>459359.57887438277</v>
      </c>
      <c r="P373" s="96">
        <f t="shared" si="222"/>
        <v>33771.421125617198</v>
      </c>
      <c r="Q373" s="96">
        <f t="shared" si="189"/>
        <v>0</v>
      </c>
      <c r="R373" s="187" t="s">
        <v>2560</v>
      </c>
      <c r="S373" s="187" t="s">
        <v>3607</v>
      </c>
      <c r="T373" s="94" t="s">
        <v>5410</v>
      </c>
      <c r="U373" s="395">
        <f>COUNTIF(Aggregation_of_rev_to_allocate!$A$3:$A$137,$T373)</f>
        <v>0</v>
      </c>
      <c r="V373" s="100"/>
      <c r="W373" s="100">
        <v>297</v>
      </c>
      <c r="X373" s="109">
        <v>34313.241892252765</v>
      </c>
      <c r="Y373" s="109">
        <v>0</v>
      </c>
      <c r="Z373" s="110">
        <v>0.46388271260243585</v>
      </c>
      <c r="AA373" s="110">
        <v>1</v>
      </c>
      <c r="AB373" s="110">
        <v>0</v>
      </c>
      <c r="AC373" s="109">
        <f>IF(ISERROR((X373*SUMIF('Rev_for_allocation(Hard)'!$A$3:$A$249,$T373,'Rev_for_allocation(Hard)'!$I$3:$I$249)/SUMIF(Historic_capex_list!$T$9:$T$586,$T373,Historic_capex_list!$X$9:$X$586))=TRUE),0,X373*SUMIF('Rev_for_allocation(Hard)'!$A$3:$A$249,$T373,'Rev_for_allocation(Hard)'!$I$3:$I$249)/SUMIF(Historic_capex_list!$T$9:$T$586,$T373,Historic_capex_list!$X$9:$X$586))</f>
        <v>0</v>
      </c>
      <c r="AD373" s="109">
        <f t="shared" si="190"/>
        <v>34313.241892252765</v>
      </c>
      <c r="AE373" s="109">
        <f t="shared" si="191"/>
        <v>34313.241892252765</v>
      </c>
      <c r="AF373" s="109">
        <f t="shared" si="192"/>
        <v>34313.241892252765</v>
      </c>
      <c r="AG373" s="332" t="str">
        <f t="shared" si="193"/>
        <v>N</v>
      </c>
      <c r="AH373" s="332">
        <f t="shared" si="219"/>
        <v>0</v>
      </c>
      <c r="AI373" s="332">
        <f t="shared" si="220"/>
        <v>0</v>
      </c>
      <c r="AJ373" s="109">
        <f t="shared" si="221"/>
        <v>34313.241892252765</v>
      </c>
      <c r="AK373" s="109">
        <f t="shared" si="194"/>
        <v>0</v>
      </c>
      <c r="AL373" s="109">
        <v>0</v>
      </c>
      <c r="AM373" s="111">
        <f t="shared" si="195"/>
        <v>0</v>
      </c>
      <c r="AN373" s="111">
        <f t="shared" si="196"/>
        <v>0</v>
      </c>
      <c r="AO373" s="111" t="str">
        <f t="shared" si="197"/>
        <v>Use deduct 3yrs</v>
      </c>
      <c r="AP373" s="111">
        <f t="shared" si="198"/>
        <v>0</v>
      </c>
      <c r="AQ373" s="112">
        <f t="shared" si="199"/>
        <v>0</v>
      </c>
      <c r="AR373" s="112">
        <f t="shared" si="200"/>
        <v>1</v>
      </c>
      <c r="AS373" s="113">
        <f t="shared" si="201"/>
        <v>2028</v>
      </c>
      <c r="AT373" s="109">
        <v>33771.421125617198</v>
      </c>
      <c r="AU373" s="114">
        <v>1</v>
      </c>
      <c r="AV373" s="113">
        <v>2028</v>
      </c>
      <c r="AW373" s="112">
        <f t="shared" si="202"/>
        <v>0.45655780614910574</v>
      </c>
      <c r="AX373" s="109">
        <f t="shared" si="203"/>
        <v>33771.421125617198</v>
      </c>
      <c r="AY373" s="109">
        <f t="shared" si="204"/>
        <v>0</v>
      </c>
      <c r="AZ373" s="109">
        <f t="shared" si="205"/>
        <v>33771.421125617198</v>
      </c>
      <c r="BA373" s="111">
        <f t="shared" si="206"/>
        <v>0</v>
      </c>
      <c r="BB373" s="117"/>
      <c r="BC373" s="115" t="str">
        <f t="shared" si="207"/>
        <v>N</v>
      </c>
      <c r="BD373" s="115" t="str">
        <f t="shared" si="208"/>
        <v>Y</v>
      </c>
      <c r="BE373" s="115" t="str">
        <f t="shared" si="209"/>
        <v>N</v>
      </c>
      <c r="BF373" s="109" t="str">
        <f t="shared" si="210"/>
        <v/>
      </c>
      <c r="BG373" s="111" t="s">
        <v>2499</v>
      </c>
      <c r="BH373" s="115" t="s">
        <v>1168</v>
      </c>
      <c r="BI373" s="116"/>
      <c r="BJ373" s="222">
        <v>0.45655780614910574</v>
      </c>
      <c r="BK373" s="265">
        <f t="shared" si="211"/>
        <v>0</v>
      </c>
      <c r="BL373" s="265">
        <f t="shared" si="212"/>
        <v>0</v>
      </c>
      <c r="BM373" s="265">
        <f t="shared" si="213"/>
        <v>2.9103830456733704E-11</v>
      </c>
      <c r="BN373" s="265">
        <f t="shared" si="214"/>
        <v>541.82076663556654</v>
      </c>
      <c r="BO373" s="109"/>
      <c r="BP373" s="265">
        <f t="shared" si="215"/>
        <v>541.82076663556654</v>
      </c>
      <c r="BQ373" s="265">
        <v>541.82076663556654</v>
      </c>
      <c r="BR373" s="265" t="e">
        <f t="shared" si="216"/>
        <v>#REF!</v>
      </c>
      <c r="BS373" s="265">
        <v>61.041113775646629</v>
      </c>
      <c r="BT373" s="475">
        <v>459359.57887438277</v>
      </c>
      <c r="BU373" s="475">
        <v>33771.421125617198</v>
      </c>
      <c r="BV373" s="475">
        <v>0</v>
      </c>
      <c r="BW373" s="483">
        <f t="shared" si="217"/>
        <v>0</v>
      </c>
      <c r="BX373" s="483">
        <f t="shared" si="218"/>
        <v>0</v>
      </c>
    </row>
    <row r="374" spans="1:76" s="103" customFormat="1" ht="29">
      <c r="A374" s="100" t="s">
        <v>2259</v>
      </c>
      <c r="B374" s="91" t="str">
        <f t="shared" si="186"/>
        <v>STW</v>
      </c>
      <c r="C374" s="92" t="s">
        <v>2386</v>
      </c>
      <c r="D374" s="448"/>
      <c r="E374" s="451">
        <v>3101072</v>
      </c>
      <c r="F374" s="409" t="s">
        <v>35</v>
      </c>
      <c r="G374" s="384" t="s">
        <v>4539</v>
      </c>
      <c r="H374" s="398">
        <v>1</v>
      </c>
      <c r="I374" s="151"/>
      <c r="J374" s="95" t="s">
        <v>1166</v>
      </c>
      <c r="K374" s="191">
        <v>18152379</v>
      </c>
      <c r="L374" s="269">
        <v>0.46388271155069322</v>
      </c>
      <c r="M374" s="585">
        <v>1</v>
      </c>
      <c r="N374" s="267">
        <f t="shared" si="187"/>
        <v>0</v>
      </c>
      <c r="O374" s="96">
        <f t="shared" si="188"/>
        <v>9731804.2083841395</v>
      </c>
      <c r="P374" s="96">
        <f t="shared" si="222"/>
        <v>8420574.7916158605</v>
      </c>
      <c r="Q374" s="96">
        <f t="shared" si="189"/>
        <v>0</v>
      </c>
      <c r="R374" s="187" t="s">
        <v>2312</v>
      </c>
      <c r="S374" s="187" t="s">
        <v>3607</v>
      </c>
      <c r="T374" s="94" t="s">
        <v>5406</v>
      </c>
      <c r="U374" s="395">
        <f>COUNTIF(Aggregation_of_rev_to_allocate!$A$3:$A$137,$T374)</f>
        <v>0</v>
      </c>
      <c r="V374" s="100"/>
      <c r="W374" s="100">
        <v>475</v>
      </c>
      <c r="X374" s="109">
        <v>8420574.8107074928</v>
      </c>
      <c r="Y374" s="109">
        <v>0</v>
      </c>
      <c r="Z374" s="110">
        <v>0.46388271260243585</v>
      </c>
      <c r="AA374" s="110">
        <v>1</v>
      </c>
      <c r="AB374" s="110">
        <v>0</v>
      </c>
      <c r="AC374" s="109">
        <f>IF(ISERROR((X374*SUMIF('Rev_for_allocation(Hard)'!$A$3:$A$249,$T374,'Rev_for_allocation(Hard)'!$I$3:$I$249)/SUMIF(Historic_capex_list!$T$9:$T$586,$T374,Historic_capex_list!$X$9:$X$586))=TRUE),0,X374*SUMIF('Rev_for_allocation(Hard)'!$A$3:$A$249,$T374,'Rev_for_allocation(Hard)'!$I$3:$I$249)/SUMIF(Historic_capex_list!$T$9:$T$586,$T374,Historic_capex_list!$X$9:$X$586))</f>
        <v>0</v>
      </c>
      <c r="AD374" s="109">
        <f t="shared" si="190"/>
        <v>8420574.8107074928</v>
      </c>
      <c r="AE374" s="109">
        <f t="shared" si="191"/>
        <v>8420574.8107074928</v>
      </c>
      <c r="AF374" s="109">
        <f t="shared" si="192"/>
        <v>8420574.8107074928</v>
      </c>
      <c r="AG374" s="332" t="str">
        <f t="shared" si="193"/>
        <v>N</v>
      </c>
      <c r="AH374" s="332">
        <f t="shared" si="219"/>
        <v>0</v>
      </c>
      <c r="AI374" s="332">
        <f t="shared" si="220"/>
        <v>0</v>
      </c>
      <c r="AJ374" s="109">
        <f t="shared" si="221"/>
        <v>8420574.8107074928</v>
      </c>
      <c r="AK374" s="109">
        <f t="shared" si="194"/>
        <v>0</v>
      </c>
      <c r="AL374" s="109">
        <v>0</v>
      </c>
      <c r="AM374" s="111">
        <f t="shared" si="195"/>
        <v>0</v>
      </c>
      <c r="AN374" s="111">
        <f t="shared" si="196"/>
        <v>0</v>
      </c>
      <c r="AO374" s="111" t="str">
        <f t="shared" si="197"/>
        <v>Use deduct 3yrs</v>
      </c>
      <c r="AP374" s="111">
        <f t="shared" si="198"/>
        <v>0</v>
      </c>
      <c r="AQ374" s="112">
        <f t="shared" si="199"/>
        <v>0</v>
      </c>
      <c r="AR374" s="112">
        <f t="shared" si="200"/>
        <v>1</v>
      </c>
      <c r="AS374" s="113">
        <f t="shared" si="201"/>
        <v>2028</v>
      </c>
      <c r="AT374" s="109">
        <v>8420574.7916158605</v>
      </c>
      <c r="AU374" s="114">
        <v>1</v>
      </c>
      <c r="AV374" s="113">
        <v>2028</v>
      </c>
      <c r="AW374" s="112">
        <f t="shared" si="202"/>
        <v>0.46388271155069322</v>
      </c>
      <c r="AX374" s="109">
        <f t="shared" si="203"/>
        <v>8420574.7916158605</v>
      </c>
      <c r="AY374" s="109">
        <f t="shared" si="204"/>
        <v>0</v>
      </c>
      <c r="AZ374" s="109">
        <f t="shared" si="205"/>
        <v>8420574.7916158605</v>
      </c>
      <c r="BA374" s="111">
        <f t="shared" si="206"/>
        <v>0</v>
      </c>
      <c r="BB374" s="117"/>
      <c r="BC374" s="115" t="str">
        <f t="shared" si="207"/>
        <v>N</v>
      </c>
      <c r="BD374" s="115" t="str">
        <f t="shared" si="208"/>
        <v>Y</v>
      </c>
      <c r="BE374" s="115" t="str">
        <f t="shared" si="209"/>
        <v>N</v>
      </c>
      <c r="BF374" s="109" t="str">
        <f t="shared" si="210"/>
        <v/>
      </c>
      <c r="BG374" s="111" t="s">
        <v>2499</v>
      </c>
      <c r="BH374" s="115" t="s">
        <v>1168</v>
      </c>
      <c r="BI374" s="116"/>
      <c r="BJ374" s="222">
        <v>0.46388271155069322</v>
      </c>
      <c r="BK374" s="265">
        <f t="shared" si="211"/>
        <v>0</v>
      </c>
      <c r="BL374" s="265">
        <f t="shared" si="212"/>
        <v>0</v>
      </c>
      <c r="BM374" s="265">
        <f t="shared" si="213"/>
        <v>0</v>
      </c>
      <c r="BN374" s="265">
        <f t="shared" si="214"/>
        <v>1.9091632217168808E-2</v>
      </c>
      <c r="BO374" s="109"/>
      <c r="BP374" s="265">
        <f t="shared" si="215"/>
        <v>1.9091632217168808E-2</v>
      </c>
      <c r="BQ374" s="265">
        <v>1.9091632217168808E-2</v>
      </c>
      <c r="BR374" s="265" t="e">
        <f t="shared" si="216"/>
        <v>#REF!</v>
      </c>
      <c r="BS374" s="265">
        <v>2.1508487051306456E-3</v>
      </c>
      <c r="BT374" s="475">
        <v>9731804.2083841395</v>
      </c>
      <c r="BU374" s="475">
        <v>8420574.7916158605</v>
      </c>
      <c r="BV374" s="475">
        <v>0</v>
      </c>
      <c r="BW374" s="483">
        <f t="shared" si="217"/>
        <v>0</v>
      </c>
      <c r="BX374" s="483">
        <f t="shared" si="218"/>
        <v>0</v>
      </c>
    </row>
    <row r="375" spans="1:76" s="103" customFormat="1" ht="29">
      <c r="A375" s="100"/>
      <c r="B375" s="91" t="str">
        <f t="shared" si="186"/>
        <v>STW</v>
      </c>
      <c r="C375" s="92" t="s">
        <v>3626</v>
      </c>
      <c r="D375" s="448"/>
      <c r="E375" s="449">
        <v>3101072</v>
      </c>
      <c r="F375" s="384" t="s">
        <v>2357</v>
      </c>
      <c r="G375" s="384" t="s">
        <v>4539</v>
      </c>
      <c r="H375" s="398">
        <v>1</v>
      </c>
      <c r="I375" s="95"/>
      <c r="J375" s="95" t="s">
        <v>1166</v>
      </c>
      <c r="K375" s="191">
        <v>687015.6100000001</v>
      </c>
      <c r="L375" s="268">
        <v>0.45999999895706051</v>
      </c>
      <c r="M375" s="584">
        <v>1</v>
      </c>
      <c r="N375" s="267">
        <f t="shared" si="187"/>
        <v>0</v>
      </c>
      <c r="O375" s="96">
        <f t="shared" si="188"/>
        <v>370988.43011651578</v>
      </c>
      <c r="P375" s="96">
        <f t="shared" si="222"/>
        <v>316027.17988348432</v>
      </c>
      <c r="Q375" s="96">
        <f t="shared" si="189"/>
        <v>0</v>
      </c>
      <c r="R375" s="187" t="s">
        <v>2312</v>
      </c>
      <c r="S375" s="187" t="s">
        <v>3607</v>
      </c>
      <c r="T375" s="94" t="s">
        <v>5406</v>
      </c>
      <c r="U375" s="395">
        <f>COUNTIF(Aggregation_of_rev_to_allocate!$A$3:$A$137,$T375)</f>
        <v>0</v>
      </c>
      <c r="V375" s="100"/>
      <c r="W375" s="100">
        <v>1008</v>
      </c>
      <c r="X375" s="109">
        <v>316027.18060000008</v>
      </c>
      <c r="Y375" s="109">
        <v>0</v>
      </c>
      <c r="Z375" s="110">
        <v>0.46</v>
      </c>
      <c r="AA375" s="110">
        <v>1</v>
      </c>
      <c r="AB375" s="110">
        <v>0</v>
      </c>
      <c r="AC375" s="109">
        <f>IF(ISERROR((X375*SUMIF('Rev_for_allocation(Hard)'!$A$3:$A$249,$T375,'Rev_for_allocation(Hard)'!$I$3:$I$249)/SUMIF(Historic_capex_list!$T$9:$T$586,$T375,Historic_capex_list!$X$9:$X$586))=TRUE),0,X375*SUMIF('Rev_for_allocation(Hard)'!$A$3:$A$249,$T375,'Rev_for_allocation(Hard)'!$I$3:$I$249)/SUMIF(Historic_capex_list!$T$9:$T$586,$T375,Historic_capex_list!$X$9:$X$586))</f>
        <v>0</v>
      </c>
      <c r="AD375" s="109">
        <f t="shared" si="190"/>
        <v>316027.18060000008</v>
      </c>
      <c r="AE375" s="109">
        <f t="shared" si="191"/>
        <v>316027.18060000008</v>
      </c>
      <c r="AF375" s="109">
        <f t="shared" si="192"/>
        <v>316027.18060000008</v>
      </c>
      <c r="AG375" s="332" t="str">
        <f t="shared" si="193"/>
        <v>N</v>
      </c>
      <c r="AH375" s="332">
        <f t="shared" si="219"/>
        <v>0</v>
      </c>
      <c r="AI375" s="332">
        <f t="shared" si="220"/>
        <v>0</v>
      </c>
      <c r="AJ375" s="109">
        <f t="shared" si="221"/>
        <v>316027.18060000008</v>
      </c>
      <c r="AK375" s="109">
        <f t="shared" si="194"/>
        <v>0</v>
      </c>
      <c r="AL375" s="109">
        <v>0</v>
      </c>
      <c r="AM375" s="111">
        <f t="shared" si="195"/>
        <v>0</v>
      </c>
      <c r="AN375" s="111">
        <f t="shared" si="196"/>
        <v>0</v>
      </c>
      <c r="AO375" s="111" t="str">
        <f t="shared" si="197"/>
        <v>Use deduct 3yrs</v>
      </c>
      <c r="AP375" s="111">
        <f t="shared" si="198"/>
        <v>0</v>
      </c>
      <c r="AQ375" s="112">
        <f t="shared" si="199"/>
        <v>0</v>
      </c>
      <c r="AR375" s="112">
        <f t="shared" si="200"/>
        <v>1</v>
      </c>
      <c r="AS375" s="113">
        <f t="shared" si="201"/>
        <v>2028</v>
      </c>
      <c r="AT375" s="109">
        <v>316027.17988348432</v>
      </c>
      <c r="AU375" s="114">
        <v>1</v>
      </c>
      <c r="AV375" s="113">
        <v>2028</v>
      </c>
      <c r="AW375" s="112">
        <f t="shared" si="202"/>
        <v>0.45999999895706051</v>
      </c>
      <c r="AX375" s="109">
        <f t="shared" si="203"/>
        <v>316027.17988348432</v>
      </c>
      <c r="AY375" s="109">
        <f t="shared" si="204"/>
        <v>0</v>
      </c>
      <c r="AZ375" s="109">
        <f t="shared" si="205"/>
        <v>316027.17988348432</v>
      </c>
      <c r="BA375" s="111">
        <f t="shared" si="206"/>
        <v>0</v>
      </c>
      <c r="BB375" s="117"/>
      <c r="BC375" s="115" t="str">
        <f t="shared" si="207"/>
        <v>N</v>
      </c>
      <c r="BD375" s="115" t="str">
        <f t="shared" si="208"/>
        <v>Y</v>
      </c>
      <c r="BE375" s="115" t="str">
        <f t="shared" si="209"/>
        <v>N</v>
      </c>
      <c r="BF375" s="109" t="str">
        <f t="shared" si="210"/>
        <v/>
      </c>
      <c r="BG375" s="111" t="s">
        <v>2499</v>
      </c>
      <c r="BH375" s="115" t="s">
        <v>1168</v>
      </c>
      <c r="BI375" s="116"/>
      <c r="BJ375" s="222">
        <v>0.45999999895706051</v>
      </c>
      <c r="BK375" s="265">
        <f t="shared" si="211"/>
        <v>0</v>
      </c>
      <c r="BL375" s="265">
        <f t="shared" si="212"/>
        <v>0</v>
      </c>
      <c r="BM375" s="265">
        <f t="shared" si="213"/>
        <v>0</v>
      </c>
      <c r="BN375" s="265">
        <f t="shared" si="214"/>
        <v>7.1651575854048133E-4</v>
      </c>
      <c r="BO375" s="109"/>
      <c r="BP375" s="265">
        <f t="shared" si="215"/>
        <v>7.1651575854048133E-4</v>
      </c>
      <c r="BQ375" s="265">
        <v>7.1651575854048133E-4</v>
      </c>
      <c r="BR375" s="265" t="e">
        <f t="shared" si="216"/>
        <v>#REF!</v>
      </c>
      <c r="BS375" s="265">
        <v>8.072211814747793E-5</v>
      </c>
      <c r="BT375" s="475">
        <v>370988.43011651578</v>
      </c>
      <c r="BU375" s="475">
        <v>316027.17988348432</v>
      </c>
      <c r="BV375" s="475">
        <v>0</v>
      </c>
      <c r="BW375" s="483">
        <f t="shared" si="217"/>
        <v>0</v>
      </c>
      <c r="BX375" s="483">
        <f t="shared" si="218"/>
        <v>0</v>
      </c>
    </row>
    <row r="376" spans="1:76" s="103" customFormat="1" ht="14.5">
      <c r="A376" s="100" t="s">
        <v>2259</v>
      </c>
      <c r="B376" s="91" t="str">
        <f t="shared" ref="B376:B437" si="223">LEFT(T376,3)</f>
        <v>STW</v>
      </c>
      <c r="C376" s="92" t="s">
        <v>2386</v>
      </c>
      <c r="D376" s="448"/>
      <c r="E376" s="451">
        <v>3201256</v>
      </c>
      <c r="F376" s="409" t="s">
        <v>2284</v>
      </c>
      <c r="G376" s="588" t="s">
        <v>5220</v>
      </c>
      <c r="H376" s="398">
        <v>0.15</v>
      </c>
      <c r="I376" s="151"/>
      <c r="J376" s="95" t="s">
        <v>1166</v>
      </c>
      <c r="K376" s="191">
        <v>688436</v>
      </c>
      <c r="L376" s="269">
        <v>0.4638827330765497</v>
      </c>
      <c r="M376" s="585">
        <v>1</v>
      </c>
      <c r="N376" s="267">
        <f t="shared" ref="N376:N437" si="224">100%-M376</f>
        <v>0</v>
      </c>
      <c r="O376" s="96">
        <f t="shared" ref="O376:O437" si="225">(K376*(100%-H376))+(K376*H376*(100%-L376))</f>
        <v>640532.96401575685</v>
      </c>
      <c r="P376" s="96">
        <f t="shared" si="222"/>
        <v>47903.035984243135</v>
      </c>
      <c r="Q376" s="96">
        <f t="shared" ref="Q376:Q437" si="226">+K376*L376*N376*H376</f>
        <v>0</v>
      </c>
      <c r="R376" s="187" t="s">
        <v>2332</v>
      </c>
      <c r="S376" s="187" t="s">
        <v>3607</v>
      </c>
      <c r="T376" s="94" t="s">
        <v>5403</v>
      </c>
      <c r="U376" s="395">
        <f>COUNTIF(Aggregation_of_rev_to_allocate!$A$3:$A$137,$T376)</f>
        <v>0</v>
      </c>
      <c r="V376" s="100"/>
      <c r="W376" s="100">
        <v>255</v>
      </c>
      <c r="X376" s="109">
        <v>47903.033869975574</v>
      </c>
      <c r="Y376" s="109">
        <v>0</v>
      </c>
      <c r="Z376" s="110">
        <v>0.46388271260243585</v>
      </c>
      <c r="AA376" s="110">
        <v>1</v>
      </c>
      <c r="AB376" s="110">
        <v>0</v>
      </c>
      <c r="AC376" s="109">
        <f>IF(ISERROR((X376*SUMIF('Rev_for_allocation(Hard)'!$A$3:$A$249,$T376,'Rev_for_allocation(Hard)'!$I$3:$I$249)/SUMIF(Historic_capex_list!$T$9:$T$586,$T376,Historic_capex_list!$X$9:$X$586))=TRUE),0,X376*SUMIF('Rev_for_allocation(Hard)'!$A$3:$A$249,$T376,'Rev_for_allocation(Hard)'!$I$3:$I$249)/SUMIF(Historic_capex_list!$T$9:$T$586,$T376,Historic_capex_list!$X$9:$X$586))</f>
        <v>0</v>
      </c>
      <c r="AD376" s="109">
        <f t="shared" ref="AD376:AD437" si="227">+AC376+X376</f>
        <v>47903.033869975574</v>
      </c>
      <c r="AE376" s="109">
        <f t="shared" ref="AE376:AE400" si="228">IF(AD376&lt;0,+Q376+P376+AC376,+AD376)</f>
        <v>47903.033869975574</v>
      </c>
      <c r="AF376" s="109">
        <f t="shared" ref="AF376:AF437" si="229">+Y376+AD376</f>
        <v>47903.033869975574</v>
      </c>
      <c r="AG376" s="332" t="str">
        <f t="shared" ref="AG376:AG437" si="230">IF(AF376&lt;0,"Y","N")</f>
        <v>N</v>
      </c>
      <c r="AH376" s="332">
        <f t="shared" si="219"/>
        <v>0</v>
      </c>
      <c r="AI376" s="332">
        <f t="shared" si="220"/>
        <v>0</v>
      </c>
      <c r="AJ376" s="109">
        <f t="shared" si="221"/>
        <v>47903.033869975574</v>
      </c>
      <c r="AK376" s="109">
        <f t="shared" ref="AK376:AK437" si="231">IF(AJ376&lt;0,+AJ376,0)</f>
        <v>0</v>
      </c>
      <c r="AL376" s="109">
        <v>0</v>
      </c>
      <c r="AM376" s="111">
        <f t="shared" ref="AM376:AM437" si="232">AB376/(1-AB376)*10</f>
        <v>0</v>
      </c>
      <c r="AN376" s="111">
        <f t="shared" ref="AN376:AN437" si="233">IF(AM376=0,0,IF(AD376&lt;0,AM376-10,AM376-3))</f>
        <v>0</v>
      </c>
      <c r="AO376" s="111" t="str">
        <f t="shared" ref="AO376:AO437" si="234">IF(-AC376&gt;AE376,((AE376+Y376+AC376)/(AE376+Y376))*(AM376+10),"Use deduct 3yrs")</f>
        <v>Use deduct 3yrs</v>
      </c>
      <c r="AP376" s="111">
        <f t="shared" ref="AP376:AP437" si="235">IF(AO376&lt;=10,0,AN376)</f>
        <v>0</v>
      </c>
      <c r="AQ376" s="112">
        <f t="shared" ref="AQ376:AQ437" si="236">IF(AN376&lt;=0,0,(AP376/(AP376+10)))</f>
        <v>0</v>
      </c>
      <c r="AR376" s="112">
        <f t="shared" ref="AR376:AR437" si="237">IF(O376=0,1,1-AQ376)</f>
        <v>1</v>
      </c>
      <c r="AS376" s="113">
        <f t="shared" ref="AS376:AS437" si="238">ROUND(IF(+$AS$7+AP376&lt;+$AS$7,+$AS$7,+$AS$7+AP376),0)</f>
        <v>2028</v>
      </c>
      <c r="AT376" s="109">
        <v>47903.035984243135</v>
      </c>
      <c r="AU376" s="114">
        <v>1</v>
      </c>
      <c r="AV376" s="113">
        <v>2028</v>
      </c>
      <c r="AW376" s="112">
        <f t="shared" ref="AW376:AW437" si="239">IF(ISERR($AT376/($K376*$H376)),0,($AT376/($K376*$H376)))</f>
        <v>0.4638827330765497</v>
      </c>
      <c r="AX376" s="109">
        <f t="shared" ref="AX376:AX437" si="240">$K376*$AW376*$AU376*$H376</f>
        <v>47903.035984243135</v>
      </c>
      <c r="AY376" s="109">
        <f t="shared" ref="AY376:AY437" si="241">$K376*$AW376*(1-$AU376)*$H376</f>
        <v>0</v>
      </c>
      <c r="AZ376" s="109">
        <f t="shared" ref="AZ376:AZ437" si="242">IF(K376&lt;1,+AF376,+AY376+AX376)</f>
        <v>47903.035984243135</v>
      </c>
      <c r="BA376" s="111">
        <f t="shared" ref="BA376:BA437" si="243">+AZ376-AT376</f>
        <v>0</v>
      </c>
      <c r="BB376" s="117"/>
      <c r="BC376" s="115" t="str">
        <f t="shared" ref="BC376:BC437" si="244">IF(P376&lt;=BC$7,"Y","N")</f>
        <v>N</v>
      </c>
      <c r="BD376" s="115" t="str">
        <f t="shared" ref="BD376:BD437" si="245">IF(Q376&lt;=BD$7,"Y","N")</f>
        <v>Y</v>
      </c>
      <c r="BE376" s="115" t="str">
        <f t="shared" ref="BE376:BE437" si="246">IF(AND(BC376="Y",Q376=0),"Y","N")</f>
        <v>N</v>
      </c>
      <c r="BF376" s="109" t="str">
        <f t="shared" ref="BF376:BF437" si="247">IF(BE376="Y",+P376,"")</f>
        <v/>
      </c>
      <c r="BG376" s="111" t="s">
        <v>2499</v>
      </c>
      <c r="BH376" s="115" t="s">
        <v>1168</v>
      </c>
      <c r="BI376" s="116"/>
      <c r="BJ376" s="222">
        <v>0.4638827330765497</v>
      </c>
      <c r="BK376" s="265">
        <f t="shared" ref="BK376:BK437" si="248">+AY376-Q376</f>
        <v>0</v>
      </c>
      <c r="BL376" s="265">
        <f t="shared" ref="BL376:BL437" si="249">+Q376-AY376</f>
        <v>0</v>
      </c>
      <c r="BM376" s="265">
        <f t="shared" ref="BM376:BM437" si="250">+K376-O376-P376-Q376</f>
        <v>1.4551915228366852E-11</v>
      </c>
      <c r="BN376" s="265">
        <f t="shared" ref="BN376:BN437" si="251">+X376-P376</f>
        <v>-2.1142675614100881E-3</v>
      </c>
      <c r="BO376" s="109"/>
      <c r="BP376" s="265">
        <f t="shared" ref="BP376:BP437" si="252">+X376+Y376-AT376</f>
        <v>-2.1142675614100881E-3</v>
      </c>
      <c r="BQ376" s="265">
        <v>-2.1142675614100881E-3</v>
      </c>
      <c r="BR376" s="265" t="e">
        <f t="shared" ref="BR376:BR437" si="253">+BQ376*$BR$7</f>
        <v>#REF!</v>
      </c>
      <c r="BS376" s="265">
        <v>-2.3819176878282552E-4</v>
      </c>
      <c r="BT376" s="475">
        <v>640532.96401575685</v>
      </c>
      <c r="BU376" s="475">
        <v>47903.035984243135</v>
      </c>
      <c r="BV376" s="475">
        <v>0</v>
      </c>
      <c r="BW376" s="483">
        <f t="shared" ref="BW376:BW437" si="254">P376-BU376</f>
        <v>0</v>
      </c>
      <c r="BX376" s="483">
        <f t="shared" ref="BX376:BX437" si="255">Q376-BV376</f>
        <v>0</v>
      </c>
    </row>
    <row r="377" spans="1:76" s="103" customFormat="1" ht="101.5">
      <c r="A377" s="100" t="s">
        <v>2259</v>
      </c>
      <c r="B377" s="91" t="str">
        <f t="shared" si="223"/>
        <v>STW</v>
      </c>
      <c r="C377" s="92" t="s">
        <v>2386</v>
      </c>
      <c r="D377" s="448"/>
      <c r="E377" s="451">
        <v>3201257</v>
      </c>
      <c r="F377" s="409" t="s">
        <v>2285</v>
      </c>
      <c r="G377" s="588" t="s">
        <v>5221</v>
      </c>
      <c r="H377" s="398">
        <v>0.15</v>
      </c>
      <c r="I377" s="151"/>
      <c r="J377" s="95" t="s">
        <v>1166</v>
      </c>
      <c r="K377" s="191">
        <v>666186</v>
      </c>
      <c r="L377" s="269">
        <v>0.43628416389620339</v>
      </c>
      <c r="M377" s="585">
        <v>1</v>
      </c>
      <c r="N377" s="267">
        <f t="shared" si="224"/>
        <v>0</v>
      </c>
      <c r="O377" s="96">
        <f t="shared" si="225"/>
        <v>622589.03969859658</v>
      </c>
      <c r="P377" s="96">
        <f t="shared" si="222"/>
        <v>43596.960301403415</v>
      </c>
      <c r="Q377" s="96">
        <f t="shared" si="226"/>
        <v>0</v>
      </c>
      <c r="R377" s="187" t="s">
        <v>2562</v>
      </c>
      <c r="S377" s="187" t="s">
        <v>3607</v>
      </c>
      <c r="T377" s="94" t="s">
        <v>5401</v>
      </c>
      <c r="U377" s="395">
        <f>COUNTIF(Aggregation_of_rev_to_allocate!$A$3:$A$137,$T377)</f>
        <v>0</v>
      </c>
      <c r="V377" s="100"/>
      <c r="W377" s="100">
        <v>310</v>
      </c>
      <c r="X377" s="109">
        <v>46354.825316664952</v>
      </c>
      <c r="Y377" s="109">
        <v>0</v>
      </c>
      <c r="Z377" s="110">
        <v>0.46388271260243585</v>
      </c>
      <c r="AA377" s="110">
        <v>1</v>
      </c>
      <c r="AB377" s="110">
        <v>0</v>
      </c>
      <c r="AC377" s="109">
        <f>IF(ISERROR((X377*SUMIF('Rev_for_allocation(Hard)'!$A$3:$A$249,$T377,'Rev_for_allocation(Hard)'!$I$3:$I$249)/SUMIF(Historic_capex_list!$T$9:$T$586,$T377,Historic_capex_list!$X$9:$X$586))=TRUE),0,X377*SUMIF('Rev_for_allocation(Hard)'!$A$3:$A$249,$T377,'Rev_for_allocation(Hard)'!$I$3:$I$249)/SUMIF(Historic_capex_list!$T$9:$T$586,$T377,Historic_capex_list!$X$9:$X$586))</f>
        <v>0</v>
      </c>
      <c r="AD377" s="109">
        <f t="shared" si="227"/>
        <v>46354.825316664952</v>
      </c>
      <c r="AE377" s="109">
        <f t="shared" si="228"/>
        <v>46354.825316664952</v>
      </c>
      <c r="AF377" s="109">
        <f t="shared" si="229"/>
        <v>46354.825316664952</v>
      </c>
      <c r="AG377" s="332" t="str">
        <f t="shared" si="230"/>
        <v>N</v>
      </c>
      <c r="AH377" s="332">
        <f t="shared" si="219"/>
        <v>0</v>
      </c>
      <c r="AI377" s="332">
        <f t="shared" si="220"/>
        <v>0</v>
      </c>
      <c r="AJ377" s="109">
        <f t="shared" si="221"/>
        <v>46354.825316664952</v>
      </c>
      <c r="AK377" s="109">
        <f t="shared" si="231"/>
        <v>0</v>
      </c>
      <c r="AL377" s="109">
        <v>0</v>
      </c>
      <c r="AM377" s="111">
        <f t="shared" si="232"/>
        <v>0</v>
      </c>
      <c r="AN377" s="111">
        <f t="shared" si="233"/>
        <v>0</v>
      </c>
      <c r="AO377" s="111" t="str">
        <f t="shared" si="234"/>
        <v>Use deduct 3yrs</v>
      </c>
      <c r="AP377" s="111">
        <f t="shared" si="235"/>
        <v>0</v>
      </c>
      <c r="AQ377" s="112">
        <f t="shared" si="236"/>
        <v>0</v>
      </c>
      <c r="AR377" s="112">
        <f t="shared" si="237"/>
        <v>1</v>
      </c>
      <c r="AS377" s="113">
        <f t="shared" si="238"/>
        <v>2028</v>
      </c>
      <c r="AT377" s="109">
        <v>43596.960301403422</v>
      </c>
      <c r="AU377" s="114">
        <v>1</v>
      </c>
      <c r="AV377" s="113">
        <v>2028</v>
      </c>
      <c r="AW377" s="112">
        <f t="shared" si="239"/>
        <v>0.43628416389620339</v>
      </c>
      <c r="AX377" s="109">
        <f t="shared" si="240"/>
        <v>43596.960301403415</v>
      </c>
      <c r="AY377" s="109">
        <f t="shared" si="241"/>
        <v>0</v>
      </c>
      <c r="AZ377" s="109">
        <f t="shared" si="242"/>
        <v>43596.960301403415</v>
      </c>
      <c r="BA377" s="111">
        <f t="shared" si="243"/>
        <v>0</v>
      </c>
      <c r="BB377" s="117"/>
      <c r="BC377" s="115" t="str">
        <f t="shared" si="244"/>
        <v>N</v>
      </c>
      <c r="BD377" s="115" t="str">
        <f t="shared" si="245"/>
        <v>Y</v>
      </c>
      <c r="BE377" s="115" t="str">
        <f t="shared" si="246"/>
        <v>N</v>
      </c>
      <c r="BF377" s="109" t="str">
        <f t="shared" si="247"/>
        <v/>
      </c>
      <c r="BG377" s="111" t="s">
        <v>2499</v>
      </c>
      <c r="BH377" s="115" t="s">
        <v>1168</v>
      </c>
      <c r="BI377" s="116"/>
      <c r="BJ377" s="222">
        <v>0.43628416389620339</v>
      </c>
      <c r="BK377" s="265">
        <f t="shared" si="248"/>
        <v>0</v>
      </c>
      <c r="BL377" s="265">
        <f t="shared" si="249"/>
        <v>0</v>
      </c>
      <c r="BM377" s="265">
        <f t="shared" si="250"/>
        <v>7.2759576141834259E-12</v>
      </c>
      <c r="BN377" s="265">
        <f t="shared" si="251"/>
        <v>2757.8650152615373</v>
      </c>
      <c r="BO377" s="109"/>
      <c r="BP377" s="265">
        <f t="shared" si="252"/>
        <v>2757.8650152615301</v>
      </c>
      <c r="BQ377" s="265">
        <v>2757.8650152615301</v>
      </c>
      <c r="BR377" s="265" t="e">
        <f t="shared" si="253"/>
        <v>#REF!</v>
      </c>
      <c r="BS377" s="265">
        <v>310.69896641241803</v>
      </c>
      <c r="BT377" s="475">
        <v>622589.03969859658</v>
      </c>
      <c r="BU377" s="475">
        <v>43596.960301403415</v>
      </c>
      <c r="BV377" s="475">
        <v>0</v>
      </c>
      <c r="BW377" s="483">
        <f t="shared" si="254"/>
        <v>0</v>
      </c>
      <c r="BX377" s="483">
        <f t="shared" si="255"/>
        <v>0</v>
      </c>
    </row>
    <row r="378" spans="1:76" s="103" customFormat="1" ht="101.5">
      <c r="A378" s="100" t="s">
        <v>2259</v>
      </c>
      <c r="B378" s="91" t="str">
        <f t="shared" si="223"/>
        <v>STW</v>
      </c>
      <c r="C378" s="92" t="s">
        <v>2386</v>
      </c>
      <c r="D378" s="448"/>
      <c r="E378" s="451">
        <v>3201262</v>
      </c>
      <c r="F378" s="409" t="s">
        <v>2286</v>
      </c>
      <c r="G378" s="588" t="s">
        <v>5222</v>
      </c>
      <c r="H378" s="398">
        <v>0.15</v>
      </c>
      <c r="I378" s="151"/>
      <c r="J378" s="95" t="s">
        <v>1166</v>
      </c>
      <c r="K378" s="191">
        <v>207668.66</v>
      </c>
      <c r="L378" s="269">
        <v>0.45655780614910579</v>
      </c>
      <c r="M378" s="585">
        <v>1</v>
      </c>
      <c r="N378" s="267">
        <f t="shared" si="224"/>
        <v>0</v>
      </c>
      <c r="O378" s="96">
        <f t="shared" si="225"/>
        <v>193446.74782767132</v>
      </c>
      <c r="P378" s="96">
        <f t="shared" si="222"/>
        <v>14221.912172328684</v>
      </c>
      <c r="Q378" s="96">
        <f t="shared" si="226"/>
        <v>0</v>
      </c>
      <c r="R378" s="187" t="s">
        <v>2387</v>
      </c>
      <c r="S378" s="187" t="s">
        <v>3607</v>
      </c>
      <c r="T378" s="94" t="s">
        <v>5410</v>
      </c>
      <c r="U378" s="395">
        <f>COUNTIF(Aggregation_of_rev_to_allocate!$A$3:$A$137,$T378)</f>
        <v>0</v>
      </c>
      <c r="V378" s="100"/>
      <c r="W378" s="100">
        <v>291</v>
      </c>
      <c r="X378" s="109">
        <v>14450.085198496945</v>
      </c>
      <c r="Y378" s="109">
        <v>0</v>
      </c>
      <c r="Z378" s="110">
        <v>0.46388271260243585</v>
      </c>
      <c r="AA378" s="110">
        <v>1</v>
      </c>
      <c r="AB378" s="110">
        <v>0</v>
      </c>
      <c r="AC378" s="109">
        <f>IF(ISERROR((X378*SUMIF('Rev_for_allocation(Hard)'!$A$3:$A$249,$T378,'Rev_for_allocation(Hard)'!$I$3:$I$249)/SUMIF(Historic_capex_list!$T$9:$T$586,$T378,Historic_capex_list!$X$9:$X$586))=TRUE),0,X378*SUMIF('Rev_for_allocation(Hard)'!$A$3:$A$249,$T378,'Rev_for_allocation(Hard)'!$I$3:$I$249)/SUMIF(Historic_capex_list!$T$9:$T$586,$T378,Historic_capex_list!$X$9:$X$586))</f>
        <v>0</v>
      </c>
      <c r="AD378" s="109">
        <f t="shared" si="227"/>
        <v>14450.085198496945</v>
      </c>
      <c r="AE378" s="109">
        <f t="shared" si="228"/>
        <v>14450.085198496945</v>
      </c>
      <c r="AF378" s="109">
        <f t="shared" si="229"/>
        <v>14450.085198496945</v>
      </c>
      <c r="AG378" s="332" t="str">
        <f t="shared" si="230"/>
        <v>N</v>
      </c>
      <c r="AH378" s="332">
        <f t="shared" si="219"/>
        <v>0</v>
      </c>
      <c r="AI378" s="332">
        <f t="shared" si="220"/>
        <v>0</v>
      </c>
      <c r="AJ378" s="109">
        <f t="shared" si="221"/>
        <v>14450.085198496945</v>
      </c>
      <c r="AK378" s="109">
        <f t="shared" si="231"/>
        <v>0</v>
      </c>
      <c r="AL378" s="109">
        <v>0</v>
      </c>
      <c r="AM378" s="111">
        <f t="shared" si="232"/>
        <v>0</v>
      </c>
      <c r="AN378" s="111">
        <f t="shared" si="233"/>
        <v>0</v>
      </c>
      <c r="AO378" s="111" t="str">
        <f t="shared" si="234"/>
        <v>Use deduct 3yrs</v>
      </c>
      <c r="AP378" s="111">
        <f t="shared" si="235"/>
        <v>0</v>
      </c>
      <c r="AQ378" s="112">
        <f t="shared" si="236"/>
        <v>0</v>
      </c>
      <c r="AR378" s="112">
        <f t="shared" si="237"/>
        <v>1</v>
      </c>
      <c r="AS378" s="113">
        <f t="shared" si="238"/>
        <v>2028</v>
      </c>
      <c r="AT378" s="109">
        <v>14221.912172328684</v>
      </c>
      <c r="AU378" s="114">
        <v>1</v>
      </c>
      <c r="AV378" s="113">
        <v>2028</v>
      </c>
      <c r="AW378" s="112">
        <f t="shared" si="239"/>
        <v>0.45655780614910579</v>
      </c>
      <c r="AX378" s="109">
        <f t="shared" si="240"/>
        <v>14221.912172328684</v>
      </c>
      <c r="AY378" s="109">
        <f t="shared" si="241"/>
        <v>0</v>
      </c>
      <c r="AZ378" s="109">
        <f t="shared" si="242"/>
        <v>14221.912172328684</v>
      </c>
      <c r="BA378" s="111">
        <f t="shared" si="243"/>
        <v>0</v>
      </c>
      <c r="BB378" s="117"/>
      <c r="BC378" s="115" t="str">
        <f t="shared" si="244"/>
        <v>N</v>
      </c>
      <c r="BD378" s="115" t="str">
        <f t="shared" si="245"/>
        <v>Y</v>
      </c>
      <c r="BE378" s="115" t="str">
        <f t="shared" si="246"/>
        <v>N</v>
      </c>
      <c r="BF378" s="109" t="str">
        <f t="shared" si="247"/>
        <v/>
      </c>
      <c r="BG378" s="111" t="s">
        <v>2499</v>
      </c>
      <c r="BH378" s="115" t="s">
        <v>1168</v>
      </c>
      <c r="BI378" s="116"/>
      <c r="BJ378" s="222">
        <v>0.45655780614910579</v>
      </c>
      <c r="BK378" s="265">
        <f t="shared" si="248"/>
        <v>0</v>
      </c>
      <c r="BL378" s="265">
        <f t="shared" si="249"/>
        <v>0</v>
      </c>
      <c r="BM378" s="265">
        <f t="shared" si="250"/>
        <v>-3.637978807091713E-12</v>
      </c>
      <c r="BN378" s="265">
        <f t="shared" si="251"/>
        <v>228.17302616826055</v>
      </c>
      <c r="BO378" s="109"/>
      <c r="BP378" s="265">
        <f t="shared" si="252"/>
        <v>228.17302616826055</v>
      </c>
      <c r="BQ378" s="265">
        <v>228.17302616826055</v>
      </c>
      <c r="BR378" s="265" t="e">
        <f t="shared" si="253"/>
        <v>#REF!</v>
      </c>
      <c r="BS378" s="265">
        <v>25.705798870271877</v>
      </c>
      <c r="BT378" s="475">
        <v>193446.74782767132</v>
      </c>
      <c r="BU378" s="475">
        <v>14221.912172328684</v>
      </c>
      <c r="BV378" s="475">
        <v>0</v>
      </c>
      <c r="BW378" s="483">
        <f t="shared" si="254"/>
        <v>0</v>
      </c>
      <c r="BX378" s="483">
        <f t="shared" si="255"/>
        <v>0</v>
      </c>
    </row>
    <row r="379" spans="1:76" s="103" customFormat="1" ht="29">
      <c r="A379" s="100" t="s">
        <v>2259</v>
      </c>
      <c r="B379" s="91" t="str">
        <f t="shared" si="223"/>
        <v>STW</v>
      </c>
      <c r="C379" s="92" t="s">
        <v>2386</v>
      </c>
      <c r="D379" s="448"/>
      <c r="E379" s="451">
        <v>3100902</v>
      </c>
      <c r="F379" s="409" t="s">
        <v>2287</v>
      </c>
      <c r="G379" s="588" t="s">
        <v>5223</v>
      </c>
      <c r="H379" s="398">
        <v>0.15</v>
      </c>
      <c r="I379" s="151"/>
      <c r="J379" s="95" t="s">
        <v>1166</v>
      </c>
      <c r="K379" s="191">
        <v>1566064.56</v>
      </c>
      <c r="L379" s="269">
        <v>0.46388270286414118</v>
      </c>
      <c r="M379" s="585">
        <v>1</v>
      </c>
      <c r="N379" s="267">
        <f t="shared" si="224"/>
        <v>0</v>
      </c>
      <c r="O379" s="96">
        <f t="shared" si="225"/>
        <v>1457094.0208571185</v>
      </c>
      <c r="P379" s="96">
        <f t="shared" si="222"/>
        <v>108970.5391428813</v>
      </c>
      <c r="Q379" s="96">
        <f t="shared" si="226"/>
        <v>0</v>
      </c>
      <c r="R379" s="187" t="s">
        <v>2325</v>
      </c>
      <c r="S379" s="187" t="s">
        <v>3607</v>
      </c>
      <c r="T379" s="94" t="s">
        <v>5409</v>
      </c>
      <c r="U379" s="395">
        <f>COUNTIF(Aggregation_of_rev_to_allocate!$A$3:$A$137,$T379)</f>
        <v>0</v>
      </c>
      <c r="V379" s="100">
        <v>508</v>
      </c>
      <c r="W379" s="100">
        <v>482</v>
      </c>
      <c r="X379" s="109">
        <v>108970.54143050103</v>
      </c>
      <c r="Y379" s="109">
        <v>0</v>
      </c>
      <c r="Z379" s="110">
        <v>0.46388271260243591</v>
      </c>
      <c r="AA379" s="110">
        <v>1</v>
      </c>
      <c r="AB379" s="110">
        <v>0</v>
      </c>
      <c r="AC379" s="109">
        <f>IF(ISERROR((X379*SUMIF('Rev_for_allocation(Hard)'!$A$3:$A$249,$T379,'Rev_for_allocation(Hard)'!$I$3:$I$249)/SUMIF(Historic_capex_list!$T$9:$T$586,$T379,Historic_capex_list!$X$9:$X$586))=TRUE),0,X379*SUMIF('Rev_for_allocation(Hard)'!$A$3:$A$249,$T379,'Rev_for_allocation(Hard)'!$I$3:$I$249)/SUMIF(Historic_capex_list!$T$9:$T$586,$T379,Historic_capex_list!$X$9:$X$586))</f>
        <v>0</v>
      </c>
      <c r="AD379" s="109">
        <f t="shared" si="227"/>
        <v>108970.54143050103</v>
      </c>
      <c r="AE379" s="109">
        <f t="shared" si="228"/>
        <v>108970.54143050103</v>
      </c>
      <c r="AF379" s="109">
        <f t="shared" si="229"/>
        <v>108970.54143050103</v>
      </c>
      <c r="AG379" s="332" t="str">
        <f t="shared" si="230"/>
        <v>N</v>
      </c>
      <c r="AH379" s="332">
        <f t="shared" si="219"/>
        <v>0</v>
      </c>
      <c r="AI379" s="332">
        <f t="shared" si="220"/>
        <v>0</v>
      </c>
      <c r="AJ379" s="109">
        <f t="shared" si="221"/>
        <v>108970.54143050103</v>
      </c>
      <c r="AK379" s="109">
        <f t="shared" si="231"/>
        <v>0</v>
      </c>
      <c r="AL379" s="109">
        <v>0</v>
      </c>
      <c r="AM379" s="111">
        <f t="shared" si="232"/>
        <v>0</v>
      </c>
      <c r="AN379" s="111">
        <f t="shared" si="233"/>
        <v>0</v>
      </c>
      <c r="AO379" s="111" t="str">
        <f t="shared" si="234"/>
        <v>Use deduct 3yrs</v>
      </c>
      <c r="AP379" s="111">
        <f t="shared" si="235"/>
        <v>0</v>
      </c>
      <c r="AQ379" s="112">
        <f t="shared" si="236"/>
        <v>0</v>
      </c>
      <c r="AR379" s="112">
        <f t="shared" si="237"/>
        <v>1</v>
      </c>
      <c r="AS379" s="113">
        <f t="shared" si="238"/>
        <v>2028</v>
      </c>
      <c r="AT379" s="109">
        <v>108970.5391428813</v>
      </c>
      <c r="AU379" s="114">
        <v>1</v>
      </c>
      <c r="AV379" s="113">
        <v>2028</v>
      </c>
      <c r="AW379" s="112">
        <f t="shared" si="239"/>
        <v>0.46388270286414118</v>
      </c>
      <c r="AX379" s="109">
        <f t="shared" si="240"/>
        <v>108970.5391428813</v>
      </c>
      <c r="AY379" s="109">
        <f t="shared" si="241"/>
        <v>0</v>
      </c>
      <c r="AZ379" s="109">
        <f t="shared" si="242"/>
        <v>108970.5391428813</v>
      </c>
      <c r="BA379" s="111">
        <f t="shared" si="243"/>
        <v>0</v>
      </c>
      <c r="BB379" s="117"/>
      <c r="BC379" s="115" t="str">
        <f t="shared" si="244"/>
        <v>N</v>
      </c>
      <c r="BD379" s="115" t="str">
        <f t="shared" si="245"/>
        <v>Y</v>
      </c>
      <c r="BE379" s="115" t="str">
        <f t="shared" si="246"/>
        <v>N</v>
      </c>
      <c r="BF379" s="109" t="str">
        <f t="shared" si="247"/>
        <v/>
      </c>
      <c r="BG379" s="111" t="s">
        <v>2499</v>
      </c>
      <c r="BH379" s="115" t="s">
        <v>1168</v>
      </c>
      <c r="BI379" s="116"/>
      <c r="BJ379" s="222">
        <v>0.46388270286414118</v>
      </c>
      <c r="BK379" s="265">
        <f t="shared" si="248"/>
        <v>0</v>
      </c>
      <c r="BL379" s="265">
        <f t="shared" si="249"/>
        <v>0</v>
      </c>
      <c r="BM379" s="265">
        <f t="shared" si="250"/>
        <v>2.1827872842550278E-10</v>
      </c>
      <c r="BN379" s="265">
        <f t="shared" si="251"/>
        <v>2.2876197326695547E-3</v>
      </c>
      <c r="BO379" s="109"/>
      <c r="BP379" s="265">
        <f t="shared" si="252"/>
        <v>2.2876197326695547E-3</v>
      </c>
      <c r="BQ379" s="265">
        <v>2.2876197326695547E-3</v>
      </c>
      <c r="BR379" s="265" t="e">
        <f t="shared" si="253"/>
        <v>#REF!</v>
      </c>
      <c r="BS379" s="265">
        <v>2.5772149200626514E-4</v>
      </c>
      <c r="BT379" s="475">
        <v>1457094.0208571185</v>
      </c>
      <c r="BU379" s="475">
        <v>108970.5391428813</v>
      </c>
      <c r="BV379" s="475">
        <v>0</v>
      </c>
      <c r="BW379" s="483">
        <f t="shared" si="254"/>
        <v>0</v>
      </c>
      <c r="BX379" s="483">
        <f t="shared" si="255"/>
        <v>0</v>
      </c>
    </row>
    <row r="380" spans="1:76" s="103" customFormat="1" ht="58">
      <c r="A380" s="100" t="s">
        <v>2259</v>
      </c>
      <c r="B380" s="91" t="str">
        <f t="shared" si="223"/>
        <v>STW</v>
      </c>
      <c r="C380" s="92" t="s">
        <v>2386</v>
      </c>
      <c r="D380" s="448"/>
      <c r="E380" s="451">
        <v>3100903</v>
      </c>
      <c r="F380" s="409" t="s">
        <v>2288</v>
      </c>
      <c r="G380" s="588" t="s">
        <v>5224</v>
      </c>
      <c r="H380" s="398">
        <v>0.15</v>
      </c>
      <c r="I380" s="151"/>
      <c r="J380" s="95" t="s">
        <v>1166</v>
      </c>
      <c r="K380" s="191">
        <v>808536.09</v>
      </c>
      <c r="L380" s="269">
        <v>0.43628416389620334</v>
      </c>
      <c r="M380" s="585">
        <v>1</v>
      </c>
      <c r="N380" s="267">
        <f t="shared" si="224"/>
        <v>0</v>
      </c>
      <c r="O380" s="96">
        <f t="shared" si="225"/>
        <v>755623.36619916663</v>
      </c>
      <c r="P380" s="96">
        <f t="shared" si="222"/>
        <v>52912.723800833315</v>
      </c>
      <c r="Q380" s="96">
        <f t="shared" si="226"/>
        <v>0</v>
      </c>
      <c r="R380" s="187" t="s">
        <v>2562</v>
      </c>
      <c r="S380" s="187" t="s">
        <v>3607</v>
      </c>
      <c r="T380" s="94" t="s">
        <v>5401</v>
      </c>
      <c r="U380" s="395">
        <f>COUNTIF(Aggregation_of_rev_to_allocate!$A$3:$A$137,$T380)</f>
        <v>0</v>
      </c>
      <c r="V380" s="100"/>
      <c r="W380" s="100">
        <v>311</v>
      </c>
      <c r="X380" s="109">
        <v>56259.887199925077</v>
      </c>
      <c r="Y380" s="109">
        <v>0</v>
      </c>
      <c r="Z380" s="110">
        <v>0.46388271260243585</v>
      </c>
      <c r="AA380" s="110">
        <v>1</v>
      </c>
      <c r="AB380" s="110">
        <v>0</v>
      </c>
      <c r="AC380" s="109">
        <f>IF(ISERROR((X380*SUMIF('Rev_for_allocation(Hard)'!$A$3:$A$249,$T380,'Rev_for_allocation(Hard)'!$I$3:$I$249)/SUMIF(Historic_capex_list!$T$9:$T$586,$T380,Historic_capex_list!$X$9:$X$586))=TRUE),0,X380*SUMIF('Rev_for_allocation(Hard)'!$A$3:$A$249,$T380,'Rev_for_allocation(Hard)'!$I$3:$I$249)/SUMIF(Historic_capex_list!$T$9:$T$586,$T380,Historic_capex_list!$X$9:$X$586))</f>
        <v>0</v>
      </c>
      <c r="AD380" s="109">
        <f t="shared" si="227"/>
        <v>56259.887199925077</v>
      </c>
      <c r="AE380" s="109">
        <f t="shared" si="228"/>
        <v>56259.887199925077</v>
      </c>
      <c r="AF380" s="109">
        <f t="shared" si="229"/>
        <v>56259.887199925077</v>
      </c>
      <c r="AG380" s="332" t="str">
        <f t="shared" si="230"/>
        <v>N</v>
      </c>
      <c r="AH380" s="332">
        <f t="shared" si="219"/>
        <v>0</v>
      </c>
      <c r="AI380" s="332">
        <f t="shared" si="220"/>
        <v>0</v>
      </c>
      <c r="AJ380" s="109">
        <f t="shared" si="221"/>
        <v>56259.887199925077</v>
      </c>
      <c r="AK380" s="109">
        <f t="shared" si="231"/>
        <v>0</v>
      </c>
      <c r="AL380" s="109">
        <v>0</v>
      </c>
      <c r="AM380" s="111">
        <f t="shared" si="232"/>
        <v>0</v>
      </c>
      <c r="AN380" s="111">
        <f t="shared" si="233"/>
        <v>0</v>
      </c>
      <c r="AO380" s="111" t="str">
        <f t="shared" si="234"/>
        <v>Use deduct 3yrs</v>
      </c>
      <c r="AP380" s="111">
        <f t="shared" si="235"/>
        <v>0</v>
      </c>
      <c r="AQ380" s="112">
        <f t="shared" si="236"/>
        <v>0</v>
      </c>
      <c r="AR380" s="112">
        <f t="shared" si="237"/>
        <v>1</v>
      </c>
      <c r="AS380" s="113">
        <f t="shared" si="238"/>
        <v>2028</v>
      </c>
      <c r="AT380" s="109">
        <v>52912.723800833308</v>
      </c>
      <c r="AU380" s="114">
        <v>1</v>
      </c>
      <c r="AV380" s="113">
        <v>2028</v>
      </c>
      <c r="AW380" s="112">
        <f t="shared" si="239"/>
        <v>0.43628416389620334</v>
      </c>
      <c r="AX380" s="109">
        <f t="shared" si="240"/>
        <v>52912.723800833315</v>
      </c>
      <c r="AY380" s="109">
        <f t="shared" si="241"/>
        <v>0</v>
      </c>
      <c r="AZ380" s="109">
        <f t="shared" si="242"/>
        <v>52912.723800833315</v>
      </c>
      <c r="BA380" s="111">
        <f t="shared" si="243"/>
        <v>0</v>
      </c>
      <c r="BB380" s="117"/>
      <c r="BC380" s="115" t="str">
        <f t="shared" si="244"/>
        <v>N</v>
      </c>
      <c r="BD380" s="115" t="str">
        <f t="shared" si="245"/>
        <v>Y</v>
      </c>
      <c r="BE380" s="115" t="str">
        <f t="shared" si="246"/>
        <v>N</v>
      </c>
      <c r="BF380" s="109" t="str">
        <f t="shared" si="247"/>
        <v/>
      </c>
      <c r="BG380" s="111" t="s">
        <v>2499</v>
      </c>
      <c r="BH380" s="115" t="s">
        <v>1168</v>
      </c>
      <c r="BI380" s="116"/>
      <c r="BJ380" s="222">
        <v>0.43628416389620334</v>
      </c>
      <c r="BK380" s="265">
        <f t="shared" si="248"/>
        <v>0</v>
      </c>
      <c r="BL380" s="265">
        <f t="shared" si="249"/>
        <v>0</v>
      </c>
      <c r="BM380" s="265">
        <f t="shared" si="250"/>
        <v>2.1827872842550278E-11</v>
      </c>
      <c r="BN380" s="265">
        <f t="shared" si="251"/>
        <v>3347.1633990917617</v>
      </c>
      <c r="BO380" s="109"/>
      <c r="BP380" s="265">
        <f t="shared" si="252"/>
        <v>3347.163399091769</v>
      </c>
      <c r="BQ380" s="265">
        <v>3347.163399091769</v>
      </c>
      <c r="BR380" s="265" t="e">
        <f t="shared" si="253"/>
        <v>#REF!</v>
      </c>
      <c r="BS380" s="265">
        <v>377.08887228212234</v>
      </c>
      <c r="BT380" s="475">
        <v>755623.36619916663</v>
      </c>
      <c r="BU380" s="475">
        <v>52912.723800833315</v>
      </c>
      <c r="BV380" s="475">
        <v>0</v>
      </c>
      <c r="BW380" s="483">
        <f t="shared" si="254"/>
        <v>0</v>
      </c>
      <c r="BX380" s="483">
        <f t="shared" si="255"/>
        <v>0</v>
      </c>
    </row>
    <row r="381" spans="1:76" s="103" customFormat="1" ht="58">
      <c r="A381" s="100" t="s">
        <v>2259</v>
      </c>
      <c r="B381" s="91" t="str">
        <f t="shared" si="223"/>
        <v>STW</v>
      </c>
      <c r="C381" s="92" t="s">
        <v>2386</v>
      </c>
      <c r="D381" s="448"/>
      <c r="E381" s="451">
        <v>3201268</v>
      </c>
      <c r="F381" s="409" t="s">
        <v>2289</v>
      </c>
      <c r="G381" s="588" t="s">
        <v>5225</v>
      </c>
      <c r="H381" s="398">
        <v>0.15</v>
      </c>
      <c r="I381" s="151"/>
      <c r="J381" s="95" t="s">
        <v>1166</v>
      </c>
      <c r="K381" s="191">
        <v>428877.6</v>
      </c>
      <c r="L381" s="269">
        <v>0.43628416389620334</v>
      </c>
      <c r="M381" s="585">
        <v>1</v>
      </c>
      <c r="N381" s="267">
        <f t="shared" si="224"/>
        <v>0</v>
      </c>
      <c r="O381" s="96">
        <f t="shared" si="225"/>
        <v>400810.7242305284</v>
      </c>
      <c r="P381" s="96">
        <f t="shared" si="222"/>
        <v>28066.87576947155</v>
      </c>
      <c r="Q381" s="96">
        <f t="shared" si="226"/>
        <v>0</v>
      </c>
      <c r="R381" s="187" t="s">
        <v>2562</v>
      </c>
      <c r="S381" s="187" t="s">
        <v>3607</v>
      </c>
      <c r="T381" s="94" t="s">
        <v>5401</v>
      </c>
      <c r="U381" s="395">
        <f>COUNTIF(Aggregation_of_rev_to_allocate!$A$3:$A$137,$T381)</f>
        <v>0</v>
      </c>
      <c r="V381" s="100"/>
      <c r="W381" s="100">
        <v>312</v>
      </c>
      <c r="X381" s="109">
        <v>29842.335669363361</v>
      </c>
      <c r="Y381" s="109">
        <v>0</v>
      </c>
      <c r="Z381" s="110">
        <v>0.46388271260243585</v>
      </c>
      <c r="AA381" s="110">
        <v>1</v>
      </c>
      <c r="AB381" s="110">
        <v>0</v>
      </c>
      <c r="AC381" s="109">
        <f>IF(ISERROR((X381*SUMIF('Rev_for_allocation(Hard)'!$A$3:$A$249,$T381,'Rev_for_allocation(Hard)'!$I$3:$I$249)/SUMIF(Historic_capex_list!$T$9:$T$586,$T381,Historic_capex_list!$X$9:$X$586))=TRUE),0,X381*SUMIF('Rev_for_allocation(Hard)'!$A$3:$A$249,$T381,'Rev_for_allocation(Hard)'!$I$3:$I$249)/SUMIF(Historic_capex_list!$T$9:$T$586,$T381,Historic_capex_list!$X$9:$X$586))</f>
        <v>0</v>
      </c>
      <c r="AD381" s="109">
        <f t="shared" si="227"/>
        <v>29842.335669363361</v>
      </c>
      <c r="AE381" s="109">
        <f t="shared" si="228"/>
        <v>29842.335669363361</v>
      </c>
      <c r="AF381" s="109">
        <f t="shared" si="229"/>
        <v>29842.335669363361</v>
      </c>
      <c r="AG381" s="332" t="str">
        <f t="shared" si="230"/>
        <v>N</v>
      </c>
      <c r="AH381" s="332">
        <f t="shared" si="219"/>
        <v>0</v>
      </c>
      <c r="AI381" s="332">
        <f t="shared" si="220"/>
        <v>0</v>
      </c>
      <c r="AJ381" s="109">
        <f t="shared" si="221"/>
        <v>29842.335669363361</v>
      </c>
      <c r="AK381" s="109">
        <f t="shared" si="231"/>
        <v>0</v>
      </c>
      <c r="AL381" s="109">
        <v>0</v>
      </c>
      <c r="AM381" s="111">
        <f t="shared" si="232"/>
        <v>0</v>
      </c>
      <c r="AN381" s="111">
        <f t="shared" si="233"/>
        <v>0</v>
      </c>
      <c r="AO381" s="111" t="str">
        <f t="shared" si="234"/>
        <v>Use deduct 3yrs</v>
      </c>
      <c r="AP381" s="111">
        <f t="shared" si="235"/>
        <v>0</v>
      </c>
      <c r="AQ381" s="112">
        <f t="shared" si="236"/>
        <v>0</v>
      </c>
      <c r="AR381" s="112">
        <f t="shared" si="237"/>
        <v>1</v>
      </c>
      <c r="AS381" s="113">
        <f t="shared" si="238"/>
        <v>2028</v>
      </c>
      <c r="AT381" s="109">
        <v>28066.875769471546</v>
      </c>
      <c r="AU381" s="114">
        <v>1</v>
      </c>
      <c r="AV381" s="113">
        <v>2028</v>
      </c>
      <c r="AW381" s="112">
        <f t="shared" si="239"/>
        <v>0.43628416389620334</v>
      </c>
      <c r="AX381" s="109">
        <f t="shared" si="240"/>
        <v>28066.87576947155</v>
      </c>
      <c r="AY381" s="109">
        <f t="shared" si="241"/>
        <v>0</v>
      </c>
      <c r="AZ381" s="109">
        <f t="shared" si="242"/>
        <v>28066.87576947155</v>
      </c>
      <c r="BA381" s="111">
        <f t="shared" si="243"/>
        <v>0</v>
      </c>
      <c r="BB381" s="117"/>
      <c r="BC381" s="115" t="str">
        <f t="shared" si="244"/>
        <v>N</v>
      </c>
      <c r="BD381" s="115" t="str">
        <f t="shared" si="245"/>
        <v>Y</v>
      </c>
      <c r="BE381" s="115" t="str">
        <f t="shared" si="246"/>
        <v>N</v>
      </c>
      <c r="BF381" s="109" t="str">
        <f t="shared" si="247"/>
        <v/>
      </c>
      <c r="BG381" s="111" t="s">
        <v>2499</v>
      </c>
      <c r="BH381" s="115" t="s">
        <v>1168</v>
      </c>
      <c r="BI381" s="116"/>
      <c r="BJ381" s="222">
        <v>0.43628416389620334</v>
      </c>
      <c r="BK381" s="265">
        <f t="shared" si="248"/>
        <v>0</v>
      </c>
      <c r="BL381" s="265">
        <f t="shared" si="249"/>
        <v>0</v>
      </c>
      <c r="BM381" s="265">
        <f t="shared" si="250"/>
        <v>2.5465851649641991E-11</v>
      </c>
      <c r="BN381" s="265">
        <f t="shared" si="251"/>
        <v>1775.4598998918118</v>
      </c>
      <c r="BO381" s="109"/>
      <c r="BP381" s="265">
        <f t="shared" si="252"/>
        <v>1775.4598998918154</v>
      </c>
      <c r="BQ381" s="265">
        <v>1775.4598998918154</v>
      </c>
      <c r="BR381" s="265" t="e">
        <f t="shared" si="253"/>
        <v>#REF!</v>
      </c>
      <c r="BS381" s="265">
        <v>200.02195638671262</v>
      </c>
      <c r="BT381" s="475">
        <v>400810.7242305284</v>
      </c>
      <c r="BU381" s="475">
        <v>28066.87576947155</v>
      </c>
      <c r="BV381" s="475">
        <v>0</v>
      </c>
      <c r="BW381" s="483">
        <f t="shared" si="254"/>
        <v>0</v>
      </c>
      <c r="BX381" s="483">
        <f t="shared" si="255"/>
        <v>0</v>
      </c>
    </row>
    <row r="382" spans="1:76" s="103" customFormat="1" ht="14.5">
      <c r="A382" s="100" t="s">
        <v>2259</v>
      </c>
      <c r="B382" s="91" t="str">
        <f t="shared" si="223"/>
        <v>STW</v>
      </c>
      <c r="C382" s="92" t="s">
        <v>2386</v>
      </c>
      <c r="D382" s="448"/>
      <c r="E382" s="451">
        <v>3200948</v>
      </c>
      <c r="F382" s="409" t="s">
        <v>2290</v>
      </c>
      <c r="G382" s="588" t="s">
        <v>5226</v>
      </c>
      <c r="H382" s="398">
        <v>0.15</v>
      </c>
      <c r="I382" s="151"/>
      <c r="J382" s="95" t="s">
        <v>1166</v>
      </c>
      <c r="K382" s="191">
        <v>268668.64</v>
      </c>
      <c r="L382" s="269">
        <v>9.2644981186135334E-3</v>
      </c>
      <c r="M382" s="585">
        <v>1</v>
      </c>
      <c r="N382" s="267">
        <f t="shared" si="224"/>
        <v>0</v>
      </c>
      <c r="O382" s="96">
        <f t="shared" si="225"/>
        <v>268295.27798352845</v>
      </c>
      <c r="P382" s="96">
        <f t="shared" si="222"/>
        <v>373.3620164715685</v>
      </c>
      <c r="Q382" s="96">
        <f t="shared" si="226"/>
        <v>0</v>
      </c>
      <c r="R382" s="187" t="s">
        <v>2392</v>
      </c>
      <c r="S382" s="187" t="s">
        <v>3607</v>
      </c>
      <c r="T382" s="94" t="s">
        <v>5396</v>
      </c>
      <c r="U382" s="395">
        <f>COUNTIF(Aggregation_of_rev_to_allocate!$A$3:$A$137,$T382)</f>
        <v>0</v>
      </c>
      <c r="V382" s="100"/>
      <c r="W382" s="100">
        <v>288</v>
      </c>
      <c r="X382" s="109">
        <v>18694.610627161095</v>
      </c>
      <c r="Y382" s="109">
        <v>0</v>
      </c>
      <c r="Z382" s="110">
        <v>0.46388271260243591</v>
      </c>
      <c r="AA382" s="110">
        <v>1</v>
      </c>
      <c r="AB382" s="110">
        <v>0</v>
      </c>
      <c r="AC382" s="109">
        <f>IF(ISERROR((X382*SUMIF('Rev_for_allocation(Hard)'!$A$3:$A$249,$T382,'Rev_for_allocation(Hard)'!$I$3:$I$249)/SUMIF(Historic_capex_list!$T$9:$T$586,$T382,Historic_capex_list!$X$9:$X$586))=TRUE),0,X382*SUMIF('Rev_for_allocation(Hard)'!$A$3:$A$249,$T382,'Rev_for_allocation(Hard)'!$I$3:$I$249)/SUMIF(Historic_capex_list!$T$9:$T$586,$T382,Historic_capex_list!$X$9:$X$586))</f>
        <v>0</v>
      </c>
      <c r="AD382" s="109">
        <f t="shared" si="227"/>
        <v>18694.610627161095</v>
      </c>
      <c r="AE382" s="109">
        <f t="shared" si="228"/>
        <v>18694.610627161095</v>
      </c>
      <c r="AF382" s="109">
        <f t="shared" si="229"/>
        <v>18694.610627161095</v>
      </c>
      <c r="AG382" s="332" t="str">
        <f t="shared" si="230"/>
        <v>N</v>
      </c>
      <c r="AH382" s="332">
        <f t="shared" si="219"/>
        <v>0</v>
      </c>
      <c r="AI382" s="332">
        <f t="shared" si="220"/>
        <v>0</v>
      </c>
      <c r="AJ382" s="109">
        <f t="shared" si="221"/>
        <v>18694.610627161095</v>
      </c>
      <c r="AK382" s="109">
        <f t="shared" si="231"/>
        <v>0</v>
      </c>
      <c r="AL382" s="109">
        <v>0</v>
      </c>
      <c r="AM382" s="111">
        <f t="shared" si="232"/>
        <v>0</v>
      </c>
      <c r="AN382" s="111">
        <f t="shared" si="233"/>
        <v>0</v>
      </c>
      <c r="AO382" s="111" t="str">
        <f t="shared" si="234"/>
        <v>Use deduct 3yrs</v>
      </c>
      <c r="AP382" s="111">
        <f t="shared" si="235"/>
        <v>0</v>
      </c>
      <c r="AQ382" s="112">
        <f t="shared" si="236"/>
        <v>0</v>
      </c>
      <c r="AR382" s="112">
        <f t="shared" si="237"/>
        <v>1</v>
      </c>
      <c r="AS382" s="113">
        <f t="shared" si="238"/>
        <v>2028</v>
      </c>
      <c r="AT382" s="109">
        <v>373.3620164715685</v>
      </c>
      <c r="AU382" s="114">
        <v>1</v>
      </c>
      <c r="AV382" s="113">
        <v>2028</v>
      </c>
      <c r="AW382" s="112">
        <f t="shared" si="239"/>
        <v>9.2644981186135334E-3</v>
      </c>
      <c r="AX382" s="109">
        <f t="shared" si="240"/>
        <v>373.3620164715685</v>
      </c>
      <c r="AY382" s="109">
        <f t="shared" si="241"/>
        <v>0</v>
      </c>
      <c r="AZ382" s="109">
        <f t="shared" si="242"/>
        <v>373.3620164715685</v>
      </c>
      <c r="BA382" s="111">
        <f t="shared" si="243"/>
        <v>0</v>
      </c>
      <c r="BB382" s="117"/>
      <c r="BC382" s="115" t="str">
        <f t="shared" si="244"/>
        <v>Y</v>
      </c>
      <c r="BD382" s="115" t="str">
        <f t="shared" si="245"/>
        <v>Y</v>
      </c>
      <c r="BE382" s="115" t="str">
        <f t="shared" si="246"/>
        <v>Y</v>
      </c>
      <c r="BF382" s="109">
        <f t="shared" si="247"/>
        <v>373.3620164715685</v>
      </c>
      <c r="BG382" s="111" t="s">
        <v>2499</v>
      </c>
      <c r="BH382" s="115" t="s">
        <v>1168</v>
      </c>
      <c r="BI382" s="116"/>
      <c r="BJ382" s="222">
        <v>9.2644981186135334E-3</v>
      </c>
      <c r="BK382" s="265">
        <f t="shared" si="248"/>
        <v>0</v>
      </c>
      <c r="BL382" s="265">
        <f t="shared" si="249"/>
        <v>0</v>
      </c>
      <c r="BM382" s="265">
        <f t="shared" si="250"/>
        <v>0</v>
      </c>
      <c r="BN382" s="265">
        <f t="shared" si="251"/>
        <v>18321.248610689527</v>
      </c>
      <c r="BO382" s="109"/>
      <c r="BP382" s="265">
        <f t="shared" si="252"/>
        <v>18321.248610689527</v>
      </c>
      <c r="BQ382" s="265">
        <v>18321.248610689527</v>
      </c>
      <c r="BR382" s="265" t="e">
        <f t="shared" si="253"/>
        <v>#REF!</v>
      </c>
      <c r="BS382" s="265">
        <v>2064.0578763737544</v>
      </c>
      <c r="BT382" s="475">
        <v>268295.27798352845</v>
      </c>
      <c r="BU382" s="475">
        <v>373.3620164715685</v>
      </c>
      <c r="BV382" s="475">
        <v>0</v>
      </c>
      <c r="BW382" s="483">
        <f t="shared" si="254"/>
        <v>0</v>
      </c>
      <c r="BX382" s="483">
        <f t="shared" si="255"/>
        <v>0</v>
      </c>
    </row>
    <row r="383" spans="1:76" s="103" customFormat="1" ht="14.5">
      <c r="A383" s="100" t="s">
        <v>2259</v>
      </c>
      <c r="B383" s="91" t="str">
        <f t="shared" si="223"/>
        <v>STW</v>
      </c>
      <c r="C383" s="92" t="s">
        <v>2386</v>
      </c>
      <c r="D383" s="448"/>
      <c r="E383" s="451">
        <v>3100872</v>
      </c>
      <c r="F383" s="409" t="s">
        <v>2291</v>
      </c>
      <c r="G383" s="587" t="s">
        <v>5227</v>
      </c>
      <c r="H383" s="398">
        <v>0.15</v>
      </c>
      <c r="I383" s="151"/>
      <c r="J383" s="95" t="s">
        <v>1166</v>
      </c>
      <c r="K383" s="191">
        <v>256076.01</v>
      </c>
      <c r="L383" s="269">
        <v>0.39401057724007793</v>
      </c>
      <c r="M383" s="585">
        <v>1</v>
      </c>
      <c r="N383" s="267">
        <f t="shared" si="224"/>
        <v>0</v>
      </c>
      <c r="O383" s="96">
        <f t="shared" si="225"/>
        <v>240941.51152238459</v>
      </c>
      <c r="P383" s="96">
        <f t="shared" si="222"/>
        <v>15134.498477615394</v>
      </c>
      <c r="Q383" s="96">
        <f t="shared" si="226"/>
        <v>0</v>
      </c>
      <c r="R383" s="187" t="s">
        <v>2563</v>
      </c>
      <c r="S383" s="187" t="s">
        <v>3607</v>
      </c>
      <c r="T383" s="94" t="s">
        <v>5394</v>
      </c>
      <c r="U383" s="395">
        <f>COUNTIF(Aggregation_of_rev_to_allocate!$A$3:$A$137,$T383)</f>
        <v>0</v>
      </c>
      <c r="V383" s="100"/>
      <c r="W383" s="100">
        <v>362</v>
      </c>
      <c r="X383" s="109">
        <v>17818.385122681277</v>
      </c>
      <c r="Y383" s="109">
        <v>0</v>
      </c>
      <c r="Z383" s="110">
        <v>0.46388271260243596</v>
      </c>
      <c r="AA383" s="110">
        <v>1</v>
      </c>
      <c r="AB383" s="110">
        <v>0</v>
      </c>
      <c r="AC383" s="109">
        <f>IF(ISERROR((X383*SUMIF('Rev_for_allocation(Hard)'!$A$3:$A$249,$T383,'Rev_for_allocation(Hard)'!$I$3:$I$249)/SUMIF(Historic_capex_list!$T$9:$T$586,$T383,Historic_capex_list!$X$9:$X$586))=TRUE),0,X383*SUMIF('Rev_for_allocation(Hard)'!$A$3:$A$249,$T383,'Rev_for_allocation(Hard)'!$I$3:$I$249)/SUMIF(Historic_capex_list!$T$9:$T$586,$T383,Historic_capex_list!$X$9:$X$586))</f>
        <v>0</v>
      </c>
      <c r="AD383" s="109">
        <f t="shared" si="227"/>
        <v>17818.385122681277</v>
      </c>
      <c r="AE383" s="109">
        <f t="shared" si="228"/>
        <v>17818.385122681277</v>
      </c>
      <c r="AF383" s="109">
        <f t="shared" si="229"/>
        <v>17818.385122681277</v>
      </c>
      <c r="AG383" s="332" t="str">
        <f t="shared" si="230"/>
        <v>N</v>
      </c>
      <c r="AH383" s="332">
        <f t="shared" si="219"/>
        <v>0</v>
      </c>
      <c r="AI383" s="332">
        <f t="shared" si="220"/>
        <v>0</v>
      </c>
      <c r="AJ383" s="109">
        <f t="shared" si="221"/>
        <v>17818.385122681277</v>
      </c>
      <c r="AK383" s="109">
        <f t="shared" si="231"/>
        <v>0</v>
      </c>
      <c r="AL383" s="109">
        <v>0</v>
      </c>
      <c r="AM383" s="111">
        <f t="shared" si="232"/>
        <v>0</v>
      </c>
      <c r="AN383" s="111">
        <f t="shared" si="233"/>
        <v>0</v>
      </c>
      <c r="AO383" s="111" t="str">
        <f t="shared" si="234"/>
        <v>Use deduct 3yrs</v>
      </c>
      <c r="AP383" s="111">
        <f t="shared" si="235"/>
        <v>0</v>
      </c>
      <c r="AQ383" s="112">
        <f t="shared" si="236"/>
        <v>0</v>
      </c>
      <c r="AR383" s="112">
        <f t="shared" si="237"/>
        <v>1</v>
      </c>
      <c r="AS383" s="113">
        <f t="shared" si="238"/>
        <v>2028</v>
      </c>
      <c r="AT383" s="109">
        <v>15134.498477615394</v>
      </c>
      <c r="AU383" s="114">
        <v>1</v>
      </c>
      <c r="AV383" s="113">
        <v>2028</v>
      </c>
      <c r="AW383" s="112">
        <f t="shared" si="239"/>
        <v>0.39401057724007793</v>
      </c>
      <c r="AX383" s="109">
        <f t="shared" si="240"/>
        <v>15134.498477615394</v>
      </c>
      <c r="AY383" s="109">
        <f t="shared" si="241"/>
        <v>0</v>
      </c>
      <c r="AZ383" s="109">
        <f t="shared" si="242"/>
        <v>15134.498477615394</v>
      </c>
      <c r="BA383" s="111">
        <f t="shared" si="243"/>
        <v>0</v>
      </c>
      <c r="BB383" s="117"/>
      <c r="BC383" s="115" t="str">
        <f t="shared" si="244"/>
        <v>N</v>
      </c>
      <c r="BD383" s="115" t="str">
        <f t="shared" si="245"/>
        <v>Y</v>
      </c>
      <c r="BE383" s="115" t="str">
        <f t="shared" si="246"/>
        <v>N</v>
      </c>
      <c r="BF383" s="109" t="str">
        <f t="shared" si="247"/>
        <v/>
      </c>
      <c r="BG383" s="111" t="s">
        <v>2499</v>
      </c>
      <c r="BH383" s="115" t="s">
        <v>1168</v>
      </c>
      <c r="BI383" s="116"/>
      <c r="BJ383" s="222">
        <v>0.39401057724007793</v>
      </c>
      <c r="BK383" s="265">
        <f t="shared" si="248"/>
        <v>0</v>
      </c>
      <c r="BL383" s="265">
        <f t="shared" si="249"/>
        <v>0</v>
      </c>
      <c r="BM383" s="265">
        <f t="shared" si="250"/>
        <v>2.1827872842550278E-11</v>
      </c>
      <c r="BN383" s="265">
        <f t="shared" si="251"/>
        <v>2683.8866450658825</v>
      </c>
      <c r="BO383" s="109"/>
      <c r="BP383" s="265">
        <f t="shared" si="252"/>
        <v>2683.8866450658825</v>
      </c>
      <c r="BQ383" s="265">
        <v>2683.8866450658825</v>
      </c>
      <c r="BR383" s="265" t="e">
        <f t="shared" si="253"/>
        <v>#REF!</v>
      </c>
      <c r="BS383" s="265">
        <v>302.36461972413997</v>
      </c>
      <c r="BT383" s="475">
        <v>240941.51152238459</v>
      </c>
      <c r="BU383" s="475">
        <v>15134.498477615394</v>
      </c>
      <c r="BV383" s="475">
        <v>0</v>
      </c>
      <c r="BW383" s="483">
        <f t="shared" si="254"/>
        <v>0</v>
      </c>
      <c r="BX383" s="483">
        <f t="shared" si="255"/>
        <v>0</v>
      </c>
    </row>
    <row r="384" spans="1:76" s="103" customFormat="1" ht="14.5">
      <c r="A384" s="100" t="s">
        <v>2259</v>
      </c>
      <c r="B384" s="91" t="str">
        <f t="shared" si="223"/>
        <v>STW</v>
      </c>
      <c r="C384" s="92" t="s">
        <v>2386</v>
      </c>
      <c r="D384" s="448"/>
      <c r="E384" s="451">
        <v>3100959</v>
      </c>
      <c r="F384" s="409" t="s">
        <v>2292</v>
      </c>
      <c r="G384" s="588" t="s">
        <v>5228</v>
      </c>
      <c r="H384" s="398">
        <v>0.15</v>
      </c>
      <c r="I384" s="151"/>
      <c r="J384" s="95" t="s">
        <v>1166</v>
      </c>
      <c r="K384" s="191">
        <v>816654</v>
      </c>
      <c r="L384" s="269">
        <v>0.46388273307654976</v>
      </c>
      <c r="M384" s="585">
        <v>1</v>
      </c>
      <c r="N384" s="267">
        <f t="shared" si="224"/>
        <v>0</v>
      </c>
      <c r="O384" s="96">
        <f t="shared" si="225"/>
        <v>759829.24657531548</v>
      </c>
      <c r="P384" s="96">
        <f t="shared" si="222"/>
        <v>56824.753424684495</v>
      </c>
      <c r="Q384" s="96">
        <f t="shared" si="226"/>
        <v>0</v>
      </c>
      <c r="R384" s="187" t="s">
        <v>2332</v>
      </c>
      <c r="S384" s="187" t="s">
        <v>3607</v>
      </c>
      <c r="T384" s="94" t="s">
        <v>5403</v>
      </c>
      <c r="U384" s="395">
        <f>COUNTIF(Aggregation_of_rev_to_allocate!$A$3:$A$137,$T384)</f>
        <v>0</v>
      </c>
      <c r="V384" s="100"/>
      <c r="W384" s="100">
        <v>256</v>
      </c>
      <c r="X384" s="109">
        <v>56824.750916644443</v>
      </c>
      <c r="Y384" s="109">
        <v>0</v>
      </c>
      <c r="Z384" s="110">
        <v>0.46388271260243585</v>
      </c>
      <c r="AA384" s="110">
        <v>1</v>
      </c>
      <c r="AB384" s="110">
        <v>0</v>
      </c>
      <c r="AC384" s="109">
        <f>IF(ISERROR((X384*SUMIF('Rev_for_allocation(Hard)'!$A$3:$A$249,$T384,'Rev_for_allocation(Hard)'!$I$3:$I$249)/SUMIF(Historic_capex_list!$T$9:$T$586,$T384,Historic_capex_list!$X$9:$X$586))=TRUE),0,X384*SUMIF('Rev_for_allocation(Hard)'!$A$3:$A$249,$T384,'Rev_for_allocation(Hard)'!$I$3:$I$249)/SUMIF(Historic_capex_list!$T$9:$T$586,$T384,Historic_capex_list!$X$9:$X$586))</f>
        <v>0</v>
      </c>
      <c r="AD384" s="109">
        <f t="shared" si="227"/>
        <v>56824.750916644443</v>
      </c>
      <c r="AE384" s="109">
        <f t="shared" si="228"/>
        <v>56824.750916644443</v>
      </c>
      <c r="AF384" s="109">
        <f t="shared" si="229"/>
        <v>56824.750916644443</v>
      </c>
      <c r="AG384" s="332" t="str">
        <f t="shared" si="230"/>
        <v>N</v>
      </c>
      <c r="AH384" s="332">
        <f t="shared" si="219"/>
        <v>0</v>
      </c>
      <c r="AI384" s="332">
        <f t="shared" si="220"/>
        <v>0</v>
      </c>
      <c r="AJ384" s="109">
        <f t="shared" si="221"/>
        <v>56824.750916644443</v>
      </c>
      <c r="AK384" s="109">
        <f t="shared" si="231"/>
        <v>0</v>
      </c>
      <c r="AL384" s="109">
        <v>0</v>
      </c>
      <c r="AM384" s="111">
        <f t="shared" si="232"/>
        <v>0</v>
      </c>
      <c r="AN384" s="111">
        <f t="shared" si="233"/>
        <v>0</v>
      </c>
      <c r="AO384" s="111" t="str">
        <f t="shared" si="234"/>
        <v>Use deduct 3yrs</v>
      </c>
      <c r="AP384" s="111">
        <f t="shared" si="235"/>
        <v>0</v>
      </c>
      <c r="AQ384" s="112">
        <f t="shared" si="236"/>
        <v>0</v>
      </c>
      <c r="AR384" s="112">
        <f t="shared" si="237"/>
        <v>1</v>
      </c>
      <c r="AS384" s="113">
        <f t="shared" si="238"/>
        <v>2028</v>
      </c>
      <c r="AT384" s="109">
        <v>56824.753424684495</v>
      </c>
      <c r="AU384" s="114">
        <v>1</v>
      </c>
      <c r="AV384" s="113">
        <v>2028</v>
      </c>
      <c r="AW384" s="112">
        <f t="shared" si="239"/>
        <v>0.46388273307654976</v>
      </c>
      <c r="AX384" s="109">
        <f t="shared" si="240"/>
        <v>56824.753424684495</v>
      </c>
      <c r="AY384" s="109">
        <f t="shared" si="241"/>
        <v>0</v>
      </c>
      <c r="AZ384" s="109">
        <f t="shared" si="242"/>
        <v>56824.753424684495</v>
      </c>
      <c r="BA384" s="111">
        <f t="shared" si="243"/>
        <v>0</v>
      </c>
      <c r="BB384" s="117"/>
      <c r="BC384" s="115" t="str">
        <f t="shared" si="244"/>
        <v>N</v>
      </c>
      <c r="BD384" s="115" t="str">
        <f t="shared" si="245"/>
        <v>Y</v>
      </c>
      <c r="BE384" s="115" t="str">
        <f t="shared" si="246"/>
        <v>N</v>
      </c>
      <c r="BF384" s="109" t="str">
        <f t="shared" si="247"/>
        <v/>
      </c>
      <c r="BG384" s="111" t="s">
        <v>2499</v>
      </c>
      <c r="BH384" s="115" t="s">
        <v>1168</v>
      </c>
      <c r="BI384" s="116"/>
      <c r="BJ384" s="222">
        <v>0.46388273307654976</v>
      </c>
      <c r="BK384" s="265">
        <f t="shared" si="248"/>
        <v>0</v>
      </c>
      <c r="BL384" s="265">
        <f t="shared" si="249"/>
        <v>0</v>
      </c>
      <c r="BM384" s="265">
        <f t="shared" si="250"/>
        <v>2.1827872842550278E-11</v>
      </c>
      <c r="BN384" s="265">
        <f t="shared" si="251"/>
        <v>-2.5080400519073009E-3</v>
      </c>
      <c r="BO384" s="109"/>
      <c r="BP384" s="265">
        <f t="shared" si="252"/>
        <v>-2.5080400519073009E-3</v>
      </c>
      <c r="BQ384" s="265">
        <v>-2.5080400519073009E-3</v>
      </c>
      <c r="BR384" s="265" t="e">
        <f t="shared" si="253"/>
        <v>#REF!</v>
      </c>
      <c r="BS384" s="265">
        <v>-2.8255387683455907E-4</v>
      </c>
      <c r="BT384" s="475">
        <v>759829.24657531548</v>
      </c>
      <c r="BU384" s="475">
        <v>56824.753424684495</v>
      </c>
      <c r="BV384" s="475">
        <v>0</v>
      </c>
      <c r="BW384" s="483">
        <f t="shared" si="254"/>
        <v>0</v>
      </c>
      <c r="BX384" s="483">
        <f t="shared" si="255"/>
        <v>0</v>
      </c>
    </row>
    <row r="385" spans="1:77" s="103" customFormat="1" ht="29">
      <c r="A385" s="100" t="s">
        <v>2259</v>
      </c>
      <c r="B385" s="91" t="str">
        <f t="shared" si="223"/>
        <v>STW</v>
      </c>
      <c r="C385" s="92" t="s">
        <v>2386</v>
      </c>
      <c r="D385" s="448"/>
      <c r="E385" s="451">
        <v>3100960</v>
      </c>
      <c r="F385" s="409" t="s">
        <v>2293</v>
      </c>
      <c r="G385" s="620" t="s">
        <v>5323</v>
      </c>
      <c r="H385" s="398">
        <v>0.15</v>
      </c>
      <c r="I385" s="151"/>
      <c r="J385" s="95" t="s">
        <v>1166</v>
      </c>
      <c r="K385" s="191">
        <v>214936.11000000002</v>
      </c>
      <c r="L385" s="269">
        <v>9.2644981186136063E-3</v>
      </c>
      <c r="M385" s="585">
        <v>1</v>
      </c>
      <c r="N385" s="267">
        <f t="shared" si="224"/>
        <v>0</v>
      </c>
      <c r="O385" s="96">
        <f t="shared" si="225"/>
        <v>214637.41872199244</v>
      </c>
      <c r="P385" s="96">
        <f t="shared" si="222"/>
        <v>298.69127800756911</v>
      </c>
      <c r="Q385" s="96">
        <f t="shared" si="226"/>
        <v>0</v>
      </c>
      <c r="R385" s="187" t="s">
        <v>2392</v>
      </c>
      <c r="S385" s="187" t="s">
        <v>3607</v>
      </c>
      <c r="T385" s="94" t="s">
        <v>5396</v>
      </c>
      <c r="U385" s="395">
        <f>COUNTIF(Aggregation_of_rev_to_allocate!$A$3:$A$137,$T385)</f>
        <v>0</v>
      </c>
      <c r="V385" s="100"/>
      <c r="W385" s="100">
        <v>289</v>
      </c>
      <c r="X385" s="109">
        <v>14955.771861452329</v>
      </c>
      <c r="Y385" s="109">
        <v>0</v>
      </c>
      <c r="Z385" s="110">
        <v>0.4638827126024358</v>
      </c>
      <c r="AA385" s="110">
        <v>1</v>
      </c>
      <c r="AB385" s="110">
        <v>0</v>
      </c>
      <c r="AC385" s="109">
        <f>IF(ISERROR((X385*SUMIF('Rev_for_allocation(Hard)'!$A$3:$A$249,$T385,'Rev_for_allocation(Hard)'!$I$3:$I$249)/SUMIF(Historic_capex_list!$T$9:$T$586,$T385,Historic_capex_list!$X$9:$X$586))=TRUE),0,X385*SUMIF('Rev_for_allocation(Hard)'!$A$3:$A$249,$T385,'Rev_for_allocation(Hard)'!$I$3:$I$249)/SUMIF(Historic_capex_list!$T$9:$T$586,$T385,Historic_capex_list!$X$9:$X$586))</f>
        <v>0</v>
      </c>
      <c r="AD385" s="109">
        <f t="shared" si="227"/>
        <v>14955.771861452329</v>
      </c>
      <c r="AE385" s="109">
        <f t="shared" si="228"/>
        <v>14955.771861452329</v>
      </c>
      <c r="AF385" s="109">
        <f t="shared" si="229"/>
        <v>14955.771861452329</v>
      </c>
      <c r="AG385" s="332" t="str">
        <f t="shared" si="230"/>
        <v>N</v>
      </c>
      <c r="AH385" s="332">
        <f t="shared" si="219"/>
        <v>0</v>
      </c>
      <c r="AI385" s="332">
        <f t="shared" si="220"/>
        <v>0</v>
      </c>
      <c r="AJ385" s="109">
        <f t="shared" si="221"/>
        <v>14955.771861452329</v>
      </c>
      <c r="AK385" s="109">
        <f t="shared" si="231"/>
        <v>0</v>
      </c>
      <c r="AL385" s="109">
        <v>0</v>
      </c>
      <c r="AM385" s="111">
        <f t="shared" si="232"/>
        <v>0</v>
      </c>
      <c r="AN385" s="111">
        <f t="shared" si="233"/>
        <v>0</v>
      </c>
      <c r="AO385" s="111" t="str">
        <f t="shared" si="234"/>
        <v>Use deduct 3yrs</v>
      </c>
      <c r="AP385" s="111">
        <f t="shared" si="235"/>
        <v>0</v>
      </c>
      <c r="AQ385" s="112">
        <f t="shared" si="236"/>
        <v>0</v>
      </c>
      <c r="AR385" s="112">
        <f t="shared" si="237"/>
        <v>1</v>
      </c>
      <c r="AS385" s="113">
        <f t="shared" si="238"/>
        <v>2028</v>
      </c>
      <c r="AT385" s="109">
        <v>298.69127800756905</v>
      </c>
      <c r="AU385" s="114">
        <v>1</v>
      </c>
      <c r="AV385" s="113">
        <v>2028</v>
      </c>
      <c r="AW385" s="112">
        <f t="shared" si="239"/>
        <v>9.2644981186136063E-3</v>
      </c>
      <c r="AX385" s="109">
        <f t="shared" si="240"/>
        <v>298.69127800756911</v>
      </c>
      <c r="AY385" s="109">
        <f t="shared" si="241"/>
        <v>0</v>
      </c>
      <c r="AZ385" s="109">
        <f t="shared" si="242"/>
        <v>298.69127800756911</v>
      </c>
      <c r="BA385" s="111">
        <f t="shared" si="243"/>
        <v>0</v>
      </c>
      <c r="BB385" s="117"/>
      <c r="BC385" s="115" t="str">
        <f t="shared" si="244"/>
        <v>Y</v>
      </c>
      <c r="BD385" s="115" t="str">
        <f t="shared" si="245"/>
        <v>Y</v>
      </c>
      <c r="BE385" s="115" t="str">
        <f t="shared" si="246"/>
        <v>Y</v>
      </c>
      <c r="BF385" s="109">
        <f t="shared" si="247"/>
        <v>298.69127800756911</v>
      </c>
      <c r="BG385" s="111" t="s">
        <v>2499</v>
      </c>
      <c r="BH385" s="115" t="s">
        <v>1168</v>
      </c>
      <c r="BI385" s="116"/>
      <c r="BJ385" s="222">
        <v>9.2644981186136063E-3</v>
      </c>
      <c r="BK385" s="265">
        <f t="shared" si="248"/>
        <v>0</v>
      </c>
      <c r="BL385" s="265">
        <f t="shared" si="249"/>
        <v>0</v>
      </c>
      <c r="BM385" s="265">
        <f t="shared" si="250"/>
        <v>1.0857093002414331E-11</v>
      </c>
      <c r="BN385" s="265">
        <f t="shared" si="251"/>
        <v>14657.08058344476</v>
      </c>
      <c r="BO385" s="109"/>
      <c r="BP385" s="265">
        <f t="shared" si="252"/>
        <v>14657.08058344476</v>
      </c>
      <c r="BQ385" s="265">
        <v>14657.08058344476</v>
      </c>
      <c r="BR385" s="265" t="e">
        <f t="shared" si="253"/>
        <v>#REF!</v>
      </c>
      <c r="BS385" s="265">
        <v>1651.2555047832736</v>
      </c>
      <c r="BT385" s="475">
        <v>214637.41872199244</v>
      </c>
      <c r="BU385" s="475">
        <v>298.69127800756911</v>
      </c>
      <c r="BV385" s="475">
        <v>0</v>
      </c>
      <c r="BW385" s="483">
        <f t="shared" si="254"/>
        <v>0</v>
      </c>
      <c r="BX385" s="483">
        <f t="shared" si="255"/>
        <v>0</v>
      </c>
    </row>
    <row r="386" spans="1:77" s="103" customFormat="1" ht="174">
      <c r="A386" s="100" t="s">
        <v>2259</v>
      </c>
      <c r="B386" s="91" t="str">
        <f t="shared" si="223"/>
        <v>STW</v>
      </c>
      <c r="C386" s="92" t="s">
        <v>2386</v>
      </c>
      <c r="D386" s="448"/>
      <c r="E386" s="451">
        <v>3100968</v>
      </c>
      <c r="F386" s="409" t="s">
        <v>2294</v>
      </c>
      <c r="G386" s="588" t="s">
        <v>5229</v>
      </c>
      <c r="H386" s="398">
        <v>0.15</v>
      </c>
      <c r="I386" s="151"/>
      <c r="J386" s="95" t="s">
        <v>1166</v>
      </c>
      <c r="K386" s="191">
        <v>611200.13</v>
      </c>
      <c r="L386" s="269">
        <v>0.46388421116523165</v>
      </c>
      <c r="M386" s="585">
        <v>1</v>
      </c>
      <c r="N386" s="267">
        <f t="shared" si="224"/>
        <v>0</v>
      </c>
      <c r="O386" s="96">
        <f t="shared" si="225"/>
        <v>568671.21647462947</v>
      </c>
      <c r="P386" s="96">
        <f t="shared" si="222"/>
        <v>42528.913525370554</v>
      </c>
      <c r="Q386" s="96">
        <f t="shared" si="226"/>
        <v>0</v>
      </c>
      <c r="R386" s="187" t="s">
        <v>2309</v>
      </c>
      <c r="S386" s="187" t="s">
        <v>3607</v>
      </c>
      <c r="T386" s="94" t="s">
        <v>5411</v>
      </c>
      <c r="U386" s="395">
        <f>COUNTIF(Aggregation_of_rev_to_allocate!$A$3:$A$137,$T386)</f>
        <v>0</v>
      </c>
      <c r="V386" s="100">
        <v>120</v>
      </c>
      <c r="W386" s="100">
        <v>488</v>
      </c>
      <c r="X386" s="109">
        <v>42528.776137104214</v>
      </c>
      <c r="Y386" s="109">
        <v>0</v>
      </c>
      <c r="Z386" s="110">
        <v>0.4638827126024358</v>
      </c>
      <c r="AA386" s="110">
        <v>1</v>
      </c>
      <c r="AB386" s="110">
        <v>0</v>
      </c>
      <c r="AC386" s="109">
        <f>IF(ISERROR((X386*SUMIF('Rev_for_allocation(Hard)'!$A$3:$A$249,$T386,'Rev_for_allocation(Hard)'!$I$3:$I$249)/SUMIF(Historic_capex_list!$T$9:$T$586,$T386,Historic_capex_list!$X$9:$X$586))=TRUE),0,X386*SUMIF('Rev_for_allocation(Hard)'!$A$3:$A$249,$T386,'Rev_for_allocation(Hard)'!$I$3:$I$249)/SUMIF(Historic_capex_list!$T$9:$T$586,$T386,Historic_capex_list!$X$9:$X$586))</f>
        <v>0</v>
      </c>
      <c r="AD386" s="109">
        <f t="shared" si="227"/>
        <v>42528.776137104214</v>
      </c>
      <c r="AE386" s="109">
        <f t="shared" si="228"/>
        <v>42528.776137104214</v>
      </c>
      <c r="AF386" s="109">
        <f t="shared" si="229"/>
        <v>42528.776137104214</v>
      </c>
      <c r="AG386" s="332" t="str">
        <f t="shared" si="230"/>
        <v>N</v>
      </c>
      <c r="AH386" s="332">
        <f t="shared" si="219"/>
        <v>0</v>
      </c>
      <c r="AI386" s="332">
        <f t="shared" si="220"/>
        <v>0</v>
      </c>
      <c r="AJ386" s="109">
        <f t="shared" si="221"/>
        <v>42528.776137104214</v>
      </c>
      <c r="AK386" s="109">
        <f t="shared" si="231"/>
        <v>0</v>
      </c>
      <c r="AL386" s="109">
        <v>0</v>
      </c>
      <c r="AM386" s="111">
        <f t="shared" si="232"/>
        <v>0</v>
      </c>
      <c r="AN386" s="111">
        <f t="shared" si="233"/>
        <v>0</v>
      </c>
      <c r="AO386" s="111" t="str">
        <f t="shared" si="234"/>
        <v>Use deduct 3yrs</v>
      </c>
      <c r="AP386" s="111">
        <f t="shared" si="235"/>
        <v>0</v>
      </c>
      <c r="AQ386" s="112">
        <f t="shared" si="236"/>
        <v>0</v>
      </c>
      <c r="AR386" s="112">
        <f t="shared" si="237"/>
        <v>1</v>
      </c>
      <c r="AS386" s="113">
        <f t="shared" si="238"/>
        <v>2028</v>
      </c>
      <c r="AT386" s="109">
        <v>42528.913525370554</v>
      </c>
      <c r="AU386" s="114">
        <v>1</v>
      </c>
      <c r="AV386" s="113">
        <v>2028</v>
      </c>
      <c r="AW386" s="112">
        <f t="shared" si="239"/>
        <v>0.46388421116523165</v>
      </c>
      <c r="AX386" s="109">
        <f t="shared" si="240"/>
        <v>42528.913525370554</v>
      </c>
      <c r="AY386" s="109">
        <f t="shared" si="241"/>
        <v>0</v>
      </c>
      <c r="AZ386" s="109">
        <f t="shared" si="242"/>
        <v>42528.913525370554</v>
      </c>
      <c r="BA386" s="111">
        <f t="shared" si="243"/>
        <v>0</v>
      </c>
      <c r="BB386" s="117"/>
      <c r="BC386" s="115" t="str">
        <f t="shared" si="244"/>
        <v>N</v>
      </c>
      <c r="BD386" s="115" t="str">
        <f t="shared" si="245"/>
        <v>Y</v>
      </c>
      <c r="BE386" s="115" t="str">
        <f t="shared" si="246"/>
        <v>N</v>
      </c>
      <c r="BF386" s="109" t="str">
        <f t="shared" si="247"/>
        <v/>
      </c>
      <c r="BG386" s="111" t="s">
        <v>2499</v>
      </c>
      <c r="BH386" s="115" t="s">
        <v>1168</v>
      </c>
      <c r="BI386" s="116"/>
      <c r="BJ386" s="222">
        <v>0.46388421116523165</v>
      </c>
      <c r="BK386" s="265">
        <f t="shared" si="248"/>
        <v>0</v>
      </c>
      <c r="BL386" s="265">
        <f t="shared" si="249"/>
        <v>0</v>
      </c>
      <c r="BM386" s="265">
        <f t="shared" si="250"/>
        <v>-2.1827872842550278E-11</v>
      </c>
      <c r="BN386" s="265">
        <f t="shared" si="251"/>
        <v>-0.13738826633925783</v>
      </c>
      <c r="BO386" s="109"/>
      <c r="BP386" s="265">
        <f t="shared" si="252"/>
        <v>-0.13738826633925783</v>
      </c>
      <c r="BQ386" s="265">
        <v>-0.13738826633925783</v>
      </c>
      <c r="BR386" s="265" t="e">
        <f t="shared" si="253"/>
        <v>#REF!</v>
      </c>
      <c r="BS386" s="265">
        <v>-1.5478057161094752E-2</v>
      </c>
      <c r="BT386" s="475">
        <v>568671.21647462947</v>
      </c>
      <c r="BU386" s="475">
        <v>42528.913525370554</v>
      </c>
      <c r="BV386" s="475">
        <v>0</v>
      </c>
      <c r="BW386" s="483">
        <f t="shared" si="254"/>
        <v>0</v>
      </c>
      <c r="BX386" s="483">
        <f t="shared" si="255"/>
        <v>0</v>
      </c>
    </row>
    <row r="387" spans="1:77" s="103" customFormat="1" ht="29">
      <c r="A387" s="100" t="s">
        <v>2259</v>
      </c>
      <c r="B387" s="91" t="str">
        <f t="shared" si="223"/>
        <v>STW</v>
      </c>
      <c r="C387" s="92" t="s">
        <v>2386</v>
      </c>
      <c r="D387" s="448"/>
      <c r="E387" s="451">
        <v>3100995</v>
      </c>
      <c r="F387" s="409" t="s">
        <v>2295</v>
      </c>
      <c r="G387" s="588" t="s">
        <v>5230</v>
      </c>
      <c r="H387" s="398">
        <v>0.15</v>
      </c>
      <c r="I387" s="151"/>
      <c r="J387" s="95" t="s">
        <v>1166</v>
      </c>
      <c r="K387" s="191">
        <v>806212.88</v>
      </c>
      <c r="L387" s="269">
        <v>0.39401057724007782</v>
      </c>
      <c r="M387" s="585">
        <v>1</v>
      </c>
      <c r="N387" s="267">
        <f t="shared" si="224"/>
        <v>0</v>
      </c>
      <c r="O387" s="96">
        <f t="shared" si="225"/>
        <v>758564.41966592218</v>
      </c>
      <c r="P387" s="96">
        <f t="shared" si="222"/>
        <v>47648.460334077841</v>
      </c>
      <c r="Q387" s="96">
        <f t="shared" si="226"/>
        <v>0</v>
      </c>
      <c r="R387" s="187" t="s">
        <v>2563</v>
      </c>
      <c r="S387" s="187" t="s">
        <v>3607</v>
      </c>
      <c r="T387" s="94" t="s">
        <v>5404</v>
      </c>
      <c r="U387" s="395">
        <f>COUNTIF(Aggregation_of_rev_to_allocate!$A$3:$A$137,$T387)</f>
        <v>0</v>
      </c>
      <c r="V387" s="100"/>
      <c r="W387" s="100">
        <v>363</v>
      </c>
      <c r="X387" s="109">
        <v>56098.232656413318</v>
      </c>
      <c r="Y387" s="109">
        <v>0</v>
      </c>
      <c r="Z387" s="110">
        <v>0.46388271260243585</v>
      </c>
      <c r="AA387" s="110">
        <v>1</v>
      </c>
      <c r="AB387" s="110">
        <v>0</v>
      </c>
      <c r="AC387" s="109">
        <f>IF(ISERROR((X387*SUMIF('Rev_for_allocation(Hard)'!$A$3:$A$249,$T387,'Rev_for_allocation(Hard)'!$I$3:$I$249)/SUMIF(Historic_capex_list!$T$9:$T$586,$T387,Historic_capex_list!$X$9:$X$586))=TRUE),0,X387*SUMIF('Rev_for_allocation(Hard)'!$A$3:$A$249,$T387,'Rev_for_allocation(Hard)'!$I$3:$I$249)/SUMIF(Historic_capex_list!$T$9:$T$586,$T387,Historic_capex_list!$X$9:$X$586))</f>
        <v>0</v>
      </c>
      <c r="AD387" s="109">
        <f t="shared" si="227"/>
        <v>56098.232656413318</v>
      </c>
      <c r="AE387" s="109">
        <f t="shared" si="228"/>
        <v>56098.232656413318</v>
      </c>
      <c r="AF387" s="109">
        <f t="shared" si="229"/>
        <v>56098.232656413318</v>
      </c>
      <c r="AG387" s="332" t="str">
        <f t="shared" si="230"/>
        <v>N</v>
      </c>
      <c r="AH387" s="332">
        <f t="shared" si="219"/>
        <v>0</v>
      </c>
      <c r="AI387" s="332">
        <f t="shared" si="220"/>
        <v>0</v>
      </c>
      <c r="AJ387" s="109">
        <f t="shared" si="221"/>
        <v>56098.232656413318</v>
      </c>
      <c r="AK387" s="109">
        <f t="shared" si="231"/>
        <v>0</v>
      </c>
      <c r="AL387" s="109">
        <v>0</v>
      </c>
      <c r="AM387" s="111">
        <f t="shared" si="232"/>
        <v>0</v>
      </c>
      <c r="AN387" s="111">
        <f t="shared" si="233"/>
        <v>0</v>
      </c>
      <c r="AO387" s="111" t="str">
        <f t="shared" si="234"/>
        <v>Use deduct 3yrs</v>
      </c>
      <c r="AP387" s="111">
        <f t="shared" si="235"/>
        <v>0</v>
      </c>
      <c r="AQ387" s="112">
        <f t="shared" si="236"/>
        <v>0</v>
      </c>
      <c r="AR387" s="112">
        <f t="shared" si="237"/>
        <v>1</v>
      </c>
      <c r="AS387" s="113">
        <f t="shared" si="238"/>
        <v>2028</v>
      </c>
      <c r="AT387" s="109">
        <v>47648.460334077841</v>
      </c>
      <c r="AU387" s="114">
        <v>1</v>
      </c>
      <c r="AV387" s="113">
        <v>2028</v>
      </c>
      <c r="AW387" s="112">
        <f t="shared" si="239"/>
        <v>0.39401057724007782</v>
      </c>
      <c r="AX387" s="109">
        <f t="shared" si="240"/>
        <v>47648.460334077841</v>
      </c>
      <c r="AY387" s="109">
        <f t="shared" si="241"/>
        <v>0</v>
      </c>
      <c r="AZ387" s="109">
        <f t="shared" si="242"/>
        <v>47648.460334077841</v>
      </c>
      <c r="BA387" s="111">
        <f t="shared" si="243"/>
        <v>0</v>
      </c>
      <c r="BB387" s="117"/>
      <c r="BC387" s="115" t="str">
        <f t="shared" si="244"/>
        <v>N</v>
      </c>
      <c r="BD387" s="115" t="str">
        <f t="shared" si="245"/>
        <v>Y</v>
      </c>
      <c r="BE387" s="115" t="str">
        <f t="shared" si="246"/>
        <v>N</v>
      </c>
      <c r="BF387" s="109" t="str">
        <f t="shared" si="247"/>
        <v/>
      </c>
      <c r="BG387" s="111" t="s">
        <v>2499</v>
      </c>
      <c r="BH387" s="115" t="s">
        <v>1168</v>
      </c>
      <c r="BI387" s="116"/>
      <c r="BJ387" s="222">
        <v>0.39401057724007782</v>
      </c>
      <c r="BK387" s="265">
        <f t="shared" si="248"/>
        <v>0</v>
      </c>
      <c r="BL387" s="265">
        <f t="shared" si="249"/>
        <v>0</v>
      </c>
      <c r="BM387" s="265">
        <f t="shared" si="250"/>
        <v>-1.4551915228366852E-11</v>
      </c>
      <c r="BN387" s="265">
        <f t="shared" si="251"/>
        <v>8449.7723223354769</v>
      </c>
      <c r="BO387" s="109"/>
      <c r="BP387" s="265">
        <f t="shared" si="252"/>
        <v>8449.7723223354769</v>
      </c>
      <c r="BQ387" s="265">
        <v>8449.7723223354769</v>
      </c>
      <c r="BR387" s="265" t="e">
        <f t="shared" si="253"/>
        <v>#REF!</v>
      </c>
      <c r="BS387" s="265">
        <v>951.94489666526624</v>
      </c>
      <c r="BT387" s="475">
        <v>758564.41966592218</v>
      </c>
      <c r="BU387" s="475">
        <v>47648.460334077841</v>
      </c>
      <c r="BV387" s="475">
        <v>0</v>
      </c>
      <c r="BW387" s="483">
        <f t="shared" si="254"/>
        <v>0</v>
      </c>
      <c r="BX387" s="483">
        <f t="shared" si="255"/>
        <v>0</v>
      </c>
    </row>
    <row r="388" spans="1:77" s="103" customFormat="1" ht="58">
      <c r="A388" s="100" t="s">
        <v>2259</v>
      </c>
      <c r="B388" s="91" t="str">
        <f t="shared" si="223"/>
        <v>STW</v>
      </c>
      <c r="C388" s="92" t="s">
        <v>2386</v>
      </c>
      <c r="D388" s="448"/>
      <c r="E388" s="451">
        <v>3101001</v>
      </c>
      <c r="F388" s="409" t="s">
        <v>2296</v>
      </c>
      <c r="G388" s="588" t="s">
        <v>5231</v>
      </c>
      <c r="H388" s="398">
        <v>0.15</v>
      </c>
      <c r="I388" s="151"/>
      <c r="J388" s="95" t="s">
        <v>1166</v>
      </c>
      <c r="K388" s="191">
        <v>3971633</v>
      </c>
      <c r="L388" s="269">
        <v>0.46388270286414124</v>
      </c>
      <c r="M388" s="585">
        <v>1</v>
      </c>
      <c r="N388" s="267">
        <f t="shared" si="224"/>
        <v>0</v>
      </c>
      <c r="O388" s="96">
        <f t="shared" si="225"/>
        <v>3695277.2223763373</v>
      </c>
      <c r="P388" s="96">
        <f t="shared" si="222"/>
        <v>276355.77762366267</v>
      </c>
      <c r="Q388" s="96">
        <f t="shared" si="226"/>
        <v>0</v>
      </c>
      <c r="R388" s="187" t="s">
        <v>2325</v>
      </c>
      <c r="S388" s="187" t="s">
        <v>3607</v>
      </c>
      <c r="T388" s="94" t="s">
        <v>5409</v>
      </c>
      <c r="U388" s="395">
        <f>COUNTIF(Aggregation_of_rev_to_allocate!$A$3:$A$137,$T388)</f>
        <v>0</v>
      </c>
      <c r="V388" s="100">
        <v>507</v>
      </c>
      <c r="W388" s="100">
        <v>483</v>
      </c>
      <c r="X388" s="109">
        <v>276355.78342520253</v>
      </c>
      <c r="Y388" s="109">
        <v>0</v>
      </c>
      <c r="Z388" s="110">
        <v>0.46388271260243585</v>
      </c>
      <c r="AA388" s="110">
        <v>1</v>
      </c>
      <c r="AB388" s="110">
        <v>0</v>
      </c>
      <c r="AC388" s="109">
        <f>IF(ISERROR((X388*SUMIF('Rev_for_allocation(Hard)'!$A$3:$A$249,$T388,'Rev_for_allocation(Hard)'!$I$3:$I$249)/SUMIF(Historic_capex_list!$T$9:$T$586,$T388,Historic_capex_list!$X$9:$X$586))=TRUE),0,X388*SUMIF('Rev_for_allocation(Hard)'!$A$3:$A$249,$T388,'Rev_for_allocation(Hard)'!$I$3:$I$249)/SUMIF(Historic_capex_list!$T$9:$T$586,$T388,Historic_capex_list!$X$9:$X$586))</f>
        <v>0</v>
      </c>
      <c r="AD388" s="109">
        <f t="shared" si="227"/>
        <v>276355.78342520253</v>
      </c>
      <c r="AE388" s="109">
        <f t="shared" si="228"/>
        <v>276355.78342520253</v>
      </c>
      <c r="AF388" s="109">
        <f t="shared" si="229"/>
        <v>276355.78342520253</v>
      </c>
      <c r="AG388" s="332" t="str">
        <f t="shared" si="230"/>
        <v>N</v>
      </c>
      <c r="AH388" s="332">
        <f t="shared" si="219"/>
        <v>0</v>
      </c>
      <c r="AI388" s="332">
        <f t="shared" si="220"/>
        <v>0</v>
      </c>
      <c r="AJ388" s="109">
        <f t="shared" si="221"/>
        <v>276355.78342520253</v>
      </c>
      <c r="AK388" s="109">
        <f t="shared" si="231"/>
        <v>0</v>
      </c>
      <c r="AL388" s="109">
        <v>0</v>
      </c>
      <c r="AM388" s="111">
        <f t="shared" si="232"/>
        <v>0</v>
      </c>
      <c r="AN388" s="111">
        <f t="shared" si="233"/>
        <v>0</v>
      </c>
      <c r="AO388" s="111" t="str">
        <f t="shared" si="234"/>
        <v>Use deduct 3yrs</v>
      </c>
      <c r="AP388" s="111">
        <f t="shared" si="235"/>
        <v>0</v>
      </c>
      <c r="AQ388" s="112">
        <f t="shared" si="236"/>
        <v>0</v>
      </c>
      <c r="AR388" s="112">
        <f t="shared" si="237"/>
        <v>1</v>
      </c>
      <c r="AS388" s="113">
        <f t="shared" si="238"/>
        <v>2028</v>
      </c>
      <c r="AT388" s="109">
        <v>276355.77762366267</v>
      </c>
      <c r="AU388" s="114">
        <v>1</v>
      </c>
      <c r="AV388" s="113">
        <v>2028</v>
      </c>
      <c r="AW388" s="112">
        <f t="shared" si="239"/>
        <v>0.46388270286414124</v>
      </c>
      <c r="AX388" s="109">
        <f t="shared" si="240"/>
        <v>276355.77762366267</v>
      </c>
      <c r="AY388" s="109">
        <f t="shared" si="241"/>
        <v>0</v>
      </c>
      <c r="AZ388" s="109">
        <f t="shared" si="242"/>
        <v>276355.77762366267</v>
      </c>
      <c r="BA388" s="111">
        <f t="shared" si="243"/>
        <v>0</v>
      </c>
      <c r="BB388" s="117"/>
      <c r="BC388" s="115" t="str">
        <f t="shared" si="244"/>
        <v>N</v>
      </c>
      <c r="BD388" s="115" t="str">
        <f t="shared" si="245"/>
        <v>Y</v>
      </c>
      <c r="BE388" s="115" t="str">
        <f t="shared" si="246"/>
        <v>N</v>
      </c>
      <c r="BF388" s="109" t="str">
        <f t="shared" si="247"/>
        <v/>
      </c>
      <c r="BG388" s="111" t="s">
        <v>2499</v>
      </c>
      <c r="BH388" s="115" t="s">
        <v>1168</v>
      </c>
      <c r="BI388" s="116"/>
      <c r="BJ388" s="222">
        <v>0.46388270286414124</v>
      </c>
      <c r="BK388" s="265">
        <f t="shared" si="248"/>
        <v>0</v>
      </c>
      <c r="BL388" s="265">
        <f t="shared" si="249"/>
        <v>0</v>
      </c>
      <c r="BM388" s="265">
        <f t="shared" si="250"/>
        <v>5.8207660913467407E-11</v>
      </c>
      <c r="BN388" s="265">
        <f t="shared" si="251"/>
        <v>5.8015398681163788E-3</v>
      </c>
      <c r="BO388" s="109"/>
      <c r="BP388" s="265">
        <f t="shared" si="252"/>
        <v>5.8015398681163788E-3</v>
      </c>
      <c r="BQ388" s="265">
        <v>5.8015398681163788E-3</v>
      </c>
      <c r="BR388" s="265" t="e">
        <f t="shared" si="253"/>
        <v>#REF!</v>
      </c>
      <c r="BS388" s="265">
        <v>6.5359705085249063E-4</v>
      </c>
      <c r="BT388" s="475">
        <v>3695277.2223763373</v>
      </c>
      <c r="BU388" s="475">
        <v>276355.77762366267</v>
      </c>
      <c r="BV388" s="475">
        <v>0</v>
      </c>
      <c r="BW388" s="483">
        <f t="shared" si="254"/>
        <v>0</v>
      </c>
      <c r="BX388" s="483">
        <f t="shared" si="255"/>
        <v>0</v>
      </c>
    </row>
    <row r="389" spans="1:77" s="103" customFormat="1" ht="43.5">
      <c r="A389" s="100" t="s">
        <v>2259</v>
      </c>
      <c r="B389" s="91" t="str">
        <f t="shared" si="223"/>
        <v>STW</v>
      </c>
      <c r="C389" s="92" t="s">
        <v>2386</v>
      </c>
      <c r="D389" s="448"/>
      <c r="E389" s="451">
        <v>3201275</v>
      </c>
      <c r="F389" s="409" t="s">
        <v>2297</v>
      </c>
      <c r="G389" s="588" t="s">
        <v>5232</v>
      </c>
      <c r="H389" s="398">
        <v>0.15</v>
      </c>
      <c r="I389" s="151"/>
      <c r="J389" s="95" t="s">
        <v>1166</v>
      </c>
      <c r="K389" s="191">
        <v>644760.31999999995</v>
      </c>
      <c r="L389" s="269">
        <v>0.39401057724007782</v>
      </c>
      <c r="M389" s="585">
        <v>1</v>
      </c>
      <c r="N389" s="267">
        <f t="shared" si="224"/>
        <v>0</v>
      </c>
      <c r="O389" s="96">
        <f t="shared" si="225"/>
        <v>606653.96212029539</v>
      </c>
      <c r="P389" s="96">
        <f t="shared" si="222"/>
        <v>38106.357879704592</v>
      </c>
      <c r="Q389" s="96">
        <f t="shared" si="226"/>
        <v>0</v>
      </c>
      <c r="R389" s="187" t="s">
        <v>2563</v>
      </c>
      <c r="S389" s="187" t="s">
        <v>3607</v>
      </c>
      <c r="T389" s="94" t="s">
        <v>5394</v>
      </c>
      <c r="U389" s="395">
        <f>COUNTIF(Aggregation_of_rev_to_allocate!$A$3:$A$137,$T389)</f>
        <v>0</v>
      </c>
      <c r="V389" s="100"/>
      <c r="W389" s="100">
        <v>364</v>
      </c>
      <c r="X389" s="109">
        <v>44863.97493300218</v>
      </c>
      <c r="Y389" s="109">
        <v>0</v>
      </c>
      <c r="Z389" s="110">
        <v>0.46388271260243591</v>
      </c>
      <c r="AA389" s="110">
        <v>1</v>
      </c>
      <c r="AB389" s="110">
        <v>0</v>
      </c>
      <c r="AC389" s="109">
        <f>IF(ISERROR((X389*SUMIF('Rev_for_allocation(Hard)'!$A$3:$A$249,$T389,'Rev_for_allocation(Hard)'!$I$3:$I$249)/SUMIF(Historic_capex_list!$T$9:$T$586,$T389,Historic_capex_list!$X$9:$X$586))=TRUE),0,X389*SUMIF('Rev_for_allocation(Hard)'!$A$3:$A$249,$T389,'Rev_for_allocation(Hard)'!$I$3:$I$249)/SUMIF(Historic_capex_list!$T$9:$T$586,$T389,Historic_capex_list!$X$9:$X$586))</f>
        <v>0</v>
      </c>
      <c r="AD389" s="109">
        <f t="shared" si="227"/>
        <v>44863.97493300218</v>
      </c>
      <c r="AE389" s="109">
        <f t="shared" si="228"/>
        <v>44863.97493300218</v>
      </c>
      <c r="AF389" s="109">
        <f t="shared" si="229"/>
        <v>44863.97493300218</v>
      </c>
      <c r="AG389" s="332" t="str">
        <f t="shared" si="230"/>
        <v>N</v>
      </c>
      <c r="AH389" s="332">
        <f t="shared" si="219"/>
        <v>0</v>
      </c>
      <c r="AI389" s="332">
        <f t="shared" si="220"/>
        <v>0</v>
      </c>
      <c r="AJ389" s="109">
        <f t="shared" si="221"/>
        <v>44863.97493300218</v>
      </c>
      <c r="AK389" s="109">
        <f t="shared" si="231"/>
        <v>0</v>
      </c>
      <c r="AL389" s="109">
        <v>0</v>
      </c>
      <c r="AM389" s="111">
        <f t="shared" si="232"/>
        <v>0</v>
      </c>
      <c r="AN389" s="111">
        <f t="shared" si="233"/>
        <v>0</v>
      </c>
      <c r="AO389" s="111" t="str">
        <f t="shared" si="234"/>
        <v>Use deduct 3yrs</v>
      </c>
      <c r="AP389" s="111">
        <f t="shared" si="235"/>
        <v>0</v>
      </c>
      <c r="AQ389" s="112">
        <f t="shared" si="236"/>
        <v>0</v>
      </c>
      <c r="AR389" s="112">
        <f t="shared" si="237"/>
        <v>1</v>
      </c>
      <c r="AS389" s="113">
        <f t="shared" si="238"/>
        <v>2028</v>
      </c>
      <c r="AT389" s="109">
        <v>38106.357879704592</v>
      </c>
      <c r="AU389" s="114">
        <v>1</v>
      </c>
      <c r="AV389" s="113">
        <v>2028</v>
      </c>
      <c r="AW389" s="112">
        <f t="shared" si="239"/>
        <v>0.39401057724007782</v>
      </c>
      <c r="AX389" s="109">
        <f t="shared" si="240"/>
        <v>38106.357879704592</v>
      </c>
      <c r="AY389" s="109">
        <f t="shared" si="241"/>
        <v>0</v>
      </c>
      <c r="AZ389" s="109">
        <f t="shared" si="242"/>
        <v>38106.357879704592</v>
      </c>
      <c r="BA389" s="111">
        <f t="shared" si="243"/>
        <v>0</v>
      </c>
      <c r="BB389" s="117"/>
      <c r="BC389" s="115" t="str">
        <f t="shared" si="244"/>
        <v>N</v>
      </c>
      <c r="BD389" s="115" t="str">
        <f t="shared" si="245"/>
        <v>Y</v>
      </c>
      <c r="BE389" s="115" t="str">
        <f t="shared" si="246"/>
        <v>N</v>
      </c>
      <c r="BF389" s="109" t="str">
        <f t="shared" si="247"/>
        <v/>
      </c>
      <c r="BG389" s="111" t="s">
        <v>2499</v>
      </c>
      <c r="BH389" s="115" t="s">
        <v>1168</v>
      </c>
      <c r="BI389" s="116"/>
      <c r="BJ389" s="222">
        <v>0.39401057724007782</v>
      </c>
      <c r="BK389" s="265">
        <f t="shared" si="248"/>
        <v>0</v>
      </c>
      <c r="BL389" s="265">
        <f t="shared" si="249"/>
        <v>0</v>
      </c>
      <c r="BM389" s="265">
        <f t="shared" si="250"/>
        <v>-2.9103830456733704E-11</v>
      </c>
      <c r="BN389" s="265">
        <f t="shared" si="251"/>
        <v>6757.6170532975884</v>
      </c>
      <c r="BO389" s="109"/>
      <c r="BP389" s="265">
        <f t="shared" si="252"/>
        <v>6757.6170532975884</v>
      </c>
      <c r="BQ389" s="265">
        <v>6757.6170532975884</v>
      </c>
      <c r="BR389" s="265" t="e">
        <f t="shared" si="253"/>
        <v>#REF!</v>
      </c>
      <c r="BS389" s="265">
        <v>761.30797637004218</v>
      </c>
      <c r="BT389" s="475">
        <v>606653.96212029539</v>
      </c>
      <c r="BU389" s="475">
        <v>38106.357879704592</v>
      </c>
      <c r="BV389" s="475">
        <v>0</v>
      </c>
      <c r="BW389" s="483">
        <f t="shared" si="254"/>
        <v>0</v>
      </c>
      <c r="BX389" s="483">
        <f t="shared" si="255"/>
        <v>0</v>
      </c>
    </row>
    <row r="390" spans="1:77" s="103" customFormat="1" ht="29">
      <c r="A390" s="100" t="s">
        <v>2259</v>
      </c>
      <c r="B390" s="91" t="str">
        <f t="shared" si="223"/>
        <v>STW</v>
      </c>
      <c r="C390" s="92" t="s">
        <v>2386</v>
      </c>
      <c r="D390" s="448"/>
      <c r="E390" s="451">
        <v>3101005</v>
      </c>
      <c r="F390" s="409" t="s">
        <v>2298</v>
      </c>
      <c r="G390" s="588" t="s">
        <v>5233</v>
      </c>
      <c r="H390" s="398">
        <v>1</v>
      </c>
      <c r="I390" s="151"/>
      <c r="J390" s="95" t="s">
        <v>1166</v>
      </c>
      <c r="K390" s="191">
        <v>51428.020000000004</v>
      </c>
      <c r="L390" s="269">
        <v>9.264498118613549E-3</v>
      </c>
      <c r="M390" s="585">
        <v>1</v>
      </c>
      <c r="N390" s="267">
        <f t="shared" si="224"/>
        <v>0</v>
      </c>
      <c r="O390" s="96">
        <f t="shared" si="225"/>
        <v>50951.565205465988</v>
      </c>
      <c r="P390" s="96">
        <f t="shared" si="222"/>
        <v>476.45479453401998</v>
      </c>
      <c r="Q390" s="96">
        <f t="shared" si="226"/>
        <v>0</v>
      </c>
      <c r="R390" s="187" t="s">
        <v>2392</v>
      </c>
      <c r="S390" s="187" t="s">
        <v>3607</v>
      </c>
      <c r="T390" s="94" t="s">
        <v>5396</v>
      </c>
      <c r="U390" s="395">
        <f>COUNTIF(Aggregation_of_rev_to_allocate!$A$3:$A$137,$T390)</f>
        <v>0</v>
      </c>
      <c r="V390" s="100"/>
      <c r="W390" s="100">
        <v>290</v>
      </c>
      <c r="X390" s="109">
        <v>23856.569421372329</v>
      </c>
      <c r="Y390" s="109">
        <v>0</v>
      </c>
      <c r="Z390" s="110">
        <v>0.46388271260243591</v>
      </c>
      <c r="AA390" s="110">
        <v>1</v>
      </c>
      <c r="AB390" s="110">
        <v>0</v>
      </c>
      <c r="AC390" s="109">
        <f>IF(ISERROR((X390*SUMIF('Rev_for_allocation(Hard)'!$A$3:$A$249,$T390,'Rev_for_allocation(Hard)'!$I$3:$I$249)/SUMIF(Historic_capex_list!$T$9:$T$586,$T390,Historic_capex_list!$X$9:$X$586))=TRUE),0,X390*SUMIF('Rev_for_allocation(Hard)'!$A$3:$A$249,$T390,'Rev_for_allocation(Hard)'!$I$3:$I$249)/SUMIF(Historic_capex_list!$T$9:$T$586,$T390,Historic_capex_list!$X$9:$X$586))</f>
        <v>0</v>
      </c>
      <c r="AD390" s="109">
        <f t="shared" si="227"/>
        <v>23856.569421372329</v>
      </c>
      <c r="AE390" s="109">
        <f t="shared" si="228"/>
        <v>23856.569421372329</v>
      </c>
      <c r="AF390" s="109">
        <f t="shared" si="229"/>
        <v>23856.569421372329</v>
      </c>
      <c r="AG390" s="332" t="str">
        <f t="shared" si="230"/>
        <v>N</v>
      </c>
      <c r="AH390" s="332">
        <f t="shared" si="219"/>
        <v>0</v>
      </c>
      <c r="AI390" s="332">
        <f t="shared" si="220"/>
        <v>0</v>
      </c>
      <c r="AJ390" s="109">
        <f t="shared" si="221"/>
        <v>23856.569421372329</v>
      </c>
      <c r="AK390" s="109">
        <f t="shared" si="231"/>
        <v>0</v>
      </c>
      <c r="AL390" s="109">
        <v>0</v>
      </c>
      <c r="AM390" s="111">
        <f t="shared" si="232"/>
        <v>0</v>
      </c>
      <c r="AN390" s="111">
        <f t="shared" si="233"/>
        <v>0</v>
      </c>
      <c r="AO390" s="111" t="str">
        <f t="shared" si="234"/>
        <v>Use deduct 3yrs</v>
      </c>
      <c r="AP390" s="111">
        <f t="shared" si="235"/>
        <v>0</v>
      </c>
      <c r="AQ390" s="112">
        <f t="shared" si="236"/>
        <v>0</v>
      </c>
      <c r="AR390" s="112">
        <f t="shared" si="237"/>
        <v>1</v>
      </c>
      <c r="AS390" s="113">
        <f t="shared" si="238"/>
        <v>2028</v>
      </c>
      <c r="AT390" s="109">
        <v>476.45479453402004</v>
      </c>
      <c r="AU390" s="114">
        <v>1</v>
      </c>
      <c r="AV390" s="113">
        <v>2028</v>
      </c>
      <c r="AW390" s="112">
        <f t="shared" si="239"/>
        <v>9.264498118613549E-3</v>
      </c>
      <c r="AX390" s="109">
        <f t="shared" si="240"/>
        <v>476.45479453401998</v>
      </c>
      <c r="AY390" s="109">
        <f t="shared" si="241"/>
        <v>0</v>
      </c>
      <c r="AZ390" s="109">
        <f t="shared" si="242"/>
        <v>476.45479453401998</v>
      </c>
      <c r="BA390" s="111">
        <f t="shared" si="243"/>
        <v>0</v>
      </c>
      <c r="BB390" s="117"/>
      <c r="BC390" s="115" t="str">
        <f t="shared" si="244"/>
        <v>Y</v>
      </c>
      <c r="BD390" s="115" t="str">
        <f t="shared" si="245"/>
        <v>Y</v>
      </c>
      <c r="BE390" s="115" t="str">
        <f t="shared" si="246"/>
        <v>Y</v>
      </c>
      <c r="BF390" s="109">
        <f t="shared" si="247"/>
        <v>476.45479453401998</v>
      </c>
      <c r="BG390" s="111" t="s">
        <v>2499</v>
      </c>
      <c r="BH390" s="115" t="s">
        <v>1168</v>
      </c>
      <c r="BI390" s="116"/>
      <c r="BJ390" s="222">
        <v>9.264498118613549E-3</v>
      </c>
      <c r="BK390" s="265">
        <f t="shared" si="248"/>
        <v>0</v>
      </c>
      <c r="BL390" s="265">
        <f t="shared" si="249"/>
        <v>0</v>
      </c>
      <c r="BM390" s="265">
        <f t="shared" si="250"/>
        <v>-3.5811353882309049E-12</v>
      </c>
      <c r="BN390" s="265">
        <f t="shared" si="251"/>
        <v>23380.114626838309</v>
      </c>
      <c r="BO390" s="109"/>
      <c r="BP390" s="265">
        <f t="shared" si="252"/>
        <v>23380.114626838309</v>
      </c>
      <c r="BQ390" s="265">
        <v>23380.114626838309</v>
      </c>
      <c r="BR390" s="265" t="e">
        <f t="shared" si="253"/>
        <v>#REF!</v>
      </c>
      <c r="BS390" s="265">
        <v>2633.9858582504457</v>
      </c>
      <c r="BT390" s="475">
        <v>50951.565205465988</v>
      </c>
      <c r="BU390" s="475">
        <v>476.45479453401998</v>
      </c>
      <c r="BV390" s="475">
        <v>0</v>
      </c>
      <c r="BW390" s="483">
        <f t="shared" si="254"/>
        <v>0</v>
      </c>
      <c r="BX390" s="483">
        <f t="shared" si="255"/>
        <v>0</v>
      </c>
    </row>
    <row r="391" spans="1:77" s="103" customFormat="1" ht="29">
      <c r="A391" s="100" t="s">
        <v>2259</v>
      </c>
      <c r="B391" s="91" t="str">
        <f t="shared" si="223"/>
        <v>STW</v>
      </c>
      <c r="C391" s="92" t="s">
        <v>2386</v>
      </c>
      <c r="D391" s="448"/>
      <c r="E391" s="451">
        <v>3201279</v>
      </c>
      <c r="F391" s="409" t="s">
        <v>2299</v>
      </c>
      <c r="G391" s="586" t="s">
        <v>4552</v>
      </c>
      <c r="H391" s="398">
        <v>1</v>
      </c>
      <c r="I391" s="151"/>
      <c r="J391" s="95" t="s">
        <v>1166</v>
      </c>
      <c r="K391" s="191">
        <v>394563.34499999997</v>
      </c>
      <c r="L391" s="269">
        <v>0.14872200123722248</v>
      </c>
      <c r="M391" s="585">
        <v>1</v>
      </c>
      <c r="N391" s="267">
        <f t="shared" si="224"/>
        <v>0</v>
      </c>
      <c r="O391" s="96">
        <f t="shared" si="225"/>
        <v>335883.09471674735</v>
      </c>
      <c r="P391" s="96">
        <f t="shared" si="222"/>
        <v>58680.250283252637</v>
      </c>
      <c r="Q391" s="96">
        <f t="shared" si="226"/>
        <v>0</v>
      </c>
      <c r="R391" s="187" t="s">
        <v>2310</v>
      </c>
      <c r="S391" s="187" t="s">
        <v>3607</v>
      </c>
      <c r="T391" s="94" t="s">
        <v>5408</v>
      </c>
      <c r="U391" s="395">
        <f>COUNTIF(Aggregation_of_rev_to_allocate!$A$3:$A$137,$T391)</f>
        <v>0</v>
      </c>
      <c r="V391" s="100"/>
      <c r="W391" s="100">
        <v>477</v>
      </c>
      <c r="X391" s="109">
        <v>183031.11477209075</v>
      </c>
      <c r="Y391" s="109">
        <v>0</v>
      </c>
      <c r="Z391" s="110">
        <v>0.46388271260243591</v>
      </c>
      <c r="AA391" s="110">
        <v>1</v>
      </c>
      <c r="AB391" s="110">
        <v>0</v>
      </c>
      <c r="AC391" s="109">
        <f>IF(ISERROR((X391*SUMIF('Rev_for_allocation(Hard)'!$A$3:$A$249,$T391,'Rev_for_allocation(Hard)'!$I$3:$I$249)/SUMIF(Historic_capex_list!$T$9:$T$586,$T391,Historic_capex_list!$X$9:$X$586))=TRUE),0,X391*SUMIF('Rev_for_allocation(Hard)'!$A$3:$A$249,$T391,'Rev_for_allocation(Hard)'!$I$3:$I$249)/SUMIF(Historic_capex_list!$T$9:$T$586,$T391,Historic_capex_list!$X$9:$X$586))</f>
        <v>0</v>
      </c>
      <c r="AD391" s="109">
        <f t="shared" si="227"/>
        <v>183031.11477209075</v>
      </c>
      <c r="AE391" s="109">
        <f t="shared" si="228"/>
        <v>183031.11477209075</v>
      </c>
      <c r="AF391" s="109">
        <f t="shared" si="229"/>
        <v>183031.11477209075</v>
      </c>
      <c r="AG391" s="332" t="str">
        <f t="shared" si="230"/>
        <v>N</v>
      </c>
      <c r="AH391" s="332">
        <f t="shared" si="219"/>
        <v>0</v>
      </c>
      <c r="AI391" s="332">
        <f t="shared" si="220"/>
        <v>0</v>
      </c>
      <c r="AJ391" s="109">
        <f t="shared" si="221"/>
        <v>183031.11477209075</v>
      </c>
      <c r="AK391" s="109">
        <f t="shared" si="231"/>
        <v>0</v>
      </c>
      <c r="AL391" s="109">
        <v>0</v>
      </c>
      <c r="AM391" s="111">
        <f t="shared" si="232"/>
        <v>0</v>
      </c>
      <c r="AN391" s="111">
        <f t="shared" si="233"/>
        <v>0</v>
      </c>
      <c r="AO391" s="111" t="str">
        <f t="shared" si="234"/>
        <v>Use deduct 3yrs</v>
      </c>
      <c r="AP391" s="111">
        <f t="shared" si="235"/>
        <v>0</v>
      </c>
      <c r="AQ391" s="112">
        <f t="shared" si="236"/>
        <v>0</v>
      </c>
      <c r="AR391" s="112">
        <f t="shared" si="237"/>
        <v>1</v>
      </c>
      <c r="AS391" s="113">
        <f t="shared" si="238"/>
        <v>2028</v>
      </c>
      <c r="AT391" s="109">
        <v>58680.250283252637</v>
      </c>
      <c r="AU391" s="114">
        <v>1</v>
      </c>
      <c r="AV391" s="113">
        <v>2028</v>
      </c>
      <c r="AW391" s="112">
        <f t="shared" si="239"/>
        <v>0.14872200123722248</v>
      </c>
      <c r="AX391" s="109">
        <f t="shared" si="240"/>
        <v>58680.250283252637</v>
      </c>
      <c r="AY391" s="109">
        <f t="shared" si="241"/>
        <v>0</v>
      </c>
      <c r="AZ391" s="109">
        <f t="shared" si="242"/>
        <v>58680.250283252637</v>
      </c>
      <c r="BA391" s="111">
        <f t="shared" si="243"/>
        <v>0</v>
      </c>
      <c r="BB391" s="117"/>
      <c r="BC391" s="115" t="str">
        <f t="shared" si="244"/>
        <v>N</v>
      </c>
      <c r="BD391" s="115" t="str">
        <f t="shared" si="245"/>
        <v>Y</v>
      </c>
      <c r="BE391" s="115" t="str">
        <f t="shared" si="246"/>
        <v>N</v>
      </c>
      <c r="BF391" s="109" t="str">
        <f t="shared" si="247"/>
        <v/>
      </c>
      <c r="BG391" s="111" t="s">
        <v>2499</v>
      </c>
      <c r="BH391" s="115" t="s">
        <v>1168</v>
      </c>
      <c r="BI391" s="116"/>
      <c r="BJ391" s="222">
        <v>0.14872200123722248</v>
      </c>
      <c r="BK391" s="265">
        <f t="shared" si="248"/>
        <v>0</v>
      </c>
      <c r="BL391" s="265">
        <f t="shared" si="249"/>
        <v>0</v>
      </c>
      <c r="BM391" s="265">
        <f t="shared" si="250"/>
        <v>-1.4551915228366852E-11</v>
      </c>
      <c r="BN391" s="265">
        <f t="shared" si="251"/>
        <v>124350.86448883811</v>
      </c>
      <c r="BO391" s="109"/>
      <c r="BP391" s="265">
        <f t="shared" si="252"/>
        <v>124350.86448883811</v>
      </c>
      <c r="BQ391" s="265">
        <v>124350.86448883811</v>
      </c>
      <c r="BR391" s="265" t="e">
        <f t="shared" si="253"/>
        <v>#REF!</v>
      </c>
      <c r="BS391" s="265">
        <v>14009.273425410494</v>
      </c>
      <c r="BT391" s="475">
        <v>335883.09471674735</v>
      </c>
      <c r="BU391" s="475">
        <v>58680.250283252637</v>
      </c>
      <c r="BV391" s="475">
        <v>0</v>
      </c>
      <c r="BW391" s="483">
        <f t="shared" si="254"/>
        <v>0</v>
      </c>
      <c r="BX391" s="483">
        <f t="shared" si="255"/>
        <v>0</v>
      </c>
    </row>
    <row r="392" spans="1:77" s="103" customFormat="1" ht="29">
      <c r="A392" s="100" t="s">
        <v>2259</v>
      </c>
      <c r="B392" s="91" t="str">
        <f t="shared" si="223"/>
        <v>STW</v>
      </c>
      <c r="C392" s="92" t="s">
        <v>2386</v>
      </c>
      <c r="D392" s="448"/>
      <c r="E392" s="451">
        <v>3201279</v>
      </c>
      <c r="F392" s="409" t="s">
        <v>2299</v>
      </c>
      <c r="G392" s="586" t="s">
        <v>4552</v>
      </c>
      <c r="H392" s="398">
        <v>1</v>
      </c>
      <c r="I392" s="151"/>
      <c r="J392" s="95" t="s">
        <v>1166</v>
      </c>
      <c r="K392" s="191">
        <v>406868.29499999998</v>
      </c>
      <c r="L392" s="269">
        <v>0.46388270286414118</v>
      </c>
      <c r="M392" s="585">
        <v>1</v>
      </c>
      <c r="N392" s="267">
        <f t="shared" si="224"/>
        <v>0</v>
      </c>
      <c r="O392" s="96">
        <f t="shared" si="225"/>
        <v>218129.13060567522</v>
      </c>
      <c r="P392" s="96">
        <f t="shared" si="222"/>
        <v>188739.16439432473</v>
      </c>
      <c r="Q392" s="96">
        <f t="shared" si="226"/>
        <v>0</v>
      </c>
      <c r="R392" s="187" t="s">
        <v>2325</v>
      </c>
      <c r="S392" s="187" t="s">
        <v>3607</v>
      </c>
      <c r="T392" s="94" t="s">
        <v>5409</v>
      </c>
      <c r="U392" s="395">
        <f>COUNTIF(Aggregation_of_rev_to_allocate!$A$3:$A$137,$T392)</f>
        <v>0</v>
      </c>
      <c r="V392" s="100"/>
      <c r="W392" s="100">
        <v>484</v>
      </c>
      <c r="X392" s="109">
        <v>188739.1683565281</v>
      </c>
      <c r="Y392" s="109">
        <v>0</v>
      </c>
      <c r="Z392" s="110">
        <v>0.46388271260243591</v>
      </c>
      <c r="AA392" s="110">
        <v>1</v>
      </c>
      <c r="AB392" s="110">
        <v>0</v>
      </c>
      <c r="AC392" s="109">
        <f>IF(ISERROR((X392*SUMIF('Rev_for_allocation(Hard)'!$A$3:$A$249,$T392,'Rev_for_allocation(Hard)'!$I$3:$I$249)/SUMIF(Historic_capex_list!$T$9:$T$586,$T392,Historic_capex_list!$X$9:$X$586))=TRUE),0,X392*SUMIF('Rev_for_allocation(Hard)'!$A$3:$A$249,$T392,'Rev_for_allocation(Hard)'!$I$3:$I$249)/SUMIF(Historic_capex_list!$T$9:$T$586,$T392,Historic_capex_list!$X$9:$X$586))</f>
        <v>0</v>
      </c>
      <c r="AD392" s="109">
        <f t="shared" si="227"/>
        <v>188739.1683565281</v>
      </c>
      <c r="AE392" s="109">
        <f t="shared" si="228"/>
        <v>188739.1683565281</v>
      </c>
      <c r="AF392" s="109">
        <f t="shared" si="229"/>
        <v>188739.1683565281</v>
      </c>
      <c r="AG392" s="332" t="str">
        <f t="shared" si="230"/>
        <v>N</v>
      </c>
      <c r="AH392" s="332">
        <f t="shared" si="219"/>
        <v>0</v>
      </c>
      <c r="AI392" s="332">
        <f t="shared" si="220"/>
        <v>0</v>
      </c>
      <c r="AJ392" s="109">
        <f t="shared" si="221"/>
        <v>188739.1683565281</v>
      </c>
      <c r="AK392" s="109">
        <f t="shared" si="231"/>
        <v>0</v>
      </c>
      <c r="AL392" s="109">
        <v>0</v>
      </c>
      <c r="AM392" s="111">
        <f t="shared" si="232"/>
        <v>0</v>
      </c>
      <c r="AN392" s="111">
        <f t="shared" si="233"/>
        <v>0</v>
      </c>
      <c r="AO392" s="111" t="str">
        <f t="shared" si="234"/>
        <v>Use deduct 3yrs</v>
      </c>
      <c r="AP392" s="111">
        <f t="shared" si="235"/>
        <v>0</v>
      </c>
      <c r="AQ392" s="112">
        <f t="shared" si="236"/>
        <v>0</v>
      </c>
      <c r="AR392" s="112">
        <f t="shared" si="237"/>
        <v>1</v>
      </c>
      <c r="AS392" s="113">
        <f t="shared" si="238"/>
        <v>2028</v>
      </c>
      <c r="AT392" s="109">
        <v>188739.16439432473</v>
      </c>
      <c r="AU392" s="114">
        <v>1</v>
      </c>
      <c r="AV392" s="113">
        <v>2028</v>
      </c>
      <c r="AW392" s="112">
        <f t="shared" si="239"/>
        <v>0.46388270286414118</v>
      </c>
      <c r="AX392" s="109">
        <f t="shared" si="240"/>
        <v>188739.16439432473</v>
      </c>
      <c r="AY392" s="109">
        <f t="shared" si="241"/>
        <v>0</v>
      </c>
      <c r="AZ392" s="109">
        <f t="shared" si="242"/>
        <v>188739.16439432473</v>
      </c>
      <c r="BA392" s="111">
        <f t="shared" si="243"/>
        <v>0</v>
      </c>
      <c r="BB392" s="117"/>
      <c r="BC392" s="115" t="str">
        <f t="shared" si="244"/>
        <v>N</v>
      </c>
      <c r="BD392" s="115" t="str">
        <f t="shared" si="245"/>
        <v>Y</v>
      </c>
      <c r="BE392" s="115" t="str">
        <f t="shared" si="246"/>
        <v>N</v>
      </c>
      <c r="BF392" s="109" t="str">
        <f t="shared" si="247"/>
        <v/>
      </c>
      <c r="BG392" s="111" t="s">
        <v>2499</v>
      </c>
      <c r="BH392" s="115" t="s">
        <v>1168</v>
      </c>
      <c r="BI392" s="116"/>
      <c r="BJ392" s="222">
        <v>0.46388270286414118</v>
      </c>
      <c r="BK392" s="265">
        <f t="shared" si="248"/>
        <v>0</v>
      </c>
      <c r="BL392" s="265">
        <f t="shared" si="249"/>
        <v>0</v>
      </c>
      <c r="BM392" s="265">
        <f t="shared" si="250"/>
        <v>2.9103830456733704E-11</v>
      </c>
      <c r="BN392" s="265">
        <f t="shared" si="251"/>
        <v>3.9622033655177802E-3</v>
      </c>
      <c r="BO392" s="109"/>
      <c r="BP392" s="265">
        <f t="shared" si="252"/>
        <v>3.9622033655177802E-3</v>
      </c>
      <c r="BQ392" s="265">
        <v>3.9622033655177802E-3</v>
      </c>
      <c r="BR392" s="265" t="e">
        <f t="shared" si="253"/>
        <v>#REF!</v>
      </c>
      <c r="BS392" s="265">
        <v>4.4637880518798236E-4</v>
      </c>
      <c r="BT392" s="475">
        <v>218129.13060567522</v>
      </c>
      <c r="BU392" s="475">
        <v>188739.16439432473</v>
      </c>
      <c r="BV392" s="475">
        <v>0</v>
      </c>
      <c r="BW392" s="483">
        <f t="shared" si="254"/>
        <v>0</v>
      </c>
      <c r="BX392" s="483">
        <f t="shared" si="255"/>
        <v>0</v>
      </c>
    </row>
    <row r="393" spans="1:77" s="103" customFormat="1" ht="14.5">
      <c r="A393" s="100" t="s">
        <v>2259</v>
      </c>
      <c r="B393" s="91" t="str">
        <f t="shared" si="223"/>
        <v>STW</v>
      </c>
      <c r="C393" s="92" t="s">
        <v>466</v>
      </c>
      <c r="D393" s="448"/>
      <c r="E393" s="449" t="s">
        <v>2141</v>
      </c>
      <c r="F393" s="467" t="s">
        <v>4892</v>
      </c>
      <c r="G393" s="685" t="s">
        <v>4679</v>
      </c>
      <c r="H393" s="470">
        <v>0.33329999999999999</v>
      </c>
      <c r="I393" s="95" t="s">
        <v>962</v>
      </c>
      <c r="J393" s="95" t="s">
        <v>1166</v>
      </c>
      <c r="K393" s="469">
        <v>666500</v>
      </c>
      <c r="L393" s="471">
        <v>0.81157798655129776</v>
      </c>
      <c r="M393" s="584">
        <v>0.25345622119815669</v>
      </c>
      <c r="N393" s="267">
        <f t="shared" si="224"/>
        <v>0.74654377880184331</v>
      </c>
      <c r="O393" s="96">
        <f t="shared" si="225"/>
        <v>486212.45454545459</v>
      </c>
      <c r="P393" s="96">
        <f t="shared" si="222"/>
        <v>45695</v>
      </c>
      <c r="Q393" s="96">
        <f t="shared" si="226"/>
        <v>134592.54545454544</v>
      </c>
      <c r="R393" s="187" t="s">
        <v>2314</v>
      </c>
      <c r="S393" s="187" t="s">
        <v>3607</v>
      </c>
      <c r="T393" s="94" t="s">
        <v>5395</v>
      </c>
      <c r="U393" s="395">
        <f>COUNTIF(Aggregation_of_rev_to_allocate!$A$3:$A$137,$T393)</f>
        <v>0</v>
      </c>
      <c r="V393" s="100"/>
      <c r="W393" s="100">
        <v>440</v>
      </c>
      <c r="X393" s="109">
        <v>42465.716220808645</v>
      </c>
      <c r="Y393" s="109">
        <v>137820.55173480624</v>
      </c>
      <c r="Z393" s="110">
        <v>0.81148986103073317</v>
      </c>
      <c r="AA393" s="110">
        <v>0.23554603854389722</v>
      </c>
      <c r="AB393" s="110">
        <v>0.76445396145610278</v>
      </c>
      <c r="AC393" s="109">
        <f>IF(ISERROR((X393*SUMIF('Rev_for_allocation(Hard)'!$A$3:$A$249,$T393,'Rev_for_allocation(Hard)'!$I$3:$I$249)/SUMIF(Historic_capex_list!$T$9:$T$586,$T393,Historic_capex_list!$X$9:$X$586))=TRUE),0,X393*SUMIF('Rev_for_allocation(Hard)'!$A$3:$A$249,$T393,'Rev_for_allocation(Hard)'!$I$3:$I$249)/SUMIF(Historic_capex_list!$T$9:$T$586,$T393,Historic_capex_list!$X$9:$X$586))</f>
        <v>0</v>
      </c>
      <c r="AD393" s="109">
        <f t="shared" si="227"/>
        <v>42465.716220808645</v>
      </c>
      <c r="AE393" s="109">
        <f t="shared" si="228"/>
        <v>42465.716220808645</v>
      </c>
      <c r="AF393" s="109">
        <f t="shared" si="229"/>
        <v>180286.26795561489</v>
      </c>
      <c r="AG393" s="332" t="str">
        <f t="shared" si="230"/>
        <v>N</v>
      </c>
      <c r="AH393" s="332">
        <f t="shared" ref="AH393:AH456" si="256">SUMIFS($AF$9:$AF$506,$T$9:$T$506,$T393,$AG$9:$AG$506,"Y")</f>
        <v>0</v>
      </c>
      <c r="AI393" s="332">
        <f t="shared" ref="AI393:AI456" si="257">IF(AND(AH393&lt;0,AG393="N"),AH393*AF393/SUMIFS($AE$9:$AE$506,$T$9:$T$506,$T393,$AG$9:$AG$506,"N"),0)</f>
        <v>0</v>
      </c>
      <c r="AJ393" s="109">
        <f t="shared" ref="AJ393:AJ456" si="258">IF(AND(AI393&lt;0,AF393&gt;0),AI393+AF393,IF(AND(AI393=0,AF393&lt;0,COUNTIFS($T$9:$T$506,$T393,$AF$9:$AF$506,"&gt;0")&gt;0),0,+AF393))</f>
        <v>180286.26795561489</v>
      </c>
      <c r="AK393" s="109">
        <f t="shared" si="231"/>
        <v>0</v>
      </c>
      <c r="AL393" s="109">
        <v>0</v>
      </c>
      <c r="AM393" s="111">
        <f t="shared" si="232"/>
        <v>32.454545454545453</v>
      </c>
      <c r="AN393" s="111">
        <f t="shared" si="233"/>
        <v>29.454545454545453</v>
      </c>
      <c r="AO393" s="111" t="str">
        <f t="shared" si="234"/>
        <v>Use deduct 3yrs</v>
      </c>
      <c r="AP393" s="111">
        <f t="shared" si="235"/>
        <v>29.454545454545453</v>
      </c>
      <c r="AQ393" s="112">
        <f t="shared" si="236"/>
        <v>0.74654377880184331</v>
      </c>
      <c r="AR393" s="112">
        <f t="shared" si="237"/>
        <v>0.25345622119815669</v>
      </c>
      <c r="AS393" s="113">
        <f t="shared" si="238"/>
        <v>2057</v>
      </c>
      <c r="AT393" s="109">
        <v>180286.2594388125</v>
      </c>
      <c r="AU393" s="114">
        <v>0.25345622119815669</v>
      </c>
      <c r="AV393" s="113">
        <v>2057</v>
      </c>
      <c r="AW393" s="112">
        <f t="shared" si="239"/>
        <v>0.81157219745446041</v>
      </c>
      <c r="AX393" s="109">
        <f t="shared" si="240"/>
        <v>45694.674051311929</v>
      </c>
      <c r="AY393" s="109">
        <f t="shared" si="241"/>
        <v>134591.58538750059</v>
      </c>
      <c r="AZ393" s="109">
        <f t="shared" si="242"/>
        <v>180286.2594388125</v>
      </c>
      <c r="BA393" s="111">
        <f t="shared" si="243"/>
        <v>0</v>
      </c>
      <c r="BB393" s="117"/>
      <c r="BC393" s="115" t="str">
        <f t="shared" si="244"/>
        <v>N</v>
      </c>
      <c r="BD393" s="115" t="str">
        <f t="shared" si="245"/>
        <v>N</v>
      </c>
      <c r="BE393" s="115" t="str">
        <f t="shared" si="246"/>
        <v>N</v>
      </c>
      <c r="BF393" s="109" t="str">
        <f t="shared" si="247"/>
        <v/>
      </c>
      <c r="BG393" s="111" t="s">
        <v>2499</v>
      </c>
      <c r="BH393" s="115" t="s">
        <v>1168</v>
      </c>
      <c r="BI393" s="116"/>
      <c r="BJ393" s="222">
        <v>0.81148982269559611</v>
      </c>
      <c r="BK393" s="265">
        <f t="shared" si="248"/>
        <v>-0.9600670448562596</v>
      </c>
      <c r="BL393" s="265">
        <f t="shared" si="249"/>
        <v>0.9600670448562596</v>
      </c>
      <c r="BM393" s="265">
        <f t="shared" si="250"/>
        <v>0</v>
      </c>
      <c r="BN393" s="265">
        <f t="shared" si="251"/>
        <v>-3229.2837791913553</v>
      </c>
      <c r="BO393" s="109"/>
      <c r="BP393" s="265">
        <f t="shared" si="252"/>
        <v>8.5168023942969739E-3</v>
      </c>
      <c r="BQ393" s="265">
        <v>8.5168023942969739E-3</v>
      </c>
      <c r="BR393" s="265" t="e">
        <f t="shared" si="253"/>
        <v>#REF!</v>
      </c>
      <c r="BS393" s="265">
        <v>9.5949645338096429E-4</v>
      </c>
      <c r="BT393" s="475">
        <v>41880.7405611875</v>
      </c>
      <c r="BU393" s="475">
        <v>45694.674051311929</v>
      </c>
      <c r="BV393" s="475">
        <v>134591.58538750059</v>
      </c>
      <c r="BW393" s="483">
        <f t="shared" si="254"/>
        <v>0.32594868807063904</v>
      </c>
      <c r="BX393" s="483">
        <f t="shared" si="255"/>
        <v>0.9600670448562596</v>
      </c>
    </row>
    <row r="394" spans="1:77" s="103" customFormat="1" ht="29">
      <c r="A394" s="100" t="s">
        <v>2259</v>
      </c>
      <c r="B394" s="91" t="str">
        <f t="shared" si="223"/>
        <v>STW</v>
      </c>
      <c r="C394" s="92" t="s">
        <v>466</v>
      </c>
      <c r="D394" s="448"/>
      <c r="E394" s="449" t="s">
        <v>2099</v>
      </c>
      <c r="F394" s="467" t="s">
        <v>4893</v>
      </c>
      <c r="G394" s="467" t="s">
        <v>4997</v>
      </c>
      <c r="H394" s="470">
        <v>0.2162</v>
      </c>
      <c r="I394" s="95" t="s">
        <v>962</v>
      </c>
      <c r="J394" s="95" t="s">
        <v>1166</v>
      </c>
      <c r="K394" s="469">
        <v>592680</v>
      </c>
      <c r="L394" s="471">
        <v>0.75259518738690034</v>
      </c>
      <c r="M394" s="584">
        <v>0.25345622119815669</v>
      </c>
      <c r="N394" s="267">
        <f t="shared" si="224"/>
        <v>0.74654377880184331</v>
      </c>
      <c r="O394" s="96">
        <f t="shared" si="225"/>
        <v>496244.39739420684</v>
      </c>
      <c r="P394" s="96">
        <f t="shared" si="222"/>
        <v>24442.20342543146</v>
      </c>
      <c r="Q394" s="96">
        <f t="shared" si="226"/>
        <v>71993.399180361754</v>
      </c>
      <c r="R394" s="187" t="s">
        <v>2563</v>
      </c>
      <c r="S394" s="187" t="s">
        <v>3607</v>
      </c>
      <c r="T394" s="94" t="s">
        <v>5394</v>
      </c>
      <c r="U394" s="395">
        <f>COUNTIF(Aggregation_of_rev_to_allocate!$A$3:$A$137,$T394)</f>
        <v>0</v>
      </c>
      <c r="V394" s="100"/>
      <c r="W394" s="100">
        <v>365</v>
      </c>
      <c r="X394" s="109">
        <v>23545.904295833923</v>
      </c>
      <c r="Y394" s="109">
        <v>76417.162123751914</v>
      </c>
      <c r="Z394" s="110">
        <v>0.78027871252955106</v>
      </c>
      <c r="AA394" s="110">
        <v>0.23554603854389722</v>
      </c>
      <c r="AB394" s="110">
        <v>0.76445396145610278</v>
      </c>
      <c r="AC394" s="109">
        <f>IF(ISERROR((X394*SUMIF('Rev_for_allocation(Hard)'!$A$3:$A$249,$T394,'Rev_for_allocation(Hard)'!$I$3:$I$249)/SUMIF(Historic_capex_list!$T$9:$T$586,$T394,Historic_capex_list!$X$9:$X$586))=TRUE),0,X394*SUMIF('Rev_for_allocation(Hard)'!$A$3:$A$249,$T394,'Rev_for_allocation(Hard)'!$I$3:$I$249)/SUMIF(Historic_capex_list!$T$9:$T$586,$T394,Historic_capex_list!$X$9:$X$586))</f>
        <v>0</v>
      </c>
      <c r="AD394" s="109">
        <f t="shared" si="227"/>
        <v>23545.904295833923</v>
      </c>
      <c r="AE394" s="109">
        <f t="shared" si="228"/>
        <v>23545.904295833923</v>
      </c>
      <c r="AF394" s="109">
        <f t="shared" si="229"/>
        <v>99963.066419585841</v>
      </c>
      <c r="AG394" s="332" t="str">
        <f t="shared" si="230"/>
        <v>N</v>
      </c>
      <c r="AH394" s="332">
        <f t="shared" si="256"/>
        <v>0</v>
      </c>
      <c r="AI394" s="332">
        <f t="shared" si="257"/>
        <v>0</v>
      </c>
      <c r="AJ394" s="109">
        <f t="shared" si="258"/>
        <v>99963.066419585841</v>
      </c>
      <c r="AK394" s="109">
        <f t="shared" si="231"/>
        <v>0</v>
      </c>
      <c r="AL394" s="109">
        <v>0</v>
      </c>
      <c r="AM394" s="111">
        <f t="shared" si="232"/>
        <v>32.454545454545453</v>
      </c>
      <c r="AN394" s="111">
        <f t="shared" si="233"/>
        <v>29.454545454545453</v>
      </c>
      <c r="AO394" s="111" t="str">
        <f t="shared" si="234"/>
        <v>Use deduct 3yrs</v>
      </c>
      <c r="AP394" s="111">
        <f t="shared" si="235"/>
        <v>29.454545454545453</v>
      </c>
      <c r="AQ394" s="112">
        <f t="shared" si="236"/>
        <v>0.74654377880184331</v>
      </c>
      <c r="AR394" s="112">
        <f t="shared" si="237"/>
        <v>0.25345622119815669</v>
      </c>
      <c r="AS394" s="113">
        <f t="shared" si="238"/>
        <v>2057</v>
      </c>
      <c r="AT394" s="109">
        <v>96416.474646510571</v>
      </c>
      <c r="AU394" s="114">
        <v>0.25345622119815669</v>
      </c>
      <c r="AV394" s="113">
        <v>2057</v>
      </c>
      <c r="AW394" s="112">
        <f t="shared" si="239"/>
        <v>0.75244591046311227</v>
      </c>
      <c r="AX394" s="109">
        <f t="shared" si="240"/>
        <v>24437.35532515245</v>
      </c>
      <c r="AY394" s="109">
        <f t="shared" si="241"/>
        <v>71979.119321358114</v>
      </c>
      <c r="AZ394" s="109">
        <f t="shared" si="242"/>
        <v>96416.474646510556</v>
      </c>
      <c r="BA394" s="111">
        <f t="shared" si="243"/>
        <v>0</v>
      </c>
      <c r="BB394" s="117"/>
      <c r="BC394" s="115" t="str">
        <f t="shared" si="244"/>
        <v>N</v>
      </c>
      <c r="BD394" s="115" t="str">
        <f t="shared" si="245"/>
        <v>N</v>
      </c>
      <c r="BE394" s="115" t="str">
        <f t="shared" si="246"/>
        <v>N</v>
      </c>
      <c r="BF394" s="109" t="str">
        <f t="shared" si="247"/>
        <v/>
      </c>
      <c r="BG394" s="111" t="s">
        <v>2499</v>
      </c>
      <c r="BH394" s="115" t="s">
        <v>1168</v>
      </c>
      <c r="BI394" s="116"/>
      <c r="BJ394" s="222">
        <v>0.75259518738690034</v>
      </c>
      <c r="BK394" s="265">
        <f t="shared" si="248"/>
        <v>-14.279859003640013</v>
      </c>
      <c r="BL394" s="265">
        <f t="shared" si="249"/>
        <v>14.279859003640013</v>
      </c>
      <c r="BM394" s="265">
        <f t="shared" si="250"/>
        <v>0</v>
      </c>
      <c r="BN394" s="265">
        <f t="shared" si="251"/>
        <v>-896.2991295975371</v>
      </c>
      <c r="BO394" s="109"/>
      <c r="BP394" s="265">
        <f t="shared" si="252"/>
        <v>3546.5917730752699</v>
      </c>
      <c r="BQ394" s="265">
        <v>3546.5917730752699</v>
      </c>
      <c r="BR394" s="265" t="e">
        <f t="shared" si="253"/>
        <v>#REF!</v>
      </c>
      <c r="BS394" s="265">
        <v>399.55632058981519</v>
      </c>
      <c r="BT394" s="475">
        <v>31695.525353489422</v>
      </c>
      <c r="BU394" s="475">
        <v>24437.35532515245</v>
      </c>
      <c r="BV394" s="475">
        <v>71979.119321358114</v>
      </c>
      <c r="BW394" s="483">
        <f t="shared" si="254"/>
        <v>4.8481002790103958</v>
      </c>
      <c r="BX394" s="483">
        <f t="shared" si="255"/>
        <v>14.279859003640013</v>
      </c>
    </row>
    <row r="395" spans="1:77" s="103" customFormat="1" ht="14.5">
      <c r="A395" s="100" t="s">
        <v>2259</v>
      </c>
      <c r="B395" s="91" t="str">
        <f t="shared" si="223"/>
        <v>STW</v>
      </c>
      <c r="C395" s="92" t="s">
        <v>466</v>
      </c>
      <c r="D395" s="448"/>
      <c r="E395" s="449" t="s">
        <v>2093</v>
      </c>
      <c r="F395" s="467" t="s">
        <v>4894</v>
      </c>
      <c r="G395" s="467" t="s">
        <v>4969</v>
      </c>
      <c r="H395" s="470">
        <v>0.31</v>
      </c>
      <c r="I395" s="95" t="s">
        <v>962</v>
      </c>
      <c r="J395" s="95" t="s">
        <v>1166</v>
      </c>
      <c r="K395" s="469">
        <v>478064</v>
      </c>
      <c r="L395" s="471">
        <v>0.8386362875719946</v>
      </c>
      <c r="M395" s="584">
        <v>0.25345622119815669</v>
      </c>
      <c r="N395" s="267">
        <f t="shared" si="224"/>
        <v>0.74654377880184331</v>
      </c>
      <c r="O395" s="96">
        <f t="shared" si="225"/>
        <v>353778.23636363639</v>
      </c>
      <c r="P395" s="96">
        <f t="shared" si="222"/>
        <v>31500.999999999985</v>
      </c>
      <c r="Q395" s="96">
        <f t="shared" si="226"/>
        <v>92784.763636363597</v>
      </c>
      <c r="R395" s="187" t="s">
        <v>2314</v>
      </c>
      <c r="S395" s="187" t="s">
        <v>3607</v>
      </c>
      <c r="T395" s="94" t="s">
        <v>5395</v>
      </c>
      <c r="U395" s="395">
        <f>COUNTIF(Aggregation_of_rev_to_allocate!$A$3:$A$137,$T395)</f>
        <v>0</v>
      </c>
      <c r="V395" s="100"/>
      <c r="W395" s="100">
        <v>441</v>
      </c>
      <c r="X395" s="109">
        <v>29275.304751213418</v>
      </c>
      <c r="Y395" s="109">
        <v>95011.670874392628</v>
      </c>
      <c r="Z395" s="110">
        <v>0.81148986103073306</v>
      </c>
      <c r="AA395" s="110">
        <v>0.23554603854389722</v>
      </c>
      <c r="AB395" s="110">
        <v>0.76445396145610278</v>
      </c>
      <c r="AC395" s="109">
        <f>IF(ISERROR((X395*SUMIF('Rev_for_allocation(Hard)'!$A$3:$A$249,$T395,'Rev_for_allocation(Hard)'!$I$3:$I$249)/SUMIF(Historic_capex_list!$T$9:$T$586,$T395,Historic_capex_list!$X$9:$X$586))=TRUE),0,X395*SUMIF('Rev_for_allocation(Hard)'!$A$3:$A$249,$T395,'Rev_for_allocation(Hard)'!$I$3:$I$249)/SUMIF(Historic_capex_list!$T$9:$T$586,$T395,Historic_capex_list!$X$9:$X$586))</f>
        <v>0</v>
      </c>
      <c r="AD395" s="109">
        <f t="shared" si="227"/>
        <v>29275.304751213418</v>
      </c>
      <c r="AE395" s="109">
        <f t="shared" si="228"/>
        <v>29275.304751213418</v>
      </c>
      <c r="AF395" s="109">
        <f t="shared" si="229"/>
        <v>124286.97562560605</v>
      </c>
      <c r="AG395" s="332" t="str">
        <f t="shared" si="230"/>
        <v>N</v>
      </c>
      <c r="AH395" s="332">
        <f t="shared" si="256"/>
        <v>0</v>
      </c>
      <c r="AI395" s="332">
        <f t="shared" si="257"/>
        <v>0</v>
      </c>
      <c r="AJ395" s="109">
        <f t="shared" si="258"/>
        <v>124286.97562560605</v>
      </c>
      <c r="AK395" s="109">
        <f t="shared" si="231"/>
        <v>0</v>
      </c>
      <c r="AL395" s="109">
        <v>0</v>
      </c>
      <c r="AM395" s="111">
        <f t="shared" si="232"/>
        <v>32.454545454545453</v>
      </c>
      <c r="AN395" s="111">
        <f t="shared" si="233"/>
        <v>29.454545454545453</v>
      </c>
      <c r="AO395" s="111" t="str">
        <f t="shared" si="234"/>
        <v>Use deduct 3yrs</v>
      </c>
      <c r="AP395" s="111">
        <f t="shared" si="235"/>
        <v>29.454545454545453</v>
      </c>
      <c r="AQ395" s="112">
        <f t="shared" si="236"/>
        <v>0.74654377880184331</v>
      </c>
      <c r="AR395" s="112">
        <f t="shared" si="237"/>
        <v>0.25345622119815669</v>
      </c>
      <c r="AS395" s="113">
        <f t="shared" si="238"/>
        <v>2057</v>
      </c>
      <c r="AT395" s="109">
        <v>124286.9697542348</v>
      </c>
      <c r="AU395" s="114">
        <v>0.25345622119815669</v>
      </c>
      <c r="AV395" s="113">
        <v>2057</v>
      </c>
      <c r="AW395" s="112">
        <f t="shared" si="239"/>
        <v>0.8386444260279553</v>
      </c>
      <c r="AX395" s="109">
        <f t="shared" si="240"/>
        <v>31501.305698077947</v>
      </c>
      <c r="AY395" s="109">
        <f t="shared" si="241"/>
        <v>92785.664056156864</v>
      </c>
      <c r="AZ395" s="109">
        <f t="shared" si="242"/>
        <v>124286.96975423481</v>
      </c>
      <c r="BA395" s="111">
        <f t="shared" si="243"/>
        <v>0</v>
      </c>
      <c r="BB395" s="117"/>
      <c r="BC395" s="115" t="str">
        <f t="shared" si="244"/>
        <v>N</v>
      </c>
      <c r="BD395" s="115" t="str">
        <f t="shared" si="245"/>
        <v>N</v>
      </c>
      <c r="BE395" s="115" t="str">
        <f t="shared" si="246"/>
        <v>N</v>
      </c>
      <c r="BF395" s="109" t="str">
        <f t="shared" si="247"/>
        <v/>
      </c>
      <c r="BG395" s="111" t="s">
        <v>2499</v>
      </c>
      <c r="BH395" s="115" t="s">
        <v>1168</v>
      </c>
      <c r="BI395" s="116"/>
      <c r="BJ395" s="222">
        <v>0.81148982269559611</v>
      </c>
      <c r="BK395" s="265">
        <f t="shared" si="248"/>
        <v>0.90041979326633736</v>
      </c>
      <c r="BL395" s="265">
        <f t="shared" si="249"/>
        <v>-0.90041979326633736</v>
      </c>
      <c r="BM395" s="265">
        <f t="shared" si="250"/>
        <v>0</v>
      </c>
      <c r="BN395" s="265">
        <f t="shared" si="251"/>
        <v>-2225.6952487865674</v>
      </c>
      <c r="BO395" s="109"/>
      <c r="BP395" s="265">
        <f t="shared" si="252"/>
        <v>5.8713712496683002E-3</v>
      </c>
      <c r="BQ395" s="265">
        <v>5.8713712496683002E-3</v>
      </c>
      <c r="BR395" s="265" t="e">
        <f t="shared" si="253"/>
        <v>#REF!</v>
      </c>
      <c r="BS395" s="265">
        <v>6.6146420096725993E-4</v>
      </c>
      <c r="BT395" s="475">
        <v>28872.030245765196</v>
      </c>
      <c r="BU395" s="475">
        <v>31501.305698077947</v>
      </c>
      <c r="BV395" s="475">
        <v>92785.664056156849</v>
      </c>
      <c r="BW395" s="483">
        <f t="shared" si="254"/>
        <v>-0.30569807796200621</v>
      </c>
      <c r="BX395" s="483">
        <f t="shared" si="255"/>
        <v>-0.90041979325178545</v>
      </c>
    </row>
    <row r="396" spans="1:77" s="103" customFormat="1" ht="43.5">
      <c r="A396" s="100" t="s">
        <v>2259</v>
      </c>
      <c r="B396" s="91" t="str">
        <f t="shared" si="223"/>
        <v>STW</v>
      </c>
      <c r="C396" s="92" t="s">
        <v>466</v>
      </c>
      <c r="D396" s="448"/>
      <c r="E396" s="449" t="s">
        <v>2084</v>
      </c>
      <c r="F396" s="467" t="s">
        <v>4901</v>
      </c>
      <c r="G396" s="467" t="s">
        <v>4998</v>
      </c>
      <c r="H396" s="470">
        <v>0.50649999999999995</v>
      </c>
      <c r="I396" s="95" t="s">
        <v>962</v>
      </c>
      <c r="J396" s="95" t="s">
        <v>1166</v>
      </c>
      <c r="K396" s="469">
        <v>362491</v>
      </c>
      <c r="L396" s="471">
        <v>0.75259518738690034</v>
      </c>
      <c r="M396" s="584">
        <v>0.25345622119815669</v>
      </c>
      <c r="N396" s="267">
        <f t="shared" si="224"/>
        <v>0.74654377880184331</v>
      </c>
      <c r="O396" s="96">
        <f t="shared" si="225"/>
        <v>224313.25058100565</v>
      </c>
      <c r="P396" s="96">
        <f t="shared" si="222"/>
        <v>35022.010221404104</v>
      </c>
      <c r="Q396" s="96">
        <f t="shared" si="226"/>
        <v>103155.73919759026</v>
      </c>
      <c r="R396" s="187" t="s">
        <v>2563</v>
      </c>
      <c r="S396" s="187" t="s">
        <v>3607</v>
      </c>
      <c r="T396" s="94" t="s">
        <v>5394</v>
      </c>
      <c r="U396" s="395">
        <f>COUNTIF(Aggregation_of_rev_to_allocate!$A$3:$A$137,$T396)</f>
        <v>0</v>
      </c>
      <c r="V396" s="100"/>
      <c r="W396" s="100">
        <v>366</v>
      </c>
      <c r="X396" s="109">
        <v>33743.94656871185</v>
      </c>
      <c r="Y396" s="109">
        <v>109514.44477300117</v>
      </c>
      <c r="Z396" s="110">
        <v>0.78027871252955094</v>
      </c>
      <c r="AA396" s="110">
        <v>0.23554603854389722</v>
      </c>
      <c r="AB396" s="110">
        <v>0.76445396145610278</v>
      </c>
      <c r="AC396" s="109">
        <f>IF(ISERROR((X396*SUMIF('Rev_for_allocation(Hard)'!$A$3:$A$249,$T396,'Rev_for_allocation(Hard)'!$I$3:$I$249)/SUMIF(Historic_capex_list!$T$9:$T$586,$T396,Historic_capex_list!$X$9:$X$586))=TRUE),0,X396*SUMIF('Rev_for_allocation(Hard)'!$A$3:$A$249,$T396,'Rev_for_allocation(Hard)'!$I$3:$I$249)/SUMIF(Historic_capex_list!$T$9:$T$586,$T396,Historic_capex_list!$X$9:$X$586))</f>
        <v>0</v>
      </c>
      <c r="AD396" s="109">
        <f t="shared" si="227"/>
        <v>33743.94656871185</v>
      </c>
      <c r="AE396" s="109">
        <f t="shared" si="228"/>
        <v>33743.94656871185</v>
      </c>
      <c r="AF396" s="109">
        <f t="shared" si="229"/>
        <v>143258.39134171302</v>
      </c>
      <c r="AG396" s="332" t="str">
        <f t="shared" si="230"/>
        <v>N</v>
      </c>
      <c r="AH396" s="332">
        <f t="shared" si="256"/>
        <v>0</v>
      </c>
      <c r="AI396" s="332">
        <f t="shared" si="257"/>
        <v>0</v>
      </c>
      <c r="AJ396" s="109">
        <f t="shared" si="258"/>
        <v>143258.39134171302</v>
      </c>
      <c r="AK396" s="109">
        <f t="shared" si="231"/>
        <v>0</v>
      </c>
      <c r="AL396" s="109">
        <v>0</v>
      </c>
      <c r="AM396" s="111">
        <f t="shared" si="232"/>
        <v>32.454545454545453</v>
      </c>
      <c r="AN396" s="111">
        <f t="shared" si="233"/>
        <v>29.454545454545453</v>
      </c>
      <c r="AO396" s="111" t="str">
        <f t="shared" si="234"/>
        <v>Use deduct 3yrs</v>
      </c>
      <c r="AP396" s="111">
        <f t="shared" si="235"/>
        <v>29.454545454545453</v>
      </c>
      <c r="AQ396" s="112">
        <f t="shared" si="236"/>
        <v>0.74654377880184331</v>
      </c>
      <c r="AR396" s="112">
        <f t="shared" si="237"/>
        <v>0.25345622119815669</v>
      </c>
      <c r="AS396" s="113">
        <f t="shared" si="238"/>
        <v>2057</v>
      </c>
      <c r="AT396" s="109">
        <v>138175.72380904751</v>
      </c>
      <c r="AU396" s="114">
        <v>0.25345622119815669</v>
      </c>
      <c r="AV396" s="113">
        <v>2057</v>
      </c>
      <c r="AW396" s="112">
        <f t="shared" si="239"/>
        <v>0.75258415475462836</v>
      </c>
      <c r="AX396" s="109">
        <f t="shared" si="240"/>
        <v>35021.49681796135</v>
      </c>
      <c r="AY396" s="109">
        <f t="shared" si="241"/>
        <v>103154.22699108617</v>
      </c>
      <c r="AZ396" s="109">
        <f t="shared" si="242"/>
        <v>138175.72380904751</v>
      </c>
      <c r="BA396" s="111">
        <f t="shared" si="243"/>
        <v>0</v>
      </c>
      <c r="BB396" s="117"/>
      <c r="BC396" s="115" t="str">
        <f t="shared" si="244"/>
        <v>N</v>
      </c>
      <c r="BD396" s="115" t="str">
        <f t="shared" si="245"/>
        <v>N</v>
      </c>
      <c r="BE396" s="115" t="str">
        <f t="shared" si="246"/>
        <v>N</v>
      </c>
      <c r="BF396" s="109" t="str">
        <f t="shared" si="247"/>
        <v/>
      </c>
      <c r="BG396" s="111" t="s">
        <v>2499</v>
      </c>
      <c r="BH396" s="115" t="s">
        <v>1168</v>
      </c>
      <c r="BI396" s="116"/>
      <c r="BJ396" s="222">
        <v>0.75259518738690034</v>
      </c>
      <c r="BK396" s="265">
        <f t="shared" si="248"/>
        <v>-1.5122065040923189</v>
      </c>
      <c r="BL396" s="265">
        <f t="shared" si="249"/>
        <v>1.5122065040923189</v>
      </c>
      <c r="BM396" s="265">
        <f t="shared" si="250"/>
        <v>0</v>
      </c>
      <c r="BN396" s="265">
        <f t="shared" si="251"/>
        <v>-1278.0636526922535</v>
      </c>
      <c r="BO396" s="109"/>
      <c r="BP396" s="265">
        <f t="shared" si="252"/>
        <v>5082.6675326655095</v>
      </c>
      <c r="BQ396" s="265">
        <v>5082.6675326655095</v>
      </c>
      <c r="BR396" s="265" t="e">
        <f t="shared" si="253"/>
        <v>#REF!</v>
      </c>
      <c r="BS396" s="265">
        <v>572.60944255002789</v>
      </c>
      <c r="BT396" s="475">
        <v>45423.276190952485</v>
      </c>
      <c r="BU396" s="475">
        <v>35021.496817961357</v>
      </c>
      <c r="BV396" s="475">
        <v>103154.22699108617</v>
      </c>
      <c r="BW396" s="483">
        <f t="shared" si="254"/>
        <v>0.51340344274649397</v>
      </c>
      <c r="BX396" s="483">
        <f t="shared" si="255"/>
        <v>1.5122065040923189</v>
      </c>
    </row>
    <row r="397" spans="1:77" s="103" customFormat="1" ht="43.5">
      <c r="A397" s="100"/>
      <c r="B397" s="91" t="str">
        <f t="shared" si="223"/>
        <v>STW</v>
      </c>
      <c r="C397" s="92" t="s">
        <v>466</v>
      </c>
      <c r="D397" s="448"/>
      <c r="E397" s="449" t="s">
        <v>2065</v>
      </c>
      <c r="F397" s="467" t="s">
        <v>4912</v>
      </c>
      <c r="G397" s="467" t="s">
        <v>4999</v>
      </c>
      <c r="H397" s="470">
        <v>0.27687296504347203</v>
      </c>
      <c r="I397" s="95" t="s">
        <v>962</v>
      </c>
      <c r="J397" s="95" t="s">
        <v>1166</v>
      </c>
      <c r="K397" s="469">
        <v>447184</v>
      </c>
      <c r="L397" s="489">
        <v>0.77999996245570424</v>
      </c>
      <c r="M397" s="584">
        <v>0.25862068965517238</v>
      </c>
      <c r="N397" s="267">
        <f t="shared" si="224"/>
        <v>0.74137931034482762</v>
      </c>
      <c r="O397" s="96">
        <f t="shared" si="225"/>
        <v>350609.73984847794</v>
      </c>
      <c r="P397" s="96">
        <f t="shared" si="222"/>
        <v>24976.101763324674</v>
      </c>
      <c r="Q397" s="96">
        <f t="shared" si="226"/>
        <v>71598.158388197407</v>
      </c>
      <c r="R397" s="187" t="s">
        <v>2314</v>
      </c>
      <c r="S397" s="187" t="s">
        <v>3607</v>
      </c>
      <c r="T397" s="94" t="s">
        <v>5395</v>
      </c>
      <c r="U397" s="395">
        <f>COUNTIF(Aggregation_of_rev_to_allocate!$A$3:$A$137,$T397)</f>
        <v>0</v>
      </c>
      <c r="V397" s="100"/>
      <c r="W397" s="100">
        <v>442</v>
      </c>
      <c r="X397" s="109">
        <v>34355.505599999997</v>
      </c>
      <c r="Y397" s="109">
        <v>108792.4344</v>
      </c>
      <c r="Z397" s="110">
        <v>0.78</v>
      </c>
      <c r="AA397" s="110">
        <v>0.24</v>
      </c>
      <c r="AB397" s="110">
        <v>0.76</v>
      </c>
      <c r="AC397" s="109">
        <f>IF(ISERROR((X397*SUMIF('Rev_for_allocation(Hard)'!$A$3:$A$249,$T397,'Rev_for_allocation(Hard)'!$I$3:$I$249)/SUMIF(Historic_capex_list!$T$9:$T$586,$T397,Historic_capex_list!$X$9:$X$586))=TRUE),0,X397*SUMIF('Rev_for_allocation(Hard)'!$A$3:$A$249,$T397,'Rev_for_allocation(Hard)'!$I$3:$I$249)/SUMIF(Historic_capex_list!$T$9:$T$586,$T397,Historic_capex_list!$X$9:$X$586))</f>
        <v>0</v>
      </c>
      <c r="AD397" s="109">
        <f t="shared" si="227"/>
        <v>34355.505599999997</v>
      </c>
      <c r="AE397" s="109">
        <f t="shared" si="228"/>
        <v>34355.505599999997</v>
      </c>
      <c r="AF397" s="109">
        <f t="shared" si="229"/>
        <v>143147.94</v>
      </c>
      <c r="AG397" s="332" t="str">
        <f t="shared" si="230"/>
        <v>N</v>
      </c>
      <c r="AH397" s="332">
        <f t="shared" si="256"/>
        <v>0</v>
      </c>
      <c r="AI397" s="332">
        <f t="shared" si="257"/>
        <v>0</v>
      </c>
      <c r="AJ397" s="109">
        <f t="shared" si="258"/>
        <v>143147.94</v>
      </c>
      <c r="AK397" s="109">
        <f t="shared" si="231"/>
        <v>0</v>
      </c>
      <c r="AL397" s="109">
        <v>0</v>
      </c>
      <c r="AM397" s="111">
        <f t="shared" si="232"/>
        <v>31.666666666666671</v>
      </c>
      <c r="AN397" s="111">
        <f t="shared" si="233"/>
        <v>28.666666666666671</v>
      </c>
      <c r="AO397" s="111" t="str">
        <f t="shared" si="234"/>
        <v>Use deduct 3yrs</v>
      </c>
      <c r="AP397" s="111">
        <f t="shared" si="235"/>
        <v>28.666666666666671</v>
      </c>
      <c r="AQ397" s="112">
        <f t="shared" si="236"/>
        <v>0.74137931034482762</v>
      </c>
      <c r="AR397" s="112">
        <f t="shared" si="237"/>
        <v>0.25862068965517238</v>
      </c>
      <c r="AS397" s="113">
        <f t="shared" si="238"/>
        <v>2057</v>
      </c>
      <c r="AT397" s="109">
        <v>143147.93310975822</v>
      </c>
      <c r="AU397" s="114">
        <v>0.25862068965517238</v>
      </c>
      <c r="AV397" s="113">
        <v>2057</v>
      </c>
      <c r="AW397" s="112">
        <f t="shared" si="239"/>
        <v>1.1561608887920978</v>
      </c>
      <c r="AX397" s="109">
        <f t="shared" si="240"/>
        <v>37021.01718355815</v>
      </c>
      <c r="AY397" s="109">
        <f t="shared" si="241"/>
        <v>106126.91592620005</v>
      </c>
      <c r="AZ397" s="109">
        <f t="shared" si="242"/>
        <v>143147.93310975819</v>
      </c>
      <c r="BA397" s="111">
        <f t="shared" si="243"/>
        <v>0</v>
      </c>
      <c r="BB397" s="117"/>
      <c r="BC397" s="115" t="str">
        <f t="shared" si="244"/>
        <v>N</v>
      </c>
      <c r="BD397" s="115" t="str">
        <f t="shared" si="245"/>
        <v>N</v>
      </c>
      <c r="BE397" s="115" t="str">
        <f t="shared" si="246"/>
        <v>N</v>
      </c>
      <c r="BF397" s="109" t="str">
        <f t="shared" si="247"/>
        <v/>
      </c>
      <c r="BG397" s="111" t="s">
        <v>2499</v>
      </c>
      <c r="BH397" s="115" t="s">
        <v>1168</v>
      </c>
      <c r="BI397" s="116"/>
      <c r="BJ397" s="222">
        <v>0.77999996245570424</v>
      </c>
      <c r="BK397" s="265">
        <f t="shared" si="248"/>
        <v>34528.757538002639</v>
      </c>
      <c r="BL397" s="265">
        <f t="shared" si="249"/>
        <v>-34528.757538002639</v>
      </c>
      <c r="BM397" s="265">
        <f t="shared" si="250"/>
        <v>0</v>
      </c>
      <c r="BN397" s="265">
        <f t="shared" si="251"/>
        <v>9379.403836675323</v>
      </c>
      <c r="BO397" s="109"/>
      <c r="BP397" s="265">
        <f t="shared" si="252"/>
        <v>6.8902417842764407E-3</v>
      </c>
      <c r="BQ397" s="265">
        <v>6.8902417842764407E-3</v>
      </c>
      <c r="BR397" s="265" t="e">
        <f t="shared" si="253"/>
        <v>#REF!</v>
      </c>
      <c r="BS397" s="207">
        <v>7.7624937727538955E-4</v>
      </c>
      <c r="BT397" s="475">
        <v>40375.066890241789</v>
      </c>
      <c r="BU397" s="475">
        <v>37021.017183558157</v>
      </c>
      <c r="BV397" s="475">
        <v>106126.91592620006</v>
      </c>
      <c r="BW397" s="483">
        <f t="shared" si="254"/>
        <v>-12044.915420233483</v>
      </c>
      <c r="BX397" s="483">
        <f t="shared" si="255"/>
        <v>-34528.757538002654</v>
      </c>
    </row>
    <row r="398" spans="1:77" s="103" customFormat="1" ht="14.5">
      <c r="A398" s="100" t="s">
        <v>2259</v>
      </c>
      <c r="B398" s="91" t="str">
        <f t="shared" si="223"/>
        <v>STW</v>
      </c>
      <c r="C398" s="92" t="s">
        <v>466</v>
      </c>
      <c r="D398" s="448"/>
      <c r="E398" s="449" t="s">
        <v>2144</v>
      </c>
      <c r="F398" s="468" t="s">
        <v>4914</v>
      </c>
      <c r="G398" s="620" t="s">
        <v>4668</v>
      </c>
      <c r="H398" s="470">
        <v>0.55389999999999995</v>
      </c>
      <c r="I398" s="95" t="s">
        <v>962</v>
      </c>
      <c r="J398" s="95" t="s">
        <v>1166</v>
      </c>
      <c r="K398" s="469">
        <v>370213</v>
      </c>
      <c r="L398" s="471">
        <v>0.78027867566884235</v>
      </c>
      <c r="M398" s="584">
        <v>0.25345622119815669</v>
      </c>
      <c r="N398" s="267">
        <f t="shared" si="224"/>
        <v>0.74654377880184331</v>
      </c>
      <c r="O398" s="96">
        <f t="shared" si="225"/>
        <v>210208.28954804997</v>
      </c>
      <c r="P398" s="96">
        <f t="shared" ref="P398:P459" si="259">(+K398*L398*M398*H398)</f>
        <v>40554.189285056462</v>
      </c>
      <c r="Q398" s="96">
        <f t="shared" si="226"/>
        <v>119450.52116689357</v>
      </c>
      <c r="R398" s="187" t="s">
        <v>2314</v>
      </c>
      <c r="S398" s="187" t="s">
        <v>3607</v>
      </c>
      <c r="T398" s="94" t="s">
        <v>5395</v>
      </c>
      <c r="U398" s="395">
        <f>COUNTIF(Aggregation_of_rev_to_allocate!$A$3:$A$137,$T398)</f>
        <v>0</v>
      </c>
      <c r="V398" s="100"/>
      <c r="W398" s="100">
        <v>443</v>
      </c>
      <c r="X398" s="109">
        <v>37687.745856678659</v>
      </c>
      <c r="Y398" s="109">
        <v>122313.86609849347</v>
      </c>
      <c r="Z398" s="110">
        <v>0.78027871252955094</v>
      </c>
      <c r="AA398" s="110">
        <v>0.23554603854389722</v>
      </c>
      <c r="AB398" s="110">
        <v>0.76445396145610278</v>
      </c>
      <c r="AC398" s="109">
        <f>IF(ISERROR((X398*SUMIF('Rev_for_allocation(Hard)'!$A$3:$A$249,$T398,'Rev_for_allocation(Hard)'!$I$3:$I$249)/SUMIF(Historic_capex_list!$T$9:$T$586,$T398,Historic_capex_list!$X$9:$X$586))=TRUE),0,X398*SUMIF('Rev_for_allocation(Hard)'!$A$3:$A$249,$T398,'Rev_for_allocation(Hard)'!$I$3:$I$249)/SUMIF(Historic_capex_list!$T$9:$T$586,$T398,Historic_capex_list!$X$9:$X$586))</f>
        <v>0</v>
      </c>
      <c r="AD398" s="109">
        <f t="shared" si="227"/>
        <v>37687.745856678659</v>
      </c>
      <c r="AE398" s="109">
        <f t="shared" si="228"/>
        <v>37687.745856678659</v>
      </c>
      <c r="AF398" s="109">
        <f t="shared" si="229"/>
        <v>160001.61195517212</v>
      </c>
      <c r="AG398" s="332" t="str">
        <f t="shared" si="230"/>
        <v>N</v>
      </c>
      <c r="AH398" s="332">
        <f t="shared" si="256"/>
        <v>0</v>
      </c>
      <c r="AI398" s="332">
        <f t="shared" si="257"/>
        <v>0</v>
      </c>
      <c r="AJ398" s="109">
        <f t="shared" si="258"/>
        <v>160001.61195517212</v>
      </c>
      <c r="AK398" s="109">
        <f t="shared" si="231"/>
        <v>0</v>
      </c>
      <c r="AL398" s="109">
        <v>0</v>
      </c>
      <c r="AM398" s="111">
        <f t="shared" si="232"/>
        <v>32.454545454545453</v>
      </c>
      <c r="AN398" s="111">
        <f t="shared" si="233"/>
        <v>29.454545454545453</v>
      </c>
      <c r="AO398" s="111" t="str">
        <f t="shared" si="234"/>
        <v>Use deduct 3yrs</v>
      </c>
      <c r="AP398" s="111">
        <f t="shared" si="235"/>
        <v>29.454545454545453</v>
      </c>
      <c r="AQ398" s="112">
        <f t="shared" si="236"/>
        <v>0.74654377880184331</v>
      </c>
      <c r="AR398" s="112">
        <f t="shared" si="237"/>
        <v>0.25345622119815669</v>
      </c>
      <c r="AS398" s="113">
        <f t="shared" si="238"/>
        <v>2057</v>
      </c>
      <c r="AT398" s="109">
        <v>160001.6043966258</v>
      </c>
      <c r="AU398" s="114">
        <v>0.25345622119815669</v>
      </c>
      <c r="AV398" s="113">
        <v>2057</v>
      </c>
      <c r="AW398" s="112">
        <f t="shared" si="239"/>
        <v>0.78026352868518112</v>
      </c>
      <c r="AX398" s="109">
        <f t="shared" si="240"/>
        <v>40553.402036011154</v>
      </c>
      <c r="AY398" s="109">
        <f t="shared" si="241"/>
        <v>119448.20236061465</v>
      </c>
      <c r="AZ398" s="109">
        <f t="shared" si="242"/>
        <v>160001.6043966258</v>
      </c>
      <c r="BA398" s="111">
        <f t="shared" si="243"/>
        <v>0</v>
      </c>
      <c r="BB398" s="117"/>
      <c r="BC398" s="115" t="str">
        <f t="shared" si="244"/>
        <v>N</v>
      </c>
      <c r="BD398" s="115" t="str">
        <f t="shared" si="245"/>
        <v>N</v>
      </c>
      <c r="BE398" s="115" t="str">
        <f t="shared" si="246"/>
        <v>N</v>
      </c>
      <c r="BF398" s="109" t="str">
        <f t="shared" si="247"/>
        <v/>
      </c>
      <c r="BG398" s="111" t="s">
        <v>2499</v>
      </c>
      <c r="BH398" s="115" t="s">
        <v>1168</v>
      </c>
      <c r="BI398" s="116"/>
      <c r="BJ398" s="222">
        <v>0.78027867566884235</v>
      </c>
      <c r="BK398" s="265">
        <f t="shared" si="248"/>
        <v>-2.3188062789122341</v>
      </c>
      <c r="BL398" s="265">
        <f t="shared" si="249"/>
        <v>2.3188062789122341</v>
      </c>
      <c r="BM398" s="265">
        <f t="shared" si="250"/>
        <v>0</v>
      </c>
      <c r="BN398" s="265">
        <f t="shared" si="251"/>
        <v>-2866.4434283778028</v>
      </c>
      <c r="BO398" s="109"/>
      <c r="BP398" s="265">
        <f t="shared" si="252"/>
        <v>7.5585463200695813E-3</v>
      </c>
      <c r="BQ398" s="265">
        <v>7.5585463200695813E-3</v>
      </c>
      <c r="BR398" s="265" t="e">
        <f t="shared" si="253"/>
        <v>#REF!</v>
      </c>
      <c r="BS398" s="207">
        <v>8.5154005588750743E-4</v>
      </c>
      <c r="BT398" s="475">
        <v>45055.395603374192</v>
      </c>
      <c r="BU398" s="475">
        <v>40553.402036011146</v>
      </c>
      <c r="BV398" s="475">
        <v>119448.20236061465</v>
      </c>
      <c r="BW398" s="483">
        <f t="shared" si="254"/>
        <v>0.78724904531554785</v>
      </c>
      <c r="BX398" s="483">
        <f t="shared" si="255"/>
        <v>2.3188062789122341</v>
      </c>
      <c r="BY398" s="103" t="s">
        <v>5331</v>
      </c>
    </row>
    <row r="399" spans="1:77" s="103" customFormat="1" ht="43.5">
      <c r="A399" s="100" t="s">
        <v>2259</v>
      </c>
      <c r="B399" s="91" t="str">
        <f t="shared" si="223"/>
        <v>TRA</v>
      </c>
      <c r="C399" s="92" t="s">
        <v>461</v>
      </c>
      <c r="D399" s="448"/>
      <c r="E399" s="450" t="s">
        <v>2153</v>
      </c>
      <c r="F399" s="467" t="s">
        <v>4756</v>
      </c>
      <c r="G399" s="467" t="s">
        <v>4722</v>
      </c>
      <c r="H399" s="470">
        <v>0.61950000000000005</v>
      </c>
      <c r="I399" s="95" t="s">
        <v>962</v>
      </c>
      <c r="J399" s="95" t="s">
        <v>1166</v>
      </c>
      <c r="K399" s="469">
        <v>4048159</v>
      </c>
      <c r="L399" s="471">
        <v>0.4386752793219259</v>
      </c>
      <c r="M399" s="266">
        <v>1</v>
      </c>
      <c r="N399" s="267">
        <f t="shared" si="224"/>
        <v>0</v>
      </c>
      <c r="O399" s="96">
        <f t="shared" si="225"/>
        <v>2948033.9999999995</v>
      </c>
      <c r="P399" s="96">
        <f t="shared" si="259"/>
        <v>1100125</v>
      </c>
      <c r="Q399" s="96">
        <f t="shared" si="226"/>
        <v>0</v>
      </c>
      <c r="R399" s="187" t="s">
        <v>2335</v>
      </c>
      <c r="S399" s="187" t="s">
        <v>3608</v>
      </c>
      <c r="T399" s="94" t="s">
        <v>2779</v>
      </c>
      <c r="U399" s="395">
        <f>COUNTIF(Aggregation_of_rev_to_allocate!$A$3:$A$137,$T399)</f>
        <v>1</v>
      </c>
      <c r="V399" s="100"/>
      <c r="W399" s="100">
        <v>496</v>
      </c>
      <c r="X399" s="109">
        <v>1028720.5347729584</v>
      </c>
      <c r="Y399" s="109">
        <v>295553.04253000877</v>
      </c>
      <c r="Z399" s="110">
        <v>0.52592487551696676</v>
      </c>
      <c r="AA399" s="110">
        <v>0.77681874229346481</v>
      </c>
      <c r="AB399" s="110">
        <v>0.22318125770653519</v>
      </c>
      <c r="AC399" s="109">
        <f>IF(ISERROR((X399*SUMIF('Rev_for_allocation(Hard)'!$A$3:$A$249,$T399,'Rev_for_allocation(Hard)'!$I$3:$I$249)/SUMIF(Historic_capex_list!$T$9:$T$586,$T399,Historic_capex_list!$X$9:$X$586))=TRUE),0,X399*SUMIF('Rev_for_allocation(Hard)'!$A$3:$A$249,$T399,'Rev_for_allocation(Hard)'!$I$3:$I$249)/SUMIF(Historic_capex_list!$T$9:$T$586,$T399,Historic_capex_list!$X$9:$X$586))</f>
        <v>-224148.50462555993</v>
      </c>
      <c r="AD399" s="109">
        <f t="shared" si="227"/>
        <v>804572.03014739847</v>
      </c>
      <c r="AE399" s="109">
        <f t="shared" si="228"/>
        <v>804572.03014739847</v>
      </c>
      <c r="AF399" s="109">
        <f t="shared" si="229"/>
        <v>1100125.0726774072</v>
      </c>
      <c r="AG399" s="332" t="str">
        <f t="shared" si="230"/>
        <v>N</v>
      </c>
      <c r="AH399" s="332">
        <f t="shared" si="256"/>
        <v>0</v>
      </c>
      <c r="AI399" s="332">
        <f t="shared" si="257"/>
        <v>0</v>
      </c>
      <c r="AJ399" s="109">
        <f t="shared" si="258"/>
        <v>1100125.0726774072</v>
      </c>
      <c r="AK399" s="109">
        <f t="shared" si="231"/>
        <v>0</v>
      </c>
      <c r="AL399" s="109">
        <v>0</v>
      </c>
      <c r="AM399" s="111">
        <f t="shared" si="232"/>
        <v>2.8730158730158739</v>
      </c>
      <c r="AN399" s="111">
        <f t="shared" si="233"/>
        <v>-0.12698412698412609</v>
      </c>
      <c r="AO399" s="111" t="str">
        <f t="shared" si="234"/>
        <v>Use deduct 3yrs</v>
      </c>
      <c r="AP399" s="111">
        <f t="shared" si="235"/>
        <v>-0.12698412698412609</v>
      </c>
      <c r="AQ399" s="112">
        <f t="shared" si="236"/>
        <v>0</v>
      </c>
      <c r="AR399" s="112">
        <f t="shared" si="237"/>
        <v>1</v>
      </c>
      <c r="AS399" s="113">
        <f t="shared" si="238"/>
        <v>2028</v>
      </c>
      <c r="AT399" s="109">
        <v>1100125.0726774072</v>
      </c>
      <c r="AU399" s="114">
        <v>1</v>
      </c>
      <c r="AV399" s="113">
        <v>2028</v>
      </c>
      <c r="AW399" s="112">
        <f t="shared" si="239"/>
        <v>0.43867530830207074</v>
      </c>
      <c r="AX399" s="109">
        <f t="shared" si="240"/>
        <v>1100125.0726774072</v>
      </c>
      <c r="AY399" s="109">
        <f t="shared" si="241"/>
        <v>0</v>
      </c>
      <c r="AZ399" s="109">
        <f t="shared" si="242"/>
        <v>1100125.0726774072</v>
      </c>
      <c r="BA399" s="111">
        <f t="shared" si="243"/>
        <v>0</v>
      </c>
      <c r="BB399" s="117"/>
      <c r="BC399" s="115" t="str">
        <f t="shared" si="244"/>
        <v>N</v>
      </c>
      <c r="BD399" s="115" t="str">
        <f t="shared" si="245"/>
        <v>Y</v>
      </c>
      <c r="BE399" s="115" t="str">
        <f t="shared" si="246"/>
        <v>N</v>
      </c>
      <c r="BF399" s="109" t="str">
        <f t="shared" si="247"/>
        <v/>
      </c>
      <c r="BG399" s="111" t="s">
        <v>2499</v>
      </c>
      <c r="BH399" s="115" t="s">
        <v>1168</v>
      </c>
      <c r="BI399" s="116"/>
      <c r="BJ399" s="222">
        <v>0.43690605311276343</v>
      </c>
      <c r="BK399" s="265">
        <f t="shared" si="248"/>
        <v>0</v>
      </c>
      <c r="BL399" s="265">
        <f t="shared" si="249"/>
        <v>0</v>
      </c>
      <c r="BM399" s="265">
        <f t="shared" si="250"/>
        <v>4.6566128730773926E-10</v>
      </c>
      <c r="BN399" s="265">
        <f t="shared" si="251"/>
        <v>-71404.465227041626</v>
      </c>
      <c r="BO399" s="109"/>
      <c r="BP399" s="265">
        <f t="shared" si="252"/>
        <v>224148.50462556002</v>
      </c>
      <c r="BQ399" s="265">
        <v>224148.50462556002</v>
      </c>
      <c r="BR399" s="265" t="e">
        <f t="shared" si="253"/>
        <v>#REF!</v>
      </c>
      <c r="BS399" s="265">
        <v>25252.399346835453</v>
      </c>
      <c r="BT399" s="475">
        <v>1417864.9273225928</v>
      </c>
      <c r="BU399" s="475">
        <v>1100125.0726774072</v>
      </c>
      <c r="BV399" s="475">
        <v>0</v>
      </c>
      <c r="BW399" s="483">
        <f t="shared" si="254"/>
        <v>-7.2677407180890441E-2</v>
      </c>
      <c r="BX399" s="483">
        <f t="shared" si="255"/>
        <v>0</v>
      </c>
    </row>
    <row r="400" spans="1:77" s="103" customFormat="1" ht="43.5">
      <c r="A400" s="100" t="s">
        <v>2259</v>
      </c>
      <c r="B400" s="91" t="str">
        <f t="shared" si="223"/>
        <v>TRA</v>
      </c>
      <c r="C400" s="92" t="s">
        <v>461</v>
      </c>
      <c r="D400" s="448"/>
      <c r="E400" s="450" t="s">
        <v>2154</v>
      </c>
      <c r="F400" s="467" t="s">
        <v>4762</v>
      </c>
      <c r="G400" s="467" t="s">
        <v>4723</v>
      </c>
      <c r="H400" s="470">
        <v>0.4148</v>
      </c>
      <c r="I400" s="95" t="s">
        <v>962</v>
      </c>
      <c r="J400" s="95" t="s">
        <v>1166</v>
      </c>
      <c r="K400" s="469">
        <v>36759433</v>
      </c>
      <c r="L400" s="471">
        <v>3.8313366033159824E-2</v>
      </c>
      <c r="M400" s="266">
        <v>0.28037383177570085</v>
      </c>
      <c r="N400" s="267">
        <f t="shared" si="224"/>
        <v>0.71962616822429915</v>
      </c>
      <c r="O400" s="96">
        <f t="shared" si="225"/>
        <v>36175237.966666669</v>
      </c>
      <c r="P400" s="96">
        <f t="shared" si="259"/>
        <v>163792.99999999953</v>
      </c>
      <c r="Q400" s="96">
        <f t="shared" si="226"/>
        <v>420402.03333333228</v>
      </c>
      <c r="R400" s="187" t="s">
        <v>2335</v>
      </c>
      <c r="S400" s="187" t="s">
        <v>3608</v>
      </c>
      <c r="T400" s="94" t="s">
        <v>2779</v>
      </c>
      <c r="U400" s="395">
        <f>COUNTIF(Aggregation_of_rev_to_allocate!$A$3:$A$137,$T400)</f>
        <v>1</v>
      </c>
      <c r="V400" s="100"/>
      <c r="W400" s="100">
        <v>497</v>
      </c>
      <c r="X400" s="109">
        <v>160106.64995813667</v>
      </c>
      <c r="Y400" s="109">
        <v>458972.39654665854</v>
      </c>
      <c r="Z400" s="110">
        <v>0.82601363416243734</v>
      </c>
      <c r="AA400" s="110">
        <v>0.25862068965517238</v>
      </c>
      <c r="AB400" s="110">
        <v>0.74137931034482762</v>
      </c>
      <c r="AC400" s="109">
        <f>IF(ISERROR((X400*SUMIF('Rev_for_allocation(Hard)'!$A$3:$A$249,$T400,'Rev_for_allocation(Hard)'!$I$3:$I$249)/SUMIF(Historic_capex_list!$T$9:$T$586,$T400,Historic_capex_list!$X$9:$X$586))=TRUE),0,X400*SUMIF('Rev_for_allocation(Hard)'!$A$3:$A$249,$T400,'Rev_for_allocation(Hard)'!$I$3:$I$249)/SUMIF(Historic_capex_list!$T$9:$T$586,$T400,Historic_capex_list!$X$9:$X$586))</f>
        <v>-34885.729365405168</v>
      </c>
      <c r="AD400" s="109">
        <f t="shared" si="227"/>
        <v>125220.92059273151</v>
      </c>
      <c r="AE400" s="109">
        <f t="shared" si="228"/>
        <v>125220.92059273151</v>
      </c>
      <c r="AF400" s="109">
        <f t="shared" si="229"/>
        <v>584193.31713939004</v>
      </c>
      <c r="AG400" s="332" t="str">
        <f t="shared" si="230"/>
        <v>N</v>
      </c>
      <c r="AH400" s="332">
        <f t="shared" si="256"/>
        <v>0</v>
      </c>
      <c r="AI400" s="332">
        <f t="shared" si="257"/>
        <v>0</v>
      </c>
      <c r="AJ400" s="109">
        <f t="shared" si="258"/>
        <v>584193.31713939004</v>
      </c>
      <c r="AK400" s="109">
        <f t="shared" si="231"/>
        <v>0</v>
      </c>
      <c r="AL400" s="109">
        <v>0</v>
      </c>
      <c r="AM400" s="111">
        <f t="shared" si="232"/>
        <v>28.666666666666671</v>
      </c>
      <c r="AN400" s="111">
        <f t="shared" si="233"/>
        <v>25.666666666666671</v>
      </c>
      <c r="AO400" s="111" t="str">
        <f t="shared" si="234"/>
        <v>Use deduct 3yrs</v>
      </c>
      <c r="AP400" s="111">
        <f t="shared" si="235"/>
        <v>25.666666666666671</v>
      </c>
      <c r="AQ400" s="112">
        <f t="shared" si="236"/>
        <v>0.71962616822429915</v>
      </c>
      <c r="AR400" s="112">
        <f t="shared" si="237"/>
        <v>0.28037383177570085</v>
      </c>
      <c r="AS400" s="113">
        <f t="shared" si="238"/>
        <v>2054</v>
      </c>
      <c r="AT400" s="109">
        <v>584193.31713939004</v>
      </c>
      <c r="AU400" s="114">
        <v>0.28037383177570085</v>
      </c>
      <c r="AV400" s="113">
        <v>2054</v>
      </c>
      <c r="AW400" s="112">
        <f t="shared" si="239"/>
        <v>3.8313253479709479E-2</v>
      </c>
      <c r="AX400" s="109">
        <f t="shared" si="240"/>
        <v>163792.51882412803</v>
      </c>
      <c r="AY400" s="109">
        <f t="shared" si="241"/>
        <v>420400.79831526207</v>
      </c>
      <c r="AZ400" s="109">
        <f t="shared" si="242"/>
        <v>584193.31713939016</v>
      </c>
      <c r="BA400" s="111">
        <f t="shared" si="243"/>
        <v>0</v>
      </c>
      <c r="BB400" s="117"/>
      <c r="BC400" s="115" t="str">
        <f t="shared" si="244"/>
        <v>N</v>
      </c>
      <c r="BD400" s="115" t="str">
        <f t="shared" si="245"/>
        <v>N</v>
      </c>
      <c r="BE400" s="115" t="str">
        <f t="shared" si="246"/>
        <v>N</v>
      </c>
      <c r="BF400" s="109" t="str">
        <f t="shared" si="247"/>
        <v/>
      </c>
      <c r="BG400" s="111" t="s">
        <v>2499</v>
      </c>
      <c r="BH400" s="115" t="s">
        <v>1168</v>
      </c>
      <c r="BI400" s="116"/>
      <c r="BJ400" s="222">
        <v>0.77946693183707871</v>
      </c>
      <c r="BK400" s="265">
        <f t="shared" si="248"/>
        <v>-1.2350180702051148</v>
      </c>
      <c r="BL400" s="265">
        <f t="shared" si="249"/>
        <v>1.2350180702051148</v>
      </c>
      <c r="BM400" s="265">
        <f t="shared" si="250"/>
        <v>-4.6566128730773926E-10</v>
      </c>
      <c r="BN400" s="265">
        <f t="shared" si="251"/>
        <v>-3686.3500418628682</v>
      </c>
      <c r="BO400" s="109"/>
      <c r="BP400" s="265">
        <f t="shared" si="252"/>
        <v>34885.729365405161</v>
      </c>
      <c r="BQ400" s="265">
        <v>34885.729365405161</v>
      </c>
      <c r="BR400" s="265" t="e">
        <f t="shared" si="253"/>
        <v>#REF!</v>
      </c>
      <c r="BS400" s="265">
        <v>3930.1996277533035</v>
      </c>
      <c r="BT400" s="475">
        <v>165284.68286060993</v>
      </c>
      <c r="BU400" s="475">
        <v>163792.518824128</v>
      </c>
      <c r="BV400" s="475">
        <v>420400.79831526201</v>
      </c>
      <c r="BW400" s="483">
        <f t="shared" si="254"/>
        <v>0.48117587153683417</v>
      </c>
      <c r="BX400" s="483">
        <f t="shared" si="255"/>
        <v>1.2350180702633224</v>
      </c>
    </row>
    <row r="401" spans="1:77" s="103" customFormat="1" ht="72.5">
      <c r="A401" s="100"/>
      <c r="B401" s="91" t="str">
        <f t="shared" si="223"/>
        <v>TRA</v>
      </c>
      <c r="C401" s="92"/>
      <c r="D401" s="448"/>
      <c r="E401" s="449"/>
      <c r="F401" s="467" t="s">
        <v>2254</v>
      </c>
      <c r="G401" s="467" t="s">
        <v>4726</v>
      </c>
      <c r="H401" s="398">
        <v>0.43</v>
      </c>
      <c r="I401" s="95" t="s">
        <v>962</v>
      </c>
      <c r="J401" s="95" t="s">
        <v>1166</v>
      </c>
      <c r="K401" s="191">
        <v>33191989.579999998</v>
      </c>
      <c r="L401" s="268">
        <v>0.78210942909287795</v>
      </c>
      <c r="M401" s="266">
        <v>1</v>
      </c>
      <c r="N401" s="267">
        <f t="shared" si="224"/>
        <v>0</v>
      </c>
      <c r="O401" s="96">
        <f t="shared" si="225"/>
        <v>22029289.331025664</v>
      </c>
      <c r="P401" s="96">
        <f t="shared" si="259"/>
        <v>11162700.248974336</v>
      </c>
      <c r="Q401" s="96">
        <f t="shared" si="226"/>
        <v>0</v>
      </c>
      <c r="R401" s="187"/>
      <c r="S401" s="187" t="s">
        <v>3608</v>
      </c>
      <c r="T401" s="94" t="s">
        <v>2779</v>
      </c>
      <c r="U401" s="395">
        <v>1</v>
      </c>
      <c r="V401" s="100"/>
      <c r="W401" s="100"/>
      <c r="X401" s="109">
        <v>14272555.519400001</v>
      </c>
      <c r="Y401" s="109">
        <v>0</v>
      </c>
      <c r="Z401" s="110">
        <v>1</v>
      </c>
      <c r="AA401" s="110">
        <v>1</v>
      </c>
      <c r="AB401" s="110">
        <v>0</v>
      </c>
      <c r="AC401" s="458">
        <f>IF(ISERROR((X401*SUMIF('Rev_for_allocation(Hard)'!$A$3:$A$249,$T401,'Rev_for_allocation(Hard)'!$I$3:$I$249)/SUMIF(Historic_capex_list!$T$9:$T$586,$T401,Historic_capex_list!$X$9:$X$586))=TRUE),0,X401*SUMIF('Rev_for_allocation(Hard)'!$A$3:$A$249,$T401,'Rev_for_allocation(Hard)'!$I$3:$I$249)/SUMIF(Historic_capex_list!$T$9:$T$586,$T401,Historic_capex_list!$X$9:$X$586))</f>
        <v>-3109855.2704256638</v>
      </c>
      <c r="AD401" s="458">
        <f t="shared" si="227"/>
        <v>11162700.248974336</v>
      </c>
      <c r="AE401" s="458">
        <f>+AD401+Y401</f>
        <v>11162700.248974336</v>
      </c>
      <c r="AF401" s="458">
        <f t="shared" si="229"/>
        <v>11162700.248974336</v>
      </c>
      <c r="AG401" s="459" t="str">
        <f t="shared" si="230"/>
        <v>N</v>
      </c>
      <c r="AH401" s="459">
        <f t="shared" si="256"/>
        <v>0</v>
      </c>
      <c r="AI401" s="459">
        <f t="shared" si="257"/>
        <v>0</v>
      </c>
      <c r="AJ401" s="458">
        <f t="shared" si="258"/>
        <v>11162700.248974336</v>
      </c>
      <c r="AK401" s="458">
        <f t="shared" si="231"/>
        <v>0</v>
      </c>
      <c r="AL401" s="458">
        <v>0</v>
      </c>
      <c r="AM401" s="460">
        <f t="shared" si="232"/>
        <v>0</v>
      </c>
      <c r="AN401" s="460">
        <f t="shared" si="233"/>
        <v>0</v>
      </c>
      <c r="AO401" s="460" t="str">
        <f t="shared" si="234"/>
        <v>Use deduct 3yrs</v>
      </c>
      <c r="AP401" s="460">
        <f t="shared" si="235"/>
        <v>0</v>
      </c>
      <c r="AQ401" s="461">
        <f t="shared" si="236"/>
        <v>0</v>
      </c>
      <c r="AR401" s="461">
        <f t="shared" si="237"/>
        <v>1</v>
      </c>
      <c r="AS401" s="462">
        <f t="shared" si="238"/>
        <v>2028</v>
      </c>
      <c r="AT401" s="109">
        <v>11162700.248974338</v>
      </c>
      <c r="AU401" s="463">
        <v>1</v>
      </c>
      <c r="AV401" s="462">
        <v>2028</v>
      </c>
      <c r="AW401" s="461">
        <f t="shared" si="239"/>
        <v>0.78210942909287806</v>
      </c>
      <c r="AX401" s="458">
        <f t="shared" si="240"/>
        <v>11162700.248974338</v>
      </c>
      <c r="AY401" s="458">
        <f t="shared" si="241"/>
        <v>0</v>
      </c>
      <c r="AZ401" s="458">
        <f t="shared" si="242"/>
        <v>11162700.248974338</v>
      </c>
      <c r="BA401" s="460">
        <f t="shared" si="243"/>
        <v>0</v>
      </c>
      <c r="BB401" s="464"/>
      <c r="BC401" s="465" t="str">
        <f t="shared" si="244"/>
        <v>N</v>
      </c>
      <c r="BD401" s="465" t="str">
        <f t="shared" si="245"/>
        <v>Y</v>
      </c>
      <c r="BE401" s="465" t="str">
        <f t="shared" si="246"/>
        <v>N</v>
      </c>
      <c r="BF401" s="458" t="str">
        <f t="shared" si="247"/>
        <v/>
      </c>
      <c r="BG401" s="460" t="s">
        <v>2499</v>
      </c>
      <c r="BH401" s="465" t="s">
        <v>1168</v>
      </c>
      <c r="BI401" s="457"/>
      <c r="BJ401" s="463">
        <v>0.78210942909287784</v>
      </c>
      <c r="BK401" s="458">
        <f t="shared" si="248"/>
        <v>0</v>
      </c>
      <c r="BL401" s="458">
        <f t="shared" si="249"/>
        <v>0</v>
      </c>
      <c r="BM401" s="458">
        <f t="shared" si="250"/>
        <v>-1.862645149230957E-9</v>
      </c>
      <c r="BN401" s="458">
        <f t="shared" si="251"/>
        <v>3109855.2704256643</v>
      </c>
      <c r="BO401" s="109"/>
      <c r="BP401" s="458">
        <f t="shared" si="252"/>
        <v>3109855.2704256624</v>
      </c>
      <c r="BQ401" s="458">
        <v>3109855.2704256633</v>
      </c>
      <c r="BR401" s="458" t="e">
        <f t="shared" si="253"/>
        <v>#REF!</v>
      </c>
      <c r="BS401" s="458">
        <v>350353.91974100529</v>
      </c>
      <c r="BT401" s="475">
        <v>22029289.331025664</v>
      </c>
      <c r="BU401" s="475">
        <v>11162700.248974336</v>
      </c>
      <c r="BV401" s="475">
        <v>0</v>
      </c>
      <c r="BW401" s="483">
        <f t="shared" si="254"/>
        <v>0</v>
      </c>
      <c r="BX401" s="483">
        <f t="shared" si="255"/>
        <v>0</v>
      </c>
    </row>
    <row r="402" spans="1:77" s="103" customFormat="1" ht="29">
      <c r="A402" s="100" t="s">
        <v>2259</v>
      </c>
      <c r="B402" s="91" t="str">
        <f t="shared" si="223"/>
        <v>TRA</v>
      </c>
      <c r="C402" s="92" t="s">
        <v>461</v>
      </c>
      <c r="D402" s="448"/>
      <c r="E402" s="450" t="s">
        <v>2145</v>
      </c>
      <c r="F402" s="467" t="s">
        <v>4757</v>
      </c>
      <c r="G402" s="620" t="s">
        <v>5302</v>
      </c>
      <c r="H402" s="484">
        <v>4.393202134744781E-3</v>
      </c>
      <c r="I402" s="95" t="s">
        <v>962</v>
      </c>
      <c r="J402" s="95" t="s">
        <v>1166</v>
      </c>
      <c r="K402" s="469">
        <v>18209952</v>
      </c>
      <c r="L402" s="471">
        <v>0.23972500000000024</v>
      </c>
      <c r="M402" s="266">
        <v>1</v>
      </c>
      <c r="N402" s="267">
        <f t="shared" si="224"/>
        <v>0</v>
      </c>
      <c r="O402" s="96">
        <f t="shared" si="225"/>
        <v>18190774</v>
      </c>
      <c r="P402" s="96">
        <f t="shared" si="259"/>
        <v>19178.000000000018</v>
      </c>
      <c r="Q402" s="96">
        <f t="shared" si="226"/>
        <v>0</v>
      </c>
      <c r="R402" s="187" t="s">
        <v>2335</v>
      </c>
      <c r="S402" s="187" t="s">
        <v>3608</v>
      </c>
      <c r="T402" s="94" t="s">
        <v>2779</v>
      </c>
      <c r="U402" s="395">
        <f>COUNTIF(Aggregation_of_rev_to_allocate!$A$3:$A$137,$T402)</f>
        <v>1</v>
      </c>
      <c r="V402" s="100"/>
      <c r="W402" s="100">
        <v>498</v>
      </c>
      <c r="X402" s="109">
        <v>24521.114724841882</v>
      </c>
      <c r="Y402" s="109">
        <v>0</v>
      </c>
      <c r="Z402" s="110">
        <v>0.29245071051846677</v>
      </c>
      <c r="AA402" s="110">
        <v>1</v>
      </c>
      <c r="AB402" s="110">
        <v>0</v>
      </c>
      <c r="AC402" s="109">
        <f>IF(ISERROR((X402*SUMIF('Rev_for_allocation(Hard)'!$A$3:$A$249,$T402,'Rev_for_allocation(Hard)'!$I$3:$I$249)/SUMIF(Historic_capex_list!$T$9:$T$586,$T402,Historic_capex_list!$X$9:$X$586))=TRUE),0,X402*SUMIF('Rev_for_allocation(Hard)'!$A$3:$A$249,$T402,'Rev_for_allocation(Hard)'!$I$3:$I$249)/SUMIF(Historic_capex_list!$T$9:$T$586,$T402,Historic_capex_list!$X$9:$X$586))</f>
        <v>-5342.919686674838</v>
      </c>
      <c r="AD402" s="109">
        <f t="shared" si="227"/>
        <v>19178.195038167043</v>
      </c>
      <c r="AE402" s="109">
        <f t="shared" ref="AE402:AE434" si="260">IF(AD402&lt;0,+Q402+P402+AC402,+AD402)</f>
        <v>19178.195038167043</v>
      </c>
      <c r="AF402" s="109">
        <f t="shared" si="229"/>
        <v>19178.195038167043</v>
      </c>
      <c r="AG402" s="332" t="str">
        <f t="shared" si="230"/>
        <v>N</v>
      </c>
      <c r="AH402" s="332">
        <f t="shared" si="256"/>
        <v>0</v>
      </c>
      <c r="AI402" s="332">
        <f t="shared" si="257"/>
        <v>0</v>
      </c>
      <c r="AJ402" s="109">
        <f t="shared" si="258"/>
        <v>19178.195038167043</v>
      </c>
      <c r="AK402" s="109">
        <f t="shared" si="231"/>
        <v>0</v>
      </c>
      <c r="AL402" s="109">
        <v>0</v>
      </c>
      <c r="AM402" s="111">
        <f t="shared" si="232"/>
        <v>0</v>
      </c>
      <c r="AN402" s="111">
        <f t="shared" si="233"/>
        <v>0</v>
      </c>
      <c r="AO402" s="111" t="str">
        <f t="shared" si="234"/>
        <v>Use deduct 3yrs</v>
      </c>
      <c r="AP402" s="111">
        <f t="shared" si="235"/>
        <v>0</v>
      </c>
      <c r="AQ402" s="112">
        <f t="shared" si="236"/>
        <v>0</v>
      </c>
      <c r="AR402" s="112">
        <f t="shared" si="237"/>
        <v>1</v>
      </c>
      <c r="AS402" s="113">
        <f t="shared" si="238"/>
        <v>2028</v>
      </c>
      <c r="AT402" s="109">
        <v>19178.195038167043</v>
      </c>
      <c r="AU402" s="114">
        <v>1</v>
      </c>
      <c r="AV402" s="113">
        <v>2028</v>
      </c>
      <c r="AW402" s="112">
        <f t="shared" si="239"/>
        <v>0.23972743797708804</v>
      </c>
      <c r="AX402" s="109">
        <f t="shared" si="240"/>
        <v>19178.195038167043</v>
      </c>
      <c r="AY402" s="109">
        <f t="shared" si="241"/>
        <v>0</v>
      </c>
      <c r="AZ402" s="109">
        <f t="shared" si="242"/>
        <v>19178.195038167043</v>
      </c>
      <c r="BA402" s="111">
        <f t="shared" si="243"/>
        <v>0</v>
      </c>
      <c r="BB402" s="117"/>
      <c r="BC402" s="115" t="str">
        <f t="shared" si="244"/>
        <v>N</v>
      </c>
      <c r="BD402" s="115" t="str">
        <f t="shared" si="245"/>
        <v>Y</v>
      </c>
      <c r="BE402" s="115" t="str">
        <f t="shared" si="246"/>
        <v>N</v>
      </c>
      <c r="BF402" s="109" t="str">
        <f t="shared" si="247"/>
        <v/>
      </c>
      <c r="BG402" s="111" t="s">
        <v>2499</v>
      </c>
      <c r="BH402" s="115" t="s">
        <v>1168</v>
      </c>
      <c r="BI402" s="116"/>
      <c r="BJ402" s="222">
        <v>0.2287284582414045</v>
      </c>
      <c r="BK402" s="265">
        <f t="shared" si="248"/>
        <v>0</v>
      </c>
      <c r="BL402" s="265">
        <f t="shared" si="249"/>
        <v>0</v>
      </c>
      <c r="BM402" s="265">
        <f t="shared" si="250"/>
        <v>-1.8189894035458565E-11</v>
      </c>
      <c r="BN402" s="265">
        <f t="shared" si="251"/>
        <v>5343.1147248418638</v>
      </c>
      <c r="BO402" s="109"/>
      <c r="BP402" s="265">
        <f t="shared" si="252"/>
        <v>5342.9196866748389</v>
      </c>
      <c r="BQ402" s="265">
        <v>5342.9196866748389</v>
      </c>
      <c r="BR402" s="265" t="e">
        <f t="shared" si="253"/>
        <v>#REF!</v>
      </c>
      <c r="BS402" s="265">
        <v>601.92925146374876</v>
      </c>
      <c r="BT402" s="475">
        <v>64668.804961832953</v>
      </c>
      <c r="BU402" s="475">
        <v>19178.195038167043</v>
      </c>
      <c r="BV402" s="475">
        <v>0</v>
      </c>
      <c r="BW402" s="483">
        <f t="shared" si="254"/>
        <v>-0.1950381670249044</v>
      </c>
      <c r="BX402" s="483">
        <f t="shared" si="255"/>
        <v>0</v>
      </c>
    </row>
    <row r="403" spans="1:77" s="103" customFormat="1" ht="43.5">
      <c r="A403" s="100" t="s">
        <v>2259</v>
      </c>
      <c r="B403" s="91" t="str">
        <f t="shared" si="223"/>
        <v>TRA</v>
      </c>
      <c r="C403" s="92" t="s">
        <v>461</v>
      </c>
      <c r="D403" s="448"/>
      <c r="E403" s="450" t="s">
        <v>2152</v>
      </c>
      <c r="F403" s="467" t="s">
        <v>4765</v>
      </c>
      <c r="G403" s="467" t="s">
        <v>4729</v>
      </c>
      <c r="H403" s="470">
        <v>0.34</v>
      </c>
      <c r="I403" s="95" t="s">
        <v>962</v>
      </c>
      <c r="J403" s="95" t="s">
        <v>1166</v>
      </c>
      <c r="K403" s="469">
        <v>23716396.269999996</v>
      </c>
      <c r="L403" s="471">
        <v>8.7245650586581638E-2</v>
      </c>
      <c r="M403" s="266">
        <v>0.42713567839195987</v>
      </c>
      <c r="N403" s="267">
        <f t="shared" si="224"/>
        <v>0.57286432160804013</v>
      </c>
      <c r="O403" s="96">
        <f t="shared" si="225"/>
        <v>23012884.446470581</v>
      </c>
      <c r="P403" s="96">
        <f t="shared" si="259"/>
        <v>300494.99999999994</v>
      </c>
      <c r="Q403" s="96">
        <f t="shared" si="226"/>
        <v>403016.82352941151</v>
      </c>
      <c r="R403" s="187" t="s">
        <v>2335</v>
      </c>
      <c r="S403" s="187" t="s">
        <v>3608</v>
      </c>
      <c r="T403" s="94" t="s">
        <v>2779</v>
      </c>
      <c r="U403" s="395">
        <f>COUNTIF(Aggregation_of_rev_to_allocate!$A$3:$A$137,$T403)</f>
        <v>1</v>
      </c>
      <c r="V403" s="100"/>
      <c r="W403" s="100">
        <v>499</v>
      </c>
      <c r="X403" s="109">
        <v>290313.16954917269</v>
      </c>
      <c r="Y403" s="109">
        <v>476455.14296599507</v>
      </c>
      <c r="Z403" s="110">
        <v>0.73359724584958697</v>
      </c>
      <c r="AA403" s="110">
        <v>0.37861915367483301</v>
      </c>
      <c r="AB403" s="110">
        <v>0.62138084632516699</v>
      </c>
      <c r="AC403" s="109">
        <f>IF(ISERROR((X403*SUMIF('Rev_for_allocation(Hard)'!$A$3:$A$249,$T403,'Rev_for_allocation(Hard)'!$I$3:$I$249)/SUMIF(Historic_capex_list!$T$9:$T$586,$T403,Historic_capex_list!$X$9:$X$586))=TRUE),0,X403*SUMIF('Rev_for_allocation(Hard)'!$A$3:$A$249,$T403,'Rev_for_allocation(Hard)'!$I$3:$I$249)/SUMIF(Historic_capex_list!$T$9:$T$586,$T403,Historic_capex_list!$X$9:$X$586))</f>
        <v>-63256.502254925392</v>
      </c>
      <c r="AD403" s="109">
        <f t="shared" si="227"/>
        <v>227056.66729424731</v>
      </c>
      <c r="AE403" s="109">
        <f t="shared" si="260"/>
        <v>227056.66729424731</v>
      </c>
      <c r="AF403" s="109">
        <f t="shared" si="229"/>
        <v>703511.81026024232</v>
      </c>
      <c r="AG403" s="332" t="str">
        <f t="shared" si="230"/>
        <v>N</v>
      </c>
      <c r="AH403" s="332">
        <f t="shared" si="256"/>
        <v>0</v>
      </c>
      <c r="AI403" s="332">
        <f t="shared" si="257"/>
        <v>0</v>
      </c>
      <c r="AJ403" s="109">
        <f t="shared" si="258"/>
        <v>703511.81026024232</v>
      </c>
      <c r="AK403" s="109">
        <f t="shared" si="231"/>
        <v>0</v>
      </c>
      <c r="AL403" s="109">
        <v>0</v>
      </c>
      <c r="AM403" s="111">
        <f t="shared" si="232"/>
        <v>16.411764705882351</v>
      </c>
      <c r="AN403" s="111">
        <f t="shared" si="233"/>
        <v>13.411764705882351</v>
      </c>
      <c r="AO403" s="111" t="str">
        <f t="shared" si="234"/>
        <v>Use deduct 3yrs</v>
      </c>
      <c r="AP403" s="111">
        <f t="shared" si="235"/>
        <v>13.411764705882351</v>
      </c>
      <c r="AQ403" s="112">
        <f t="shared" si="236"/>
        <v>0.57286432160804013</v>
      </c>
      <c r="AR403" s="112">
        <f t="shared" si="237"/>
        <v>0.42713567839195987</v>
      </c>
      <c r="AS403" s="113">
        <f t="shared" si="238"/>
        <v>2041</v>
      </c>
      <c r="AT403" s="109">
        <v>703511.81026024232</v>
      </c>
      <c r="AU403" s="114">
        <v>0.42713567839195987</v>
      </c>
      <c r="AV403" s="113">
        <v>2041</v>
      </c>
      <c r="AW403" s="112">
        <f t="shared" si="239"/>
        <v>8.7245648941012569E-2</v>
      </c>
      <c r="AX403" s="109">
        <f t="shared" si="240"/>
        <v>300494.99433226435</v>
      </c>
      <c r="AY403" s="109">
        <f t="shared" si="241"/>
        <v>403016.81592797791</v>
      </c>
      <c r="AZ403" s="109">
        <f t="shared" si="242"/>
        <v>703511.81026024232</v>
      </c>
      <c r="BA403" s="111">
        <f t="shared" si="243"/>
        <v>0</v>
      </c>
      <c r="BB403" s="117"/>
      <c r="BC403" s="115" t="str">
        <f t="shared" si="244"/>
        <v>N</v>
      </c>
      <c r="BD403" s="115" t="str">
        <f t="shared" si="245"/>
        <v>N</v>
      </c>
      <c r="BE403" s="115" t="str">
        <f t="shared" si="246"/>
        <v>N</v>
      </c>
      <c r="BF403" s="109" t="str">
        <f t="shared" si="247"/>
        <v/>
      </c>
      <c r="BG403" s="111" t="s">
        <v>2499</v>
      </c>
      <c r="BH403" s="115" t="s">
        <v>1168</v>
      </c>
      <c r="BI403" s="116"/>
      <c r="BJ403" s="222">
        <v>0.67307727511152449</v>
      </c>
      <c r="BK403" s="265">
        <f t="shared" si="248"/>
        <v>-7.6014336082153022E-3</v>
      </c>
      <c r="BL403" s="265">
        <f t="shared" si="249"/>
        <v>7.6014336082153022E-3</v>
      </c>
      <c r="BM403" s="265">
        <f t="shared" si="250"/>
        <v>3.3760443329811096E-9</v>
      </c>
      <c r="BN403" s="265">
        <f t="shared" si="251"/>
        <v>-10181.830450827256</v>
      </c>
      <c r="BO403" s="109"/>
      <c r="BP403" s="265">
        <f t="shared" si="252"/>
        <v>63256.502254925435</v>
      </c>
      <c r="BQ403" s="265">
        <v>63256.502254925435</v>
      </c>
      <c r="BR403" s="265" t="e">
        <f t="shared" si="253"/>
        <v>#REF!</v>
      </c>
      <c r="BS403" s="265">
        <v>7126.4292344657588</v>
      </c>
      <c r="BT403" s="475">
        <v>341705.18973975768</v>
      </c>
      <c r="BU403" s="475">
        <v>300494.99433226435</v>
      </c>
      <c r="BV403" s="475">
        <v>403016.81592797796</v>
      </c>
      <c r="BW403" s="483">
        <f t="shared" si="254"/>
        <v>5.6677355896681547E-3</v>
      </c>
      <c r="BX403" s="483">
        <f t="shared" si="255"/>
        <v>7.6014335500076413E-3</v>
      </c>
    </row>
    <row r="404" spans="1:77" s="103" customFormat="1" ht="29">
      <c r="A404" s="100" t="s">
        <v>2259</v>
      </c>
      <c r="B404" s="91" t="str">
        <f t="shared" si="223"/>
        <v>TRA</v>
      </c>
      <c r="C404" s="92" t="s">
        <v>461</v>
      </c>
      <c r="D404" s="448"/>
      <c r="E404" s="452">
        <v>791984</v>
      </c>
      <c r="F404" s="467" t="s">
        <v>4919</v>
      </c>
      <c r="G404" s="620" t="s">
        <v>5325</v>
      </c>
      <c r="H404" s="470">
        <v>0.42</v>
      </c>
      <c r="I404" s="95" t="s">
        <v>952</v>
      </c>
      <c r="J404" s="95" t="s">
        <v>1166</v>
      </c>
      <c r="K404" s="469">
        <v>1039092</v>
      </c>
      <c r="L404" s="268">
        <v>0.29226633952681341</v>
      </c>
      <c r="M404" s="266">
        <v>0.91331269349845201</v>
      </c>
      <c r="N404" s="267">
        <f t="shared" si="224"/>
        <v>8.6687306501547989E-2</v>
      </c>
      <c r="O404" s="96">
        <f t="shared" si="225"/>
        <v>911541.52158592991</v>
      </c>
      <c r="P404" s="96">
        <f t="shared" si="259"/>
        <v>116493.47099737058</v>
      </c>
      <c r="Q404" s="96">
        <f t="shared" si="226"/>
        <v>11057.00741669958</v>
      </c>
      <c r="R404" s="187" t="s">
        <v>2335</v>
      </c>
      <c r="S404" s="187" t="s">
        <v>3608</v>
      </c>
      <c r="T404" s="94" t="s">
        <v>2779</v>
      </c>
      <c r="U404" s="395">
        <f>COUNTIF(Aggregation_of_rev_to_allocate!$A$3:$A$137,$T404)</f>
        <v>1</v>
      </c>
      <c r="V404" s="100"/>
      <c r="W404" s="100">
        <v>500</v>
      </c>
      <c r="X404" s="109">
        <v>108366.95866675512</v>
      </c>
      <c r="Y404" s="109">
        <v>42795.765032803291</v>
      </c>
      <c r="Z404" s="110">
        <v>0.34637062508542715</v>
      </c>
      <c r="AA404" s="110">
        <v>0.71688942891859053</v>
      </c>
      <c r="AB404" s="110">
        <v>0.28311057108140947</v>
      </c>
      <c r="AC404" s="109">
        <f>IF(ISERROR((X404*SUMIF('Rev_for_allocation(Hard)'!$A$3:$A$249,$T404,'Rev_for_allocation(Hard)'!$I$3:$I$249)/SUMIF(Historic_capex_list!$T$9:$T$586,$T404,Historic_capex_list!$X$9:$X$586))=TRUE),0,X404*SUMIF('Rev_for_allocation(Hard)'!$A$3:$A$249,$T404,'Rev_for_allocation(Hard)'!$I$3:$I$249)/SUMIF(Historic_capex_list!$T$9:$T$586,$T404,Historic_capex_list!$X$9:$X$586))</f>
        <v>-23612.138491367783</v>
      </c>
      <c r="AD404" s="109">
        <f t="shared" si="227"/>
        <v>84754.820175387344</v>
      </c>
      <c r="AE404" s="109">
        <f t="shared" si="260"/>
        <v>84754.820175387344</v>
      </c>
      <c r="AF404" s="109">
        <f t="shared" si="229"/>
        <v>127550.58520819063</v>
      </c>
      <c r="AG404" s="332" t="str">
        <f t="shared" si="230"/>
        <v>N</v>
      </c>
      <c r="AH404" s="332">
        <f t="shared" si="256"/>
        <v>0</v>
      </c>
      <c r="AI404" s="332">
        <f t="shared" si="257"/>
        <v>0</v>
      </c>
      <c r="AJ404" s="109">
        <f t="shared" si="258"/>
        <v>127550.58520819063</v>
      </c>
      <c r="AK404" s="109">
        <f t="shared" si="231"/>
        <v>0</v>
      </c>
      <c r="AL404" s="109">
        <v>0</v>
      </c>
      <c r="AM404" s="111">
        <f t="shared" si="232"/>
        <v>3.9491525423728815</v>
      </c>
      <c r="AN404" s="111">
        <f t="shared" si="233"/>
        <v>0.94915254237288149</v>
      </c>
      <c r="AO404" s="111" t="str">
        <f t="shared" si="234"/>
        <v>Use deduct 3yrs</v>
      </c>
      <c r="AP404" s="111">
        <f t="shared" si="235"/>
        <v>0.94915254237288149</v>
      </c>
      <c r="AQ404" s="112">
        <f t="shared" si="236"/>
        <v>8.6687306501547989E-2</v>
      </c>
      <c r="AR404" s="112">
        <f t="shared" si="237"/>
        <v>0.91331269349845201</v>
      </c>
      <c r="AS404" s="113">
        <f t="shared" si="238"/>
        <v>2029</v>
      </c>
      <c r="AT404" s="109">
        <v>127550.58520819063</v>
      </c>
      <c r="AU404" s="114">
        <v>0.91331269349845201</v>
      </c>
      <c r="AV404" s="113">
        <v>2029</v>
      </c>
      <c r="AW404" s="112">
        <f t="shared" si="239"/>
        <v>0.29226658423249441</v>
      </c>
      <c r="AX404" s="109">
        <f t="shared" si="240"/>
        <v>116493.5685337964</v>
      </c>
      <c r="AY404" s="109">
        <f t="shared" si="241"/>
        <v>11057.016674394235</v>
      </c>
      <c r="AZ404" s="109">
        <f t="shared" si="242"/>
        <v>127550.58520819063</v>
      </c>
      <c r="BA404" s="111">
        <f t="shared" si="243"/>
        <v>0</v>
      </c>
      <c r="BB404" s="117"/>
      <c r="BC404" s="115" t="str">
        <f t="shared" si="244"/>
        <v>N</v>
      </c>
      <c r="BD404" s="115" t="str">
        <f t="shared" si="245"/>
        <v>Y</v>
      </c>
      <c r="BE404" s="115" t="str">
        <f t="shared" si="246"/>
        <v>N</v>
      </c>
      <c r="BF404" s="109" t="str">
        <f t="shared" si="247"/>
        <v/>
      </c>
      <c r="BG404" s="111" t="s">
        <v>2499</v>
      </c>
      <c r="BH404" s="115" t="s">
        <v>1168</v>
      </c>
      <c r="BI404" s="116"/>
      <c r="BJ404" s="222">
        <v>0.29226633952681341</v>
      </c>
      <c r="BK404" s="265">
        <f t="shared" si="248"/>
        <v>9.2576946553890593E-3</v>
      </c>
      <c r="BL404" s="265">
        <f t="shared" si="249"/>
        <v>-9.2576946553890593E-3</v>
      </c>
      <c r="BM404" s="265">
        <f t="shared" si="250"/>
        <v>-6.184563972055912E-11</v>
      </c>
      <c r="BN404" s="265">
        <f t="shared" si="251"/>
        <v>-8126.5123306154564</v>
      </c>
      <c r="BO404" s="109"/>
      <c r="BP404" s="265">
        <f t="shared" si="252"/>
        <v>23612.138491367776</v>
      </c>
      <c r="BQ404" s="265">
        <v>23612.138491367776</v>
      </c>
      <c r="BR404" s="265" t="e">
        <f t="shared" si="253"/>
        <v>#REF!</v>
      </c>
      <c r="BS404" s="265">
        <v>2660.1254896295704</v>
      </c>
      <c r="BT404" s="475">
        <v>308868.42019180936</v>
      </c>
      <c r="BU404" s="475">
        <v>116493.56853379638</v>
      </c>
      <c r="BV404" s="475">
        <v>11057.016674394234</v>
      </c>
      <c r="BW404" s="483">
        <f t="shared" si="254"/>
        <v>-9.7536425804719329E-2</v>
      </c>
      <c r="BX404" s="483">
        <f t="shared" si="255"/>
        <v>-9.2576946535700699E-3</v>
      </c>
    </row>
    <row r="405" spans="1:77" s="103" customFormat="1" ht="29">
      <c r="A405" s="100" t="s">
        <v>2259</v>
      </c>
      <c r="B405" s="91" t="str">
        <f t="shared" si="223"/>
        <v>TRA</v>
      </c>
      <c r="C405" s="92" t="s">
        <v>461</v>
      </c>
      <c r="D405" s="448"/>
      <c r="E405" s="450" t="s">
        <v>2167</v>
      </c>
      <c r="F405" s="467" t="s">
        <v>4773</v>
      </c>
      <c r="G405" s="467" t="s">
        <v>4724</v>
      </c>
      <c r="H405" s="470">
        <v>0.46050000000000002</v>
      </c>
      <c r="I405" s="95" t="s">
        <v>962</v>
      </c>
      <c r="J405" s="95" t="s">
        <v>1166</v>
      </c>
      <c r="K405" s="469">
        <v>2373014</v>
      </c>
      <c r="L405" s="471">
        <v>0.46049422395581979</v>
      </c>
      <c r="M405" s="266">
        <v>0.77712609970674484</v>
      </c>
      <c r="N405" s="267">
        <f t="shared" si="224"/>
        <v>0.22287390029325516</v>
      </c>
      <c r="O405" s="96">
        <f t="shared" si="225"/>
        <v>1869798.3698113207</v>
      </c>
      <c r="P405" s="96">
        <f t="shared" si="259"/>
        <v>391061.99999999994</v>
      </c>
      <c r="Q405" s="96">
        <f t="shared" si="226"/>
        <v>112153.63018867925</v>
      </c>
      <c r="R405" s="187" t="s">
        <v>2335</v>
      </c>
      <c r="S405" s="187" t="s">
        <v>3608</v>
      </c>
      <c r="T405" s="94" t="s">
        <v>2779</v>
      </c>
      <c r="U405" s="395">
        <f>COUNTIF(Aggregation_of_rev_to_allocate!$A$3:$A$137,$T405)</f>
        <v>1</v>
      </c>
      <c r="V405" s="100"/>
      <c r="W405" s="100">
        <v>501</v>
      </c>
      <c r="X405" s="109">
        <v>367605.52619270206</v>
      </c>
      <c r="Y405" s="109">
        <v>215708.14838854779</v>
      </c>
      <c r="Z405" s="110">
        <v>0.53383955955951246</v>
      </c>
      <c r="AA405" s="110">
        <v>0.63020214030915578</v>
      </c>
      <c r="AB405" s="110">
        <v>0.36979785969084422</v>
      </c>
      <c r="AC405" s="109">
        <f>IF(ISERROR((X405*SUMIF('Rev_for_allocation(Hard)'!$A$3:$A$249,$T405,'Rev_for_allocation(Hard)'!$I$3:$I$249)/SUMIF(Historic_capex_list!$T$9:$T$586,$T405,Historic_capex_list!$X$9:$X$586))=TRUE),0,X405*SUMIF('Rev_for_allocation(Hard)'!$A$3:$A$249,$T405,'Rev_for_allocation(Hard)'!$I$3:$I$249)/SUMIF(Historic_capex_list!$T$9:$T$586,$T405,Historic_capex_list!$X$9:$X$586))</f>
        <v>-80097.777970740906</v>
      </c>
      <c r="AD405" s="109">
        <f t="shared" si="227"/>
        <v>287507.74822196114</v>
      </c>
      <c r="AE405" s="109">
        <f t="shared" si="260"/>
        <v>287507.74822196114</v>
      </c>
      <c r="AF405" s="109">
        <f t="shared" si="229"/>
        <v>503215.89661050891</v>
      </c>
      <c r="AG405" s="332" t="str">
        <f t="shared" si="230"/>
        <v>N</v>
      </c>
      <c r="AH405" s="332">
        <f t="shared" si="256"/>
        <v>0</v>
      </c>
      <c r="AI405" s="332">
        <f t="shared" si="257"/>
        <v>0</v>
      </c>
      <c r="AJ405" s="109">
        <f t="shared" si="258"/>
        <v>503215.89661050891</v>
      </c>
      <c r="AK405" s="109">
        <f t="shared" si="231"/>
        <v>0</v>
      </c>
      <c r="AL405" s="109">
        <v>0</v>
      </c>
      <c r="AM405" s="111">
        <f t="shared" si="232"/>
        <v>5.8679245283018862</v>
      </c>
      <c r="AN405" s="111">
        <f t="shared" si="233"/>
        <v>2.8679245283018862</v>
      </c>
      <c r="AO405" s="111" t="str">
        <f t="shared" si="234"/>
        <v>Use deduct 3yrs</v>
      </c>
      <c r="AP405" s="111">
        <f t="shared" si="235"/>
        <v>2.8679245283018862</v>
      </c>
      <c r="AQ405" s="112">
        <f t="shared" si="236"/>
        <v>0.2228739002932551</v>
      </c>
      <c r="AR405" s="112">
        <f t="shared" si="237"/>
        <v>0.77712609970674484</v>
      </c>
      <c r="AS405" s="113">
        <f t="shared" si="238"/>
        <v>2031</v>
      </c>
      <c r="AT405" s="109">
        <v>503215.89661050891</v>
      </c>
      <c r="AU405" s="114">
        <v>0.77712609970674484</v>
      </c>
      <c r="AV405" s="113">
        <v>2031</v>
      </c>
      <c r="AW405" s="112">
        <f t="shared" si="239"/>
        <v>0.4604944677592836</v>
      </c>
      <c r="AX405" s="109">
        <f t="shared" si="240"/>
        <v>391062.20704335731</v>
      </c>
      <c r="AY405" s="109">
        <f t="shared" si="241"/>
        <v>112153.68956715155</v>
      </c>
      <c r="AZ405" s="109">
        <f t="shared" si="242"/>
        <v>503215.89661050885</v>
      </c>
      <c r="BA405" s="111">
        <f t="shared" si="243"/>
        <v>0</v>
      </c>
      <c r="BB405" s="117"/>
      <c r="BC405" s="115" t="str">
        <f t="shared" si="244"/>
        <v>N</v>
      </c>
      <c r="BD405" s="115" t="str">
        <f t="shared" si="245"/>
        <v>N</v>
      </c>
      <c r="BE405" s="115" t="str">
        <f t="shared" si="246"/>
        <v>N</v>
      </c>
      <c r="BF405" s="109" t="str">
        <f t="shared" si="247"/>
        <v/>
      </c>
      <c r="BG405" s="111" t="s">
        <v>2499</v>
      </c>
      <c r="BH405" s="115" t="s">
        <v>1168</v>
      </c>
      <c r="BI405" s="116"/>
      <c r="BJ405" s="222">
        <v>0.46053532484515897</v>
      </c>
      <c r="BK405" s="265">
        <f t="shared" si="248"/>
        <v>5.9378472302341834E-2</v>
      </c>
      <c r="BL405" s="265">
        <f t="shared" si="249"/>
        <v>-5.9378472302341834E-2</v>
      </c>
      <c r="BM405" s="265">
        <f t="shared" si="250"/>
        <v>1.3096723705530167E-10</v>
      </c>
      <c r="BN405" s="265">
        <f t="shared" si="251"/>
        <v>-23456.47380729788</v>
      </c>
      <c r="BO405" s="109"/>
      <c r="BP405" s="265">
        <f t="shared" si="252"/>
        <v>80097.777970740921</v>
      </c>
      <c r="BQ405" s="265">
        <v>80097.777970740921</v>
      </c>
      <c r="BR405" s="265" t="e">
        <f t="shared" si="253"/>
        <v>#REF!</v>
      </c>
      <c r="BS405" s="265">
        <v>9023.7544947719525</v>
      </c>
      <c r="BT405" s="475">
        <v>589460.10338949109</v>
      </c>
      <c r="BU405" s="475">
        <v>391062.20704335737</v>
      </c>
      <c r="BV405" s="475">
        <v>112153.68956715155</v>
      </c>
      <c r="BW405" s="483">
        <f t="shared" si="254"/>
        <v>-0.20704335742630064</v>
      </c>
      <c r="BX405" s="483">
        <f t="shared" si="255"/>
        <v>-5.9378472302341834E-2</v>
      </c>
    </row>
    <row r="406" spans="1:77" s="103" customFormat="1" ht="29">
      <c r="A406" s="100" t="s">
        <v>2259</v>
      </c>
      <c r="B406" s="91" t="str">
        <f t="shared" si="223"/>
        <v>TRA</v>
      </c>
      <c r="C406" s="92" t="s">
        <v>461</v>
      </c>
      <c r="D406" s="448"/>
      <c r="E406" s="450" t="s">
        <v>2166</v>
      </c>
      <c r="F406" s="467" t="s">
        <v>4774</v>
      </c>
      <c r="G406" s="467" t="s">
        <v>4725</v>
      </c>
      <c r="H406" s="470">
        <v>0.47449999999999998</v>
      </c>
      <c r="I406" s="95" t="s">
        <v>962</v>
      </c>
      <c r="J406" s="95" t="s">
        <v>1166</v>
      </c>
      <c r="K406" s="469">
        <v>1760943</v>
      </c>
      <c r="L406" s="471">
        <v>0.59915545765091238</v>
      </c>
      <c r="M406" s="266">
        <v>0.52631578947368429</v>
      </c>
      <c r="N406" s="267">
        <f t="shared" si="224"/>
        <v>0.47368421052631571</v>
      </c>
      <c r="O406" s="96">
        <f t="shared" si="225"/>
        <v>1260308.2000000002</v>
      </c>
      <c r="P406" s="96">
        <f t="shared" si="259"/>
        <v>263492</v>
      </c>
      <c r="Q406" s="96">
        <f t="shared" si="226"/>
        <v>237142.79999999993</v>
      </c>
      <c r="R406" s="187" t="s">
        <v>2335</v>
      </c>
      <c r="S406" s="187" t="s">
        <v>3608</v>
      </c>
      <c r="T406" s="94" t="s">
        <v>2779</v>
      </c>
      <c r="U406" s="395">
        <f>COUNTIF(Aggregation_of_rev_to_allocate!$A$3:$A$137,$T406)</f>
        <v>1</v>
      </c>
      <c r="V406" s="100"/>
      <c r="W406" s="100">
        <v>502</v>
      </c>
      <c r="X406" s="109">
        <v>252576.59627702655</v>
      </c>
      <c r="Y406" s="109">
        <v>303091.9155324318</v>
      </c>
      <c r="Z406" s="110">
        <v>0.66510805094398551</v>
      </c>
      <c r="AA406" s="110">
        <v>0.45454545454545459</v>
      </c>
      <c r="AB406" s="110">
        <v>0.54545454545454541</v>
      </c>
      <c r="AC406" s="109">
        <f>IF(ISERROR((X406*SUMIF('Rev_for_allocation(Hard)'!$A$3:$A$249,$T406,'Rev_for_allocation(Hard)'!$I$3:$I$249)/SUMIF(Historic_capex_list!$T$9:$T$586,$T406,Historic_capex_list!$X$9:$X$586))=TRUE),0,X406*SUMIF('Rev_for_allocation(Hard)'!$A$3:$A$249,$T406,'Rev_for_allocation(Hard)'!$I$3:$I$249)/SUMIF(Historic_capex_list!$T$9:$T$586,$T406,Historic_capex_list!$X$9:$X$586))</f>
        <v>-55034.058760579021</v>
      </c>
      <c r="AD406" s="109">
        <f t="shared" si="227"/>
        <v>197542.53751644754</v>
      </c>
      <c r="AE406" s="109">
        <f t="shared" si="260"/>
        <v>197542.53751644754</v>
      </c>
      <c r="AF406" s="109">
        <f t="shared" si="229"/>
        <v>500634.45304887934</v>
      </c>
      <c r="AG406" s="332" t="str">
        <f t="shared" si="230"/>
        <v>N</v>
      </c>
      <c r="AH406" s="332">
        <f t="shared" si="256"/>
        <v>0</v>
      </c>
      <c r="AI406" s="332">
        <f t="shared" si="257"/>
        <v>0</v>
      </c>
      <c r="AJ406" s="109">
        <f t="shared" si="258"/>
        <v>500634.45304887934</v>
      </c>
      <c r="AK406" s="109">
        <f t="shared" si="231"/>
        <v>0</v>
      </c>
      <c r="AL406" s="109">
        <v>0</v>
      </c>
      <c r="AM406" s="111">
        <f t="shared" si="232"/>
        <v>11.999999999999996</v>
      </c>
      <c r="AN406" s="111">
        <f t="shared" si="233"/>
        <v>8.9999999999999964</v>
      </c>
      <c r="AO406" s="111" t="str">
        <f t="shared" si="234"/>
        <v>Use deduct 3yrs</v>
      </c>
      <c r="AP406" s="111">
        <f t="shared" si="235"/>
        <v>8.9999999999999964</v>
      </c>
      <c r="AQ406" s="112">
        <f t="shared" si="236"/>
        <v>0.47368421052631571</v>
      </c>
      <c r="AR406" s="112">
        <f t="shared" si="237"/>
        <v>0.52631578947368429</v>
      </c>
      <c r="AS406" s="113">
        <f t="shared" si="238"/>
        <v>2037</v>
      </c>
      <c r="AT406" s="109">
        <v>500634.45304887934</v>
      </c>
      <c r="AU406" s="114">
        <v>0.52631578947368429</v>
      </c>
      <c r="AV406" s="113">
        <v>2037</v>
      </c>
      <c r="AW406" s="112">
        <f t="shared" si="239"/>
        <v>0.59915504242277118</v>
      </c>
      <c r="AX406" s="109">
        <f t="shared" si="240"/>
        <v>263491.81739414704</v>
      </c>
      <c r="AY406" s="109">
        <f t="shared" si="241"/>
        <v>237142.63565473229</v>
      </c>
      <c r="AZ406" s="109">
        <f t="shared" si="242"/>
        <v>500634.45304887934</v>
      </c>
      <c r="BA406" s="111">
        <f t="shared" si="243"/>
        <v>0</v>
      </c>
      <c r="BB406" s="117"/>
      <c r="BC406" s="115" t="str">
        <f t="shared" si="244"/>
        <v>N</v>
      </c>
      <c r="BD406" s="115" t="str">
        <f t="shared" si="245"/>
        <v>N</v>
      </c>
      <c r="BE406" s="115" t="str">
        <f t="shared" si="246"/>
        <v>N</v>
      </c>
      <c r="BF406" s="109" t="str">
        <f t="shared" si="247"/>
        <v/>
      </c>
      <c r="BG406" s="111" t="s">
        <v>2499</v>
      </c>
      <c r="BH406" s="115" t="s">
        <v>1168</v>
      </c>
      <c r="BI406" s="116"/>
      <c r="BJ406" s="222">
        <v>0.59923497233711809</v>
      </c>
      <c r="BK406" s="265">
        <f t="shared" si="248"/>
        <v>-0.1643452676362358</v>
      </c>
      <c r="BL406" s="265">
        <f t="shared" si="249"/>
        <v>0.1643452676362358</v>
      </c>
      <c r="BM406" s="265">
        <f t="shared" si="250"/>
        <v>0</v>
      </c>
      <c r="BN406" s="265">
        <f t="shared" si="251"/>
        <v>-10915.403722973453</v>
      </c>
      <c r="BO406" s="109"/>
      <c r="BP406" s="265">
        <f t="shared" si="252"/>
        <v>55034.058760579035</v>
      </c>
      <c r="BQ406" s="265">
        <v>55034.058760579035</v>
      </c>
      <c r="BR406" s="265" t="e">
        <f t="shared" si="253"/>
        <v>#REF!</v>
      </c>
      <c r="BS406" s="265">
        <v>6200.0950299486194</v>
      </c>
      <c r="BT406" s="475">
        <v>334821.54695112066</v>
      </c>
      <c r="BU406" s="475">
        <v>263491.81739414704</v>
      </c>
      <c r="BV406" s="475">
        <v>237142.63565473226</v>
      </c>
      <c r="BW406" s="483">
        <f t="shared" si="254"/>
        <v>0.18260585295502096</v>
      </c>
      <c r="BX406" s="483">
        <f t="shared" si="255"/>
        <v>0.16434526766533963</v>
      </c>
    </row>
    <row r="407" spans="1:77" s="103" customFormat="1" ht="14.5">
      <c r="A407" s="100" t="s">
        <v>2259</v>
      </c>
      <c r="B407" s="91" t="str">
        <f t="shared" si="223"/>
        <v>TRA</v>
      </c>
      <c r="C407" s="92" t="s">
        <v>461</v>
      </c>
      <c r="D407" s="448"/>
      <c r="E407" s="450" t="s">
        <v>2199</v>
      </c>
      <c r="F407" s="468" t="s">
        <v>2515</v>
      </c>
      <c r="G407" s="683" t="s">
        <v>4715</v>
      </c>
      <c r="H407" s="398">
        <v>1</v>
      </c>
      <c r="I407" s="95" t="s">
        <v>951</v>
      </c>
      <c r="J407" s="95" t="s">
        <v>1166</v>
      </c>
      <c r="K407" s="191">
        <v>268200</v>
      </c>
      <c r="L407" s="268">
        <v>0.34187369671510787</v>
      </c>
      <c r="M407" s="266">
        <v>1</v>
      </c>
      <c r="N407" s="267">
        <f t="shared" si="224"/>
        <v>0</v>
      </c>
      <c r="O407" s="96">
        <f t="shared" si="225"/>
        <v>176509.47454100806</v>
      </c>
      <c r="P407" s="96">
        <f t="shared" si="259"/>
        <v>91690.525458991935</v>
      </c>
      <c r="Q407" s="96">
        <f t="shared" si="226"/>
        <v>0</v>
      </c>
      <c r="R407" s="187" t="s">
        <v>2337</v>
      </c>
      <c r="S407" s="187" t="s">
        <v>3608</v>
      </c>
      <c r="T407" s="94" t="s">
        <v>2781</v>
      </c>
      <c r="U407" s="395">
        <f>COUNTIF(Aggregation_of_rev_to_allocate!$A$3:$A$137,$T407)</f>
        <v>1</v>
      </c>
      <c r="V407" s="100"/>
      <c r="W407" s="100">
        <v>549</v>
      </c>
      <c r="X407" s="109">
        <v>102719.52458877214</v>
      </c>
      <c r="Y407" s="109">
        <v>49892.340514546457</v>
      </c>
      <c r="Z407" s="110">
        <v>0.56902261410633326</v>
      </c>
      <c r="AA407" s="110">
        <v>0.67307692307692313</v>
      </c>
      <c r="AB407" s="110">
        <v>0.32692307692307687</v>
      </c>
      <c r="AC407" s="109">
        <f>IF(ISERROR((X407*SUMIF('Rev_for_allocation(Hard)'!$A$3:$A$249,$T407,'Rev_for_allocation(Hard)'!$I$3:$I$249)/SUMIF(Historic_capex_list!$T$9:$T$586,$T407,Historic_capex_list!$X$9:$X$586))=TRUE),0,X407*SUMIF('Rev_for_allocation(Hard)'!$A$3:$A$249,$T407,'Rev_for_allocation(Hard)'!$I$3:$I$249)/SUMIF(Historic_capex_list!$T$9:$T$586,$T407,Historic_capex_list!$X$9:$X$586))</f>
        <v>-61879.670985070661</v>
      </c>
      <c r="AD407" s="109">
        <f t="shared" si="227"/>
        <v>40839.853603701478</v>
      </c>
      <c r="AE407" s="109">
        <f t="shared" si="260"/>
        <v>40839.853603701478</v>
      </c>
      <c r="AF407" s="109">
        <f t="shared" si="229"/>
        <v>90732.194118247935</v>
      </c>
      <c r="AG407" s="332" t="str">
        <f t="shared" si="230"/>
        <v>N</v>
      </c>
      <c r="AH407" s="332">
        <f t="shared" si="256"/>
        <v>0</v>
      </c>
      <c r="AI407" s="332">
        <f t="shared" si="257"/>
        <v>0</v>
      </c>
      <c r="AJ407" s="109">
        <f t="shared" si="258"/>
        <v>90732.194118247935</v>
      </c>
      <c r="AK407" s="109">
        <f t="shared" si="231"/>
        <v>0</v>
      </c>
      <c r="AL407" s="109">
        <v>0</v>
      </c>
      <c r="AM407" s="111">
        <f t="shared" si="232"/>
        <v>4.8571428571428559</v>
      </c>
      <c r="AN407" s="111">
        <f t="shared" si="233"/>
        <v>1.8571428571428559</v>
      </c>
      <c r="AO407" s="111">
        <f t="shared" si="234"/>
        <v>4.7245199142871934</v>
      </c>
      <c r="AP407" s="111">
        <f t="shared" si="235"/>
        <v>0</v>
      </c>
      <c r="AQ407" s="112">
        <f t="shared" si="236"/>
        <v>0</v>
      </c>
      <c r="AR407" s="112">
        <f t="shared" si="237"/>
        <v>1</v>
      </c>
      <c r="AS407" s="113">
        <f t="shared" si="238"/>
        <v>2028</v>
      </c>
      <c r="AT407" s="109">
        <v>91690.525458991935</v>
      </c>
      <c r="AU407" s="114">
        <v>1</v>
      </c>
      <c r="AV407" s="113">
        <v>2028</v>
      </c>
      <c r="AW407" s="112">
        <f t="shared" si="239"/>
        <v>0.34187369671510787</v>
      </c>
      <c r="AX407" s="109">
        <f t="shared" si="240"/>
        <v>91690.525458991935</v>
      </c>
      <c r="AY407" s="109">
        <f t="shared" si="241"/>
        <v>0</v>
      </c>
      <c r="AZ407" s="109">
        <f t="shared" si="242"/>
        <v>91690.525458991935</v>
      </c>
      <c r="BA407" s="111">
        <f t="shared" si="243"/>
        <v>0</v>
      </c>
      <c r="BB407" s="117"/>
      <c r="BC407" s="115" t="str">
        <f t="shared" si="244"/>
        <v>N</v>
      </c>
      <c r="BD407" s="115" t="str">
        <f t="shared" si="245"/>
        <v>Y</v>
      </c>
      <c r="BE407" s="115" t="str">
        <f t="shared" si="246"/>
        <v>N</v>
      </c>
      <c r="BF407" s="109" t="str">
        <f t="shared" si="247"/>
        <v/>
      </c>
      <c r="BG407" s="111" t="s">
        <v>2499</v>
      </c>
      <c r="BH407" s="115" t="s">
        <v>1168</v>
      </c>
      <c r="BI407" s="116"/>
      <c r="BJ407" s="222">
        <v>0.34187369671510787</v>
      </c>
      <c r="BK407" s="265">
        <f t="shared" si="248"/>
        <v>0</v>
      </c>
      <c r="BL407" s="265">
        <f t="shared" si="249"/>
        <v>0</v>
      </c>
      <c r="BM407" s="265">
        <f t="shared" si="250"/>
        <v>0</v>
      </c>
      <c r="BN407" s="265">
        <f t="shared" si="251"/>
        <v>11028.999129780204</v>
      </c>
      <c r="BO407" s="109"/>
      <c r="BP407" s="265">
        <f t="shared" si="252"/>
        <v>60921.339644326654</v>
      </c>
      <c r="BQ407" s="265">
        <v>60921.339644326654</v>
      </c>
      <c r="BR407" s="265" t="e">
        <f t="shared" si="253"/>
        <v>#REF!</v>
      </c>
      <c r="BS407" s="265">
        <v>6863.3515981409219</v>
      </c>
      <c r="BT407" s="475">
        <v>176509.47454100806</v>
      </c>
      <c r="BU407" s="475">
        <v>91690.525458991935</v>
      </c>
      <c r="BV407" s="475">
        <v>0</v>
      </c>
      <c r="BW407" s="483">
        <f t="shared" si="254"/>
        <v>0</v>
      </c>
      <c r="BX407" s="483">
        <f t="shared" si="255"/>
        <v>0</v>
      </c>
      <c r="BY407" s="103" t="s">
        <v>5333</v>
      </c>
    </row>
    <row r="408" spans="1:77" s="103" customFormat="1" ht="43.5">
      <c r="A408" s="100" t="s">
        <v>2259</v>
      </c>
      <c r="B408" s="91" t="str">
        <f t="shared" si="223"/>
        <v>TRA</v>
      </c>
      <c r="C408" s="92" t="s">
        <v>461</v>
      </c>
      <c r="D408" s="448"/>
      <c r="E408" s="450" t="s">
        <v>2155</v>
      </c>
      <c r="F408" s="467" t="s">
        <v>4789</v>
      </c>
      <c r="G408" s="467" t="s">
        <v>4727</v>
      </c>
      <c r="H408" s="470">
        <v>0.43</v>
      </c>
      <c r="I408" s="95" t="s">
        <v>962</v>
      </c>
      <c r="J408" s="95" t="s">
        <v>1166</v>
      </c>
      <c r="K408" s="469">
        <v>6311998.6600000011</v>
      </c>
      <c r="L408" s="471">
        <v>8.6888779609645261E-3</v>
      </c>
      <c r="M408" s="266">
        <v>1</v>
      </c>
      <c r="N408" s="267">
        <f t="shared" si="224"/>
        <v>0</v>
      </c>
      <c r="O408" s="96">
        <f t="shared" si="225"/>
        <v>6288415.660000002</v>
      </c>
      <c r="P408" s="96">
        <f t="shared" si="259"/>
        <v>23583.000000000004</v>
      </c>
      <c r="Q408" s="96">
        <f t="shared" si="226"/>
        <v>0</v>
      </c>
      <c r="R408" s="187" t="s">
        <v>2335</v>
      </c>
      <c r="S408" s="187" t="s">
        <v>3608</v>
      </c>
      <c r="T408" s="94" t="s">
        <v>2779</v>
      </c>
      <c r="U408" s="395">
        <f>COUNTIF(Aggregation_of_rev_to_allocate!$A$3:$A$137,$T408)</f>
        <v>1</v>
      </c>
      <c r="V408" s="100"/>
      <c r="W408" s="100">
        <v>503</v>
      </c>
      <c r="X408" s="109">
        <v>30153.25393995615</v>
      </c>
      <c r="Y408" s="109">
        <v>0</v>
      </c>
      <c r="Z408" s="110">
        <v>0.29030918625879643</v>
      </c>
      <c r="AA408" s="110">
        <v>1</v>
      </c>
      <c r="AB408" s="110">
        <v>0</v>
      </c>
      <c r="AC408" s="109">
        <f>IF(ISERROR((X408*SUMIF('Rev_for_allocation(Hard)'!$A$3:$A$249,$T408,'Rev_for_allocation(Hard)'!$I$3:$I$249)/SUMIF(Historic_capex_list!$T$9:$T$586,$T408,Historic_capex_list!$X$9:$X$586))=TRUE),0,X408*SUMIF('Rev_for_allocation(Hard)'!$A$3:$A$249,$T408,'Rev_for_allocation(Hard)'!$I$3:$I$249)/SUMIF(Historic_capex_list!$T$9:$T$586,$T408,Historic_capex_list!$X$9:$X$586))</f>
        <v>-6570.1097156844762</v>
      </c>
      <c r="AD408" s="109">
        <f t="shared" si="227"/>
        <v>23583.144224271673</v>
      </c>
      <c r="AE408" s="109">
        <f t="shared" si="260"/>
        <v>23583.144224271673</v>
      </c>
      <c r="AF408" s="109">
        <f t="shared" si="229"/>
        <v>23583.144224271673</v>
      </c>
      <c r="AG408" s="332" t="str">
        <f t="shared" si="230"/>
        <v>N</v>
      </c>
      <c r="AH408" s="332">
        <f t="shared" si="256"/>
        <v>0</v>
      </c>
      <c r="AI408" s="332">
        <f t="shared" si="257"/>
        <v>0</v>
      </c>
      <c r="AJ408" s="109">
        <f t="shared" si="258"/>
        <v>23583.144224271673</v>
      </c>
      <c r="AK408" s="109">
        <f t="shared" si="231"/>
        <v>0</v>
      </c>
      <c r="AL408" s="109">
        <v>0</v>
      </c>
      <c r="AM408" s="111">
        <f t="shared" si="232"/>
        <v>0</v>
      </c>
      <c r="AN408" s="111">
        <f t="shared" si="233"/>
        <v>0</v>
      </c>
      <c r="AO408" s="111" t="str">
        <f t="shared" si="234"/>
        <v>Use deduct 3yrs</v>
      </c>
      <c r="AP408" s="111">
        <f t="shared" si="235"/>
        <v>0</v>
      </c>
      <c r="AQ408" s="112">
        <f t="shared" si="236"/>
        <v>0</v>
      </c>
      <c r="AR408" s="112">
        <f t="shared" si="237"/>
        <v>1</v>
      </c>
      <c r="AS408" s="113">
        <f t="shared" si="238"/>
        <v>2028</v>
      </c>
      <c r="AT408" s="109">
        <v>23583.144224271673</v>
      </c>
      <c r="AU408" s="114">
        <v>1</v>
      </c>
      <c r="AV408" s="113">
        <v>2028</v>
      </c>
      <c r="AW408" s="112">
        <f t="shared" si="239"/>
        <v>8.6889310986949068E-3</v>
      </c>
      <c r="AX408" s="109">
        <f t="shared" si="240"/>
        <v>23583.144224271673</v>
      </c>
      <c r="AY408" s="109">
        <f t="shared" si="241"/>
        <v>0</v>
      </c>
      <c r="AZ408" s="109">
        <f t="shared" si="242"/>
        <v>23583.144224271673</v>
      </c>
      <c r="BA408" s="111">
        <f t="shared" si="243"/>
        <v>0</v>
      </c>
      <c r="BB408" s="117"/>
      <c r="BC408" s="115" t="str">
        <f t="shared" si="244"/>
        <v>N</v>
      </c>
      <c r="BD408" s="115" t="str">
        <f t="shared" si="245"/>
        <v>Y</v>
      </c>
      <c r="BE408" s="115" t="str">
        <f t="shared" si="246"/>
        <v>N</v>
      </c>
      <c r="BF408" s="109" t="str">
        <f t="shared" si="247"/>
        <v/>
      </c>
      <c r="BG408" s="111" t="s">
        <v>2499</v>
      </c>
      <c r="BH408" s="115" t="s">
        <v>1168</v>
      </c>
      <c r="BI408" s="116"/>
      <c r="BJ408" s="222">
        <v>0.2270535519252852</v>
      </c>
      <c r="BK408" s="265">
        <f t="shared" si="248"/>
        <v>0</v>
      </c>
      <c r="BL408" s="265">
        <f t="shared" si="249"/>
        <v>0</v>
      </c>
      <c r="BM408" s="265">
        <f t="shared" si="250"/>
        <v>-9.3496055342257023E-10</v>
      </c>
      <c r="BN408" s="265">
        <f t="shared" si="251"/>
        <v>6570.2539399561465</v>
      </c>
      <c r="BO408" s="109"/>
      <c r="BP408" s="265">
        <f t="shared" si="252"/>
        <v>6570.1097156844771</v>
      </c>
      <c r="BQ408" s="265">
        <v>6570.1097156844771</v>
      </c>
      <c r="BR408" s="265" t="e">
        <f t="shared" si="253"/>
        <v>#REF!</v>
      </c>
      <c r="BS408" s="265">
        <v>740.18354291563196</v>
      </c>
      <c r="BT408" s="475">
        <v>80282.855775728327</v>
      </c>
      <c r="BU408" s="475">
        <v>23583.144224271673</v>
      </c>
      <c r="BV408" s="475">
        <v>0</v>
      </c>
      <c r="BW408" s="483">
        <f t="shared" si="254"/>
        <v>-0.14422427166937268</v>
      </c>
      <c r="BX408" s="483">
        <f t="shared" si="255"/>
        <v>0</v>
      </c>
    </row>
    <row r="409" spans="1:77" s="103" customFormat="1" ht="43.5">
      <c r="A409" s="100"/>
      <c r="B409" s="91" t="str">
        <f t="shared" si="223"/>
        <v>TRA</v>
      </c>
      <c r="C409" s="92"/>
      <c r="D409" s="448"/>
      <c r="E409" s="450"/>
      <c r="F409" s="384" t="s">
        <v>2944</v>
      </c>
      <c r="G409" s="384" t="s">
        <v>4447</v>
      </c>
      <c r="H409" s="398">
        <v>0.66</v>
      </c>
      <c r="I409" s="95"/>
      <c r="J409" s="95" t="s">
        <v>1166</v>
      </c>
      <c r="K409" s="191">
        <v>468858.64</v>
      </c>
      <c r="L409" s="268">
        <v>0.88214416740097457</v>
      </c>
      <c r="M409" s="266">
        <v>0.58823529411764708</v>
      </c>
      <c r="N409" s="267">
        <f t="shared" si="224"/>
        <v>0.41176470588235292</v>
      </c>
      <c r="O409" s="96">
        <f t="shared" si="225"/>
        <v>195882.03635637483</v>
      </c>
      <c r="P409" s="96">
        <f t="shared" si="259"/>
        <v>160574.47273154423</v>
      </c>
      <c r="Q409" s="96">
        <f t="shared" si="226"/>
        <v>112402.13091208096</v>
      </c>
      <c r="R409" s="187"/>
      <c r="S409" s="187" t="s">
        <v>3608</v>
      </c>
      <c r="T409" s="94" t="s">
        <v>2779</v>
      </c>
      <c r="U409" s="395"/>
      <c r="V409" s="100"/>
      <c r="W409" s="100"/>
      <c r="X409" s="109">
        <v>153176.117688</v>
      </c>
      <c r="Y409" s="109">
        <v>153176.117688</v>
      </c>
      <c r="Z409" s="110">
        <v>0.99</v>
      </c>
      <c r="AA409" s="110">
        <v>0.5</v>
      </c>
      <c r="AB409" s="110">
        <v>0.5</v>
      </c>
      <c r="AC409" s="109">
        <f>IF(ISERROR((X409*SUMIF('Rev_for_allocation(Hard)'!$A$3:$A$249,$T409,'Rev_for_allocation(Hard)'!$I$3:$I$249)/SUMIF(Historic_capex_list!$T$9:$T$586,$T409,Historic_capex_list!$X$9:$X$586))=TRUE),0,X409*SUMIF('Rev_for_allocation(Hard)'!$A$3:$A$249,$T409,'Rev_for_allocation(Hard)'!$I$3:$I$249)/SUMIF(Historic_capex_list!$T$9:$T$586,$T409,Historic_capex_list!$X$9:$X$586))</f>
        <v>-33375.631732374852</v>
      </c>
      <c r="AD409" s="109">
        <f t="shared" si="227"/>
        <v>119800.48595562515</v>
      </c>
      <c r="AE409" s="109">
        <f t="shared" si="260"/>
        <v>119800.48595562515</v>
      </c>
      <c r="AF409" s="109">
        <f t="shared" si="229"/>
        <v>272976.60364362516</v>
      </c>
      <c r="AG409" s="332" t="str">
        <f t="shared" si="230"/>
        <v>N</v>
      </c>
      <c r="AH409" s="332">
        <f t="shared" si="256"/>
        <v>0</v>
      </c>
      <c r="AI409" s="332">
        <f t="shared" si="257"/>
        <v>0</v>
      </c>
      <c r="AJ409" s="109">
        <f t="shared" si="258"/>
        <v>272976.60364362516</v>
      </c>
      <c r="AK409" s="109">
        <f t="shared" si="231"/>
        <v>0</v>
      </c>
      <c r="AL409" s="109">
        <v>0</v>
      </c>
      <c r="AM409" s="111">
        <f t="shared" si="232"/>
        <v>10</v>
      </c>
      <c r="AN409" s="111">
        <f t="shared" si="233"/>
        <v>7</v>
      </c>
      <c r="AO409" s="111" t="str">
        <f t="shared" si="234"/>
        <v>Use deduct 3yrs</v>
      </c>
      <c r="AP409" s="111">
        <f t="shared" si="235"/>
        <v>7</v>
      </c>
      <c r="AQ409" s="112">
        <f t="shared" si="236"/>
        <v>0.41176470588235292</v>
      </c>
      <c r="AR409" s="112">
        <f t="shared" si="237"/>
        <v>0.58823529411764708</v>
      </c>
      <c r="AS409" s="113">
        <f t="shared" si="238"/>
        <v>2035</v>
      </c>
      <c r="AT409" s="109">
        <v>272976.60364362516</v>
      </c>
      <c r="AU409" s="114">
        <v>0.58823529411764708</v>
      </c>
      <c r="AV409" s="113">
        <v>2035</v>
      </c>
      <c r="AW409" s="112">
        <f t="shared" si="239"/>
        <v>0.88214416740097457</v>
      </c>
      <c r="AX409" s="109">
        <f t="shared" si="240"/>
        <v>160574.47273154423</v>
      </c>
      <c r="AY409" s="109">
        <f t="shared" si="241"/>
        <v>112402.13091208096</v>
      </c>
      <c r="AZ409" s="109">
        <f t="shared" si="242"/>
        <v>272976.60364362516</v>
      </c>
      <c r="BA409" s="111">
        <f t="shared" si="243"/>
        <v>0</v>
      </c>
      <c r="BB409" s="117"/>
      <c r="BC409" s="115" t="str">
        <f t="shared" si="244"/>
        <v>N</v>
      </c>
      <c r="BD409" s="115" t="str">
        <f t="shared" si="245"/>
        <v>N</v>
      </c>
      <c r="BE409" s="115" t="str">
        <f t="shared" si="246"/>
        <v>N</v>
      </c>
      <c r="BF409" s="109" t="str">
        <f t="shared" si="247"/>
        <v/>
      </c>
      <c r="BG409" s="111" t="s">
        <v>2499</v>
      </c>
      <c r="BH409" s="115" t="s">
        <v>1168</v>
      </c>
      <c r="BI409" s="116"/>
      <c r="BJ409" s="222">
        <v>0.88214416740097457</v>
      </c>
      <c r="BK409" s="265">
        <f t="shared" si="248"/>
        <v>0</v>
      </c>
      <c r="BL409" s="265">
        <f t="shared" si="249"/>
        <v>0</v>
      </c>
      <c r="BM409" s="265">
        <f t="shared" si="250"/>
        <v>0</v>
      </c>
      <c r="BN409" s="265">
        <f t="shared" si="251"/>
        <v>-7398.3550435442303</v>
      </c>
      <c r="BO409" s="109"/>
      <c r="BP409" s="265">
        <f t="shared" si="252"/>
        <v>33375.631732374837</v>
      </c>
      <c r="BQ409" s="265">
        <v>33375.631732374837</v>
      </c>
      <c r="BR409" s="265" t="e">
        <f t="shared" si="253"/>
        <v>#REF!</v>
      </c>
      <c r="BS409" s="265">
        <v>3760.0731816915959</v>
      </c>
      <c r="BT409" s="475">
        <v>195882.03635637483</v>
      </c>
      <c r="BU409" s="475">
        <v>160574.47273154423</v>
      </c>
      <c r="BV409" s="475">
        <v>112402.13091208096</v>
      </c>
      <c r="BW409" s="483">
        <f t="shared" si="254"/>
        <v>0</v>
      </c>
      <c r="BX409" s="483">
        <f t="shared" si="255"/>
        <v>0</v>
      </c>
    </row>
    <row r="410" spans="1:77" s="103" customFormat="1" ht="29">
      <c r="A410" s="100"/>
      <c r="B410" s="91" t="str">
        <f t="shared" si="223"/>
        <v>TRA</v>
      </c>
      <c r="C410" s="92"/>
      <c r="D410" s="448"/>
      <c r="E410" s="450"/>
      <c r="F410" s="467" t="s">
        <v>3629</v>
      </c>
      <c r="G410" s="467" t="s">
        <v>4456</v>
      </c>
      <c r="H410" s="398">
        <v>0.18</v>
      </c>
      <c r="I410" s="95"/>
      <c r="J410" s="95" t="s">
        <v>1166</v>
      </c>
      <c r="K410" s="191">
        <v>14449672.870000001</v>
      </c>
      <c r="L410" s="268">
        <v>0.73883983915986229</v>
      </c>
      <c r="M410" s="266">
        <v>0.83854818523153951</v>
      </c>
      <c r="N410" s="267">
        <f t="shared" si="224"/>
        <v>0.16145181476846049</v>
      </c>
      <c r="O410" s="96">
        <f t="shared" si="225"/>
        <v>12527993.953746986</v>
      </c>
      <c r="P410" s="96">
        <f t="shared" si="259"/>
        <v>1611420.3678216785</v>
      </c>
      <c r="Q410" s="96">
        <f t="shared" si="226"/>
        <v>310258.54843133793</v>
      </c>
      <c r="R410" s="187"/>
      <c r="S410" s="187" t="s">
        <v>3608</v>
      </c>
      <c r="T410" s="94" t="s">
        <v>2780</v>
      </c>
      <c r="U410" s="395"/>
      <c r="V410" s="100"/>
      <c r="W410" s="100"/>
      <c r="X410" s="109">
        <v>1742630.5481220002</v>
      </c>
      <c r="Y410" s="109">
        <v>858310.568478</v>
      </c>
      <c r="Z410" s="110">
        <v>1</v>
      </c>
      <c r="AA410" s="110">
        <v>0.67</v>
      </c>
      <c r="AB410" s="110">
        <v>0.32999999999999996</v>
      </c>
      <c r="AC410" s="109">
        <f>IF(ISERROR((X410*SUMIF('Rev_for_allocation(Hard)'!$A$3:$A$249,$T410,'Rev_for_allocation(Hard)'!$I$3:$I$249)/SUMIF(Historic_capex_list!$T$9:$T$586,$T410,Historic_capex_list!$X$9:$X$586))=TRUE),0,X410*SUMIF('Rev_for_allocation(Hard)'!$A$3:$A$249,$T410,'Rev_for_allocation(Hard)'!$I$3:$I$249)/SUMIF(Historic_capex_list!$T$9:$T$586,$T410,Historic_capex_list!$X$9:$X$586))</f>
        <v>-679262.20034698327</v>
      </c>
      <c r="AD410" s="109">
        <f t="shared" si="227"/>
        <v>1063368.3477750169</v>
      </c>
      <c r="AE410" s="109">
        <f t="shared" si="260"/>
        <v>1063368.3477750169</v>
      </c>
      <c r="AF410" s="109">
        <f t="shared" si="229"/>
        <v>1921678.9162530168</v>
      </c>
      <c r="AG410" s="332" t="str">
        <f t="shared" si="230"/>
        <v>N</v>
      </c>
      <c r="AH410" s="332">
        <f t="shared" si="256"/>
        <v>0</v>
      </c>
      <c r="AI410" s="332">
        <f t="shared" si="257"/>
        <v>0</v>
      </c>
      <c r="AJ410" s="109">
        <f t="shared" si="258"/>
        <v>1921678.9162530168</v>
      </c>
      <c r="AK410" s="109">
        <f t="shared" si="231"/>
        <v>0</v>
      </c>
      <c r="AL410" s="109">
        <v>0</v>
      </c>
      <c r="AM410" s="111">
        <f t="shared" si="232"/>
        <v>4.9253731343283578</v>
      </c>
      <c r="AN410" s="111">
        <f t="shared" si="233"/>
        <v>1.9253731343283578</v>
      </c>
      <c r="AO410" s="111" t="str">
        <f t="shared" si="234"/>
        <v>Use deduct 3yrs</v>
      </c>
      <c r="AP410" s="111">
        <f t="shared" si="235"/>
        <v>1.9253731343283578</v>
      </c>
      <c r="AQ410" s="112">
        <f t="shared" si="236"/>
        <v>0.16145181476846054</v>
      </c>
      <c r="AR410" s="112">
        <f t="shared" si="237"/>
        <v>0.83854818523153951</v>
      </c>
      <c r="AS410" s="113">
        <f t="shared" si="238"/>
        <v>2030</v>
      </c>
      <c r="AT410" s="109">
        <v>1921678.9162530168</v>
      </c>
      <c r="AU410" s="114">
        <v>0.83854818523153951</v>
      </c>
      <c r="AV410" s="113">
        <v>2030</v>
      </c>
      <c r="AW410" s="112">
        <f t="shared" si="239"/>
        <v>0.73883983915986229</v>
      </c>
      <c r="AX410" s="109">
        <f t="shared" si="240"/>
        <v>1611420.3678216785</v>
      </c>
      <c r="AY410" s="109">
        <f t="shared" si="241"/>
        <v>310258.54843133793</v>
      </c>
      <c r="AZ410" s="109">
        <f t="shared" si="242"/>
        <v>1921678.9162530163</v>
      </c>
      <c r="BA410" s="111">
        <f t="shared" si="243"/>
        <v>0</v>
      </c>
      <c r="BB410" s="117"/>
      <c r="BC410" s="115" t="str">
        <f t="shared" si="244"/>
        <v>N</v>
      </c>
      <c r="BD410" s="115" t="str">
        <f t="shared" si="245"/>
        <v>N</v>
      </c>
      <c r="BE410" s="115" t="str">
        <f t="shared" si="246"/>
        <v>N</v>
      </c>
      <c r="BF410" s="109" t="str">
        <f t="shared" si="247"/>
        <v/>
      </c>
      <c r="BG410" s="111" t="s">
        <v>2499</v>
      </c>
      <c r="BH410" s="115" t="s">
        <v>1168</v>
      </c>
      <c r="BI410" s="116"/>
      <c r="BJ410" s="222">
        <v>0.73883983915986229</v>
      </c>
      <c r="BK410" s="265">
        <f t="shared" si="248"/>
        <v>0</v>
      </c>
      <c r="BL410" s="265">
        <f t="shared" si="249"/>
        <v>0</v>
      </c>
      <c r="BM410" s="265">
        <f t="shared" si="250"/>
        <v>-1.0477378964424133E-9</v>
      </c>
      <c r="BN410" s="265">
        <f t="shared" si="251"/>
        <v>131210.18030032166</v>
      </c>
      <c r="BO410" s="109"/>
      <c r="BP410" s="265">
        <f t="shared" si="252"/>
        <v>679262.2003469835</v>
      </c>
      <c r="BQ410" s="265">
        <v>679262.2003469835</v>
      </c>
      <c r="BR410" s="265" t="e">
        <f t="shared" si="253"/>
        <v>#REF!</v>
      </c>
      <c r="BS410" s="265">
        <v>76525.160732284421</v>
      </c>
      <c r="BT410" s="475">
        <v>12527993.953746986</v>
      </c>
      <c r="BU410" s="475">
        <v>1611420.3678216785</v>
      </c>
      <c r="BV410" s="475">
        <v>310258.54843133793</v>
      </c>
      <c r="BW410" s="483">
        <f t="shared" si="254"/>
        <v>0</v>
      </c>
      <c r="BX410" s="483">
        <f t="shared" si="255"/>
        <v>0</v>
      </c>
    </row>
    <row r="411" spans="1:77" s="103" customFormat="1" ht="43.5">
      <c r="A411" s="100" t="s">
        <v>2259</v>
      </c>
      <c r="B411" s="91" t="str">
        <f t="shared" si="223"/>
        <v>TRA</v>
      </c>
      <c r="C411" s="92" t="s">
        <v>461</v>
      </c>
      <c r="D411" s="448"/>
      <c r="E411" s="450" t="s">
        <v>2215</v>
      </c>
      <c r="F411" s="467" t="s">
        <v>2214</v>
      </c>
      <c r="G411" s="467" t="s">
        <v>4955</v>
      </c>
      <c r="H411" s="398">
        <v>0.35</v>
      </c>
      <c r="I411" s="95" t="s">
        <v>890</v>
      </c>
      <c r="J411" s="95" t="s">
        <v>1166</v>
      </c>
      <c r="K411" s="191">
        <v>29531716</v>
      </c>
      <c r="L411" s="268">
        <v>0.668230875054318</v>
      </c>
      <c r="M411" s="266">
        <v>0.41147132169576073</v>
      </c>
      <c r="N411" s="267">
        <f t="shared" si="224"/>
        <v>0.58852867830423927</v>
      </c>
      <c r="O411" s="96">
        <f t="shared" si="225"/>
        <v>22624814.45141254</v>
      </c>
      <c r="P411" s="96">
        <f t="shared" si="259"/>
        <v>2841991.9090197789</v>
      </c>
      <c r="Q411" s="96">
        <f t="shared" si="226"/>
        <v>4064909.6395676816</v>
      </c>
      <c r="R411" s="187" t="s">
        <v>2336</v>
      </c>
      <c r="S411" s="187" t="s">
        <v>3608</v>
      </c>
      <c r="T411" s="94" t="s">
        <v>2780</v>
      </c>
      <c r="U411" s="395">
        <f>COUNTIF(Aggregation_of_rev_to_allocate!$A$3:$A$137,$T411)</f>
        <v>1</v>
      </c>
      <c r="V411" s="100"/>
      <c r="W411" s="100">
        <v>493</v>
      </c>
      <c r="X411" s="109">
        <v>2951021.9557600743</v>
      </c>
      <c r="Y411" s="109">
        <v>5106162.2325424291</v>
      </c>
      <c r="Z411" s="110">
        <v>0.77951874697335122</v>
      </c>
      <c r="AA411" s="110">
        <v>0.36625971143174263</v>
      </c>
      <c r="AB411" s="110">
        <v>0.63374028856825737</v>
      </c>
      <c r="AC411" s="109">
        <f>IF(ISERROR((X411*SUMIF('Rev_for_allocation(Hard)'!$A$3:$A$249,$T411,'Rev_for_allocation(Hard)'!$I$3:$I$249)/SUMIF(Historic_capex_list!$T$9:$T$586,$T411,Historic_capex_list!$X$9:$X$586))=TRUE),0,X411*SUMIF('Rev_for_allocation(Hard)'!$A$3:$A$249,$T411,'Rev_for_allocation(Hard)'!$I$3:$I$249)/SUMIF(Historic_capex_list!$T$9:$T$586,$T411,Historic_capex_list!$X$9:$X$586))</f>
        <v>-1150282.6397150427</v>
      </c>
      <c r="AD411" s="109">
        <f t="shared" si="227"/>
        <v>1800739.3160450316</v>
      </c>
      <c r="AE411" s="109">
        <f t="shared" si="260"/>
        <v>1800739.3160450316</v>
      </c>
      <c r="AF411" s="109">
        <f t="shared" si="229"/>
        <v>6906901.548587461</v>
      </c>
      <c r="AG411" s="332" t="str">
        <f t="shared" si="230"/>
        <v>N</v>
      </c>
      <c r="AH411" s="332">
        <f t="shared" si="256"/>
        <v>0</v>
      </c>
      <c r="AI411" s="332">
        <f t="shared" si="257"/>
        <v>0</v>
      </c>
      <c r="AJ411" s="109">
        <f t="shared" si="258"/>
        <v>6906901.548587461</v>
      </c>
      <c r="AK411" s="109">
        <f t="shared" si="231"/>
        <v>0</v>
      </c>
      <c r="AL411" s="109">
        <v>0</v>
      </c>
      <c r="AM411" s="111">
        <f t="shared" si="232"/>
        <v>17.303030303030294</v>
      </c>
      <c r="AN411" s="111">
        <f t="shared" si="233"/>
        <v>14.303030303030294</v>
      </c>
      <c r="AO411" s="111" t="str">
        <f t="shared" si="234"/>
        <v>Use deduct 3yrs</v>
      </c>
      <c r="AP411" s="111">
        <f t="shared" si="235"/>
        <v>14.303030303030294</v>
      </c>
      <c r="AQ411" s="112">
        <f t="shared" si="236"/>
        <v>0.58852867830423927</v>
      </c>
      <c r="AR411" s="112">
        <f t="shared" si="237"/>
        <v>0.41147132169576073</v>
      </c>
      <c r="AS411" s="113">
        <f t="shared" si="238"/>
        <v>2042</v>
      </c>
      <c r="AT411" s="109">
        <v>6906901.548587461</v>
      </c>
      <c r="AU411" s="114">
        <v>0.41147132169576073</v>
      </c>
      <c r="AV411" s="113">
        <v>2042</v>
      </c>
      <c r="AW411" s="112">
        <f t="shared" si="239"/>
        <v>0.668230875054318</v>
      </c>
      <c r="AX411" s="109">
        <f t="shared" si="240"/>
        <v>2841991.9090197789</v>
      </c>
      <c r="AY411" s="109">
        <f t="shared" si="241"/>
        <v>4064909.6395676816</v>
      </c>
      <c r="AZ411" s="109">
        <f t="shared" si="242"/>
        <v>6906901.5485874601</v>
      </c>
      <c r="BA411" s="111">
        <f t="shared" si="243"/>
        <v>0</v>
      </c>
      <c r="BB411" s="117" t="s">
        <v>2473</v>
      </c>
      <c r="BC411" s="115" t="str">
        <f t="shared" si="244"/>
        <v>N</v>
      </c>
      <c r="BD411" s="115" t="str">
        <f t="shared" si="245"/>
        <v>N</v>
      </c>
      <c r="BE411" s="115" t="str">
        <f t="shared" si="246"/>
        <v>N</v>
      </c>
      <c r="BF411" s="109" t="str">
        <f t="shared" si="247"/>
        <v/>
      </c>
      <c r="BG411" s="111" t="s">
        <v>2499</v>
      </c>
      <c r="BH411" s="115" t="s">
        <v>1168</v>
      </c>
      <c r="BI411" s="116"/>
      <c r="BJ411" s="222">
        <v>0.668230875054318</v>
      </c>
      <c r="BK411" s="265">
        <f t="shared" si="248"/>
        <v>0</v>
      </c>
      <c r="BL411" s="265">
        <f t="shared" si="249"/>
        <v>0</v>
      </c>
      <c r="BM411" s="265">
        <f t="shared" si="250"/>
        <v>0</v>
      </c>
      <c r="BN411" s="265">
        <f t="shared" si="251"/>
        <v>109030.04674029537</v>
      </c>
      <c r="BO411" s="109"/>
      <c r="BP411" s="265">
        <f t="shared" si="252"/>
        <v>1150282.6397150429</v>
      </c>
      <c r="BQ411" s="265">
        <v>1150282.6397150429</v>
      </c>
      <c r="BR411" s="265" t="e">
        <f t="shared" si="253"/>
        <v>#REF!</v>
      </c>
      <c r="BS411" s="265">
        <v>129589.96370883657</v>
      </c>
      <c r="BT411" s="475">
        <v>22624814.45141254</v>
      </c>
      <c r="BU411" s="475">
        <v>2841991.9090197789</v>
      </c>
      <c r="BV411" s="475">
        <v>4064909.6395676816</v>
      </c>
      <c r="BW411" s="483">
        <f t="shared" si="254"/>
        <v>0</v>
      </c>
      <c r="BX411" s="483">
        <f t="shared" si="255"/>
        <v>0</v>
      </c>
    </row>
    <row r="412" spans="1:77" s="103" customFormat="1" ht="29">
      <c r="A412" s="100"/>
      <c r="B412" s="91" t="str">
        <f t="shared" si="223"/>
        <v>TRA</v>
      </c>
      <c r="C412" s="92"/>
      <c r="D412" s="448"/>
      <c r="E412" s="450"/>
      <c r="F412" s="384" t="s">
        <v>2478</v>
      </c>
      <c r="G412" s="384" t="s">
        <v>4678</v>
      </c>
      <c r="H412" s="398">
        <v>0.11</v>
      </c>
      <c r="I412" s="95"/>
      <c r="J412" s="95" t="s">
        <v>1166</v>
      </c>
      <c r="K412" s="191">
        <v>1031291</v>
      </c>
      <c r="L412" s="268">
        <v>0.61020871516397368</v>
      </c>
      <c r="M412" s="266">
        <v>1</v>
      </c>
      <c r="N412" s="267">
        <f t="shared" si="224"/>
        <v>0</v>
      </c>
      <c r="O412" s="96">
        <f t="shared" si="225"/>
        <v>962067.6968322813</v>
      </c>
      <c r="P412" s="96">
        <f t="shared" si="259"/>
        <v>69223.303167718652</v>
      </c>
      <c r="Q412" s="96">
        <f t="shared" si="226"/>
        <v>0</v>
      </c>
      <c r="R412" s="187" t="s">
        <v>2336</v>
      </c>
      <c r="S412" s="187" t="s">
        <v>3608</v>
      </c>
      <c r="T412" s="94" t="s">
        <v>2780</v>
      </c>
      <c r="U412" s="395">
        <f>COUNTIF(Aggregation_of_rev_to_allocate!$A$3:$A$137,$T412)</f>
        <v>1</v>
      </c>
      <c r="V412" s="100"/>
      <c r="W412" s="100">
        <v>889</v>
      </c>
      <c r="X412" s="109">
        <v>113442.01</v>
      </c>
      <c r="Y412" s="109">
        <v>0</v>
      </c>
      <c r="Z412" s="110">
        <v>1</v>
      </c>
      <c r="AA412" s="110">
        <v>1</v>
      </c>
      <c r="AB412" s="110">
        <v>0</v>
      </c>
      <c r="AC412" s="109">
        <f>IF(ISERROR((X412*SUMIF('Rev_for_allocation(Hard)'!$A$3:$A$249,$T412,'Rev_for_allocation(Hard)'!$I$3:$I$249)/SUMIF(Historic_capex_list!$T$9:$T$586,$T412,Historic_capex_list!$X$9:$X$586))=TRUE),0,X412*SUMIF('Rev_for_allocation(Hard)'!$A$3:$A$249,$T412,'Rev_for_allocation(Hard)'!$I$3:$I$249)/SUMIF(Historic_capex_list!$T$9:$T$586,$T412,Historic_capex_list!$X$9:$X$586))</f>
        <v>-44218.706832281343</v>
      </c>
      <c r="AD412" s="109">
        <f t="shared" si="227"/>
        <v>69223.303167718652</v>
      </c>
      <c r="AE412" s="109">
        <f t="shared" si="260"/>
        <v>69223.303167718652</v>
      </c>
      <c r="AF412" s="109">
        <f t="shared" si="229"/>
        <v>69223.303167718652</v>
      </c>
      <c r="AG412" s="332" t="str">
        <f t="shared" si="230"/>
        <v>N</v>
      </c>
      <c r="AH412" s="332">
        <f t="shared" si="256"/>
        <v>0</v>
      </c>
      <c r="AI412" s="332">
        <f t="shared" si="257"/>
        <v>0</v>
      </c>
      <c r="AJ412" s="109">
        <f t="shared" si="258"/>
        <v>69223.303167718652</v>
      </c>
      <c r="AK412" s="109">
        <f t="shared" si="231"/>
        <v>0</v>
      </c>
      <c r="AL412" s="109">
        <v>0</v>
      </c>
      <c r="AM412" s="111">
        <f t="shared" si="232"/>
        <v>0</v>
      </c>
      <c r="AN412" s="111">
        <f t="shared" si="233"/>
        <v>0</v>
      </c>
      <c r="AO412" s="111" t="str">
        <f t="shared" si="234"/>
        <v>Use deduct 3yrs</v>
      </c>
      <c r="AP412" s="111">
        <f t="shared" si="235"/>
        <v>0</v>
      </c>
      <c r="AQ412" s="112">
        <f t="shared" si="236"/>
        <v>0</v>
      </c>
      <c r="AR412" s="112">
        <f t="shared" si="237"/>
        <v>1</v>
      </c>
      <c r="AS412" s="113">
        <f t="shared" si="238"/>
        <v>2028</v>
      </c>
      <c r="AT412" s="109">
        <v>69223.303167718652</v>
      </c>
      <c r="AU412" s="114">
        <v>1</v>
      </c>
      <c r="AV412" s="113">
        <v>2028</v>
      </c>
      <c r="AW412" s="112">
        <f t="shared" si="239"/>
        <v>0.61020871516397368</v>
      </c>
      <c r="AX412" s="109">
        <f t="shared" si="240"/>
        <v>69223.303167718652</v>
      </c>
      <c r="AY412" s="109">
        <f t="shared" si="241"/>
        <v>0</v>
      </c>
      <c r="AZ412" s="109">
        <f t="shared" si="242"/>
        <v>69223.303167718652</v>
      </c>
      <c r="BA412" s="111">
        <f t="shared" si="243"/>
        <v>0</v>
      </c>
      <c r="BB412" s="117"/>
      <c r="BC412" s="115" t="str">
        <f t="shared" si="244"/>
        <v>N</v>
      </c>
      <c r="BD412" s="115" t="str">
        <f t="shared" si="245"/>
        <v>Y</v>
      </c>
      <c r="BE412" s="115" t="str">
        <f t="shared" si="246"/>
        <v>N</v>
      </c>
      <c r="BF412" s="109" t="str">
        <f t="shared" si="247"/>
        <v/>
      </c>
      <c r="BG412" s="111" t="s">
        <v>2499</v>
      </c>
      <c r="BH412" s="115" t="s">
        <v>1168</v>
      </c>
      <c r="BI412" s="116"/>
      <c r="BJ412" s="222">
        <v>0.61020871516397368</v>
      </c>
      <c r="BK412" s="265">
        <f t="shared" si="248"/>
        <v>0</v>
      </c>
      <c r="BL412" s="265">
        <f t="shared" si="249"/>
        <v>0</v>
      </c>
      <c r="BM412" s="265">
        <f t="shared" si="250"/>
        <v>4.3655745685100555E-11</v>
      </c>
      <c r="BN412" s="265">
        <f t="shared" si="251"/>
        <v>44218.706832281343</v>
      </c>
      <c r="BO412" s="109"/>
      <c r="BP412" s="265">
        <f t="shared" si="252"/>
        <v>44218.706832281343</v>
      </c>
      <c r="BQ412" s="265">
        <v>44218.706832281343</v>
      </c>
      <c r="BR412" s="265" t="e">
        <f t="shared" si="253"/>
        <v>#REF!</v>
      </c>
      <c r="BS412" s="265">
        <v>4981.6457414906117</v>
      </c>
      <c r="BT412" s="475">
        <v>962067.6968322813</v>
      </c>
      <c r="BU412" s="475">
        <v>69223.303167718652</v>
      </c>
      <c r="BV412" s="475">
        <v>0</v>
      </c>
      <c r="BW412" s="483">
        <f t="shared" si="254"/>
        <v>0</v>
      </c>
      <c r="BX412" s="483">
        <f t="shared" si="255"/>
        <v>0</v>
      </c>
    </row>
    <row r="413" spans="1:77" s="103" customFormat="1" ht="29">
      <c r="A413" s="100"/>
      <c r="B413" s="91" t="str">
        <f t="shared" si="223"/>
        <v>TRA</v>
      </c>
      <c r="C413" s="92"/>
      <c r="D413" s="448"/>
      <c r="E413" s="450"/>
      <c r="F413" s="384" t="s">
        <v>2478</v>
      </c>
      <c r="G413" s="384" t="s">
        <v>4678</v>
      </c>
      <c r="H413" s="398">
        <v>0.11</v>
      </c>
      <c r="I413" s="95"/>
      <c r="J413" s="95" t="s">
        <v>1166</v>
      </c>
      <c r="K413" s="191">
        <v>2347056.81</v>
      </c>
      <c r="L413" s="268">
        <v>0.61020871516397368</v>
      </c>
      <c r="M413" s="266">
        <v>1</v>
      </c>
      <c r="N413" s="267">
        <f t="shared" si="224"/>
        <v>0</v>
      </c>
      <c r="O413" s="96">
        <f t="shared" si="225"/>
        <v>2189515.4127508351</v>
      </c>
      <c r="P413" s="96">
        <f t="shared" si="259"/>
        <v>157541.39724916502</v>
      </c>
      <c r="Q413" s="96">
        <f t="shared" si="226"/>
        <v>0</v>
      </c>
      <c r="R413" s="187" t="s">
        <v>2336</v>
      </c>
      <c r="S413" s="187" t="s">
        <v>3608</v>
      </c>
      <c r="T413" s="94" t="s">
        <v>2780</v>
      </c>
      <c r="U413" s="395">
        <f>COUNTIF(Aggregation_of_rev_to_allocate!$A$3:$A$137,$T413)</f>
        <v>1</v>
      </c>
      <c r="V413" s="100"/>
      <c r="W413" s="100">
        <v>889</v>
      </c>
      <c r="X413" s="109">
        <v>258176.24910000002</v>
      </c>
      <c r="Y413" s="109">
        <v>0</v>
      </c>
      <c r="Z413" s="110">
        <v>1</v>
      </c>
      <c r="AA413" s="110">
        <v>1</v>
      </c>
      <c r="AB413" s="110">
        <v>0</v>
      </c>
      <c r="AC413" s="109">
        <f>IF(ISERROR((X413*SUMIF('Rev_for_allocation(Hard)'!$A$3:$A$249,$T413,'Rev_for_allocation(Hard)'!$I$3:$I$249)/SUMIF(Historic_capex_list!$T$9:$T$586,$T413,Historic_capex_list!$X$9:$X$586))=TRUE),0,X413*SUMIF('Rev_for_allocation(Hard)'!$A$3:$A$249,$T413,'Rev_for_allocation(Hard)'!$I$3:$I$249)/SUMIF(Historic_capex_list!$T$9:$T$586,$T413,Historic_capex_list!$X$9:$X$586))</f>
        <v>-100634.851850835</v>
      </c>
      <c r="AD413" s="109">
        <f t="shared" si="227"/>
        <v>157541.39724916502</v>
      </c>
      <c r="AE413" s="109">
        <f t="shared" si="260"/>
        <v>157541.39724916502</v>
      </c>
      <c r="AF413" s="109">
        <f t="shared" si="229"/>
        <v>157541.39724916502</v>
      </c>
      <c r="AG413" s="332" t="str">
        <f t="shared" si="230"/>
        <v>N</v>
      </c>
      <c r="AH413" s="332">
        <f t="shared" si="256"/>
        <v>0</v>
      </c>
      <c r="AI413" s="332">
        <f t="shared" si="257"/>
        <v>0</v>
      </c>
      <c r="AJ413" s="109">
        <f t="shared" si="258"/>
        <v>157541.39724916502</v>
      </c>
      <c r="AK413" s="109">
        <f t="shared" si="231"/>
        <v>0</v>
      </c>
      <c r="AL413" s="109">
        <v>0</v>
      </c>
      <c r="AM413" s="111">
        <f t="shared" si="232"/>
        <v>0</v>
      </c>
      <c r="AN413" s="111">
        <f t="shared" si="233"/>
        <v>0</v>
      </c>
      <c r="AO413" s="111" t="str">
        <f t="shared" si="234"/>
        <v>Use deduct 3yrs</v>
      </c>
      <c r="AP413" s="111">
        <f t="shared" si="235"/>
        <v>0</v>
      </c>
      <c r="AQ413" s="112">
        <f t="shared" si="236"/>
        <v>0</v>
      </c>
      <c r="AR413" s="112">
        <f t="shared" si="237"/>
        <v>1</v>
      </c>
      <c r="AS413" s="113">
        <f t="shared" si="238"/>
        <v>2028</v>
      </c>
      <c r="AT413" s="109">
        <v>157541.39724916502</v>
      </c>
      <c r="AU413" s="114">
        <v>1</v>
      </c>
      <c r="AV413" s="113">
        <v>2028</v>
      </c>
      <c r="AW413" s="112">
        <f t="shared" si="239"/>
        <v>0.61020871516397368</v>
      </c>
      <c r="AX413" s="109">
        <f t="shared" si="240"/>
        <v>157541.39724916502</v>
      </c>
      <c r="AY413" s="109">
        <f t="shared" si="241"/>
        <v>0</v>
      </c>
      <c r="AZ413" s="109">
        <f t="shared" si="242"/>
        <v>157541.39724916502</v>
      </c>
      <c r="BA413" s="111">
        <f t="shared" si="243"/>
        <v>0</v>
      </c>
      <c r="BB413" s="117"/>
      <c r="BC413" s="115" t="str">
        <f t="shared" si="244"/>
        <v>N</v>
      </c>
      <c r="BD413" s="115" t="str">
        <f t="shared" si="245"/>
        <v>Y</v>
      </c>
      <c r="BE413" s="115" t="str">
        <f t="shared" si="246"/>
        <v>N</v>
      </c>
      <c r="BF413" s="109" t="str">
        <f t="shared" si="247"/>
        <v/>
      </c>
      <c r="BG413" s="111" t="s">
        <v>2499</v>
      </c>
      <c r="BH413" s="115" t="s">
        <v>1168</v>
      </c>
      <c r="BI413" s="116"/>
      <c r="BJ413" s="222">
        <v>0.61020871516397368</v>
      </c>
      <c r="BK413" s="265">
        <f t="shared" si="248"/>
        <v>0</v>
      </c>
      <c r="BL413" s="265">
        <f t="shared" si="249"/>
        <v>0</v>
      </c>
      <c r="BM413" s="265">
        <f t="shared" si="250"/>
        <v>-2.9103830456733704E-11</v>
      </c>
      <c r="BN413" s="265">
        <f t="shared" si="251"/>
        <v>100634.851850835</v>
      </c>
      <c r="BO413" s="109"/>
      <c r="BP413" s="265">
        <f t="shared" si="252"/>
        <v>100634.851850835</v>
      </c>
      <c r="BQ413" s="265">
        <v>100634.851850835</v>
      </c>
      <c r="BR413" s="265" t="e">
        <f t="shared" si="253"/>
        <v>#REF!</v>
      </c>
      <c r="BS413" s="265">
        <v>11337.445553750631</v>
      </c>
      <c r="BT413" s="475">
        <v>2189515.4127508351</v>
      </c>
      <c r="BU413" s="475">
        <v>157541.39724916502</v>
      </c>
      <c r="BV413" s="475">
        <v>0</v>
      </c>
      <c r="BW413" s="483">
        <f t="shared" si="254"/>
        <v>0</v>
      </c>
      <c r="BX413" s="483">
        <f t="shared" si="255"/>
        <v>0</v>
      </c>
    </row>
    <row r="414" spans="1:77" s="103" customFormat="1" ht="43.5">
      <c r="A414" s="100" t="s">
        <v>2259</v>
      </c>
      <c r="B414" s="91" t="str">
        <f t="shared" si="223"/>
        <v>TRA</v>
      </c>
      <c r="C414" s="92" t="s">
        <v>461</v>
      </c>
      <c r="D414" s="448"/>
      <c r="E414" s="450" t="s">
        <v>2174</v>
      </c>
      <c r="F414" s="467" t="s">
        <v>4795</v>
      </c>
      <c r="G414" s="467" t="s">
        <v>4728</v>
      </c>
      <c r="H414" s="470">
        <v>0.23</v>
      </c>
      <c r="I414" s="95" t="s">
        <v>962</v>
      </c>
      <c r="J414" s="95" t="s">
        <v>1166</v>
      </c>
      <c r="K414" s="469">
        <v>4764565.24</v>
      </c>
      <c r="L414" s="471">
        <v>1.489619922666402E-2</v>
      </c>
      <c r="M414" s="266">
        <v>1</v>
      </c>
      <c r="N414" s="267">
        <f t="shared" si="224"/>
        <v>0</v>
      </c>
      <c r="O414" s="96">
        <f t="shared" si="225"/>
        <v>4748241.24</v>
      </c>
      <c r="P414" s="96">
        <f t="shared" si="259"/>
        <v>16324.000000000004</v>
      </c>
      <c r="Q414" s="96">
        <f t="shared" si="226"/>
        <v>0</v>
      </c>
      <c r="R414" s="187" t="s">
        <v>2335</v>
      </c>
      <c r="S414" s="187" t="s">
        <v>3608</v>
      </c>
      <c r="T414" s="94" t="s">
        <v>2779</v>
      </c>
      <c r="U414" s="395">
        <f>COUNTIF(Aggregation_of_rev_to_allocate!$A$3:$A$137,$T414)</f>
        <v>1</v>
      </c>
      <c r="V414" s="100"/>
      <c r="W414" s="100">
        <v>504</v>
      </c>
      <c r="X414" s="109">
        <v>20871.460988395978</v>
      </c>
      <c r="Y414" s="109">
        <v>0</v>
      </c>
      <c r="Z414" s="110">
        <v>0.304133433223501</v>
      </c>
      <c r="AA414" s="110">
        <v>1</v>
      </c>
      <c r="AB414" s="110">
        <v>0</v>
      </c>
      <c r="AC414" s="109">
        <f>IF(ISERROR((X414*SUMIF('Rev_for_allocation(Hard)'!$A$3:$A$249,$T414,'Rev_for_allocation(Hard)'!$I$3:$I$249)/SUMIF(Historic_capex_list!$T$9:$T$586,$T414,Historic_capex_list!$X$9:$X$586))=TRUE),0,X414*SUMIF('Rev_for_allocation(Hard)'!$A$3:$A$249,$T414,'Rev_for_allocation(Hard)'!$I$3:$I$249)/SUMIF(Historic_capex_list!$T$9:$T$586,$T414,Historic_capex_list!$X$9:$X$586))</f>
        <v>-4547.6945504273281</v>
      </c>
      <c r="AD414" s="109">
        <f t="shared" si="227"/>
        <v>16323.76643796865</v>
      </c>
      <c r="AE414" s="109">
        <f t="shared" si="260"/>
        <v>16323.76643796865</v>
      </c>
      <c r="AF414" s="109">
        <f t="shared" si="229"/>
        <v>16323.76643796865</v>
      </c>
      <c r="AG414" s="332" t="str">
        <f t="shared" si="230"/>
        <v>N</v>
      </c>
      <c r="AH414" s="332">
        <f t="shared" si="256"/>
        <v>0</v>
      </c>
      <c r="AI414" s="332">
        <f t="shared" si="257"/>
        <v>0</v>
      </c>
      <c r="AJ414" s="109">
        <f t="shared" si="258"/>
        <v>16323.76643796865</v>
      </c>
      <c r="AK414" s="109">
        <f t="shared" si="231"/>
        <v>0</v>
      </c>
      <c r="AL414" s="109">
        <v>0</v>
      </c>
      <c r="AM414" s="111">
        <f t="shared" si="232"/>
        <v>0</v>
      </c>
      <c r="AN414" s="111">
        <f t="shared" si="233"/>
        <v>0</v>
      </c>
      <c r="AO414" s="111" t="str">
        <f t="shared" si="234"/>
        <v>Use deduct 3yrs</v>
      </c>
      <c r="AP414" s="111">
        <f t="shared" si="235"/>
        <v>0</v>
      </c>
      <c r="AQ414" s="112">
        <f t="shared" si="236"/>
        <v>0</v>
      </c>
      <c r="AR414" s="112">
        <f t="shared" si="237"/>
        <v>1</v>
      </c>
      <c r="AS414" s="113">
        <f t="shared" si="238"/>
        <v>2028</v>
      </c>
      <c r="AT414" s="109">
        <v>16323.76643796865</v>
      </c>
      <c r="AU414" s="114">
        <v>1</v>
      </c>
      <c r="AV414" s="113">
        <v>2028</v>
      </c>
      <c r="AW414" s="112">
        <f t="shared" si="239"/>
        <v>1.4895986093452135E-2</v>
      </c>
      <c r="AX414" s="109">
        <f t="shared" si="240"/>
        <v>16323.76643796865</v>
      </c>
      <c r="AY414" s="109">
        <f t="shared" si="241"/>
        <v>0</v>
      </c>
      <c r="AZ414" s="109">
        <f t="shared" si="242"/>
        <v>16323.76643796865</v>
      </c>
      <c r="BA414" s="111">
        <f t="shared" si="243"/>
        <v>0</v>
      </c>
      <c r="BB414" s="117" t="s">
        <v>2465</v>
      </c>
      <c r="BC414" s="115" t="str">
        <f t="shared" si="244"/>
        <v>N</v>
      </c>
      <c r="BD414" s="115" t="str">
        <f t="shared" si="245"/>
        <v>Y</v>
      </c>
      <c r="BE414" s="115" t="str">
        <f t="shared" si="246"/>
        <v>N</v>
      </c>
      <c r="BF414" s="109" t="str">
        <f t="shared" si="247"/>
        <v/>
      </c>
      <c r="BG414" s="111" t="s">
        <v>2499</v>
      </c>
      <c r="BH414" s="115" t="s">
        <v>1168</v>
      </c>
      <c r="BI414" s="116"/>
      <c r="BJ414" s="222">
        <v>0.23786562582648924</v>
      </c>
      <c r="BK414" s="265">
        <f t="shared" si="248"/>
        <v>0</v>
      </c>
      <c r="BL414" s="265">
        <f t="shared" si="249"/>
        <v>0</v>
      </c>
      <c r="BM414" s="265">
        <f t="shared" si="250"/>
        <v>-3.637978807091713E-12</v>
      </c>
      <c r="BN414" s="265">
        <f t="shared" si="251"/>
        <v>4547.4609883959747</v>
      </c>
      <c r="BO414" s="109"/>
      <c r="BP414" s="265">
        <f t="shared" si="252"/>
        <v>4547.6945504273281</v>
      </c>
      <c r="BQ414" s="265">
        <v>4547.6945504273281</v>
      </c>
      <c r="BR414" s="265" t="e">
        <f t="shared" si="253"/>
        <v>#REF!</v>
      </c>
      <c r="BS414" s="265">
        <v>512.33979493487459</v>
      </c>
      <c r="BT414" s="475">
        <v>52302.233562031346</v>
      </c>
      <c r="BU414" s="475">
        <v>16323.76643796865</v>
      </c>
      <c r="BV414" s="475">
        <v>0</v>
      </c>
      <c r="BW414" s="483">
        <f t="shared" si="254"/>
        <v>0.23356203135335818</v>
      </c>
      <c r="BX414" s="483">
        <f t="shared" si="255"/>
        <v>0</v>
      </c>
    </row>
    <row r="415" spans="1:77" s="103" customFormat="1" ht="43.5">
      <c r="A415" s="100"/>
      <c r="B415" s="91" t="str">
        <f t="shared" si="223"/>
        <v>TRA</v>
      </c>
      <c r="C415" s="92"/>
      <c r="D415" s="448"/>
      <c r="E415" s="450"/>
      <c r="F415" s="384" t="s">
        <v>2258</v>
      </c>
      <c r="G415" s="467" t="s">
        <v>5258</v>
      </c>
      <c r="H415" s="398">
        <v>0.16</v>
      </c>
      <c r="I415" s="95"/>
      <c r="J415" s="95" t="s">
        <v>1166</v>
      </c>
      <c r="K415" s="191">
        <v>7564946</v>
      </c>
      <c r="L415" s="268">
        <v>0.69596279782789938</v>
      </c>
      <c r="M415" s="266">
        <v>1</v>
      </c>
      <c r="N415" s="267">
        <f t="shared" si="224"/>
        <v>0</v>
      </c>
      <c r="O415" s="96">
        <f t="shared" si="225"/>
        <v>6722558.6426276835</v>
      </c>
      <c r="P415" s="96">
        <f t="shared" si="259"/>
        <v>842387.35737231618</v>
      </c>
      <c r="Q415" s="96">
        <f t="shared" si="226"/>
        <v>0</v>
      </c>
      <c r="R415" s="187" t="s">
        <v>2336</v>
      </c>
      <c r="S415" s="187" t="s">
        <v>3608</v>
      </c>
      <c r="T415" s="94" t="s">
        <v>2780</v>
      </c>
      <c r="U415" s="395">
        <f>COUNTIF(Aggregation_of_rev_to_allocate!$A$3:$A$137,$T415)</f>
        <v>1</v>
      </c>
      <c r="V415" s="100"/>
      <c r="W415" s="100">
        <v>892</v>
      </c>
      <c r="X415" s="109">
        <v>944105.26080000005</v>
      </c>
      <c r="Y415" s="109">
        <v>266286.0992</v>
      </c>
      <c r="Z415" s="110">
        <v>1</v>
      </c>
      <c r="AA415" s="110">
        <v>0.78</v>
      </c>
      <c r="AB415" s="110">
        <v>0.21999999999999997</v>
      </c>
      <c r="AC415" s="109">
        <f>IF(ISERROR((X415*SUMIF('Rev_for_allocation(Hard)'!$A$3:$A$249,$T415,'Rev_for_allocation(Hard)'!$I$3:$I$249)/SUMIF(Historic_capex_list!$T$9:$T$586,$T415,Historic_capex_list!$X$9:$X$586))=TRUE),0,X415*SUMIF('Rev_for_allocation(Hard)'!$A$3:$A$249,$T415,'Rev_for_allocation(Hard)'!$I$3:$I$249)/SUMIF(Historic_capex_list!$T$9:$T$586,$T415,Historic_capex_list!$X$9:$X$586))</f>
        <v>-368004.00262768375</v>
      </c>
      <c r="AD415" s="109">
        <f t="shared" si="227"/>
        <v>576101.25817231624</v>
      </c>
      <c r="AE415" s="109">
        <f t="shared" si="260"/>
        <v>576101.25817231624</v>
      </c>
      <c r="AF415" s="109">
        <f t="shared" si="229"/>
        <v>842387.3573723163</v>
      </c>
      <c r="AG415" s="332" t="str">
        <f t="shared" si="230"/>
        <v>N</v>
      </c>
      <c r="AH415" s="332">
        <f t="shared" si="256"/>
        <v>0</v>
      </c>
      <c r="AI415" s="332">
        <f t="shared" si="257"/>
        <v>0</v>
      </c>
      <c r="AJ415" s="109">
        <f t="shared" si="258"/>
        <v>842387.3573723163</v>
      </c>
      <c r="AK415" s="109">
        <f t="shared" si="231"/>
        <v>0</v>
      </c>
      <c r="AL415" s="109">
        <v>0</v>
      </c>
      <c r="AM415" s="111">
        <f t="shared" si="232"/>
        <v>2.8205128205128198</v>
      </c>
      <c r="AN415" s="111">
        <f t="shared" si="233"/>
        <v>-0.17948717948718018</v>
      </c>
      <c r="AO415" s="111" t="str">
        <f t="shared" si="234"/>
        <v>Use deduct 3yrs</v>
      </c>
      <c r="AP415" s="111">
        <f t="shared" si="235"/>
        <v>-0.17948717948718018</v>
      </c>
      <c r="AQ415" s="112">
        <f t="shared" si="236"/>
        <v>0</v>
      </c>
      <c r="AR415" s="112">
        <f t="shared" si="237"/>
        <v>1</v>
      </c>
      <c r="AS415" s="113">
        <f t="shared" si="238"/>
        <v>2028</v>
      </c>
      <c r="AT415" s="109">
        <v>842387.3573723163</v>
      </c>
      <c r="AU415" s="114">
        <v>1</v>
      </c>
      <c r="AV415" s="113">
        <v>2028</v>
      </c>
      <c r="AW415" s="112">
        <f t="shared" si="239"/>
        <v>0.69596279782789938</v>
      </c>
      <c r="AX415" s="109">
        <f t="shared" si="240"/>
        <v>842387.35737231618</v>
      </c>
      <c r="AY415" s="109">
        <f t="shared" si="241"/>
        <v>0</v>
      </c>
      <c r="AZ415" s="109">
        <f t="shared" si="242"/>
        <v>842387.35737231618</v>
      </c>
      <c r="BA415" s="111">
        <f t="shared" si="243"/>
        <v>0</v>
      </c>
      <c r="BB415" s="117"/>
      <c r="BC415" s="115" t="str">
        <f t="shared" si="244"/>
        <v>N</v>
      </c>
      <c r="BD415" s="115" t="str">
        <f t="shared" si="245"/>
        <v>Y</v>
      </c>
      <c r="BE415" s="115" t="str">
        <f t="shared" si="246"/>
        <v>N</v>
      </c>
      <c r="BF415" s="109" t="str">
        <f t="shared" si="247"/>
        <v/>
      </c>
      <c r="BG415" s="111" t="s">
        <v>2499</v>
      </c>
      <c r="BH415" s="115" t="s">
        <v>1168</v>
      </c>
      <c r="BI415" s="116"/>
      <c r="BJ415" s="222">
        <v>0.69596279782789938</v>
      </c>
      <c r="BK415" s="265">
        <f t="shared" si="248"/>
        <v>0</v>
      </c>
      <c r="BL415" s="265">
        <f t="shared" si="249"/>
        <v>0</v>
      </c>
      <c r="BM415" s="265">
        <f t="shared" si="250"/>
        <v>3.4924596548080444E-10</v>
      </c>
      <c r="BN415" s="265">
        <f t="shared" si="251"/>
        <v>101717.90342768386</v>
      </c>
      <c r="BO415" s="109"/>
      <c r="BP415" s="265">
        <f t="shared" si="252"/>
        <v>368004.0026276838</v>
      </c>
      <c r="BQ415" s="265">
        <v>368004.0026276838</v>
      </c>
      <c r="BR415" s="265" t="e">
        <f t="shared" si="253"/>
        <v>#REF!</v>
      </c>
      <c r="BS415" s="265">
        <v>41459.04988798422</v>
      </c>
      <c r="BT415" s="475">
        <v>6722558.6426276835</v>
      </c>
      <c r="BU415" s="475">
        <v>842387.35737231618</v>
      </c>
      <c r="BV415" s="475">
        <v>0</v>
      </c>
      <c r="BW415" s="483">
        <f t="shared" si="254"/>
        <v>0</v>
      </c>
      <c r="BX415" s="483">
        <f t="shared" si="255"/>
        <v>0</v>
      </c>
    </row>
    <row r="416" spans="1:77" s="103" customFormat="1" ht="43.5">
      <c r="A416" s="100"/>
      <c r="B416" s="91" t="str">
        <f t="shared" si="223"/>
        <v>TRA</v>
      </c>
      <c r="C416" s="92"/>
      <c r="D416" s="448"/>
      <c r="E416" s="449"/>
      <c r="F416" s="384" t="s">
        <v>2258</v>
      </c>
      <c r="G416" s="467" t="s">
        <v>5258</v>
      </c>
      <c r="H416" s="398">
        <v>0.16</v>
      </c>
      <c r="I416" s="95"/>
      <c r="J416" s="95" t="s">
        <v>1166</v>
      </c>
      <c r="K416" s="191">
        <v>7564946</v>
      </c>
      <c r="L416" s="268">
        <v>0.42179785667124814</v>
      </c>
      <c r="M416" s="266">
        <v>1</v>
      </c>
      <c r="N416" s="267">
        <f t="shared" si="224"/>
        <v>0</v>
      </c>
      <c r="O416" s="96">
        <f t="shared" si="225"/>
        <v>7054405.5186186023</v>
      </c>
      <c r="P416" s="96">
        <f t="shared" si="259"/>
        <v>510540.48138139711</v>
      </c>
      <c r="Q416" s="96">
        <f t="shared" si="226"/>
        <v>0</v>
      </c>
      <c r="R416" s="187" t="s">
        <v>2338</v>
      </c>
      <c r="S416" s="187" t="s">
        <v>3608</v>
      </c>
      <c r="T416" s="94" t="s">
        <v>2782</v>
      </c>
      <c r="U416" s="395">
        <f>COUNTIF(Aggregation_of_rev_to_allocate!$A$3:$A$137,$T416)</f>
        <v>1</v>
      </c>
      <c r="V416" s="100"/>
      <c r="W416" s="100">
        <v>942</v>
      </c>
      <c r="X416" s="109">
        <v>944105.26080000005</v>
      </c>
      <c r="Y416" s="109">
        <v>266286.0992</v>
      </c>
      <c r="Z416" s="110">
        <v>1</v>
      </c>
      <c r="AA416" s="110">
        <v>0.78</v>
      </c>
      <c r="AB416" s="110">
        <v>0.21999999999999997</v>
      </c>
      <c r="AC416" s="109">
        <f>IF(ISERROR((X416*SUMIF('Rev_for_allocation(Hard)'!$A$3:$A$249,$T416,'Rev_for_allocation(Hard)'!$I$3:$I$249)/SUMIF(Historic_capex_list!$T$9:$T$586,$T416,Historic_capex_list!$X$9:$X$586))=TRUE),0,X416*SUMIF('Rev_for_allocation(Hard)'!$A$3:$A$249,$T416,'Rev_for_allocation(Hard)'!$I$3:$I$249)/SUMIF(Historic_capex_list!$T$9:$T$586,$T416,Historic_capex_list!$X$9:$X$586))</f>
        <v>-699850.87861860287</v>
      </c>
      <c r="AD416" s="109">
        <f t="shared" si="227"/>
        <v>244254.38218139717</v>
      </c>
      <c r="AE416" s="109">
        <f t="shared" si="260"/>
        <v>244254.38218139717</v>
      </c>
      <c r="AF416" s="109">
        <f t="shared" si="229"/>
        <v>510540.48138139717</v>
      </c>
      <c r="AG416" s="332" t="str">
        <f t="shared" si="230"/>
        <v>N</v>
      </c>
      <c r="AH416" s="332">
        <f t="shared" si="256"/>
        <v>0</v>
      </c>
      <c r="AI416" s="332">
        <f t="shared" si="257"/>
        <v>0</v>
      </c>
      <c r="AJ416" s="109">
        <f t="shared" si="258"/>
        <v>510540.48138139717</v>
      </c>
      <c r="AK416" s="109">
        <f t="shared" si="231"/>
        <v>0</v>
      </c>
      <c r="AL416" s="109">
        <v>0</v>
      </c>
      <c r="AM416" s="111">
        <f t="shared" si="232"/>
        <v>2.8205128205128198</v>
      </c>
      <c r="AN416" s="111">
        <f t="shared" si="233"/>
        <v>-0.17948717948718018</v>
      </c>
      <c r="AO416" s="111">
        <f t="shared" si="234"/>
        <v>-4.7538960441862548</v>
      </c>
      <c r="AP416" s="111">
        <f t="shared" si="235"/>
        <v>0</v>
      </c>
      <c r="AQ416" s="112">
        <f t="shared" si="236"/>
        <v>0</v>
      </c>
      <c r="AR416" s="112">
        <f t="shared" si="237"/>
        <v>1</v>
      </c>
      <c r="AS416" s="113">
        <f t="shared" si="238"/>
        <v>2028</v>
      </c>
      <c r="AT416" s="109">
        <v>510540.48138139717</v>
      </c>
      <c r="AU416" s="114">
        <v>1</v>
      </c>
      <c r="AV416" s="113">
        <v>2028</v>
      </c>
      <c r="AW416" s="112">
        <f t="shared" si="239"/>
        <v>0.42179785667124814</v>
      </c>
      <c r="AX416" s="109">
        <f t="shared" si="240"/>
        <v>510540.48138139711</v>
      </c>
      <c r="AY416" s="109">
        <f t="shared" si="241"/>
        <v>0</v>
      </c>
      <c r="AZ416" s="109">
        <f t="shared" si="242"/>
        <v>510540.48138139711</v>
      </c>
      <c r="BA416" s="111">
        <f t="shared" si="243"/>
        <v>0</v>
      </c>
      <c r="BB416" s="117"/>
      <c r="BC416" s="115" t="str">
        <f t="shared" si="244"/>
        <v>N</v>
      </c>
      <c r="BD416" s="115" t="str">
        <f t="shared" si="245"/>
        <v>Y</v>
      </c>
      <c r="BE416" s="115" t="str">
        <f t="shared" si="246"/>
        <v>N</v>
      </c>
      <c r="BF416" s="109" t="str">
        <f t="shared" si="247"/>
        <v/>
      </c>
      <c r="BG416" s="111" t="s">
        <v>2499</v>
      </c>
      <c r="BH416" s="115" t="s">
        <v>1168</v>
      </c>
      <c r="BI416" s="116"/>
      <c r="BJ416" s="222">
        <v>0.42179785667124814</v>
      </c>
      <c r="BK416" s="265">
        <f t="shared" si="248"/>
        <v>0</v>
      </c>
      <c r="BL416" s="265">
        <f t="shared" si="249"/>
        <v>0</v>
      </c>
      <c r="BM416" s="265">
        <f t="shared" si="250"/>
        <v>5.8207660913467407E-10</v>
      </c>
      <c r="BN416" s="265">
        <f t="shared" si="251"/>
        <v>433564.77941860294</v>
      </c>
      <c r="BO416" s="109"/>
      <c r="BP416" s="265">
        <f t="shared" si="252"/>
        <v>699850.87861860287</v>
      </c>
      <c r="BQ416" s="265">
        <v>699850.87861860287</v>
      </c>
      <c r="BR416" s="265" t="e">
        <f t="shared" si="253"/>
        <v>#REF!</v>
      </c>
      <c r="BS416" s="265">
        <v>78844.66550260158</v>
      </c>
      <c r="BT416" s="475">
        <v>7054405.5186186023</v>
      </c>
      <c r="BU416" s="475">
        <v>510540.48138139711</v>
      </c>
      <c r="BV416" s="475">
        <v>0</v>
      </c>
      <c r="BW416" s="483">
        <f t="shared" si="254"/>
        <v>0</v>
      </c>
      <c r="BX416" s="483">
        <f t="shared" si="255"/>
        <v>0</v>
      </c>
    </row>
    <row r="417" spans="1:77" s="103" customFormat="1" ht="43.5">
      <c r="A417" s="100"/>
      <c r="B417" s="91" t="str">
        <f t="shared" si="223"/>
        <v>TRA</v>
      </c>
      <c r="C417" s="92" t="s">
        <v>3626</v>
      </c>
      <c r="D417" s="448"/>
      <c r="E417" s="449"/>
      <c r="F417" s="384" t="s">
        <v>2258</v>
      </c>
      <c r="G417" s="467" t="s">
        <v>5258</v>
      </c>
      <c r="H417" s="398">
        <v>0.16</v>
      </c>
      <c r="I417" s="95"/>
      <c r="J417" s="95" t="s">
        <v>1166</v>
      </c>
      <c r="K417" s="469">
        <v>1405697</v>
      </c>
      <c r="L417" s="471">
        <v>0.76263323461599453</v>
      </c>
      <c r="M417" s="266">
        <v>1</v>
      </c>
      <c r="N417" s="267">
        <v>0</v>
      </c>
      <c r="O417" s="96">
        <v>1234172</v>
      </c>
      <c r="P417" s="96">
        <f>(+K417*L417*M417*H417)</f>
        <v>171524.99999999997</v>
      </c>
      <c r="Q417" s="96">
        <f>+K417*L417*N417*H417</f>
        <v>0</v>
      </c>
      <c r="R417" s="187" t="s">
        <v>2336</v>
      </c>
      <c r="S417" s="187" t="s">
        <v>3608</v>
      </c>
      <c r="T417" s="94" t="s">
        <v>2780</v>
      </c>
      <c r="U417" s="395">
        <f>COUNTIF(Aggregation_of_rev_to_allocate!$A$3:$A$137,$T417)</f>
        <v>1</v>
      </c>
      <c r="V417" s="100"/>
      <c r="W417" s="100">
        <v>1038</v>
      </c>
      <c r="X417" s="109">
        <v>192236.78635199997</v>
      </c>
      <c r="Y417" s="109">
        <v>54220.632047999985</v>
      </c>
      <c r="Z417" s="110">
        <v>1</v>
      </c>
      <c r="AA417" s="110">
        <v>0.78</v>
      </c>
      <c r="AB417" s="110">
        <v>0.21999999999999997</v>
      </c>
      <c r="AC417" s="109">
        <f>IF(ISERROR((X417*SUMIF('Rev_for_allocation(Hard)'!$A$3:$A$249,$T417,'Rev_for_allocation(Hard)'!$I$3:$I$249)/SUMIF(Historic_capex_list!$T$9:$T$586,$T417,Historic_capex_list!$X$9:$X$586))=TRUE),0,X417*SUMIF('Rev_for_allocation(Hard)'!$A$3:$A$249,$T417,'Rev_for_allocation(Hard)'!$I$3:$I$249)/SUMIF(Historic_capex_list!$T$9:$T$586,$T417,Historic_capex_list!$X$9:$X$586))</f>
        <v>-74932.223944894751</v>
      </c>
      <c r="AD417" s="109">
        <f t="shared" si="227"/>
        <v>117304.56240710522</v>
      </c>
      <c r="AE417" s="109">
        <f t="shared" si="260"/>
        <v>117304.56240710522</v>
      </c>
      <c r="AF417" s="109">
        <f t="shared" si="229"/>
        <v>171525.1944551052</v>
      </c>
      <c r="AG417" s="332" t="str">
        <f t="shared" si="230"/>
        <v>N</v>
      </c>
      <c r="AH417" s="332">
        <f t="shared" si="256"/>
        <v>0</v>
      </c>
      <c r="AI417" s="332">
        <f t="shared" si="257"/>
        <v>0</v>
      </c>
      <c r="AJ417" s="109">
        <f t="shared" si="258"/>
        <v>171525.1944551052</v>
      </c>
      <c r="AK417" s="109">
        <f t="shared" si="231"/>
        <v>0</v>
      </c>
      <c r="AL417" s="109">
        <v>0</v>
      </c>
      <c r="AM417" s="111">
        <f t="shared" si="232"/>
        <v>2.8205128205128198</v>
      </c>
      <c r="AN417" s="111">
        <f t="shared" si="233"/>
        <v>-0.17948717948718018</v>
      </c>
      <c r="AO417" s="111" t="str">
        <f t="shared" si="234"/>
        <v>Use deduct 3yrs</v>
      </c>
      <c r="AP417" s="111">
        <f t="shared" si="235"/>
        <v>-0.17948717948718018</v>
      </c>
      <c r="AQ417" s="112">
        <f t="shared" si="236"/>
        <v>0</v>
      </c>
      <c r="AR417" s="112">
        <f t="shared" si="237"/>
        <v>1</v>
      </c>
      <c r="AS417" s="113">
        <f t="shared" si="238"/>
        <v>2028</v>
      </c>
      <c r="AT417" s="109">
        <v>171525.1944551052</v>
      </c>
      <c r="AU417" s="114">
        <v>1</v>
      </c>
      <c r="AV417" s="113">
        <v>2028</v>
      </c>
      <c r="AW417" s="112">
        <f t="shared" si="239"/>
        <v>0.76263409920089997</v>
      </c>
      <c r="AX417" s="109">
        <f t="shared" si="240"/>
        <v>171525.19445510523</v>
      </c>
      <c r="AY417" s="109">
        <f t="shared" si="241"/>
        <v>0</v>
      </c>
      <c r="AZ417" s="109">
        <f t="shared" si="242"/>
        <v>171525.19445510523</v>
      </c>
      <c r="BA417" s="111">
        <f t="shared" si="243"/>
        <v>0</v>
      </c>
      <c r="BB417" s="117"/>
      <c r="BC417" s="115" t="str">
        <f t="shared" si="244"/>
        <v>N</v>
      </c>
      <c r="BD417" s="115" t="str">
        <f t="shared" si="245"/>
        <v>Y</v>
      </c>
      <c r="BE417" s="115" t="str">
        <f t="shared" si="246"/>
        <v>N</v>
      </c>
      <c r="BF417" s="109" t="str">
        <f t="shared" si="247"/>
        <v/>
      </c>
      <c r="BG417" s="111" t="s">
        <v>2499</v>
      </c>
      <c r="BH417" s="115" t="s">
        <v>1168</v>
      </c>
      <c r="BI417" s="116"/>
      <c r="BJ417" s="222">
        <v>0.69596279782789949</v>
      </c>
      <c r="BK417" s="265">
        <f t="shared" si="248"/>
        <v>0</v>
      </c>
      <c r="BL417" s="265">
        <f t="shared" si="249"/>
        <v>0</v>
      </c>
      <c r="BM417" s="265">
        <f t="shared" si="250"/>
        <v>2.9103830456733704E-11</v>
      </c>
      <c r="BN417" s="265">
        <f t="shared" si="251"/>
        <v>20711.786351999996</v>
      </c>
      <c r="BO417" s="109"/>
      <c r="BP417" s="265">
        <f t="shared" si="252"/>
        <v>74932.223944894766</v>
      </c>
      <c r="BQ417" s="265">
        <v>74932.223944894766</v>
      </c>
      <c r="BR417" s="265" t="e">
        <f t="shared" si="253"/>
        <v>#REF!</v>
      </c>
      <c r="BS417" s="265">
        <v>8441.8071232013717</v>
      </c>
      <c r="BT417" s="475">
        <v>1368833.6705448944</v>
      </c>
      <c r="BU417" s="475">
        <v>171525.19445510523</v>
      </c>
      <c r="BV417" s="475">
        <v>0</v>
      </c>
      <c r="BW417" s="483">
        <f t="shared" si="254"/>
        <v>-0.19445510525838472</v>
      </c>
      <c r="BX417" s="483">
        <f t="shared" si="255"/>
        <v>0</v>
      </c>
    </row>
    <row r="418" spans="1:77" s="103" customFormat="1" ht="43.5">
      <c r="A418" s="100"/>
      <c r="B418" s="91" t="str">
        <f t="shared" si="223"/>
        <v>TRA</v>
      </c>
      <c r="C418" s="92" t="s">
        <v>3626</v>
      </c>
      <c r="D418" s="448"/>
      <c r="E418" s="449"/>
      <c r="F418" s="384" t="s">
        <v>2258</v>
      </c>
      <c r="G418" s="467" t="s">
        <v>5258</v>
      </c>
      <c r="H418" s="398">
        <v>0.16</v>
      </c>
      <c r="I418" s="95"/>
      <c r="J418" s="95" t="s">
        <v>1166</v>
      </c>
      <c r="K418" s="469">
        <v>1405697</v>
      </c>
      <c r="L418" s="471">
        <v>0.46220398137009555</v>
      </c>
      <c r="M418" s="266">
        <v>1</v>
      </c>
      <c r="N418" s="267">
        <v>0</v>
      </c>
      <c r="O418" s="96">
        <v>1301742</v>
      </c>
      <c r="P418" s="96">
        <f>(+K418*L418*M418*H418)</f>
        <v>103954.99999999987</v>
      </c>
      <c r="Q418" s="96">
        <f>+K418*L418*N418*H418</f>
        <v>0</v>
      </c>
      <c r="R418" s="187" t="s">
        <v>2338</v>
      </c>
      <c r="S418" s="187" t="s">
        <v>3608</v>
      </c>
      <c r="T418" s="94" t="s">
        <v>2782</v>
      </c>
      <c r="U418" s="395">
        <f>COUNTIF(Aggregation_of_rev_to_allocate!$A$3:$A$137,$T418)</f>
        <v>1</v>
      </c>
      <c r="V418" s="100"/>
      <c r="W418" s="100">
        <v>1039</v>
      </c>
      <c r="X418" s="109">
        <v>192236.78635199997</v>
      </c>
      <c r="Y418" s="109">
        <v>54220.632047999985</v>
      </c>
      <c r="Z418" s="110">
        <v>1</v>
      </c>
      <c r="AA418" s="110">
        <v>0.78</v>
      </c>
      <c r="AB418" s="110">
        <v>0.21999999999999997</v>
      </c>
      <c r="AC418" s="109">
        <f>IF(ISERROR((X418*SUMIF('Rev_for_allocation(Hard)'!$A$3:$A$249,$T418,'Rev_for_allocation(Hard)'!$I$3:$I$249)/SUMIF(Historic_capex_list!$T$9:$T$586,$T418,Historic_capex_list!$X$9:$X$586))=TRUE),0,X418*SUMIF('Rev_for_allocation(Hard)'!$A$3:$A$249,$T418,'Rev_for_allocation(Hard)'!$I$3:$I$249)/SUMIF(Historic_capex_list!$T$9:$T$586,$T418,Historic_capex_list!$X$9:$X$586))</f>
        <v>-142502.20755815093</v>
      </c>
      <c r="AD418" s="109">
        <f t="shared" si="227"/>
        <v>49734.578793849039</v>
      </c>
      <c r="AE418" s="109">
        <f t="shared" si="260"/>
        <v>49734.578793849039</v>
      </c>
      <c r="AF418" s="109">
        <f t="shared" si="229"/>
        <v>103955.21084184902</v>
      </c>
      <c r="AG418" s="332" t="str">
        <f t="shared" si="230"/>
        <v>N</v>
      </c>
      <c r="AH418" s="332">
        <f t="shared" si="256"/>
        <v>0</v>
      </c>
      <c r="AI418" s="332">
        <f t="shared" si="257"/>
        <v>0</v>
      </c>
      <c r="AJ418" s="109">
        <f t="shared" si="258"/>
        <v>103955.21084184902</v>
      </c>
      <c r="AK418" s="109">
        <f t="shared" si="231"/>
        <v>0</v>
      </c>
      <c r="AL418" s="109">
        <v>0</v>
      </c>
      <c r="AM418" s="111">
        <f t="shared" si="232"/>
        <v>2.8205128205128198</v>
      </c>
      <c r="AN418" s="111">
        <f t="shared" si="233"/>
        <v>-0.17948717948718018</v>
      </c>
      <c r="AO418" s="111">
        <f t="shared" si="234"/>
        <v>-4.7538960441862539</v>
      </c>
      <c r="AP418" s="111">
        <f t="shared" si="235"/>
        <v>0</v>
      </c>
      <c r="AQ418" s="112">
        <f t="shared" si="236"/>
        <v>0</v>
      </c>
      <c r="AR418" s="112">
        <f t="shared" si="237"/>
        <v>1</v>
      </c>
      <c r="AS418" s="113">
        <f t="shared" si="238"/>
        <v>2028</v>
      </c>
      <c r="AT418" s="109">
        <v>103955.21084184902</v>
      </c>
      <c r="AU418" s="114">
        <v>1</v>
      </c>
      <c r="AV418" s="113">
        <v>2028</v>
      </c>
      <c r="AW418" s="112">
        <f t="shared" si="239"/>
        <v>0.46220491881362508</v>
      </c>
      <c r="AX418" s="109">
        <f t="shared" si="240"/>
        <v>103955.21084184902</v>
      </c>
      <c r="AY418" s="109">
        <f t="shared" si="241"/>
        <v>0</v>
      </c>
      <c r="AZ418" s="109">
        <f t="shared" si="242"/>
        <v>103955.21084184902</v>
      </c>
      <c r="BA418" s="111">
        <f t="shared" si="243"/>
        <v>0</v>
      </c>
      <c r="BB418" s="117"/>
      <c r="BC418" s="115" t="str">
        <f t="shared" si="244"/>
        <v>N</v>
      </c>
      <c r="BD418" s="115" t="str">
        <f t="shared" si="245"/>
        <v>Y</v>
      </c>
      <c r="BE418" s="115" t="str">
        <f t="shared" si="246"/>
        <v>N</v>
      </c>
      <c r="BF418" s="109" t="str">
        <f t="shared" si="247"/>
        <v/>
      </c>
      <c r="BG418" s="111" t="s">
        <v>2499</v>
      </c>
      <c r="BH418" s="115" t="s">
        <v>1168</v>
      </c>
      <c r="BI418" s="116"/>
      <c r="BJ418" s="222">
        <v>0.42179785667124814</v>
      </c>
      <c r="BK418" s="265">
        <f t="shared" si="248"/>
        <v>0</v>
      </c>
      <c r="BL418" s="265">
        <f t="shared" si="249"/>
        <v>0</v>
      </c>
      <c r="BM418" s="265">
        <f t="shared" si="250"/>
        <v>1.3096723705530167E-10</v>
      </c>
      <c r="BN418" s="265">
        <f t="shared" si="251"/>
        <v>88281.786352000097</v>
      </c>
      <c r="BO418" s="109"/>
      <c r="BP418" s="265">
        <f t="shared" si="252"/>
        <v>142502.20755815093</v>
      </c>
      <c r="BQ418" s="265">
        <v>142502.20755815093</v>
      </c>
      <c r="BR418" s="265" t="e">
        <f t="shared" si="253"/>
        <v>#REF!</v>
      </c>
      <c r="BS418" s="265">
        <v>16054.189873251178</v>
      </c>
      <c r="BT418" s="475">
        <v>1436403.6541581505</v>
      </c>
      <c r="BU418" s="475">
        <v>103955.21084184902</v>
      </c>
      <c r="BV418" s="475">
        <v>0</v>
      </c>
      <c r="BW418" s="483">
        <f t="shared" si="254"/>
        <v>-0.21084184915525839</v>
      </c>
      <c r="BX418" s="483">
        <f t="shared" si="255"/>
        <v>0</v>
      </c>
    </row>
    <row r="419" spans="1:77" s="103" customFormat="1" ht="29">
      <c r="A419" s="100" t="s">
        <v>2259</v>
      </c>
      <c r="B419" s="91" t="str">
        <f t="shared" si="223"/>
        <v>TRA</v>
      </c>
      <c r="C419" s="92" t="s">
        <v>461</v>
      </c>
      <c r="D419" s="448"/>
      <c r="E419" s="450" t="s">
        <v>2179</v>
      </c>
      <c r="F419" s="467" t="s">
        <v>4796</v>
      </c>
      <c r="G419" s="467" t="s">
        <v>4730</v>
      </c>
      <c r="H419" s="470">
        <v>0.41249999999999998</v>
      </c>
      <c r="I419" s="95" t="s">
        <v>962</v>
      </c>
      <c r="J419" s="95" t="s">
        <v>1166</v>
      </c>
      <c r="K419" s="469">
        <v>554330</v>
      </c>
      <c r="L419" s="471">
        <v>0.82464888973647399</v>
      </c>
      <c r="M419" s="266">
        <v>0.15283842794759805</v>
      </c>
      <c r="N419" s="267">
        <f t="shared" si="224"/>
        <v>0.84716157205240195</v>
      </c>
      <c r="O419" s="96">
        <f t="shared" si="225"/>
        <v>365764.85714285693</v>
      </c>
      <c r="P419" s="96">
        <f t="shared" si="259"/>
        <v>28820</v>
      </c>
      <c r="Q419" s="96">
        <f t="shared" si="226"/>
        <v>159745.14285714307</v>
      </c>
      <c r="R419" s="187" t="s">
        <v>2335</v>
      </c>
      <c r="S419" s="187" t="s">
        <v>3608</v>
      </c>
      <c r="T419" s="94" t="s">
        <v>2779</v>
      </c>
      <c r="U419" s="395">
        <f>COUNTIF(Aggregation_of_rev_to_allocate!$A$3:$A$137,$T419)</f>
        <v>1</v>
      </c>
      <c r="V419" s="100"/>
      <c r="W419" s="100">
        <v>505</v>
      </c>
      <c r="X419" s="109">
        <v>28463.014839003368</v>
      </c>
      <c r="Y419" s="109">
        <v>166305.32955931977</v>
      </c>
      <c r="Z419" s="110">
        <v>0.85187830505665441</v>
      </c>
      <c r="AA419" s="110">
        <v>0.14613778705636737</v>
      </c>
      <c r="AB419" s="110">
        <v>0.85386221294363263</v>
      </c>
      <c r="AC419" s="109">
        <f>IF(ISERROR((X419*SUMIF('Rev_for_allocation(Hard)'!$A$3:$A$249,$T419,'Rev_for_allocation(Hard)'!$I$3:$I$249)/SUMIF(Historic_capex_list!$T$9:$T$586,$T419,Historic_capex_list!$X$9:$X$586))=TRUE),0,X419*SUMIF('Rev_for_allocation(Hard)'!$A$3:$A$249,$T419,'Rev_for_allocation(Hard)'!$I$3:$I$249)/SUMIF(Historic_capex_list!$T$9:$T$586,$T419,Historic_capex_list!$X$9:$X$586))</f>
        <v>-6201.8225530083337</v>
      </c>
      <c r="AD419" s="109">
        <f t="shared" si="227"/>
        <v>22261.192285995035</v>
      </c>
      <c r="AE419" s="109">
        <f t="shared" si="260"/>
        <v>22261.192285995035</v>
      </c>
      <c r="AF419" s="109">
        <f t="shared" si="229"/>
        <v>188566.5218453148</v>
      </c>
      <c r="AG419" s="332" t="str">
        <f t="shared" si="230"/>
        <v>N</v>
      </c>
      <c r="AH419" s="332">
        <f t="shared" si="256"/>
        <v>0</v>
      </c>
      <c r="AI419" s="332">
        <f t="shared" si="257"/>
        <v>0</v>
      </c>
      <c r="AJ419" s="109">
        <f t="shared" si="258"/>
        <v>188566.5218453148</v>
      </c>
      <c r="AK419" s="109">
        <f t="shared" si="231"/>
        <v>0</v>
      </c>
      <c r="AL419" s="109">
        <v>0</v>
      </c>
      <c r="AM419" s="111">
        <f t="shared" si="232"/>
        <v>58.428571428571452</v>
      </c>
      <c r="AN419" s="111">
        <f t="shared" si="233"/>
        <v>55.428571428571452</v>
      </c>
      <c r="AO419" s="111" t="str">
        <f t="shared" si="234"/>
        <v>Use deduct 3yrs</v>
      </c>
      <c r="AP419" s="111">
        <f t="shared" si="235"/>
        <v>55.428571428571452</v>
      </c>
      <c r="AQ419" s="112">
        <f t="shared" si="236"/>
        <v>0.84716157205240195</v>
      </c>
      <c r="AR419" s="112">
        <f t="shared" si="237"/>
        <v>0.15283842794759805</v>
      </c>
      <c r="AS419" s="113">
        <f t="shared" si="238"/>
        <v>2083</v>
      </c>
      <c r="AT419" s="109">
        <v>188566.5218453148</v>
      </c>
      <c r="AU419" s="114">
        <v>0.15283842794759805</v>
      </c>
      <c r="AV419" s="113">
        <v>2083</v>
      </c>
      <c r="AW419" s="112">
        <f t="shared" si="239"/>
        <v>0.82465492044314392</v>
      </c>
      <c r="AX419" s="109">
        <f t="shared" si="240"/>
        <v>28820.210762384322</v>
      </c>
      <c r="AY419" s="109">
        <f t="shared" si="241"/>
        <v>159746.31108293045</v>
      </c>
      <c r="AZ419" s="109">
        <f t="shared" si="242"/>
        <v>188566.52184531477</v>
      </c>
      <c r="BA419" s="111">
        <f t="shared" si="243"/>
        <v>0</v>
      </c>
      <c r="BB419" s="117"/>
      <c r="BC419" s="115" t="str">
        <f t="shared" si="244"/>
        <v>N</v>
      </c>
      <c r="BD419" s="115" t="str">
        <f t="shared" si="245"/>
        <v>N</v>
      </c>
      <c r="BE419" s="115" t="str">
        <f t="shared" si="246"/>
        <v>N</v>
      </c>
      <c r="BF419" s="109" t="str">
        <f t="shared" si="247"/>
        <v/>
      </c>
      <c r="BG419" s="111" t="s">
        <v>2499</v>
      </c>
      <c r="BH419" s="115" t="s">
        <v>1168</v>
      </c>
      <c r="BI419" s="116"/>
      <c r="BJ419" s="222">
        <v>0.8247527570060218</v>
      </c>
      <c r="BK419" s="265">
        <f t="shared" si="248"/>
        <v>1.1682257873762865</v>
      </c>
      <c r="BL419" s="265">
        <f t="shared" si="249"/>
        <v>-1.1682257873762865</v>
      </c>
      <c r="BM419" s="265">
        <f t="shared" si="250"/>
        <v>0</v>
      </c>
      <c r="BN419" s="265">
        <f t="shared" si="251"/>
        <v>-356.98516099663175</v>
      </c>
      <c r="BO419" s="109"/>
      <c r="BP419" s="265">
        <f t="shared" si="252"/>
        <v>6201.8225530083291</v>
      </c>
      <c r="BQ419" s="265">
        <v>6201.8225530083291</v>
      </c>
      <c r="BR419" s="265" t="e">
        <f t="shared" si="253"/>
        <v>#REF!</v>
      </c>
      <c r="BS419" s="265">
        <v>698.69259243283977</v>
      </c>
      <c r="BT419" s="475">
        <v>40067.47815468521</v>
      </c>
      <c r="BU419" s="475">
        <v>28820.210762384319</v>
      </c>
      <c r="BV419" s="475">
        <v>159746.31108293048</v>
      </c>
      <c r="BW419" s="483">
        <f t="shared" si="254"/>
        <v>-0.2107623843185138</v>
      </c>
      <c r="BX419" s="483">
        <f t="shared" si="255"/>
        <v>-1.1682257874053903</v>
      </c>
    </row>
    <row r="420" spans="1:77" s="103" customFormat="1" ht="43.5">
      <c r="A420" s="100" t="s">
        <v>2259</v>
      </c>
      <c r="B420" s="91" t="str">
        <f t="shared" si="223"/>
        <v>TRA</v>
      </c>
      <c r="C420" s="92" t="s">
        <v>461</v>
      </c>
      <c r="D420" s="448"/>
      <c r="E420" s="450" t="s">
        <v>2147</v>
      </c>
      <c r="F420" s="467" t="s">
        <v>4797</v>
      </c>
      <c r="G420" s="467" t="s">
        <v>4731</v>
      </c>
      <c r="H420" s="470">
        <v>0.1918</v>
      </c>
      <c r="I420" s="95" t="s">
        <v>962</v>
      </c>
      <c r="J420" s="95" t="s">
        <v>1166</v>
      </c>
      <c r="K420" s="469">
        <v>14433182.99</v>
      </c>
      <c r="L420" s="471">
        <v>0.12521942752462853</v>
      </c>
      <c r="M420" s="266">
        <v>1</v>
      </c>
      <c r="N420" s="267">
        <f t="shared" si="224"/>
        <v>0</v>
      </c>
      <c r="O420" s="96">
        <f t="shared" si="225"/>
        <v>14086539.99</v>
      </c>
      <c r="P420" s="96">
        <f t="shared" si="259"/>
        <v>346643</v>
      </c>
      <c r="Q420" s="96">
        <f t="shared" si="226"/>
        <v>0</v>
      </c>
      <c r="R420" s="187" t="s">
        <v>2335</v>
      </c>
      <c r="S420" s="187" t="s">
        <v>3608</v>
      </c>
      <c r="T420" s="94" t="s">
        <v>2779</v>
      </c>
      <c r="U420" s="395">
        <f>COUNTIF(Aggregation_of_rev_to_allocate!$A$3:$A$137,$T420)</f>
        <v>1</v>
      </c>
      <c r="V420" s="100"/>
      <c r="W420" s="100">
        <v>506</v>
      </c>
      <c r="X420" s="109">
        <v>443214.84596033336</v>
      </c>
      <c r="Y420" s="109">
        <v>0</v>
      </c>
      <c r="Z420" s="110">
        <v>0.15967005244233801</v>
      </c>
      <c r="AA420" s="110">
        <v>1</v>
      </c>
      <c r="AB420" s="110">
        <v>0</v>
      </c>
      <c r="AC420" s="109">
        <f>IF(ISERROR((X420*SUMIF('Rev_for_allocation(Hard)'!$A$3:$A$249,$T420,'Rev_for_allocation(Hard)'!$I$3:$I$249)/SUMIF(Historic_capex_list!$T$9:$T$586,$T420,Historic_capex_list!$X$9:$X$586))=TRUE),0,X420*SUMIF('Rev_for_allocation(Hard)'!$A$3:$A$249,$T420,'Rev_for_allocation(Hard)'!$I$3:$I$249)/SUMIF(Historic_capex_list!$T$9:$T$586,$T420,Historic_capex_list!$X$9:$X$586))</f>
        <v>-96572.33582080924</v>
      </c>
      <c r="AD420" s="109">
        <f t="shared" si="227"/>
        <v>346642.51013952412</v>
      </c>
      <c r="AE420" s="109">
        <f t="shared" si="260"/>
        <v>346642.51013952412</v>
      </c>
      <c r="AF420" s="109">
        <f t="shared" si="229"/>
        <v>346642.51013952412</v>
      </c>
      <c r="AG420" s="332" t="str">
        <f t="shared" si="230"/>
        <v>N</v>
      </c>
      <c r="AH420" s="332">
        <f t="shared" si="256"/>
        <v>0</v>
      </c>
      <c r="AI420" s="332">
        <f t="shared" si="257"/>
        <v>0</v>
      </c>
      <c r="AJ420" s="109">
        <f t="shared" si="258"/>
        <v>346642.51013952412</v>
      </c>
      <c r="AK420" s="109">
        <f t="shared" si="231"/>
        <v>0</v>
      </c>
      <c r="AL420" s="109">
        <v>0</v>
      </c>
      <c r="AM420" s="111">
        <f t="shared" si="232"/>
        <v>0</v>
      </c>
      <c r="AN420" s="111">
        <f t="shared" si="233"/>
        <v>0</v>
      </c>
      <c r="AO420" s="111" t="str">
        <f t="shared" si="234"/>
        <v>Use deduct 3yrs</v>
      </c>
      <c r="AP420" s="111">
        <f t="shared" si="235"/>
        <v>0</v>
      </c>
      <c r="AQ420" s="112">
        <f t="shared" si="236"/>
        <v>0</v>
      </c>
      <c r="AR420" s="112">
        <f t="shared" si="237"/>
        <v>1</v>
      </c>
      <c r="AS420" s="113">
        <f t="shared" si="238"/>
        <v>2028</v>
      </c>
      <c r="AT420" s="109">
        <v>346642.51013952412</v>
      </c>
      <c r="AU420" s="114">
        <v>1</v>
      </c>
      <c r="AV420" s="113">
        <v>2028</v>
      </c>
      <c r="AW420" s="112">
        <f t="shared" si="239"/>
        <v>0.1252192505701008</v>
      </c>
      <c r="AX420" s="109">
        <f t="shared" si="240"/>
        <v>346642.51013952418</v>
      </c>
      <c r="AY420" s="109">
        <f t="shared" si="241"/>
        <v>0</v>
      </c>
      <c r="AZ420" s="109">
        <f t="shared" si="242"/>
        <v>346642.51013952418</v>
      </c>
      <c r="BA420" s="111">
        <f t="shared" si="243"/>
        <v>0</v>
      </c>
      <c r="BB420" s="117" t="s">
        <v>2466</v>
      </c>
      <c r="BC420" s="115" t="str">
        <f t="shared" si="244"/>
        <v>N</v>
      </c>
      <c r="BD420" s="115" t="str">
        <f t="shared" si="245"/>
        <v>Y</v>
      </c>
      <c r="BE420" s="115" t="str">
        <f t="shared" si="246"/>
        <v>N</v>
      </c>
      <c r="BF420" s="109" t="str">
        <f t="shared" si="247"/>
        <v/>
      </c>
      <c r="BG420" s="111" t="s">
        <v>2499</v>
      </c>
      <c r="BH420" s="115" t="s">
        <v>1168</v>
      </c>
      <c r="BI420" s="116"/>
      <c r="BJ420" s="222">
        <v>0.12487945355890684</v>
      </c>
      <c r="BK420" s="265">
        <f t="shared" si="248"/>
        <v>0</v>
      </c>
      <c r="BL420" s="265">
        <f t="shared" si="249"/>
        <v>0</v>
      </c>
      <c r="BM420" s="265">
        <f t="shared" si="250"/>
        <v>0</v>
      </c>
      <c r="BN420" s="265">
        <f t="shared" si="251"/>
        <v>96571.845960333361</v>
      </c>
      <c r="BO420" s="109"/>
      <c r="BP420" s="265">
        <f t="shared" si="252"/>
        <v>96572.33582080924</v>
      </c>
      <c r="BQ420" s="265">
        <v>96572.33582080924</v>
      </c>
      <c r="BR420" s="265" t="e">
        <f t="shared" si="253"/>
        <v>#REF!</v>
      </c>
      <c r="BS420" s="265">
        <v>10879.765600388886</v>
      </c>
      <c r="BT420" s="475">
        <v>2429174.489860476</v>
      </c>
      <c r="BU420" s="475">
        <v>346642.51013952412</v>
      </c>
      <c r="BV420" s="475">
        <v>0</v>
      </c>
      <c r="BW420" s="483">
        <f t="shared" si="254"/>
        <v>0.48986047587823123</v>
      </c>
      <c r="BX420" s="483">
        <f t="shared" si="255"/>
        <v>0</v>
      </c>
    </row>
    <row r="421" spans="1:77" s="103" customFormat="1" ht="43.5">
      <c r="A421" s="100" t="s">
        <v>2259</v>
      </c>
      <c r="B421" s="91" t="str">
        <f t="shared" si="223"/>
        <v>TRA</v>
      </c>
      <c r="C421" s="92" t="s">
        <v>461</v>
      </c>
      <c r="D421" s="448"/>
      <c r="E421" s="450" t="s">
        <v>2173</v>
      </c>
      <c r="F421" s="467" t="s">
        <v>4800</v>
      </c>
      <c r="G421" s="467" t="s">
        <v>4732</v>
      </c>
      <c r="H421" s="470">
        <v>0.4864</v>
      </c>
      <c r="I421" s="95" t="s">
        <v>962</v>
      </c>
      <c r="J421" s="95" t="s">
        <v>1166</v>
      </c>
      <c r="K421" s="469">
        <v>1650586</v>
      </c>
      <c r="L421" s="471">
        <v>0.51791453959495659</v>
      </c>
      <c r="M421" s="266">
        <v>0.15283842794759805</v>
      </c>
      <c r="N421" s="267">
        <f t="shared" si="224"/>
        <v>0.84716157205240195</v>
      </c>
      <c r="O421" s="96">
        <f t="shared" si="225"/>
        <v>1234780.8857142851</v>
      </c>
      <c r="P421" s="96">
        <f t="shared" si="259"/>
        <v>63551.000000000007</v>
      </c>
      <c r="Q421" s="96">
        <f t="shared" si="226"/>
        <v>352254.11428571487</v>
      </c>
      <c r="R421" s="187" t="s">
        <v>2335</v>
      </c>
      <c r="S421" s="187" t="s">
        <v>3608</v>
      </c>
      <c r="T421" s="94" t="s">
        <v>2779</v>
      </c>
      <c r="U421" s="395">
        <f>COUNTIF(Aggregation_of_rev_to_allocate!$A$3:$A$137,$T421)</f>
        <v>1</v>
      </c>
      <c r="V421" s="100"/>
      <c r="W421" s="100">
        <v>507</v>
      </c>
      <c r="X421" s="109">
        <v>62763.06176288634</v>
      </c>
      <c r="Y421" s="109">
        <v>366715.60372886463</v>
      </c>
      <c r="Z421" s="110">
        <v>0.87767461992808837</v>
      </c>
      <c r="AA421" s="110">
        <v>0.14613778705636737</v>
      </c>
      <c r="AB421" s="110">
        <v>0.85386221294363263</v>
      </c>
      <c r="AC421" s="109">
        <f>IF(ISERROR((X421*SUMIF('Rev_for_allocation(Hard)'!$A$3:$A$249,$T421,'Rev_for_allocation(Hard)'!$I$3:$I$249)/SUMIF(Historic_capex_list!$T$9:$T$586,$T421,Historic_capex_list!$X$9:$X$586))=TRUE),0,X421*SUMIF('Rev_for_allocation(Hard)'!$A$3:$A$249,$T421,'Rev_for_allocation(Hard)'!$I$3:$I$249)/SUMIF(Historic_capex_list!$T$9:$T$586,$T421,Historic_capex_list!$X$9:$X$586))</f>
        <v>-13675.479359394274</v>
      </c>
      <c r="AD421" s="109">
        <f t="shared" si="227"/>
        <v>49087.582403492066</v>
      </c>
      <c r="AE421" s="109">
        <f t="shared" si="260"/>
        <v>49087.582403492066</v>
      </c>
      <c r="AF421" s="109">
        <f t="shared" si="229"/>
        <v>415803.1861323567</v>
      </c>
      <c r="AG421" s="332" t="str">
        <f t="shared" si="230"/>
        <v>N</v>
      </c>
      <c r="AH421" s="332">
        <f t="shared" si="256"/>
        <v>0</v>
      </c>
      <c r="AI421" s="332">
        <f t="shared" si="257"/>
        <v>0</v>
      </c>
      <c r="AJ421" s="109">
        <f t="shared" si="258"/>
        <v>415803.1861323567</v>
      </c>
      <c r="AK421" s="109">
        <f t="shared" si="231"/>
        <v>0</v>
      </c>
      <c r="AL421" s="109">
        <v>0</v>
      </c>
      <c r="AM421" s="111">
        <f t="shared" si="232"/>
        <v>58.428571428571452</v>
      </c>
      <c r="AN421" s="111">
        <f t="shared" si="233"/>
        <v>55.428571428571452</v>
      </c>
      <c r="AO421" s="111" t="str">
        <f t="shared" si="234"/>
        <v>Use deduct 3yrs</v>
      </c>
      <c r="AP421" s="111">
        <f t="shared" si="235"/>
        <v>55.428571428571452</v>
      </c>
      <c r="AQ421" s="112">
        <f t="shared" si="236"/>
        <v>0.84716157205240195</v>
      </c>
      <c r="AR421" s="112">
        <f t="shared" si="237"/>
        <v>0.15283842794759805</v>
      </c>
      <c r="AS421" s="113">
        <f t="shared" si="238"/>
        <v>2083</v>
      </c>
      <c r="AT421" s="109">
        <v>415803.1861323567</v>
      </c>
      <c r="AU421" s="114">
        <v>0.15283842794759805</v>
      </c>
      <c r="AV421" s="113">
        <v>2083</v>
      </c>
      <c r="AW421" s="112">
        <f t="shared" si="239"/>
        <v>0.51791213794422042</v>
      </c>
      <c r="AX421" s="109">
        <f t="shared" si="240"/>
        <v>63550.705304071889</v>
      </c>
      <c r="AY421" s="109">
        <f t="shared" si="241"/>
        <v>352252.48082828475</v>
      </c>
      <c r="AZ421" s="109">
        <f t="shared" si="242"/>
        <v>415803.18613235664</v>
      </c>
      <c r="BA421" s="111">
        <f t="shared" si="243"/>
        <v>0</v>
      </c>
      <c r="BB421" s="117"/>
      <c r="BC421" s="115" t="str">
        <f t="shared" si="244"/>
        <v>N</v>
      </c>
      <c r="BD421" s="115" t="str">
        <f t="shared" si="245"/>
        <v>N</v>
      </c>
      <c r="BE421" s="115" t="str">
        <f t="shared" si="246"/>
        <v>N</v>
      </c>
      <c r="BF421" s="109" t="str">
        <f t="shared" si="247"/>
        <v/>
      </c>
      <c r="BG421" s="111" t="s">
        <v>2499</v>
      </c>
      <c r="BH421" s="115" t="s">
        <v>1168</v>
      </c>
      <c r="BI421" s="116"/>
      <c r="BJ421" s="222">
        <v>0.84972766443648584</v>
      </c>
      <c r="BK421" s="265">
        <f t="shared" si="248"/>
        <v>-1.6334574301145039</v>
      </c>
      <c r="BL421" s="265">
        <f t="shared" si="249"/>
        <v>1.6334574301145039</v>
      </c>
      <c r="BM421" s="265">
        <f t="shared" si="250"/>
        <v>0</v>
      </c>
      <c r="BN421" s="265">
        <f t="shared" si="251"/>
        <v>-787.93823711366713</v>
      </c>
      <c r="BO421" s="109"/>
      <c r="BP421" s="265">
        <f t="shared" si="252"/>
        <v>13675.479359394289</v>
      </c>
      <c r="BQ421" s="265">
        <v>13675.479359394289</v>
      </c>
      <c r="BR421" s="265" t="e">
        <f t="shared" si="253"/>
        <v>#REF!</v>
      </c>
      <c r="BS421" s="265">
        <v>1540.6690605396548</v>
      </c>
      <c r="BT421" s="475">
        <v>73533.81386764333</v>
      </c>
      <c r="BU421" s="475">
        <v>63550.705304071904</v>
      </c>
      <c r="BV421" s="475">
        <v>352252.48082828481</v>
      </c>
      <c r="BW421" s="483">
        <f t="shared" si="254"/>
        <v>0.29469592810346512</v>
      </c>
      <c r="BX421" s="483">
        <f t="shared" si="255"/>
        <v>1.6334574300562963</v>
      </c>
    </row>
    <row r="422" spans="1:77" s="103" customFormat="1" ht="14.5">
      <c r="A422" s="100"/>
      <c r="B422" s="91" t="str">
        <f t="shared" si="223"/>
        <v>TRA</v>
      </c>
      <c r="C422" s="92"/>
      <c r="D422" s="448"/>
      <c r="E422" s="450"/>
      <c r="F422" s="384" t="s">
        <v>2623</v>
      </c>
      <c r="G422" s="384" t="s">
        <v>5268</v>
      </c>
      <c r="H422" s="398">
        <v>0.215</v>
      </c>
      <c r="I422" s="95"/>
      <c r="J422" s="95" t="s">
        <v>1166</v>
      </c>
      <c r="K422" s="191">
        <v>1560450</v>
      </c>
      <c r="L422" s="268">
        <v>0.62935760043028732</v>
      </c>
      <c r="M422" s="266">
        <v>1</v>
      </c>
      <c r="N422" s="267">
        <f t="shared" si="224"/>
        <v>0</v>
      </c>
      <c r="O422" s="96">
        <f t="shared" si="225"/>
        <v>1349302.5704678399</v>
      </c>
      <c r="P422" s="96">
        <f t="shared" si="259"/>
        <v>211147.42953215999</v>
      </c>
      <c r="Q422" s="96">
        <f t="shared" si="226"/>
        <v>0</v>
      </c>
      <c r="R422" s="187" t="s">
        <v>2338</v>
      </c>
      <c r="S422" s="187" t="s">
        <v>3608</v>
      </c>
      <c r="T422" s="94" t="s">
        <v>2782</v>
      </c>
      <c r="U422" s="395">
        <f>COUNTIF(Aggregation_of_rev_to_allocate!$A$3:$A$137,$T422)</f>
        <v>1</v>
      </c>
      <c r="V422" s="100"/>
      <c r="W422" s="100">
        <v>896</v>
      </c>
      <c r="X422" s="109">
        <v>167748.375</v>
      </c>
      <c r="Y422" s="109">
        <v>167748.375</v>
      </c>
      <c r="Z422" s="110">
        <v>1</v>
      </c>
      <c r="AA422" s="110">
        <v>0.5</v>
      </c>
      <c r="AB422" s="110">
        <v>0.5</v>
      </c>
      <c r="AC422" s="109">
        <f>IF(ISERROR((X422*SUMIF('Rev_for_allocation(Hard)'!$A$3:$A$249,$T422,'Rev_for_allocation(Hard)'!$I$3:$I$249)/SUMIF(Historic_capex_list!$T$9:$T$586,$T422,Historic_capex_list!$X$9:$X$586))=TRUE),0,X422*SUMIF('Rev_for_allocation(Hard)'!$A$3:$A$249,$T422,'Rev_for_allocation(Hard)'!$I$3:$I$249)/SUMIF(Historic_capex_list!$T$9:$T$586,$T422,Historic_capex_list!$X$9:$X$586))</f>
        <v>-124349.32046784002</v>
      </c>
      <c r="AD422" s="109">
        <f t="shared" si="227"/>
        <v>43399.054532159978</v>
      </c>
      <c r="AE422" s="109">
        <f t="shared" si="260"/>
        <v>43399.054532159978</v>
      </c>
      <c r="AF422" s="109">
        <f t="shared" si="229"/>
        <v>211147.42953215999</v>
      </c>
      <c r="AG422" s="332" t="str">
        <f t="shared" si="230"/>
        <v>N</v>
      </c>
      <c r="AH422" s="332">
        <f t="shared" si="256"/>
        <v>0</v>
      </c>
      <c r="AI422" s="332">
        <f t="shared" si="257"/>
        <v>0</v>
      </c>
      <c r="AJ422" s="109">
        <f t="shared" si="258"/>
        <v>211147.42953215999</v>
      </c>
      <c r="AK422" s="109">
        <f t="shared" si="231"/>
        <v>0</v>
      </c>
      <c r="AL422" s="109">
        <v>0</v>
      </c>
      <c r="AM422" s="111">
        <f t="shared" si="232"/>
        <v>10</v>
      </c>
      <c r="AN422" s="111">
        <f t="shared" si="233"/>
        <v>7</v>
      </c>
      <c r="AO422" s="111">
        <f t="shared" si="234"/>
        <v>8.2215643597119623</v>
      </c>
      <c r="AP422" s="111">
        <f t="shared" si="235"/>
        <v>0</v>
      </c>
      <c r="AQ422" s="112">
        <f t="shared" si="236"/>
        <v>0</v>
      </c>
      <c r="AR422" s="112">
        <f t="shared" si="237"/>
        <v>1</v>
      </c>
      <c r="AS422" s="113">
        <f t="shared" si="238"/>
        <v>2028</v>
      </c>
      <c r="AT422" s="109">
        <v>211147.42953215999</v>
      </c>
      <c r="AU422" s="114">
        <v>1</v>
      </c>
      <c r="AV422" s="113">
        <v>2028</v>
      </c>
      <c r="AW422" s="112">
        <f t="shared" si="239"/>
        <v>0.62935760043028732</v>
      </c>
      <c r="AX422" s="109">
        <f t="shared" si="240"/>
        <v>211147.42953215999</v>
      </c>
      <c r="AY422" s="109">
        <f t="shared" si="241"/>
        <v>0</v>
      </c>
      <c r="AZ422" s="109">
        <f t="shared" si="242"/>
        <v>211147.42953215999</v>
      </c>
      <c r="BA422" s="111">
        <f t="shared" si="243"/>
        <v>0</v>
      </c>
      <c r="BB422" s="117"/>
      <c r="BC422" s="115" t="str">
        <f t="shared" si="244"/>
        <v>N</v>
      </c>
      <c r="BD422" s="115" t="str">
        <f t="shared" si="245"/>
        <v>Y</v>
      </c>
      <c r="BE422" s="115" t="str">
        <f t="shared" si="246"/>
        <v>N</v>
      </c>
      <c r="BF422" s="109" t="str">
        <f t="shared" si="247"/>
        <v/>
      </c>
      <c r="BG422" s="111" t="s">
        <v>2499</v>
      </c>
      <c r="BH422" s="115" t="s">
        <v>1168</v>
      </c>
      <c r="BI422" s="116"/>
      <c r="BJ422" s="222">
        <v>0.62935760043028732</v>
      </c>
      <c r="BK422" s="265">
        <f t="shared" si="248"/>
        <v>0</v>
      </c>
      <c r="BL422" s="265">
        <f t="shared" si="249"/>
        <v>0</v>
      </c>
      <c r="BM422" s="265">
        <f t="shared" si="250"/>
        <v>5.8207660913467407E-11</v>
      </c>
      <c r="BN422" s="265">
        <f t="shared" si="251"/>
        <v>-43399.054532159993</v>
      </c>
      <c r="BO422" s="109"/>
      <c r="BP422" s="265">
        <f t="shared" si="252"/>
        <v>124349.32046784001</v>
      </c>
      <c r="BQ422" s="265">
        <v>124349.32046784001</v>
      </c>
      <c r="BR422" s="265" t="e">
        <f t="shared" si="253"/>
        <v>#REF!</v>
      </c>
      <c r="BS422" s="265">
        <v>14009.099477184031</v>
      </c>
      <c r="BT422" s="475">
        <v>1349302.5704678399</v>
      </c>
      <c r="BU422" s="475">
        <v>211147.42953215999</v>
      </c>
      <c r="BV422" s="475">
        <v>0</v>
      </c>
      <c r="BW422" s="483">
        <f t="shared" si="254"/>
        <v>0</v>
      </c>
      <c r="BX422" s="483">
        <f t="shared" si="255"/>
        <v>0</v>
      </c>
    </row>
    <row r="423" spans="1:77" s="103" customFormat="1" ht="29">
      <c r="A423" s="100" t="s">
        <v>2259</v>
      </c>
      <c r="B423" s="91" t="str">
        <f t="shared" si="223"/>
        <v>TRA</v>
      </c>
      <c r="C423" s="92" t="s">
        <v>461</v>
      </c>
      <c r="D423" s="448"/>
      <c r="E423" s="450" t="s">
        <v>2200</v>
      </c>
      <c r="F423" s="468" t="s">
        <v>4493</v>
      </c>
      <c r="G423" s="384" t="s">
        <v>4680</v>
      </c>
      <c r="H423" s="398">
        <v>1</v>
      </c>
      <c r="I423" s="95" t="s">
        <v>951</v>
      </c>
      <c r="J423" s="95" t="s">
        <v>1166</v>
      </c>
      <c r="K423" s="191">
        <v>516845</v>
      </c>
      <c r="L423" s="268">
        <v>0.13922624479744131</v>
      </c>
      <c r="M423" s="266">
        <v>1</v>
      </c>
      <c r="N423" s="267">
        <f t="shared" si="224"/>
        <v>0</v>
      </c>
      <c r="O423" s="96">
        <f t="shared" si="225"/>
        <v>444886.61150766647</v>
      </c>
      <c r="P423" s="96">
        <f t="shared" si="259"/>
        <v>71958.388492333557</v>
      </c>
      <c r="Q423" s="96">
        <f t="shared" si="226"/>
        <v>0</v>
      </c>
      <c r="R423" s="187" t="s">
        <v>2337</v>
      </c>
      <c r="S423" s="187" t="s">
        <v>3608</v>
      </c>
      <c r="T423" s="94" t="s">
        <v>2781</v>
      </c>
      <c r="U423" s="395">
        <f>COUNTIF(Aggregation_of_rev_to_allocate!$A$3:$A$137,$T423)</f>
        <v>1</v>
      </c>
      <c r="V423" s="100"/>
      <c r="W423" s="100">
        <v>550</v>
      </c>
      <c r="X423" s="109">
        <v>176838.57483120041</v>
      </c>
      <c r="Y423" s="109">
        <v>0</v>
      </c>
      <c r="Z423" s="110">
        <v>0.34215011237643861</v>
      </c>
      <c r="AA423" s="110">
        <v>1</v>
      </c>
      <c r="AB423" s="110">
        <v>0</v>
      </c>
      <c r="AC423" s="109">
        <f>IF(ISERROR((X423*SUMIF('Rev_for_allocation(Hard)'!$A$3:$A$249,$T423,'Rev_for_allocation(Hard)'!$I$3:$I$249)/SUMIF(Historic_capex_list!$T$9:$T$586,$T423,Historic_capex_list!$X$9:$X$586))=TRUE),0,X423*SUMIF('Rev_for_allocation(Hard)'!$A$3:$A$249,$T423,'Rev_for_allocation(Hard)'!$I$3:$I$249)/SUMIF(Historic_capex_list!$T$9:$T$586,$T423,Historic_capex_list!$X$9:$X$586))</f>
        <v>-106530.01823978053</v>
      </c>
      <c r="AD423" s="109">
        <f t="shared" si="227"/>
        <v>70308.556591419881</v>
      </c>
      <c r="AE423" s="109">
        <f t="shared" si="260"/>
        <v>70308.556591419881</v>
      </c>
      <c r="AF423" s="109">
        <f t="shared" si="229"/>
        <v>70308.556591419881</v>
      </c>
      <c r="AG423" s="332" t="str">
        <f t="shared" si="230"/>
        <v>N</v>
      </c>
      <c r="AH423" s="332">
        <f t="shared" si="256"/>
        <v>0</v>
      </c>
      <c r="AI423" s="332">
        <f t="shared" si="257"/>
        <v>0</v>
      </c>
      <c r="AJ423" s="109">
        <f t="shared" si="258"/>
        <v>70308.556591419881</v>
      </c>
      <c r="AK423" s="109">
        <f t="shared" si="231"/>
        <v>0</v>
      </c>
      <c r="AL423" s="109">
        <v>0</v>
      </c>
      <c r="AM423" s="111">
        <f t="shared" si="232"/>
        <v>0</v>
      </c>
      <c r="AN423" s="111">
        <f t="shared" si="233"/>
        <v>0</v>
      </c>
      <c r="AO423" s="111">
        <f t="shared" si="234"/>
        <v>-5.1517857006868129</v>
      </c>
      <c r="AP423" s="111">
        <f t="shared" si="235"/>
        <v>0</v>
      </c>
      <c r="AQ423" s="112">
        <f t="shared" si="236"/>
        <v>0</v>
      </c>
      <c r="AR423" s="112">
        <f t="shared" si="237"/>
        <v>1</v>
      </c>
      <c r="AS423" s="113">
        <f t="shared" si="238"/>
        <v>2028</v>
      </c>
      <c r="AT423" s="109">
        <v>71958.388492333557</v>
      </c>
      <c r="AU423" s="114">
        <v>1</v>
      </c>
      <c r="AV423" s="113">
        <v>2028</v>
      </c>
      <c r="AW423" s="112">
        <f t="shared" si="239"/>
        <v>0.13922624479744131</v>
      </c>
      <c r="AX423" s="109">
        <f t="shared" si="240"/>
        <v>71958.388492333557</v>
      </c>
      <c r="AY423" s="109">
        <f t="shared" si="241"/>
        <v>0</v>
      </c>
      <c r="AZ423" s="109">
        <f t="shared" si="242"/>
        <v>71958.388492333557</v>
      </c>
      <c r="BA423" s="111">
        <f t="shared" si="243"/>
        <v>0</v>
      </c>
      <c r="BB423" s="117"/>
      <c r="BC423" s="115" t="str">
        <f t="shared" si="244"/>
        <v>N</v>
      </c>
      <c r="BD423" s="115" t="str">
        <f t="shared" si="245"/>
        <v>Y</v>
      </c>
      <c r="BE423" s="115" t="str">
        <f t="shared" si="246"/>
        <v>N</v>
      </c>
      <c r="BF423" s="109" t="str">
        <f t="shared" si="247"/>
        <v/>
      </c>
      <c r="BG423" s="111" t="s">
        <v>2499</v>
      </c>
      <c r="BH423" s="115" t="s">
        <v>1168</v>
      </c>
      <c r="BI423" s="116"/>
      <c r="BJ423" s="222">
        <v>0.13922624479744131</v>
      </c>
      <c r="BK423" s="265">
        <f t="shared" si="248"/>
        <v>0</v>
      </c>
      <c r="BL423" s="265">
        <f t="shared" si="249"/>
        <v>0</v>
      </c>
      <c r="BM423" s="265">
        <f t="shared" si="250"/>
        <v>-2.9103830456733704E-11</v>
      </c>
      <c r="BN423" s="265">
        <f t="shared" si="251"/>
        <v>104880.18633886686</v>
      </c>
      <c r="BO423" s="109"/>
      <c r="BP423" s="265">
        <f t="shared" si="252"/>
        <v>104880.18633886686</v>
      </c>
      <c r="BQ423" s="265">
        <v>104880.18633886686</v>
      </c>
      <c r="BR423" s="265" t="e">
        <f t="shared" si="253"/>
        <v>#REF!</v>
      </c>
      <c r="BS423" s="265">
        <v>11815.7216949712</v>
      </c>
      <c r="BT423" s="475">
        <v>444886.61150766647</v>
      </c>
      <c r="BU423" s="475">
        <v>71958.388492333557</v>
      </c>
      <c r="BV423" s="475">
        <v>0</v>
      </c>
      <c r="BW423" s="483">
        <f t="shared" si="254"/>
        <v>0</v>
      </c>
      <c r="BX423" s="483">
        <f t="shared" si="255"/>
        <v>0</v>
      </c>
    </row>
    <row r="424" spans="1:77" s="103" customFormat="1" ht="29">
      <c r="A424" s="100"/>
      <c r="B424" s="91" t="str">
        <f t="shared" si="223"/>
        <v>TRA</v>
      </c>
      <c r="C424" s="92"/>
      <c r="D424" s="448"/>
      <c r="E424" s="449" t="s">
        <v>2941</v>
      </c>
      <c r="F424" s="384" t="s">
        <v>2945</v>
      </c>
      <c r="G424" s="384" t="s">
        <v>4470</v>
      </c>
      <c r="H424" s="398">
        <v>0.75449999999999995</v>
      </c>
      <c r="I424" s="95"/>
      <c r="J424" s="95" t="s">
        <v>1166</v>
      </c>
      <c r="K424" s="191">
        <f>793935.0685/0.49</f>
        <v>1620275.6500000001</v>
      </c>
      <c r="L424" s="268">
        <v>1</v>
      </c>
      <c r="M424" s="266">
        <v>0.58823529411764708</v>
      </c>
      <c r="N424" s="267">
        <f t="shared" si="224"/>
        <v>0.41176470588235292</v>
      </c>
      <c r="O424" s="96">
        <f t="shared" si="225"/>
        <v>397777.67207500013</v>
      </c>
      <c r="P424" s="96">
        <f t="shared" si="259"/>
        <v>719116.4576029412</v>
      </c>
      <c r="Q424" s="96">
        <f t="shared" si="226"/>
        <v>503381.52032205876</v>
      </c>
      <c r="R424" s="187"/>
      <c r="S424" s="187" t="s">
        <v>3607</v>
      </c>
      <c r="T424" s="94" t="s">
        <v>2789</v>
      </c>
      <c r="U424" s="395"/>
      <c r="V424" s="100"/>
      <c r="W424" s="100"/>
      <c r="X424" s="109">
        <v>299512.00459162501</v>
      </c>
      <c r="Y424" s="109">
        <v>299512.00459162501</v>
      </c>
      <c r="Z424" s="110">
        <v>1</v>
      </c>
      <c r="AA424" s="110">
        <v>0.5</v>
      </c>
      <c r="AB424" s="110">
        <v>0.5</v>
      </c>
      <c r="AC424" s="109">
        <f>IF(ISERROR((X424*SUMIF('Rev_for_allocation(Hard)'!$A$3:$A$249,$T424,'Rev_for_allocation(Hard)'!$I$3:$I$249)/SUMIF(Historic_capex_list!$T$9:$T$586,$T424,Historic_capex_list!$X$9:$X$586))=TRUE),0,X424*SUMIF('Rev_for_allocation(Hard)'!$A$3:$A$249,$T424,'Rev_for_allocation(Hard)'!$I$3:$I$249)/SUMIF(Historic_capex_list!$T$9:$T$586,$T424,Historic_capex_list!$X$9:$X$586))</f>
        <v>0</v>
      </c>
      <c r="AD424" s="109">
        <f t="shared" si="227"/>
        <v>299512.00459162501</v>
      </c>
      <c r="AE424" s="109">
        <f t="shared" si="260"/>
        <v>299512.00459162501</v>
      </c>
      <c r="AF424" s="109">
        <f t="shared" si="229"/>
        <v>599024.00918325002</v>
      </c>
      <c r="AG424" s="332" t="str">
        <f t="shared" si="230"/>
        <v>N</v>
      </c>
      <c r="AH424" s="332">
        <f t="shared" si="256"/>
        <v>0</v>
      </c>
      <c r="AI424" s="332">
        <f t="shared" si="257"/>
        <v>0</v>
      </c>
      <c r="AJ424" s="109">
        <f t="shared" si="258"/>
        <v>599024.00918325002</v>
      </c>
      <c r="AK424" s="109">
        <f t="shared" si="231"/>
        <v>0</v>
      </c>
      <c r="AL424" s="109">
        <v>0</v>
      </c>
      <c r="AM424" s="111">
        <f t="shared" si="232"/>
        <v>10</v>
      </c>
      <c r="AN424" s="111">
        <f t="shared" si="233"/>
        <v>7</v>
      </c>
      <c r="AO424" s="111" t="str">
        <f t="shared" si="234"/>
        <v>Use deduct 3yrs</v>
      </c>
      <c r="AP424" s="111">
        <f t="shared" si="235"/>
        <v>7</v>
      </c>
      <c r="AQ424" s="112">
        <f t="shared" si="236"/>
        <v>0.41176470588235292</v>
      </c>
      <c r="AR424" s="112">
        <f t="shared" si="237"/>
        <v>0.58823529411764708</v>
      </c>
      <c r="AS424" s="113">
        <f t="shared" si="238"/>
        <v>2035</v>
      </c>
      <c r="AT424" s="109">
        <v>599024.00918325002</v>
      </c>
      <c r="AU424" s="114">
        <v>0.58823529411764708</v>
      </c>
      <c r="AV424" s="113">
        <v>2035</v>
      </c>
      <c r="AW424" s="112">
        <f t="shared" si="239"/>
        <v>0.49</v>
      </c>
      <c r="AX424" s="109">
        <f t="shared" si="240"/>
        <v>352367.06422544119</v>
      </c>
      <c r="AY424" s="109">
        <f t="shared" si="241"/>
        <v>246656.94495780882</v>
      </c>
      <c r="AZ424" s="109">
        <f t="shared" si="242"/>
        <v>599024.00918325002</v>
      </c>
      <c r="BA424" s="111">
        <f t="shared" si="243"/>
        <v>0</v>
      </c>
      <c r="BB424" s="117"/>
      <c r="BC424" s="115" t="str">
        <f t="shared" si="244"/>
        <v>N</v>
      </c>
      <c r="BD424" s="115" t="str">
        <f t="shared" si="245"/>
        <v>N</v>
      </c>
      <c r="BE424" s="115" t="str">
        <f t="shared" si="246"/>
        <v>N</v>
      </c>
      <c r="BF424" s="109" t="str">
        <f t="shared" si="247"/>
        <v/>
      </c>
      <c r="BG424" s="111" t="s">
        <v>2499</v>
      </c>
      <c r="BH424" s="115" t="s">
        <v>1168</v>
      </c>
      <c r="BI424" s="116"/>
      <c r="BJ424" s="222">
        <v>1</v>
      </c>
      <c r="BK424" s="265">
        <f t="shared" si="248"/>
        <v>-256724.57536424993</v>
      </c>
      <c r="BL424" s="265">
        <f t="shared" si="249"/>
        <v>256724.57536424993</v>
      </c>
      <c r="BM424" s="265">
        <f t="shared" si="250"/>
        <v>0</v>
      </c>
      <c r="BN424" s="265">
        <f t="shared" si="251"/>
        <v>-419604.45301131619</v>
      </c>
      <c r="BO424" s="109"/>
      <c r="BP424" s="265">
        <f t="shared" si="252"/>
        <v>0</v>
      </c>
      <c r="BQ424" s="265">
        <v>0</v>
      </c>
      <c r="BR424" s="265" t="e">
        <f t="shared" si="253"/>
        <v>#REF!</v>
      </c>
      <c r="BS424" s="265">
        <v>0</v>
      </c>
      <c r="BT424" s="475">
        <v>194911.05931675006</v>
      </c>
      <c r="BU424" s="475">
        <v>352367.06422544119</v>
      </c>
      <c r="BV424" s="475">
        <v>246656.94495780882</v>
      </c>
      <c r="BW424" s="483">
        <f t="shared" si="254"/>
        <v>366749.3933775</v>
      </c>
      <c r="BX424" s="483">
        <f t="shared" si="255"/>
        <v>256724.57536424993</v>
      </c>
    </row>
    <row r="425" spans="1:77" s="681" customFormat="1" ht="29">
      <c r="A425" s="651"/>
      <c r="B425" s="652" t="str">
        <f>LEFT(T425,3)</f>
        <v>TRA</v>
      </c>
      <c r="C425" s="653"/>
      <c r="D425" s="654"/>
      <c r="E425" s="655" t="s">
        <v>2941</v>
      </c>
      <c r="F425" s="656" t="s">
        <v>2945</v>
      </c>
      <c r="G425" s="656" t="s">
        <v>4470</v>
      </c>
      <c r="H425" s="657">
        <v>0.75449999999999995</v>
      </c>
      <c r="I425" s="658"/>
      <c r="J425" s="658" t="s">
        <v>1166</v>
      </c>
      <c r="K425" s="659">
        <f>K424*-0.51</f>
        <v>-826340.58150000009</v>
      </c>
      <c r="L425" s="660">
        <v>1</v>
      </c>
      <c r="M425" s="661">
        <v>0.58823529411764708</v>
      </c>
      <c r="N425" s="662">
        <f>100%-M425</f>
        <v>0.41176470588235292</v>
      </c>
      <c r="O425" s="663">
        <f>(K425*(100%-H425))+(K425*H425*(100%-L425))</f>
        <v>-202866.61275825006</v>
      </c>
      <c r="P425" s="663">
        <f>(+K425*L425*M425*H425)</f>
        <v>-366749.3933775</v>
      </c>
      <c r="Q425" s="663">
        <f>+K425*L425*N425*H425</f>
        <v>-256724.57536424999</v>
      </c>
      <c r="R425" s="664"/>
      <c r="S425" s="664" t="s">
        <v>3607</v>
      </c>
      <c r="T425" s="665" t="s">
        <v>2789</v>
      </c>
      <c r="U425" s="666"/>
      <c r="V425" s="651"/>
      <c r="W425" s="651"/>
      <c r="X425" s="667">
        <v>299512.00459162501</v>
      </c>
      <c r="Y425" s="667">
        <v>299512.00459162501</v>
      </c>
      <c r="Z425" s="668">
        <v>1</v>
      </c>
      <c r="AA425" s="668">
        <v>0.5</v>
      </c>
      <c r="AB425" s="668">
        <v>0.5</v>
      </c>
      <c r="AC425" s="667">
        <f>IF(ISERROR((X425*SUMIF('Rev_for_allocation(Hard)'!$A$3:$A$249,$T425,'Rev_for_allocation(Hard)'!$I$3:$I$249)/SUMIF(Historic_capex_list!$T$9:$T$586,$T425,Historic_capex_list!$X$9:$X$586))=TRUE),0,X425*SUMIF('Rev_for_allocation(Hard)'!$A$3:$A$249,$T425,'Rev_for_allocation(Hard)'!$I$3:$I$249)/SUMIF(Historic_capex_list!$T$9:$T$586,$T425,Historic_capex_list!$X$9:$X$586))</f>
        <v>0</v>
      </c>
      <c r="AD425" s="667">
        <f>+AC425+X425</f>
        <v>299512.00459162501</v>
      </c>
      <c r="AE425" s="667">
        <f>IF(AD425&lt;0,+Q425+P425+AC425,+AD425)</f>
        <v>299512.00459162501</v>
      </c>
      <c r="AF425" s="667">
        <f>+Y425+AD425</f>
        <v>599024.00918325002</v>
      </c>
      <c r="AG425" s="669" t="str">
        <f>IF(AF425&lt;0,"Y","N")</f>
        <v>N</v>
      </c>
      <c r="AH425" s="669">
        <f t="shared" si="256"/>
        <v>0</v>
      </c>
      <c r="AI425" s="669">
        <f t="shared" si="257"/>
        <v>0</v>
      </c>
      <c r="AJ425" s="667">
        <f t="shared" si="258"/>
        <v>599024.00918325002</v>
      </c>
      <c r="AK425" s="667">
        <f>IF(AJ425&lt;0,+AJ425,0)</f>
        <v>0</v>
      </c>
      <c r="AL425" s="667">
        <v>0</v>
      </c>
      <c r="AM425" s="670">
        <f>AB425/(1-AB425)*10</f>
        <v>10</v>
      </c>
      <c r="AN425" s="670">
        <f>IF(AM425=0,0,IF(AD425&lt;0,AM425-10,AM425-3))</f>
        <v>7</v>
      </c>
      <c r="AO425" s="670" t="str">
        <f>IF(-AC425&gt;AE425,((AE425+Y425+AC425)/(AE425+Y425))*(AM425+10),"Use deduct 3yrs")</f>
        <v>Use deduct 3yrs</v>
      </c>
      <c r="AP425" s="670">
        <f>IF(AO425&lt;=10,0,AN425)</f>
        <v>7</v>
      </c>
      <c r="AQ425" s="671">
        <f>IF(AN425&lt;=0,0,(AP425/(AP425+10)))</f>
        <v>0.41176470588235292</v>
      </c>
      <c r="AR425" s="671">
        <f>IF(O425=0,1,1-AQ425)</f>
        <v>0.58823529411764708</v>
      </c>
      <c r="AS425" s="672">
        <f>ROUND(IF(+$AS$7+AP425&lt;+$AS$7,+$AS$7,+$AS$7+AP425),0)</f>
        <v>2035</v>
      </c>
      <c r="AT425" s="667">
        <v>599024.00918325002</v>
      </c>
      <c r="AU425" s="673">
        <v>0.58823529411764708</v>
      </c>
      <c r="AV425" s="672">
        <v>2035</v>
      </c>
      <c r="AW425" s="671">
        <f t="shared" si="239"/>
        <v>-0.96078431372549022</v>
      </c>
      <c r="AX425" s="667">
        <f t="shared" si="240"/>
        <v>352367.06422544119</v>
      </c>
      <c r="AY425" s="667">
        <f t="shared" si="241"/>
        <v>246656.94495780882</v>
      </c>
      <c r="AZ425" s="667">
        <f>IF(K425&lt;1,+AF425,+AY425+AX425)</f>
        <v>599024.00918325002</v>
      </c>
      <c r="BA425" s="670">
        <f>+AZ425-AT425</f>
        <v>0</v>
      </c>
      <c r="BB425" s="674"/>
      <c r="BC425" s="675" t="str">
        <f>IF(P425&lt;=BC$7,"Y","N")</f>
        <v>Y</v>
      </c>
      <c r="BD425" s="675" t="str">
        <f>IF(Q425&lt;=BD$7,"Y","N")</f>
        <v>Y</v>
      </c>
      <c r="BE425" s="675" t="str">
        <f>IF(AND(BC425="Y",Q425=0),"Y","N")</f>
        <v>N</v>
      </c>
      <c r="BF425" s="667" t="str">
        <f>IF(BE425="Y",+P425,"")</f>
        <v/>
      </c>
      <c r="BG425" s="670" t="s">
        <v>2499</v>
      </c>
      <c r="BH425" s="675" t="s">
        <v>1168</v>
      </c>
      <c r="BI425" s="676"/>
      <c r="BJ425" s="677">
        <v>1</v>
      </c>
      <c r="BK425" s="678">
        <f>+AY425-Q425</f>
        <v>503381.52032205882</v>
      </c>
      <c r="BL425" s="678">
        <f>+Q425-AY425</f>
        <v>-503381.52032205882</v>
      </c>
      <c r="BM425" s="678">
        <f>+K425-O425-P425-Q425</f>
        <v>0</v>
      </c>
      <c r="BN425" s="678">
        <f>+X425-P425</f>
        <v>666261.39796912507</v>
      </c>
      <c r="BO425" s="667"/>
      <c r="BP425" s="678">
        <f>+X425+Y425-AT425</f>
        <v>0</v>
      </c>
      <c r="BQ425" s="678">
        <v>0</v>
      </c>
      <c r="BR425" s="678" t="e">
        <f>+BQ425*$BR$7</f>
        <v>#REF!</v>
      </c>
      <c r="BS425" s="678">
        <v>0</v>
      </c>
      <c r="BT425" s="679">
        <v>194911.05931675006</v>
      </c>
      <c r="BU425" s="679">
        <v>352367.06422544119</v>
      </c>
      <c r="BV425" s="679">
        <v>246656.94495780882</v>
      </c>
      <c r="BW425" s="680">
        <f>P425-BU425</f>
        <v>-719116.4576029412</v>
      </c>
      <c r="BX425" s="680">
        <f>Q425-BV425</f>
        <v>-503381.52032205882</v>
      </c>
      <c r="BY425" s="681" t="s">
        <v>5335</v>
      </c>
    </row>
    <row r="426" spans="1:77" s="103" customFormat="1" ht="58">
      <c r="A426" s="100" t="s">
        <v>2259</v>
      </c>
      <c r="B426" s="91" t="str">
        <f t="shared" si="223"/>
        <v>TRA</v>
      </c>
      <c r="C426" s="92" t="s">
        <v>461</v>
      </c>
      <c r="D426" s="448"/>
      <c r="E426" s="450" t="s">
        <v>2158</v>
      </c>
      <c r="F426" s="467" t="s">
        <v>4811</v>
      </c>
      <c r="G426" s="467" t="s">
        <v>4733</v>
      </c>
      <c r="H426" s="470">
        <v>0.85</v>
      </c>
      <c r="I426" s="95" t="s">
        <v>962</v>
      </c>
      <c r="J426" s="95" t="s">
        <v>1166</v>
      </c>
      <c r="K426" s="469">
        <v>15311495.84</v>
      </c>
      <c r="L426" s="471">
        <v>7.1771292510263707E-3</v>
      </c>
      <c r="M426" s="266">
        <v>0.41147132169576073</v>
      </c>
      <c r="N426" s="267">
        <f t="shared" si="224"/>
        <v>0.58852867830423927</v>
      </c>
      <c r="O426" s="96">
        <f t="shared" si="225"/>
        <v>15218087.143030303</v>
      </c>
      <c r="P426" s="96">
        <f t="shared" si="259"/>
        <v>38435.000000000313</v>
      </c>
      <c r="Q426" s="96">
        <f t="shared" si="226"/>
        <v>54973.69696969739</v>
      </c>
      <c r="R426" s="187" t="s">
        <v>2335</v>
      </c>
      <c r="S426" s="187" t="s">
        <v>3608</v>
      </c>
      <c r="T426" s="94" t="s">
        <v>2779</v>
      </c>
      <c r="U426" s="395">
        <f>COUNTIF(Aggregation_of_rev_to_allocate!$A$3:$A$137,$T426)</f>
        <v>1</v>
      </c>
      <c r="V426" s="100"/>
      <c r="W426" s="100">
        <v>508</v>
      </c>
      <c r="X426" s="109">
        <v>37178.490433088024</v>
      </c>
      <c r="Y426" s="109">
        <v>64330.054658464403</v>
      </c>
      <c r="Z426" s="110">
        <v>0.72401122009908792</v>
      </c>
      <c r="AA426" s="110">
        <v>0.36625971143174263</v>
      </c>
      <c r="AB426" s="110">
        <v>0.63374028856825737</v>
      </c>
      <c r="AC426" s="109">
        <f>IF(ISERROR((X426*SUMIF('Rev_for_allocation(Hard)'!$A$3:$A$249,$T426,'Rev_for_allocation(Hard)'!$I$3:$I$249)/SUMIF(Historic_capex_list!$T$9:$T$586,$T426,Historic_capex_list!$X$9:$X$586))=TRUE),0,X426*SUMIF('Rev_for_allocation(Hard)'!$A$3:$A$249,$T426,'Rev_for_allocation(Hard)'!$I$3:$I$249)/SUMIF(Historic_capex_list!$T$9:$T$586,$T426,Historic_capex_list!$X$9:$X$586))</f>
        <v>-8100.8425059305291</v>
      </c>
      <c r="AD426" s="109">
        <f t="shared" si="227"/>
        <v>29077.647927157494</v>
      </c>
      <c r="AE426" s="109">
        <f t="shared" si="260"/>
        <v>29077.647927157494</v>
      </c>
      <c r="AF426" s="109">
        <f t="shared" si="229"/>
        <v>93407.702585621897</v>
      </c>
      <c r="AG426" s="332" t="str">
        <f t="shared" si="230"/>
        <v>N</v>
      </c>
      <c r="AH426" s="332">
        <f t="shared" si="256"/>
        <v>0</v>
      </c>
      <c r="AI426" s="332">
        <f t="shared" si="257"/>
        <v>0</v>
      </c>
      <c r="AJ426" s="109">
        <f t="shared" si="258"/>
        <v>93407.702585621897</v>
      </c>
      <c r="AK426" s="109">
        <f t="shared" si="231"/>
        <v>0</v>
      </c>
      <c r="AL426" s="109">
        <v>0</v>
      </c>
      <c r="AM426" s="111">
        <f t="shared" si="232"/>
        <v>17.303030303030294</v>
      </c>
      <c r="AN426" s="111">
        <f t="shared" si="233"/>
        <v>14.303030303030294</v>
      </c>
      <c r="AO426" s="111" t="str">
        <f t="shared" si="234"/>
        <v>Use deduct 3yrs</v>
      </c>
      <c r="AP426" s="111">
        <f t="shared" si="235"/>
        <v>14.303030303030294</v>
      </c>
      <c r="AQ426" s="112">
        <f t="shared" si="236"/>
        <v>0.58852867830423927</v>
      </c>
      <c r="AR426" s="112">
        <f t="shared" si="237"/>
        <v>0.41147132169576073</v>
      </c>
      <c r="AS426" s="113">
        <f t="shared" si="238"/>
        <v>2042</v>
      </c>
      <c r="AT426" s="109">
        <v>93407.702585621897</v>
      </c>
      <c r="AU426" s="114">
        <v>0.41147132169576073</v>
      </c>
      <c r="AV426" s="113">
        <v>2042</v>
      </c>
      <c r="AW426" s="112">
        <f t="shared" si="239"/>
        <v>7.1770528467592232E-3</v>
      </c>
      <c r="AX426" s="109">
        <f t="shared" si="240"/>
        <v>38434.590839470373</v>
      </c>
      <c r="AY426" s="109">
        <f t="shared" si="241"/>
        <v>54973.111746151531</v>
      </c>
      <c r="AZ426" s="109">
        <f t="shared" si="242"/>
        <v>93407.702585621912</v>
      </c>
      <c r="BA426" s="111">
        <f t="shared" si="243"/>
        <v>0</v>
      </c>
      <c r="BB426" s="117" t="s">
        <v>2471</v>
      </c>
      <c r="BC426" s="115" t="str">
        <f t="shared" si="244"/>
        <v>N</v>
      </c>
      <c r="BD426" s="115" t="str">
        <f t="shared" si="245"/>
        <v>N</v>
      </c>
      <c r="BE426" s="115" t="str">
        <f t="shared" si="246"/>
        <v>N</v>
      </c>
      <c r="BF426" s="109" t="str">
        <f t="shared" si="247"/>
        <v/>
      </c>
      <c r="BG426" s="111" t="s">
        <v>2499</v>
      </c>
      <c r="BH426" s="115" t="s">
        <v>1168</v>
      </c>
      <c r="BI426" s="116"/>
      <c r="BJ426" s="222">
        <v>0.66623183944439057</v>
      </c>
      <c r="BK426" s="265">
        <f t="shared" si="248"/>
        <v>-0.58522354585875291</v>
      </c>
      <c r="BL426" s="265">
        <f t="shared" si="249"/>
        <v>0.58522354585875291</v>
      </c>
      <c r="BM426" s="265">
        <f t="shared" si="250"/>
        <v>-4.5110937207937241E-10</v>
      </c>
      <c r="BN426" s="265">
        <f t="shared" si="251"/>
        <v>-1256.5095669122893</v>
      </c>
      <c r="BO426" s="109"/>
      <c r="BP426" s="265">
        <f t="shared" si="252"/>
        <v>8100.84250593053</v>
      </c>
      <c r="BQ426" s="265">
        <v>8100.84250593053</v>
      </c>
      <c r="BR426" s="265" t="e">
        <f t="shared" si="253"/>
        <v>#REF!</v>
      </c>
      <c r="BS426" s="265">
        <v>912.63473003000354</v>
      </c>
      <c r="BT426" s="475">
        <v>46795.29741437811</v>
      </c>
      <c r="BU426" s="475">
        <v>38434.590839470366</v>
      </c>
      <c r="BV426" s="475">
        <v>54973.111746151531</v>
      </c>
      <c r="BW426" s="483">
        <f t="shared" si="254"/>
        <v>0.4091605299472576</v>
      </c>
      <c r="BX426" s="483">
        <f t="shared" si="255"/>
        <v>0.58522354585875291</v>
      </c>
    </row>
    <row r="427" spans="1:77" s="103" customFormat="1" ht="43.5">
      <c r="A427" s="100" t="s">
        <v>2259</v>
      </c>
      <c r="B427" s="91" t="str">
        <f t="shared" si="223"/>
        <v>TRA</v>
      </c>
      <c r="C427" s="92" t="s">
        <v>461</v>
      </c>
      <c r="D427" s="448"/>
      <c r="E427" s="450" t="s">
        <v>2157</v>
      </c>
      <c r="F427" s="467" t="s">
        <v>4813</v>
      </c>
      <c r="G427" s="620" t="s">
        <v>5303</v>
      </c>
      <c r="H427" s="470">
        <v>0.44</v>
      </c>
      <c r="I427" s="95" t="s">
        <v>962</v>
      </c>
      <c r="J427" s="95" t="s">
        <v>1166</v>
      </c>
      <c r="K427" s="469">
        <v>4473251</v>
      </c>
      <c r="L427" s="471">
        <v>7.1891480349221715E-2</v>
      </c>
      <c r="M427" s="266">
        <v>1</v>
      </c>
      <c r="N427" s="267">
        <f t="shared" si="224"/>
        <v>0</v>
      </c>
      <c r="O427" s="96">
        <f t="shared" si="225"/>
        <v>4331752</v>
      </c>
      <c r="P427" s="96">
        <f t="shared" si="259"/>
        <v>141499.00000000003</v>
      </c>
      <c r="Q427" s="96">
        <f t="shared" si="226"/>
        <v>0</v>
      </c>
      <c r="R427" s="187" t="s">
        <v>2335</v>
      </c>
      <c r="S427" s="187" t="s">
        <v>3608</v>
      </c>
      <c r="T427" s="94" t="s">
        <v>2779</v>
      </c>
      <c r="U427" s="395">
        <f>COUNTIF(Aggregation_of_rev_to_allocate!$A$3:$A$137,$T427)</f>
        <v>1</v>
      </c>
      <c r="V427" s="100"/>
      <c r="W427" s="100">
        <v>509</v>
      </c>
      <c r="X427" s="109">
        <v>180920.22038178393</v>
      </c>
      <c r="Y427" s="109">
        <v>0</v>
      </c>
      <c r="Z427" s="110">
        <v>0.36496011986820126</v>
      </c>
      <c r="AA427" s="110">
        <v>1</v>
      </c>
      <c r="AB427" s="110">
        <v>0</v>
      </c>
      <c r="AC427" s="109">
        <f>IF(ISERROR((X427*SUMIF('Rev_for_allocation(Hard)'!$A$3:$A$249,$T427,'Rev_for_allocation(Hard)'!$I$3:$I$249)/SUMIF(Historic_capex_list!$T$9:$T$586,$T427,Historic_capex_list!$X$9:$X$586))=TRUE),0,X427*SUMIF('Rev_for_allocation(Hard)'!$A$3:$A$249,$T427,'Rev_for_allocation(Hard)'!$I$3:$I$249)/SUMIF(Historic_capex_list!$T$9:$T$586,$T427,Historic_capex_list!$X$9:$X$586))</f>
        <v>-39420.810107629266</v>
      </c>
      <c r="AD427" s="109">
        <f t="shared" si="227"/>
        <v>141499.41027415468</v>
      </c>
      <c r="AE427" s="109">
        <f t="shared" si="260"/>
        <v>141499.41027415468</v>
      </c>
      <c r="AF427" s="109">
        <f t="shared" si="229"/>
        <v>141499.41027415468</v>
      </c>
      <c r="AG427" s="332" t="str">
        <f t="shared" si="230"/>
        <v>N</v>
      </c>
      <c r="AH427" s="332">
        <f t="shared" si="256"/>
        <v>0</v>
      </c>
      <c r="AI427" s="332">
        <f t="shared" si="257"/>
        <v>0</v>
      </c>
      <c r="AJ427" s="109">
        <f t="shared" si="258"/>
        <v>141499.41027415468</v>
      </c>
      <c r="AK427" s="109">
        <f t="shared" si="231"/>
        <v>0</v>
      </c>
      <c r="AL427" s="109">
        <v>0</v>
      </c>
      <c r="AM427" s="111">
        <f t="shared" si="232"/>
        <v>0</v>
      </c>
      <c r="AN427" s="111">
        <f t="shared" si="233"/>
        <v>0</v>
      </c>
      <c r="AO427" s="111" t="str">
        <f t="shared" si="234"/>
        <v>Use deduct 3yrs</v>
      </c>
      <c r="AP427" s="111">
        <f t="shared" si="235"/>
        <v>0</v>
      </c>
      <c r="AQ427" s="112">
        <f t="shared" si="236"/>
        <v>0</v>
      </c>
      <c r="AR427" s="112">
        <f t="shared" si="237"/>
        <v>1</v>
      </c>
      <c r="AS427" s="113">
        <f t="shared" si="238"/>
        <v>2028</v>
      </c>
      <c r="AT427" s="109">
        <v>141499.41027415468</v>
      </c>
      <c r="AU427" s="114">
        <v>1</v>
      </c>
      <c r="AV427" s="113">
        <v>2028</v>
      </c>
      <c r="AW427" s="112">
        <f t="shared" si="239"/>
        <v>7.1891688797453349E-2</v>
      </c>
      <c r="AX427" s="109">
        <f t="shared" si="240"/>
        <v>141499.41027415465</v>
      </c>
      <c r="AY427" s="109">
        <f t="shared" si="241"/>
        <v>0</v>
      </c>
      <c r="AZ427" s="109">
        <f t="shared" si="242"/>
        <v>141499.41027415465</v>
      </c>
      <c r="BA427" s="111">
        <f t="shared" si="243"/>
        <v>0</v>
      </c>
      <c r="BB427" s="117"/>
      <c r="BC427" s="115" t="str">
        <f t="shared" si="244"/>
        <v>N</v>
      </c>
      <c r="BD427" s="115" t="str">
        <f t="shared" si="245"/>
        <v>Y</v>
      </c>
      <c r="BE427" s="115" t="str">
        <f t="shared" si="246"/>
        <v>N</v>
      </c>
      <c r="BF427" s="109" t="str">
        <f t="shared" si="247"/>
        <v/>
      </c>
      <c r="BG427" s="111" t="s">
        <v>2499</v>
      </c>
      <c r="BH427" s="115" t="s">
        <v>1168</v>
      </c>
      <c r="BI427" s="116"/>
      <c r="BJ427" s="222">
        <v>0.28543875099178717</v>
      </c>
      <c r="BK427" s="265">
        <f t="shared" si="248"/>
        <v>0</v>
      </c>
      <c r="BL427" s="265">
        <f t="shared" si="249"/>
        <v>0</v>
      </c>
      <c r="BM427" s="265">
        <f t="shared" si="250"/>
        <v>-2.9103830456733704E-11</v>
      </c>
      <c r="BN427" s="265">
        <f t="shared" si="251"/>
        <v>39421.220381783904</v>
      </c>
      <c r="BO427" s="109"/>
      <c r="BP427" s="265">
        <f t="shared" si="252"/>
        <v>39420.810107629251</v>
      </c>
      <c r="BQ427" s="265">
        <v>39420.810107629251</v>
      </c>
      <c r="BR427" s="265" t="e">
        <f t="shared" si="253"/>
        <v>#REF!</v>
      </c>
      <c r="BS427" s="265">
        <v>4441.1183606892828</v>
      </c>
      <c r="BT427" s="475">
        <v>354226.58972584532</v>
      </c>
      <c r="BU427" s="475">
        <v>141499.41027415468</v>
      </c>
      <c r="BV427" s="475">
        <v>0</v>
      </c>
      <c r="BW427" s="483">
        <f t="shared" si="254"/>
        <v>-0.4102741546521429</v>
      </c>
      <c r="BX427" s="483">
        <f t="shared" si="255"/>
        <v>0</v>
      </c>
    </row>
    <row r="428" spans="1:77" s="103" customFormat="1" ht="217.5">
      <c r="A428" s="100" t="s">
        <v>2259</v>
      </c>
      <c r="B428" s="91" t="str">
        <f t="shared" si="223"/>
        <v>TRA</v>
      </c>
      <c r="C428" s="92" t="s">
        <v>461</v>
      </c>
      <c r="D428" s="448"/>
      <c r="E428" s="450" t="s">
        <v>2148</v>
      </c>
      <c r="F428" s="467" t="s">
        <v>4814</v>
      </c>
      <c r="G428" s="467" t="s">
        <v>4734</v>
      </c>
      <c r="H428" s="470">
        <v>0.22</v>
      </c>
      <c r="I428" s="95" t="s">
        <v>962</v>
      </c>
      <c r="J428" s="95" t="s">
        <v>1166</v>
      </c>
      <c r="K428" s="469">
        <v>24572379.219999999</v>
      </c>
      <c r="L428" s="471">
        <v>0.27314685817461448</v>
      </c>
      <c r="M428" s="266">
        <v>1</v>
      </c>
      <c r="N428" s="267">
        <f t="shared" si="224"/>
        <v>0</v>
      </c>
      <c r="O428" s="96">
        <f t="shared" si="225"/>
        <v>23095768.219999999</v>
      </c>
      <c r="P428" s="96">
        <f t="shared" si="259"/>
        <v>1476611.0000000005</v>
      </c>
      <c r="Q428" s="96">
        <f t="shared" si="226"/>
        <v>0</v>
      </c>
      <c r="R428" s="187" t="s">
        <v>2335</v>
      </c>
      <c r="S428" s="187" t="s">
        <v>3608</v>
      </c>
      <c r="T428" s="94" t="s">
        <v>2779</v>
      </c>
      <c r="U428" s="395">
        <f>COUNTIF(Aggregation_of_rev_to_allocate!$A$3:$A$137,$T428)</f>
        <v>1</v>
      </c>
      <c r="V428" s="100"/>
      <c r="W428" s="100">
        <v>510</v>
      </c>
      <c r="X428" s="109">
        <v>1515021.3234337827</v>
      </c>
      <c r="Y428" s="109">
        <v>291698.13540739979</v>
      </c>
      <c r="Z428" s="110">
        <v>0.54030598533117569</v>
      </c>
      <c r="AA428" s="110">
        <v>0.83854818523153951</v>
      </c>
      <c r="AB428" s="110">
        <v>0.16145181476846049</v>
      </c>
      <c r="AC428" s="109">
        <f>IF(ISERROR((X428*SUMIF('Rev_for_allocation(Hard)'!$A$3:$A$249,$T428,'Rev_for_allocation(Hard)'!$I$3:$I$249)/SUMIF(Historic_capex_list!$T$9:$T$586,$T428,Historic_capex_list!$X$9:$X$586))=TRUE),0,X428*SUMIF('Rev_for_allocation(Hard)'!$A$3:$A$249,$T428,'Rev_for_allocation(Hard)'!$I$3:$I$249)/SUMIF(Historic_capex_list!$T$9:$T$586,$T428,Historic_capex_list!$X$9:$X$586))</f>
        <v>-330108.86109945067</v>
      </c>
      <c r="AD428" s="109">
        <f t="shared" si="227"/>
        <v>1184912.4623343321</v>
      </c>
      <c r="AE428" s="109">
        <f t="shared" si="260"/>
        <v>1184912.4623343321</v>
      </c>
      <c r="AF428" s="109">
        <f t="shared" si="229"/>
        <v>1476610.5977417319</v>
      </c>
      <c r="AG428" s="332" t="str">
        <f t="shared" si="230"/>
        <v>N</v>
      </c>
      <c r="AH428" s="332">
        <f t="shared" si="256"/>
        <v>0</v>
      </c>
      <c r="AI428" s="332">
        <f t="shared" si="257"/>
        <v>0</v>
      </c>
      <c r="AJ428" s="109">
        <f t="shared" si="258"/>
        <v>1476610.5977417319</v>
      </c>
      <c r="AK428" s="109">
        <f t="shared" si="231"/>
        <v>0</v>
      </c>
      <c r="AL428" s="109">
        <v>0</v>
      </c>
      <c r="AM428" s="111">
        <f t="shared" si="232"/>
        <v>1.9253731343283569</v>
      </c>
      <c r="AN428" s="111">
        <f t="shared" si="233"/>
        <v>-1.0746268656716431</v>
      </c>
      <c r="AO428" s="111" t="str">
        <f t="shared" si="234"/>
        <v>Use deduct 3yrs</v>
      </c>
      <c r="AP428" s="111">
        <f t="shared" si="235"/>
        <v>-1.0746268656716431</v>
      </c>
      <c r="AQ428" s="112">
        <f t="shared" si="236"/>
        <v>0</v>
      </c>
      <c r="AR428" s="112">
        <f t="shared" si="237"/>
        <v>1</v>
      </c>
      <c r="AS428" s="113">
        <f t="shared" si="238"/>
        <v>2028</v>
      </c>
      <c r="AT428" s="109">
        <v>1476610.5977417319</v>
      </c>
      <c r="AU428" s="114">
        <v>1</v>
      </c>
      <c r="AV428" s="113">
        <v>2028</v>
      </c>
      <c r="AW428" s="112">
        <f t="shared" si="239"/>
        <v>0.27314678376396589</v>
      </c>
      <c r="AX428" s="109">
        <f t="shared" si="240"/>
        <v>1476610.5977417319</v>
      </c>
      <c r="AY428" s="109">
        <f t="shared" si="241"/>
        <v>0</v>
      </c>
      <c r="AZ428" s="109">
        <f t="shared" si="242"/>
        <v>1476610.5977417319</v>
      </c>
      <c r="BA428" s="111">
        <f t="shared" si="243"/>
        <v>0</v>
      </c>
      <c r="BB428" s="117" t="s">
        <v>2468</v>
      </c>
      <c r="BC428" s="115" t="str">
        <f t="shared" si="244"/>
        <v>N</v>
      </c>
      <c r="BD428" s="115" t="str">
        <f t="shared" si="245"/>
        <v>Y</v>
      </c>
      <c r="BE428" s="115" t="str">
        <f t="shared" si="246"/>
        <v>N</v>
      </c>
      <c r="BF428" s="109" t="str">
        <f t="shared" si="247"/>
        <v/>
      </c>
      <c r="BG428" s="111" t="s">
        <v>2499</v>
      </c>
      <c r="BH428" s="115" t="s">
        <v>1168</v>
      </c>
      <c r="BI428" s="116"/>
      <c r="BJ428" s="222">
        <v>0.44158573709889642</v>
      </c>
      <c r="BK428" s="265">
        <f t="shared" si="248"/>
        <v>0</v>
      </c>
      <c r="BL428" s="265">
        <f t="shared" si="249"/>
        <v>0</v>
      </c>
      <c r="BM428" s="265">
        <f t="shared" si="250"/>
        <v>-4.6566128730773926E-10</v>
      </c>
      <c r="BN428" s="265">
        <f t="shared" si="251"/>
        <v>38410.323433782207</v>
      </c>
      <c r="BO428" s="109"/>
      <c r="BP428" s="265">
        <f t="shared" si="252"/>
        <v>330108.86109945062</v>
      </c>
      <c r="BQ428" s="265">
        <v>330108.86109945062</v>
      </c>
      <c r="BR428" s="265" t="e">
        <f t="shared" si="253"/>
        <v>#REF!</v>
      </c>
      <c r="BS428" s="265">
        <v>37189.812184282535</v>
      </c>
      <c r="BT428" s="475">
        <v>1867271.4022582679</v>
      </c>
      <c r="BU428" s="475">
        <v>1476610.5977417319</v>
      </c>
      <c r="BV428" s="475">
        <v>0</v>
      </c>
      <c r="BW428" s="483">
        <f t="shared" si="254"/>
        <v>0.40225826855748892</v>
      </c>
      <c r="BX428" s="483">
        <f t="shared" si="255"/>
        <v>0</v>
      </c>
    </row>
    <row r="429" spans="1:77" s="103" customFormat="1" ht="43.5">
      <c r="A429" s="100" t="s">
        <v>2259</v>
      </c>
      <c r="B429" s="91" t="str">
        <f t="shared" si="223"/>
        <v>TRA</v>
      </c>
      <c r="C429" s="92" t="s">
        <v>461</v>
      </c>
      <c r="D429" s="448"/>
      <c r="E429" s="450" t="s">
        <v>2175</v>
      </c>
      <c r="F429" s="467" t="s">
        <v>4815</v>
      </c>
      <c r="G429" s="467" t="s">
        <v>4735</v>
      </c>
      <c r="H429" s="470">
        <v>0.72</v>
      </c>
      <c r="I429" s="95" t="s">
        <v>962</v>
      </c>
      <c r="J429" s="95" t="s">
        <v>1166</v>
      </c>
      <c r="K429" s="469">
        <v>22444639.659999996</v>
      </c>
      <c r="L429" s="471">
        <v>1.6340823218584308E-3</v>
      </c>
      <c r="M429" s="266">
        <v>1</v>
      </c>
      <c r="N429" s="267">
        <f t="shared" si="224"/>
        <v>0</v>
      </c>
      <c r="O429" s="96">
        <f t="shared" si="225"/>
        <v>22418232.659999996</v>
      </c>
      <c r="P429" s="96">
        <f t="shared" si="259"/>
        <v>26406.9999999998</v>
      </c>
      <c r="Q429" s="96">
        <f t="shared" si="226"/>
        <v>0</v>
      </c>
      <c r="R429" s="187" t="s">
        <v>2335</v>
      </c>
      <c r="S429" s="187" t="s">
        <v>3608</v>
      </c>
      <c r="T429" s="94" t="s">
        <v>2779</v>
      </c>
      <c r="U429" s="395">
        <f>COUNTIF(Aggregation_of_rev_to_allocate!$A$3:$A$137,$T429)</f>
        <v>1</v>
      </c>
      <c r="V429" s="100"/>
      <c r="W429" s="100">
        <v>511</v>
      </c>
      <c r="X429" s="109">
        <v>33763.373089306966</v>
      </c>
      <c r="Y429" s="109">
        <v>0</v>
      </c>
      <c r="Z429" s="110">
        <v>0.27372008990115093</v>
      </c>
      <c r="AA429" s="110">
        <v>1</v>
      </c>
      <c r="AB429" s="110">
        <v>0</v>
      </c>
      <c r="AC429" s="109">
        <f>IF(ISERROR((X429*SUMIF('Rev_for_allocation(Hard)'!$A$3:$A$249,$T429,'Rev_for_allocation(Hard)'!$I$3:$I$249)/SUMIF(Historic_capex_list!$T$9:$T$586,$T429,Historic_capex_list!$X$9:$X$586))=TRUE),0,X429*SUMIF('Rev_for_allocation(Hard)'!$A$3:$A$249,$T429,'Rev_for_allocation(Hard)'!$I$3:$I$249)/SUMIF(Historic_capex_list!$T$9:$T$586,$T429,Historic_capex_list!$X$9:$X$586))</f>
        <v>-7356.7206381792594</v>
      </c>
      <c r="AD429" s="109">
        <f t="shared" si="227"/>
        <v>26406.652451127706</v>
      </c>
      <c r="AE429" s="109">
        <f t="shared" si="260"/>
        <v>26406.652451127706</v>
      </c>
      <c r="AF429" s="109">
        <f t="shared" si="229"/>
        <v>26406.652451127706</v>
      </c>
      <c r="AG429" s="332" t="str">
        <f t="shared" si="230"/>
        <v>N</v>
      </c>
      <c r="AH429" s="332">
        <f t="shared" si="256"/>
        <v>0</v>
      </c>
      <c r="AI429" s="332">
        <f t="shared" si="257"/>
        <v>0</v>
      </c>
      <c r="AJ429" s="109">
        <f t="shared" si="258"/>
        <v>26406.652451127706</v>
      </c>
      <c r="AK429" s="109">
        <f t="shared" si="231"/>
        <v>0</v>
      </c>
      <c r="AL429" s="109">
        <v>0</v>
      </c>
      <c r="AM429" s="111">
        <f t="shared" si="232"/>
        <v>0</v>
      </c>
      <c r="AN429" s="111">
        <f t="shared" si="233"/>
        <v>0</v>
      </c>
      <c r="AO429" s="111" t="str">
        <f t="shared" si="234"/>
        <v>Use deduct 3yrs</v>
      </c>
      <c r="AP429" s="111">
        <f t="shared" si="235"/>
        <v>0</v>
      </c>
      <c r="AQ429" s="112">
        <f t="shared" si="236"/>
        <v>0</v>
      </c>
      <c r="AR429" s="112">
        <f t="shared" si="237"/>
        <v>1</v>
      </c>
      <c r="AS429" s="113">
        <f t="shared" si="238"/>
        <v>2028</v>
      </c>
      <c r="AT429" s="109">
        <v>26406.652451127706</v>
      </c>
      <c r="AU429" s="114">
        <v>1</v>
      </c>
      <c r="AV429" s="113">
        <v>2028</v>
      </c>
      <c r="AW429" s="112">
        <f t="shared" si="239"/>
        <v>1.6340608153083541E-3</v>
      </c>
      <c r="AX429" s="109">
        <f t="shared" si="240"/>
        <v>26406.652451127706</v>
      </c>
      <c r="AY429" s="109">
        <f t="shared" si="241"/>
        <v>0</v>
      </c>
      <c r="AZ429" s="109">
        <f t="shared" si="242"/>
        <v>26406.652451127706</v>
      </c>
      <c r="BA429" s="111">
        <f t="shared" si="243"/>
        <v>0</v>
      </c>
      <c r="BB429" s="117" t="s">
        <v>2465</v>
      </c>
      <c r="BC429" s="115" t="str">
        <f t="shared" si="244"/>
        <v>N</v>
      </c>
      <c r="BD429" s="115" t="str">
        <f t="shared" si="245"/>
        <v>Y</v>
      </c>
      <c r="BE429" s="115" t="str">
        <f t="shared" si="246"/>
        <v>N</v>
      </c>
      <c r="BF429" s="109" t="str">
        <f t="shared" si="247"/>
        <v/>
      </c>
      <c r="BG429" s="111" t="s">
        <v>2499</v>
      </c>
      <c r="BH429" s="115" t="s">
        <v>1168</v>
      </c>
      <c r="BI429" s="116"/>
      <c r="BJ429" s="222">
        <v>0.21407906324384035</v>
      </c>
      <c r="BK429" s="265">
        <f t="shared" si="248"/>
        <v>0</v>
      </c>
      <c r="BL429" s="265">
        <f t="shared" si="249"/>
        <v>0</v>
      </c>
      <c r="BM429" s="265">
        <f t="shared" si="250"/>
        <v>2.0008883439004421E-10</v>
      </c>
      <c r="BN429" s="265">
        <f t="shared" si="251"/>
        <v>7356.3730893071661</v>
      </c>
      <c r="BO429" s="109"/>
      <c r="BP429" s="265">
        <f t="shared" si="252"/>
        <v>7356.7206381792603</v>
      </c>
      <c r="BQ429" s="265">
        <v>7356.7206381792603</v>
      </c>
      <c r="BR429" s="265" t="e">
        <f t="shared" si="253"/>
        <v>#REF!</v>
      </c>
      <c r="BS429" s="265">
        <v>828.80252870187849</v>
      </c>
      <c r="BT429" s="475">
        <v>96943.347548872305</v>
      </c>
      <c r="BU429" s="475">
        <v>26406.652451127706</v>
      </c>
      <c r="BV429" s="475">
        <v>0</v>
      </c>
      <c r="BW429" s="483">
        <f t="shared" si="254"/>
        <v>0.34754887209419394</v>
      </c>
      <c r="BX429" s="483">
        <f t="shared" si="255"/>
        <v>0</v>
      </c>
    </row>
    <row r="430" spans="1:77" s="103" customFormat="1" ht="14.5">
      <c r="A430" s="100" t="s">
        <v>2259</v>
      </c>
      <c r="B430" s="91" t="str">
        <f t="shared" si="223"/>
        <v>TRA</v>
      </c>
      <c r="C430" s="92" t="s">
        <v>461</v>
      </c>
      <c r="D430" s="448"/>
      <c r="E430" s="450" t="s">
        <v>2201</v>
      </c>
      <c r="F430" s="468" t="s">
        <v>2516</v>
      </c>
      <c r="G430" s="683" t="s">
        <v>4715</v>
      </c>
      <c r="H430" s="398">
        <v>1</v>
      </c>
      <c r="I430" s="95" t="s">
        <v>951</v>
      </c>
      <c r="J430" s="95" t="s">
        <v>1166</v>
      </c>
      <c r="K430" s="191">
        <v>806894</v>
      </c>
      <c r="L430" s="268">
        <v>0.37606106638661868</v>
      </c>
      <c r="M430" s="266">
        <v>1</v>
      </c>
      <c r="N430" s="267">
        <f t="shared" si="224"/>
        <v>0</v>
      </c>
      <c r="O430" s="96">
        <f t="shared" si="225"/>
        <v>503452.58189903572</v>
      </c>
      <c r="P430" s="96">
        <f t="shared" si="259"/>
        <v>303441.41810096428</v>
      </c>
      <c r="Q430" s="96">
        <f t="shared" si="226"/>
        <v>0</v>
      </c>
      <c r="R430" s="187" t="s">
        <v>2337</v>
      </c>
      <c r="S430" s="187" t="s">
        <v>3608</v>
      </c>
      <c r="T430" s="94" t="s">
        <v>2781</v>
      </c>
      <c r="U430" s="395">
        <f>COUNTIF(Aggregation_of_rev_to_allocate!$A$3:$A$137,$T430)</f>
        <v>1</v>
      </c>
      <c r="V430" s="100"/>
      <c r="W430" s="100">
        <v>551</v>
      </c>
      <c r="X430" s="109">
        <v>339940.88322477997</v>
      </c>
      <c r="Y430" s="109">
        <v>165114.14328060739</v>
      </c>
      <c r="Z430" s="110">
        <v>0.62592487551696674</v>
      </c>
      <c r="AA430" s="110">
        <v>0.67307692307692313</v>
      </c>
      <c r="AB430" s="110">
        <v>0.32692307692307687</v>
      </c>
      <c r="AC430" s="109">
        <f>IF(ISERROR((X430*SUMIF('Rev_for_allocation(Hard)'!$A$3:$A$249,$T430,'Rev_for_allocation(Hard)'!$I$3:$I$249)/SUMIF(Historic_capex_list!$T$9:$T$586,$T430,Historic_capex_list!$X$9:$X$586))=TRUE),0,X430*SUMIF('Rev_for_allocation(Hard)'!$A$3:$A$249,$T430,'Rev_for_allocation(Hard)'!$I$3:$I$249)/SUMIF(Historic_capex_list!$T$9:$T$586,$T430,Historic_capex_list!$X$9:$X$586))</f>
        <v>-204785.11843329747</v>
      </c>
      <c r="AD430" s="109">
        <f t="shared" si="227"/>
        <v>135155.76479148251</v>
      </c>
      <c r="AE430" s="109">
        <f t="shared" si="260"/>
        <v>135155.76479148251</v>
      </c>
      <c r="AF430" s="109">
        <f t="shared" si="229"/>
        <v>300269.90807208989</v>
      </c>
      <c r="AG430" s="332" t="str">
        <f t="shared" si="230"/>
        <v>N</v>
      </c>
      <c r="AH430" s="332">
        <f t="shared" si="256"/>
        <v>0</v>
      </c>
      <c r="AI430" s="332">
        <f t="shared" si="257"/>
        <v>0</v>
      </c>
      <c r="AJ430" s="109">
        <f t="shared" si="258"/>
        <v>300269.90807208989</v>
      </c>
      <c r="AK430" s="109">
        <f t="shared" si="231"/>
        <v>0</v>
      </c>
      <c r="AL430" s="109">
        <v>0</v>
      </c>
      <c r="AM430" s="111">
        <f t="shared" si="232"/>
        <v>4.8571428571428559</v>
      </c>
      <c r="AN430" s="111">
        <f t="shared" si="233"/>
        <v>1.8571428571428559</v>
      </c>
      <c r="AO430" s="111">
        <f t="shared" si="234"/>
        <v>4.7245199142871916</v>
      </c>
      <c r="AP430" s="111">
        <f t="shared" si="235"/>
        <v>0</v>
      </c>
      <c r="AQ430" s="112">
        <f t="shared" si="236"/>
        <v>0</v>
      </c>
      <c r="AR430" s="112">
        <f t="shared" si="237"/>
        <v>1</v>
      </c>
      <c r="AS430" s="113">
        <f t="shared" si="238"/>
        <v>2028</v>
      </c>
      <c r="AT430" s="109">
        <v>303441.41810096428</v>
      </c>
      <c r="AU430" s="114">
        <v>1</v>
      </c>
      <c r="AV430" s="113">
        <v>2028</v>
      </c>
      <c r="AW430" s="112">
        <f t="shared" si="239"/>
        <v>0.37606106638661868</v>
      </c>
      <c r="AX430" s="109">
        <f t="shared" si="240"/>
        <v>303441.41810096428</v>
      </c>
      <c r="AY430" s="109">
        <f t="shared" si="241"/>
        <v>0</v>
      </c>
      <c r="AZ430" s="109">
        <f t="shared" si="242"/>
        <v>303441.41810096428</v>
      </c>
      <c r="BA430" s="111">
        <f t="shared" si="243"/>
        <v>0</v>
      </c>
      <c r="BB430" s="117"/>
      <c r="BC430" s="115" t="str">
        <f t="shared" si="244"/>
        <v>N</v>
      </c>
      <c r="BD430" s="115" t="str">
        <f t="shared" si="245"/>
        <v>Y</v>
      </c>
      <c r="BE430" s="115" t="str">
        <f t="shared" si="246"/>
        <v>N</v>
      </c>
      <c r="BF430" s="109" t="str">
        <f t="shared" si="247"/>
        <v/>
      </c>
      <c r="BG430" s="111" t="s">
        <v>2499</v>
      </c>
      <c r="BH430" s="115" t="s">
        <v>1168</v>
      </c>
      <c r="BI430" s="116"/>
      <c r="BJ430" s="222">
        <v>0.37606106638661868</v>
      </c>
      <c r="BK430" s="265">
        <f t="shared" si="248"/>
        <v>0</v>
      </c>
      <c r="BL430" s="265">
        <f t="shared" si="249"/>
        <v>0</v>
      </c>
      <c r="BM430" s="265">
        <f t="shared" si="250"/>
        <v>0</v>
      </c>
      <c r="BN430" s="265">
        <f t="shared" si="251"/>
        <v>36499.465123815695</v>
      </c>
      <c r="BO430" s="109"/>
      <c r="BP430" s="265">
        <f t="shared" si="252"/>
        <v>201613.60840442311</v>
      </c>
      <c r="BQ430" s="265">
        <v>201613.60840442311</v>
      </c>
      <c r="BR430" s="265" t="e">
        <f t="shared" si="253"/>
        <v>#REF!</v>
      </c>
      <c r="BS430" s="265">
        <v>22713.635148670233</v>
      </c>
      <c r="BT430" s="475">
        <v>503452.58189903572</v>
      </c>
      <c r="BU430" s="475">
        <v>303441.41810096428</v>
      </c>
      <c r="BV430" s="475">
        <v>0</v>
      </c>
      <c r="BW430" s="483">
        <f t="shared" si="254"/>
        <v>0</v>
      </c>
      <c r="BX430" s="483">
        <f t="shared" si="255"/>
        <v>0</v>
      </c>
      <c r="BY430" s="103" t="s">
        <v>5333</v>
      </c>
    </row>
    <row r="431" spans="1:77" s="103" customFormat="1" ht="29">
      <c r="A431" s="100" t="s">
        <v>2259</v>
      </c>
      <c r="B431" s="91" t="str">
        <f t="shared" si="223"/>
        <v>TRA</v>
      </c>
      <c r="C431" s="92" t="s">
        <v>461</v>
      </c>
      <c r="D431" s="448"/>
      <c r="E431" s="450" t="s">
        <v>2176</v>
      </c>
      <c r="F431" s="467" t="s">
        <v>4816</v>
      </c>
      <c r="G431" s="467" t="s">
        <v>4736</v>
      </c>
      <c r="H431" s="470">
        <v>0.73</v>
      </c>
      <c r="I431" s="95" t="s">
        <v>962</v>
      </c>
      <c r="J431" s="95" t="s">
        <v>1166</v>
      </c>
      <c r="K431" s="469">
        <v>13049126</v>
      </c>
      <c r="L431" s="471">
        <v>9.7099577274010945E-2</v>
      </c>
      <c r="M431" s="266">
        <v>0.15283842794759805</v>
      </c>
      <c r="N431" s="267">
        <f t="shared" si="224"/>
        <v>0.84716157205240195</v>
      </c>
      <c r="O431" s="96">
        <f t="shared" si="225"/>
        <v>12124168.828571428</v>
      </c>
      <c r="P431" s="96">
        <f t="shared" si="259"/>
        <v>141369.00000000003</v>
      </c>
      <c r="Q431" s="96">
        <f t="shared" si="226"/>
        <v>783588.17142857285</v>
      </c>
      <c r="R431" s="187" t="s">
        <v>2335</v>
      </c>
      <c r="S431" s="187" t="s">
        <v>3608</v>
      </c>
      <c r="T431" s="94" t="s">
        <v>2779</v>
      </c>
      <c r="U431" s="395">
        <f>COUNTIF(Aggregation_of_rev_to_allocate!$A$3:$A$137,$T431)</f>
        <v>1</v>
      </c>
      <c r="V431" s="100"/>
      <c r="W431" s="100">
        <v>512</v>
      </c>
      <c r="X431" s="109">
        <v>139617.05212576094</v>
      </c>
      <c r="Y431" s="109">
        <v>815762.49027766078</v>
      </c>
      <c r="Z431" s="110">
        <v>0.87767461992808837</v>
      </c>
      <c r="AA431" s="110">
        <v>0.14613778705636737</v>
      </c>
      <c r="AB431" s="110">
        <v>0.85386221294363263</v>
      </c>
      <c r="AC431" s="109">
        <f>IF(ISERROR((X431*SUMIF('Rev_for_allocation(Hard)'!$A$3:$A$249,$T431,'Rev_for_allocation(Hard)'!$I$3:$I$249)/SUMIF(Historic_capex_list!$T$9:$T$586,$T431,Historic_capex_list!$X$9:$X$586))=TRUE),0,X431*SUMIF('Rev_for_allocation(Hard)'!$A$3:$A$249,$T431,'Rev_for_allocation(Hard)'!$I$3:$I$249)/SUMIF(Historic_capex_list!$T$9:$T$586,$T431,Historic_capex_list!$X$9:$X$586))</f>
        <v>-30421.239196051483</v>
      </c>
      <c r="AD431" s="109">
        <f t="shared" si="227"/>
        <v>109195.81292970946</v>
      </c>
      <c r="AE431" s="109">
        <f t="shared" si="260"/>
        <v>109195.81292970946</v>
      </c>
      <c r="AF431" s="109">
        <f t="shared" si="229"/>
        <v>924958.30320737022</v>
      </c>
      <c r="AG431" s="332" t="str">
        <f t="shared" si="230"/>
        <v>N</v>
      </c>
      <c r="AH431" s="332">
        <f t="shared" si="256"/>
        <v>0</v>
      </c>
      <c r="AI431" s="332">
        <f t="shared" si="257"/>
        <v>0</v>
      </c>
      <c r="AJ431" s="109">
        <f t="shared" si="258"/>
        <v>924958.30320737022</v>
      </c>
      <c r="AK431" s="109">
        <f t="shared" si="231"/>
        <v>0</v>
      </c>
      <c r="AL431" s="109">
        <v>0</v>
      </c>
      <c r="AM431" s="111">
        <f t="shared" si="232"/>
        <v>58.428571428571452</v>
      </c>
      <c r="AN431" s="111">
        <f t="shared" si="233"/>
        <v>55.428571428571452</v>
      </c>
      <c r="AO431" s="111" t="str">
        <f t="shared" si="234"/>
        <v>Use deduct 3yrs</v>
      </c>
      <c r="AP431" s="111">
        <f t="shared" si="235"/>
        <v>55.428571428571452</v>
      </c>
      <c r="AQ431" s="112">
        <f t="shared" si="236"/>
        <v>0.84716157205240195</v>
      </c>
      <c r="AR431" s="112">
        <f t="shared" si="237"/>
        <v>0.15283842794759805</v>
      </c>
      <c r="AS431" s="113">
        <f t="shared" si="238"/>
        <v>2083</v>
      </c>
      <c r="AT431" s="109">
        <v>924958.30320737022</v>
      </c>
      <c r="AU431" s="114">
        <v>0.15283842794759805</v>
      </c>
      <c r="AV431" s="113">
        <v>2083</v>
      </c>
      <c r="AW431" s="112">
        <f t="shared" si="239"/>
        <v>9.7099696085179918E-2</v>
      </c>
      <c r="AX431" s="109">
        <f t="shared" si="240"/>
        <v>141369.1729792922</v>
      </c>
      <c r="AY431" s="109">
        <f t="shared" si="241"/>
        <v>783589.13022807788</v>
      </c>
      <c r="AZ431" s="109">
        <f t="shared" si="242"/>
        <v>924958.3032073701</v>
      </c>
      <c r="BA431" s="111">
        <f t="shared" si="243"/>
        <v>0</v>
      </c>
      <c r="BB431" s="117"/>
      <c r="BC431" s="115" t="str">
        <f t="shared" si="244"/>
        <v>N</v>
      </c>
      <c r="BD431" s="115" t="str">
        <f t="shared" si="245"/>
        <v>N</v>
      </c>
      <c r="BE431" s="115" t="str">
        <f t="shared" si="246"/>
        <v>N</v>
      </c>
      <c r="BF431" s="109" t="str">
        <f t="shared" si="247"/>
        <v/>
      </c>
      <c r="BG431" s="111" t="s">
        <v>2499</v>
      </c>
      <c r="BH431" s="115" t="s">
        <v>1168</v>
      </c>
      <c r="BI431" s="116"/>
      <c r="BJ431" s="222">
        <v>0.84972766443648595</v>
      </c>
      <c r="BK431" s="265">
        <f t="shared" si="248"/>
        <v>0.95879950502421707</v>
      </c>
      <c r="BL431" s="265">
        <f t="shared" si="249"/>
        <v>-0.95879950502421707</v>
      </c>
      <c r="BM431" s="265">
        <f t="shared" si="250"/>
        <v>0</v>
      </c>
      <c r="BN431" s="265">
        <f t="shared" si="251"/>
        <v>-1751.9478742390929</v>
      </c>
      <c r="BO431" s="109"/>
      <c r="BP431" s="265">
        <f t="shared" si="252"/>
        <v>30421.239196051494</v>
      </c>
      <c r="BQ431" s="265">
        <v>30421.239196051494</v>
      </c>
      <c r="BR431" s="265" t="e">
        <f t="shared" si="253"/>
        <v>#REF!</v>
      </c>
      <c r="BS431" s="265">
        <v>3427.2335748462347</v>
      </c>
      <c r="BT431" s="475">
        <v>163576.69679262975</v>
      </c>
      <c r="BU431" s="475">
        <v>141369.1729792922</v>
      </c>
      <c r="BV431" s="475">
        <v>783589.13022807799</v>
      </c>
      <c r="BW431" s="483">
        <f t="shared" si="254"/>
        <v>-0.17297929216874763</v>
      </c>
      <c r="BX431" s="483">
        <f t="shared" si="255"/>
        <v>-0.95879950514063239</v>
      </c>
    </row>
    <row r="432" spans="1:77" s="103" customFormat="1" ht="29">
      <c r="A432" s="100" t="s">
        <v>2259</v>
      </c>
      <c r="B432" s="91" t="str">
        <f t="shared" si="223"/>
        <v>TRA</v>
      </c>
      <c r="C432" s="92" t="s">
        <v>461</v>
      </c>
      <c r="D432" s="448"/>
      <c r="E432" s="450" t="s">
        <v>2180</v>
      </c>
      <c r="F432" s="467" t="s">
        <v>4819</v>
      </c>
      <c r="G432" s="467" t="s">
        <v>4737</v>
      </c>
      <c r="H432" s="470">
        <v>0.91039999999999999</v>
      </c>
      <c r="I432" s="95" t="s">
        <v>962</v>
      </c>
      <c r="J432" s="95" t="s">
        <v>1166</v>
      </c>
      <c r="K432" s="469">
        <v>396572</v>
      </c>
      <c r="L432" s="471">
        <v>0.1511020481297724</v>
      </c>
      <c r="M432" s="266">
        <v>0.38083538083538093</v>
      </c>
      <c r="N432" s="267">
        <f t="shared" si="224"/>
        <v>0.61916461916461907</v>
      </c>
      <c r="O432" s="96">
        <f t="shared" si="225"/>
        <v>342018.24516129028</v>
      </c>
      <c r="P432" s="96">
        <f t="shared" si="259"/>
        <v>20776</v>
      </c>
      <c r="Q432" s="96">
        <f t="shared" si="226"/>
        <v>33777.754838709669</v>
      </c>
      <c r="R432" s="187" t="s">
        <v>2335</v>
      </c>
      <c r="S432" s="187" t="s">
        <v>3608</v>
      </c>
      <c r="T432" s="94" t="s">
        <v>2779</v>
      </c>
      <c r="U432" s="395">
        <f>COUNTIF(Aggregation_of_rev_to_allocate!$A$3:$A$137,$T432)</f>
        <v>1</v>
      </c>
      <c r="V432" s="100"/>
      <c r="W432" s="100">
        <v>513</v>
      </c>
      <c r="X432" s="109">
        <v>20145.93175935726</v>
      </c>
      <c r="Y432" s="109">
        <v>38797.165355923491</v>
      </c>
      <c r="Z432" s="110">
        <v>0.70014488122014984</v>
      </c>
      <c r="AA432" s="110">
        <v>0.34178610804851162</v>
      </c>
      <c r="AB432" s="110">
        <v>0.65821389195148838</v>
      </c>
      <c r="AC432" s="109">
        <f>IF(ISERROR((X432*SUMIF('Rev_for_allocation(Hard)'!$A$3:$A$249,$T432,'Rev_for_allocation(Hard)'!$I$3:$I$249)/SUMIF(Historic_capex_list!$T$9:$T$586,$T432,Historic_capex_list!$X$9:$X$586))=TRUE),0,X432*SUMIF('Rev_for_allocation(Hard)'!$A$3:$A$249,$T432,'Rev_for_allocation(Hard)'!$I$3:$I$249)/SUMIF(Historic_capex_list!$T$9:$T$586,$T432,Historic_capex_list!$X$9:$X$586))</f>
        <v>-4389.6085725022767</v>
      </c>
      <c r="AD432" s="109">
        <f t="shared" si="227"/>
        <v>15756.323186854983</v>
      </c>
      <c r="AE432" s="109">
        <f t="shared" si="260"/>
        <v>15756.323186854983</v>
      </c>
      <c r="AF432" s="109">
        <f t="shared" si="229"/>
        <v>54553.488542778476</v>
      </c>
      <c r="AG432" s="332" t="str">
        <f t="shared" si="230"/>
        <v>N</v>
      </c>
      <c r="AH432" s="332">
        <f t="shared" si="256"/>
        <v>0</v>
      </c>
      <c r="AI432" s="332">
        <f t="shared" si="257"/>
        <v>0</v>
      </c>
      <c r="AJ432" s="109">
        <f t="shared" si="258"/>
        <v>54553.488542778476</v>
      </c>
      <c r="AK432" s="109">
        <f t="shared" si="231"/>
        <v>0</v>
      </c>
      <c r="AL432" s="109">
        <v>0</v>
      </c>
      <c r="AM432" s="111">
        <f t="shared" si="232"/>
        <v>19.258064516129028</v>
      </c>
      <c r="AN432" s="111">
        <f t="shared" si="233"/>
        <v>16.258064516129028</v>
      </c>
      <c r="AO432" s="111" t="str">
        <f t="shared" si="234"/>
        <v>Use deduct 3yrs</v>
      </c>
      <c r="AP432" s="111">
        <f t="shared" si="235"/>
        <v>16.258064516129028</v>
      </c>
      <c r="AQ432" s="112">
        <f t="shared" si="236"/>
        <v>0.61916461916461907</v>
      </c>
      <c r="AR432" s="112">
        <f t="shared" si="237"/>
        <v>0.38083538083538093</v>
      </c>
      <c r="AS432" s="113">
        <f t="shared" si="238"/>
        <v>2044</v>
      </c>
      <c r="AT432" s="109">
        <v>54553.488542778476</v>
      </c>
      <c r="AU432" s="114">
        <v>0.38083538083538093</v>
      </c>
      <c r="AV432" s="113">
        <v>2044</v>
      </c>
      <c r="AW432" s="112">
        <f t="shared" si="239"/>
        <v>0.15110131054790057</v>
      </c>
      <c r="AX432" s="109">
        <f t="shared" si="240"/>
        <v>20775.898585087634</v>
      </c>
      <c r="AY432" s="109">
        <f t="shared" si="241"/>
        <v>33777.589957690849</v>
      </c>
      <c r="AZ432" s="109">
        <f t="shared" si="242"/>
        <v>54553.488542778483</v>
      </c>
      <c r="BA432" s="111">
        <f t="shared" si="243"/>
        <v>0</v>
      </c>
      <c r="BB432" s="117"/>
      <c r="BC432" s="115" t="str">
        <f t="shared" si="244"/>
        <v>N</v>
      </c>
      <c r="BD432" s="115" t="str">
        <f t="shared" si="245"/>
        <v>N</v>
      </c>
      <c r="BE432" s="115" t="str">
        <f t="shared" si="246"/>
        <v>N</v>
      </c>
      <c r="BF432" s="109" t="str">
        <f t="shared" si="247"/>
        <v/>
      </c>
      <c r="BG432" s="111" t="s">
        <v>2499</v>
      </c>
      <c r="BH432" s="115" t="s">
        <v>1168</v>
      </c>
      <c r="BI432" s="116"/>
      <c r="BJ432" s="222">
        <v>0.64800371248266919</v>
      </c>
      <c r="BK432" s="265">
        <f t="shared" si="248"/>
        <v>-0.1648810188198695</v>
      </c>
      <c r="BL432" s="265">
        <f t="shared" si="249"/>
        <v>0.1648810188198695</v>
      </c>
      <c r="BM432" s="265">
        <f t="shared" si="250"/>
        <v>0</v>
      </c>
      <c r="BN432" s="265">
        <f t="shared" si="251"/>
        <v>-630.06824064274042</v>
      </c>
      <c r="BO432" s="109"/>
      <c r="BP432" s="265">
        <f t="shared" si="252"/>
        <v>4389.6085725022713</v>
      </c>
      <c r="BQ432" s="265">
        <v>4389.6085725022713</v>
      </c>
      <c r="BR432" s="265" t="e">
        <f t="shared" si="253"/>
        <v>#REF!</v>
      </c>
      <c r="BS432" s="265">
        <v>494.52994939355693</v>
      </c>
      <c r="BT432" s="475">
        <v>29633.511457221528</v>
      </c>
      <c r="BU432" s="475">
        <v>20775.898585087627</v>
      </c>
      <c r="BV432" s="475">
        <v>33777.589957690841</v>
      </c>
      <c r="BW432" s="483">
        <f t="shared" si="254"/>
        <v>0.10141491237300215</v>
      </c>
      <c r="BX432" s="483">
        <f t="shared" si="255"/>
        <v>0.16488101882714545</v>
      </c>
    </row>
    <row r="433" spans="1:77" s="103" customFormat="1" ht="29">
      <c r="A433" s="100" t="s">
        <v>2259</v>
      </c>
      <c r="B433" s="91" t="str">
        <f t="shared" si="223"/>
        <v>TRA</v>
      </c>
      <c r="C433" s="92" t="s">
        <v>461</v>
      </c>
      <c r="D433" s="448"/>
      <c r="E433" s="452">
        <v>793737</v>
      </c>
      <c r="F433" s="467" t="s">
        <v>4921</v>
      </c>
      <c r="G433" s="384" t="s">
        <v>4683</v>
      </c>
      <c r="H433" s="398">
        <v>1</v>
      </c>
      <c r="I433" s="95" t="s">
        <v>952</v>
      </c>
      <c r="J433" s="95" t="s">
        <v>1166</v>
      </c>
      <c r="K433" s="191">
        <v>1038345.71</v>
      </c>
      <c r="L433" s="268">
        <v>0.40114987778190087</v>
      </c>
      <c r="M433" s="266">
        <v>0.91331269349845201</v>
      </c>
      <c r="N433" s="267">
        <f t="shared" si="224"/>
        <v>8.6687306501547989E-2</v>
      </c>
      <c r="O433" s="96">
        <f t="shared" si="225"/>
        <v>621813.45533813885</v>
      </c>
      <c r="P433" s="96">
        <f t="shared" si="259"/>
        <v>380424.19543420745</v>
      </c>
      <c r="Q433" s="96">
        <f t="shared" si="226"/>
        <v>36108.05922765359</v>
      </c>
      <c r="R433" s="187" t="s">
        <v>2335</v>
      </c>
      <c r="S433" s="187" t="s">
        <v>3608</v>
      </c>
      <c r="T433" s="94" t="s">
        <v>2779</v>
      </c>
      <c r="U433" s="395">
        <f>COUNTIF(Aggregation_of_rev_to_allocate!$A$3:$A$137,$T433)</f>
        <v>1</v>
      </c>
      <c r="V433" s="100"/>
      <c r="W433" s="100">
        <v>514</v>
      </c>
      <c r="X433" s="109">
        <v>353885.74306136282</v>
      </c>
      <c r="Y433" s="109">
        <v>139754.87819202972</v>
      </c>
      <c r="Z433" s="110">
        <v>0.47541066188195891</v>
      </c>
      <c r="AA433" s="110">
        <v>0.71688942891859053</v>
      </c>
      <c r="AB433" s="110">
        <v>0.28311057108140947</v>
      </c>
      <c r="AC433" s="109">
        <f>IF(ISERROR((X433*SUMIF('Rev_for_allocation(Hard)'!$A$3:$A$249,$T433,'Rev_for_allocation(Hard)'!$I$3:$I$249)/SUMIF(Historic_capex_list!$T$9:$T$586,$T433,Historic_capex_list!$X$9:$X$586))=TRUE),0,X433*SUMIF('Rev_for_allocation(Hard)'!$A$3:$A$249,$T433,'Rev_for_allocation(Hard)'!$I$3:$I$249)/SUMIF(Historic_capex_list!$T$9:$T$586,$T433,Historic_capex_list!$X$9:$X$586))</f>
        <v>-77108.366591531492</v>
      </c>
      <c r="AD433" s="109">
        <f t="shared" si="227"/>
        <v>276777.37646983133</v>
      </c>
      <c r="AE433" s="109">
        <f t="shared" si="260"/>
        <v>276777.37646983133</v>
      </c>
      <c r="AF433" s="109">
        <f t="shared" si="229"/>
        <v>416532.25466186105</v>
      </c>
      <c r="AG433" s="332" t="str">
        <f t="shared" si="230"/>
        <v>N</v>
      </c>
      <c r="AH433" s="332">
        <f t="shared" si="256"/>
        <v>0</v>
      </c>
      <c r="AI433" s="332">
        <f t="shared" si="257"/>
        <v>0</v>
      </c>
      <c r="AJ433" s="109">
        <f t="shared" si="258"/>
        <v>416532.25466186105</v>
      </c>
      <c r="AK433" s="109">
        <f t="shared" si="231"/>
        <v>0</v>
      </c>
      <c r="AL433" s="109">
        <v>0</v>
      </c>
      <c r="AM433" s="111">
        <f t="shared" si="232"/>
        <v>3.9491525423728815</v>
      </c>
      <c r="AN433" s="111">
        <f t="shared" si="233"/>
        <v>0.94915254237288149</v>
      </c>
      <c r="AO433" s="111" t="str">
        <f t="shared" si="234"/>
        <v>Use deduct 3yrs</v>
      </c>
      <c r="AP433" s="111">
        <f t="shared" si="235"/>
        <v>0.94915254237288149</v>
      </c>
      <c r="AQ433" s="112">
        <f t="shared" si="236"/>
        <v>8.6687306501547989E-2</v>
      </c>
      <c r="AR433" s="112">
        <f t="shared" si="237"/>
        <v>0.91331269349845201</v>
      </c>
      <c r="AS433" s="113">
        <f t="shared" si="238"/>
        <v>2029</v>
      </c>
      <c r="AT433" s="109">
        <v>416532.25466186105</v>
      </c>
      <c r="AU433" s="114">
        <v>0.91331269349845201</v>
      </c>
      <c r="AV433" s="113">
        <v>2029</v>
      </c>
      <c r="AW433" s="112">
        <f t="shared" si="239"/>
        <v>0.40114987778190087</v>
      </c>
      <c r="AX433" s="109">
        <f t="shared" si="240"/>
        <v>380424.19543420745</v>
      </c>
      <c r="AY433" s="109">
        <f t="shared" si="241"/>
        <v>36108.05922765359</v>
      </c>
      <c r="AZ433" s="109">
        <f t="shared" si="242"/>
        <v>416532.25466186105</v>
      </c>
      <c r="BA433" s="111">
        <f t="shared" si="243"/>
        <v>0</v>
      </c>
      <c r="BB433" s="117"/>
      <c r="BC433" s="115" t="str">
        <f t="shared" si="244"/>
        <v>N</v>
      </c>
      <c r="BD433" s="115" t="str">
        <f t="shared" si="245"/>
        <v>N</v>
      </c>
      <c r="BE433" s="115" t="str">
        <f t="shared" si="246"/>
        <v>N</v>
      </c>
      <c r="BF433" s="109" t="str">
        <f t="shared" si="247"/>
        <v/>
      </c>
      <c r="BG433" s="111" t="s">
        <v>2499</v>
      </c>
      <c r="BH433" s="115" t="s">
        <v>1168</v>
      </c>
      <c r="BI433" s="116"/>
      <c r="BJ433" s="222">
        <v>0.40114987778190087</v>
      </c>
      <c r="BK433" s="265">
        <f t="shared" si="248"/>
        <v>0</v>
      </c>
      <c r="BL433" s="265">
        <f t="shared" si="249"/>
        <v>0</v>
      </c>
      <c r="BM433" s="265">
        <f t="shared" si="250"/>
        <v>7.2759576141834259E-11</v>
      </c>
      <c r="BN433" s="265">
        <f t="shared" si="251"/>
        <v>-26538.452372844622</v>
      </c>
      <c r="BO433" s="109"/>
      <c r="BP433" s="265">
        <f t="shared" si="252"/>
        <v>77108.366591531492</v>
      </c>
      <c r="BQ433" s="265">
        <v>77108.366591531492</v>
      </c>
      <c r="BR433" s="265" t="e">
        <f t="shared" si="253"/>
        <v>#REF!</v>
      </c>
      <c r="BS433" s="265">
        <v>8686.9696918312584</v>
      </c>
      <c r="BT433" s="475">
        <v>621813.45533813885</v>
      </c>
      <c r="BU433" s="475">
        <v>380424.19543420745</v>
      </c>
      <c r="BV433" s="475">
        <v>36108.05922765359</v>
      </c>
      <c r="BW433" s="483">
        <f t="shared" si="254"/>
        <v>0</v>
      </c>
      <c r="BX433" s="483">
        <f t="shared" si="255"/>
        <v>0</v>
      </c>
    </row>
    <row r="434" spans="1:77" s="103" customFormat="1" ht="14.5">
      <c r="A434" s="100" t="s">
        <v>2259</v>
      </c>
      <c r="B434" s="91" t="str">
        <f t="shared" si="223"/>
        <v>TRA</v>
      </c>
      <c r="C434" s="92" t="s">
        <v>461</v>
      </c>
      <c r="D434" s="448"/>
      <c r="E434" s="450" t="s">
        <v>2201</v>
      </c>
      <c r="F434" s="468" t="s">
        <v>2517</v>
      </c>
      <c r="G434" s="683" t="s">
        <v>5340</v>
      </c>
      <c r="H434" s="398">
        <v>1</v>
      </c>
      <c r="I434" s="95" t="s">
        <v>951</v>
      </c>
      <c r="J434" s="95" t="s">
        <v>1166</v>
      </c>
      <c r="K434" s="191">
        <v>460524</v>
      </c>
      <c r="L434" s="268">
        <v>0.37606106638661868</v>
      </c>
      <c r="M434" s="266">
        <v>1</v>
      </c>
      <c r="N434" s="267">
        <f t="shared" si="224"/>
        <v>0</v>
      </c>
      <c r="O434" s="96">
        <f t="shared" si="225"/>
        <v>287338.85346336884</v>
      </c>
      <c r="P434" s="96">
        <f t="shared" si="259"/>
        <v>173185.14653663119</v>
      </c>
      <c r="Q434" s="96">
        <f t="shared" si="226"/>
        <v>0</v>
      </c>
      <c r="R434" s="187" t="s">
        <v>2337</v>
      </c>
      <c r="S434" s="187" t="s">
        <v>3608</v>
      </c>
      <c r="T434" s="94" t="s">
        <v>2781</v>
      </c>
      <c r="U434" s="395">
        <f>COUNTIF(Aggregation_of_rev_to_allocate!$A$3:$A$137,$T434)</f>
        <v>1</v>
      </c>
      <c r="V434" s="100"/>
      <c r="W434" s="100">
        <v>552</v>
      </c>
      <c r="X434" s="109">
        <v>194016.72996231052</v>
      </c>
      <c r="Y434" s="109">
        <v>94236.697410265086</v>
      </c>
      <c r="Z434" s="110">
        <v>0.62592487551696685</v>
      </c>
      <c r="AA434" s="110">
        <v>0.67307692307692313</v>
      </c>
      <c r="AB434" s="110">
        <v>0.32692307692307687</v>
      </c>
      <c r="AC434" s="109">
        <f>IF(ISERROR((X434*SUMIF('Rev_for_allocation(Hard)'!$A$3:$A$249,$T434,'Rev_for_allocation(Hard)'!$I$3:$I$249)/SUMIF(Historic_capex_list!$T$9:$T$586,$T434,Historic_capex_list!$X$9:$X$586))=TRUE),0,X434*SUMIF('Rev_for_allocation(Hard)'!$A$3:$A$249,$T434,'Rev_for_allocation(Hard)'!$I$3:$I$249)/SUMIF(Historic_capex_list!$T$9:$T$586,$T434,Historic_capex_list!$X$9:$X$586))</f>
        <v>-116878.37792990886</v>
      </c>
      <c r="AD434" s="109">
        <f t="shared" si="227"/>
        <v>77138.352032401657</v>
      </c>
      <c r="AE434" s="109">
        <f t="shared" si="260"/>
        <v>77138.352032401657</v>
      </c>
      <c r="AF434" s="109">
        <f t="shared" si="229"/>
        <v>171375.04944266676</v>
      </c>
      <c r="AG434" s="332" t="str">
        <f t="shared" si="230"/>
        <v>N</v>
      </c>
      <c r="AH434" s="332">
        <f t="shared" si="256"/>
        <v>0</v>
      </c>
      <c r="AI434" s="332">
        <f t="shared" si="257"/>
        <v>0</v>
      </c>
      <c r="AJ434" s="109">
        <f t="shared" si="258"/>
        <v>171375.04944266676</v>
      </c>
      <c r="AK434" s="109">
        <f t="shared" si="231"/>
        <v>0</v>
      </c>
      <c r="AL434" s="109">
        <v>0</v>
      </c>
      <c r="AM434" s="111">
        <f t="shared" si="232"/>
        <v>4.8571428571428559</v>
      </c>
      <c r="AN434" s="111">
        <f t="shared" si="233"/>
        <v>1.8571428571428559</v>
      </c>
      <c r="AO434" s="111">
        <f t="shared" si="234"/>
        <v>4.7245199142871934</v>
      </c>
      <c r="AP434" s="111">
        <f t="shared" si="235"/>
        <v>0</v>
      </c>
      <c r="AQ434" s="112">
        <f t="shared" si="236"/>
        <v>0</v>
      </c>
      <c r="AR434" s="112">
        <f t="shared" si="237"/>
        <v>1</v>
      </c>
      <c r="AS434" s="113">
        <f t="shared" si="238"/>
        <v>2028</v>
      </c>
      <c r="AT434" s="109">
        <v>173185.14653663119</v>
      </c>
      <c r="AU434" s="114">
        <v>1</v>
      </c>
      <c r="AV434" s="113">
        <v>2028</v>
      </c>
      <c r="AW434" s="112">
        <f t="shared" si="239"/>
        <v>0.37606106638661868</v>
      </c>
      <c r="AX434" s="109">
        <f t="shared" si="240"/>
        <v>173185.14653663119</v>
      </c>
      <c r="AY434" s="109">
        <f t="shared" si="241"/>
        <v>0</v>
      </c>
      <c r="AZ434" s="109">
        <f t="shared" si="242"/>
        <v>173185.14653663119</v>
      </c>
      <c r="BA434" s="111">
        <f t="shared" si="243"/>
        <v>0</v>
      </c>
      <c r="BB434" s="117"/>
      <c r="BC434" s="115" t="str">
        <f t="shared" si="244"/>
        <v>N</v>
      </c>
      <c r="BD434" s="115" t="str">
        <f t="shared" si="245"/>
        <v>Y</v>
      </c>
      <c r="BE434" s="115" t="str">
        <f t="shared" si="246"/>
        <v>N</v>
      </c>
      <c r="BF434" s="109" t="str">
        <f t="shared" si="247"/>
        <v/>
      </c>
      <c r="BG434" s="111" t="s">
        <v>2499</v>
      </c>
      <c r="BH434" s="115" t="s">
        <v>1168</v>
      </c>
      <c r="BI434" s="116"/>
      <c r="BJ434" s="222">
        <v>0.37606106638661868</v>
      </c>
      <c r="BK434" s="265">
        <f t="shared" si="248"/>
        <v>0</v>
      </c>
      <c r="BL434" s="265">
        <f t="shared" si="249"/>
        <v>0</v>
      </c>
      <c r="BM434" s="265">
        <f t="shared" si="250"/>
        <v>-2.9103830456733704E-11</v>
      </c>
      <c r="BN434" s="265">
        <f t="shared" si="251"/>
        <v>20831.583425679331</v>
      </c>
      <c r="BO434" s="109"/>
      <c r="BP434" s="265">
        <f t="shared" si="252"/>
        <v>115068.28083594443</v>
      </c>
      <c r="BQ434" s="265">
        <v>115068.28083594443</v>
      </c>
      <c r="BR434" s="265" t="e">
        <f t="shared" si="253"/>
        <v>#REF!</v>
      </c>
      <c r="BS434" s="265">
        <v>12963.504640270236</v>
      </c>
      <c r="BT434" s="475">
        <v>287338.85346336884</v>
      </c>
      <c r="BU434" s="475">
        <v>173185.14653663119</v>
      </c>
      <c r="BV434" s="475">
        <v>0</v>
      </c>
      <c r="BW434" s="483">
        <f t="shared" si="254"/>
        <v>0</v>
      </c>
      <c r="BX434" s="483">
        <f t="shared" si="255"/>
        <v>0</v>
      </c>
      <c r="BY434" s="103" t="s">
        <v>5333</v>
      </c>
    </row>
    <row r="435" spans="1:77" s="103" customFormat="1" ht="14.5">
      <c r="A435" s="100"/>
      <c r="B435" s="91" t="str">
        <f t="shared" si="223"/>
        <v>TRA</v>
      </c>
      <c r="C435" s="92"/>
      <c r="D435" s="448"/>
      <c r="E435" s="450"/>
      <c r="F435" s="384" t="s">
        <v>4325</v>
      </c>
      <c r="G435" s="384" t="s">
        <v>5271</v>
      </c>
      <c r="H435" s="398">
        <v>0.8</v>
      </c>
      <c r="I435" s="95"/>
      <c r="J435" s="95" t="s">
        <v>1166</v>
      </c>
      <c r="K435" s="191">
        <v>1846658.58</v>
      </c>
      <c r="L435" s="268">
        <v>0.62935760043028732</v>
      </c>
      <c r="M435" s="266">
        <v>1</v>
      </c>
      <c r="N435" s="267">
        <f t="shared" si="224"/>
        <v>0</v>
      </c>
      <c r="O435" s="96">
        <f t="shared" si="225"/>
        <v>916891.68982175854</v>
      </c>
      <c r="P435" s="96">
        <f t="shared" si="259"/>
        <v>929766.89017824142</v>
      </c>
      <c r="Q435" s="96">
        <f t="shared" si="226"/>
        <v>0</v>
      </c>
      <c r="R435" s="187"/>
      <c r="S435" s="187" t="s">
        <v>3607</v>
      </c>
      <c r="T435" s="94" t="s">
        <v>2782</v>
      </c>
      <c r="U435" s="395"/>
      <c r="V435" s="100"/>
      <c r="W435" s="100"/>
      <c r="X435" s="109">
        <v>738663.43200000003</v>
      </c>
      <c r="Y435" s="109">
        <v>738663.43200000003</v>
      </c>
      <c r="Z435" s="110">
        <v>1</v>
      </c>
      <c r="AA435" s="110">
        <v>0.5</v>
      </c>
      <c r="AB435" s="110">
        <v>0.5</v>
      </c>
      <c r="AC435" s="109">
        <f>IF(ISERROR((X435*SUMIF('Rev_for_allocation(Hard)'!$A$3:$A$249,$T435,'Rev_for_allocation(Hard)'!$I$3:$I$249)/SUMIF(Historic_capex_list!$T$9:$T$586,$T435,Historic_capex_list!$X$9:$X$586))=TRUE),0,X435*SUMIF('Rev_for_allocation(Hard)'!$A$3:$A$249,$T435,'Rev_for_allocation(Hard)'!$I$3:$I$249)/SUMIF(Historic_capex_list!$T$9:$T$586,$T435,Historic_capex_list!$X$9:$X$586))</f>
        <v>-547559.97382175864</v>
      </c>
      <c r="AD435" s="109">
        <f t="shared" si="227"/>
        <v>191103.45817824139</v>
      </c>
      <c r="AE435" s="109">
        <f t="shared" ref="AE435:AE465" si="261">IF(AD435&lt;0,+Q435+P435+AC435,+AD435)</f>
        <v>191103.45817824139</v>
      </c>
      <c r="AF435" s="109">
        <f t="shared" si="229"/>
        <v>929766.89017824142</v>
      </c>
      <c r="AG435" s="332" t="str">
        <f t="shared" si="230"/>
        <v>N</v>
      </c>
      <c r="AH435" s="332">
        <f t="shared" si="256"/>
        <v>0</v>
      </c>
      <c r="AI435" s="332">
        <f t="shared" si="257"/>
        <v>0</v>
      </c>
      <c r="AJ435" s="109">
        <f t="shared" si="258"/>
        <v>929766.89017824142</v>
      </c>
      <c r="AK435" s="109">
        <f t="shared" si="231"/>
        <v>0</v>
      </c>
      <c r="AL435" s="109">
        <v>0</v>
      </c>
      <c r="AM435" s="111">
        <f t="shared" si="232"/>
        <v>10</v>
      </c>
      <c r="AN435" s="111">
        <f t="shared" si="233"/>
        <v>7</v>
      </c>
      <c r="AO435" s="111">
        <f t="shared" si="234"/>
        <v>8.2215643597119623</v>
      </c>
      <c r="AP435" s="111">
        <f t="shared" si="235"/>
        <v>0</v>
      </c>
      <c r="AQ435" s="112">
        <f t="shared" si="236"/>
        <v>0</v>
      </c>
      <c r="AR435" s="112">
        <f t="shared" si="237"/>
        <v>1</v>
      </c>
      <c r="AS435" s="113">
        <f t="shared" si="238"/>
        <v>2028</v>
      </c>
      <c r="AT435" s="109">
        <v>929766.89017824142</v>
      </c>
      <c r="AU435" s="114">
        <v>1</v>
      </c>
      <c r="AV435" s="113">
        <v>2028</v>
      </c>
      <c r="AW435" s="112">
        <f t="shared" si="239"/>
        <v>0.62935760043028732</v>
      </c>
      <c r="AX435" s="109">
        <f t="shared" si="240"/>
        <v>929766.89017824142</v>
      </c>
      <c r="AY435" s="109">
        <f t="shared" si="241"/>
        <v>0</v>
      </c>
      <c r="AZ435" s="109">
        <f t="shared" si="242"/>
        <v>929766.89017824142</v>
      </c>
      <c r="BA435" s="111">
        <f t="shared" si="243"/>
        <v>0</v>
      </c>
      <c r="BB435" s="117"/>
      <c r="BC435" s="115" t="str">
        <f t="shared" si="244"/>
        <v>N</v>
      </c>
      <c r="BD435" s="115" t="str">
        <f t="shared" si="245"/>
        <v>Y</v>
      </c>
      <c r="BE435" s="115" t="str">
        <f t="shared" si="246"/>
        <v>N</v>
      </c>
      <c r="BF435" s="109" t="str">
        <f t="shared" si="247"/>
        <v/>
      </c>
      <c r="BG435" s="111" t="s">
        <v>2499</v>
      </c>
      <c r="BH435" s="115" t="s">
        <v>1168</v>
      </c>
      <c r="BI435" s="116"/>
      <c r="BJ435" s="222">
        <v>0.62935760043028732</v>
      </c>
      <c r="BK435" s="265">
        <f t="shared" si="248"/>
        <v>0</v>
      </c>
      <c r="BL435" s="265">
        <f t="shared" si="249"/>
        <v>0</v>
      </c>
      <c r="BM435" s="265">
        <f t="shared" si="250"/>
        <v>1.1641532182693481E-10</v>
      </c>
      <c r="BN435" s="265">
        <f t="shared" si="251"/>
        <v>-191103.45817824139</v>
      </c>
      <c r="BO435" s="109"/>
      <c r="BP435" s="265">
        <f t="shared" si="252"/>
        <v>547559.97382175864</v>
      </c>
      <c r="BQ435" s="265">
        <v>547559.97382175864</v>
      </c>
      <c r="BR435" s="265" t="e">
        <f t="shared" si="253"/>
        <v>#REF!</v>
      </c>
      <c r="BS435" s="265">
        <v>61687.688474157578</v>
      </c>
      <c r="BT435" s="475">
        <v>916891.68982175854</v>
      </c>
      <c r="BU435" s="475">
        <v>929766.89017824142</v>
      </c>
      <c r="BV435" s="475">
        <v>0</v>
      </c>
      <c r="BW435" s="483">
        <f t="shared" si="254"/>
        <v>0</v>
      </c>
      <c r="BX435" s="483">
        <f t="shared" si="255"/>
        <v>0</v>
      </c>
    </row>
    <row r="436" spans="1:77" s="103" customFormat="1" ht="14.5">
      <c r="A436" s="100"/>
      <c r="B436" s="91" t="str">
        <f t="shared" si="223"/>
        <v>TRA</v>
      </c>
      <c r="C436" s="92"/>
      <c r="D436" s="448"/>
      <c r="E436" s="450"/>
      <c r="F436" s="384" t="s">
        <v>2946</v>
      </c>
      <c r="G436" s="384" t="s">
        <v>5271</v>
      </c>
      <c r="H436" s="398">
        <v>0.8</v>
      </c>
      <c r="I436" s="95"/>
      <c r="J436" s="95" t="s">
        <v>1166</v>
      </c>
      <c r="K436" s="191">
        <v>126382.55</v>
      </c>
      <c r="L436" s="268">
        <v>0.62935760043028732</v>
      </c>
      <c r="M436" s="266">
        <v>1</v>
      </c>
      <c r="N436" s="267">
        <f t="shared" si="224"/>
        <v>0</v>
      </c>
      <c r="O436" s="96">
        <f t="shared" si="225"/>
        <v>62750.695276591352</v>
      </c>
      <c r="P436" s="96">
        <f t="shared" si="259"/>
        <v>63631.854723408644</v>
      </c>
      <c r="Q436" s="96">
        <f t="shared" si="226"/>
        <v>0</v>
      </c>
      <c r="R436" s="187"/>
      <c r="S436" s="187" t="s">
        <v>3607</v>
      </c>
      <c r="T436" s="94" t="s">
        <v>2782</v>
      </c>
      <c r="U436" s="395"/>
      <c r="V436" s="100"/>
      <c r="W436" s="100"/>
      <c r="X436" s="109">
        <v>50553.020000000004</v>
      </c>
      <c r="Y436" s="109">
        <v>50553.020000000004</v>
      </c>
      <c r="Z436" s="110">
        <v>1</v>
      </c>
      <c r="AA436" s="110">
        <v>0.5</v>
      </c>
      <c r="AB436" s="110">
        <v>0.5</v>
      </c>
      <c r="AC436" s="109">
        <f>IF(ISERROR((X436*SUMIF('Rev_for_allocation(Hard)'!$A$3:$A$249,$T436,'Rev_for_allocation(Hard)'!$I$3:$I$249)/SUMIF(Historic_capex_list!$T$9:$T$586,$T436,Historic_capex_list!$X$9:$X$586))=TRUE),0,X436*SUMIF('Rev_for_allocation(Hard)'!$A$3:$A$249,$T436,'Rev_for_allocation(Hard)'!$I$3:$I$249)/SUMIF(Historic_capex_list!$T$9:$T$586,$T436,Historic_capex_list!$X$9:$X$586))</f>
        <v>-37474.185276591357</v>
      </c>
      <c r="AD436" s="109">
        <f t="shared" si="227"/>
        <v>13078.834723408647</v>
      </c>
      <c r="AE436" s="109">
        <f t="shared" si="261"/>
        <v>13078.834723408647</v>
      </c>
      <c r="AF436" s="109">
        <f t="shared" si="229"/>
        <v>63631.854723408651</v>
      </c>
      <c r="AG436" s="332" t="str">
        <f t="shared" si="230"/>
        <v>N</v>
      </c>
      <c r="AH436" s="332">
        <f t="shared" si="256"/>
        <v>0</v>
      </c>
      <c r="AI436" s="332">
        <f t="shared" si="257"/>
        <v>0</v>
      </c>
      <c r="AJ436" s="109">
        <f t="shared" si="258"/>
        <v>63631.854723408651</v>
      </c>
      <c r="AK436" s="109">
        <f t="shared" si="231"/>
        <v>0</v>
      </c>
      <c r="AL436" s="109">
        <v>0</v>
      </c>
      <c r="AM436" s="111">
        <f t="shared" si="232"/>
        <v>10</v>
      </c>
      <c r="AN436" s="111">
        <f t="shared" si="233"/>
        <v>7</v>
      </c>
      <c r="AO436" s="111">
        <f t="shared" si="234"/>
        <v>8.2215643597119623</v>
      </c>
      <c r="AP436" s="111">
        <f t="shared" si="235"/>
        <v>0</v>
      </c>
      <c r="AQ436" s="112">
        <f t="shared" si="236"/>
        <v>0</v>
      </c>
      <c r="AR436" s="112">
        <f t="shared" si="237"/>
        <v>1</v>
      </c>
      <c r="AS436" s="113">
        <f t="shared" si="238"/>
        <v>2028</v>
      </c>
      <c r="AT436" s="109">
        <v>63631.854723408651</v>
      </c>
      <c r="AU436" s="114">
        <v>1</v>
      </c>
      <c r="AV436" s="113">
        <v>2028</v>
      </c>
      <c r="AW436" s="112">
        <f t="shared" si="239"/>
        <v>0.62935760043028732</v>
      </c>
      <c r="AX436" s="109">
        <f t="shared" si="240"/>
        <v>63631.854723408644</v>
      </c>
      <c r="AY436" s="109">
        <f t="shared" si="241"/>
        <v>0</v>
      </c>
      <c r="AZ436" s="109">
        <f t="shared" si="242"/>
        <v>63631.854723408644</v>
      </c>
      <c r="BA436" s="111">
        <f t="shared" si="243"/>
        <v>0</v>
      </c>
      <c r="BB436" s="117"/>
      <c r="BC436" s="115" t="str">
        <f t="shared" si="244"/>
        <v>N</v>
      </c>
      <c r="BD436" s="115" t="str">
        <f t="shared" si="245"/>
        <v>Y</v>
      </c>
      <c r="BE436" s="115" t="str">
        <f t="shared" si="246"/>
        <v>N</v>
      </c>
      <c r="BF436" s="109" t="str">
        <f t="shared" si="247"/>
        <v/>
      </c>
      <c r="BG436" s="111" t="s">
        <v>2499</v>
      </c>
      <c r="BH436" s="115" t="s">
        <v>1168</v>
      </c>
      <c r="BI436" s="116"/>
      <c r="BJ436" s="222">
        <v>0.62935760043028732</v>
      </c>
      <c r="BK436" s="265">
        <f t="shared" si="248"/>
        <v>0</v>
      </c>
      <c r="BL436" s="265">
        <f t="shared" si="249"/>
        <v>0</v>
      </c>
      <c r="BM436" s="265">
        <f t="shared" si="250"/>
        <v>7.2759576141834259E-12</v>
      </c>
      <c r="BN436" s="265">
        <f t="shared" si="251"/>
        <v>-13078.83472340864</v>
      </c>
      <c r="BO436" s="109"/>
      <c r="BP436" s="265">
        <f t="shared" si="252"/>
        <v>37474.185276591357</v>
      </c>
      <c r="BQ436" s="265">
        <v>37474.185276591357</v>
      </c>
      <c r="BR436" s="265" t="e">
        <f t="shared" si="253"/>
        <v>#REF!</v>
      </c>
      <c r="BS436" s="265">
        <v>4221.8130938798895</v>
      </c>
      <c r="BT436" s="475">
        <v>62750.695276591352</v>
      </c>
      <c r="BU436" s="475">
        <v>63631.854723408644</v>
      </c>
      <c r="BV436" s="475">
        <v>0</v>
      </c>
      <c r="BW436" s="483">
        <f t="shared" si="254"/>
        <v>0</v>
      </c>
      <c r="BX436" s="483">
        <f t="shared" si="255"/>
        <v>0</v>
      </c>
    </row>
    <row r="437" spans="1:77" s="103" customFormat="1" ht="14.5">
      <c r="A437" s="100"/>
      <c r="B437" s="91" t="str">
        <f t="shared" si="223"/>
        <v>TRA</v>
      </c>
      <c r="C437" s="92"/>
      <c r="D437" s="448"/>
      <c r="E437" s="450"/>
      <c r="F437" s="384" t="s">
        <v>2947</v>
      </c>
      <c r="G437" s="384" t="s">
        <v>5271</v>
      </c>
      <c r="H437" s="398">
        <v>0.8</v>
      </c>
      <c r="I437" s="95"/>
      <c r="J437" s="95" t="s">
        <v>1166</v>
      </c>
      <c r="K437" s="191">
        <v>16043.72</v>
      </c>
      <c r="L437" s="268">
        <v>0.62935760043028732</v>
      </c>
      <c r="M437" s="266">
        <v>1</v>
      </c>
      <c r="N437" s="267">
        <f t="shared" si="224"/>
        <v>0</v>
      </c>
      <c r="O437" s="96">
        <f t="shared" si="225"/>
        <v>7965.9303030596711</v>
      </c>
      <c r="P437" s="96">
        <f t="shared" si="259"/>
        <v>8077.7896969403273</v>
      </c>
      <c r="Q437" s="96">
        <f t="shared" si="226"/>
        <v>0</v>
      </c>
      <c r="R437" s="187"/>
      <c r="S437" s="187" t="s">
        <v>3607</v>
      </c>
      <c r="T437" s="94" t="s">
        <v>2782</v>
      </c>
      <c r="U437" s="395"/>
      <c r="V437" s="100"/>
      <c r="W437" s="100"/>
      <c r="X437" s="109">
        <v>6417.4880000000003</v>
      </c>
      <c r="Y437" s="109">
        <v>6417.4880000000003</v>
      </c>
      <c r="Z437" s="110">
        <v>1</v>
      </c>
      <c r="AA437" s="110">
        <v>0.5</v>
      </c>
      <c r="AB437" s="110">
        <v>0.5</v>
      </c>
      <c r="AC437" s="109">
        <f>IF(ISERROR((X437*SUMIF('Rev_for_allocation(Hard)'!$A$3:$A$249,$T437,'Rev_for_allocation(Hard)'!$I$3:$I$249)/SUMIF(Historic_capex_list!$T$9:$T$586,$T437,Historic_capex_list!$X$9:$X$586))=TRUE),0,X437*SUMIF('Rev_for_allocation(Hard)'!$A$3:$A$249,$T437,'Rev_for_allocation(Hard)'!$I$3:$I$249)/SUMIF(Historic_capex_list!$T$9:$T$586,$T437,Historic_capex_list!$X$9:$X$586))</f>
        <v>-4757.1863030596724</v>
      </c>
      <c r="AD437" s="109">
        <f t="shared" si="227"/>
        <v>1660.3016969403279</v>
      </c>
      <c r="AE437" s="109">
        <f t="shared" si="261"/>
        <v>1660.3016969403279</v>
      </c>
      <c r="AF437" s="109">
        <f t="shared" si="229"/>
        <v>8077.7896969403282</v>
      </c>
      <c r="AG437" s="332" t="str">
        <f t="shared" si="230"/>
        <v>N</v>
      </c>
      <c r="AH437" s="332">
        <f t="shared" si="256"/>
        <v>0</v>
      </c>
      <c r="AI437" s="332">
        <f t="shared" si="257"/>
        <v>0</v>
      </c>
      <c r="AJ437" s="109">
        <f t="shared" si="258"/>
        <v>8077.7896969403282</v>
      </c>
      <c r="AK437" s="109">
        <f t="shared" si="231"/>
        <v>0</v>
      </c>
      <c r="AL437" s="109">
        <v>0</v>
      </c>
      <c r="AM437" s="111">
        <f t="shared" si="232"/>
        <v>10</v>
      </c>
      <c r="AN437" s="111">
        <f t="shared" si="233"/>
        <v>7</v>
      </c>
      <c r="AO437" s="111">
        <f t="shared" si="234"/>
        <v>8.2215643597119641</v>
      </c>
      <c r="AP437" s="111">
        <f t="shared" si="235"/>
        <v>0</v>
      </c>
      <c r="AQ437" s="112">
        <f t="shared" si="236"/>
        <v>0</v>
      </c>
      <c r="AR437" s="112">
        <f t="shared" si="237"/>
        <v>1</v>
      </c>
      <c r="AS437" s="113">
        <f t="shared" si="238"/>
        <v>2028</v>
      </c>
      <c r="AT437" s="109">
        <v>8077.7896969403282</v>
      </c>
      <c r="AU437" s="114">
        <v>1</v>
      </c>
      <c r="AV437" s="113">
        <v>2028</v>
      </c>
      <c r="AW437" s="112">
        <f t="shared" si="239"/>
        <v>0.62935760043028732</v>
      </c>
      <c r="AX437" s="109">
        <f t="shared" si="240"/>
        <v>8077.7896969403273</v>
      </c>
      <c r="AY437" s="109">
        <f t="shared" si="241"/>
        <v>0</v>
      </c>
      <c r="AZ437" s="109">
        <f t="shared" si="242"/>
        <v>8077.7896969403273</v>
      </c>
      <c r="BA437" s="111">
        <f t="shared" si="243"/>
        <v>0</v>
      </c>
      <c r="BB437" s="117"/>
      <c r="BC437" s="115" t="str">
        <f t="shared" si="244"/>
        <v>Y</v>
      </c>
      <c r="BD437" s="115" t="str">
        <f t="shared" si="245"/>
        <v>Y</v>
      </c>
      <c r="BE437" s="115" t="str">
        <f t="shared" si="246"/>
        <v>Y</v>
      </c>
      <c r="BF437" s="109">
        <f t="shared" si="247"/>
        <v>8077.7896969403273</v>
      </c>
      <c r="BG437" s="111" t="s">
        <v>2499</v>
      </c>
      <c r="BH437" s="115" t="s">
        <v>1168</v>
      </c>
      <c r="BI437" s="116"/>
      <c r="BJ437" s="222">
        <v>0.62935760043028732</v>
      </c>
      <c r="BK437" s="265">
        <f t="shared" si="248"/>
        <v>0</v>
      </c>
      <c r="BL437" s="265">
        <f t="shared" si="249"/>
        <v>0</v>
      </c>
      <c r="BM437" s="265">
        <f t="shared" si="250"/>
        <v>9.0949470177292824E-13</v>
      </c>
      <c r="BN437" s="265">
        <f t="shared" si="251"/>
        <v>-1660.301696940327</v>
      </c>
      <c r="BO437" s="109"/>
      <c r="BP437" s="265">
        <f t="shared" si="252"/>
        <v>4757.1863030596724</v>
      </c>
      <c r="BQ437" s="265">
        <v>4757.1863030596724</v>
      </c>
      <c r="BR437" s="265" t="e">
        <f t="shared" si="253"/>
        <v>#REF!</v>
      </c>
      <c r="BS437" s="265">
        <v>535.94097579565096</v>
      </c>
      <c r="BT437" s="475">
        <v>7965.9303030596711</v>
      </c>
      <c r="BU437" s="475">
        <v>8077.7896969403273</v>
      </c>
      <c r="BV437" s="475">
        <v>0</v>
      </c>
      <c r="BW437" s="483">
        <f t="shared" si="254"/>
        <v>0</v>
      </c>
      <c r="BX437" s="483">
        <f t="shared" si="255"/>
        <v>0</v>
      </c>
    </row>
    <row r="438" spans="1:77" s="103" customFormat="1" ht="14.5">
      <c r="A438" s="100"/>
      <c r="B438" s="91" t="str">
        <f t="shared" ref="B438:B497" si="262">LEFT(T438,3)</f>
        <v>TRA</v>
      </c>
      <c r="C438" s="92"/>
      <c r="D438" s="448"/>
      <c r="E438" s="450"/>
      <c r="F438" s="384" t="s">
        <v>2948</v>
      </c>
      <c r="G438" s="384" t="s">
        <v>5271</v>
      </c>
      <c r="H438" s="398">
        <v>0.8</v>
      </c>
      <c r="I438" s="95"/>
      <c r="J438" s="95" t="s">
        <v>1166</v>
      </c>
      <c r="K438" s="191">
        <v>21392.81</v>
      </c>
      <c r="L438" s="268">
        <v>0.62935760043028732</v>
      </c>
      <c r="M438" s="266">
        <v>1</v>
      </c>
      <c r="N438" s="267">
        <f t="shared" ref="N438:N497" si="263">100%-M438</f>
        <v>0</v>
      </c>
      <c r="O438" s="96">
        <f t="shared" ref="O438:O497" si="264">(K438*(100%-H438))+(K438*H438*(100%-L438))</f>
        <v>10621.827945551157</v>
      </c>
      <c r="P438" s="96">
        <f t="shared" si="259"/>
        <v>10770.982054448847</v>
      </c>
      <c r="Q438" s="96">
        <f t="shared" ref="Q438:Q497" si="265">+K438*L438*N438*H438</f>
        <v>0</v>
      </c>
      <c r="R438" s="187"/>
      <c r="S438" s="187" t="s">
        <v>3607</v>
      </c>
      <c r="T438" s="94" t="s">
        <v>2782</v>
      </c>
      <c r="U438" s="395"/>
      <c r="V438" s="100"/>
      <c r="W438" s="100"/>
      <c r="X438" s="109">
        <v>8557.1240000000016</v>
      </c>
      <c r="Y438" s="109">
        <v>8557.1240000000016</v>
      </c>
      <c r="Z438" s="110">
        <v>1</v>
      </c>
      <c r="AA438" s="110">
        <v>0.5</v>
      </c>
      <c r="AB438" s="110">
        <v>0.5</v>
      </c>
      <c r="AC438" s="109">
        <f>IF(ISERROR((X438*SUMIF('Rev_for_allocation(Hard)'!$A$3:$A$249,$T438,'Rev_for_allocation(Hard)'!$I$3:$I$249)/SUMIF(Historic_capex_list!$T$9:$T$586,$T438,Historic_capex_list!$X$9:$X$586))=TRUE),0,X438*SUMIF('Rev_for_allocation(Hard)'!$A$3:$A$249,$T438,'Rev_for_allocation(Hard)'!$I$3:$I$249)/SUMIF(Historic_capex_list!$T$9:$T$586,$T438,Historic_capex_list!$X$9:$X$586))</f>
        <v>-6343.2659455511575</v>
      </c>
      <c r="AD438" s="109">
        <f t="shared" ref="AD438:AD497" si="266">+AC438+X438</f>
        <v>2213.8580544488441</v>
      </c>
      <c r="AE438" s="109">
        <f t="shared" si="261"/>
        <v>2213.8580544488441</v>
      </c>
      <c r="AF438" s="109">
        <f t="shared" ref="AF438:AF497" si="267">+Y438+AD438</f>
        <v>10770.982054448847</v>
      </c>
      <c r="AG438" s="332" t="str">
        <f t="shared" ref="AG438:AG497" si="268">IF(AF438&lt;0,"Y","N")</f>
        <v>N</v>
      </c>
      <c r="AH438" s="332">
        <f t="shared" si="256"/>
        <v>0</v>
      </c>
      <c r="AI438" s="332">
        <f t="shared" si="257"/>
        <v>0</v>
      </c>
      <c r="AJ438" s="109">
        <f t="shared" si="258"/>
        <v>10770.982054448847</v>
      </c>
      <c r="AK438" s="109">
        <f t="shared" ref="AK438:AK497" si="269">IF(AJ438&lt;0,+AJ438,0)</f>
        <v>0</v>
      </c>
      <c r="AL438" s="109">
        <v>0</v>
      </c>
      <c r="AM438" s="111">
        <f t="shared" ref="AM438:AM497" si="270">AB438/(1-AB438)*10</f>
        <v>10</v>
      </c>
      <c r="AN438" s="111">
        <f t="shared" ref="AN438:AN497" si="271">IF(AM438=0,0,IF(AD438&lt;0,AM438-10,AM438-3))</f>
        <v>7</v>
      </c>
      <c r="AO438" s="111">
        <f t="shared" ref="AO438:AO497" si="272">IF(-AC438&gt;AE438,((AE438+Y438+AC438)/(AE438+Y438))*(AM438+10),"Use deduct 3yrs")</f>
        <v>8.2215643597119641</v>
      </c>
      <c r="AP438" s="111">
        <f t="shared" ref="AP438:AP497" si="273">IF(AO438&lt;=10,0,AN438)</f>
        <v>0</v>
      </c>
      <c r="AQ438" s="112">
        <f t="shared" ref="AQ438:AQ497" si="274">IF(AN438&lt;=0,0,(AP438/(AP438+10)))</f>
        <v>0</v>
      </c>
      <c r="AR438" s="112">
        <f t="shared" ref="AR438:AR497" si="275">IF(O438=0,1,1-AQ438)</f>
        <v>1</v>
      </c>
      <c r="AS438" s="113">
        <f t="shared" ref="AS438:AS497" si="276">ROUND(IF(+$AS$7+AP438&lt;+$AS$7,+$AS$7,+$AS$7+AP438),0)</f>
        <v>2028</v>
      </c>
      <c r="AT438" s="109">
        <v>10770.982054448847</v>
      </c>
      <c r="AU438" s="114">
        <v>1</v>
      </c>
      <c r="AV438" s="113">
        <v>2028</v>
      </c>
      <c r="AW438" s="112">
        <f t="shared" ref="AW438:AW497" si="277">IF(ISERR($AT438/($K438*$H438)),0,($AT438/($K438*$H438)))</f>
        <v>0.62935760043028732</v>
      </c>
      <c r="AX438" s="109">
        <f t="shared" ref="AX438:AX497" si="278">$K438*$AW438*$AU438*$H438</f>
        <v>10770.982054448847</v>
      </c>
      <c r="AY438" s="109">
        <f t="shared" ref="AY438:AY497" si="279">$K438*$AW438*(1-$AU438)*$H438</f>
        <v>0</v>
      </c>
      <c r="AZ438" s="109">
        <f t="shared" ref="AZ438:AZ497" si="280">IF(K438&lt;1,+AF438,+AY438+AX438)</f>
        <v>10770.982054448847</v>
      </c>
      <c r="BA438" s="111">
        <f t="shared" ref="BA438:BA497" si="281">+AZ438-AT438</f>
        <v>0</v>
      </c>
      <c r="BB438" s="117"/>
      <c r="BC438" s="115" t="str">
        <f t="shared" ref="BC438:BC497" si="282">IF(P438&lt;=BC$7,"Y","N")</f>
        <v>N</v>
      </c>
      <c r="BD438" s="115" t="str">
        <f t="shared" ref="BD438:BD497" si="283">IF(Q438&lt;=BD$7,"Y","N")</f>
        <v>Y</v>
      </c>
      <c r="BE438" s="115" t="str">
        <f t="shared" ref="BE438:BE497" si="284">IF(AND(BC438="Y",Q438=0),"Y","N")</f>
        <v>N</v>
      </c>
      <c r="BF438" s="109" t="str">
        <f t="shared" ref="BF438:BF497" si="285">IF(BE438="Y",+P438,"")</f>
        <v/>
      </c>
      <c r="BG438" s="111" t="s">
        <v>2499</v>
      </c>
      <c r="BH438" s="115" t="s">
        <v>1168</v>
      </c>
      <c r="BI438" s="116"/>
      <c r="BJ438" s="222">
        <v>0.62935760043028732</v>
      </c>
      <c r="BK438" s="265">
        <f t="shared" ref="BK438:BK497" si="286">+AY438-Q438</f>
        <v>0</v>
      </c>
      <c r="BL438" s="265">
        <f t="shared" ref="BL438:BL497" si="287">+Q438-AY438</f>
        <v>0</v>
      </c>
      <c r="BM438" s="265">
        <f t="shared" ref="BM438:BM497" si="288">+K438-O438-P438-Q438</f>
        <v>-1.8189894035458565E-12</v>
      </c>
      <c r="BN438" s="265">
        <f t="shared" ref="BN438:BN497" si="289">+X438-P438</f>
        <v>-2213.858054448845</v>
      </c>
      <c r="BO438" s="109"/>
      <c r="BP438" s="265">
        <f t="shared" ref="BP438:BP497" si="290">+X438+Y438-AT438</f>
        <v>6343.2659455511566</v>
      </c>
      <c r="BQ438" s="265">
        <v>6343.2659455511566</v>
      </c>
      <c r="BR438" s="265" t="e">
        <f t="shared" ref="BR438:BR497" si="291">+BQ438*$BR$7</f>
        <v>#REF!</v>
      </c>
      <c r="BS438" s="265">
        <v>714.62749701509142</v>
      </c>
      <c r="BT438" s="475">
        <v>10621.827945551157</v>
      </c>
      <c r="BU438" s="475">
        <v>10770.982054448847</v>
      </c>
      <c r="BV438" s="475">
        <v>0</v>
      </c>
      <c r="BW438" s="483">
        <f t="shared" ref="BW438:BW497" si="292">P438-BU438</f>
        <v>0</v>
      </c>
      <c r="BX438" s="483">
        <f t="shared" ref="BX438:BX497" si="293">Q438-BV438</f>
        <v>0</v>
      </c>
    </row>
    <row r="439" spans="1:77" s="103" customFormat="1" ht="14.5">
      <c r="A439" s="100"/>
      <c r="B439" s="91" t="str">
        <f t="shared" si="262"/>
        <v>TRA</v>
      </c>
      <c r="C439" s="92"/>
      <c r="D439" s="448"/>
      <c r="E439" s="450"/>
      <c r="F439" s="384" t="s">
        <v>2949</v>
      </c>
      <c r="G439" s="384" t="s">
        <v>5271</v>
      </c>
      <c r="H439" s="398">
        <v>0.8</v>
      </c>
      <c r="I439" s="95"/>
      <c r="J439" s="95" t="s">
        <v>1166</v>
      </c>
      <c r="K439" s="191">
        <v>2705170.99</v>
      </c>
      <c r="L439" s="268">
        <v>0.62935760043028732</v>
      </c>
      <c r="M439" s="266">
        <v>1</v>
      </c>
      <c r="N439" s="267">
        <f t="shared" si="263"/>
        <v>0</v>
      </c>
      <c r="O439" s="96">
        <f t="shared" si="264"/>
        <v>1343155.0515839802</v>
      </c>
      <c r="P439" s="96">
        <f t="shared" si="259"/>
        <v>1362015.93841602</v>
      </c>
      <c r="Q439" s="96">
        <f t="shared" si="265"/>
        <v>0</v>
      </c>
      <c r="R439" s="187"/>
      <c r="S439" s="187" t="s">
        <v>3607</v>
      </c>
      <c r="T439" s="94" t="s">
        <v>2782</v>
      </c>
      <c r="U439" s="395"/>
      <c r="V439" s="100"/>
      <c r="W439" s="100"/>
      <c r="X439" s="109">
        <v>1082068.3960000002</v>
      </c>
      <c r="Y439" s="109">
        <v>1082068.3960000002</v>
      </c>
      <c r="Z439" s="110">
        <v>1</v>
      </c>
      <c r="AA439" s="110">
        <v>0.5</v>
      </c>
      <c r="AB439" s="110">
        <v>0.5</v>
      </c>
      <c r="AC439" s="109">
        <f>IF(ISERROR((X439*SUMIF('Rev_for_allocation(Hard)'!$A$3:$A$249,$T439,'Rev_for_allocation(Hard)'!$I$3:$I$249)/SUMIF(Historic_capex_list!$T$9:$T$586,$T439,Historic_capex_list!$X$9:$X$586))=TRUE),0,X439*SUMIF('Rev_for_allocation(Hard)'!$A$3:$A$249,$T439,'Rev_for_allocation(Hard)'!$I$3:$I$249)/SUMIF(Historic_capex_list!$T$9:$T$586,$T439,Historic_capex_list!$X$9:$X$586))</f>
        <v>-802120.85358398035</v>
      </c>
      <c r="AD439" s="109">
        <f t="shared" si="266"/>
        <v>279947.54241601983</v>
      </c>
      <c r="AE439" s="109">
        <f t="shared" si="261"/>
        <v>279947.54241601983</v>
      </c>
      <c r="AF439" s="109">
        <f t="shared" si="267"/>
        <v>1362015.93841602</v>
      </c>
      <c r="AG439" s="332" t="str">
        <f t="shared" si="268"/>
        <v>N</v>
      </c>
      <c r="AH439" s="332">
        <f t="shared" si="256"/>
        <v>0</v>
      </c>
      <c r="AI439" s="332">
        <f t="shared" si="257"/>
        <v>0</v>
      </c>
      <c r="AJ439" s="109">
        <f t="shared" si="258"/>
        <v>1362015.93841602</v>
      </c>
      <c r="AK439" s="109">
        <f t="shared" si="269"/>
        <v>0</v>
      </c>
      <c r="AL439" s="109">
        <v>0</v>
      </c>
      <c r="AM439" s="111">
        <f t="shared" si="270"/>
        <v>10</v>
      </c>
      <c r="AN439" s="111">
        <f t="shared" si="271"/>
        <v>7</v>
      </c>
      <c r="AO439" s="111">
        <f t="shared" si="272"/>
        <v>8.2215643597119623</v>
      </c>
      <c r="AP439" s="111">
        <f t="shared" si="273"/>
        <v>0</v>
      </c>
      <c r="AQ439" s="112">
        <f t="shared" si="274"/>
        <v>0</v>
      </c>
      <c r="AR439" s="112">
        <f t="shared" si="275"/>
        <v>1</v>
      </c>
      <c r="AS439" s="113">
        <f t="shared" si="276"/>
        <v>2028</v>
      </c>
      <c r="AT439" s="109">
        <v>1362015.93841602</v>
      </c>
      <c r="AU439" s="114">
        <v>1</v>
      </c>
      <c r="AV439" s="113">
        <v>2028</v>
      </c>
      <c r="AW439" s="112">
        <f t="shared" si="277"/>
        <v>0.62935760043028732</v>
      </c>
      <c r="AX439" s="109">
        <f t="shared" si="278"/>
        <v>1362015.93841602</v>
      </c>
      <c r="AY439" s="109">
        <f t="shared" si="279"/>
        <v>0</v>
      </c>
      <c r="AZ439" s="109">
        <f t="shared" si="280"/>
        <v>1362015.93841602</v>
      </c>
      <c r="BA439" s="111">
        <f t="shared" si="281"/>
        <v>0</v>
      </c>
      <c r="BB439" s="117"/>
      <c r="BC439" s="115" t="str">
        <f t="shared" si="282"/>
        <v>N</v>
      </c>
      <c r="BD439" s="115" t="str">
        <f t="shared" si="283"/>
        <v>Y</v>
      </c>
      <c r="BE439" s="115" t="str">
        <f t="shared" si="284"/>
        <v>N</v>
      </c>
      <c r="BF439" s="109" t="str">
        <f t="shared" si="285"/>
        <v/>
      </c>
      <c r="BG439" s="111" t="s">
        <v>2499</v>
      </c>
      <c r="BH439" s="115" t="s">
        <v>1168</v>
      </c>
      <c r="BI439" s="116"/>
      <c r="BJ439" s="222">
        <v>0.62935760043028732</v>
      </c>
      <c r="BK439" s="265">
        <f t="shared" si="286"/>
        <v>0</v>
      </c>
      <c r="BL439" s="265">
        <f t="shared" si="287"/>
        <v>0</v>
      </c>
      <c r="BM439" s="265">
        <f t="shared" si="288"/>
        <v>0</v>
      </c>
      <c r="BN439" s="265">
        <f t="shared" si="289"/>
        <v>-279947.54241601983</v>
      </c>
      <c r="BO439" s="109"/>
      <c r="BP439" s="265">
        <f t="shared" si="290"/>
        <v>802120.85358398035</v>
      </c>
      <c r="BQ439" s="265">
        <v>802120.85358398035</v>
      </c>
      <c r="BR439" s="265" t="e">
        <f t="shared" si="291"/>
        <v>#REF!</v>
      </c>
      <c r="BS439" s="265">
        <v>90366.322777677968</v>
      </c>
      <c r="BT439" s="475">
        <v>1343155.0515839802</v>
      </c>
      <c r="BU439" s="475">
        <v>1362015.93841602</v>
      </c>
      <c r="BV439" s="475">
        <v>0</v>
      </c>
      <c r="BW439" s="483">
        <f t="shared" si="292"/>
        <v>0</v>
      </c>
      <c r="BX439" s="483">
        <f t="shared" si="293"/>
        <v>0</v>
      </c>
    </row>
    <row r="440" spans="1:77" s="103" customFormat="1" ht="14.5">
      <c r="A440" s="100" t="s">
        <v>2259</v>
      </c>
      <c r="B440" s="91" t="str">
        <f t="shared" si="262"/>
        <v>TRA</v>
      </c>
      <c r="C440" s="92" t="s">
        <v>461</v>
      </c>
      <c r="D440" s="448"/>
      <c r="E440" s="450" t="s">
        <v>2204</v>
      </c>
      <c r="F440" s="468" t="s">
        <v>2518</v>
      </c>
      <c r="G440" s="384" t="s">
        <v>4684</v>
      </c>
      <c r="H440" s="398">
        <v>1</v>
      </c>
      <c r="I440" s="95" t="s">
        <v>951</v>
      </c>
      <c r="J440" s="95" t="s">
        <v>1166</v>
      </c>
      <c r="K440" s="191">
        <v>210000</v>
      </c>
      <c r="L440" s="268">
        <v>0.69555155040788941</v>
      </c>
      <c r="M440" s="266">
        <v>0.25345622119815669</v>
      </c>
      <c r="N440" s="267">
        <f t="shared" si="263"/>
        <v>0.74654377880184331</v>
      </c>
      <c r="O440" s="96">
        <f t="shared" si="264"/>
        <v>63934.174414343222</v>
      </c>
      <c r="P440" s="96">
        <f t="shared" si="259"/>
        <v>37021.292199129595</v>
      </c>
      <c r="Q440" s="96">
        <f t="shared" si="265"/>
        <v>109044.53338652717</v>
      </c>
      <c r="R440" s="187" t="s">
        <v>2337</v>
      </c>
      <c r="S440" s="187" t="s">
        <v>3608</v>
      </c>
      <c r="T440" s="94" t="s">
        <v>2781</v>
      </c>
      <c r="U440" s="395">
        <f>COUNTIF(Aggregation_of_rev_to_allocate!$A$3:$A$137,$T440)</f>
        <v>1</v>
      </c>
      <c r="V440" s="100"/>
      <c r="W440" s="100">
        <v>553</v>
      </c>
      <c r="X440" s="109">
        <v>39992.064513648715</v>
      </c>
      <c r="Y440" s="109">
        <v>129792.42755793265</v>
      </c>
      <c r="Z440" s="110">
        <v>0.80849758129324456</v>
      </c>
      <c r="AA440" s="110">
        <v>0.23554603854389722</v>
      </c>
      <c r="AB440" s="110">
        <v>0.76445396145610278</v>
      </c>
      <c r="AC440" s="109">
        <f>IF(ISERROR((X440*SUMIF('Rev_for_allocation(Hard)'!$A$3:$A$249,$T440,'Rev_for_allocation(Hard)'!$I$3:$I$249)/SUMIF(Historic_capex_list!$T$9:$T$586,$T440,Historic_capex_list!$X$9:$X$586))=TRUE),0,X440*SUMIF('Rev_for_allocation(Hard)'!$A$3:$A$249,$T440,'Rev_for_allocation(Hard)'!$I$3:$I$249)/SUMIF(Historic_capex_list!$T$9:$T$586,$T440,Historic_capex_list!$X$9:$X$586))</f>
        <v>-24091.776164517039</v>
      </c>
      <c r="AD440" s="109">
        <f t="shared" si="266"/>
        <v>15900.288349131675</v>
      </c>
      <c r="AE440" s="109">
        <f t="shared" si="261"/>
        <v>15900.288349131675</v>
      </c>
      <c r="AF440" s="109">
        <f t="shared" si="267"/>
        <v>145692.71590706432</v>
      </c>
      <c r="AG440" s="332" t="str">
        <f t="shared" si="268"/>
        <v>N</v>
      </c>
      <c r="AH440" s="332">
        <f t="shared" si="256"/>
        <v>0</v>
      </c>
      <c r="AI440" s="332">
        <f t="shared" si="257"/>
        <v>0</v>
      </c>
      <c r="AJ440" s="109">
        <f t="shared" si="258"/>
        <v>145692.71590706432</v>
      </c>
      <c r="AK440" s="109">
        <f t="shared" si="269"/>
        <v>0</v>
      </c>
      <c r="AL440" s="109">
        <v>0</v>
      </c>
      <c r="AM440" s="111">
        <f t="shared" si="270"/>
        <v>32.454545454545453</v>
      </c>
      <c r="AN440" s="111">
        <f t="shared" si="271"/>
        <v>29.454545454545453</v>
      </c>
      <c r="AO440" s="111">
        <f t="shared" si="272"/>
        <v>35.434253466099996</v>
      </c>
      <c r="AP440" s="111">
        <f t="shared" si="273"/>
        <v>29.454545454545453</v>
      </c>
      <c r="AQ440" s="112">
        <f t="shared" si="274"/>
        <v>0.74654377880184331</v>
      </c>
      <c r="AR440" s="112">
        <f t="shared" si="275"/>
        <v>0.25345622119815669</v>
      </c>
      <c r="AS440" s="113">
        <f t="shared" si="276"/>
        <v>2057</v>
      </c>
      <c r="AT440" s="109">
        <v>146065.82558565677</v>
      </c>
      <c r="AU440" s="114">
        <v>0.25345622119815669</v>
      </c>
      <c r="AV440" s="113">
        <v>2057</v>
      </c>
      <c r="AW440" s="112">
        <f t="shared" si="277"/>
        <v>0.69555155040788941</v>
      </c>
      <c r="AX440" s="109">
        <f t="shared" si="278"/>
        <v>37021.292199129595</v>
      </c>
      <c r="AY440" s="109">
        <f t="shared" si="279"/>
        <v>109044.53338652717</v>
      </c>
      <c r="AZ440" s="109">
        <f t="shared" si="280"/>
        <v>146065.82558565677</v>
      </c>
      <c r="BA440" s="111">
        <f t="shared" si="281"/>
        <v>0</v>
      </c>
      <c r="BB440" s="117"/>
      <c r="BC440" s="115" t="str">
        <f t="shared" si="282"/>
        <v>N</v>
      </c>
      <c r="BD440" s="115" t="str">
        <f t="shared" si="283"/>
        <v>N</v>
      </c>
      <c r="BE440" s="115" t="str">
        <f t="shared" si="284"/>
        <v>N</v>
      </c>
      <c r="BF440" s="109" t="str">
        <f t="shared" si="285"/>
        <v/>
      </c>
      <c r="BG440" s="111" t="s">
        <v>2499</v>
      </c>
      <c r="BH440" s="115" t="s">
        <v>1168</v>
      </c>
      <c r="BI440" s="116"/>
      <c r="BJ440" s="222">
        <v>0.69555155040788941</v>
      </c>
      <c r="BK440" s="265">
        <f t="shared" si="286"/>
        <v>0</v>
      </c>
      <c r="BL440" s="265">
        <f t="shared" si="287"/>
        <v>0</v>
      </c>
      <c r="BM440" s="265">
        <f t="shared" si="288"/>
        <v>0</v>
      </c>
      <c r="BN440" s="265">
        <f t="shared" si="289"/>
        <v>2970.7723145191194</v>
      </c>
      <c r="BO440" s="109"/>
      <c r="BP440" s="265">
        <f t="shared" si="290"/>
        <v>23718.666485924594</v>
      </c>
      <c r="BQ440" s="265">
        <v>23718.666485924594</v>
      </c>
      <c r="BR440" s="265" t="e">
        <f t="shared" si="291"/>
        <v>#REF!</v>
      </c>
      <c r="BS440" s="265">
        <v>2672.1268521399297</v>
      </c>
      <c r="BT440" s="475">
        <v>63934.174414343222</v>
      </c>
      <c r="BU440" s="475">
        <v>37021.292199129595</v>
      </c>
      <c r="BV440" s="475">
        <v>109044.53338652717</v>
      </c>
      <c r="BW440" s="483">
        <f t="shared" si="292"/>
        <v>0</v>
      </c>
      <c r="BX440" s="483">
        <f t="shared" si="293"/>
        <v>0</v>
      </c>
    </row>
    <row r="441" spans="1:77" s="103" customFormat="1" ht="29">
      <c r="A441" s="100" t="s">
        <v>2259</v>
      </c>
      <c r="B441" s="91" t="str">
        <f t="shared" si="262"/>
        <v>TRA</v>
      </c>
      <c r="C441" s="92" t="s">
        <v>461</v>
      </c>
      <c r="D441" s="448"/>
      <c r="E441" s="450" t="s">
        <v>2201</v>
      </c>
      <c r="F441" s="468" t="s">
        <v>2519</v>
      </c>
      <c r="G441" s="551" t="s">
        <v>4685</v>
      </c>
      <c r="H441" s="398">
        <v>1</v>
      </c>
      <c r="I441" s="95" t="s">
        <v>951</v>
      </c>
      <c r="J441" s="95" t="s">
        <v>1166</v>
      </c>
      <c r="K441" s="191">
        <v>669603</v>
      </c>
      <c r="L441" s="268">
        <v>0.54145740245404583</v>
      </c>
      <c r="M441" s="266">
        <v>0.47557840616966585</v>
      </c>
      <c r="N441" s="267">
        <f t="shared" si="263"/>
        <v>0.52442159383033415</v>
      </c>
      <c r="O441" s="96">
        <f t="shared" si="264"/>
        <v>307041.49894456356</v>
      </c>
      <c r="P441" s="96">
        <f t="shared" si="259"/>
        <v>172426.42081042609</v>
      </c>
      <c r="Q441" s="96">
        <f t="shared" si="265"/>
        <v>190135.08024501035</v>
      </c>
      <c r="R441" s="187" t="s">
        <v>2337</v>
      </c>
      <c r="S441" s="187" t="s">
        <v>3608</v>
      </c>
      <c r="T441" s="94" t="s">
        <v>2781</v>
      </c>
      <c r="U441" s="395">
        <f>COUNTIF(Aggregation_of_rev_to_allocate!$A$3:$A$137,$T441)</f>
        <v>1</v>
      </c>
      <c r="V441" s="100"/>
      <c r="W441" s="100">
        <v>554</v>
      </c>
      <c r="X441" s="109">
        <v>200352.46382011456</v>
      </c>
      <c r="Y441" s="109">
        <v>281034.9424936201</v>
      </c>
      <c r="Z441" s="110">
        <v>0.71891464989513887</v>
      </c>
      <c r="AA441" s="110">
        <v>0.41619797525309343</v>
      </c>
      <c r="AB441" s="110">
        <v>0.58380202474690657</v>
      </c>
      <c r="AC441" s="109">
        <f>IF(ISERROR((X441*SUMIF('Rev_for_allocation(Hard)'!$A$3:$A$249,$T441,'Rev_for_allocation(Hard)'!$I$3:$I$249)/SUMIF(Historic_capex_list!$T$9:$T$586,$T441,Historic_capex_list!$X$9:$X$586))=TRUE),0,X441*SUMIF('Rev_for_allocation(Hard)'!$A$3:$A$249,$T441,'Rev_for_allocation(Hard)'!$I$3:$I$249)/SUMIF(Historic_capex_list!$T$9:$T$586,$T441,Historic_capex_list!$X$9:$X$586))</f>
        <v>-120695.11216947465</v>
      </c>
      <c r="AD441" s="109">
        <f t="shared" si="266"/>
        <v>79657.351650639903</v>
      </c>
      <c r="AE441" s="109">
        <f t="shared" si="261"/>
        <v>79657.351650639903</v>
      </c>
      <c r="AF441" s="109">
        <f t="shared" si="267"/>
        <v>360692.29414426</v>
      </c>
      <c r="AG441" s="332" t="str">
        <f t="shared" si="268"/>
        <v>N</v>
      </c>
      <c r="AH441" s="332">
        <f t="shared" si="256"/>
        <v>0</v>
      </c>
      <c r="AI441" s="332">
        <f t="shared" si="257"/>
        <v>0</v>
      </c>
      <c r="AJ441" s="109">
        <f t="shared" si="258"/>
        <v>360692.29414426</v>
      </c>
      <c r="AK441" s="109">
        <f t="shared" si="269"/>
        <v>0</v>
      </c>
      <c r="AL441" s="109">
        <v>0</v>
      </c>
      <c r="AM441" s="111">
        <f t="shared" si="270"/>
        <v>14.027027027027025</v>
      </c>
      <c r="AN441" s="111">
        <f t="shared" si="271"/>
        <v>11.027027027027025</v>
      </c>
      <c r="AO441" s="111">
        <f t="shared" si="272"/>
        <v>15.987086143326904</v>
      </c>
      <c r="AP441" s="111">
        <f t="shared" si="273"/>
        <v>11.027027027027025</v>
      </c>
      <c r="AQ441" s="112">
        <f t="shared" si="274"/>
        <v>0.52442159383033415</v>
      </c>
      <c r="AR441" s="112">
        <f t="shared" si="275"/>
        <v>0.47557840616966585</v>
      </c>
      <c r="AS441" s="113">
        <f t="shared" si="276"/>
        <v>2039</v>
      </c>
      <c r="AT441" s="109">
        <v>362561.50105543644</v>
      </c>
      <c r="AU441" s="114">
        <v>0.47557840616966585</v>
      </c>
      <c r="AV441" s="113">
        <v>2039</v>
      </c>
      <c r="AW441" s="112">
        <f t="shared" si="277"/>
        <v>0.54145740245404583</v>
      </c>
      <c r="AX441" s="109">
        <f t="shared" si="278"/>
        <v>172426.42081042609</v>
      </c>
      <c r="AY441" s="109">
        <f t="shared" si="279"/>
        <v>190135.08024501035</v>
      </c>
      <c r="AZ441" s="109">
        <f t="shared" si="280"/>
        <v>362561.50105543644</v>
      </c>
      <c r="BA441" s="111">
        <f t="shared" si="281"/>
        <v>0</v>
      </c>
      <c r="BB441" s="117"/>
      <c r="BC441" s="115" t="str">
        <f t="shared" si="282"/>
        <v>N</v>
      </c>
      <c r="BD441" s="115" t="str">
        <f t="shared" si="283"/>
        <v>N</v>
      </c>
      <c r="BE441" s="115" t="str">
        <f t="shared" si="284"/>
        <v>N</v>
      </c>
      <c r="BF441" s="109" t="str">
        <f t="shared" si="285"/>
        <v/>
      </c>
      <c r="BG441" s="111" t="s">
        <v>2499</v>
      </c>
      <c r="BH441" s="115" t="s">
        <v>1168</v>
      </c>
      <c r="BI441" s="116"/>
      <c r="BJ441" s="222">
        <v>0.54145740245404583</v>
      </c>
      <c r="BK441" s="265">
        <f t="shared" si="286"/>
        <v>0</v>
      </c>
      <c r="BL441" s="265">
        <f t="shared" si="287"/>
        <v>0</v>
      </c>
      <c r="BM441" s="265">
        <f t="shared" si="288"/>
        <v>0</v>
      </c>
      <c r="BN441" s="265">
        <f t="shared" si="289"/>
        <v>27926.043009688467</v>
      </c>
      <c r="BO441" s="109"/>
      <c r="BP441" s="265">
        <f t="shared" si="290"/>
        <v>118825.90525829821</v>
      </c>
      <c r="BQ441" s="265">
        <v>118825.90525829821</v>
      </c>
      <c r="BR441" s="265" t="e">
        <f t="shared" si="291"/>
        <v>#REF!</v>
      </c>
      <c r="BS441" s="265">
        <v>13386.835737960186</v>
      </c>
      <c r="BT441" s="475">
        <v>307041.49894456356</v>
      </c>
      <c r="BU441" s="475">
        <v>172426.42081042609</v>
      </c>
      <c r="BV441" s="475">
        <v>190135.08024501035</v>
      </c>
      <c r="BW441" s="483">
        <f t="shared" si="292"/>
        <v>0</v>
      </c>
      <c r="BX441" s="483">
        <f t="shared" si="293"/>
        <v>0</v>
      </c>
    </row>
    <row r="442" spans="1:77" s="103" customFormat="1" ht="72.5">
      <c r="A442" s="100" t="s">
        <v>2259</v>
      </c>
      <c r="B442" s="91" t="str">
        <f t="shared" si="262"/>
        <v>TRA</v>
      </c>
      <c r="C442" s="92" t="s">
        <v>461</v>
      </c>
      <c r="D442" s="448"/>
      <c r="E442" s="450" t="s">
        <v>2168</v>
      </c>
      <c r="F442" s="467" t="s">
        <v>4827</v>
      </c>
      <c r="G442" s="467" t="s">
        <v>4739</v>
      </c>
      <c r="H442" s="470">
        <v>0.87</v>
      </c>
      <c r="I442" s="95" t="s">
        <v>962</v>
      </c>
      <c r="J442" s="95" t="s">
        <v>1166</v>
      </c>
      <c r="K442" s="469">
        <v>19715191</v>
      </c>
      <c r="L442" s="471">
        <v>0.18722075142783134</v>
      </c>
      <c r="M442" s="266">
        <v>0.52631578947368429</v>
      </c>
      <c r="N442" s="267">
        <f t="shared" si="263"/>
        <v>0.47368421052631571</v>
      </c>
      <c r="O442" s="96">
        <f t="shared" si="264"/>
        <v>16503940.199999999</v>
      </c>
      <c r="P442" s="96">
        <f t="shared" si="259"/>
        <v>1690132</v>
      </c>
      <c r="Q442" s="96">
        <f t="shared" si="265"/>
        <v>1521118.7999999993</v>
      </c>
      <c r="R442" s="187" t="s">
        <v>2335</v>
      </c>
      <c r="S442" s="187" t="s">
        <v>3608</v>
      </c>
      <c r="T442" s="94" t="s">
        <v>2779</v>
      </c>
      <c r="U442" s="395">
        <f>COUNTIF(Aggregation_of_rev_to_allocate!$A$3:$A$137,$T442)</f>
        <v>1</v>
      </c>
      <c r="V442" s="100"/>
      <c r="W442" s="100">
        <v>515</v>
      </c>
      <c r="X442" s="109">
        <v>1620118.1707439439</v>
      </c>
      <c r="Y442" s="109">
        <v>1944141.8048927325</v>
      </c>
      <c r="Z442" s="110">
        <v>0.74335605693739548</v>
      </c>
      <c r="AA442" s="110">
        <v>0.45454545454545459</v>
      </c>
      <c r="AB442" s="110">
        <v>0.54545454545454541</v>
      </c>
      <c r="AC442" s="109">
        <f>IF(ISERROR((X442*SUMIF('Rev_for_allocation(Hard)'!$A$3:$A$249,$T442,'Rev_for_allocation(Hard)'!$I$3:$I$249)/SUMIF(Historic_capex_list!$T$9:$T$586,$T442,Historic_capex_list!$X$9:$X$586))=TRUE),0,X442*SUMIF('Rev_for_allocation(Hard)'!$A$3:$A$249,$T442,'Rev_for_allocation(Hard)'!$I$3:$I$249)/SUMIF(Historic_capex_list!$T$9:$T$586,$T442,Historic_capex_list!$X$9:$X$586))</f>
        <v>-353008.47316040035</v>
      </c>
      <c r="AD442" s="109">
        <f t="shared" si="266"/>
        <v>1267109.6975835436</v>
      </c>
      <c r="AE442" s="109">
        <f t="shared" si="261"/>
        <v>1267109.6975835436</v>
      </c>
      <c r="AF442" s="109">
        <f t="shared" si="267"/>
        <v>3211251.5024762759</v>
      </c>
      <c r="AG442" s="332" t="str">
        <f t="shared" si="268"/>
        <v>N</v>
      </c>
      <c r="AH442" s="332">
        <f t="shared" si="256"/>
        <v>0</v>
      </c>
      <c r="AI442" s="332">
        <f t="shared" si="257"/>
        <v>0</v>
      </c>
      <c r="AJ442" s="109">
        <f t="shared" si="258"/>
        <v>3211251.5024762759</v>
      </c>
      <c r="AK442" s="109">
        <f t="shared" si="269"/>
        <v>0</v>
      </c>
      <c r="AL442" s="109">
        <v>0</v>
      </c>
      <c r="AM442" s="111">
        <f t="shared" si="270"/>
        <v>11.999999999999996</v>
      </c>
      <c r="AN442" s="111">
        <f t="shared" si="271"/>
        <v>8.9999999999999964</v>
      </c>
      <c r="AO442" s="111" t="str">
        <f t="shared" si="272"/>
        <v>Use deduct 3yrs</v>
      </c>
      <c r="AP442" s="111">
        <f t="shared" si="273"/>
        <v>8.9999999999999964</v>
      </c>
      <c r="AQ442" s="112">
        <f t="shared" si="274"/>
        <v>0.47368421052631571</v>
      </c>
      <c r="AR442" s="112">
        <f t="shared" si="275"/>
        <v>0.52631578947368429</v>
      </c>
      <c r="AS442" s="113">
        <f t="shared" si="276"/>
        <v>2037</v>
      </c>
      <c r="AT442" s="109">
        <v>3211251.5024762759</v>
      </c>
      <c r="AU442" s="114">
        <v>0.52631578947368429</v>
      </c>
      <c r="AV442" s="113">
        <v>2037</v>
      </c>
      <c r="AW442" s="112">
        <f t="shared" si="277"/>
        <v>0.18722079238325481</v>
      </c>
      <c r="AX442" s="109">
        <f t="shared" si="278"/>
        <v>1690132.3697243561</v>
      </c>
      <c r="AY442" s="109">
        <f t="shared" si="279"/>
        <v>1521119.13275192</v>
      </c>
      <c r="AZ442" s="109">
        <f t="shared" si="280"/>
        <v>3211251.5024762759</v>
      </c>
      <c r="BA442" s="111">
        <f t="shared" si="281"/>
        <v>0</v>
      </c>
      <c r="BB442" s="117"/>
      <c r="BC442" s="115" t="str">
        <f t="shared" si="282"/>
        <v>N</v>
      </c>
      <c r="BD442" s="115" t="str">
        <f t="shared" si="283"/>
        <v>N</v>
      </c>
      <c r="BE442" s="115" t="str">
        <f t="shared" si="284"/>
        <v>N</v>
      </c>
      <c r="BF442" s="109" t="str">
        <f t="shared" si="285"/>
        <v/>
      </c>
      <c r="BG442" s="111" t="s">
        <v>2499</v>
      </c>
      <c r="BH442" s="115" t="s">
        <v>1168</v>
      </c>
      <c r="BI442" s="116"/>
      <c r="BJ442" s="222">
        <v>0.66973320437677897</v>
      </c>
      <c r="BK442" s="265">
        <f t="shared" si="286"/>
        <v>0.33275192067958415</v>
      </c>
      <c r="BL442" s="265">
        <f t="shared" si="287"/>
        <v>-0.33275192067958415</v>
      </c>
      <c r="BM442" s="265">
        <f t="shared" si="288"/>
        <v>0</v>
      </c>
      <c r="BN442" s="265">
        <f t="shared" si="289"/>
        <v>-70013.829256056109</v>
      </c>
      <c r="BO442" s="109"/>
      <c r="BP442" s="265">
        <f t="shared" si="290"/>
        <v>353008.47316040052</v>
      </c>
      <c r="BQ442" s="265">
        <v>353008.47316040052</v>
      </c>
      <c r="BR442" s="265" t="e">
        <f t="shared" si="291"/>
        <v>#REF!</v>
      </c>
      <c r="BS442" s="265">
        <v>39769.664990424229</v>
      </c>
      <c r="BT442" s="475">
        <v>1583570.4975237239</v>
      </c>
      <c r="BU442" s="475">
        <v>1690132.3697243561</v>
      </c>
      <c r="BV442" s="475">
        <v>1521119.1327519198</v>
      </c>
      <c r="BW442" s="483">
        <f t="shared" si="292"/>
        <v>-0.36972435610368848</v>
      </c>
      <c r="BX442" s="483">
        <f t="shared" si="293"/>
        <v>-0.3327519204467535</v>
      </c>
    </row>
    <row r="443" spans="1:77" s="103" customFormat="1" ht="29">
      <c r="A443" s="100"/>
      <c r="B443" s="91" t="str">
        <f t="shared" si="262"/>
        <v>TRA</v>
      </c>
      <c r="C443" s="92"/>
      <c r="D443" s="448"/>
      <c r="E443" s="450" t="s">
        <v>2942</v>
      </c>
      <c r="F443" s="384" t="s">
        <v>3623</v>
      </c>
      <c r="G443" s="384" t="s">
        <v>4472</v>
      </c>
      <c r="H443" s="398">
        <v>1</v>
      </c>
      <c r="I443" s="95"/>
      <c r="J443" s="95" t="s">
        <v>1166</v>
      </c>
      <c r="K443" s="191">
        <v>36923</v>
      </c>
      <c r="L443" s="268">
        <v>1</v>
      </c>
      <c r="M443" s="266">
        <v>1</v>
      </c>
      <c r="N443" s="267">
        <f t="shared" si="263"/>
        <v>0</v>
      </c>
      <c r="O443" s="96">
        <f t="shared" si="264"/>
        <v>0</v>
      </c>
      <c r="P443" s="96">
        <f t="shared" si="259"/>
        <v>36923</v>
      </c>
      <c r="Q443" s="96">
        <f t="shared" si="265"/>
        <v>0</v>
      </c>
      <c r="R443" s="187" t="s">
        <v>2338</v>
      </c>
      <c r="S443" s="187" t="s">
        <v>3607</v>
      </c>
      <c r="T443" s="94" t="s">
        <v>2783</v>
      </c>
      <c r="U443" s="395">
        <f>COUNTIF(Aggregation_of_rev_to_allocate!$A$3:$A$137,$T443)</f>
        <v>1</v>
      </c>
      <c r="V443" s="100"/>
      <c r="W443" s="100">
        <v>891</v>
      </c>
      <c r="X443" s="109">
        <v>7775.9838000000009</v>
      </c>
      <c r="Y443" s="109">
        <v>2193.2261999999996</v>
      </c>
      <c r="Z443" s="110">
        <v>1</v>
      </c>
      <c r="AA443" s="110">
        <v>0.78</v>
      </c>
      <c r="AB443" s="110">
        <v>0.21999999999999997</v>
      </c>
      <c r="AC443" s="109">
        <f>IF(ISERROR((X443*SUMIF('Rev_for_allocation(Hard)'!$A$3:$A$249,$T443,'Rev_for_allocation(Hard)'!$I$3:$I$249)/SUMIF(Historic_capex_list!$T$9:$T$586,$T443,Historic_capex_list!$X$9:$X$586))=TRUE),0,X443*SUMIF('Rev_for_allocation(Hard)'!$A$3:$A$249,$T443,'Rev_for_allocation(Hard)'!$I$3:$I$249)/SUMIF(Historic_capex_list!$T$9:$T$586,$T443,Historic_capex_list!$X$9:$X$586))</f>
        <v>0</v>
      </c>
      <c r="AD443" s="109">
        <f t="shared" si="266"/>
        <v>7775.9838000000009</v>
      </c>
      <c r="AE443" s="109">
        <f t="shared" si="261"/>
        <v>7775.9838000000009</v>
      </c>
      <c r="AF443" s="109">
        <f t="shared" si="267"/>
        <v>9969.2100000000009</v>
      </c>
      <c r="AG443" s="332" t="str">
        <f t="shared" si="268"/>
        <v>N</v>
      </c>
      <c r="AH443" s="332">
        <f t="shared" si="256"/>
        <v>0</v>
      </c>
      <c r="AI443" s="332">
        <f t="shared" si="257"/>
        <v>0</v>
      </c>
      <c r="AJ443" s="109">
        <f t="shared" si="258"/>
        <v>9969.2100000000009</v>
      </c>
      <c r="AK443" s="109">
        <f t="shared" si="269"/>
        <v>0</v>
      </c>
      <c r="AL443" s="109">
        <v>0</v>
      </c>
      <c r="AM443" s="111">
        <f t="shared" si="270"/>
        <v>2.8205128205128198</v>
      </c>
      <c r="AN443" s="111">
        <f t="shared" si="271"/>
        <v>-0.17948717948718018</v>
      </c>
      <c r="AO443" s="111" t="str">
        <f t="shared" si="272"/>
        <v>Use deduct 3yrs</v>
      </c>
      <c r="AP443" s="111">
        <f t="shared" si="273"/>
        <v>-0.17948717948718018</v>
      </c>
      <c r="AQ443" s="112">
        <f t="shared" si="274"/>
        <v>0</v>
      </c>
      <c r="AR443" s="112">
        <f t="shared" si="275"/>
        <v>1</v>
      </c>
      <c r="AS443" s="113">
        <f t="shared" si="276"/>
        <v>2028</v>
      </c>
      <c r="AT443" s="109">
        <v>9969.2100000000009</v>
      </c>
      <c r="AU443" s="114">
        <v>1</v>
      </c>
      <c r="AV443" s="113">
        <v>2028</v>
      </c>
      <c r="AW443" s="112">
        <f t="shared" si="277"/>
        <v>0.27</v>
      </c>
      <c r="AX443" s="109">
        <f t="shared" si="278"/>
        <v>9969.2100000000009</v>
      </c>
      <c r="AY443" s="109">
        <f t="shared" si="279"/>
        <v>0</v>
      </c>
      <c r="AZ443" s="109">
        <f t="shared" si="280"/>
        <v>9969.2100000000009</v>
      </c>
      <c r="BA443" s="111">
        <f t="shared" si="281"/>
        <v>0</v>
      </c>
      <c r="BB443" s="117"/>
      <c r="BC443" s="115" t="str">
        <f t="shared" si="282"/>
        <v>N</v>
      </c>
      <c r="BD443" s="115" t="str">
        <f t="shared" si="283"/>
        <v>Y</v>
      </c>
      <c r="BE443" s="115" t="str">
        <f t="shared" si="284"/>
        <v>N</v>
      </c>
      <c r="BF443" s="109" t="str">
        <f t="shared" si="285"/>
        <v/>
      </c>
      <c r="BG443" s="111" t="s">
        <v>2499</v>
      </c>
      <c r="BH443" s="115" t="s">
        <v>1168</v>
      </c>
      <c r="BI443" s="116"/>
      <c r="BJ443" s="222">
        <v>1</v>
      </c>
      <c r="BK443" s="265">
        <f t="shared" si="286"/>
        <v>0</v>
      </c>
      <c r="BL443" s="265">
        <f t="shared" si="287"/>
        <v>0</v>
      </c>
      <c r="BM443" s="265">
        <f t="shared" si="288"/>
        <v>0</v>
      </c>
      <c r="BN443" s="265">
        <f t="shared" si="289"/>
        <v>-29147.016199999998</v>
      </c>
      <c r="BO443" s="109"/>
      <c r="BP443" s="265">
        <f t="shared" si="290"/>
        <v>0</v>
      </c>
      <c r="BQ443" s="265">
        <v>0</v>
      </c>
      <c r="BR443" s="265" t="e">
        <f t="shared" si="291"/>
        <v>#REF!</v>
      </c>
      <c r="BS443" s="265">
        <v>0</v>
      </c>
      <c r="BT443" s="475">
        <v>0</v>
      </c>
      <c r="BU443" s="475">
        <v>36923</v>
      </c>
      <c r="BV443" s="475">
        <v>0</v>
      </c>
      <c r="BW443" s="483">
        <f t="shared" si="292"/>
        <v>0</v>
      </c>
      <c r="BX443" s="483">
        <f t="shared" si="293"/>
        <v>0</v>
      </c>
    </row>
    <row r="444" spans="1:77" s="103" customFormat="1" ht="29">
      <c r="A444" s="100"/>
      <c r="B444" s="91" t="str">
        <f t="shared" si="262"/>
        <v>TRA</v>
      </c>
      <c r="C444" s="92"/>
      <c r="D444" s="448"/>
      <c r="E444" s="450" t="s">
        <v>2942</v>
      </c>
      <c r="F444" s="384" t="s">
        <v>3623</v>
      </c>
      <c r="G444" s="384" t="s">
        <v>4472</v>
      </c>
      <c r="H444" s="398">
        <v>1</v>
      </c>
      <c r="I444" s="95"/>
      <c r="J444" s="95" t="s">
        <v>1166</v>
      </c>
      <c r="K444" s="191">
        <v>7367120.0800000001</v>
      </c>
      <c r="L444" s="268">
        <v>0.99999999999999989</v>
      </c>
      <c r="M444" s="266">
        <v>1</v>
      </c>
      <c r="N444" s="267">
        <f t="shared" si="263"/>
        <v>0</v>
      </c>
      <c r="O444" s="96">
        <f t="shared" si="264"/>
        <v>8.1791463379943253E-10</v>
      </c>
      <c r="P444" s="96">
        <f t="shared" si="259"/>
        <v>7367120.0799999991</v>
      </c>
      <c r="Q444" s="96">
        <f t="shared" si="265"/>
        <v>0</v>
      </c>
      <c r="R444" s="187" t="s">
        <v>2338</v>
      </c>
      <c r="S444" s="187" t="s">
        <v>3607</v>
      </c>
      <c r="T444" s="94" t="s">
        <v>2783</v>
      </c>
      <c r="U444" s="395">
        <f>COUNTIF(Aggregation_of_rev_to_allocate!$A$3:$A$137,$T444)</f>
        <v>1</v>
      </c>
      <c r="V444" s="100"/>
      <c r="W444" s="100">
        <v>891</v>
      </c>
      <c r="X444" s="109">
        <v>1551515.4888480001</v>
      </c>
      <c r="Y444" s="109">
        <v>437606.93275199999</v>
      </c>
      <c r="Z444" s="110">
        <v>1</v>
      </c>
      <c r="AA444" s="110">
        <v>0.78</v>
      </c>
      <c r="AB444" s="110">
        <v>0.21999999999999997</v>
      </c>
      <c r="AC444" s="109">
        <f>IF(ISERROR((X444*SUMIF('Rev_for_allocation(Hard)'!$A$3:$A$249,$T444,'Rev_for_allocation(Hard)'!$I$3:$I$249)/SUMIF(Historic_capex_list!$T$9:$T$586,$T444,Historic_capex_list!$X$9:$X$586))=TRUE),0,X444*SUMIF('Rev_for_allocation(Hard)'!$A$3:$A$249,$T444,'Rev_for_allocation(Hard)'!$I$3:$I$249)/SUMIF(Historic_capex_list!$T$9:$T$586,$T444,Historic_capex_list!$X$9:$X$586))</f>
        <v>0</v>
      </c>
      <c r="AD444" s="109">
        <f t="shared" si="266"/>
        <v>1551515.4888480001</v>
      </c>
      <c r="AE444" s="109">
        <f t="shared" si="261"/>
        <v>1551515.4888480001</v>
      </c>
      <c r="AF444" s="109">
        <f t="shared" si="267"/>
        <v>1989122.4216</v>
      </c>
      <c r="AG444" s="332" t="str">
        <f t="shared" si="268"/>
        <v>N</v>
      </c>
      <c r="AH444" s="332">
        <f t="shared" si="256"/>
        <v>0</v>
      </c>
      <c r="AI444" s="332">
        <f t="shared" si="257"/>
        <v>0</v>
      </c>
      <c r="AJ444" s="109">
        <f t="shared" si="258"/>
        <v>1989122.4216</v>
      </c>
      <c r="AK444" s="109">
        <f t="shared" si="269"/>
        <v>0</v>
      </c>
      <c r="AL444" s="109">
        <v>0</v>
      </c>
      <c r="AM444" s="111">
        <f t="shared" si="270"/>
        <v>2.8205128205128198</v>
      </c>
      <c r="AN444" s="111">
        <f t="shared" si="271"/>
        <v>-0.17948717948718018</v>
      </c>
      <c r="AO444" s="111" t="str">
        <f t="shared" si="272"/>
        <v>Use deduct 3yrs</v>
      </c>
      <c r="AP444" s="111">
        <f t="shared" si="273"/>
        <v>-0.17948717948718018</v>
      </c>
      <c r="AQ444" s="112">
        <f t="shared" si="274"/>
        <v>0</v>
      </c>
      <c r="AR444" s="112">
        <f t="shared" si="275"/>
        <v>1</v>
      </c>
      <c r="AS444" s="113">
        <f t="shared" si="276"/>
        <v>2028</v>
      </c>
      <c r="AT444" s="109">
        <v>1989122.4216</v>
      </c>
      <c r="AU444" s="114">
        <v>1</v>
      </c>
      <c r="AV444" s="113">
        <v>2028</v>
      </c>
      <c r="AW444" s="112">
        <f t="shared" si="277"/>
        <v>0.27</v>
      </c>
      <c r="AX444" s="109">
        <f t="shared" si="278"/>
        <v>1989122.4216000002</v>
      </c>
      <c r="AY444" s="109">
        <f t="shared" si="279"/>
        <v>0</v>
      </c>
      <c r="AZ444" s="109">
        <f t="shared" si="280"/>
        <v>1989122.4216000002</v>
      </c>
      <c r="BA444" s="111">
        <f t="shared" si="281"/>
        <v>0</v>
      </c>
      <c r="BB444" s="117"/>
      <c r="BC444" s="115" t="str">
        <f t="shared" si="282"/>
        <v>N</v>
      </c>
      <c r="BD444" s="115" t="str">
        <f t="shared" si="283"/>
        <v>Y</v>
      </c>
      <c r="BE444" s="115" t="str">
        <f t="shared" si="284"/>
        <v>N</v>
      </c>
      <c r="BF444" s="109" t="str">
        <f t="shared" si="285"/>
        <v/>
      </c>
      <c r="BG444" s="111" t="s">
        <v>2499</v>
      </c>
      <c r="BH444" s="115" t="s">
        <v>1168</v>
      </c>
      <c r="BI444" s="116"/>
      <c r="BJ444" s="222">
        <v>0.99999999999999989</v>
      </c>
      <c r="BK444" s="265">
        <f t="shared" si="286"/>
        <v>0</v>
      </c>
      <c r="BL444" s="265">
        <f t="shared" si="287"/>
        <v>0</v>
      </c>
      <c r="BM444" s="265">
        <f t="shared" si="288"/>
        <v>0</v>
      </c>
      <c r="BN444" s="265">
        <f t="shared" si="289"/>
        <v>-5815604.5911519993</v>
      </c>
      <c r="BO444" s="109"/>
      <c r="BP444" s="265">
        <f t="shared" si="290"/>
        <v>0</v>
      </c>
      <c r="BQ444" s="265">
        <v>0</v>
      </c>
      <c r="BR444" s="265" t="e">
        <f t="shared" si="291"/>
        <v>#REF!</v>
      </c>
      <c r="BS444" s="265">
        <v>0</v>
      </c>
      <c r="BT444" s="475">
        <v>8.1791463379943253E-10</v>
      </c>
      <c r="BU444" s="475">
        <v>7367120.0799999991</v>
      </c>
      <c r="BV444" s="475">
        <v>0</v>
      </c>
      <c r="BW444" s="483">
        <f t="shared" si="292"/>
        <v>0</v>
      </c>
      <c r="BX444" s="483">
        <f t="shared" si="293"/>
        <v>0</v>
      </c>
    </row>
    <row r="445" spans="1:77" s="103" customFormat="1" ht="14.5">
      <c r="A445" s="100" t="s">
        <v>2259</v>
      </c>
      <c r="B445" s="91" t="str">
        <f t="shared" si="262"/>
        <v>TRA</v>
      </c>
      <c r="C445" s="92" t="s">
        <v>461</v>
      </c>
      <c r="D445" s="448"/>
      <c r="E445" s="450" t="s">
        <v>2156</v>
      </c>
      <c r="F445" s="467" t="s">
        <v>4830</v>
      </c>
      <c r="G445" s="467" t="s">
        <v>4738</v>
      </c>
      <c r="H445" s="470">
        <v>0.2641</v>
      </c>
      <c r="I445" s="95" t="s">
        <v>962</v>
      </c>
      <c r="J445" s="95" t="s">
        <v>1166</v>
      </c>
      <c r="K445" s="469">
        <v>3444259</v>
      </c>
      <c r="L445" s="471">
        <v>0.71738119839320769</v>
      </c>
      <c r="M445" s="266">
        <v>0.32219570405727938</v>
      </c>
      <c r="N445" s="267">
        <f t="shared" si="263"/>
        <v>0.67780429594272062</v>
      </c>
      <c r="O445" s="96">
        <f t="shared" si="264"/>
        <v>2791708.4000000004</v>
      </c>
      <c r="P445" s="96">
        <f t="shared" si="259"/>
        <v>210249</v>
      </c>
      <c r="Q445" s="96">
        <f t="shared" si="265"/>
        <v>442301.59999999974</v>
      </c>
      <c r="R445" s="187" t="s">
        <v>2335</v>
      </c>
      <c r="S445" s="187" t="s">
        <v>3608</v>
      </c>
      <c r="T445" s="94" t="s">
        <v>2779</v>
      </c>
      <c r="U445" s="395">
        <f>COUNTIF(Aggregation_of_rev_to_allocate!$A$3:$A$137,$T445)</f>
        <v>1</v>
      </c>
      <c r="V445" s="100"/>
      <c r="W445" s="100">
        <v>516</v>
      </c>
      <c r="X445" s="109">
        <v>204829.82681765701</v>
      </c>
      <c r="Y445" s="109">
        <v>492350.21335059014</v>
      </c>
      <c r="Z445" s="110">
        <v>0.76785663640996615</v>
      </c>
      <c r="AA445" s="110">
        <v>0.29379760609358008</v>
      </c>
      <c r="AB445" s="110">
        <v>0.70620239390641992</v>
      </c>
      <c r="AC445" s="109">
        <f>IF(ISERROR((X445*SUMIF('Rev_for_allocation(Hard)'!$A$3:$A$249,$T445,'Rev_for_allocation(Hard)'!$I$3:$I$249)/SUMIF(Historic_capex_list!$T$9:$T$586,$T445,Historic_capex_list!$X$9:$X$586))=TRUE),0,X445*SUMIF('Rev_for_allocation(Hard)'!$A$3:$A$249,$T445,'Rev_for_allocation(Hard)'!$I$3:$I$249)/SUMIF(Historic_capex_list!$T$9:$T$586,$T445,Historic_capex_list!$X$9:$X$586))</f>
        <v>-44630.487904106252</v>
      </c>
      <c r="AD445" s="109">
        <f t="shared" si="266"/>
        <v>160199.33891355078</v>
      </c>
      <c r="AE445" s="109">
        <f t="shared" si="261"/>
        <v>160199.33891355078</v>
      </c>
      <c r="AF445" s="109">
        <f t="shared" si="267"/>
        <v>652549.55226414092</v>
      </c>
      <c r="AG445" s="332" t="str">
        <f t="shared" si="268"/>
        <v>N</v>
      </c>
      <c r="AH445" s="332">
        <f t="shared" si="256"/>
        <v>0</v>
      </c>
      <c r="AI445" s="332">
        <f t="shared" si="257"/>
        <v>0</v>
      </c>
      <c r="AJ445" s="109">
        <f t="shared" si="258"/>
        <v>652549.55226414092</v>
      </c>
      <c r="AK445" s="109">
        <f t="shared" si="269"/>
        <v>0</v>
      </c>
      <c r="AL445" s="109">
        <v>0</v>
      </c>
      <c r="AM445" s="111">
        <f t="shared" si="270"/>
        <v>24.037037037037024</v>
      </c>
      <c r="AN445" s="111">
        <f t="shared" si="271"/>
        <v>21.037037037037024</v>
      </c>
      <c r="AO445" s="111" t="str">
        <f t="shared" si="272"/>
        <v>Use deduct 3yrs</v>
      </c>
      <c r="AP445" s="111">
        <f t="shared" si="273"/>
        <v>21.037037037037024</v>
      </c>
      <c r="AQ445" s="112">
        <f t="shared" si="274"/>
        <v>0.67780429594272062</v>
      </c>
      <c r="AR445" s="112">
        <f t="shared" si="275"/>
        <v>0.32219570405727938</v>
      </c>
      <c r="AS445" s="113">
        <f t="shared" si="276"/>
        <v>2049</v>
      </c>
      <c r="AT445" s="109">
        <v>652549.55226414092</v>
      </c>
      <c r="AU445" s="114">
        <v>0.32219570405727938</v>
      </c>
      <c r="AV445" s="113">
        <v>2049</v>
      </c>
      <c r="AW445" s="112">
        <f t="shared" si="277"/>
        <v>0.71738004656527898</v>
      </c>
      <c r="AX445" s="109">
        <f t="shared" si="278"/>
        <v>210248.66242400731</v>
      </c>
      <c r="AY445" s="109">
        <f t="shared" si="279"/>
        <v>442300.88984013366</v>
      </c>
      <c r="AZ445" s="109">
        <f t="shared" si="280"/>
        <v>652549.55226414092</v>
      </c>
      <c r="BA445" s="111">
        <f t="shared" si="281"/>
        <v>0</v>
      </c>
      <c r="BB445" s="117"/>
      <c r="BC445" s="115" t="str">
        <f t="shared" si="282"/>
        <v>N</v>
      </c>
      <c r="BD445" s="115" t="str">
        <f t="shared" si="283"/>
        <v>N</v>
      </c>
      <c r="BE445" s="115" t="str">
        <f t="shared" si="284"/>
        <v>N</v>
      </c>
      <c r="BF445" s="109" t="str">
        <f t="shared" si="285"/>
        <v/>
      </c>
      <c r="BG445" s="111" t="s">
        <v>2499</v>
      </c>
      <c r="BH445" s="115" t="s">
        <v>1168</v>
      </c>
      <c r="BI445" s="116"/>
      <c r="BJ445" s="222">
        <v>0.71870173473619969</v>
      </c>
      <c r="BK445" s="265">
        <f t="shared" si="286"/>
        <v>-0.71015986608108506</v>
      </c>
      <c r="BL445" s="265">
        <f t="shared" si="287"/>
        <v>0.71015986608108506</v>
      </c>
      <c r="BM445" s="265">
        <f t="shared" si="288"/>
        <v>0</v>
      </c>
      <c r="BN445" s="265">
        <f t="shared" si="289"/>
        <v>-5419.1731823429873</v>
      </c>
      <c r="BO445" s="109"/>
      <c r="BP445" s="265">
        <f t="shared" si="290"/>
        <v>44630.487904106267</v>
      </c>
      <c r="BQ445" s="265">
        <v>44630.487904106267</v>
      </c>
      <c r="BR445" s="265" t="e">
        <f t="shared" si="291"/>
        <v>#REF!</v>
      </c>
      <c r="BS445" s="265">
        <v>5028.0366825614055</v>
      </c>
      <c r="BT445" s="475">
        <v>255406.44773585908</v>
      </c>
      <c r="BU445" s="475">
        <v>210248.66242400731</v>
      </c>
      <c r="BV445" s="475">
        <v>442300.8898401336</v>
      </c>
      <c r="BW445" s="483">
        <f t="shared" si="292"/>
        <v>0.33757599268574268</v>
      </c>
      <c r="BX445" s="483">
        <f t="shared" si="293"/>
        <v>0.71015986613929272</v>
      </c>
    </row>
    <row r="446" spans="1:77" s="103" customFormat="1" ht="14.5">
      <c r="A446" s="100"/>
      <c r="B446" s="91" t="str">
        <f t="shared" si="262"/>
        <v>TRA</v>
      </c>
      <c r="C446" s="92"/>
      <c r="D446" s="448"/>
      <c r="E446" s="449"/>
      <c r="F446" s="384" t="s">
        <v>3611</v>
      </c>
      <c r="G446" s="384" t="s">
        <v>4469</v>
      </c>
      <c r="H446" s="398">
        <v>0.91</v>
      </c>
      <c r="I446" s="95"/>
      <c r="J446" s="95" t="s">
        <v>1166</v>
      </c>
      <c r="K446" s="191">
        <v>843992.96</v>
      </c>
      <c r="L446" s="268">
        <v>0.35172891938455847</v>
      </c>
      <c r="M446" s="266">
        <v>0.58823529411764708</v>
      </c>
      <c r="N446" s="267">
        <f t="shared" si="263"/>
        <v>0.41176470588235292</v>
      </c>
      <c r="O446" s="96">
        <f t="shared" si="264"/>
        <v>573853.33407203283</v>
      </c>
      <c r="P446" s="96">
        <f t="shared" si="259"/>
        <v>158905.66231056891</v>
      </c>
      <c r="Q446" s="96">
        <f t="shared" si="265"/>
        <v>111233.96361739823</v>
      </c>
      <c r="R446" s="187"/>
      <c r="S446" s="187" t="s">
        <v>3608</v>
      </c>
      <c r="T446" s="94" t="s">
        <v>2781</v>
      </c>
      <c r="U446" s="395"/>
      <c r="V446" s="100"/>
      <c r="W446" s="100"/>
      <c r="X446" s="109">
        <v>192008.39840000001</v>
      </c>
      <c r="Y446" s="109">
        <v>192008.39840000001</v>
      </c>
      <c r="Z446" s="110">
        <v>0.5</v>
      </c>
      <c r="AA446" s="110">
        <v>0.5</v>
      </c>
      <c r="AB446" s="110">
        <v>0.5</v>
      </c>
      <c r="AC446" s="109">
        <f>IF(ISERROR((X446*SUMIF('Rev_for_allocation(Hard)'!$A$3:$A$249,$T446,'Rev_for_allocation(Hard)'!$I$3:$I$249)/SUMIF(Historic_capex_list!$T$9:$T$586,$T446,Historic_capex_list!$X$9:$X$586))=TRUE),0,X446*SUMIF('Rev_for_allocation(Hard)'!$A$3:$A$249,$T446,'Rev_for_allocation(Hard)'!$I$3:$I$249)/SUMIF(Historic_capex_list!$T$9:$T$586,$T446,Historic_capex_list!$X$9:$X$586))</f>
        <v>-115668.53105024085</v>
      </c>
      <c r="AD446" s="109">
        <f t="shared" si="266"/>
        <v>76339.867349759152</v>
      </c>
      <c r="AE446" s="109">
        <f t="shared" si="261"/>
        <v>76339.867349759152</v>
      </c>
      <c r="AF446" s="109">
        <f t="shared" si="267"/>
        <v>268348.26574975916</v>
      </c>
      <c r="AG446" s="332" t="str">
        <f t="shared" si="268"/>
        <v>N</v>
      </c>
      <c r="AH446" s="332">
        <f t="shared" si="256"/>
        <v>0</v>
      </c>
      <c r="AI446" s="332">
        <f t="shared" si="257"/>
        <v>0</v>
      </c>
      <c r="AJ446" s="109">
        <f t="shared" si="258"/>
        <v>268348.26574975916</v>
      </c>
      <c r="AK446" s="109">
        <f t="shared" si="269"/>
        <v>0</v>
      </c>
      <c r="AL446" s="109">
        <v>0</v>
      </c>
      <c r="AM446" s="111">
        <f t="shared" si="270"/>
        <v>10</v>
      </c>
      <c r="AN446" s="111">
        <f t="shared" si="271"/>
        <v>7</v>
      </c>
      <c r="AO446" s="111">
        <f t="shared" si="272"/>
        <v>11.379222762847711</v>
      </c>
      <c r="AP446" s="111">
        <f t="shared" si="273"/>
        <v>7</v>
      </c>
      <c r="AQ446" s="112">
        <f t="shared" si="274"/>
        <v>0.41176470588235292</v>
      </c>
      <c r="AR446" s="112">
        <f t="shared" si="275"/>
        <v>0.58823529411764708</v>
      </c>
      <c r="AS446" s="113">
        <f t="shared" si="276"/>
        <v>2035</v>
      </c>
      <c r="AT446" s="109">
        <v>270139.62592796714</v>
      </c>
      <c r="AU446" s="114">
        <v>0.58823529411764708</v>
      </c>
      <c r="AV446" s="113">
        <v>2035</v>
      </c>
      <c r="AW446" s="112">
        <f t="shared" si="277"/>
        <v>0.35172891938455847</v>
      </c>
      <c r="AX446" s="109">
        <f t="shared" si="278"/>
        <v>158905.66231056891</v>
      </c>
      <c r="AY446" s="109">
        <f t="shared" si="279"/>
        <v>111233.96361739823</v>
      </c>
      <c r="AZ446" s="109">
        <f t="shared" si="280"/>
        <v>270139.62592796714</v>
      </c>
      <c r="BA446" s="111">
        <f t="shared" si="281"/>
        <v>0</v>
      </c>
      <c r="BB446" s="117"/>
      <c r="BC446" s="115" t="str">
        <f t="shared" si="282"/>
        <v>N</v>
      </c>
      <c r="BD446" s="115" t="str">
        <f t="shared" si="283"/>
        <v>N</v>
      </c>
      <c r="BE446" s="115" t="str">
        <f t="shared" si="284"/>
        <v>N</v>
      </c>
      <c r="BF446" s="109" t="str">
        <f t="shared" si="285"/>
        <v/>
      </c>
      <c r="BG446" s="111" t="s">
        <v>2499</v>
      </c>
      <c r="BH446" s="115" t="s">
        <v>1168</v>
      </c>
      <c r="BI446" s="116"/>
      <c r="BJ446" s="222">
        <v>0.35172891938455847</v>
      </c>
      <c r="BK446" s="265">
        <f t="shared" si="286"/>
        <v>0</v>
      </c>
      <c r="BL446" s="265">
        <f t="shared" si="287"/>
        <v>0</v>
      </c>
      <c r="BM446" s="265">
        <f t="shared" si="288"/>
        <v>0</v>
      </c>
      <c r="BN446" s="265">
        <f t="shared" si="289"/>
        <v>33102.736089431099</v>
      </c>
      <c r="BO446" s="109"/>
      <c r="BP446" s="265">
        <f t="shared" si="290"/>
        <v>113877.17087203288</v>
      </c>
      <c r="BQ446" s="265">
        <v>113877.17087203288</v>
      </c>
      <c r="BR446" s="265" t="e">
        <f t="shared" si="291"/>
        <v>#REF!</v>
      </c>
      <c r="BS446" s="265">
        <v>12829.315101397622</v>
      </c>
      <c r="BT446" s="475">
        <v>573853.33407203283</v>
      </c>
      <c r="BU446" s="475">
        <v>158905.66231056891</v>
      </c>
      <c r="BV446" s="475">
        <v>111233.96361739823</v>
      </c>
      <c r="BW446" s="483">
        <f t="shared" si="292"/>
        <v>0</v>
      </c>
      <c r="BX446" s="483">
        <f t="shared" si="293"/>
        <v>0</v>
      </c>
    </row>
    <row r="447" spans="1:77" s="103" customFormat="1" ht="43.5">
      <c r="A447" s="100" t="s">
        <v>2259</v>
      </c>
      <c r="B447" s="91" t="str">
        <f t="shared" si="262"/>
        <v>TRA</v>
      </c>
      <c r="C447" s="92" t="s">
        <v>461</v>
      </c>
      <c r="D447" s="448"/>
      <c r="E447" s="450" t="s">
        <v>2169</v>
      </c>
      <c r="F447" s="467" t="s">
        <v>4835</v>
      </c>
      <c r="G447" s="467" t="s">
        <v>4740</v>
      </c>
      <c r="H447" s="470">
        <v>0.51</v>
      </c>
      <c r="I447" s="95" t="s">
        <v>962</v>
      </c>
      <c r="J447" s="95" t="s">
        <v>1166</v>
      </c>
      <c r="K447" s="469">
        <v>24639123.170000002</v>
      </c>
      <c r="L447" s="471">
        <v>7.5209577322620652E-3</v>
      </c>
      <c r="M447" s="266">
        <v>1</v>
      </c>
      <c r="N447" s="267">
        <f t="shared" si="263"/>
        <v>0</v>
      </c>
      <c r="O447" s="96">
        <f t="shared" si="264"/>
        <v>24544615.170000002</v>
      </c>
      <c r="P447" s="96">
        <f t="shared" si="259"/>
        <v>94508.00000000016</v>
      </c>
      <c r="Q447" s="96">
        <f t="shared" si="265"/>
        <v>0</v>
      </c>
      <c r="R447" s="187" t="s">
        <v>2335</v>
      </c>
      <c r="S447" s="187" t="s">
        <v>3608</v>
      </c>
      <c r="T447" s="94" t="s">
        <v>2779</v>
      </c>
      <c r="U447" s="395">
        <f>COUNTIF(Aggregation_of_rev_to_allocate!$A$3:$A$137,$T447)</f>
        <v>1</v>
      </c>
      <c r="V447" s="100"/>
      <c r="W447" s="100">
        <v>517</v>
      </c>
      <c r="X447" s="109">
        <v>120837.4973380992</v>
      </c>
      <c r="Y447" s="109">
        <v>0</v>
      </c>
      <c r="Z447" s="110">
        <v>0.34215011237643861</v>
      </c>
      <c r="AA447" s="110">
        <v>1</v>
      </c>
      <c r="AB447" s="110">
        <v>0</v>
      </c>
      <c r="AC447" s="109">
        <f>IF(ISERROR((X447*SUMIF('Rev_for_allocation(Hard)'!$A$3:$A$249,$T447,'Rev_for_allocation(Hard)'!$I$3:$I$249)/SUMIF(Historic_capex_list!$T$9:$T$586,$T447,Historic_capex_list!$X$9:$X$586))=TRUE),0,X447*SUMIF('Rev_for_allocation(Hard)'!$A$3:$A$249,$T447,'Rev_for_allocation(Hard)'!$I$3:$I$249)/SUMIF(Historic_capex_list!$T$9:$T$586,$T447,Historic_capex_list!$X$9:$X$586))</f>
        <v>-26329.351281986292</v>
      </c>
      <c r="AD447" s="109">
        <f t="shared" si="266"/>
        <v>94508.146056112906</v>
      </c>
      <c r="AE447" s="109">
        <f t="shared" si="261"/>
        <v>94508.146056112906</v>
      </c>
      <c r="AF447" s="109">
        <f t="shared" si="267"/>
        <v>94508.146056112906</v>
      </c>
      <c r="AG447" s="332" t="str">
        <f t="shared" si="268"/>
        <v>N</v>
      </c>
      <c r="AH447" s="332">
        <f t="shared" si="256"/>
        <v>0</v>
      </c>
      <c r="AI447" s="332">
        <f t="shared" si="257"/>
        <v>0</v>
      </c>
      <c r="AJ447" s="109">
        <f t="shared" si="258"/>
        <v>94508.146056112906</v>
      </c>
      <c r="AK447" s="109">
        <f t="shared" si="269"/>
        <v>0</v>
      </c>
      <c r="AL447" s="109">
        <v>0</v>
      </c>
      <c r="AM447" s="111">
        <f t="shared" si="270"/>
        <v>0</v>
      </c>
      <c r="AN447" s="111">
        <f t="shared" si="271"/>
        <v>0</v>
      </c>
      <c r="AO447" s="111" t="str">
        <f t="shared" si="272"/>
        <v>Use deduct 3yrs</v>
      </c>
      <c r="AP447" s="111">
        <f t="shared" si="273"/>
        <v>0</v>
      </c>
      <c r="AQ447" s="112">
        <f t="shared" si="274"/>
        <v>0</v>
      </c>
      <c r="AR447" s="112">
        <f t="shared" si="275"/>
        <v>1</v>
      </c>
      <c r="AS447" s="113">
        <f t="shared" si="276"/>
        <v>2028</v>
      </c>
      <c r="AT447" s="109">
        <v>94508.146056112906</v>
      </c>
      <c r="AU447" s="114">
        <v>1</v>
      </c>
      <c r="AV447" s="113">
        <v>2028</v>
      </c>
      <c r="AW447" s="112">
        <f t="shared" si="277"/>
        <v>7.5209693554246608E-3</v>
      </c>
      <c r="AX447" s="109">
        <f t="shared" si="278"/>
        <v>94508.146056112906</v>
      </c>
      <c r="AY447" s="109">
        <f t="shared" si="279"/>
        <v>0</v>
      </c>
      <c r="AZ447" s="109">
        <f t="shared" si="280"/>
        <v>94508.146056112906</v>
      </c>
      <c r="BA447" s="111">
        <f t="shared" si="281"/>
        <v>0</v>
      </c>
      <c r="BB447" s="117" t="s">
        <v>2474</v>
      </c>
      <c r="BC447" s="115" t="str">
        <f t="shared" si="282"/>
        <v>N</v>
      </c>
      <c r="BD447" s="115" t="str">
        <f t="shared" si="283"/>
        <v>Y</v>
      </c>
      <c r="BE447" s="115" t="str">
        <f t="shared" si="284"/>
        <v>N</v>
      </c>
      <c r="BF447" s="109" t="str">
        <f t="shared" si="285"/>
        <v/>
      </c>
      <c r="BG447" s="111" t="s">
        <v>2499</v>
      </c>
      <c r="BH447" s="115" t="s">
        <v>1168</v>
      </c>
      <c r="BI447" s="116"/>
      <c r="BJ447" s="222">
        <v>0.26759882905480037</v>
      </c>
      <c r="BK447" s="265">
        <f t="shared" si="286"/>
        <v>0</v>
      </c>
      <c r="BL447" s="265">
        <f t="shared" si="287"/>
        <v>0</v>
      </c>
      <c r="BM447" s="265">
        <f t="shared" si="288"/>
        <v>-1.6007106751203537E-10</v>
      </c>
      <c r="BN447" s="265">
        <f t="shared" si="289"/>
        <v>26329.497338099041</v>
      </c>
      <c r="BO447" s="109"/>
      <c r="BP447" s="265">
        <f t="shared" si="290"/>
        <v>26329.351281986295</v>
      </c>
      <c r="BQ447" s="265">
        <v>26329.351281986295</v>
      </c>
      <c r="BR447" s="265" t="e">
        <f t="shared" si="291"/>
        <v>#REF!</v>
      </c>
      <c r="BS447" s="265">
        <v>2966.2446074601858</v>
      </c>
      <c r="BT447" s="475">
        <v>258662.85394388711</v>
      </c>
      <c r="BU447" s="475">
        <v>94508.146056112906</v>
      </c>
      <c r="BV447" s="475">
        <v>0</v>
      </c>
      <c r="BW447" s="483">
        <f t="shared" si="292"/>
        <v>-0.1460561127460096</v>
      </c>
      <c r="BX447" s="483">
        <f t="shared" si="293"/>
        <v>0</v>
      </c>
    </row>
    <row r="448" spans="1:77" s="103" customFormat="1" ht="43.5">
      <c r="A448" s="100" t="s">
        <v>2259</v>
      </c>
      <c r="B448" s="91" t="str">
        <f t="shared" si="262"/>
        <v>TRA</v>
      </c>
      <c r="C448" s="92" t="s">
        <v>461</v>
      </c>
      <c r="D448" s="448"/>
      <c r="E448" s="452"/>
      <c r="F448" s="467" t="s">
        <v>4923</v>
      </c>
      <c r="G448" s="620" t="s">
        <v>5304</v>
      </c>
      <c r="H448" s="470">
        <v>0.47</v>
      </c>
      <c r="I448" s="95" t="s">
        <v>952</v>
      </c>
      <c r="J448" s="95" t="s">
        <v>1166</v>
      </c>
      <c r="K448" s="469">
        <v>4600000</v>
      </c>
      <c r="L448" s="268">
        <v>0.56945393391630583</v>
      </c>
      <c r="M448" s="266">
        <v>1</v>
      </c>
      <c r="N448" s="267">
        <f t="shared" si="263"/>
        <v>0</v>
      </c>
      <c r="O448" s="96">
        <f t="shared" si="264"/>
        <v>3368840.5948729469</v>
      </c>
      <c r="P448" s="96">
        <f t="shared" si="259"/>
        <v>1231159.4051270531</v>
      </c>
      <c r="Q448" s="96">
        <f t="shared" si="265"/>
        <v>0</v>
      </c>
      <c r="R448" s="187" t="s">
        <v>2335</v>
      </c>
      <c r="S448" s="187" t="s">
        <v>3608</v>
      </c>
      <c r="T448" s="94" t="s">
        <v>2779</v>
      </c>
      <c r="U448" s="395">
        <f>COUNTIF(Aggregation_of_rev_to_allocate!$A$3:$A$137,$T448)</f>
        <v>1</v>
      </c>
      <c r="V448" s="100"/>
      <c r="W448" s="100">
        <v>518</v>
      </c>
      <c r="X448" s="109">
        <v>1574152.3619719069</v>
      </c>
      <c r="Y448" s="109">
        <v>0</v>
      </c>
      <c r="Z448" s="110">
        <v>0.72810007491762574</v>
      </c>
      <c r="AA448" s="110">
        <v>1</v>
      </c>
      <c r="AB448" s="110">
        <v>0</v>
      </c>
      <c r="AC448" s="109">
        <f>IF(ISERROR((X448*SUMIF('Rev_for_allocation(Hard)'!$A$3:$A$249,$T448,'Rev_for_allocation(Hard)'!$I$3:$I$249)/SUMIF(Historic_capex_list!$T$9:$T$586,$T448,Historic_capex_list!$X$9:$X$586))=TRUE),0,X448*SUMIF('Rev_for_allocation(Hard)'!$A$3:$A$249,$T448,'Rev_for_allocation(Hard)'!$I$3:$I$249)/SUMIF(Historic_capex_list!$T$9:$T$586,$T448,Historic_capex_list!$X$9:$X$586))</f>
        <v>-342992.95684485359</v>
      </c>
      <c r="AD448" s="109">
        <f t="shared" si="266"/>
        <v>1231159.4051270531</v>
      </c>
      <c r="AE448" s="109">
        <f t="shared" si="261"/>
        <v>1231159.4051270531</v>
      </c>
      <c r="AF448" s="109">
        <f t="shared" si="267"/>
        <v>1231159.4051270531</v>
      </c>
      <c r="AG448" s="332" t="str">
        <f t="shared" si="268"/>
        <v>N</v>
      </c>
      <c r="AH448" s="332">
        <f t="shared" si="256"/>
        <v>0</v>
      </c>
      <c r="AI448" s="332">
        <f t="shared" si="257"/>
        <v>0</v>
      </c>
      <c r="AJ448" s="109">
        <f t="shared" si="258"/>
        <v>1231159.4051270531</v>
      </c>
      <c r="AK448" s="109">
        <f t="shared" si="269"/>
        <v>0</v>
      </c>
      <c r="AL448" s="109">
        <v>0</v>
      </c>
      <c r="AM448" s="111">
        <f t="shared" si="270"/>
        <v>0</v>
      </c>
      <c r="AN448" s="111">
        <f t="shared" si="271"/>
        <v>0</v>
      </c>
      <c r="AO448" s="111" t="str">
        <f t="shared" si="272"/>
        <v>Use deduct 3yrs</v>
      </c>
      <c r="AP448" s="111">
        <f t="shared" si="273"/>
        <v>0</v>
      </c>
      <c r="AQ448" s="112">
        <f t="shared" si="274"/>
        <v>0</v>
      </c>
      <c r="AR448" s="112">
        <f t="shared" si="275"/>
        <v>1</v>
      </c>
      <c r="AS448" s="113">
        <f t="shared" si="276"/>
        <v>2028</v>
      </c>
      <c r="AT448" s="109">
        <v>1231159.4051270531</v>
      </c>
      <c r="AU448" s="114">
        <v>1</v>
      </c>
      <c r="AV448" s="113">
        <v>2028</v>
      </c>
      <c r="AW448" s="112">
        <f t="shared" si="277"/>
        <v>0.56945393391630583</v>
      </c>
      <c r="AX448" s="109">
        <f t="shared" si="278"/>
        <v>1231159.4051270531</v>
      </c>
      <c r="AY448" s="109">
        <f t="shared" si="279"/>
        <v>0</v>
      </c>
      <c r="AZ448" s="109">
        <f t="shared" si="280"/>
        <v>1231159.4051270531</v>
      </c>
      <c r="BA448" s="111">
        <f t="shared" si="281"/>
        <v>0</v>
      </c>
      <c r="BB448" s="117" t="s">
        <v>2472</v>
      </c>
      <c r="BC448" s="115" t="str">
        <f t="shared" si="282"/>
        <v>N</v>
      </c>
      <c r="BD448" s="115" t="str">
        <f t="shared" si="283"/>
        <v>Y</v>
      </c>
      <c r="BE448" s="115" t="str">
        <f t="shared" si="284"/>
        <v>N</v>
      </c>
      <c r="BF448" s="109" t="str">
        <f t="shared" si="285"/>
        <v/>
      </c>
      <c r="BG448" s="111" t="s">
        <v>2499</v>
      </c>
      <c r="BH448" s="115" t="s">
        <v>1168</v>
      </c>
      <c r="BI448" s="116"/>
      <c r="BJ448" s="222">
        <v>0.56945393391630583</v>
      </c>
      <c r="BK448" s="265">
        <f t="shared" si="286"/>
        <v>0</v>
      </c>
      <c r="BL448" s="265">
        <f t="shared" si="287"/>
        <v>0</v>
      </c>
      <c r="BM448" s="265">
        <f t="shared" si="288"/>
        <v>0</v>
      </c>
      <c r="BN448" s="265">
        <f t="shared" si="289"/>
        <v>342992.9568448537</v>
      </c>
      <c r="BO448" s="109"/>
      <c r="BP448" s="265">
        <f t="shared" si="290"/>
        <v>342992.9568448537</v>
      </c>
      <c r="BQ448" s="265">
        <v>342992.9568448537</v>
      </c>
      <c r="BR448" s="265" t="e">
        <f t="shared" si="291"/>
        <v>#REF!</v>
      </c>
      <c r="BS448" s="265">
        <v>38641.324571256904</v>
      </c>
      <c r="BT448" s="475">
        <v>930840.59487294673</v>
      </c>
      <c r="BU448" s="475">
        <v>1231159.4051270531</v>
      </c>
      <c r="BV448" s="475">
        <v>0</v>
      </c>
      <c r="BW448" s="483">
        <f t="shared" si="292"/>
        <v>0</v>
      </c>
      <c r="BX448" s="483">
        <f t="shared" si="293"/>
        <v>0</v>
      </c>
    </row>
    <row r="449" spans="1:77" s="103" customFormat="1" ht="72.5">
      <c r="A449" s="100"/>
      <c r="B449" s="91" t="str">
        <f t="shared" si="262"/>
        <v>TRA</v>
      </c>
      <c r="C449" s="92"/>
      <c r="D449" s="448"/>
      <c r="E449" s="450"/>
      <c r="F449" s="384" t="s">
        <v>3099</v>
      </c>
      <c r="G449" s="384" t="s">
        <v>4457</v>
      </c>
      <c r="H449" s="398">
        <v>0.18</v>
      </c>
      <c r="I449" s="95" t="s">
        <v>951</v>
      </c>
      <c r="J449" s="95" t="s">
        <v>1166</v>
      </c>
      <c r="K449" s="191">
        <v>6416020</v>
      </c>
      <c r="L449" s="268">
        <v>0.40304567135986674</v>
      </c>
      <c r="M449" s="266">
        <v>1</v>
      </c>
      <c r="N449" s="267">
        <f t="shared" si="263"/>
        <v>0</v>
      </c>
      <c r="O449" s="96">
        <f t="shared" si="264"/>
        <v>5950549.1640955005</v>
      </c>
      <c r="P449" s="96">
        <f t="shared" si="259"/>
        <v>465470.83590449981</v>
      </c>
      <c r="Q449" s="96">
        <f t="shared" si="265"/>
        <v>0</v>
      </c>
      <c r="R449" s="187" t="s">
        <v>2337</v>
      </c>
      <c r="S449" s="187" t="s">
        <v>3608</v>
      </c>
      <c r="T449" s="94" t="s">
        <v>2781</v>
      </c>
      <c r="U449" s="395">
        <f>COUNTIF(Aggregation_of_rev_to_allocate!$A$3:$A$137,$T449)</f>
        <v>1</v>
      </c>
      <c r="V449" s="100"/>
      <c r="W449" s="100">
        <v>900</v>
      </c>
      <c r="X449" s="109">
        <v>675606.90599999996</v>
      </c>
      <c r="Y449" s="109">
        <v>190555.79399999997</v>
      </c>
      <c r="Z449" s="110">
        <v>0.75</v>
      </c>
      <c r="AA449" s="110">
        <v>0.78</v>
      </c>
      <c r="AB449" s="110">
        <v>0.21999999999999997</v>
      </c>
      <c r="AC449" s="109">
        <f>IF(ISERROR((X449*SUMIF('Rev_for_allocation(Hard)'!$A$3:$A$249,$T449,'Rev_for_allocation(Hard)'!$I$3:$I$249)/SUMIF(Historic_capex_list!$T$9:$T$586,$T449,Historic_capex_list!$X$9:$X$586))=TRUE),0,X449*SUMIF('Rev_for_allocation(Hard)'!$A$3:$A$249,$T449,'Rev_for_allocation(Hard)'!$I$3:$I$249)/SUMIF(Historic_capex_list!$T$9:$T$586,$T449,Historic_capex_list!$X$9:$X$586))</f>
        <v>-406995.00144582294</v>
      </c>
      <c r="AD449" s="109">
        <f t="shared" si="266"/>
        <v>268611.90455417702</v>
      </c>
      <c r="AE449" s="109">
        <f t="shared" si="261"/>
        <v>268611.90455417702</v>
      </c>
      <c r="AF449" s="109">
        <f t="shared" si="267"/>
        <v>459167.69855417695</v>
      </c>
      <c r="AG449" s="332" t="str">
        <f t="shared" si="268"/>
        <v>N</v>
      </c>
      <c r="AH449" s="332">
        <f t="shared" si="256"/>
        <v>0</v>
      </c>
      <c r="AI449" s="332">
        <f t="shared" si="257"/>
        <v>0</v>
      </c>
      <c r="AJ449" s="109">
        <f t="shared" si="258"/>
        <v>459167.69855417695</v>
      </c>
      <c r="AK449" s="109">
        <f t="shared" si="269"/>
        <v>0</v>
      </c>
      <c r="AL449" s="109">
        <v>0</v>
      </c>
      <c r="AM449" s="111">
        <f t="shared" si="270"/>
        <v>2.8205128205128198</v>
      </c>
      <c r="AN449" s="111">
        <f t="shared" si="271"/>
        <v>-0.17948717948718018</v>
      </c>
      <c r="AO449" s="111">
        <f t="shared" si="272"/>
        <v>1.4567242736467532</v>
      </c>
      <c r="AP449" s="111">
        <f t="shared" si="273"/>
        <v>0</v>
      </c>
      <c r="AQ449" s="112">
        <f t="shared" si="274"/>
        <v>0</v>
      </c>
      <c r="AR449" s="112">
        <f t="shared" si="275"/>
        <v>1</v>
      </c>
      <c r="AS449" s="113">
        <f t="shared" si="276"/>
        <v>2028</v>
      </c>
      <c r="AT449" s="109">
        <v>465470.83590449975</v>
      </c>
      <c r="AU449" s="114">
        <v>1</v>
      </c>
      <c r="AV449" s="113">
        <v>2028</v>
      </c>
      <c r="AW449" s="112">
        <f t="shared" si="277"/>
        <v>0.40304567135986674</v>
      </c>
      <c r="AX449" s="109">
        <f t="shared" si="278"/>
        <v>465470.83590449981</v>
      </c>
      <c r="AY449" s="109">
        <f t="shared" si="279"/>
        <v>0</v>
      </c>
      <c r="AZ449" s="109">
        <f t="shared" si="280"/>
        <v>465470.83590449981</v>
      </c>
      <c r="BA449" s="111">
        <f t="shared" si="281"/>
        <v>0</v>
      </c>
      <c r="BB449" s="117"/>
      <c r="BC449" s="115" t="str">
        <f t="shared" si="282"/>
        <v>N</v>
      </c>
      <c r="BD449" s="115" t="str">
        <f t="shared" si="283"/>
        <v>Y</v>
      </c>
      <c r="BE449" s="115" t="str">
        <f t="shared" si="284"/>
        <v>N</v>
      </c>
      <c r="BF449" s="109" t="str">
        <f t="shared" si="285"/>
        <v/>
      </c>
      <c r="BG449" s="111" t="s">
        <v>2499</v>
      </c>
      <c r="BH449" s="115" t="s">
        <v>1168</v>
      </c>
      <c r="BI449" s="116"/>
      <c r="BJ449" s="222">
        <v>0.40304567135986674</v>
      </c>
      <c r="BK449" s="265">
        <f t="shared" si="286"/>
        <v>0</v>
      </c>
      <c r="BL449" s="265">
        <f t="shared" si="287"/>
        <v>0</v>
      </c>
      <c r="BM449" s="265">
        <f t="shared" si="288"/>
        <v>-2.9103830456733704E-10</v>
      </c>
      <c r="BN449" s="265">
        <f t="shared" si="289"/>
        <v>210136.07009550015</v>
      </c>
      <c r="BO449" s="109"/>
      <c r="BP449" s="265">
        <f t="shared" si="290"/>
        <v>400691.8640955002</v>
      </c>
      <c r="BQ449" s="265">
        <v>400691.8640955002</v>
      </c>
      <c r="BR449" s="265" t="e">
        <f t="shared" si="291"/>
        <v>#REF!</v>
      </c>
      <c r="BS449" s="265">
        <v>45141.639396927152</v>
      </c>
      <c r="BT449" s="475">
        <v>5950549.1640955005</v>
      </c>
      <c r="BU449" s="475">
        <v>465470.83590449981</v>
      </c>
      <c r="BV449" s="475">
        <v>0</v>
      </c>
      <c r="BW449" s="483">
        <f t="shared" si="292"/>
        <v>0</v>
      </c>
      <c r="BX449" s="483">
        <f t="shared" si="293"/>
        <v>0</v>
      </c>
    </row>
    <row r="450" spans="1:77" s="103" customFormat="1" ht="72.5">
      <c r="A450" s="100"/>
      <c r="B450" s="91" t="str">
        <f t="shared" si="262"/>
        <v>TRA</v>
      </c>
      <c r="C450" s="92"/>
      <c r="D450" s="448"/>
      <c r="E450" s="450"/>
      <c r="F450" s="384" t="s">
        <v>3099</v>
      </c>
      <c r="G450" s="384" t="s">
        <v>4457</v>
      </c>
      <c r="H450" s="398">
        <v>0.18</v>
      </c>
      <c r="I450" s="95"/>
      <c r="J450" s="95"/>
      <c r="K450" s="191">
        <v>7018501</v>
      </c>
      <c r="L450" s="268">
        <v>0.39981629056489598</v>
      </c>
      <c r="M450" s="266">
        <v>1</v>
      </c>
      <c r="N450" s="267">
        <f t="shared" si="263"/>
        <v>0</v>
      </c>
      <c r="O450" s="96">
        <f t="shared" si="264"/>
        <v>6513401.0136737181</v>
      </c>
      <c r="P450" s="96">
        <f t="shared" si="259"/>
        <v>505099.98632628232</v>
      </c>
      <c r="Q450" s="96">
        <f t="shared" si="265"/>
        <v>0</v>
      </c>
      <c r="R450" s="187"/>
      <c r="S450" s="187" t="s">
        <v>3608</v>
      </c>
      <c r="T450" s="94" t="s">
        <v>2781</v>
      </c>
      <c r="U450" s="395"/>
      <c r="V450" s="100"/>
      <c r="W450" s="100"/>
      <c r="X450" s="109">
        <v>700033.36700700002</v>
      </c>
      <c r="Y450" s="109">
        <v>197445.30864299997</v>
      </c>
      <c r="Z450" s="110">
        <v>0.75</v>
      </c>
      <c r="AA450" s="110">
        <v>0.78</v>
      </c>
      <c r="AB450" s="110">
        <v>0.21999999999999997</v>
      </c>
      <c r="AC450" s="109">
        <f>IF(ISERROR((X450*SUMIF('Rev_for_allocation(Hard)'!$A$3:$A$249,$T450,'Rev_for_allocation(Hard)'!$I$3:$I$249)/SUMIF(Historic_capex_list!$T$9:$T$586,$T450,Historic_capex_list!$X$9:$X$586))=TRUE),0,X450*SUMIF('Rev_for_allocation(Hard)'!$A$3:$A$249,$T450,'Rev_for_allocation(Hard)'!$I$3:$I$249)/SUMIF(Historic_capex_list!$T$9:$T$586,$T450,Historic_capex_list!$X$9:$X$586))</f>
        <v>-421709.84145792358</v>
      </c>
      <c r="AD450" s="109">
        <f t="shared" si="266"/>
        <v>278323.52554907644</v>
      </c>
      <c r="AE450" s="109">
        <f t="shared" si="261"/>
        <v>278323.52554907644</v>
      </c>
      <c r="AF450" s="109">
        <f t="shared" si="267"/>
        <v>475768.83419207641</v>
      </c>
      <c r="AG450" s="332" t="str">
        <f t="shared" si="268"/>
        <v>N</v>
      </c>
      <c r="AH450" s="332">
        <f t="shared" si="256"/>
        <v>0</v>
      </c>
      <c r="AI450" s="332">
        <f t="shared" si="257"/>
        <v>0</v>
      </c>
      <c r="AJ450" s="109">
        <f t="shared" si="258"/>
        <v>475768.83419207641</v>
      </c>
      <c r="AK450" s="109">
        <f t="shared" si="269"/>
        <v>0</v>
      </c>
      <c r="AL450" s="109">
        <v>0</v>
      </c>
      <c r="AM450" s="111">
        <f t="shared" si="270"/>
        <v>2.8205128205128198</v>
      </c>
      <c r="AN450" s="111">
        <f t="shared" si="271"/>
        <v>-0.17948717948718018</v>
      </c>
      <c r="AO450" s="111">
        <f t="shared" si="272"/>
        <v>1.4567242736467545</v>
      </c>
      <c r="AP450" s="111">
        <f t="shared" si="273"/>
        <v>0</v>
      </c>
      <c r="AQ450" s="112">
        <f t="shared" si="274"/>
        <v>0</v>
      </c>
      <c r="AR450" s="112">
        <f t="shared" si="275"/>
        <v>1</v>
      </c>
      <c r="AS450" s="113">
        <f t="shared" si="276"/>
        <v>2028</v>
      </c>
      <c r="AT450" s="109">
        <v>482299.86047802441</v>
      </c>
      <c r="AU450" s="114">
        <v>1</v>
      </c>
      <c r="AV450" s="113">
        <v>2028</v>
      </c>
      <c r="AW450" s="112">
        <f t="shared" si="277"/>
        <v>0.38176865249750025</v>
      </c>
      <c r="AX450" s="109">
        <f t="shared" si="278"/>
        <v>482299.86047802441</v>
      </c>
      <c r="AY450" s="109">
        <f t="shared" si="279"/>
        <v>0</v>
      </c>
      <c r="AZ450" s="109">
        <f t="shared" si="280"/>
        <v>482299.86047802441</v>
      </c>
      <c r="BA450" s="111">
        <f t="shared" si="281"/>
        <v>0</v>
      </c>
      <c r="BB450" s="117"/>
      <c r="BC450" s="115" t="str">
        <f t="shared" si="282"/>
        <v>N</v>
      </c>
      <c r="BD450" s="115" t="str">
        <f t="shared" si="283"/>
        <v>Y</v>
      </c>
      <c r="BE450" s="115" t="str">
        <f t="shared" si="284"/>
        <v>N</v>
      </c>
      <c r="BF450" s="109" t="str">
        <f t="shared" si="285"/>
        <v/>
      </c>
      <c r="BG450" s="111" t="s">
        <v>2499</v>
      </c>
      <c r="BH450" s="115" t="s">
        <v>1168</v>
      </c>
      <c r="BI450" s="116"/>
      <c r="BJ450" s="222">
        <v>0.40304567135986674</v>
      </c>
      <c r="BK450" s="265">
        <f t="shared" si="286"/>
        <v>0</v>
      </c>
      <c r="BL450" s="265">
        <f t="shared" si="287"/>
        <v>0</v>
      </c>
      <c r="BM450" s="265">
        <f t="shared" si="288"/>
        <v>-4.0745362639427185E-10</v>
      </c>
      <c r="BN450" s="265">
        <f t="shared" si="289"/>
        <v>194933.3806807177</v>
      </c>
      <c r="BO450" s="109"/>
      <c r="BP450" s="265">
        <f t="shared" si="290"/>
        <v>415178.81517197558</v>
      </c>
      <c r="BQ450" s="265">
        <v>415178.81517197558</v>
      </c>
      <c r="BR450" s="265" t="e">
        <f t="shared" si="291"/>
        <v>#REF!</v>
      </c>
      <c r="BS450" s="265">
        <v>46773.728241384735</v>
      </c>
      <c r="BT450" s="475">
        <v>6165690.3295219755</v>
      </c>
      <c r="BU450" s="475">
        <v>482299.86047802441</v>
      </c>
      <c r="BV450" s="475">
        <v>0</v>
      </c>
      <c r="BW450" s="483">
        <f t="shared" si="292"/>
        <v>22800.125848257914</v>
      </c>
      <c r="BX450" s="483">
        <f t="shared" si="293"/>
        <v>0</v>
      </c>
    </row>
    <row r="451" spans="1:77" s="103" customFormat="1" ht="29">
      <c r="A451" s="100" t="s">
        <v>2259</v>
      </c>
      <c r="B451" s="91" t="str">
        <f t="shared" si="262"/>
        <v>TRA</v>
      </c>
      <c r="C451" s="92" t="s">
        <v>461</v>
      </c>
      <c r="D451" s="448"/>
      <c r="E451" s="450" t="s">
        <v>2201</v>
      </c>
      <c r="F451" s="384" t="s">
        <v>5261</v>
      </c>
      <c r="G451" s="384" t="s">
        <v>5262</v>
      </c>
      <c r="H451" s="398">
        <v>0.18</v>
      </c>
      <c r="I451" s="95" t="s">
        <v>951</v>
      </c>
      <c r="J451" s="95" t="s">
        <v>1166</v>
      </c>
      <c r="K451" s="191">
        <f>(503969/0.18)*1</f>
        <v>2799827.777777778</v>
      </c>
      <c r="L451" s="268">
        <v>0.37606106638661874</v>
      </c>
      <c r="M451" s="266">
        <v>1</v>
      </c>
      <c r="N451" s="267">
        <f t="shared" si="263"/>
        <v>0</v>
      </c>
      <c r="O451" s="96">
        <f t="shared" si="264"/>
        <v>2610304.65821198</v>
      </c>
      <c r="P451" s="96">
        <f t="shared" si="259"/>
        <v>189523.11956579788</v>
      </c>
      <c r="Q451" s="96">
        <f t="shared" si="265"/>
        <v>0</v>
      </c>
      <c r="R451" s="187" t="s">
        <v>2337</v>
      </c>
      <c r="S451" s="187" t="s">
        <v>3608</v>
      </c>
      <c r="T451" s="94" t="s">
        <v>2781</v>
      </c>
      <c r="U451" s="395">
        <f>COUNTIF(Aggregation_of_rev_to_allocate!$A$3:$A$137,$T451)</f>
        <v>1</v>
      </c>
      <c r="V451" s="100"/>
      <c r="W451" s="100">
        <v>556</v>
      </c>
      <c r="X451" s="109">
        <v>212319.91683902612</v>
      </c>
      <c r="Y451" s="109">
        <v>103126.81675038408</v>
      </c>
      <c r="Z451" s="110">
        <v>0.62592487551696674</v>
      </c>
      <c r="AA451" s="110">
        <v>0.67307692307692313</v>
      </c>
      <c r="AB451" s="110">
        <v>0.32692307692307687</v>
      </c>
      <c r="AC451" s="109">
        <f>IF(ISERROR((X451*SUMIF('Rev_for_allocation(Hard)'!$A$3:$A$249,$T451,'Rev_for_allocation(Hard)'!$I$3:$I$249)/SUMIF(Historic_capex_list!$T$9:$T$586,$T451,Historic_capex_list!$X$9:$X$586))=TRUE),0,X451*SUMIF('Rev_for_allocation(Hard)'!$A$3:$A$249,$T451,'Rev_for_allocation(Hard)'!$I$3:$I$249)/SUMIF(Historic_capex_list!$T$9:$T$586,$T451,Historic_capex_list!$X$9:$X$586))</f>
        <v>-127904.47239874194</v>
      </c>
      <c r="AD451" s="109">
        <f t="shared" si="266"/>
        <v>84415.444440284176</v>
      </c>
      <c r="AE451" s="109">
        <f t="shared" si="261"/>
        <v>84415.444440284176</v>
      </c>
      <c r="AF451" s="109">
        <f t="shared" si="267"/>
        <v>187542.26119066827</v>
      </c>
      <c r="AG451" s="332" t="str">
        <f t="shared" si="268"/>
        <v>N</v>
      </c>
      <c r="AH451" s="332">
        <f t="shared" si="256"/>
        <v>0</v>
      </c>
      <c r="AI451" s="332">
        <f t="shared" si="257"/>
        <v>0</v>
      </c>
      <c r="AJ451" s="109">
        <f t="shared" si="258"/>
        <v>187542.26119066827</v>
      </c>
      <c r="AK451" s="109">
        <f t="shared" si="269"/>
        <v>0</v>
      </c>
      <c r="AL451" s="109">
        <v>0</v>
      </c>
      <c r="AM451" s="111">
        <f t="shared" si="270"/>
        <v>4.8571428571428559</v>
      </c>
      <c r="AN451" s="111">
        <f t="shared" si="271"/>
        <v>1.8571428571428559</v>
      </c>
      <c r="AO451" s="111">
        <f t="shared" si="272"/>
        <v>4.7245199142871934</v>
      </c>
      <c r="AP451" s="111">
        <f t="shared" si="273"/>
        <v>0</v>
      </c>
      <c r="AQ451" s="112">
        <f t="shared" si="274"/>
        <v>0</v>
      </c>
      <c r="AR451" s="112">
        <f t="shared" si="275"/>
        <v>1</v>
      </c>
      <c r="AS451" s="113">
        <f t="shared" si="276"/>
        <v>2028</v>
      </c>
      <c r="AT451" s="109">
        <v>189523.11956579785</v>
      </c>
      <c r="AU451" s="114">
        <v>1</v>
      </c>
      <c r="AV451" s="113">
        <v>2028</v>
      </c>
      <c r="AW451" s="112">
        <f t="shared" si="277"/>
        <v>0.37606106638661874</v>
      </c>
      <c r="AX451" s="109">
        <f t="shared" si="278"/>
        <v>189523.11956579788</v>
      </c>
      <c r="AY451" s="109">
        <f t="shared" si="279"/>
        <v>0</v>
      </c>
      <c r="AZ451" s="109">
        <f t="shared" si="280"/>
        <v>189523.11956579788</v>
      </c>
      <c r="BA451" s="111">
        <f t="shared" si="281"/>
        <v>0</v>
      </c>
      <c r="BB451" s="117"/>
      <c r="BC451" s="115" t="str">
        <f t="shared" si="282"/>
        <v>N</v>
      </c>
      <c r="BD451" s="115" t="str">
        <f t="shared" si="283"/>
        <v>Y</v>
      </c>
      <c r="BE451" s="115" t="str">
        <f t="shared" si="284"/>
        <v>N</v>
      </c>
      <c r="BF451" s="109" t="str">
        <f t="shared" si="285"/>
        <v/>
      </c>
      <c r="BG451" s="111" t="s">
        <v>2499</v>
      </c>
      <c r="BH451" s="115" t="s">
        <v>1168</v>
      </c>
      <c r="BI451" s="116"/>
      <c r="BJ451" s="222">
        <v>0.37606106638661874</v>
      </c>
      <c r="BK451" s="265">
        <f t="shared" si="286"/>
        <v>0</v>
      </c>
      <c r="BL451" s="265">
        <f t="shared" si="287"/>
        <v>0</v>
      </c>
      <c r="BM451" s="265">
        <f t="shared" si="288"/>
        <v>8.7311491370201111E-11</v>
      </c>
      <c r="BN451" s="265">
        <f t="shared" si="289"/>
        <v>22796.797273228236</v>
      </c>
      <c r="BO451" s="109"/>
      <c r="BP451" s="265">
        <f t="shared" si="290"/>
        <v>125923.61402361235</v>
      </c>
      <c r="BQ451" s="265">
        <v>125923.61402361235</v>
      </c>
      <c r="BR451" s="265" t="e">
        <f t="shared" si="291"/>
        <v>#REF!</v>
      </c>
      <c r="BS451" s="265">
        <v>14186.458186874836</v>
      </c>
      <c r="BT451" s="475">
        <v>314445.88043420215</v>
      </c>
      <c r="BU451" s="475">
        <v>189523.11956579785</v>
      </c>
      <c r="BV451" s="475">
        <v>0</v>
      </c>
      <c r="BW451" s="483">
        <f t="shared" si="292"/>
        <v>0</v>
      </c>
      <c r="BX451" s="483">
        <f t="shared" si="293"/>
        <v>0</v>
      </c>
    </row>
    <row r="452" spans="1:77" s="103" customFormat="1" ht="29">
      <c r="A452" s="100" t="s">
        <v>2259</v>
      </c>
      <c r="B452" s="91" t="str">
        <f t="shared" si="262"/>
        <v>TRA</v>
      </c>
      <c r="C452" s="92" t="s">
        <v>461</v>
      </c>
      <c r="D452" s="448"/>
      <c r="E452" s="450" t="s">
        <v>2181</v>
      </c>
      <c r="F452" s="467" t="s">
        <v>4755</v>
      </c>
      <c r="G452" s="467" t="s">
        <v>4741</v>
      </c>
      <c r="H452" s="470">
        <v>0.97282675631662741</v>
      </c>
      <c r="I452" s="95" t="s">
        <v>962</v>
      </c>
      <c r="J452" s="95" t="s">
        <v>1166</v>
      </c>
      <c r="K452" s="469">
        <v>822086.25</v>
      </c>
      <c r="L452" s="471">
        <v>2.2617620167846946E-2</v>
      </c>
      <c r="M452" s="266">
        <v>0.32219570405727938</v>
      </c>
      <c r="N452" s="267">
        <f t="shared" si="263"/>
        <v>0.67780429594272062</v>
      </c>
      <c r="O452" s="96">
        <f t="shared" si="264"/>
        <v>803997.86481481476</v>
      </c>
      <c r="P452" s="96">
        <f t="shared" si="259"/>
        <v>5827.9999999999991</v>
      </c>
      <c r="Q452" s="96">
        <f t="shared" si="265"/>
        <v>12260.385185185176</v>
      </c>
      <c r="R452" s="187" t="s">
        <v>2335</v>
      </c>
      <c r="S452" s="187" t="s">
        <v>3607</v>
      </c>
      <c r="T452" s="94" t="s">
        <v>2789</v>
      </c>
      <c r="U452" s="395">
        <f>COUNTIF(Aggregation_of_rev_to_allocate!$A$3:$A$137,$T452)</f>
        <v>0</v>
      </c>
      <c r="V452" s="100"/>
      <c r="W452" s="100">
        <v>519</v>
      </c>
      <c r="X452" s="109">
        <v>5314.0268568228066</v>
      </c>
      <c r="Y452" s="109">
        <v>12773.346037325926</v>
      </c>
      <c r="Z452" s="110">
        <v>0.76993754870376008</v>
      </c>
      <c r="AA452" s="110">
        <v>0.29379760609358008</v>
      </c>
      <c r="AB452" s="110">
        <v>0.70620239390641992</v>
      </c>
      <c r="AC452" s="109">
        <f>IF(ISERROR((X452*SUMIF('Rev_for_allocation(Hard)'!$A$3:$A$249,$T452,'Rev_for_allocation(Hard)'!$I$3:$I$249)/SUMIF(Historic_capex_list!$T$9:$T$586,$T452,Historic_capex_list!$X$9:$X$586))=TRUE),0,X452*SUMIF('Rev_for_allocation(Hard)'!$A$3:$A$249,$T452,'Rev_for_allocation(Hard)'!$I$3:$I$249)/SUMIF(Historic_capex_list!$T$9:$T$586,$T452,Historic_capex_list!$X$9:$X$586))</f>
        <v>0</v>
      </c>
      <c r="AD452" s="109">
        <f t="shared" si="266"/>
        <v>5314.0268568228066</v>
      </c>
      <c r="AE452" s="109">
        <f t="shared" si="261"/>
        <v>5314.0268568228066</v>
      </c>
      <c r="AF452" s="109">
        <f t="shared" si="267"/>
        <v>18087.372894148732</v>
      </c>
      <c r="AG452" s="332" t="str">
        <f t="shared" si="268"/>
        <v>N</v>
      </c>
      <c r="AH452" s="332">
        <f t="shared" si="256"/>
        <v>0</v>
      </c>
      <c r="AI452" s="332">
        <f t="shared" si="257"/>
        <v>0</v>
      </c>
      <c r="AJ452" s="109">
        <f t="shared" si="258"/>
        <v>18087.372894148732</v>
      </c>
      <c r="AK452" s="109">
        <f t="shared" si="269"/>
        <v>0</v>
      </c>
      <c r="AL452" s="109">
        <v>0</v>
      </c>
      <c r="AM452" s="111">
        <f t="shared" si="270"/>
        <v>24.037037037037024</v>
      </c>
      <c r="AN452" s="111">
        <f t="shared" si="271"/>
        <v>21.037037037037024</v>
      </c>
      <c r="AO452" s="111" t="str">
        <f t="shared" si="272"/>
        <v>Use deduct 3yrs</v>
      </c>
      <c r="AP452" s="111">
        <f t="shared" si="273"/>
        <v>21.037037037037024</v>
      </c>
      <c r="AQ452" s="112">
        <f t="shared" si="274"/>
        <v>0.67780429594272062</v>
      </c>
      <c r="AR452" s="112">
        <f t="shared" si="275"/>
        <v>0.32219570405727938</v>
      </c>
      <c r="AS452" s="113">
        <f t="shared" si="276"/>
        <v>2049</v>
      </c>
      <c r="AT452" s="109">
        <v>18087.372894148732</v>
      </c>
      <c r="AU452" s="114">
        <v>0.32219570405727938</v>
      </c>
      <c r="AV452" s="113">
        <v>2049</v>
      </c>
      <c r="AW452" s="112">
        <f t="shared" si="277"/>
        <v>2.2616354404544847E-2</v>
      </c>
      <c r="AX452" s="109">
        <f t="shared" si="278"/>
        <v>5827.6738441768011</v>
      </c>
      <c r="AY452" s="109">
        <f t="shared" si="279"/>
        <v>12259.699049971929</v>
      </c>
      <c r="AZ452" s="109">
        <f t="shared" si="280"/>
        <v>18087.372894148728</v>
      </c>
      <c r="BA452" s="111">
        <f t="shared" si="281"/>
        <v>0</v>
      </c>
      <c r="BB452" s="117"/>
      <c r="BC452" s="115" t="str">
        <f t="shared" si="282"/>
        <v>Y</v>
      </c>
      <c r="BD452" s="115" t="str">
        <f t="shared" si="283"/>
        <v>Y</v>
      </c>
      <c r="BE452" s="115" t="str">
        <f t="shared" si="284"/>
        <v>N</v>
      </c>
      <c r="BF452" s="109" t="str">
        <f t="shared" si="285"/>
        <v/>
      </c>
      <c r="BG452" s="111" t="s">
        <v>2499</v>
      </c>
      <c r="BH452" s="115" t="s">
        <v>1168</v>
      </c>
      <c r="BI452" s="116"/>
      <c r="BJ452" s="222">
        <v>0.76993754870376008</v>
      </c>
      <c r="BK452" s="265">
        <f t="shared" si="286"/>
        <v>-0.68613521324732574</v>
      </c>
      <c r="BL452" s="265">
        <f t="shared" si="287"/>
        <v>0.68613521324732574</v>
      </c>
      <c r="BM452" s="265">
        <f t="shared" si="288"/>
        <v>6.184563972055912E-11</v>
      </c>
      <c r="BN452" s="265">
        <f t="shared" si="289"/>
        <v>-513.97314317719247</v>
      </c>
      <c r="BO452" s="109"/>
      <c r="BP452" s="265">
        <f t="shared" si="290"/>
        <v>0</v>
      </c>
      <c r="BQ452" s="265">
        <v>0</v>
      </c>
      <c r="BR452" s="265" t="e">
        <f t="shared" si="291"/>
        <v>#REF!</v>
      </c>
      <c r="BS452" s="265">
        <v>0</v>
      </c>
      <c r="BT452" s="475">
        <v>5404.6271058512684</v>
      </c>
      <c r="BU452" s="475">
        <v>5827.6738441768011</v>
      </c>
      <c r="BV452" s="475">
        <v>12259.69904997193</v>
      </c>
      <c r="BW452" s="483">
        <f t="shared" si="292"/>
        <v>0.32615582319795067</v>
      </c>
      <c r="BX452" s="483">
        <f t="shared" si="293"/>
        <v>0.68613521324550675</v>
      </c>
    </row>
    <row r="453" spans="1:77" s="103" customFormat="1" ht="29">
      <c r="A453" s="100" t="s">
        <v>2259</v>
      </c>
      <c r="B453" s="91" t="str">
        <f t="shared" si="262"/>
        <v>TRA</v>
      </c>
      <c r="C453" s="92" t="s">
        <v>461</v>
      </c>
      <c r="D453" s="448"/>
      <c r="E453" s="450" t="s">
        <v>2170</v>
      </c>
      <c r="F453" s="467" t="s">
        <v>4842</v>
      </c>
      <c r="G453" s="467" t="s">
        <v>4742</v>
      </c>
      <c r="H453" s="470">
        <v>0.1895</v>
      </c>
      <c r="I453" s="95" t="s">
        <v>962</v>
      </c>
      <c r="J453" s="95" t="s">
        <v>1166</v>
      </c>
      <c r="K453" s="469">
        <v>279838</v>
      </c>
      <c r="L453" s="471">
        <v>0.66858305953707187</v>
      </c>
      <c r="M453" s="266">
        <v>0.30805687203791476</v>
      </c>
      <c r="N453" s="267">
        <f t="shared" si="263"/>
        <v>0.69194312796208524</v>
      </c>
      <c r="O453" s="96">
        <f t="shared" si="264"/>
        <v>244383.5076923077</v>
      </c>
      <c r="P453" s="96">
        <f t="shared" si="259"/>
        <v>10922.000000000004</v>
      </c>
      <c r="Q453" s="96">
        <f t="shared" si="265"/>
        <v>24532.492307692304</v>
      </c>
      <c r="R453" s="187" t="s">
        <v>2335</v>
      </c>
      <c r="S453" s="187" t="s">
        <v>3608</v>
      </c>
      <c r="T453" s="94" t="s">
        <v>2779</v>
      </c>
      <c r="U453" s="395">
        <f>COUNTIF(Aggregation_of_rev_to_allocate!$A$3:$A$137,$T453)</f>
        <v>1</v>
      </c>
      <c r="V453" s="100"/>
      <c r="W453" s="100">
        <v>520</v>
      </c>
      <c r="X453" s="109">
        <v>10652.360929013255</v>
      </c>
      <c r="Y453" s="109">
        <v>27122.549750026057</v>
      </c>
      <c r="Z453" s="110">
        <v>0.7124653089219033</v>
      </c>
      <c r="AA453" s="110">
        <v>0.28199566160520606</v>
      </c>
      <c r="AB453" s="110">
        <v>0.71800433839479394</v>
      </c>
      <c r="AC453" s="109">
        <f>IF(ISERROR((X453*SUMIF('Rev_for_allocation(Hard)'!$A$3:$A$249,$T453,'Rev_for_allocation(Hard)'!$I$3:$I$249)/SUMIF(Historic_capex_list!$T$9:$T$586,$T453,Historic_capex_list!$X$9:$X$586))=TRUE),0,X453*SUMIF('Rev_for_allocation(Hard)'!$A$3:$A$249,$T453,'Rev_for_allocation(Hard)'!$I$3:$I$249)/SUMIF(Historic_capex_list!$T$9:$T$586,$T453,Historic_capex_list!$X$9:$X$586))</f>
        <v>-2321.0490043314203</v>
      </c>
      <c r="AD453" s="109">
        <f t="shared" si="266"/>
        <v>8331.3119246818351</v>
      </c>
      <c r="AE453" s="109">
        <f t="shared" si="261"/>
        <v>8331.3119246818351</v>
      </c>
      <c r="AF453" s="109">
        <f t="shared" si="267"/>
        <v>35453.861674707892</v>
      </c>
      <c r="AG453" s="332" t="str">
        <f t="shared" si="268"/>
        <v>N</v>
      </c>
      <c r="AH453" s="332">
        <f t="shared" si="256"/>
        <v>0</v>
      </c>
      <c r="AI453" s="332">
        <f t="shared" si="257"/>
        <v>0</v>
      </c>
      <c r="AJ453" s="109">
        <f t="shared" si="258"/>
        <v>35453.861674707892</v>
      </c>
      <c r="AK453" s="109">
        <f t="shared" si="269"/>
        <v>0</v>
      </c>
      <c r="AL453" s="109">
        <v>0</v>
      </c>
      <c r="AM453" s="111">
        <f t="shared" si="270"/>
        <v>25.461538461538463</v>
      </c>
      <c r="AN453" s="111">
        <f t="shared" si="271"/>
        <v>22.461538461538463</v>
      </c>
      <c r="AO453" s="111" t="str">
        <f t="shared" si="272"/>
        <v>Use deduct 3yrs</v>
      </c>
      <c r="AP453" s="111">
        <f t="shared" si="273"/>
        <v>22.461538461538463</v>
      </c>
      <c r="AQ453" s="112">
        <f t="shared" si="274"/>
        <v>0.69194312796208524</v>
      </c>
      <c r="AR453" s="112">
        <f t="shared" si="275"/>
        <v>0.30805687203791476</v>
      </c>
      <c r="AS453" s="113">
        <f t="shared" si="276"/>
        <v>2050</v>
      </c>
      <c r="AT453" s="109">
        <v>35453.861674707892</v>
      </c>
      <c r="AU453" s="114">
        <v>0.30805687203791476</v>
      </c>
      <c r="AV453" s="113">
        <v>2050</v>
      </c>
      <c r="AW453" s="112">
        <f t="shared" si="277"/>
        <v>0.66857116737608691</v>
      </c>
      <c r="AX453" s="109">
        <f t="shared" si="278"/>
        <v>10921.805729175421</v>
      </c>
      <c r="AY453" s="109">
        <f t="shared" si="279"/>
        <v>24532.055945532476</v>
      </c>
      <c r="AZ453" s="109">
        <f t="shared" si="280"/>
        <v>35453.8616747079</v>
      </c>
      <c r="BA453" s="111">
        <f t="shared" si="281"/>
        <v>0</v>
      </c>
      <c r="BB453" s="117"/>
      <c r="BC453" s="115" t="str">
        <f t="shared" si="282"/>
        <v>N</v>
      </c>
      <c r="BD453" s="115" t="str">
        <f t="shared" si="283"/>
        <v>Y</v>
      </c>
      <c r="BE453" s="115" t="str">
        <f t="shared" si="284"/>
        <v>N</v>
      </c>
      <c r="BF453" s="109" t="str">
        <f t="shared" si="285"/>
        <v/>
      </c>
      <c r="BG453" s="111" t="s">
        <v>2499</v>
      </c>
      <c r="BH453" s="115" t="s">
        <v>1168</v>
      </c>
      <c r="BI453" s="116"/>
      <c r="BJ453" s="222">
        <v>0.66868845105069585</v>
      </c>
      <c r="BK453" s="265">
        <f t="shared" si="286"/>
        <v>-0.436362159827695</v>
      </c>
      <c r="BL453" s="265">
        <f t="shared" si="287"/>
        <v>0.436362159827695</v>
      </c>
      <c r="BM453" s="265">
        <f t="shared" si="288"/>
        <v>0</v>
      </c>
      <c r="BN453" s="265">
        <f t="shared" si="289"/>
        <v>-269.63907098674827</v>
      </c>
      <c r="BO453" s="109"/>
      <c r="BP453" s="265">
        <f t="shared" si="290"/>
        <v>2321.0490043314203</v>
      </c>
      <c r="BQ453" s="265">
        <v>2321.0490043314203</v>
      </c>
      <c r="BR453" s="265" t="e">
        <f t="shared" si="291"/>
        <v>#REF!</v>
      </c>
      <c r="BS453" s="265">
        <v>261.48760822144789</v>
      </c>
      <c r="BT453" s="475">
        <v>17566.138325292104</v>
      </c>
      <c r="BU453" s="475">
        <v>10921.805729175419</v>
      </c>
      <c r="BV453" s="475">
        <v>24532.055945532473</v>
      </c>
      <c r="BW453" s="483">
        <f t="shared" si="292"/>
        <v>0.19427082458423683</v>
      </c>
      <c r="BX453" s="483">
        <f t="shared" si="293"/>
        <v>0.43636215983133297</v>
      </c>
    </row>
    <row r="454" spans="1:77" s="103" customFormat="1" ht="87">
      <c r="A454" s="100" t="s">
        <v>2259</v>
      </c>
      <c r="B454" s="91" t="str">
        <f t="shared" si="262"/>
        <v>TRA</v>
      </c>
      <c r="C454" s="92" t="s">
        <v>461</v>
      </c>
      <c r="D454" s="448"/>
      <c r="E454" s="450" t="s">
        <v>2160</v>
      </c>
      <c r="F454" s="467" t="s">
        <v>4843</v>
      </c>
      <c r="G454" s="467" t="s">
        <v>4743</v>
      </c>
      <c r="H454" s="470">
        <v>1</v>
      </c>
      <c r="I454" s="95" t="s">
        <v>962</v>
      </c>
      <c r="J454" s="95" t="s">
        <v>1166</v>
      </c>
      <c r="K454" s="469">
        <v>33694056.329999998</v>
      </c>
      <c r="L454" s="471">
        <v>4.0100625961052849E-3</v>
      </c>
      <c r="M454" s="266">
        <v>0.39603960396039606</v>
      </c>
      <c r="N454" s="267">
        <f t="shared" si="263"/>
        <v>0.60396039603960394</v>
      </c>
      <c r="O454" s="96">
        <f t="shared" si="264"/>
        <v>33558941.055</v>
      </c>
      <c r="P454" s="96">
        <f t="shared" si="259"/>
        <v>53510.99999999901</v>
      </c>
      <c r="Q454" s="96">
        <f t="shared" si="265"/>
        <v>81604.274999998481</v>
      </c>
      <c r="R454" s="187" t="s">
        <v>2335</v>
      </c>
      <c r="S454" s="187" t="s">
        <v>3608</v>
      </c>
      <c r="T454" s="94" t="s">
        <v>2779</v>
      </c>
      <c r="U454" s="395">
        <f>COUNTIF(Aggregation_of_rev_to_allocate!$A$3:$A$137,$T454)</f>
        <v>1</v>
      </c>
      <c r="V454" s="100"/>
      <c r="W454" s="100">
        <v>521</v>
      </c>
      <c r="X454" s="109">
        <v>51825.284135954236</v>
      </c>
      <c r="Y454" s="109">
        <v>94581.143548116481</v>
      </c>
      <c r="Z454" s="110">
        <v>0.73158587103901973</v>
      </c>
      <c r="AA454" s="110">
        <v>0.35398230088495575</v>
      </c>
      <c r="AB454" s="110">
        <v>0.64601769911504425</v>
      </c>
      <c r="AC454" s="109">
        <f>IF(ISERROR((X454*SUMIF('Rev_for_allocation(Hard)'!$A$3:$A$249,$T454,'Rev_for_allocation(Hard)'!$I$3:$I$249)/SUMIF(Historic_capex_list!$T$9:$T$586,$T454,Historic_capex_list!$X$9:$X$586))=TRUE),0,X454*SUMIF('Rev_for_allocation(Hard)'!$A$3:$A$249,$T454,'Rev_for_allocation(Hard)'!$I$3:$I$249)/SUMIF(Historic_capex_list!$T$9:$T$586,$T454,Historic_capex_list!$X$9:$X$586))</f>
        <v>-11292.240747806889</v>
      </c>
      <c r="AD454" s="109">
        <f t="shared" si="266"/>
        <v>40533.043388147344</v>
      </c>
      <c r="AE454" s="109">
        <f t="shared" si="261"/>
        <v>40533.043388147344</v>
      </c>
      <c r="AF454" s="109">
        <f t="shared" si="267"/>
        <v>135114.18693626381</v>
      </c>
      <c r="AG454" s="332" t="str">
        <f t="shared" si="268"/>
        <v>N</v>
      </c>
      <c r="AH454" s="332">
        <f t="shared" si="256"/>
        <v>0</v>
      </c>
      <c r="AI454" s="332">
        <f t="shared" si="257"/>
        <v>0</v>
      </c>
      <c r="AJ454" s="109">
        <f t="shared" si="258"/>
        <v>135114.18693626381</v>
      </c>
      <c r="AK454" s="109">
        <f t="shared" si="269"/>
        <v>0</v>
      </c>
      <c r="AL454" s="109">
        <v>0</v>
      </c>
      <c r="AM454" s="111">
        <f t="shared" si="270"/>
        <v>18.25</v>
      </c>
      <c r="AN454" s="111">
        <f t="shared" si="271"/>
        <v>15.25</v>
      </c>
      <c r="AO454" s="111" t="str">
        <f t="shared" si="272"/>
        <v>Use deduct 3yrs</v>
      </c>
      <c r="AP454" s="111">
        <f t="shared" si="273"/>
        <v>15.25</v>
      </c>
      <c r="AQ454" s="112">
        <f t="shared" si="274"/>
        <v>0.60396039603960394</v>
      </c>
      <c r="AR454" s="112">
        <f t="shared" si="275"/>
        <v>0.39603960396039606</v>
      </c>
      <c r="AS454" s="113">
        <f t="shared" si="276"/>
        <v>2043</v>
      </c>
      <c r="AT454" s="109">
        <v>135114.18693626381</v>
      </c>
      <c r="AU454" s="114">
        <v>0.39603960396039606</v>
      </c>
      <c r="AV454" s="113">
        <v>2043</v>
      </c>
      <c r="AW454" s="112">
        <f t="shared" si="277"/>
        <v>4.010030303652188E-3</v>
      </c>
      <c r="AX454" s="109">
        <f t="shared" si="278"/>
        <v>53510.569083668837</v>
      </c>
      <c r="AY454" s="109">
        <f t="shared" si="279"/>
        <v>81603.617852594965</v>
      </c>
      <c r="AZ454" s="109">
        <f t="shared" si="280"/>
        <v>135114.18693626381</v>
      </c>
      <c r="BA454" s="111">
        <f t="shared" si="281"/>
        <v>0</v>
      </c>
      <c r="BB454" s="117" t="s">
        <v>2469</v>
      </c>
      <c r="BC454" s="115" t="str">
        <f t="shared" si="282"/>
        <v>N</v>
      </c>
      <c r="BD454" s="115" t="str">
        <f t="shared" si="283"/>
        <v>N</v>
      </c>
      <c r="BE454" s="115" t="str">
        <f t="shared" si="284"/>
        <v>N</v>
      </c>
      <c r="BF454" s="109" t="str">
        <f t="shared" si="285"/>
        <v/>
      </c>
      <c r="BG454" s="111" t="s">
        <v>2499</v>
      </c>
      <c r="BH454" s="115" t="s">
        <v>1168</v>
      </c>
      <c r="BI454" s="116"/>
      <c r="BJ454" s="222">
        <v>0.67515908763785992</v>
      </c>
      <c r="BK454" s="265">
        <f t="shared" si="286"/>
        <v>-0.65714740351540968</v>
      </c>
      <c r="BL454" s="265">
        <f t="shared" si="287"/>
        <v>0.65714740351540968</v>
      </c>
      <c r="BM454" s="265">
        <f t="shared" si="288"/>
        <v>1.0186340659856796E-9</v>
      </c>
      <c r="BN454" s="265">
        <f t="shared" si="289"/>
        <v>-1685.7158640447742</v>
      </c>
      <c r="BO454" s="109"/>
      <c r="BP454" s="265">
        <f t="shared" si="290"/>
        <v>11292.240747806907</v>
      </c>
      <c r="BQ454" s="265">
        <v>11292.240747806907</v>
      </c>
      <c r="BR454" s="265" t="e">
        <f t="shared" si="291"/>
        <v>#REF!</v>
      </c>
      <c r="BS454" s="265">
        <v>1272.175218659527</v>
      </c>
      <c r="BT454" s="475">
        <v>65007.813063736197</v>
      </c>
      <c r="BU454" s="475">
        <v>53510.569083668837</v>
      </c>
      <c r="BV454" s="475">
        <v>81603.617852594965</v>
      </c>
      <c r="BW454" s="483">
        <f t="shared" si="292"/>
        <v>0.43091633017320419</v>
      </c>
      <c r="BX454" s="483">
        <f t="shared" si="293"/>
        <v>0.65714740351540968</v>
      </c>
    </row>
    <row r="455" spans="1:77" s="103" customFormat="1" ht="29">
      <c r="A455" s="100" t="s">
        <v>2259</v>
      </c>
      <c r="B455" s="91" t="str">
        <f t="shared" si="262"/>
        <v>TRA</v>
      </c>
      <c r="C455" s="92" t="s">
        <v>461</v>
      </c>
      <c r="D455" s="448"/>
      <c r="E455" s="452">
        <v>41425</v>
      </c>
      <c r="F455" s="467" t="s">
        <v>4925</v>
      </c>
      <c r="G455" s="384" t="s">
        <v>5272</v>
      </c>
      <c r="H455" s="398">
        <v>1</v>
      </c>
      <c r="I455" s="95" t="s">
        <v>952</v>
      </c>
      <c r="J455" s="95" t="s">
        <v>1166</v>
      </c>
      <c r="K455" s="191">
        <v>300000</v>
      </c>
      <c r="L455" s="268">
        <v>0.48711056587802248</v>
      </c>
      <c r="M455" s="266">
        <v>0.91331269349845201</v>
      </c>
      <c r="N455" s="267">
        <f t="shared" si="263"/>
        <v>8.6687306501547989E-2</v>
      </c>
      <c r="O455" s="96">
        <f t="shared" si="264"/>
        <v>153866.83023659326</v>
      </c>
      <c r="P455" s="96">
        <f t="shared" si="259"/>
        <v>133465.27888608354</v>
      </c>
      <c r="Q455" s="96">
        <f t="shared" si="265"/>
        <v>12667.890877323185</v>
      </c>
      <c r="R455" s="187" t="s">
        <v>2335</v>
      </c>
      <c r="S455" s="187" t="s">
        <v>3608</v>
      </c>
      <c r="T455" s="94" t="s">
        <v>2779</v>
      </c>
      <c r="U455" s="395">
        <f>COUNTIF(Aggregation_of_rev_to_allocate!$A$3:$A$137,$T455)</f>
        <v>1</v>
      </c>
      <c r="V455" s="100"/>
      <c r="W455" s="100">
        <v>522</v>
      </c>
      <c r="X455" s="109">
        <v>124154.71980583356</v>
      </c>
      <c r="Y455" s="109">
        <v>49030.592736880033</v>
      </c>
      <c r="Z455" s="110">
        <v>0.57728437514237863</v>
      </c>
      <c r="AA455" s="110">
        <v>0.71688942891859053</v>
      </c>
      <c r="AB455" s="110">
        <v>0.28311057108140947</v>
      </c>
      <c r="AC455" s="109">
        <f>IF(ISERROR((X455*SUMIF('Rev_for_allocation(Hard)'!$A$3:$A$249,$T455,'Rev_for_allocation(Hard)'!$I$3:$I$249)/SUMIF(Historic_capex_list!$T$9:$T$586,$T455,Historic_capex_list!$X$9:$X$586))=TRUE),0,X455*SUMIF('Rev_for_allocation(Hard)'!$A$3:$A$249,$T455,'Rev_for_allocation(Hard)'!$I$3:$I$249)/SUMIF(Historic_capex_list!$T$9:$T$586,$T455,Historic_capex_list!$X$9:$X$586))</f>
        <v>-27052.142779306861</v>
      </c>
      <c r="AD455" s="109">
        <f t="shared" si="266"/>
        <v>97102.577026526706</v>
      </c>
      <c r="AE455" s="109">
        <f t="shared" si="261"/>
        <v>97102.577026526706</v>
      </c>
      <c r="AF455" s="109">
        <f t="shared" si="267"/>
        <v>146133.16976340674</v>
      </c>
      <c r="AG455" s="332" t="str">
        <f t="shared" si="268"/>
        <v>N</v>
      </c>
      <c r="AH455" s="332">
        <f t="shared" si="256"/>
        <v>0</v>
      </c>
      <c r="AI455" s="332">
        <f t="shared" si="257"/>
        <v>0</v>
      </c>
      <c r="AJ455" s="109">
        <f t="shared" si="258"/>
        <v>146133.16976340674</v>
      </c>
      <c r="AK455" s="109">
        <f t="shared" si="269"/>
        <v>0</v>
      </c>
      <c r="AL455" s="109">
        <v>0</v>
      </c>
      <c r="AM455" s="111">
        <f t="shared" si="270"/>
        <v>3.9491525423728815</v>
      </c>
      <c r="AN455" s="111">
        <f t="shared" si="271"/>
        <v>0.94915254237288149</v>
      </c>
      <c r="AO455" s="111" t="str">
        <f t="shared" si="272"/>
        <v>Use deduct 3yrs</v>
      </c>
      <c r="AP455" s="111">
        <f t="shared" si="273"/>
        <v>0.94915254237288149</v>
      </c>
      <c r="AQ455" s="112">
        <f t="shared" si="274"/>
        <v>8.6687306501547989E-2</v>
      </c>
      <c r="AR455" s="112">
        <f t="shared" si="275"/>
        <v>0.91331269349845201</v>
      </c>
      <c r="AS455" s="113">
        <f t="shared" si="276"/>
        <v>2029</v>
      </c>
      <c r="AT455" s="109">
        <v>146133.16976340674</v>
      </c>
      <c r="AU455" s="114">
        <v>0.91331269349845201</v>
      </c>
      <c r="AV455" s="113">
        <v>2029</v>
      </c>
      <c r="AW455" s="112">
        <f t="shared" si="277"/>
        <v>0.48711056587802248</v>
      </c>
      <c r="AX455" s="109">
        <f t="shared" si="278"/>
        <v>133465.27888608354</v>
      </c>
      <c r="AY455" s="109">
        <f t="shared" si="279"/>
        <v>12667.890877323185</v>
      </c>
      <c r="AZ455" s="109">
        <f t="shared" si="280"/>
        <v>146133.16976340674</v>
      </c>
      <c r="BA455" s="111">
        <f t="shared" si="281"/>
        <v>0</v>
      </c>
      <c r="BB455" s="117"/>
      <c r="BC455" s="115" t="str">
        <f t="shared" si="282"/>
        <v>N</v>
      </c>
      <c r="BD455" s="115" t="str">
        <f t="shared" si="283"/>
        <v>Y</v>
      </c>
      <c r="BE455" s="115" t="str">
        <f t="shared" si="284"/>
        <v>N</v>
      </c>
      <c r="BF455" s="109" t="str">
        <f t="shared" si="285"/>
        <v/>
      </c>
      <c r="BG455" s="111" t="s">
        <v>2499</v>
      </c>
      <c r="BH455" s="115" t="s">
        <v>1168</v>
      </c>
      <c r="BI455" s="116"/>
      <c r="BJ455" s="222">
        <v>0.48711056587802248</v>
      </c>
      <c r="BK455" s="265">
        <f t="shared" si="286"/>
        <v>0</v>
      </c>
      <c r="BL455" s="265">
        <f t="shared" si="287"/>
        <v>0</v>
      </c>
      <c r="BM455" s="265">
        <f t="shared" si="288"/>
        <v>0</v>
      </c>
      <c r="BN455" s="265">
        <f t="shared" si="289"/>
        <v>-9310.5590802499792</v>
      </c>
      <c r="BO455" s="109"/>
      <c r="BP455" s="265">
        <f t="shared" si="290"/>
        <v>27052.142779306858</v>
      </c>
      <c r="BQ455" s="265">
        <v>27052.142779306858</v>
      </c>
      <c r="BR455" s="265" t="e">
        <f t="shared" si="291"/>
        <v>#REF!</v>
      </c>
      <c r="BS455" s="265">
        <v>3047.6737455457878</v>
      </c>
      <c r="BT455" s="475">
        <v>153866.83023659326</v>
      </c>
      <c r="BU455" s="475">
        <v>133465.27888608354</v>
      </c>
      <c r="BV455" s="475">
        <v>12667.890877323185</v>
      </c>
      <c r="BW455" s="483">
        <f t="shared" si="292"/>
        <v>0</v>
      </c>
      <c r="BX455" s="483">
        <f t="shared" si="293"/>
        <v>0</v>
      </c>
    </row>
    <row r="456" spans="1:77" s="103" customFormat="1" ht="29">
      <c r="A456" s="100" t="s">
        <v>2259</v>
      </c>
      <c r="B456" s="91" t="str">
        <f t="shared" si="262"/>
        <v>TRA</v>
      </c>
      <c r="C456" s="92" t="s">
        <v>461</v>
      </c>
      <c r="D456" s="448"/>
      <c r="E456" s="450" t="s">
        <v>2159</v>
      </c>
      <c r="F456" s="467" t="s">
        <v>4848</v>
      </c>
      <c r="G456" s="467" t="s">
        <v>4744</v>
      </c>
      <c r="H456" s="470">
        <v>0.32</v>
      </c>
      <c r="I456" s="95" t="s">
        <v>962</v>
      </c>
      <c r="J456" s="95" t="s">
        <v>1166</v>
      </c>
      <c r="K456" s="469">
        <v>9890556.5399999991</v>
      </c>
      <c r="L456" s="471">
        <v>5.3270510902918289E-3</v>
      </c>
      <c r="M456" s="266">
        <v>1</v>
      </c>
      <c r="N456" s="267">
        <f t="shared" si="263"/>
        <v>0</v>
      </c>
      <c r="O456" s="96">
        <f t="shared" si="264"/>
        <v>9873696.5399999991</v>
      </c>
      <c r="P456" s="96">
        <f t="shared" si="259"/>
        <v>16859.999999999993</v>
      </c>
      <c r="Q456" s="96">
        <f t="shared" si="265"/>
        <v>0</v>
      </c>
      <c r="R456" s="187" t="s">
        <v>2335</v>
      </c>
      <c r="S456" s="187" t="s">
        <v>3608</v>
      </c>
      <c r="T456" s="94" t="s">
        <v>2789</v>
      </c>
      <c r="U456" s="395">
        <f>COUNTIF(Aggregation_of_rev_to_allocate!$A$3:$A$137,$T456)</f>
        <v>0</v>
      </c>
      <c r="V456" s="100"/>
      <c r="W456" s="100">
        <v>523</v>
      </c>
      <c r="X456" s="109">
        <v>16860.062657551291</v>
      </c>
      <c r="Y456" s="109">
        <v>0</v>
      </c>
      <c r="Z456" s="110">
        <v>0.27372008990115088</v>
      </c>
      <c r="AA456" s="110">
        <v>1</v>
      </c>
      <c r="AB456" s="110">
        <v>0</v>
      </c>
      <c r="AC456" s="109">
        <f>IF(ISERROR((X456*SUMIF('Rev_for_allocation(Hard)'!$A$3:$A$249,$T456,'Rev_for_allocation(Hard)'!$I$3:$I$249)/SUMIF(Historic_capex_list!$T$9:$T$586,$T456,Historic_capex_list!$X$9:$X$586))=TRUE),0,X456*SUMIF('Rev_for_allocation(Hard)'!$A$3:$A$249,$T456,'Rev_for_allocation(Hard)'!$I$3:$I$249)/SUMIF(Historic_capex_list!$T$9:$T$586,$T456,Historic_capex_list!$X$9:$X$586))</f>
        <v>0</v>
      </c>
      <c r="AD456" s="109">
        <f t="shared" si="266"/>
        <v>16860.062657551291</v>
      </c>
      <c r="AE456" s="109">
        <f t="shared" si="261"/>
        <v>16860.062657551291</v>
      </c>
      <c r="AF456" s="109">
        <f t="shared" si="267"/>
        <v>16860.062657551291</v>
      </c>
      <c r="AG456" s="332" t="str">
        <f t="shared" si="268"/>
        <v>N</v>
      </c>
      <c r="AH456" s="332">
        <f t="shared" si="256"/>
        <v>0</v>
      </c>
      <c r="AI456" s="332">
        <f t="shared" si="257"/>
        <v>0</v>
      </c>
      <c r="AJ456" s="109">
        <f t="shared" si="258"/>
        <v>16860.062657551291</v>
      </c>
      <c r="AK456" s="109">
        <f t="shared" si="269"/>
        <v>0</v>
      </c>
      <c r="AL456" s="109">
        <v>0</v>
      </c>
      <c r="AM456" s="111">
        <f t="shared" si="270"/>
        <v>0</v>
      </c>
      <c r="AN456" s="111">
        <f t="shared" si="271"/>
        <v>0</v>
      </c>
      <c r="AO456" s="111" t="str">
        <f t="shared" si="272"/>
        <v>Use deduct 3yrs</v>
      </c>
      <c r="AP456" s="111">
        <f t="shared" si="273"/>
        <v>0</v>
      </c>
      <c r="AQ456" s="112">
        <f t="shared" si="274"/>
        <v>0</v>
      </c>
      <c r="AR456" s="112">
        <f t="shared" si="275"/>
        <v>1</v>
      </c>
      <c r="AS456" s="113">
        <f t="shared" si="276"/>
        <v>2028</v>
      </c>
      <c r="AT456" s="109">
        <v>16860.062657551291</v>
      </c>
      <c r="AU456" s="114">
        <v>1</v>
      </c>
      <c r="AV456" s="113">
        <v>2028</v>
      </c>
      <c r="AW456" s="112">
        <f t="shared" si="277"/>
        <v>5.3270708874434873E-3</v>
      </c>
      <c r="AX456" s="109">
        <f t="shared" si="278"/>
        <v>16860.062657551291</v>
      </c>
      <c r="AY456" s="109">
        <f t="shared" si="279"/>
        <v>0</v>
      </c>
      <c r="AZ456" s="109">
        <f t="shared" si="280"/>
        <v>16860.062657551291</v>
      </c>
      <c r="BA456" s="111">
        <f t="shared" si="281"/>
        <v>0</v>
      </c>
      <c r="BB456" s="117"/>
      <c r="BC456" s="115" t="str">
        <f t="shared" si="282"/>
        <v>N</v>
      </c>
      <c r="BD456" s="115" t="str">
        <f t="shared" si="283"/>
        <v>Y</v>
      </c>
      <c r="BE456" s="115" t="str">
        <f t="shared" si="284"/>
        <v>N</v>
      </c>
      <c r="BF456" s="109" t="str">
        <f t="shared" si="285"/>
        <v/>
      </c>
      <c r="BG456" s="111" t="s">
        <v>2499</v>
      </c>
      <c r="BH456" s="115" t="s">
        <v>1168</v>
      </c>
      <c r="BI456" s="116"/>
      <c r="BJ456" s="222">
        <v>0.27372008990115088</v>
      </c>
      <c r="BK456" s="265">
        <f t="shared" si="286"/>
        <v>0</v>
      </c>
      <c r="BL456" s="265">
        <f t="shared" si="287"/>
        <v>0</v>
      </c>
      <c r="BM456" s="265">
        <f t="shared" si="288"/>
        <v>7.2759576141834259E-12</v>
      </c>
      <c r="BN456" s="265">
        <f t="shared" si="289"/>
        <v>6.2657551297888858E-2</v>
      </c>
      <c r="BO456" s="109"/>
      <c r="BP456" s="265">
        <f t="shared" si="290"/>
        <v>0</v>
      </c>
      <c r="BQ456" s="265">
        <v>0</v>
      </c>
      <c r="BR456" s="265" t="e">
        <f t="shared" si="291"/>
        <v>#REF!</v>
      </c>
      <c r="BS456" s="265">
        <v>0</v>
      </c>
      <c r="BT456" s="475">
        <v>44735.937342448706</v>
      </c>
      <c r="BU456" s="475">
        <v>16860.062657551291</v>
      </c>
      <c r="BV456" s="475">
        <v>0</v>
      </c>
      <c r="BW456" s="483">
        <f t="shared" si="292"/>
        <v>-6.2657551297888858E-2</v>
      </c>
      <c r="BX456" s="483">
        <f t="shared" si="293"/>
        <v>0</v>
      </c>
    </row>
    <row r="457" spans="1:77" s="103" customFormat="1" ht="29">
      <c r="A457" s="100"/>
      <c r="B457" s="91" t="str">
        <f t="shared" si="262"/>
        <v>TRA</v>
      </c>
      <c r="C457" s="92"/>
      <c r="D457" s="448"/>
      <c r="E457" s="449"/>
      <c r="F457" s="384" t="s">
        <v>2950</v>
      </c>
      <c r="G457" s="384" t="s">
        <v>4471</v>
      </c>
      <c r="H457" s="398">
        <v>0.78</v>
      </c>
      <c r="I457" s="95"/>
      <c r="J457" s="95" t="s">
        <v>1166</v>
      </c>
      <c r="K457" s="191">
        <v>137581</v>
      </c>
      <c r="L457" s="268">
        <v>1</v>
      </c>
      <c r="M457" s="266">
        <v>0.58823529411764708</v>
      </c>
      <c r="N457" s="267">
        <f t="shared" si="263"/>
        <v>0.41176470588235292</v>
      </c>
      <c r="O457" s="96">
        <f t="shared" si="264"/>
        <v>30267.819999999996</v>
      </c>
      <c r="P457" s="96">
        <f t="shared" si="259"/>
        <v>63125.4</v>
      </c>
      <c r="Q457" s="96">
        <f t="shared" si="265"/>
        <v>44187.78</v>
      </c>
      <c r="R457" s="187"/>
      <c r="S457" s="187" t="s">
        <v>3607</v>
      </c>
      <c r="T457" s="94" t="s">
        <v>2789</v>
      </c>
      <c r="U457" s="395"/>
      <c r="V457" s="100"/>
      <c r="W457" s="100"/>
      <c r="X457" s="109">
        <v>53656.590000000004</v>
      </c>
      <c r="Y457" s="109">
        <v>53656.590000000004</v>
      </c>
      <c r="Z457" s="110">
        <v>1</v>
      </c>
      <c r="AA457" s="110">
        <v>0.5</v>
      </c>
      <c r="AB457" s="110">
        <v>0.5</v>
      </c>
      <c r="AC457" s="109">
        <f>IF(ISERROR((X457*SUMIF('Rev_for_allocation(Hard)'!$A$3:$A$249,$T457,'Rev_for_allocation(Hard)'!$I$3:$I$249)/SUMIF(Historic_capex_list!$T$9:$T$586,$T457,Historic_capex_list!$X$9:$X$586))=TRUE),0,X457*SUMIF('Rev_for_allocation(Hard)'!$A$3:$A$249,$T457,'Rev_for_allocation(Hard)'!$I$3:$I$249)/SUMIF(Historic_capex_list!$T$9:$T$586,$T457,Historic_capex_list!$X$9:$X$586))</f>
        <v>0</v>
      </c>
      <c r="AD457" s="109">
        <f t="shared" si="266"/>
        <v>53656.590000000004</v>
      </c>
      <c r="AE457" s="109">
        <f t="shared" si="261"/>
        <v>53656.590000000004</v>
      </c>
      <c r="AF457" s="109">
        <f t="shared" si="267"/>
        <v>107313.18000000001</v>
      </c>
      <c r="AG457" s="332" t="str">
        <f t="shared" si="268"/>
        <v>N</v>
      </c>
      <c r="AH457" s="332">
        <f t="shared" ref="AH457:AH508" si="294">SUMIFS($AF$9:$AF$506,$T$9:$T$506,$T457,$AG$9:$AG$506,"Y")</f>
        <v>0</v>
      </c>
      <c r="AI457" s="332">
        <f t="shared" ref="AI457:AI506" si="295">IF(AND(AH457&lt;0,AG457="N"),AH457*AF457/SUMIFS($AE$9:$AE$506,$T$9:$T$506,$T457,$AG$9:$AG$506,"N"),0)</f>
        <v>0</v>
      </c>
      <c r="AJ457" s="109">
        <f t="shared" ref="AJ457:AJ506" si="296">IF(AND(AI457&lt;0,AF457&gt;0),AI457+AF457,IF(AND(AI457=0,AF457&lt;0,COUNTIFS($T$9:$T$506,$T457,$AF$9:$AF$506,"&gt;0")&gt;0),0,+AF457))</f>
        <v>107313.18000000001</v>
      </c>
      <c r="AK457" s="109">
        <f t="shared" si="269"/>
        <v>0</v>
      </c>
      <c r="AL457" s="109">
        <v>0</v>
      </c>
      <c r="AM457" s="111">
        <f t="shared" si="270"/>
        <v>10</v>
      </c>
      <c r="AN457" s="111">
        <f t="shared" si="271"/>
        <v>7</v>
      </c>
      <c r="AO457" s="111" t="str">
        <f t="shared" si="272"/>
        <v>Use deduct 3yrs</v>
      </c>
      <c r="AP457" s="111">
        <f t="shared" si="273"/>
        <v>7</v>
      </c>
      <c r="AQ457" s="112">
        <f t="shared" si="274"/>
        <v>0.41176470588235292</v>
      </c>
      <c r="AR457" s="112">
        <f t="shared" si="275"/>
        <v>0.58823529411764708</v>
      </c>
      <c r="AS457" s="113">
        <f t="shared" si="276"/>
        <v>2035</v>
      </c>
      <c r="AT457" s="109">
        <v>107313.18000000001</v>
      </c>
      <c r="AU457" s="114">
        <v>0.58823529411764708</v>
      </c>
      <c r="AV457" s="113">
        <v>2035</v>
      </c>
      <c r="AW457" s="112">
        <f t="shared" si="277"/>
        <v>1</v>
      </c>
      <c r="AX457" s="109">
        <f t="shared" si="278"/>
        <v>63125.4</v>
      </c>
      <c r="AY457" s="109">
        <f t="shared" si="279"/>
        <v>44187.78</v>
      </c>
      <c r="AZ457" s="109">
        <f t="shared" si="280"/>
        <v>107313.18</v>
      </c>
      <c r="BA457" s="111">
        <f t="shared" si="281"/>
        <v>0</v>
      </c>
      <c r="BB457" s="117"/>
      <c r="BC457" s="115" t="str">
        <f t="shared" si="282"/>
        <v>N</v>
      </c>
      <c r="BD457" s="115" t="str">
        <f t="shared" si="283"/>
        <v>N</v>
      </c>
      <c r="BE457" s="115" t="str">
        <f t="shared" si="284"/>
        <v>N</v>
      </c>
      <c r="BF457" s="109" t="str">
        <f t="shared" si="285"/>
        <v/>
      </c>
      <c r="BG457" s="111" t="s">
        <v>2499</v>
      </c>
      <c r="BH457" s="115" t="s">
        <v>1168</v>
      </c>
      <c r="BI457" s="116"/>
      <c r="BJ457" s="222">
        <v>1</v>
      </c>
      <c r="BK457" s="265">
        <f t="shared" si="286"/>
        <v>0</v>
      </c>
      <c r="BL457" s="265">
        <f t="shared" si="287"/>
        <v>0</v>
      </c>
      <c r="BM457" s="265">
        <f t="shared" si="288"/>
        <v>0</v>
      </c>
      <c r="BN457" s="265">
        <f t="shared" si="289"/>
        <v>-9468.8099999999977</v>
      </c>
      <c r="BO457" s="109"/>
      <c r="BP457" s="265">
        <f t="shared" si="290"/>
        <v>0</v>
      </c>
      <c r="BQ457" s="265">
        <v>0</v>
      </c>
      <c r="BR457" s="265" t="e">
        <f t="shared" si="291"/>
        <v>#REF!</v>
      </c>
      <c r="BS457" s="265">
        <v>0</v>
      </c>
      <c r="BT457" s="475">
        <v>30267.819999999996</v>
      </c>
      <c r="BU457" s="475">
        <v>63125.4</v>
      </c>
      <c r="BV457" s="475">
        <v>44187.78</v>
      </c>
      <c r="BW457" s="483">
        <f t="shared" si="292"/>
        <v>0</v>
      </c>
      <c r="BX457" s="483">
        <f t="shared" si="293"/>
        <v>0</v>
      </c>
    </row>
    <row r="458" spans="1:77" s="103" customFormat="1" ht="58">
      <c r="A458" s="100"/>
      <c r="B458" s="91" t="str">
        <f t="shared" si="262"/>
        <v>TRA</v>
      </c>
      <c r="C458" s="92"/>
      <c r="D458" s="448"/>
      <c r="E458" s="450"/>
      <c r="F458" s="384" t="s">
        <v>2479</v>
      </c>
      <c r="G458" s="384" t="s">
        <v>4464</v>
      </c>
      <c r="H458" s="398">
        <v>0.31</v>
      </c>
      <c r="I458" s="95"/>
      <c r="J458" s="95" t="s">
        <v>1166</v>
      </c>
      <c r="K458" s="191">
        <v>15524746</v>
      </c>
      <c r="L458" s="268">
        <v>0.25871520086057453</v>
      </c>
      <c r="M458" s="266">
        <v>1</v>
      </c>
      <c r="N458" s="267">
        <f t="shared" si="263"/>
        <v>0</v>
      </c>
      <c r="O458" s="96">
        <f t="shared" si="264"/>
        <v>14279634.788293183</v>
      </c>
      <c r="P458" s="96">
        <f t="shared" si="259"/>
        <v>1245111.2117068144</v>
      </c>
      <c r="Q458" s="96">
        <f t="shared" si="265"/>
        <v>0</v>
      </c>
      <c r="R458" s="187" t="s">
        <v>2338</v>
      </c>
      <c r="S458" s="187" t="s">
        <v>3608</v>
      </c>
      <c r="T458" s="94" t="s">
        <v>2782</v>
      </c>
      <c r="U458" s="395">
        <f>COUNTIF(Aggregation_of_rev_to_allocate!$A$3:$A$137,$T458)</f>
        <v>1</v>
      </c>
      <c r="V458" s="100"/>
      <c r="W458" s="100">
        <v>904</v>
      </c>
      <c r="X458" s="109">
        <v>4812671.26</v>
      </c>
      <c r="Y458" s="109">
        <v>0</v>
      </c>
      <c r="Z458" s="110">
        <v>1</v>
      </c>
      <c r="AA458" s="110">
        <v>1</v>
      </c>
      <c r="AB458" s="110">
        <v>0</v>
      </c>
      <c r="AC458" s="109">
        <f>IF(ISERROR((X458*SUMIF('Rev_for_allocation(Hard)'!$A$3:$A$249,$T458,'Rev_for_allocation(Hard)'!$I$3:$I$249)/SUMIF(Historic_capex_list!$T$9:$T$586,$T458,Historic_capex_list!$X$9:$X$586))=TRUE),0,X458*SUMIF('Rev_for_allocation(Hard)'!$A$3:$A$249,$T458,'Rev_for_allocation(Hard)'!$I$3:$I$249)/SUMIF(Historic_capex_list!$T$9:$T$586,$T458,Historic_capex_list!$X$9:$X$586))</f>
        <v>-3567560.0482931854</v>
      </c>
      <c r="AD458" s="109">
        <f t="shared" si="266"/>
        <v>1245111.2117068144</v>
      </c>
      <c r="AE458" s="109">
        <f t="shared" si="261"/>
        <v>1245111.2117068144</v>
      </c>
      <c r="AF458" s="109">
        <f t="shared" si="267"/>
        <v>1245111.2117068144</v>
      </c>
      <c r="AG458" s="332" t="str">
        <f t="shared" si="268"/>
        <v>N</v>
      </c>
      <c r="AH458" s="332">
        <f t="shared" si="294"/>
        <v>0</v>
      </c>
      <c r="AI458" s="332">
        <f t="shared" si="295"/>
        <v>0</v>
      </c>
      <c r="AJ458" s="109">
        <f t="shared" si="296"/>
        <v>1245111.2117068144</v>
      </c>
      <c r="AK458" s="109">
        <f t="shared" si="269"/>
        <v>0</v>
      </c>
      <c r="AL458" s="109">
        <v>0</v>
      </c>
      <c r="AM458" s="111">
        <f t="shared" si="270"/>
        <v>0</v>
      </c>
      <c r="AN458" s="111">
        <f t="shared" si="271"/>
        <v>0</v>
      </c>
      <c r="AO458" s="111">
        <f t="shared" si="272"/>
        <v>-18.652541353336048</v>
      </c>
      <c r="AP458" s="111">
        <f t="shared" si="273"/>
        <v>0</v>
      </c>
      <c r="AQ458" s="112">
        <f t="shared" si="274"/>
        <v>0</v>
      </c>
      <c r="AR458" s="112">
        <f t="shared" si="275"/>
        <v>1</v>
      </c>
      <c r="AS458" s="113">
        <f t="shared" si="276"/>
        <v>2028</v>
      </c>
      <c r="AT458" s="109">
        <v>1245111.2117068144</v>
      </c>
      <c r="AU458" s="114">
        <v>1</v>
      </c>
      <c r="AV458" s="113">
        <v>2028</v>
      </c>
      <c r="AW458" s="112">
        <f t="shared" si="277"/>
        <v>0.25871520086057453</v>
      </c>
      <c r="AX458" s="109">
        <f t="shared" si="278"/>
        <v>1245111.2117068144</v>
      </c>
      <c r="AY458" s="109">
        <f t="shared" si="279"/>
        <v>0</v>
      </c>
      <c r="AZ458" s="109">
        <f t="shared" si="280"/>
        <v>1245111.2117068144</v>
      </c>
      <c r="BA458" s="111">
        <f t="shared" si="281"/>
        <v>0</v>
      </c>
      <c r="BB458" s="117"/>
      <c r="BC458" s="115" t="str">
        <f t="shared" si="282"/>
        <v>N</v>
      </c>
      <c r="BD458" s="115" t="str">
        <f t="shared" si="283"/>
        <v>Y</v>
      </c>
      <c r="BE458" s="115" t="str">
        <f t="shared" si="284"/>
        <v>N</v>
      </c>
      <c r="BF458" s="109" t="str">
        <f t="shared" si="285"/>
        <v/>
      </c>
      <c r="BG458" s="111" t="s">
        <v>2499</v>
      </c>
      <c r="BH458" s="115" t="s">
        <v>1168</v>
      </c>
      <c r="BI458" s="116"/>
      <c r="BJ458" s="222">
        <v>0.25871520086057453</v>
      </c>
      <c r="BK458" s="265">
        <f t="shared" si="286"/>
        <v>0</v>
      </c>
      <c r="BL458" s="265">
        <f t="shared" si="287"/>
        <v>0</v>
      </c>
      <c r="BM458" s="265">
        <f t="shared" si="288"/>
        <v>2.7939677238464355E-9</v>
      </c>
      <c r="BN458" s="265">
        <f t="shared" si="289"/>
        <v>3567560.0482931854</v>
      </c>
      <c r="BO458" s="109"/>
      <c r="BP458" s="265">
        <f t="shared" si="290"/>
        <v>3567560.0482931854</v>
      </c>
      <c r="BQ458" s="265">
        <v>3567560.0482931854</v>
      </c>
      <c r="BR458" s="265" t="e">
        <f t="shared" si="291"/>
        <v>#REF!</v>
      </c>
      <c r="BS458" s="265">
        <v>401918.5904622004</v>
      </c>
      <c r="BT458" s="475">
        <v>14279634.788293183</v>
      </c>
      <c r="BU458" s="475">
        <v>1245111.2117068144</v>
      </c>
      <c r="BV458" s="475">
        <v>0</v>
      </c>
      <c r="BW458" s="483">
        <f t="shared" si="292"/>
        <v>0</v>
      </c>
      <c r="BX458" s="483">
        <f t="shared" si="293"/>
        <v>0</v>
      </c>
    </row>
    <row r="459" spans="1:77" s="103" customFormat="1" ht="58">
      <c r="A459" s="100"/>
      <c r="B459" s="91" t="str">
        <f t="shared" si="262"/>
        <v>TRA</v>
      </c>
      <c r="C459" s="92" t="s">
        <v>3626</v>
      </c>
      <c r="D459" s="448"/>
      <c r="E459" s="449"/>
      <c r="F459" s="384" t="s">
        <v>2479</v>
      </c>
      <c r="G459" s="384" t="s">
        <v>4464</v>
      </c>
      <c r="H459" s="398">
        <v>0.31</v>
      </c>
      <c r="I459" s="95"/>
      <c r="J459" s="95" t="s">
        <v>1166</v>
      </c>
      <c r="K459" s="191">
        <v>28212203.880000003</v>
      </c>
      <c r="L459" s="268">
        <v>0.25871520086057459</v>
      </c>
      <c r="M459" s="266">
        <v>1</v>
      </c>
      <c r="N459" s="267">
        <f t="shared" si="263"/>
        <v>0</v>
      </c>
      <c r="O459" s="96">
        <f t="shared" si="264"/>
        <v>25949536.822004557</v>
      </c>
      <c r="P459" s="96">
        <f t="shared" si="259"/>
        <v>2262667.0579954414</v>
      </c>
      <c r="Q459" s="96">
        <f t="shared" si="265"/>
        <v>0</v>
      </c>
      <c r="R459" s="187" t="s">
        <v>2338</v>
      </c>
      <c r="S459" s="187" t="s">
        <v>3608</v>
      </c>
      <c r="T459" s="94" t="s">
        <v>2782</v>
      </c>
      <c r="U459" s="395">
        <f>COUNTIF(Aggregation_of_rev_to_allocate!$A$3:$A$137,$T459)</f>
        <v>1</v>
      </c>
      <c r="V459" s="100"/>
      <c r="W459" s="100">
        <v>1044</v>
      </c>
      <c r="X459" s="109">
        <v>8745783.2028000001</v>
      </c>
      <c r="Y459" s="109">
        <v>0</v>
      </c>
      <c r="Z459" s="110">
        <v>1</v>
      </c>
      <c r="AA459" s="110">
        <v>1</v>
      </c>
      <c r="AB459" s="110">
        <v>0</v>
      </c>
      <c r="AC459" s="109">
        <f>IF(ISERROR((X459*SUMIF('Rev_for_allocation(Hard)'!$A$3:$A$249,$T459,'Rev_for_allocation(Hard)'!$I$3:$I$249)/SUMIF(Historic_capex_list!$T$9:$T$586,$T459,Historic_capex_list!$X$9:$X$586))=TRUE),0,X459*SUMIF('Rev_for_allocation(Hard)'!$A$3:$A$249,$T459,'Rev_for_allocation(Hard)'!$I$3:$I$249)/SUMIF(Historic_capex_list!$T$9:$T$586,$T459,Historic_capex_list!$X$9:$X$586))</f>
        <v>-6483116.1448045587</v>
      </c>
      <c r="AD459" s="109">
        <f t="shared" si="266"/>
        <v>2262667.0579954414</v>
      </c>
      <c r="AE459" s="109">
        <f t="shared" si="261"/>
        <v>2262667.0579954414</v>
      </c>
      <c r="AF459" s="109">
        <f t="shared" si="267"/>
        <v>2262667.0579954414</v>
      </c>
      <c r="AG459" s="332" t="str">
        <f t="shared" si="268"/>
        <v>N</v>
      </c>
      <c r="AH459" s="332">
        <f t="shared" si="294"/>
        <v>0</v>
      </c>
      <c r="AI459" s="332">
        <f t="shared" si="295"/>
        <v>0</v>
      </c>
      <c r="AJ459" s="109">
        <f t="shared" si="296"/>
        <v>2262667.0579954414</v>
      </c>
      <c r="AK459" s="109">
        <f t="shared" si="269"/>
        <v>0</v>
      </c>
      <c r="AL459" s="109">
        <v>0</v>
      </c>
      <c r="AM459" s="111">
        <f t="shared" si="270"/>
        <v>0</v>
      </c>
      <c r="AN459" s="111">
        <f t="shared" si="271"/>
        <v>0</v>
      </c>
      <c r="AO459" s="111">
        <f t="shared" si="272"/>
        <v>-18.652541353336044</v>
      </c>
      <c r="AP459" s="111">
        <f t="shared" si="273"/>
        <v>0</v>
      </c>
      <c r="AQ459" s="112">
        <f t="shared" si="274"/>
        <v>0</v>
      </c>
      <c r="AR459" s="112">
        <f t="shared" si="275"/>
        <v>1</v>
      </c>
      <c r="AS459" s="113">
        <f t="shared" si="276"/>
        <v>2028</v>
      </c>
      <c r="AT459" s="109">
        <v>2262667.0579954414</v>
      </c>
      <c r="AU459" s="114">
        <v>1</v>
      </c>
      <c r="AV459" s="113">
        <v>2028</v>
      </c>
      <c r="AW459" s="112">
        <f t="shared" si="277"/>
        <v>0.25871520086057459</v>
      </c>
      <c r="AX459" s="109">
        <f t="shared" si="278"/>
        <v>2262667.0579954414</v>
      </c>
      <c r="AY459" s="109">
        <f t="shared" si="279"/>
        <v>0</v>
      </c>
      <c r="AZ459" s="109">
        <f t="shared" si="280"/>
        <v>2262667.0579954414</v>
      </c>
      <c r="BA459" s="111">
        <f t="shared" si="281"/>
        <v>0</v>
      </c>
      <c r="BB459" s="117"/>
      <c r="BC459" s="115" t="str">
        <f t="shared" si="282"/>
        <v>N</v>
      </c>
      <c r="BD459" s="115" t="str">
        <f t="shared" si="283"/>
        <v>Y</v>
      </c>
      <c r="BE459" s="115" t="str">
        <f t="shared" si="284"/>
        <v>N</v>
      </c>
      <c r="BF459" s="109" t="str">
        <f t="shared" si="285"/>
        <v/>
      </c>
      <c r="BG459" s="111" t="s">
        <v>2499</v>
      </c>
      <c r="BH459" s="115" t="s">
        <v>1168</v>
      </c>
      <c r="BI459" s="116"/>
      <c r="BJ459" s="222">
        <v>0.25871520086057459</v>
      </c>
      <c r="BK459" s="265">
        <f t="shared" si="286"/>
        <v>0</v>
      </c>
      <c r="BL459" s="265">
        <f t="shared" si="287"/>
        <v>0</v>
      </c>
      <c r="BM459" s="265">
        <f t="shared" si="288"/>
        <v>4.6566128730773926E-9</v>
      </c>
      <c r="BN459" s="265">
        <f t="shared" si="289"/>
        <v>6483116.1448045587</v>
      </c>
      <c r="BO459" s="109"/>
      <c r="BP459" s="265">
        <f t="shared" si="290"/>
        <v>6483116.1448045587</v>
      </c>
      <c r="BQ459" s="265">
        <v>6483116.1448045587</v>
      </c>
      <c r="BR459" s="265" t="e">
        <f t="shared" si="291"/>
        <v>#REF!</v>
      </c>
      <c r="BS459" s="265">
        <v>730382.91365809273</v>
      </c>
      <c r="BT459" s="475">
        <v>25949536.822004557</v>
      </c>
      <c r="BU459" s="475">
        <v>2262667.0579954414</v>
      </c>
      <c r="BV459" s="475">
        <v>0</v>
      </c>
      <c r="BW459" s="483">
        <f t="shared" si="292"/>
        <v>0</v>
      </c>
      <c r="BX459" s="483">
        <f t="shared" si="293"/>
        <v>0</v>
      </c>
    </row>
    <row r="460" spans="1:77" s="103" customFormat="1" ht="29">
      <c r="A460" s="100" t="s">
        <v>2259</v>
      </c>
      <c r="B460" s="91" t="str">
        <f t="shared" si="262"/>
        <v>TRA</v>
      </c>
      <c r="C460" s="92" t="s">
        <v>461</v>
      </c>
      <c r="D460" s="448"/>
      <c r="E460" s="450" t="s">
        <v>2202</v>
      </c>
      <c r="F460" s="468" t="s">
        <v>2520</v>
      </c>
      <c r="G460" s="384" t="s">
        <v>4690</v>
      </c>
      <c r="H460" s="398">
        <v>1</v>
      </c>
      <c r="I460" s="95" t="s">
        <v>951</v>
      </c>
      <c r="J460" s="95" t="s">
        <v>1166</v>
      </c>
      <c r="K460" s="191">
        <v>909590</v>
      </c>
      <c r="L460" s="268">
        <v>0.54145740245404583</v>
      </c>
      <c r="M460" s="266">
        <v>0.47557840616966585</v>
      </c>
      <c r="N460" s="267">
        <f t="shared" si="263"/>
        <v>0.52442159383033415</v>
      </c>
      <c r="O460" s="96">
        <f t="shared" si="264"/>
        <v>417085.76130182447</v>
      </c>
      <c r="P460" s="96">
        <f t="shared" ref="P460:P506" si="297">(+K460*L460*M460*H460)</f>
        <v>234224.38087188298</v>
      </c>
      <c r="Q460" s="96">
        <f t="shared" si="265"/>
        <v>258279.85782629254</v>
      </c>
      <c r="R460" s="187" t="s">
        <v>2337</v>
      </c>
      <c r="S460" s="187" t="s">
        <v>3608</v>
      </c>
      <c r="T460" s="94" t="s">
        <v>2781</v>
      </c>
      <c r="U460" s="395">
        <f>COUNTIF(Aggregation_of_rev_to_allocate!$A$3:$A$137,$T460)</f>
        <v>1</v>
      </c>
      <c r="V460" s="100"/>
      <c r="W460" s="100">
        <v>557</v>
      </c>
      <c r="X460" s="109">
        <v>272159.17127930728</v>
      </c>
      <c r="Y460" s="109">
        <v>381758.40511881205</v>
      </c>
      <c r="Z460" s="110">
        <v>0.71891464989513887</v>
      </c>
      <c r="AA460" s="110">
        <v>0.41619797525309343</v>
      </c>
      <c r="AB460" s="110">
        <v>0.58380202474690657</v>
      </c>
      <c r="AC460" s="109">
        <f>IF(ISERROR((X460*SUMIF('Rev_for_allocation(Hard)'!$A$3:$A$249,$T460,'Rev_for_allocation(Hard)'!$I$3:$I$249)/SUMIF(Historic_capex_list!$T$9:$T$586,$T460,Historic_capex_list!$X$9:$X$586))=TRUE),0,X460*SUMIF('Rev_for_allocation(Hard)'!$A$3:$A$249,$T460,'Rev_for_allocation(Hard)'!$I$3:$I$249)/SUMIF(Historic_capex_list!$T$9:$T$586,$T460,Historic_capex_list!$X$9:$X$586))</f>
        <v>-163952.47195462452</v>
      </c>
      <c r="AD460" s="109">
        <f t="shared" si="266"/>
        <v>108206.69932468276</v>
      </c>
      <c r="AE460" s="109">
        <f t="shared" si="261"/>
        <v>108206.69932468276</v>
      </c>
      <c r="AF460" s="109">
        <f t="shared" si="267"/>
        <v>489965.10444349481</v>
      </c>
      <c r="AG460" s="332" t="str">
        <f t="shared" si="268"/>
        <v>N</v>
      </c>
      <c r="AH460" s="332">
        <f t="shared" si="294"/>
        <v>0</v>
      </c>
      <c r="AI460" s="332">
        <f t="shared" si="295"/>
        <v>0</v>
      </c>
      <c r="AJ460" s="109">
        <f t="shared" si="296"/>
        <v>489965.10444349481</v>
      </c>
      <c r="AK460" s="109">
        <f t="shared" si="269"/>
        <v>0</v>
      </c>
      <c r="AL460" s="109">
        <v>0</v>
      </c>
      <c r="AM460" s="111">
        <f t="shared" si="270"/>
        <v>14.027027027027025</v>
      </c>
      <c r="AN460" s="111">
        <f t="shared" si="271"/>
        <v>11.027027027027025</v>
      </c>
      <c r="AO460" s="111">
        <f t="shared" si="272"/>
        <v>15.987086143326904</v>
      </c>
      <c r="AP460" s="111">
        <f t="shared" si="273"/>
        <v>11.027027027027025</v>
      </c>
      <c r="AQ460" s="112">
        <f t="shared" si="274"/>
        <v>0.52442159383033415</v>
      </c>
      <c r="AR460" s="112">
        <f t="shared" si="275"/>
        <v>0.47557840616966585</v>
      </c>
      <c r="AS460" s="113">
        <f t="shared" si="276"/>
        <v>2039</v>
      </c>
      <c r="AT460" s="109">
        <v>492504.23869817553</v>
      </c>
      <c r="AU460" s="114">
        <v>0.47557840616966585</v>
      </c>
      <c r="AV460" s="113">
        <v>2039</v>
      </c>
      <c r="AW460" s="112">
        <f t="shared" si="277"/>
        <v>0.54145740245404583</v>
      </c>
      <c r="AX460" s="109">
        <f t="shared" si="278"/>
        <v>234224.38087188298</v>
      </c>
      <c r="AY460" s="109">
        <f t="shared" si="279"/>
        <v>258279.85782629254</v>
      </c>
      <c r="AZ460" s="109">
        <f t="shared" si="280"/>
        <v>492504.23869817553</v>
      </c>
      <c r="BA460" s="111">
        <f t="shared" si="281"/>
        <v>0</v>
      </c>
      <c r="BB460" s="117"/>
      <c r="BC460" s="115" t="str">
        <f t="shared" si="282"/>
        <v>N</v>
      </c>
      <c r="BD460" s="115" t="str">
        <f t="shared" si="283"/>
        <v>N</v>
      </c>
      <c r="BE460" s="115" t="str">
        <f t="shared" si="284"/>
        <v>N</v>
      </c>
      <c r="BF460" s="109" t="str">
        <f t="shared" si="285"/>
        <v/>
      </c>
      <c r="BG460" s="111" t="s">
        <v>2499</v>
      </c>
      <c r="BH460" s="115" t="s">
        <v>1168</v>
      </c>
      <c r="BI460" s="116"/>
      <c r="BJ460" s="222">
        <v>0.54145740245404583</v>
      </c>
      <c r="BK460" s="265">
        <f t="shared" si="286"/>
        <v>0</v>
      </c>
      <c r="BL460" s="265">
        <f t="shared" si="287"/>
        <v>0</v>
      </c>
      <c r="BM460" s="265">
        <f t="shared" si="288"/>
        <v>0</v>
      </c>
      <c r="BN460" s="265">
        <f t="shared" si="289"/>
        <v>37934.790407424298</v>
      </c>
      <c r="BO460" s="109"/>
      <c r="BP460" s="265">
        <f t="shared" si="290"/>
        <v>161413.3376999438</v>
      </c>
      <c r="BQ460" s="265">
        <v>161413.3376999438</v>
      </c>
      <c r="BR460" s="265" t="e">
        <f t="shared" si="291"/>
        <v>#REF!</v>
      </c>
      <c r="BS460" s="265">
        <v>18184.703352421071</v>
      </c>
      <c r="BT460" s="475">
        <v>417085.76130182447</v>
      </c>
      <c r="BU460" s="475">
        <v>234224.38087188298</v>
      </c>
      <c r="BV460" s="475">
        <v>258279.85782629254</v>
      </c>
      <c r="BW460" s="483">
        <f t="shared" si="292"/>
        <v>0</v>
      </c>
      <c r="BX460" s="483">
        <f t="shared" si="293"/>
        <v>0</v>
      </c>
    </row>
    <row r="461" spans="1:77" s="103" customFormat="1" ht="58">
      <c r="A461" s="100"/>
      <c r="B461" s="91" t="str">
        <f t="shared" si="262"/>
        <v>TRA</v>
      </c>
      <c r="C461" s="92"/>
      <c r="D461" s="448"/>
      <c r="E461" s="450"/>
      <c r="F461" s="384" t="s">
        <v>4647</v>
      </c>
      <c r="G461" s="384" t="s">
        <v>4462</v>
      </c>
      <c r="H461" s="398">
        <v>0.31</v>
      </c>
      <c r="I461" s="95"/>
      <c r="J461" s="95" t="s">
        <v>1166</v>
      </c>
      <c r="K461" s="191">
        <v>832673</v>
      </c>
      <c r="L461" s="268">
        <v>0.42179785667124814</v>
      </c>
      <c r="M461" s="266">
        <v>1</v>
      </c>
      <c r="N461" s="267">
        <f t="shared" si="263"/>
        <v>0</v>
      </c>
      <c r="O461" s="96">
        <f t="shared" si="264"/>
        <v>723794.89712051442</v>
      </c>
      <c r="P461" s="96">
        <f t="shared" si="297"/>
        <v>108878.10287948564</v>
      </c>
      <c r="Q461" s="96">
        <f t="shared" si="265"/>
        <v>0</v>
      </c>
      <c r="R461" s="187" t="s">
        <v>2338</v>
      </c>
      <c r="S461" s="187" t="s">
        <v>3608</v>
      </c>
      <c r="T461" s="94" t="s">
        <v>2782</v>
      </c>
      <c r="U461" s="395">
        <f>COUNTIF(Aggregation_of_rev_to_allocate!$A$3:$A$137,$T461)</f>
        <v>1</v>
      </c>
      <c r="V461" s="100"/>
      <c r="W461" s="100">
        <v>905</v>
      </c>
      <c r="X461" s="109">
        <v>201340.33140000002</v>
      </c>
      <c r="Y461" s="109">
        <v>56788.298599999987</v>
      </c>
      <c r="Z461" s="110">
        <v>1</v>
      </c>
      <c r="AA461" s="110">
        <v>0.78</v>
      </c>
      <c r="AB461" s="110">
        <v>0.21999999999999997</v>
      </c>
      <c r="AC461" s="109">
        <f>IF(ISERROR((X461*SUMIF('Rev_for_allocation(Hard)'!$A$3:$A$249,$T461,'Rev_for_allocation(Hard)'!$I$3:$I$249)/SUMIF(Historic_capex_list!$T$9:$T$586,$T461,Historic_capex_list!$X$9:$X$586))=TRUE),0,X461*SUMIF('Rev_for_allocation(Hard)'!$A$3:$A$249,$T461,'Rev_for_allocation(Hard)'!$I$3:$I$249)/SUMIF(Historic_capex_list!$T$9:$T$586,$T461,Historic_capex_list!$X$9:$X$586))</f>
        <v>-149250.52712051437</v>
      </c>
      <c r="AD461" s="109">
        <f t="shared" si="266"/>
        <v>52089.804279485659</v>
      </c>
      <c r="AE461" s="109">
        <f t="shared" si="261"/>
        <v>52089.804279485659</v>
      </c>
      <c r="AF461" s="109">
        <f t="shared" si="267"/>
        <v>108878.10287948564</v>
      </c>
      <c r="AG461" s="332" t="str">
        <f t="shared" si="268"/>
        <v>N</v>
      </c>
      <c r="AH461" s="332">
        <f t="shared" si="294"/>
        <v>0</v>
      </c>
      <c r="AI461" s="332">
        <f t="shared" si="295"/>
        <v>0</v>
      </c>
      <c r="AJ461" s="109">
        <f t="shared" si="296"/>
        <v>108878.10287948564</v>
      </c>
      <c r="AK461" s="109">
        <f t="shared" si="269"/>
        <v>0</v>
      </c>
      <c r="AL461" s="109">
        <v>0</v>
      </c>
      <c r="AM461" s="111">
        <f t="shared" si="270"/>
        <v>2.8205128205128198</v>
      </c>
      <c r="AN461" s="111">
        <f t="shared" si="271"/>
        <v>-0.17948717948718018</v>
      </c>
      <c r="AO461" s="111">
        <f t="shared" si="272"/>
        <v>-4.7538960441862592</v>
      </c>
      <c r="AP461" s="111">
        <f t="shared" si="273"/>
        <v>0</v>
      </c>
      <c r="AQ461" s="112">
        <f t="shared" si="274"/>
        <v>0</v>
      </c>
      <c r="AR461" s="112">
        <f t="shared" si="275"/>
        <v>1</v>
      </c>
      <c r="AS461" s="113">
        <f t="shared" si="276"/>
        <v>2028</v>
      </c>
      <c r="AT461" s="109">
        <v>108878.10287948564</v>
      </c>
      <c r="AU461" s="114">
        <v>1</v>
      </c>
      <c r="AV461" s="113">
        <v>2028</v>
      </c>
      <c r="AW461" s="112">
        <f t="shared" si="277"/>
        <v>0.42179785667124814</v>
      </c>
      <c r="AX461" s="109">
        <f t="shared" si="278"/>
        <v>108878.10287948564</v>
      </c>
      <c r="AY461" s="109">
        <f t="shared" si="279"/>
        <v>0</v>
      </c>
      <c r="AZ461" s="109">
        <f t="shared" si="280"/>
        <v>108878.10287948564</v>
      </c>
      <c r="BA461" s="111">
        <f t="shared" si="281"/>
        <v>0</v>
      </c>
      <c r="BB461" s="117"/>
      <c r="BC461" s="115" t="str">
        <f t="shared" si="282"/>
        <v>N</v>
      </c>
      <c r="BD461" s="115" t="str">
        <f t="shared" si="283"/>
        <v>Y</v>
      </c>
      <c r="BE461" s="115" t="str">
        <f t="shared" si="284"/>
        <v>N</v>
      </c>
      <c r="BF461" s="109" t="str">
        <f t="shared" si="285"/>
        <v/>
      </c>
      <c r="BG461" s="111" t="s">
        <v>2499</v>
      </c>
      <c r="BH461" s="115" t="s">
        <v>1168</v>
      </c>
      <c r="BI461" s="116"/>
      <c r="BJ461" s="222">
        <v>0.42179785667124814</v>
      </c>
      <c r="BK461" s="265">
        <f t="shared" si="286"/>
        <v>0</v>
      </c>
      <c r="BL461" s="265">
        <f t="shared" si="287"/>
        <v>0</v>
      </c>
      <c r="BM461" s="265">
        <f t="shared" si="288"/>
        <v>-5.8207660913467407E-11</v>
      </c>
      <c r="BN461" s="265">
        <f t="shared" si="289"/>
        <v>92462.228520514385</v>
      </c>
      <c r="BO461" s="109"/>
      <c r="BP461" s="265">
        <f t="shared" si="290"/>
        <v>149250.52712051437</v>
      </c>
      <c r="BQ461" s="265">
        <v>149250.52712051437</v>
      </c>
      <c r="BR461" s="265" t="e">
        <f t="shared" si="291"/>
        <v>#REF!</v>
      </c>
      <c r="BS461" s="265">
        <v>16814.450401393158</v>
      </c>
      <c r="BT461" s="475">
        <v>723794.89712051442</v>
      </c>
      <c r="BU461" s="475">
        <v>108878.10287948564</v>
      </c>
      <c r="BV461" s="475">
        <v>0</v>
      </c>
      <c r="BW461" s="483">
        <f t="shared" si="292"/>
        <v>0</v>
      </c>
      <c r="BX461" s="483">
        <f t="shared" si="293"/>
        <v>0</v>
      </c>
    </row>
    <row r="462" spans="1:77" s="103" customFormat="1" ht="58">
      <c r="A462" s="100"/>
      <c r="B462" s="91" t="str">
        <f t="shared" si="262"/>
        <v>TRA</v>
      </c>
      <c r="C462" s="92" t="s">
        <v>3626</v>
      </c>
      <c r="D462" s="448"/>
      <c r="E462" s="449"/>
      <c r="F462" s="384" t="s">
        <v>4647</v>
      </c>
      <c r="G462" s="384" t="s">
        <v>4462</v>
      </c>
      <c r="H462" s="398">
        <v>0.31</v>
      </c>
      <c r="I462" s="95"/>
      <c r="J462" s="95" t="s">
        <v>1166</v>
      </c>
      <c r="K462" s="191">
        <v>3903978.09</v>
      </c>
      <c r="L462" s="268">
        <v>0.42179785667124814</v>
      </c>
      <c r="M462" s="266">
        <v>1</v>
      </c>
      <c r="N462" s="267">
        <f t="shared" si="263"/>
        <v>0</v>
      </c>
      <c r="O462" s="96">
        <f t="shared" si="264"/>
        <v>3393504.3168354104</v>
      </c>
      <c r="P462" s="96">
        <f t="shared" si="297"/>
        <v>510473.77316458902</v>
      </c>
      <c r="Q462" s="96">
        <f t="shared" si="265"/>
        <v>0</v>
      </c>
      <c r="R462" s="187" t="s">
        <v>2338</v>
      </c>
      <c r="S462" s="187" t="s">
        <v>3608</v>
      </c>
      <c r="T462" s="94" t="s">
        <v>2782</v>
      </c>
      <c r="U462" s="395">
        <f>COUNTIF(Aggregation_of_rev_to_allocate!$A$3:$A$137,$T462)</f>
        <v>1</v>
      </c>
      <c r="V462" s="100"/>
      <c r="W462" s="100">
        <v>1045</v>
      </c>
      <c r="X462" s="109">
        <v>943981.90216199995</v>
      </c>
      <c r="Y462" s="109">
        <v>266251.30573799997</v>
      </c>
      <c r="Z462" s="110">
        <v>1</v>
      </c>
      <c r="AA462" s="110">
        <v>0.78</v>
      </c>
      <c r="AB462" s="110">
        <v>0.21999999999999997</v>
      </c>
      <c r="AC462" s="109">
        <f>IF(ISERROR((X462*SUMIF('Rev_for_allocation(Hard)'!$A$3:$A$249,$T462,'Rev_for_allocation(Hard)'!$I$3:$I$249)/SUMIF(Historic_capex_list!$T$9:$T$586,$T462,Historic_capex_list!$X$9:$X$586))=TRUE),0,X462*SUMIF('Rev_for_allocation(Hard)'!$A$3:$A$249,$T462,'Rev_for_allocation(Hard)'!$I$3:$I$249)/SUMIF(Historic_capex_list!$T$9:$T$586,$T462,Historic_capex_list!$X$9:$X$586))</f>
        <v>-699759.43473541085</v>
      </c>
      <c r="AD462" s="109">
        <f t="shared" si="266"/>
        <v>244222.46742658911</v>
      </c>
      <c r="AE462" s="109">
        <f t="shared" si="261"/>
        <v>244222.46742658911</v>
      </c>
      <c r="AF462" s="109">
        <f t="shared" si="267"/>
        <v>510473.77316458907</v>
      </c>
      <c r="AG462" s="332" t="str">
        <f t="shared" si="268"/>
        <v>N</v>
      </c>
      <c r="AH462" s="332">
        <f t="shared" si="294"/>
        <v>0</v>
      </c>
      <c r="AI462" s="332">
        <f t="shared" si="295"/>
        <v>0</v>
      </c>
      <c r="AJ462" s="109">
        <f t="shared" si="296"/>
        <v>510473.77316458907</v>
      </c>
      <c r="AK462" s="109">
        <f t="shared" si="269"/>
        <v>0</v>
      </c>
      <c r="AL462" s="109">
        <v>0</v>
      </c>
      <c r="AM462" s="111">
        <f t="shared" si="270"/>
        <v>2.8205128205128198</v>
      </c>
      <c r="AN462" s="111">
        <f t="shared" si="271"/>
        <v>-0.17948717948718018</v>
      </c>
      <c r="AO462" s="111">
        <f t="shared" si="272"/>
        <v>-4.7538960441862539</v>
      </c>
      <c r="AP462" s="111">
        <f t="shared" si="273"/>
        <v>0</v>
      </c>
      <c r="AQ462" s="112">
        <f t="shared" si="274"/>
        <v>0</v>
      </c>
      <c r="AR462" s="112">
        <f t="shared" si="275"/>
        <v>1</v>
      </c>
      <c r="AS462" s="113">
        <f t="shared" si="276"/>
        <v>2028</v>
      </c>
      <c r="AT462" s="109">
        <v>510473.77316458907</v>
      </c>
      <c r="AU462" s="114">
        <v>1</v>
      </c>
      <c r="AV462" s="113">
        <v>2028</v>
      </c>
      <c r="AW462" s="112">
        <f t="shared" si="277"/>
        <v>0.42179785667124814</v>
      </c>
      <c r="AX462" s="109">
        <f t="shared" si="278"/>
        <v>510473.77316458902</v>
      </c>
      <c r="AY462" s="109">
        <f t="shared" si="279"/>
        <v>0</v>
      </c>
      <c r="AZ462" s="109">
        <f t="shared" si="280"/>
        <v>510473.77316458902</v>
      </c>
      <c r="BA462" s="111">
        <f t="shared" si="281"/>
        <v>0</v>
      </c>
      <c r="BB462" s="117"/>
      <c r="BC462" s="115" t="str">
        <f t="shared" si="282"/>
        <v>N</v>
      </c>
      <c r="BD462" s="115" t="str">
        <f t="shared" si="283"/>
        <v>Y</v>
      </c>
      <c r="BE462" s="115" t="str">
        <f t="shared" si="284"/>
        <v>N</v>
      </c>
      <c r="BF462" s="109" t="str">
        <f t="shared" si="285"/>
        <v/>
      </c>
      <c r="BG462" s="111" t="s">
        <v>2499</v>
      </c>
      <c r="BH462" s="115" t="s">
        <v>1168</v>
      </c>
      <c r="BI462" s="116"/>
      <c r="BJ462" s="222">
        <v>0.42179785667124814</v>
      </c>
      <c r="BK462" s="265">
        <f t="shared" si="286"/>
        <v>0</v>
      </c>
      <c r="BL462" s="265">
        <f t="shared" si="287"/>
        <v>0</v>
      </c>
      <c r="BM462" s="265">
        <f t="shared" si="288"/>
        <v>4.0745362639427185E-10</v>
      </c>
      <c r="BN462" s="265">
        <f t="shared" si="289"/>
        <v>433508.12899741094</v>
      </c>
      <c r="BO462" s="109"/>
      <c r="BP462" s="265">
        <f t="shared" si="290"/>
        <v>699759.43473541073</v>
      </c>
      <c r="BQ462" s="265">
        <v>699759.43473541073</v>
      </c>
      <c r="BR462" s="265" t="e">
        <f t="shared" si="291"/>
        <v>#REF!</v>
      </c>
      <c r="BS462" s="265">
        <v>78834.363504557696</v>
      </c>
      <c r="BT462" s="475">
        <v>3393504.3168354104</v>
      </c>
      <c r="BU462" s="475">
        <v>510473.77316458902</v>
      </c>
      <c r="BV462" s="475">
        <v>0</v>
      </c>
      <c r="BW462" s="483">
        <f t="shared" si="292"/>
        <v>0</v>
      </c>
      <c r="BX462" s="483">
        <f t="shared" si="293"/>
        <v>0</v>
      </c>
    </row>
    <row r="463" spans="1:77" s="103" customFormat="1" ht="29">
      <c r="A463" s="100" t="s">
        <v>2259</v>
      </c>
      <c r="B463" s="91" t="str">
        <f t="shared" si="262"/>
        <v>TRA</v>
      </c>
      <c r="C463" s="92" t="s">
        <v>461</v>
      </c>
      <c r="D463" s="448"/>
      <c r="E463" s="450" t="s">
        <v>2206</v>
      </c>
      <c r="F463" s="468" t="s">
        <v>2521</v>
      </c>
      <c r="G463" s="620" t="s">
        <v>5341</v>
      </c>
      <c r="H463" s="398">
        <v>1</v>
      </c>
      <c r="I463" s="95" t="s">
        <v>951</v>
      </c>
      <c r="J463" s="95" t="s">
        <v>1166</v>
      </c>
      <c r="K463" s="191">
        <v>4461754</v>
      </c>
      <c r="L463" s="268">
        <v>0.37606106638661874</v>
      </c>
      <c r="M463" s="266">
        <v>1</v>
      </c>
      <c r="N463" s="267">
        <f t="shared" si="263"/>
        <v>0</v>
      </c>
      <c r="O463" s="96">
        <f t="shared" si="264"/>
        <v>2783862.0328052384</v>
      </c>
      <c r="P463" s="96">
        <f t="shared" si="297"/>
        <v>1677891.9671947616</v>
      </c>
      <c r="Q463" s="96">
        <f t="shared" si="265"/>
        <v>0</v>
      </c>
      <c r="R463" s="187" t="s">
        <v>2337</v>
      </c>
      <c r="S463" s="187" t="s">
        <v>3608</v>
      </c>
      <c r="T463" s="94" t="s">
        <v>2781</v>
      </c>
      <c r="U463" s="395">
        <f>COUNTIF(Aggregation_of_rev_to_allocate!$A$3:$A$137,$T463)</f>
        <v>1</v>
      </c>
      <c r="V463" s="100"/>
      <c r="W463" s="100">
        <v>558</v>
      </c>
      <c r="X463" s="109">
        <v>1879717.2806982019</v>
      </c>
      <c r="Y463" s="109">
        <v>913005.53633912641</v>
      </c>
      <c r="Z463" s="110">
        <v>0.62592487551696663</v>
      </c>
      <c r="AA463" s="110">
        <v>0.67307692307692313</v>
      </c>
      <c r="AB463" s="110">
        <v>0.32692307692307687</v>
      </c>
      <c r="AC463" s="109">
        <f>IF(ISERROR((X463*SUMIF('Rev_for_allocation(Hard)'!$A$3:$A$249,$T463,'Rev_for_allocation(Hard)'!$I$3:$I$249)/SUMIF(Historic_capex_list!$T$9:$T$586,$T463,Historic_capex_list!$X$9:$X$586))=TRUE),0,X463*SUMIF('Rev_for_allocation(Hard)'!$A$3:$A$249,$T463,'Rev_for_allocation(Hard)'!$I$3:$I$249)/SUMIF(Historic_capex_list!$T$9:$T$586,$T463,Historic_capex_list!$X$9:$X$586))</f>
        <v>-1132367.8467186999</v>
      </c>
      <c r="AD463" s="109">
        <f t="shared" si="266"/>
        <v>747349.43397950195</v>
      </c>
      <c r="AE463" s="109">
        <f t="shared" si="261"/>
        <v>747349.43397950195</v>
      </c>
      <c r="AF463" s="109">
        <f t="shared" si="267"/>
        <v>1660354.9703186285</v>
      </c>
      <c r="AG463" s="332" t="str">
        <f t="shared" si="268"/>
        <v>N</v>
      </c>
      <c r="AH463" s="332">
        <f t="shared" si="294"/>
        <v>0</v>
      </c>
      <c r="AI463" s="332">
        <f t="shared" si="295"/>
        <v>0</v>
      </c>
      <c r="AJ463" s="109">
        <f t="shared" si="296"/>
        <v>1660354.9703186285</v>
      </c>
      <c r="AK463" s="109">
        <f t="shared" si="269"/>
        <v>0</v>
      </c>
      <c r="AL463" s="109">
        <v>0</v>
      </c>
      <c r="AM463" s="111">
        <f t="shared" si="270"/>
        <v>4.8571428571428559</v>
      </c>
      <c r="AN463" s="111">
        <f t="shared" si="271"/>
        <v>1.8571428571428559</v>
      </c>
      <c r="AO463" s="111">
        <f t="shared" si="272"/>
        <v>4.7245199142871925</v>
      </c>
      <c r="AP463" s="111">
        <f t="shared" si="273"/>
        <v>0</v>
      </c>
      <c r="AQ463" s="112">
        <f t="shared" si="274"/>
        <v>0</v>
      </c>
      <c r="AR463" s="112">
        <f t="shared" si="275"/>
        <v>1</v>
      </c>
      <c r="AS463" s="113">
        <f t="shared" si="276"/>
        <v>2028</v>
      </c>
      <c r="AT463" s="109">
        <v>1677891.9671947616</v>
      </c>
      <c r="AU463" s="114">
        <v>1</v>
      </c>
      <c r="AV463" s="113">
        <v>2028</v>
      </c>
      <c r="AW463" s="112">
        <f t="shared" si="277"/>
        <v>0.37606106638661874</v>
      </c>
      <c r="AX463" s="109">
        <f t="shared" si="278"/>
        <v>1677891.9671947616</v>
      </c>
      <c r="AY463" s="109">
        <f t="shared" si="279"/>
        <v>0</v>
      </c>
      <c r="AZ463" s="109">
        <f t="shared" si="280"/>
        <v>1677891.9671947616</v>
      </c>
      <c r="BA463" s="111">
        <f t="shared" si="281"/>
        <v>0</v>
      </c>
      <c r="BB463" s="117"/>
      <c r="BC463" s="115" t="str">
        <f t="shared" si="282"/>
        <v>N</v>
      </c>
      <c r="BD463" s="115" t="str">
        <f t="shared" si="283"/>
        <v>Y</v>
      </c>
      <c r="BE463" s="115" t="str">
        <f t="shared" si="284"/>
        <v>N</v>
      </c>
      <c r="BF463" s="109" t="str">
        <f t="shared" si="285"/>
        <v/>
      </c>
      <c r="BG463" s="111" t="s">
        <v>2499</v>
      </c>
      <c r="BH463" s="115" t="s">
        <v>1168</v>
      </c>
      <c r="BI463" s="116"/>
      <c r="BJ463" s="222">
        <v>0.37606106638661874</v>
      </c>
      <c r="BK463" s="265">
        <f t="shared" si="286"/>
        <v>0</v>
      </c>
      <c r="BL463" s="265">
        <f t="shared" si="287"/>
        <v>0</v>
      </c>
      <c r="BM463" s="265">
        <f t="shared" si="288"/>
        <v>0</v>
      </c>
      <c r="BN463" s="265">
        <f t="shared" si="289"/>
        <v>201825.31350344024</v>
      </c>
      <c r="BO463" s="109"/>
      <c r="BP463" s="265">
        <f t="shared" si="290"/>
        <v>1114830.8498425665</v>
      </c>
      <c r="BQ463" s="265">
        <v>1114830.8498425665</v>
      </c>
      <c r="BR463" s="265" t="e">
        <f t="shared" si="291"/>
        <v>#REF!</v>
      </c>
      <c r="BS463" s="265">
        <v>125595.99213666224</v>
      </c>
      <c r="BT463" s="475">
        <v>2783862.0328052384</v>
      </c>
      <c r="BU463" s="475">
        <v>1677891.9671947616</v>
      </c>
      <c r="BV463" s="475">
        <v>0</v>
      </c>
      <c r="BW463" s="483">
        <f t="shared" si="292"/>
        <v>0</v>
      </c>
      <c r="BX463" s="483">
        <f t="shared" si="293"/>
        <v>0</v>
      </c>
      <c r="BY463" s="103" t="s">
        <v>5333</v>
      </c>
    </row>
    <row r="464" spans="1:77" s="103" customFormat="1" ht="29">
      <c r="A464" s="100" t="s">
        <v>2259</v>
      </c>
      <c r="B464" s="91" t="str">
        <f t="shared" si="262"/>
        <v>TRA</v>
      </c>
      <c r="C464" s="92" t="s">
        <v>461</v>
      </c>
      <c r="D464" s="448"/>
      <c r="E464" s="450" t="s">
        <v>2206</v>
      </c>
      <c r="F464" s="468" t="s">
        <v>2522</v>
      </c>
      <c r="G464" s="620" t="s">
        <v>5341</v>
      </c>
      <c r="H464" s="398">
        <v>1</v>
      </c>
      <c r="I464" s="95" t="s">
        <v>951</v>
      </c>
      <c r="J464" s="95" t="s">
        <v>1166</v>
      </c>
      <c r="K464" s="191">
        <v>4600865</v>
      </c>
      <c r="L464" s="268">
        <v>0.37606106638661874</v>
      </c>
      <c r="M464" s="266">
        <v>1</v>
      </c>
      <c r="N464" s="267">
        <f t="shared" si="263"/>
        <v>0</v>
      </c>
      <c r="O464" s="96">
        <f t="shared" si="264"/>
        <v>2870658.8017991292</v>
      </c>
      <c r="P464" s="96">
        <f t="shared" si="297"/>
        <v>1730206.1982008705</v>
      </c>
      <c r="Q464" s="96">
        <f t="shared" si="265"/>
        <v>0</v>
      </c>
      <c r="R464" s="187" t="s">
        <v>2337</v>
      </c>
      <c r="S464" s="187" t="s">
        <v>3608</v>
      </c>
      <c r="T464" s="94" t="s">
        <v>2781</v>
      </c>
      <c r="U464" s="395">
        <f>COUNTIF(Aggregation_of_rev_to_allocate!$A$3:$A$137,$T464)</f>
        <v>1</v>
      </c>
      <c r="V464" s="100"/>
      <c r="W464" s="100">
        <v>559</v>
      </c>
      <c r="X464" s="109">
        <v>1938324.1314199602</v>
      </c>
      <c r="Y464" s="109">
        <v>941471.72097540903</v>
      </c>
      <c r="Z464" s="110">
        <v>0.62592487551696674</v>
      </c>
      <c r="AA464" s="110">
        <v>0.67307692307692313</v>
      </c>
      <c r="AB464" s="110">
        <v>0.32692307692307687</v>
      </c>
      <c r="AC464" s="109">
        <f>IF(ISERROR((X464*SUMIF('Rev_for_allocation(Hard)'!$A$3:$A$249,$T464,'Rev_for_allocation(Hard)'!$I$3:$I$249)/SUMIF(Historic_capex_list!$T$9:$T$586,$T464,Historic_capex_list!$X$9:$X$586))=TRUE),0,X464*SUMIF('Rev_for_allocation(Hard)'!$A$3:$A$249,$T464,'Rev_for_allocation(Hard)'!$I$3:$I$249)/SUMIF(Historic_capex_list!$T$9:$T$586,$T464,Historic_capex_list!$X$9:$X$586))</f>
        <v>-1167673.4291252792</v>
      </c>
      <c r="AD464" s="109">
        <f t="shared" si="266"/>
        <v>770650.70229468099</v>
      </c>
      <c r="AE464" s="109">
        <f t="shared" si="261"/>
        <v>770650.70229468099</v>
      </c>
      <c r="AF464" s="109">
        <f t="shared" si="267"/>
        <v>1712122.42327009</v>
      </c>
      <c r="AG464" s="332" t="str">
        <f t="shared" si="268"/>
        <v>N</v>
      </c>
      <c r="AH464" s="332">
        <f t="shared" si="294"/>
        <v>0</v>
      </c>
      <c r="AI464" s="332">
        <f t="shared" si="295"/>
        <v>0</v>
      </c>
      <c r="AJ464" s="109">
        <f t="shared" si="296"/>
        <v>1712122.42327009</v>
      </c>
      <c r="AK464" s="109">
        <f t="shared" si="269"/>
        <v>0</v>
      </c>
      <c r="AL464" s="109">
        <v>0</v>
      </c>
      <c r="AM464" s="111">
        <f t="shared" si="270"/>
        <v>4.8571428571428559</v>
      </c>
      <c r="AN464" s="111">
        <f t="shared" si="271"/>
        <v>1.8571428571428559</v>
      </c>
      <c r="AO464" s="111">
        <f t="shared" si="272"/>
        <v>4.7245199142871934</v>
      </c>
      <c r="AP464" s="111">
        <f t="shared" si="273"/>
        <v>0</v>
      </c>
      <c r="AQ464" s="112">
        <f t="shared" si="274"/>
        <v>0</v>
      </c>
      <c r="AR464" s="112">
        <f t="shared" si="275"/>
        <v>1</v>
      </c>
      <c r="AS464" s="113">
        <f t="shared" si="276"/>
        <v>2028</v>
      </c>
      <c r="AT464" s="109">
        <v>1730206.1982008705</v>
      </c>
      <c r="AU464" s="114">
        <v>1</v>
      </c>
      <c r="AV464" s="113">
        <v>2028</v>
      </c>
      <c r="AW464" s="112">
        <f t="shared" si="277"/>
        <v>0.37606106638661874</v>
      </c>
      <c r="AX464" s="109">
        <f t="shared" si="278"/>
        <v>1730206.1982008705</v>
      </c>
      <c r="AY464" s="109">
        <f t="shared" si="279"/>
        <v>0</v>
      </c>
      <c r="AZ464" s="109">
        <f t="shared" si="280"/>
        <v>1730206.1982008705</v>
      </c>
      <c r="BA464" s="111">
        <f t="shared" si="281"/>
        <v>0</v>
      </c>
      <c r="BB464" s="117"/>
      <c r="BC464" s="115" t="str">
        <f t="shared" si="282"/>
        <v>N</v>
      </c>
      <c r="BD464" s="115" t="str">
        <f t="shared" si="283"/>
        <v>Y</v>
      </c>
      <c r="BE464" s="115" t="str">
        <f t="shared" si="284"/>
        <v>N</v>
      </c>
      <c r="BF464" s="109" t="str">
        <f t="shared" si="285"/>
        <v/>
      </c>
      <c r="BG464" s="111" t="s">
        <v>2499</v>
      </c>
      <c r="BH464" s="115" t="s">
        <v>1168</v>
      </c>
      <c r="BI464" s="116"/>
      <c r="BJ464" s="222">
        <v>0.37606106638661874</v>
      </c>
      <c r="BK464" s="265">
        <f t="shared" si="286"/>
        <v>0</v>
      </c>
      <c r="BL464" s="265">
        <f t="shared" si="287"/>
        <v>0</v>
      </c>
      <c r="BM464" s="265">
        <f t="shared" si="288"/>
        <v>2.3283064365386963E-10</v>
      </c>
      <c r="BN464" s="265">
        <f t="shared" si="289"/>
        <v>208117.93321908964</v>
      </c>
      <c r="BO464" s="109"/>
      <c r="BP464" s="265">
        <f t="shared" si="290"/>
        <v>1149589.6541944987</v>
      </c>
      <c r="BQ464" s="265">
        <v>1149589.6541944987</v>
      </c>
      <c r="BR464" s="265" t="e">
        <f t="shared" si="291"/>
        <v>#REF!</v>
      </c>
      <c r="BS464" s="265">
        <v>129511.89248933148</v>
      </c>
      <c r="BT464" s="475">
        <v>2870658.8017991292</v>
      </c>
      <c r="BU464" s="475">
        <v>1730206.1982008705</v>
      </c>
      <c r="BV464" s="475">
        <v>0</v>
      </c>
      <c r="BW464" s="483">
        <f t="shared" si="292"/>
        <v>0</v>
      </c>
      <c r="BX464" s="483">
        <f t="shared" si="293"/>
        <v>0</v>
      </c>
      <c r="BY464" s="103" t="s">
        <v>5333</v>
      </c>
    </row>
    <row r="465" spans="1:77" s="103" customFormat="1" ht="29">
      <c r="A465" s="100"/>
      <c r="B465" s="91" t="str">
        <f t="shared" si="262"/>
        <v>TRA</v>
      </c>
      <c r="C465" s="92"/>
      <c r="D465" s="448"/>
      <c r="E465" s="450"/>
      <c r="F465" s="384" t="s">
        <v>2255</v>
      </c>
      <c r="G465" s="384" t="s">
        <v>5305</v>
      </c>
      <c r="H465" s="398">
        <v>0.38</v>
      </c>
      <c r="I465" s="95"/>
      <c r="J465" s="95" t="s">
        <v>1166</v>
      </c>
      <c r="K465" s="191">
        <v>48876</v>
      </c>
      <c r="L465" s="268">
        <v>0.40691567753823371</v>
      </c>
      <c r="M465" s="266">
        <v>1</v>
      </c>
      <c r="N465" s="267">
        <f t="shared" si="263"/>
        <v>0</v>
      </c>
      <c r="O465" s="96">
        <f t="shared" si="264"/>
        <v>41318.403950963693</v>
      </c>
      <c r="P465" s="96">
        <f t="shared" si="297"/>
        <v>7557.5960490363104</v>
      </c>
      <c r="Q465" s="96">
        <f t="shared" si="265"/>
        <v>0</v>
      </c>
      <c r="R465" s="187" t="s">
        <v>2337</v>
      </c>
      <c r="S465" s="187" t="s">
        <v>3608</v>
      </c>
      <c r="T465" s="94" t="s">
        <v>2781</v>
      </c>
      <c r="U465" s="395">
        <f>COUNTIF(Aggregation_of_rev_to_allocate!$A$3:$A$137,$T465)</f>
        <v>1</v>
      </c>
      <c r="V465" s="100"/>
      <c r="W465" s="100">
        <v>907</v>
      </c>
      <c r="X465" s="109">
        <v>18572.88</v>
      </c>
      <c r="Y465" s="109">
        <v>0</v>
      </c>
      <c r="Z465" s="110">
        <v>1</v>
      </c>
      <c r="AA465" s="110">
        <v>1</v>
      </c>
      <c r="AB465" s="110">
        <v>0</v>
      </c>
      <c r="AC465" s="109">
        <f>IF(ISERROR((X465*SUMIF('Rev_for_allocation(Hard)'!$A$3:$A$249,$T465,'Rev_for_allocation(Hard)'!$I$3:$I$249)/SUMIF(Historic_capex_list!$T$9:$T$586,$T465,Historic_capex_list!$X$9:$X$586))=TRUE),0,X465*SUMIF('Rev_for_allocation(Hard)'!$A$3:$A$249,$T465,'Rev_for_allocation(Hard)'!$I$3:$I$249)/SUMIF(Historic_capex_list!$T$9:$T$586,$T465,Historic_capex_list!$X$9:$X$586))</f>
        <v>-11188.561359159783</v>
      </c>
      <c r="AD465" s="109">
        <f t="shared" si="266"/>
        <v>7384.318640840218</v>
      </c>
      <c r="AE465" s="109">
        <f t="shared" si="261"/>
        <v>7384.318640840218</v>
      </c>
      <c r="AF465" s="109">
        <f t="shared" si="267"/>
        <v>7384.318640840218</v>
      </c>
      <c r="AG465" s="332" t="str">
        <f t="shared" si="268"/>
        <v>N</v>
      </c>
      <c r="AH465" s="332">
        <f t="shared" si="294"/>
        <v>0</v>
      </c>
      <c r="AI465" s="332">
        <f t="shared" si="295"/>
        <v>0</v>
      </c>
      <c r="AJ465" s="109">
        <f t="shared" si="296"/>
        <v>7384.318640840218</v>
      </c>
      <c r="AK465" s="109">
        <f t="shared" si="269"/>
        <v>0</v>
      </c>
      <c r="AL465" s="109">
        <v>0</v>
      </c>
      <c r="AM465" s="111">
        <f t="shared" si="270"/>
        <v>0</v>
      </c>
      <c r="AN465" s="111">
        <f t="shared" si="271"/>
        <v>0</v>
      </c>
      <c r="AO465" s="111">
        <f t="shared" si="272"/>
        <v>-5.151785700686804</v>
      </c>
      <c r="AP465" s="111">
        <f t="shared" si="273"/>
        <v>0</v>
      </c>
      <c r="AQ465" s="112">
        <f t="shared" si="274"/>
        <v>0</v>
      </c>
      <c r="AR465" s="112">
        <f t="shared" si="275"/>
        <v>1</v>
      </c>
      <c r="AS465" s="113">
        <f t="shared" si="276"/>
        <v>2028</v>
      </c>
      <c r="AT465" s="109">
        <v>7557.5960490363104</v>
      </c>
      <c r="AU465" s="114">
        <v>1</v>
      </c>
      <c r="AV465" s="113">
        <v>2028</v>
      </c>
      <c r="AW465" s="112">
        <f t="shared" si="277"/>
        <v>0.40691567753823371</v>
      </c>
      <c r="AX465" s="109">
        <f t="shared" si="278"/>
        <v>7557.5960490363104</v>
      </c>
      <c r="AY465" s="109">
        <f t="shared" si="279"/>
        <v>0</v>
      </c>
      <c r="AZ465" s="109">
        <f t="shared" si="280"/>
        <v>7557.5960490363104</v>
      </c>
      <c r="BA465" s="111">
        <f t="shared" si="281"/>
        <v>0</v>
      </c>
      <c r="BB465" s="117"/>
      <c r="BC465" s="115" t="str">
        <f t="shared" si="282"/>
        <v>Y</v>
      </c>
      <c r="BD465" s="115" t="str">
        <f t="shared" si="283"/>
        <v>Y</v>
      </c>
      <c r="BE465" s="115" t="str">
        <f t="shared" si="284"/>
        <v>Y</v>
      </c>
      <c r="BF465" s="109">
        <f t="shared" si="285"/>
        <v>7557.5960490363104</v>
      </c>
      <c r="BG465" s="111" t="s">
        <v>2499</v>
      </c>
      <c r="BH465" s="115" t="s">
        <v>1168</v>
      </c>
      <c r="BI465" s="116"/>
      <c r="BJ465" s="222">
        <v>0.40691567753823371</v>
      </c>
      <c r="BK465" s="265">
        <f t="shared" si="286"/>
        <v>0</v>
      </c>
      <c r="BL465" s="265">
        <f t="shared" si="287"/>
        <v>0</v>
      </c>
      <c r="BM465" s="265">
        <f t="shared" si="288"/>
        <v>-3.637978807091713E-12</v>
      </c>
      <c r="BN465" s="265">
        <f t="shared" si="289"/>
        <v>11015.283950963691</v>
      </c>
      <c r="BO465" s="109"/>
      <c r="BP465" s="265">
        <f t="shared" si="290"/>
        <v>11015.283950963691</v>
      </c>
      <c r="BQ465" s="265">
        <v>11015.283950963691</v>
      </c>
      <c r="BR465" s="265" t="e">
        <f t="shared" si="291"/>
        <v>#REF!</v>
      </c>
      <c r="BS465" s="265">
        <v>1240.9734774416302</v>
      </c>
      <c r="BT465" s="475">
        <v>41318.403950963693</v>
      </c>
      <c r="BU465" s="475">
        <v>7557.5960490363104</v>
      </c>
      <c r="BV465" s="475">
        <v>0</v>
      </c>
      <c r="BW465" s="483">
        <f t="shared" si="292"/>
        <v>0</v>
      </c>
      <c r="BX465" s="483">
        <f t="shared" si="293"/>
        <v>0</v>
      </c>
    </row>
    <row r="466" spans="1:77" s="103" customFormat="1" ht="29">
      <c r="A466" s="100"/>
      <c r="B466" s="91" t="str">
        <f t="shared" si="262"/>
        <v>TRA</v>
      </c>
      <c r="C466" s="92"/>
      <c r="D466" s="448"/>
      <c r="E466" s="450"/>
      <c r="F466" s="384" t="s">
        <v>2894</v>
      </c>
      <c r="G466" s="384" t="s">
        <v>5305</v>
      </c>
      <c r="H466" s="398">
        <v>0.38</v>
      </c>
      <c r="I466" s="95"/>
      <c r="J466" s="95" t="s">
        <v>1166</v>
      </c>
      <c r="K466" s="191">
        <v>1740577</v>
      </c>
      <c r="L466" s="268">
        <v>0.40691567753823371</v>
      </c>
      <c r="M466" s="266">
        <v>1</v>
      </c>
      <c r="N466" s="267">
        <f t="shared" si="263"/>
        <v>0</v>
      </c>
      <c r="O466" s="96">
        <f t="shared" si="264"/>
        <v>1471435.1336802628</v>
      </c>
      <c r="P466" s="96">
        <f t="shared" si="297"/>
        <v>269141.86631973716</v>
      </c>
      <c r="Q466" s="96">
        <f t="shared" si="265"/>
        <v>0</v>
      </c>
      <c r="R466" s="187" t="s">
        <v>2337</v>
      </c>
      <c r="S466" s="187" t="s">
        <v>3608</v>
      </c>
      <c r="T466" s="94" t="s">
        <v>2781</v>
      </c>
      <c r="U466" s="395">
        <f>COUNTIF(Aggregation_of_rev_to_allocate!$A$3:$A$137,$T466)</f>
        <v>1</v>
      </c>
      <c r="V466" s="100"/>
      <c r="W466" s="100">
        <v>908</v>
      </c>
      <c r="X466" s="109">
        <v>661419.26</v>
      </c>
      <c r="Y466" s="109">
        <v>0</v>
      </c>
      <c r="Z466" s="110">
        <v>1</v>
      </c>
      <c r="AA466" s="110">
        <v>1</v>
      </c>
      <c r="AB466" s="110">
        <v>0</v>
      </c>
      <c r="AC466" s="109">
        <f>IF(ISERROR((X466*SUMIF('Rev_for_allocation(Hard)'!$A$3:$A$249,$T466,'Rev_for_allocation(Hard)'!$I$3:$I$249)/SUMIF(Historic_capex_list!$T$9:$T$586,$T466,Historic_capex_list!$X$9:$X$586))=TRUE),0,X466*SUMIF('Rev_for_allocation(Hard)'!$A$3:$A$249,$T466,'Rev_for_allocation(Hard)'!$I$3:$I$249)/SUMIF(Historic_capex_list!$T$9:$T$586,$T466,Historic_capex_list!$X$9:$X$586))</f>
        <v>-398448.16607010103</v>
      </c>
      <c r="AD466" s="109">
        <f t="shared" si="266"/>
        <v>262971.09392989898</v>
      </c>
      <c r="AE466" s="109">
        <f t="shared" ref="AE466:AE494" si="298">IF(AD466&lt;0,+Q466+P466+AC466,+AD466)</f>
        <v>262971.09392989898</v>
      </c>
      <c r="AF466" s="109">
        <f t="shared" si="267"/>
        <v>262971.09392989898</v>
      </c>
      <c r="AG466" s="332" t="str">
        <f t="shared" si="268"/>
        <v>N</v>
      </c>
      <c r="AH466" s="332">
        <f t="shared" si="294"/>
        <v>0</v>
      </c>
      <c r="AI466" s="332">
        <f t="shared" si="295"/>
        <v>0</v>
      </c>
      <c r="AJ466" s="109">
        <f t="shared" si="296"/>
        <v>262971.09392989898</v>
      </c>
      <c r="AK466" s="109">
        <f t="shared" si="269"/>
        <v>0</v>
      </c>
      <c r="AL466" s="109">
        <v>0</v>
      </c>
      <c r="AM466" s="111">
        <f t="shared" si="270"/>
        <v>0</v>
      </c>
      <c r="AN466" s="111">
        <f t="shared" si="271"/>
        <v>0</v>
      </c>
      <c r="AO466" s="111">
        <f t="shared" si="272"/>
        <v>-5.1517857006868066</v>
      </c>
      <c r="AP466" s="111">
        <f t="shared" si="273"/>
        <v>0</v>
      </c>
      <c r="AQ466" s="112">
        <f t="shared" si="274"/>
        <v>0</v>
      </c>
      <c r="AR466" s="112">
        <f t="shared" si="275"/>
        <v>1</v>
      </c>
      <c r="AS466" s="113">
        <f t="shared" si="276"/>
        <v>2028</v>
      </c>
      <c r="AT466" s="109">
        <v>269141.86631973716</v>
      </c>
      <c r="AU466" s="114">
        <v>1</v>
      </c>
      <c r="AV466" s="113">
        <v>2028</v>
      </c>
      <c r="AW466" s="112">
        <f t="shared" si="277"/>
        <v>0.40691567753823371</v>
      </c>
      <c r="AX466" s="109">
        <f t="shared" si="278"/>
        <v>269141.86631973716</v>
      </c>
      <c r="AY466" s="109">
        <f t="shared" si="279"/>
        <v>0</v>
      </c>
      <c r="AZ466" s="109">
        <f t="shared" si="280"/>
        <v>269141.86631973716</v>
      </c>
      <c r="BA466" s="111">
        <f t="shared" si="281"/>
        <v>0</v>
      </c>
      <c r="BB466" s="117"/>
      <c r="BC466" s="115" t="str">
        <f t="shared" si="282"/>
        <v>N</v>
      </c>
      <c r="BD466" s="115" t="str">
        <f t="shared" si="283"/>
        <v>Y</v>
      </c>
      <c r="BE466" s="115" t="str">
        <f t="shared" si="284"/>
        <v>N</v>
      </c>
      <c r="BF466" s="109" t="str">
        <f t="shared" si="285"/>
        <v/>
      </c>
      <c r="BG466" s="111" t="s">
        <v>2499</v>
      </c>
      <c r="BH466" s="115" t="s">
        <v>1168</v>
      </c>
      <c r="BI466" s="116"/>
      <c r="BJ466" s="222">
        <v>0.40691567753823371</v>
      </c>
      <c r="BK466" s="265">
        <f t="shared" si="286"/>
        <v>0</v>
      </c>
      <c r="BL466" s="265">
        <f t="shared" si="287"/>
        <v>0</v>
      </c>
      <c r="BM466" s="265">
        <f t="shared" si="288"/>
        <v>0</v>
      </c>
      <c r="BN466" s="265">
        <f t="shared" si="289"/>
        <v>392277.39368026285</v>
      </c>
      <c r="BO466" s="109"/>
      <c r="BP466" s="265">
        <f t="shared" si="290"/>
        <v>392277.39368026285</v>
      </c>
      <c r="BQ466" s="265">
        <v>392277.39368026285</v>
      </c>
      <c r="BR466" s="265" t="e">
        <f t="shared" si="291"/>
        <v>#REF!</v>
      </c>
      <c r="BS466" s="265">
        <v>44193.671586155171</v>
      </c>
      <c r="BT466" s="475">
        <v>1471435.1336802628</v>
      </c>
      <c r="BU466" s="475">
        <v>269141.86631973716</v>
      </c>
      <c r="BV466" s="475">
        <v>0</v>
      </c>
      <c r="BW466" s="483">
        <f t="shared" si="292"/>
        <v>0</v>
      </c>
      <c r="BX466" s="483">
        <f t="shared" si="293"/>
        <v>0</v>
      </c>
    </row>
    <row r="467" spans="1:77" s="103" customFormat="1" ht="29">
      <c r="A467" s="100"/>
      <c r="B467" s="91" t="str">
        <f t="shared" si="262"/>
        <v>TRA</v>
      </c>
      <c r="C467" s="92"/>
      <c r="D467" s="448"/>
      <c r="E467" s="450"/>
      <c r="F467" s="384" t="s">
        <v>2256</v>
      </c>
      <c r="G467" s="384" t="s">
        <v>5305</v>
      </c>
      <c r="H467" s="398">
        <v>0.38</v>
      </c>
      <c r="I467" s="95"/>
      <c r="J467" s="95" t="s">
        <v>1166</v>
      </c>
      <c r="K467" s="191">
        <v>6770901</v>
      </c>
      <c r="L467" s="268">
        <v>0.40691567753823371</v>
      </c>
      <c r="M467" s="266">
        <v>1</v>
      </c>
      <c r="N467" s="267">
        <f t="shared" si="263"/>
        <v>0</v>
      </c>
      <c r="O467" s="96">
        <f t="shared" si="264"/>
        <v>5723930.4081754647</v>
      </c>
      <c r="P467" s="96">
        <f t="shared" si="297"/>
        <v>1046970.5918245356</v>
      </c>
      <c r="Q467" s="96">
        <f t="shared" si="265"/>
        <v>0</v>
      </c>
      <c r="R467" s="187" t="s">
        <v>2337</v>
      </c>
      <c r="S467" s="187" t="s">
        <v>3608</v>
      </c>
      <c r="T467" s="94" t="s">
        <v>2781</v>
      </c>
      <c r="U467" s="395">
        <f>COUNTIF(Aggregation_of_rev_to_allocate!$A$3:$A$137,$T467)</f>
        <v>1</v>
      </c>
      <c r="V467" s="100"/>
      <c r="W467" s="100">
        <v>909</v>
      </c>
      <c r="X467" s="109">
        <v>2572942.38</v>
      </c>
      <c r="Y467" s="109">
        <v>0</v>
      </c>
      <c r="Z467" s="110">
        <v>1</v>
      </c>
      <c r="AA467" s="110">
        <v>1</v>
      </c>
      <c r="AB467" s="110">
        <v>0</v>
      </c>
      <c r="AC467" s="109">
        <f>IF(ISERROR((X467*SUMIF('Rev_for_allocation(Hard)'!$A$3:$A$249,$T467,'Rev_for_allocation(Hard)'!$I$3:$I$249)/SUMIF(Historic_capex_list!$T$9:$T$586,$T467,Historic_capex_list!$X$9:$X$586))=TRUE),0,X467*SUMIF('Rev_for_allocation(Hard)'!$A$3:$A$249,$T467,'Rev_for_allocation(Hard)'!$I$3:$I$249)/SUMIF(Historic_capex_list!$T$9:$T$586,$T467,Historic_capex_list!$X$9:$X$586))</f>
        <v>-1549976.2929719358</v>
      </c>
      <c r="AD467" s="109">
        <f t="shared" si="266"/>
        <v>1022966.0870280641</v>
      </c>
      <c r="AE467" s="109">
        <f t="shared" si="298"/>
        <v>1022966.0870280641</v>
      </c>
      <c r="AF467" s="109">
        <f t="shared" si="267"/>
        <v>1022966.0870280641</v>
      </c>
      <c r="AG467" s="332" t="str">
        <f t="shared" si="268"/>
        <v>N</v>
      </c>
      <c r="AH467" s="332">
        <f t="shared" si="294"/>
        <v>0</v>
      </c>
      <c r="AI467" s="332">
        <f t="shared" si="295"/>
        <v>0</v>
      </c>
      <c r="AJ467" s="109">
        <f t="shared" si="296"/>
        <v>1022966.0870280641</v>
      </c>
      <c r="AK467" s="109">
        <f t="shared" si="269"/>
        <v>0</v>
      </c>
      <c r="AL467" s="109">
        <v>0</v>
      </c>
      <c r="AM467" s="111">
        <f t="shared" si="270"/>
        <v>0</v>
      </c>
      <c r="AN467" s="111">
        <f t="shared" si="271"/>
        <v>0</v>
      </c>
      <c r="AO467" s="111">
        <f t="shared" si="272"/>
        <v>-5.1517857006868084</v>
      </c>
      <c r="AP467" s="111">
        <f t="shared" si="273"/>
        <v>0</v>
      </c>
      <c r="AQ467" s="112">
        <f t="shared" si="274"/>
        <v>0</v>
      </c>
      <c r="AR467" s="112">
        <f t="shared" si="275"/>
        <v>1</v>
      </c>
      <c r="AS467" s="113">
        <f t="shared" si="276"/>
        <v>2028</v>
      </c>
      <c r="AT467" s="109">
        <v>1046970.5918245355</v>
      </c>
      <c r="AU467" s="114">
        <v>1</v>
      </c>
      <c r="AV467" s="113">
        <v>2028</v>
      </c>
      <c r="AW467" s="112">
        <f t="shared" si="277"/>
        <v>0.40691567753823371</v>
      </c>
      <c r="AX467" s="109">
        <f t="shared" si="278"/>
        <v>1046970.5918245356</v>
      </c>
      <c r="AY467" s="109">
        <f t="shared" si="279"/>
        <v>0</v>
      </c>
      <c r="AZ467" s="109">
        <f t="shared" si="280"/>
        <v>1046970.5918245356</v>
      </c>
      <c r="BA467" s="111">
        <f t="shared" si="281"/>
        <v>0</v>
      </c>
      <c r="BB467" s="117"/>
      <c r="BC467" s="115" t="str">
        <f t="shared" si="282"/>
        <v>N</v>
      </c>
      <c r="BD467" s="115" t="str">
        <f t="shared" si="283"/>
        <v>Y</v>
      </c>
      <c r="BE467" s="115" t="str">
        <f t="shared" si="284"/>
        <v>N</v>
      </c>
      <c r="BF467" s="109" t="str">
        <f t="shared" si="285"/>
        <v/>
      </c>
      <c r="BG467" s="111" t="s">
        <v>2499</v>
      </c>
      <c r="BH467" s="115" t="s">
        <v>1168</v>
      </c>
      <c r="BI467" s="116"/>
      <c r="BJ467" s="222">
        <v>0.40691567753823371</v>
      </c>
      <c r="BK467" s="265">
        <f t="shared" si="286"/>
        <v>0</v>
      </c>
      <c r="BL467" s="265">
        <f t="shared" si="287"/>
        <v>0</v>
      </c>
      <c r="BM467" s="265">
        <f t="shared" si="288"/>
        <v>-3.4924596548080444E-10</v>
      </c>
      <c r="BN467" s="265">
        <f t="shared" si="289"/>
        <v>1525971.7881754641</v>
      </c>
      <c r="BO467" s="109"/>
      <c r="BP467" s="265">
        <f t="shared" si="290"/>
        <v>1525971.7881754644</v>
      </c>
      <c r="BQ467" s="265">
        <v>1525971.7881754644</v>
      </c>
      <c r="BR467" s="265" t="e">
        <f t="shared" si="291"/>
        <v>#REF!</v>
      </c>
      <c r="BS467" s="265">
        <v>171914.81625712026</v>
      </c>
      <c r="BT467" s="475">
        <v>5723930.4081754647</v>
      </c>
      <c r="BU467" s="475">
        <v>1046970.5918245356</v>
      </c>
      <c r="BV467" s="475">
        <v>0</v>
      </c>
      <c r="BW467" s="483">
        <f t="shared" si="292"/>
        <v>0</v>
      </c>
      <c r="BX467" s="483">
        <f t="shared" si="293"/>
        <v>0</v>
      </c>
    </row>
    <row r="468" spans="1:77" s="103" customFormat="1" ht="29">
      <c r="A468" s="100"/>
      <c r="B468" s="91" t="str">
        <f t="shared" si="262"/>
        <v>TRA</v>
      </c>
      <c r="C468" s="92" t="s">
        <v>3626</v>
      </c>
      <c r="D468" s="448"/>
      <c r="E468" s="449"/>
      <c r="F468" s="384" t="s">
        <v>2256</v>
      </c>
      <c r="G468" s="384" t="s">
        <v>5305</v>
      </c>
      <c r="H468" s="398">
        <v>0.38</v>
      </c>
      <c r="I468" s="95"/>
      <c r="J468" s="95" t="s">
        <v>1166</v>
      </c>
      <c r="K468" s="191">
        <v>457212.13</v>
      </c>
      <c r="L468" s="268">
        <v>0.40691567753823371</v>
      </c>
      <c r="M468" s="266">
        <v>1</v>
      </c>
      <c r="N468" s="267">
        <f t="shared" si="263"/>
        <v>0</v>
      </c>
      <c r="O468" s="96">
        <f t="shared" si="264"/>
        <v>386514.35221009341</v>
      </c>
      <c r="P468" s="96">
        <f t="shared" si="297"/>
        <v>70697.777789906613</v>
      </c>
      <c r="Q468" s="96">
        <f t="shared" si="265"/>
        <v>0</v>
      </c>
      <c r="R468" s="187" t="s">
        <v>2337</v>
      </c>
      <c r="S468" s="187" t="s">
        <v>3608</v>
      </c>
      <c r="T468" s="94" t="s">
        <v>2781</v>
      </c>
      <c r="U468" s="395">
        <f>COUNTIF(Aggregation_of_rev_to_allocate!$A$3:$A$137,$T468)</f>
        <v>1</v>
      </c>
      <c r="V468" s="100"/>
      <c r="W468" s="100">
        <v>1046</v>
      </c>
      <c r="X468" s="109">
        <v>173740.60940000002</v>
      </c>
      <c r="Y468" s="109">
        <v>0</v>
      </c>
      <c r="Z468" s="110">
        <v>1</v>
      </c>
      <c r="AA468" s="110">
        <v>1</v>
      </c>
      <c r="AB468" s="110">
        <v>0</v>
      </c>
      <c r="AC468" s="109">
        <f>IF(ISERROR((X468*SUMIF('Rev_for_allocation(Hard)'!$A$3:$A$249,$T468,'Rev_for_allocation(Hard)'!$I$3:$I$249)/SUMIF(Historic_capex_list!$T$9:$T$586,$T468,Historic_capex_list!$X$9:$X$586))=TRUE),0,X468*SUMIF('Rev_for_allocation(Hard)'!$A$3:$A$249,$T468,'Rev_for_allocation(Hard)'!$I$3:$I$249)/SUMIF(Historic_capex_list!$T$9:$T$586,$T468,Historic_capex_list!$X$9:$X$586))</f>
        <v>-104663.76075491325</v>
      </c>
      <c r="AD468" s="109">
        <f t="shared" si="266"/>
        <v>69076.848645086764</v>
      </c>
      <c r="AE468" s="109">
        <f t="shared" si="298"/>
        <v>69076.848645086764</v>
      </c>
      <c r="AF468" s="109">
        <f t="shared" si="267"/>
        <v>69076.848645086764</v>
      </c>
      <c r="AG468" s="332" t="str">
        <f t="shared" si="268"/>
        <v>N</v>
      </c>
      <c r="AH468" s="332">
        <f t="shared" si="294"/>
        <v>0</v>
      </c>
      <c r="AI468" s="332">
        <f t="shared" si="295"/>
        <v>0</v>
      </c>
      <c r="AJ468" s="109">
        <f t="shared" si="296"/>
        <v>69076.848645086764</v>
      </c>
      <c r="AK468" s="109">
        <f t="shared" si="269"/>
        <v>0</v>
      </c>
      <c r="AL468" s="109">
        <v>0</v>
      </c>
      <c r="AM468" s="111">
        <f t="shared" si="270"/>
        <v>0</v>
      </c>
      <c r="AN468" s="111">
        <f t="shared" si="271"/>
        <v>0</v>
      </c>
      <c r="AO468" s="111">
        <f t="shared" si="272"/>
        <v>-5.1517857006868075</v>
      </c>
      <c r="AP468" s="111">
        <f t="shared" si="273"/>
        <v>0</v>
      </c>
      <c r="AQ468" s="112">
        <f t="shared" si="274"/>
        <v>0</v>
      </c>
      <c r="AR468" s="112">
        <f t="shared" si="275"/>
        <v>1</v>
      </c>
      <c r="AS468" s="113">
        <f t="shared" si="276"/>
        <v>2028</v>
      </c>
      <c r="AT468" s="109">
        <v>70697.777789906628</v>
      </c>
      <c r="AU468" s="114">
        <v>1</v>
      </c>
      <c r="AV468" s="113">
        <v>2028</v>
      </c>
      <c r="AW468" s="112">
        <f t="shared" si="277"/>
        <v>0.40691567753823371</v>
      </c>
      <c r="AX468" s="109">
        <f t="shared" si="278"/>
        <v>70697.777789906613</v>
      </c>
      <c r="AY468" s="109">
        <f t="shared" si="279"/>
        <v>0</v>
      </c>
      <c r="AZ468" s="109">
        <f t="shared" si="280"/>
        <v>70697.777789906613</v>
      </c>
      <c r="BA468" s="111">
        <f t="shared" si="281"/>
        <v>0</v>
      </c>
      <c r="BB468" s="117"/>
      <c r="BC468" s="115" t="str">
        <f t="shared" si="282"/>
        <v>N</v>
      </c>
      <c r="BD468" s="115" t="str">
        <f t="shared" si="283"/>
        <v>Y</v>
      </c>
      <c r="BE468" s="115" t="str">
        <f t="shared" si="284"/>
        <v>N</v>
      </c>
      <c r="BF468" s="109" t="str">
        <f t="shared" si="285"/>
        <v/>
      </c>
      <c r="BG468" s="111" t="s">
        <v>2499</v>
      </c>
      <c r="BH468" s="115" t="s">
        <v>1168</v>
      </c>
      <c r="BI468" s="116"/>
      <c r="BJ468" s="222">
        <v>0.40691567753823371</v>
      </c>
      <c r="BK468" s="265">
        <f t="shared" si="286"/>
        <v>0</v>
      </c>
      <c r="BL468" s="265">
        <f t="shared" si="287"/>
        <v>0</v>
      </c>
      <c r="BM468" s="265">
        <f t="shared" si="288"/>
        <v>-1.4551915228366852E-11</v>
      </c>
      <c r="BN468" s="265">
        <f t="shared" si="289"/>
        <v>103042.8316100934</v>
      </c>
      <c r="BO468" s="109"/>
      <c r="BP468" s="265">
        <f t="shared" si="290"/>
        <v>103042.83161009339</v>
      </c>
      <c r="BQ468" s="265">
        <v>103042.83161009339</v>
      </c>
      <c r="BR468" s="265" t="e">
        <f t="shared" si="291"/>
        <v>#REF!</v>
      </c>
      <c r="BS468" s="265">
        <v>11608.726714432332</v>
      </c>
      <c r="BT468" s="475">
        <v>386514.35221009341</v>
      </c>
      <c r="BU468" s="475">
        <v>70697.777789906613</v>
      </c>
      <c r="BV468" s="475">
        <v>0</v>
      </c>
      <c r="BW468" s="483">
        <f t="shared" si="292"/>
        <v>0</v>
      </c>
      <c r="BX468" s="483">
        <f t="shared" si="293"/>
        <v>0</v>
      </c>
    </row>
    <row r="469" spans="1:77" s="103" customFormat="1" ht="29">
      <c r="A469" s="100" t="s">
        <v>2259</v>
      </c>
      <c r="B469" s="91" t="str">
        <f t="shared" si="262"/>
        <v>TRA</v>
      </c>
      <c r="C469" s="92" t="s">
        <v>461</v>
      </c>
      <c r="D469" s="448"/>
      <c r="E469" s="452">
        <v>791077</v>
      </c>
      <c r="F469" s="467" t="s">
        <v>4927</v>
      </c>
      <c r="G469" s="620" t="s">
        <v>5306</v>
      </c>
      <c r="H469" s="470">
        <v>0.42</v>
      </c>
      <c r="I469" s="95" t="s">
        <v>952</v>
      </c>
      <c r="J469" s="95" t="s">
        <v>1166</v>
      </c>
      <c r="K469" s="469">
        <v>8117549</v>
      </c>
      <c r="L469" s="268">
        <v>0.34912834852779656</v>
      </c>
      <c r="M469" s="266">
        <v>0.7142857142857143</v>
      </c>
      <c r="N469" s="267">
        <f t="shared" si="263"/>
        <v>0.2857142857142857</v>
      </c>
      <c r="O469" s="96">
        <f t="shared" si="264"/>
        <v>6927241.079885345</v>
      </c>
      <c r="P469" s="96">
        <f t="shared" si="297"/>
        <v>850219.9429390399</v>
      </c>
      <c r="Q469" s="96">
        <f t="shared" si="265"/>
        <v>340087.97717561596</v>
      </c>
      <c r="R469" s="187" t="s">
        <v>2335</v>
      </c>
      <c r="S469" s="187" t="s">
        <v>3608</v>
      </c>
      <c r="T469" s="94" t="s">
        <v>2779</v>
      </c>
      <c r="U469" s="395">
        <f>COUNTIF(Aggregation_of_rev_to_allocate!$A$3:$A$137,$T469)</f>
        <v>1</v>
      </c>
      <c r="V469" s="100"/>
      <c r="W469" s="100">
        <v>524</v>
      </c>
      <c r="X469" s="109">
        <v>803117.51412511081</v>
      </c>
      <c r="Y469" s="109">
        <v>562182.2598875775</v>
      </c>
      <c r="Z469" s="110">
        <v>0.40045504120469422</v>
      </c>
      <c r="AA469" s="110">
        <v>0.58823529411764708</v>
      </c>
      <c r="AB469" s="110">
        <v>0.41176470588235292</v>
      </c>
      <c r="AC469" s="109">
        <f>IF(ISERROR((X469*SUMIF('Rev_for_allocation(Hard)'!$A$3:$A$249,$T469,'Rev_for_allocation(Hard)'!$I$3:$I$249)/SUMIF(Historic_capex_list!$T$9:$T$586,$T469,Historic_capex_list!$X$9:$X$586))=TRUE),0,X469*SUMIF('Rev_for_allocation(Hard)'!$A$3:$A$249,$T469,'Rev_for_allocation(Hard)'!$I$3:$I$249)/SUMIF(Historic_capex_list!$T$9:$T$586,$T469,Historic_capex_list!$X$9:$X$586))</f>
        <v>-174991.73365822915</v>
      </c>
      <c r="AD469" s="109">
        <f t="shared" si="266"/>
        <v>628125.7804668817</v>
      </c>
      <c r="AE469" s="109">
        <f t="shared" si="298"/>
        <v>628125.7804668817</v>
      </c>
      <c r="AF469" s="109">
        <f t="shared" si="267"/>
        <v>1190308.0403544591</v>
      </c>
      <c r="AG469" s="332" t="str">
        <f t="shared" si="268"/>
        <v>N</v>
      </c>
      <c r="AH469" s="332">
        <f t="shared" si="294"/>
        <v>0</v>
      </c>
      <c r="AI469" s="332">
        <f t="shared" si="295"/>
        <v>0</v>
      </c>
      <c r="AJ469" s="109">
        <f t="shared" si="296"/>
        <v>1190308.0403544591</v>
      </c>
      <c r="AK469" s="109">
        <f t="shared" si="269"/>
        <v>0</v>
      </c>
      <c r="AL469" s="109">
        <v>0</v>
      </c>
      <c r="AM469" s="111">
        <f t="shared" si="270"/>
        <v>7</v>
      </c>
      <c r="AN469" s="111">
        <f t="shared" si="271"/>
        <v>4</v>
      </c>
      <c r="AO469" s="111" t="str">
        <f t="shared" si="272"/>
        <v>Use deduct 3yrs</v>
      </c>
      <c r="AP469" s="111">
        <f t="shared" si="273"/>
        <v>4</v>
      </c>
      <c r="AQ469" s="112">
        <f t="shared" si="274"/>
        <v>0.2857142857142857</v>
      </c>
      <c r="AR469" s="112">
        <f t="shared" si="275"/>
        <v>0.7142857142857143</v>
      </c>
      <c r="AS469" s="113">
        <f t="shared" si="276"/>
        <v>2032</v>
      </c>
      <c r="AT469" s="109">
        <v>1190308.0403544591</v>
      </c>
      <c r="AU469" s="114">
        <v>0.7142857142857143</v>
      </c>
      <c r="AV469" s="113">
        <v>2032</v>
      </c>
      <c r="AW469" s="112">
        <f t="shared" si="277"/>
        <v>0.34912838379524558</v>
      </c>
      <c r="AX469" s="109">
        <f t="shared" si="278"/>
        <v>850220.02882461343</v>
      </c>
      <c r="AY469" s="109">
        <f t="shared" si="279"/>
        <v>340088.01152984536</v>
      </c>
      <c r="AZ469" s="109">
        <f t="shared" si="280"/>
        <v>1190308.0403544588</v>
      </c>
      <c r="BA469" s="111">
        <f t="shared" si="281"/>
        <v>0</v>
      </c>
      <c r="BB469" s="117"/>
      <c r="BC469" s="115" t="str">
        <f t="shared" si="282"/>
        <v>N</v>
      </c>
      <c r="BD469" s="115" t="str">
        <f t="shared" si="283"/>
        <v>N</v>
      </c>
      <c r="BE469" s="115" t="str">
        <f t="shared" si="284"/>
        <v>N</v>
      </c>
      <c r="BF469" s="109" t="str">
        <f t="shared" si="285"/>
        <v/>
      </c>
      <c r="BG469" s="111" t="s">
        <v>2499</v>
      </c>
      <c r="BH469" s="115" t="s">
        <v>1168</v>
      </c>
      <c r="BI469" s="116"/>
      <c r="BJ469" s="222">
        <v>0.34912834852779656</v>
      </c>
      <c r="BK469" s="265">
        <f t="shared" si="286"/>
        <v>3.435422939946875E-2</v>
      </c>
      <c r="BL469" s="265">
        <f t="shared" si="287"/>
        <v>-3.435422939946875E-2</v>
      </c>
      <c r="BM469" s="265">
        <f t="shared" si="288"/>
        <v>-8.149072527885437E-10</v>
      </c>
      <c r="BN469" s="265">
        <f t="shared" si="289"/>
        <v>-47102.428813929087</v>
      </c>
      <c r="BO469" s="109"/>
      <c r="BP469" s="265">
        <f t="shared" si="290"/>
        <v>174991.73365822923</v>
      </c>
      <c r="BQ469" s="265">
        <v>174991.73365822923</v>
      </c>
      <c r="BR469" s="265" t="e">
        <f t="shared" si="291"/>
        <v>#REF!</v>
      </c>
      <c r="BS469" s="265">
        <v>19714.435071135289</v>
      </c>
      <c r="BT469" s="475">
        <v>2219062.8840455408</v>
      </c>
      <c r="BU469" s="475">
        <v>850220.02882461366</v>
      </c>
      <c r="BV469" s="475">
        <v>340088.01152984542</v>
      </c>
      <c r="BW469" s="483">
        <f t="shared" si="292"/>
        <v>-8.5885573760606349E-2</v>
      </c>
      <c r="BX469" s="483">
        <f t="shared" si="293"/>
        <v>-3.4354229457676411E-2</v>
      </c>
    </row>
    <row r="470" spans="1:77" s="103" customFormat="1" ht="29">
      <c r="A470" s="100" t="s">
        <v>2259</v>
      </c>
      <c r="B470" s="91" t="str">
        <f t="shared" si="262"/>
        <v>TRA</v>
      </c>
      <c r="C470" s="92" t="s">
        <v>461</v>
      </c>
      <c r="D470" s="448"/>
      <c r="E470" s="452">
        <v>791076</v>
      </c>
      <c r="F470" s="467" t="s">
        <v>4928</v>
      </c>
      <c r="G470" s="620" t="s">
        <v>5304</v>
      </c>
      <c r="H470" s="470">
        <v>0.42</v>
      </c>
      <c r="I470" s="95" t="s">
        <v>952</v>
      </c>
      <c r="J470" s="95" t="s">
        <v>1166</v>
      </c>
      <c r="K470" s="469">
        <v>4043667</v>
      </c>
      <c r="L470" s="268">
        <v>0.34912834852779656</v>
      </c>
      <c r="M470" s="266">
        <v>0.7142857142857143</v>
      </c>
      <c r="N470" s="267">
        <f t="shared" si="263"/>
        <v>0.2857142857142857</v>
      </c>
      <c r="O470" s="96">
        <f t="shared" si="264"/>
        <v>3450728.3116833335</v>
      </c>
      <c r="P470" s="96">
        <f t="shared" si="297"/>
        <v>423527.63451190485</v>
      </c>
      <c r="Q470" s="96">
        <f t="shared" si="265"/>
        <v>169411.05380476193</v>
      </c>
      <c r="R470" s="187" t="s">
        <v>2335</v>
      </c>
      <c r="S470" s="187" t="s">
        <v>3608</v>
      </c>
      <c r="T470" s="94" t="s">
        <v>2779</v>
      </c>
      <c r="U470" s="395">
        <f>COUNTIF(Aggregation_of_rev_to_allocate!$A$3:$A$137,$T470)</f>
        <v>1</v>
      </c>
      <c r="V470" s="100"/>
      <c r="W470" s="100">
        <v>525</v>
      </c>
      <c r="X470" s="109">
        <v>400064.11086886376</v>
      </c>
      <c r="Y470" s="109">
        <v>280044.87760820461</v>
      </c>
      <c r="Z470" s="110">
        <v>0.40045504120469422</v>
      </c>
      <c r="AA470" s="110">
        <v>0.58823529411764708</v>
      </c>
      <c r="AB470" s="110">
        <v>0.41176470588235292</v>
      </c>
      <c r="AC470" s="109">
        <f>IF(ISERROR((X470*SUMIF('Rev_for_allocation(Hard)'!$A$3:$A$249,$T470,'Rev_for_allocation(Hard)'!$I$3:$I$249)/SUMIF(Historic_capex_list!$T$9:$T$586,$T470,Historic_capex_list!$X$9:$X$586))=TRUE),0,X470*SUMIF('Rev_for_allocation(Hard)'!$A$3:$A$249,$T470,'Rev_for_allocation(Hard)'!$I$3:$I$249)/SUMIF(Historic_capex_list!$T$9:$T$586,$T470,Historic_capex_list!$X$9:$X$586))</f>
        <v>-87170.197516666929</v>
      </c>
      <c r="AD470" s="109">
        <f t="shared" si="266"/>
        <v>312893.9133521968</v>
      </c>
      <c r="AE470" s="109">
        <f t="shared" si="298"/>
        <v>312893.9133521968</v>
      </c>
      <c r="AF470" s="109">
        <f t="shared" si="267"/>
        <v>592938.79096040141</v>
      </c>
      <c r="AG470" s="332" t="str">
        <f t="shared" si="268"/>
        <v>N</v>
      </c>
      <c r="AH470" s="332">
        <f t="shared" si="294"/>
        <v>0</v>
      </c>
      <c r="AI470" s="332">
        <f t="shared" si="295"/>
        <v>0</v>
      </c>
      <c r="AJ470" s="109">
        <f t="shared" si="296"/>
        <v>592938.79096040141</v>
      </c>
      <c r="AK470" s="109">
        <f t="shared" si="269"/>
        <v>0</v>
      </c>
      <c r="AL470" s="109">
        <v>0</v>
      </c>
      <c r="AM470" s="111">
        <f t="shared" si="270"/>
        <v>7</v>
      </c>
      <c r="AN470" s="111">
        <f t="shared" si="271"/>
        <v>4</v>
      </c>
      <c r="AO470" s="111" t="str">
        <f t="shared" si="272"/>
        <v>Use deduct 3yrs</v>
      </c>
      <c r="AP470" s="111">
        <f t="shared" si="273"/>
        <v>4</v>
      </c>
      <c r="AQ470" s="112">
        <f t="shared" si="274"/>
        <v>0.2857142857142857</v>
      </c>
      <c r="AR470" s="112">
        <f t="shared" si="275"/>
        <v>0.7142857142857143</v>
      </c>
      <c r="AS470" s="113">
        <f t="shared" si="276"/>
        <v>2032</v>
      </c>
      <c r="AT470" s="109">
        <v>592938.79096040141</v>
      </c>
      <c r="AU470" s="114">
        <v>0.7142857142857143</v>
      </c>
      <c r="AV470" s="113">
        <v>2032</v>
      </c>
      <c r="AW470" s="112">
        <f t="shared" si="277"/>
        <v>0.34912840896547465</v>
      </c>
      <c r="AX470" s="109">
        <f t="shared" si="278"/>
        <v>423527.70782885823</v>
      </c>
      <c r="AY470" s="109">
        <f t="shared" si="279"/>
        <v>169411.08313154327</v>
      </c>
      <c r="AZ470" s="109">
        <f t="shared" si="280"/>
        <v>592938.79096040153</v>
      </c>
      <c r="BA470" s="111">
        <f t="shared" si="281"/>
        <v>0</v>
      </c>
      <c r="BB470" s="117"/>
      <c r="BC470" s="115" t="str">
        <f t="shared" si="282"/>
        <v>N</v>
      </c>
      <c r="BD470" s="115" t="str">
        <f t="shared" si="283"/>
        <v>N</v>
      </c>
      <c r="BE470" s="115" t="str">
        <f t="shared" si="284"/>
        <v>N</v>
      </c>
      <c r="BF470" s="109" t="str">
        <f t="shared" si="285"/>
        <v/>
      </c>
      <c r="BG470" s="111" t="s">
        <v>2499</v>
      </c>
      <c r="BH470" s="115" t="s">
        <v>1168</v>
      </c>
      <c r="BI470" s="116"/>
      <c r="BJ470" s="222">
        <v>0.34912834852779656</v>
      </c>
      <c r="BK470" s="265">
        <f t="shared" si="286"/>
        <v>2.9326781339477748E-2</v>
      </c>
      <c r="BL470" s="265">
        <f t="shared" si="287"/>
        <v>-2.9326781339477748E-2</v>
      </c>
      <c r="BM470" s="265">
        <f t="shared" si="288"/>
        <v>-2.6193447411060333E-10</v>
      </c>
      <c r="BN470" s="265">
        <f t="shared" si="289"/>
        <v>-23463.523643041088</v>
      </c>
      <c r="BO470" s="109"/>
      <c r="BP470" s="265">
        <f t="shared" si="290"/>
        <v>87170.197516666958</v>
      </c>
      <c r="BQ470" s="265">
        <v>87170.197516666958</v>
      </c>
      <c r="BR470" s="265" t="e">
        <f t="shared" si="291"/>
        <v>#REF!</v>
      </c>
      <c r="BS470" s="265">
        <v>9820.5278795439499</v>
      </c>
      <c r="BT470" s="475">
        <v>1105401.6430395991</v>
      </c>
      <c r="BU470" s="475">
        <v>423527.70782885817</v>
      </c>
      <c r="BV470" s="475">
        <v>169411.08313154324</v>
      </c>
      <c r="BW470" s="483">
        <f t="shared" si="292"/>
        <v>-7.3316953319590539E-2</v>
      </c>
      <c r="BX470" s="483">
        <f t="shared" si="293"/>
        <v>-2.9326781310373917E-2</v>
      </c>
    </row>
    <row r="471" spans="1:77" s="103" customFormat="1" ht="14.5">
      <c r="A471" s="100" t="s">
        <v>2259</v>
      </c>
      <c r="B471" s="91" t="str">
        <f t="shared" si="262"/>
        <v>TRA</v>
      </c>
      <c r="C471" s="92" t="s">
        <v>461</v>
      </c>
      <c r="D471" s="448"/>
      <c r="E471" s="450" t="s">
        <v>2146</v>
      </c>
      <c r="F471" s="467" t="s">
        <v>4862</v>
      </c>
      <c r="G471" s="467" t="s">
        <v>4746</v>
      </c>
      <c r="H471" s="470">
        <v>0.1782</v>
      </c>
      <c r="I471" s="95" t="s">
        <v>962</v>
      </c>
      <c r="J471" s="95" t="s">
        <v>1166</v>
      </c>
      <c r="K471" s="469">
        <v>550688</v>
      </c>
      <c r="L471" s="471">
        <v>0.67312986243487716</v>
      </c>
      <c r="M471" s="266">
        <v>0.30805687203791476</v>
      </c>
      <c r="N471" s="267">
        <f t="shared" si="263"/>
        <v>0.69194312796208524</v>
      </c>
      <c r="O471" s="96">
        <f t="shared" si="264"/>
        <v>484632.0153846154</v>
      </c>
      <c r="P471" s="96">
        <f t="shared" si="297"/>
        <v>20349.000000000004</v>
      </c>
      <c r="Q471" s="96">
        <f t="shared" si="265"/>
        <v>45706.984615384601</v>
      </c>
      <c r="R471" s="187" t="s">
        <v>2335</v>
      </c>
      <c r="S471" s="187" t="s">
        <v>3608</v>
      </c>
      <c r="T471" s="94" t="s">
        <v>2779</v>
      </c>
      <c r="U471" s="395">
        <f>COUNTIF(Aggregation_of_rev_to_allocate!$A$3:$A$137,$T471)</f>
        <v>1</v>
      </c>
      <c r="V471" s="100"/>
      <c r="W471" s="100">
        <v>526</v>
      </c>
      <c r="X471" s="109">
        <v>19847.305294860493</v>
      </c>
      <c r="Y471" s="109">
        <v>50534.292712298644</v>
      </c>
      <c r="Z471" s="110">
        <v>0.71246530892190318</v>
      </c>
      <c r="AA471" s="110">
        <v>0.28199566160520606</v>
      </c>
      <c r="AB471" s="110">
        <v>0.71800433839479394</v>
      </c>
      <c r="AC471" s="109">
        <f>IF(ISERROR((X471*SUMIF('Rev_for_allocation(Hard)'!$A$3:$A$249,$T471,'Rev_for_allocation(Hard)'!$I$3:$I$249)/SUMIF(Historic_capex_list!$T$9:$T$586,$T471,Historic_capex_list!$X$9:$X$586))=TRUE),0,X471*SUMIF('Rev_for_allocation(Hard)'!$A$3:$A$249,$T471,'Rev_for_allocation(Hard)'!$I$3:$I$249)/SUMIF(Historic_capex_list!$T$9:$T$586,$T471,Historic_capex_list!$X$9:$X$586))</f>
        <v>-4324.5406816651021</v>
      </c>
      <c r="AD471" s="109">
        <f t="shared" si="266"/>
        <v>15522.764613195392</v>
      </c>
      <c r="AE471" s="109">
        <f t="shared" si="298"/>
        <v>15522.764613195392</v>
      </c>
      <c r="AF471" s="109">
        <f t="shared" si="267"/>
        <v>66057.057325494039</v>
      </c>
      <c r="AG471" s="332" t="str">
        <f t="shared" si="268"/>
        <v>N</v>
      </c>
      <c r="AH471" s="332">
        <f t="shared" si="294"/>
        <v>0</v>
      </c>
      <c r="AI471" s="332">
        <f t="shared" si="295"/>
        <v>0</v>
      </c>
      <c r="AJ471" s="109">
        <f t="shared" si="296"/>
        <v>66057.057325494039</v>
      </c>
      <c r="AK471" s="109">
        <f t="shared" si="269"/>
        <v>0</v>
      </c>
      <c r="AL471" s="109">
        <v>0</v>
      </c>
      <c r="AM471" s="111">
        <f t="shared" si="270"/>
        <v>25.461538461538463</v>
      </c>
      <c r="AN471" s="111">
        <f t="shared" si="271"/>
        <v>22.461538461538463</v>
      </c>
      <c r="AO471" s="111" t="str">
        <f t="shared" si="272"/>
        <v>Use deduct 3yrs</v>
      </c>
      <c r="AP471" s="111">
        <f t="shared" si="273"/>
        <v>22.461538461538463</v>
      </c>
      <c r="AQ471" s="112">
        <f t="shared" si="274"/>
        <v>0.69194312796208524</v>
      </c>
      <c r="AR471" s="112">
        <f t="shared" si="275"/>
        <v>0.30805687203791476</v>
      </c>
      <c r="AS471" s="113">
        <f t="shared" si="276"/>
        <v>2050</v>
      </c>
      <c r="AT471" s="109">
        <v>66057.057325494039</v>
      </c>
      <c r="AU471" s="114">
        <v>0.30805687203791476</v>
      </c>
      <c r="AV471" s="113">
        <v>2050</v>
      </c>
      <c r="AW471" s="112">
        <f t="shared" si="277"/>
        <v>0.67314079366559909</v>
      </c>
      <c r="AX471" s="109">
        <f t="shared" si="278"/>
        <v>20349.330455720916</v>
      </c>
      <c r="AY471" s="109">
        <f t="shared" si="279"/>
        <v>45707.72686977312</v>
      </c>
      <c r="AZ471" s="109">
        <f t="shared" si="280"/>
        <v>66057.057325494039</v>
      </c>
      <c r="BA471" s="111">
        <f t="shared" si="281"/>
        <v>0</v>
      </c>
      <c r="BB471" s="117"/>
      <c r="BC471" s="115" t="str">
        <f t="shared" si="282"/>
        <v>N</v>
      </c>
      <c r="BD471" s="115" t="str">
        <f t="shared" si="283"/>
        <v>N</v>
      </c>
      <c r="BE471" s="115" t="str">
        <f t="shared" si="284"/>
        <v>N</v>
      </c>
      <c r="BF471" s="109" t="str">
        <f t="shared" si="285"/>
        <v/>
      </c>
      <c r="BG471" s="111" t="s">
        <v>2499</v>
      </c>
      <c r="BH471" s="115" t="s">
        <v>1168</v>
      </c>
      <c r="BI471" s="116"/>
      <c r="BJ471" s="222">
        <v>0.66868845105069585</v>
      </c>
      <c r="BK471" s="265">
        <f t="shared" si="286"/>
        <v>0.74225438851863146</v>
      </c>
      <c r="BL471" s="265">
        <f t="shared" si="287"/>
        <v>-0.74225438851863146</v>
      </c>
      <c r="BM471" s="265">
        <f t="shared" si="288"/>
        <v>0</v>
      </c>
      <c r="BN471" s="265">
        <f t="shared" si="289"/>
        <v>-501.69470513951092</v>
      </c>
      <c r="BO471" s="109"/>
      <c r="BP471" s="265">
        <f t="shared" si="290"/>
        <v>4324.5406816650939</v>
      </c>
      <c r="BQ471" s="265">
        <v>4324.5406816650939</v>
      </c>
      <c r="BR471" s="265" t="e">
        <f t="shared" si="291"/>
        <v>#REF!</v>
      </c>
      <c r="BS471" s="265">
        <v>487.19945050478879</v>
      </c>
      <c r="BT471" s="475">
        <v>32728.942674505961</v>
      </c>
      <c r="BU471" s="475">
        <v>20349.330455720916</v>
      </c>
      <c r="BV471" s="475">
        <v>45707.72686977312</v>
      </c>
      <c r="BW471" s="483">
        <f t="shared" si="292"/>
        <v>-0.33045572091214126</v>
      </c>
      <c r="BX471" s="483">
        <f t="shared" si="293"/>
        <v>-0.74225438851863146</v>
      </c>
    </row>
    <row r="472" spans="1:77" s="103" customFormat="1" ht="14.5">
      <c r="A472" s="100" t="s">
        <v>2259</v>
      </c>
      <c r="B472" s="91" t="str">
        <f t="shared" si="262"/>
        <v>TRA</v>
      </c>
      <c r="C472" s="92" t="s">
        <v>461</v>
      </c>
      <c r="D472" s="448"/>
      <c r="E472" s="450" t="s">
        <v>2171</v>
      </c>
      <c r="F472" s="467" t="s">
        <v>4863</v>
      </c>
      <c r="G472" s="467" t="s">
        <v>4746</v>
      </c>
      <c r="H472" s="470">
        <v>6.9699999999999998E-2</v>
      </c>
      <c r="I472" s="95" t="s">
        <v>962</v>
      </c>
      <c r="J472" s="95" t="s">
        <v>1166</v>
      </c>
      <c r="K472" s="469">
        <v>301935</v>
      </c>
      <c r="L472" s="471">
        <v>0.66789894581414011</v>
      </c>
      <c r="M472" s="266">
        <v>0.30805687203791476</v>
      </c>
      <c r="N472" s="267">
        <f t="shared" si="263"/>
        <v>0.69194312796208524</v>
      </c>
      <c r="O472" s="96">
        <f t="shared" si="264"/>
        <v>287879.15384615387</v>
      </c>
      <c r="P472" s="96">
        <f t="shared" si="297"/>
        <v>4330</v>
      </c>
      <c r="Q472" s="96">
        <f t="shared" si="265"/>
        <v>9725.8461538461506</v>
      </c>
      <c r="R472" s="187" t="s">
        <v>2335</v>
      </c>
      <c r="S472" s="187" t="s">
        <v>3608</v>
      </c>
      <c r="T472" s="94" t="s">
        <v>2779</v>
      </c>
      <c r="U472" s="395">
        <f>COUNTIF(Aggregation_of_rev_to_allocate!$A$3:$A$137,$T472)</f>
        <v>1</v>
      </c>
      <c r="V472" s="100"/>
      <c r="W472" s="100">
        <v>527</v>
      </c>
      <c r="X472" s="109">
        <v>4222.7710676348643</v>
      </c>
      <c r="Y472" s="109">
        <v>10751.824795285693</v>
      </c>
      <c r="Z472" s="110">
        <v>0.71246530892190307</v>
      </c>
      <c r="AA472" s="110">
        <v>0.28199566160520606</v>
      </c>
      <c r="AB472" s="110">
        <v>0.71800433839479394</v>
      </c>
      <c r="AC472" s="109">
        <f>IF(ISERROR((X472*SUMIF('Rev_for_allocation(Hard)'!$A$3:$A$249,$T472,'Rev_for_allocation(Hard)'!$I$3:$I$249)/SUMIF(Historic_capex_list!$T$9:$T$586,$T472,Historic_capex_list!$X$9:$X$586))=TRUE),0,X472*SUMIF('Rev_for_allocation(Hard)'!$A$3:$A$249,$T472,'Rev_for_allocation(Hard)'!$I$3:$I$249)/SUMIF(Historic_capex_list!$T$9:$T$586,$T472,Historic_capex_list!$X$9:$X$586))</f>
        <v>-920.10199873703834</v>
      </c>
      <c r="AD472" s="109">
        <f t="shared" si="266"/>
        <v>3302.669068897826</v>
      </c>
      <c r="AE472" s="109">
        <f t="shared" si="298"/>
        <v>3302.669068897826</v>
      </c>
      <c r="AF472" s="109">
        <f t="shared" si="267"/>
        <v>14054.493864183518</v>
      </c>
      <c r="AG472" s="332" t="str">
        <f t="shared" si="268"/>
        <v>N</v>
      </c>
      <c r="AH472" s="332">
        <f t="shared" si="294"/>
        <v>0</v>
      </c>
      <c r="AI472" s="332">
        <f t="shared" si="295"/>
        <v>0</v>
      </c>
      <c r="AJ472" s="109">
        <f t="shared" si="296"/>
        <v>14054.493864183518</v>
      </c>
      <c r="AK472" s="109">
        <f t="shared" si="269"/>
        <v>0</v>
      </c>
      <c r="AL472" s="109">
        <v>0</v>
      </c>
      <c r="AM472" s="111">
        <f t="shared" si="270"/>
        <v>25.461538461538463</v>
      </c>
      <c r="AN472" s="111">
        <f t="shared" si="271"/>
        <v>22.461538461538463</v>
      </c>
      <c r="AO472" s="111" t="str">
        <f t="shared" si="272"/>
        <v>Use deduct 3yrs</v>
      </c>
      <c r="AP472" s="111">
        <f t="shared" si="273"/>
        <v>22.461538461538463</v>
      </c>
      <c r="AQ472" s="112">
        <f t="shared" si="274"/>
        <v>0.69194312796208524</v>
      </c>
      <c r="AR472" s="112">
        <f t="shared" si="275"/>
        <v>0.30805687203791476</v>
      </c>
      <c r="AS472" s="113">
        <f t="shared" si="276"/>
        <v>2050</v>
      </c>
      <c r="AT472" s="109">
        <v>14054.493864183518</v>
      </c>
      <c r="AU472" s="114">
        <v>0.30805687203791476</v>
      </c>
      <c r="AV472" s="113">
        <v>2050</v>
      </c>
      <c r="AW472" s="112">
        <f t="shared" si="277"/>
        <v>0.66783468836352333</v>
      </c>
      <c r="AX472" s="109">
        <f t="shared" si="278"/>
        <v>4329.5834178764399</v>
      </c>
      <c r="AY472" s="109">
        <f t="shared" si="279"/>
        <v>9724.910446307078</v>
      </c>
      <c r="AZ472" s="109">
        <f t="shared" si="280"/>
        <v>14054.493864183518</v>
      </c>
      <c r="BA472" s="111">
        <f t="shared" si="281"/>
        <v>0</v>
      </c>
      <c r="BB472" s="117"/>
      <c r="BC472" s="115" t="str">
        <f t="shared" si="282"/>
        <v>Y</v>
      </c>
      <c r="BD472" s="115" t="str">
        <f t="shared" si="283"/>
        <v>Y</v>
      </c>
      <c r="BE472" s="115" t="str">
        <f t="shared" si="284"/>
        <v>N</v>
      </c>
      <c r="BF472" s="109" t="str">
        <f t="shared" si="285"/>
        <v/>
      </c>
      <c r="BG472" s="111" t="s">
        <v>2499</v>
      </c>
      <c r="BH472" s="115" t="s">
        <v>1168</v>
      </c>
      <c r="BI472" s="116"/>
      <c r="BJ472" s="222">
        <v>0.66868845105069552</v>
      </c>
      <c r="BK472" s="265">
        <f t="shared" si="286"/>
        <v>-0.93570753907260951</v>
      </c>
      <c r="BL472" s="265">
        <f t="shared" si="287"/>
        <v>0.93570753907260951</v>
      </c>
      <c r="BM472" s="265">
        <f t="shared" si="288"/>
        <v>-2.3646862246096134E-11</v>
      </c>
      <c r="BN472" s="265">
        <f t="shared" si="289"/>
        <v>-107.22893236513573</v>
      </c>
      <c r="BO472" s="109"/>
      <c r="BP472" s="265">
        <f t="shared" si="290"/>
        <v>920.10199873703823</v>
      </c>
      <c r="BQ472" s="265">
        <v>920.10199873703823</v>
      </c>
      <c r="BR472" s="265" t="e">
        <f t="shared" si="291"/>
        <v>#REF!</v>
      </c>
      <c r="BS472" s="265">
        <v>103.65798848733286</v>
      </c>
      <c r="BT472" s="475">
        <v>6963.5061358164812</v>
      </c>
      <c r="BU472" s="475">
        <v>4329.5834178764399</v>
      </c>
      <c r="BV472" s="475">
        <v>9724.910446307078</v>
      </c>
      <c r="BW472" s="483">
        <f t="shared" si="292"/>
        <v>0.41658212356014701</v>
      </c>
      <c r="BX472" s="483">
        <f t="shared" si="293"/>
        <v>0.93570753907260951</v>
      </c>
    </row>
    <row r="473" spans="1:77" s="103" customFormat="1" ht="14.5">
      <c r="A473" s="100" t="s">
        <v>2259</v>
      </c>
      <c r="B473" s="91" t="str">
        <f t="shared" si="262"/>
        <v>TRA</v>
      </c>
      <c r="C473" s="92" t="s">
        <v>461</v>
      </c>
      <c r="D473" s="448"/>
      <c r="E473" s="450" t="s">
        <v>2151</v>
      </c>
      <c r="F473" s="467" t="s">
        <v>4864</v>
      </c>
      <c r="G473" s="467" t="s">
        <v>4746</v>
      </c>
      <c r="H473" s="470">
        <v>0.23960000000000001</v>
      </c>
      <c r="I473" s="95" t="s">
        <v>962</v>
      </c>
      <c r="J473" s="95" t="s">
        <v>1166</v>
      </c>
      <c r="K473" s="469">
        <v>509293</v>
      </c>
      <c r="L473" s="471">
        <v>0.66874812267134198</v>
      </c>
      <c r="M473" s="266">
        <v>0.30805687203791476</v>
      </c>
      <c r="N473" s="267">
        <f t="shared" si="263"/>
        <v>0.69194312796208524</v>
      </c>
      <c r="O473" s="96">
        <f t="shared" si="264"/>
        <v>427687.93846153846</v>
      </c>
      <c r="P473" s="96">
        <f t="shared" si="297"/>
        <v>25139.000000000004</v>
      </c>
      <c r="Q473" s="96">
        <f t="shared" si="265"/>
        <v>56466.061538461523</v>
      </c>
      <c r="R473" s="187" t="s">
        <v>2335</v>
      </c>
      <c r="S473" s="187" t="s">
        <v>3608</v>
      </c>
      <c r="T473" s="94" t="s">
        <v>2779</v>
      </c>
      <c r="U473" s="395">
        <f>COUNTIF(Aggregation_of_rev_to_allocate!$A$3:$A$137,$T473)</f>
        <v>1</v>
      </c>
      <c r="V473" s="100"/>
      <c r="W473" s="100">
        <v>528</v>
      </c>
      <c r="X473" s="109">
        <v>24518.512228084899</v>
      </c>
      <c r="Y473" s="109">
        <v>62427.904211508481</v>
      </c>
      <c r="Z473" s="110">
        <v>0.71246530892190318</v>
      </c>
      <c r="AA473" s="110">
        <v>0.28199566160520606</v>
      </c>
      <c r="AB473" s="110">
        <v>0.71800433839479394</v>
      </c>
      <c r="AC473" s="109">
        <f>IF(ISERROR((X473*SUMIF('Rev_for_allocation(Hard)'!$A$3:$A$249,$T473,'Rev_for_allocation(Hard)'!$I$3:$I$249)/SUMIF(Historic_capex_list!$T$9:$T$586,$T473,Historic_capex_list!$X$9:$X$586))=TRUE),0,X473*SUMIF('Rev_for_allocation(Hard)'!$A$3:$A$249,$T473,'Rev_for_allocation(Hard)'!$I$3:$I$249)/SUMIF(Historic_capex_list!$T$9:$T$586,$T473,Historic_capex_list!$X$9:$X$586))</f>
        <v>-5342.3526271706742</v>
      </c>
      <c r="AD473" s="109">
        <f t="shared" si="266"/>
        <v>19176.159600914223</v>
      </c>
      <c r="AE473" s="109">
        <f t="shared" si="298"/>
        <v>19176.159600914223</v>
      </c>
      <c r="AF473" s="109">
        <f t="shared" si="267"/>
        <v>81604.063812422712</v>
      </c>
      <c r="AG473" s="332" t="str">
        <f t="shared" si="268"/>
        <v>N</v>
      </c>
      <c r="AH473" s="332">
        <f t="shared" si="294"/>
        <v>0</v>
      </c>
      <c r="AI473" s="332">
        <f t="shared" si="295"/>
        <v>0</v>
      </c>
      <c r="AJ473" s="109">
        <f t="shared" si="296"/>
        <v>81604.063812422712</v>
      </c>
      <c r="AK473" s="109">
        <f t="shared" si="269"/>
        <v>0</v>
      </c>
      <c r="AL473" s="109">
        <v>0</v>
      </c>
      <c r="AM473" s="111">
        <f t="shared" si="270"/>
        <v>25.461538461538463</v>
      </c>
      <c r="AN473" s="111">
        <f t="shared" si="271"/>
        <v>22.461538461538463</v>
      </c>
      <c r="AO473" s="111" t="str">
        <f t="shared" si="272"/>
        <v>Use deduct 3yrs</v>
      </c>
      <c r="AP473" s="111">
        <f t="shared" si="273"/>
        <v>22.461538461538463</v>
      </c>
      <c r="AQ473" s="112">
        <f t="shared" si="274"/>
        <v>0.69194312796208524</v>
      </c>
      <c r="AR473" s="112">
        <f t="shared" si="275"/>
        <v>0.30805687203791476</v>
      </c>
      <c r="AS473" s="113">
        <f t="shared" si="276"/>
        <v>2050</v>
      </c>
      <c r="AT473" s="109">
        <v>81604.063812422712</v>
      </c>
      <c r="AU473" s="114">
        <v>0.30805687203791476</v>
      </c>
      <c r="AV473" s="113">
        <v>2050</v>
      </c>
      <c r="AW473" s="112">
        <f t="shared" si="277"/>
        <v>0.66873994637194556</v>
      </c>
      <c r="AX473" s="109">
        <f t="shared" si="278"/>
        <v>25138.692643637332</v>
      </c>
      <c r="AY473" s="109">
        <f t="shared" si="279"/>
        <v>56465.371168785372</v>
      </c>
      <c r="AZ473" s="109">
        <f t="shared" si="280"/>
        <v>81604.063812422712</v>
      </c>
      <c r="BA473" s="111">
        <f t="shared" si="281"/>
        <v>0</v>
      </c>
      <c r="BB473" s="117"/>
      <c r="BC473" s="115" t="str">
        <f t="shared" si="282"/>
        <v>N</v>
      </c>
      <c r="BD473" s="115" t="str">
        <f t="shared" si="283"/>
        <v>N</v>
      </c>
      <c r="BE473" s="115" t="str">
        <f t="shared" si="284"/>
        <v>N</v>
      </c>
      <c r="BF473" s="109" t="str">
        <f t="shared" si="285"/>
        <v/>
      </c>
      <c r="BG473" s="111" t="s">
        <v>2499</v>
      </c>
      <c r="BH473" s="115" t="s">
        <v>1168</v>
      </c>
      <c r="BI473" s="116"/>
      <c r="BJ473" s="222">
        <v>0.66868845105069574</v>
      </c>
      <c r="BK473" s="265">
        <f t="shared" si="286"/>
        <v>-0.69036967615102185</v>
      </c>
      <c r="BL473" s="265">
        <f t="shared" si="287"/>
        <v>0.69036967615102185</v>
      </c>
      <c r="BM473" s="265">
        <f t="shared" si="288"/>
        <v>0</v>
      </c>
      <c r="BN473" s="265">
        <f t="shared" si="289"/>
        <v>-620.48777191510453</v>
      </c>
      <c r="BO473" s="109"/>
      <c r="BP473" s="265">
        <f t="shared" si="290"/>
        <v>5342.3526271706651</v>
      </c>
      <c r="BQ473" s="265">
        <v>5342.3526271706651</v>
      </c>
      <c r="BR473" s="265" t="e">
        <f t="shared" si="291"/>
        <v>#REF!</v>
      </c>
      <c r="BS473" s="265">
        <v>601.86536697307713</v>
      </c>
      <c r="BT473" s="475">
        <v>40431.936187577296</v>
      </c>
      <c r="BU473" s="475">
        <v>25138.692643637332</v>
      </c>
      <c r="BV473" s="475">
        <v>56465.371168785379</v>
      </c>
      <c r="BW473" s="483">
        <f t="shared" si="292"/>
        <v>0.3073563626712712</v>
      </c>
      <c r="BX473" s="483">
        <f t="shared" si="293"/>
        <v>0.69036967614374589</v>
      </c>
    </row>
    <row r="474" spans="1:77" s="103" customFormat="1" ht="14.5">
      <c r="A474" s="100" t="s">
        <v>2259</v>
      </c>
      <c r="B474" s="91" t="str">
        <f t="shared" si="262"/>
        <v>TRA</v>
      </c>
      <c r="C474" s="92" t="s">
        <v>461</v>
      </c>
      <c r="D474" s="448"/>
      <c r="E474" s="450" t="s">
        <v>2177</v>
      </c>
      <c r="F474" s="467" t="s">
        <v>4865</v>
      </c>
      <c r="G474" s="467" t="s">
        <v>4746</v>
      </c>
      <c r="H474" s="470">
        <v>0.64359999999999995</v>
      </c>
      <c r="I474" s="95" t="s">
        <v>962</v>
      </c>
      <c r="J474" s="95" t="s">
        <v>1166</v>
      </c>
      <c r="K474" s="469">
        <v>1300849</v>
      </c>
      <c r="L474" s="471">
        <v>0.51084598558798389</v>
      </c>
      <c r="M474" s="266">
        <v>0.30805687203791476</v>
      </c>
      <c r="N474" s="267">
        <f t="shared" si="263"/>
        <v>0.69194312796208524</v>
      </c>
      <c r="O474" s="96">
        <f t="shared" si="264"/>
        <v>873155.24615384627</v>
      </c>
      <c r="P474" s="96">
        <f t="shared" si="297"/>
        <v>131754</v>
      </c>
      <c r="Q474" s="96">
        <f t="shared" si="265"/>
        <v>295939.75384615373</v>
      </c>
      <c r="R474" s="187" t="s">
        <v>2335</v>
      </c>
      <c r="S474" s="187" t="s">
        <v>3608</v>
      </c>
      <c r="T474" s="94" t="s">
        <v>2779</v>
      </c>
      <c r="U474" s="395">
        <f>COUNTIF(Aggregation_of_rev_to_allocate!$A$3:$A$137,$T474)</f>
        <v>1</v>
      </c>
      <c r="V474" s="100"/>
      <c r="W474" s="100">
        <v>529</v>
      </c>
      <c r="X474" s="109">
        <v>128503.81600446466</v>
      </c>
      <c r="Y474" s="109">
        <v>327190.48536521388</v>
      </c>
      <c r="Z474" s="110">
        <v>0.81568143700930706</v>
      </c>
      <c r="AA474" s="110">
        <v>0.28199566160520606</v>
      </c>
      <c r="AB474" s="110">
        <v>0.71800433839479394</v>
      </c>
      <c r="AC474" s="109">
        <f>IF(ISERROR((X474*SUMIF('Rev_for_allocation(Hard)'!$A$3:$A$249,$T474,'Rev_for_allocation(Hard)'!$I$3:$I$249)/SUMIF(Historic_capex_list!$T$9:$T$586,$T474,Historic_capex_list!$X$9:$X$586))=TRUE),0,X474*SUMIF('Rev_for_allocation(Hard)'!$A$3:$A$249,$T474,'Rev_for_allocation(Hard)'!$I$3:$I$249)/SUMIF(Historic_capex_list!$T$9:$T$586,$T474,Historic_capex_list!$X$9:$X$586))</f>
        <v>-27999.769832956586</v>
      </c>
      <c r="AD474" s="109">
        <f t="shared" si="266"/>
        <v>100504.04617150807</v>
      </c>
      <c r="AE474" s="109">
        <f t="shared" si="298"/>
        <v>100504.04617150807</v>
      </c>
      <c r="AF474" s="109">
        <f t="shared" si="267"/>
        <v>427694.53153672197</v>
      </c>
      <c r="AG474" s="332" t="str">
        <f t="shared" si="268"/>
        <v>N</v>
      </c>
      <c r="AH474" s="332">
        <f t="shared" si="294"/>
        <v>0</v>
      </c>
      <c r="AI474" s="332">
        <f t="shared" si="295"/>
        <v>0</v>
      </c>
      <c r="AJ474" s="109">
        <f t="shared" si="296"/>
        <v>427694.53153672197</v>
      </c>
      <c r="AK474" s="109">
        <f t="shared" si="269"/>
        <v>0</v>
      </c>
      <c r="AL474" s="109">
        <v>0</v>
      </c>
      <c r="AM474" s="111">
        <f t="shared" si="270"/>
        <v>25.461538461538463</v>
      </c>
      <c r="AN474" s="111">
        <f t="shared" si="271"/>
        <v>22.461538461538463</v>
      </c>
      <c r="AO474" s="111" t="str">
        <f t="shared" si="272"/>
        <v>Use deduct 3yrs</v>
      </c>
      <c r="AP474" s="111">
        <f t="shared" si="273"/>
        <v>22.461538461538463</v>
      </c>
      <c r="AQ474" s="112">
        <f t="shared" si="274"/>
        <v>0.69194312796208524</v>
      </c>
      <c r="AR474" s="112">
        <f t="shared" si="275"/>
        <v>0.30805687203791476</v>
      </c>
      <c r="AS474" s="113">
        <f t="shared" si="276"/>
        <v>2050</v>
      </c>
      <c r="AT474" s="109">
        <v>427694.53153672197</v>
      </c>
      <c r="AU474" s="114">
        <v>0.30805687203791476</v>
      </c>
      <c r="AV474" s="113">
        <v>2050</v>
      </c>
      <c r="AW474" s="112">
        <f t="shared" si="277"/>
        <v>0.51084691447717434</v>
      </c>
      <c r="AX474" s="109">
        <f t="shared" si="278"/>
        <v>131754.23957292386</v>
      </c>
      <c r="AY474" s="109">
        <f t="shared" si="279"/>
        <v>295940.29196379811</v>
      </c>
      <c r="AZ474" s="109">
        <f t="shared" si="280"/>
        <v>427694.53153672197</v>
      </c>
      <c r="BA474" s="111">
        <f t="shared" si="281"/>
        <v>0</v>
      </c>
      <c r="BB474" s="117"/>
      <c r="BC474" s="115" t="str">
        <f t="shared" si="282"/>
        <v>N</v>
      </c>
      <c r="BD474" s="115" t="str">
        <f t="shared" si="283"/>
        <v>N</v>
      </c>
      <c r="BE474" s="115" t="str">
        <f t="shared" si="284"/>
        <v>N</v>
      </c>
      <c r="BF474" s="109" t="str">
        <f t="shared" si="285"/>
        <v/>
      </c>
      <c r="BG474" s="111" t="s">
        <v>2499</v>
      </c>
      <c r="BH474" s="115" t="s">
        <v>1168</v>
      </c>
      <c r="BI474" s="116"/>
      <c r="BJ474" s="222">
        <v>0.76556254716445038</v>
      </c>
      <c r="BK474" s="265">
        <f t="shared" si="286"/>
        <v>0.53811764437705278</v>
      </c>
      <c r="BL474" s="265">
        <f t="shared" si="287"/>
        <v>-0.53811764437705278</v>
      </c>
      <c r="BM474" s="265">
        <f t="shared" si="288"/>
        <v>0</v>
      </c>
      <c r="BN474" s="265">
        <f t="shared" si="289"/>
        <v>-3250.1839955353353</v>
      </c>
      <c r="BO474" s="109"/>
      <c r="BP474" s="265">
        <f t="shared" si="290"/>
        <v>27999.769832956605</v>
      </c>
      <c r="BQ474" s="265">
        <v>27999.769832956605</v>
      </c>
      <c r="BR474" s="265" t="e">
        <f t="shared" si="291"/>
        <v>#REF!</v>
      </c>
      <c r="BS474" s="265">
        <v>3154.432685698448</v>
      </c>
      <c r="BT474" s="475">
        <v>130972.468463278</v>
      </c>
      <c r="BU474" s="475">
        <v>131754.23957292386</v>
      </c>
      <c r="BV474" s="475">
        <v>295940.29196379811</v>
      </c>
      <c r="BW474" s="483">
        <f t="shared" si="292"/>
        <v>-0.23957292386330664</v>
      </c>
      <c r="BX474" s="483">
        <f t="shared" si="293"/>
        <v>-0.53811764437705278</v>
      </c>
    </row>
    <row r="475" spans="1:77" s="103" customFormat="1" ht="29.5" thickBot="1">
      <c r="A475" s="100" t="s">
        <v>2259</v>
      </c>
      <c r="B475" s="91" t="str">
        <f t="shared" si="262"/>
        <v>TRA</v>
      </c>
      <c r="C475" s="92" t="s">
        <v>461</v>
      </c>
      <c r="D475" s="448"/>
      <c r="E475" s="450" t="s">
        <v>2199</v>
      </c>
      <c r="F475" s="468" t="s">
        <v>2523</v>
      </c>
      <c r="G475" s="684" t="s">
        <v>5342</v>
      </c>
      <c r="H475" s="398">
        <v>1</v>
      </c>
      <c r="I475" s="95" t="s">
        <v>951</v>
      </c>
      <c r="J475" s="95" t="s">
        <v>1166</v>
      </c>
      <c r="K475" s="191">
        <v>923176</v>
      </c>
      <c r="L475" s="268">
        <v>0.37606106638661868</v>
      </c>
      <c r="M475" s="266">
        <v>1</v>
      </c>
      <c r="N475" s="267">
        <f t="shared" si="263"/>
        <v>0</v>
      </c>
      <c r="O475" s="96">
        <f t="shared" si="264"/>
        <v>576005.44897746702</v>
      </c>
      <c r="P475" s="96">
        <f t="shared" si="297"/>
        <v>347170.55102253309</v>
      </c>
      <c r="Q475" s="96">
        <f t="shared" si="265"/>
        <v>0</v>
      </c>
      <c r="R475" s="187" t="s">
        <v>2337</v>
      </c>
      <c r="S475" s="187" t="s">
        <v>3608</v>
      </c>
      <c r="T475" s="94" t="s">
        <v>2781</v>
      </c>
      <c r="U475" s="395">
        <f>COUNTIF(Aggregation_of_rev_to_allocate!$A$3:$A$137,$T475)</f>
        <v>1</v>
      </c>
      <c r="V475" s="100"/>
      <c r="W475" s="100">
        <v>560</v>
      </c>
      <c r="X475" s="109">
        <v>388929.97693863063</v>
      </c>
      <c r="Y475" s="109">
        <v>188908.84594162056</v>
      </c>
      <c r="Z475" s="110">
        <v>0.62592487551696663</v>
      </c>
      <c r="AA475" s="110">
        <v>0.67307692307692313</v>
      </c>
      <c r="AB475" s="110">
        <v>0.32692307692307687</v>
      </c>
      <c r="AC475" s="109">
        <f>IF(ISERROR((X475*SUMIF('Rev_for_allocation(Hard)'!$A$3:$A$249,$T475,'Rev_for_allocation(Hard)'!$I$3:$I$249)/SUMIF(Historic_capex_list!$T$9:$T$586,$T475,Historic_capex_list!$X$9:$X$586))=TRUE),0,X475*SUMIF('Rev_for_allocation(Hard)'!$A$3:$A$249,$T475,'Rev_for_allocation(Hard)'!$I$3:$I$249)/SUMIF(Historic_capex_list!$T$9:$T$586,$T475,Historic_capex_list!$X$9:$X$586))</f>
        <v>-234296.83018435849</v>
      </c>
      <c r="AD475" s="109">
        <f t="shared" si="266"/>
        <v>154633.14675427214</v>
      </c>
      <c r="AE475" s="109">
        <f t="shared" si="298"/>
        <v>154633.14675427214</v>
      </c>
      <c r="AF475" s="109">
        <f t="shared" si="267"/>
        <v>343541.9926958927</v>
      </c>
      <c r="AG475" s="332" t="str">
        <f t="shared" si="268"/>
        <v>N</v>
      </c>
      <c r="AH475" s="332">
        <f t="shared" si="294"/>
        <v>0</v>
      </c>
      <c r="AI475" s="332">
        <f t="shared" si="295"/>
        <v>0</v>
      </c>
      <c r="AJ475" s="109">
        <f t="shared" si="296"/>
        <v>343541.9926958927</v>
      </c>
      <c r="AK475" s="109">
        <f t="shared" si="269"/>
        <v>0</v>
      </c>
      <c r="AL475" s="109">
        <v>0</v>
      </c>
      <c r="AM475" s="111">
        <f t="shared" si="270"/>
        <v>4.8571428571428559</v>
      </c>
      <c r="AN475" s="111">
        <f t="shared" si="271"/>
        <v>1.8571428571428559</v>
      </c>
      <c r="AO475" s="111">
        <f t="shared" si="272"/>
        <v>4.7245199142871943</v>
      </c>
      <c r="AP475" s="111">
        <f t="shared" si="273"/>
        <v>0</v>
      </c>
      <c r="AQ475" s="112">
        <f t="shared" si="274"/>
        <v>0</v>
      </c>
      <c r="AR475" s="112">
        <f t="shared" si="275"/>
        <v>1</v>
      </c>
      <c r="AS475" s="113">
        <f t="shared" si="276"/>
        <v>2028</v>
      </c>
      <c r="AT475" s="109">
        <v>347170.55102253309</v>
      </c>
      <c r="AU475" s="114">
        <v>1</v>
      </c>
      <c r="AV475" s="113">
        <v>2028</v>
      </c>
      <c r="AW475" s="112">
        <f t="shared" si="277"/>
        <v>0.37606106638661868</v>
      </c>
      <c r="AX475" s="109">
        <f t="shared" si="278"/>
        <v>347170.55102253309</v>
      </c>
      <c r="AY475" s="109">
        <f t="shared" si="279"/>
        <v>0</v>
      </c>
      <c r="AZ475" s="109">
        <f t="shared" si="280"/>
        <v>347170.55102253309</v>
      </c>
      <c r="BA475" s="111">
        <f t="shared" si="281"/>
        <v>0</v>
      </c>
      <c r="BB475" s="117"/>
      <c r="BC475" s="115" t="str">
        <f t="shared" si="282"/>
        <v>N</v>
      </c>
      <c r="BD475" s="115" t="str">
        <f t="shared" si="283"/>
        <v>Y</v>
      </c>
      <c r="BE475" s="115" t="str">
        <f t="shared" si="284"/>
        <v>N</v>
      </c>
      <c r="BF475" s="109" t="str">
        <f t="shared" si="285"/>
        <v/>
      </c>
      <c r="BG475" s="111" t="s">
        <v>2499</v>
      </c>
      <c r="BH475" s="115" t="s">
        <v>1168</v>
      </c>
      <c r="BI475" s="116"/>
      <c r="BJ475" s="222">
        <v>0.37606106638661868</v>
      </c>
      <c r="BK475" s="265">
        <f t="shared" si="286"/>
        <v>0</v>
      </c>
      <c r="BL475" s="265">
        <f t="shared" si="287"/>
        <v>0</v>
      </c>
      <c r="BM475" s="265">
        <f t="shared" si="288"/>
        <v>-1.1641532182693481E-10</v>
      </c>
      <c r="BN475" s="265">
        <f t="shared" si="289"/>
        <v>41759.425916097534</v>
      </c>
      <c r="BO475" s="109"/>
      <c r="BP475" s="265">
        <f t="shared" si="290"/>
        <v>230668.27185771812</v>
      </c>
      <c r="BQ475" s="265">
        <v>230668.27185771812</v>
      </c>
      <c r="BR475" s="265" t="e">
        <f t="shared" si="291"/>
        <v>#REF!</v>
      </c>
      <c r="BS475" s="265">
        <v>25986.91134400402</v>
      </c>
      <c r="BT475" s="475">
        <v>576005.44897746702</v>
      </c>
      <c r="BU475" s="475">
        <v>347170.55102253309</v>
      </c>
      <c r="BV475" s="475">
        <v>0</v>
      </c>
      <c r="BW475" s="483">
        <f t="shared" si="292"/>
        <v>0</v>
      </c>
      <c r="BX475" s="483">
        <f t="shared" si="293"/>
        <v>0</v>
      </c>
      <c r="BY475" s="103" t="s">
        <v>5333</v>
      </c>
    </row>
    <row r="476" spans="1:77" s="103" customFormat="1" ht="29">
      <c r="A476" s="100" t="s">
        <v>2259</v>
      </c>
      <c r="B476" s="91" t="str">
        <f t="shared" si="262"/>
        <v>TRA</v>
      </c>
      <c r="C476" s="92" t="s">
        <v>461</v>
      </c>
      <c r="D476" s="448"/>
      <c r="E476" s="450" t="s">
        <v>2201</v>
      </c>
      <c r="F476" s="468" t="s">
        <v>2524</v>
      </c>
      <c r="G476" s="384" t="s">
        <v>4695</v>
      </c>
      <c r="H476" s="398">
        <v>1</v>
      </c>
      <c r="I476" s="95" t="s">
        <v>951</v>
      </c>
      <c r="J476" s="95" t="s">
        <v>1166</v>
      </c>
      <c r="K476" s="191">
        <v>271883</v>
      </c>
      <c r="L476" s="268">
        <v>0.52399103463294761</v>
      </c>
      <c r="M476" s="266">
        <v>0.47557840616966585</v>
      </c>
      <c r="N476" s="267">
        <f t="shared" si="263"/>
        <v>0.52442159383033415</v>
      </c>
      <c r="O476" s="96">
        <f t="shared" si="264"/>
        <v>129418.7455308903</v>
      </c>
      <c r="P476" s="96">
        <f t="shared" si="297"/>
        <v>67752.923076568884</v>
      </c>
      <c r="Q476" s="96">
        <f t="shared" si="265"/>
        <v>74711.331392540815</v>
      </c>
      <c r="R476" s="187" t="s">
        <v>2337</v>
      </c>
      <c r="S476" s="187" t="s">
        <v>3608</v>
      </c>
      <c r="T476" s="94" t="s">
        <v>2781</v>
      </c>
      <c r="U476" s="395">
        <f>COUNTIF(Aggregation_of_rev_to_allocate!$A$3:$A$137,$T476)</f>
        <v>1</v>
      </c>
      <c r="V476" s="100"/>
      <c r="W476" s="100">
        <v>561</v>
      </c>
      <c r="X476" s="109">
        <v>78726.131445538107</v>
      </c>
      <c r="Y476" s="109">
        <v>110429.35735198451</v>
      </c>
      <c r="Z476" s="110">
        <v>0.6957238547372312</v>
      </c>
      <c r="AA476" s="110">
        <v>0.41619797525309343</v>
      </c>
      <c r="AB476" s="110">
        <v>0.58380202474690657</v>
      </c>
      <c r="AC476" s="109">
        <f>IF(ISERROR((X476*SUMIF('Rev_for_allocation(Hard)'!$A$3:$A$249,$T476,'Rev_for_allocation(Hard)'!$I$3:$I$249)/SUMIF(Historic_capex_list!$T$9:$T$586,$T476,Historic_capex_list!$X$9:$X$586))=TRUE),0,X476*SUMIF('Rev_for_allocation(Hard)'!$A$3:$A$249,$T476,'Rev_for_allocation(Hard)'!$I$3:$I$249)/SUMIF(Historic_capex_list!$T$9:$T$586,$T476,Historic_capex_list!$X$9:$X$586))</f>
        <v>-47425.71708037104</v>
      </c>
      <c r="AD476" s="109">
        <f t="shared" si="266"/>
        <v>31300.414365167067</v>
      </c>
      <c r="AE476" s="109">
        <f t="shared" si="298"/>
        <v>31300.414365167067</v>
      </c>
      <c r="AF476" s="109">
        <f t="shared" si="267"/>
        <v>141729.77171715157</v>
      </c>
      <c r="AG476" s="332" t="str">
        <f t="shared" si="268"/>
        <v>N</v>
      </c>
      <c r="AH476" s="332">
        <f t="shared" si="294"/>
        <v>0</v>
      </c>
      <c r="AI476" s="332">
        <f t="shared" si="295"/>
        <v>0</v>
      </c>
      <c r="AJ476" s="109">
        <f t="shared" si="296"/>
        <v>141729.77171715157</v>
      </c>
      <c r="AK476" s="109">
        <f t="shared" si="269"/>
        <v>0</v>
      </c>
      <c r="AL476" s="109">
        <v>0</v>
      </c>
      <c r="AM476" s="111">
        <f t="shared" si="270"/>
        <v>14.027027027027025</v>
      </c>
      <c r="AN476" s="111">
        <f t="shared" si="271"/>
        <v>11.027027027027025</v>
      </c>
      <c r="AO476" s="111">
        <f t="shared" si="272"/>
        <v>15.9870861433269</v>
      </c>
      <c r="AP476" s="111">
        <f t="shared" si="273"/>
        <v>11.027027027027025</v>
      </c>
      <c r="AQ476" s="112">
        <f t="shared" si="274"/>
        <v>0.52442159383033415</v>
      </c>
      <c r="AR476" s="112">
        <f t="shared" si="275"/>
        <v>0.47557840616966585</v>
      </c>
      <c r="AS476" s="113">
        <f t="shared" si="276"/>
        <v>2039</v>
      </c>
      <c r="AT476" s="109">
        <v>142464.2544691097</v>
      </c>
      <c r="AU476" s="114">
        <v>0.47557840616966585</v>
      </c>
      <c r="AV476" s="113">
        <v>2039</v>
      </c>
      <c r="AW476" s="112">
        <f t="shared" si="277"/>
        <v>0.52399103463294761</v>
      </c>
      <c r="AX476" s="109">
        <f t="shared" si="278"/>
        <v>67752.923076568884</v>
      </c>
      <c r="AY476" s="109">
        <f t="shared" si="279"/>
        <v>74711.331392540815</v>
      </c>
      <c r="AZ476" s="109">
        <f t="shared" si="280"/>
        <v>142464.2544691097</v>
      </c>
      <c r="BA476" s="111">
        <f t="shared" si="281"/>
        <v>0</v>
      </c>
      <c r="BB476" s="117"/>
      <c r="BC476" s="115" t="str">
        <f t="shared" si="282"/>
        <v>N</v>
      </c>
      <c r="BD476" s="115" t="str">
        <f t="shared" si="283"/>
        <v>N</v>
      </c>
      <c r="BE476" s="115" t="str">
        <f t="shared" si="284"/>
        <v>N</v>
      </c>
      <c r="BF476" s="109" t="str">
        <f t="shared" si="285"/>
        <v/>
      </c>
      <c r="BG476" s="111" t="s">
        <v>2499</v>
      </c>
      <c r="BH476" s="115" t="s">
        <v>1168</v>
      </c>
      <c r="BI476" s="116"/>
      <c r="BJ476" s="222">
        <v>0.52399103463294761</v>
      </c>
      <c r="BK476" s="265">
        <f t="shared" si="286"/>
        <v>0</v>
      </c>
      <c r="BL476" s="265">
        <f t="shared" si="287"/>
        <v>0</v>
      </c>
      <c r="BM476" s="265">
        <f t="shared" si="288"/>
        <v>0</v>
      </c>
      <c r="BN476" s="265">
        <f t="shared" si="289"/>
        <v>10973.208368969223</v>
      </c>
      <c r="BO476" s="109"/>
      <c r="BP476" s="265">
        <f t="shared" si="290"/>
        <v>46691.234328412917</v>
      </c>
      <c r="BQ476" s="265">
        <v>46691.234328412917</v>
      </c>
      <c r="BR476" s="265" t="e">
        <f t="shared" si="291"/>
        <v>#REF!</v>
      </c>
      <c r="BS476" s="265">
        <v>5260.1988009127435</v>
      </c>
      <c r="BT476" s="475">
        <v>129418.7455308903</v>
      </c>
      <c r="BU476" s="475">
        <v>67752.923076568884</v>
      </c>
      <c r="BV476" s="475">
        <v>74711.331392540815</v>
      </c>
      <c r="BW476" s="483">
        <f t="shared" si="292"/>
        <v>0</v>
      </c>
      <c r="BX476" s="483">
        <f t="shared" si="293"/>
        <v>0</v>
      </c>
    </row>
    <row r="477" spans="1:77" s="103" customFormat="1" ht="29">
      <c r="A477" s="100" t="s">
        <v>2259</v>
      </c>
      <c r="B477" s="91" t="str">
        <f t="shared" si="262"/>
        <v>TRA</v>
      </c>
      <c r="C477" s="92" t="s">
        <v>461</v>
      </c>
      <c r="D477" s="448"/>
      <c r="E477" s="452">
        <v>40694</v>
      </c>
      <c r="F477" s="467" t="s">
        <v>4931</v>
      </c>
      <c r="G477" s="620" t="s">
        <v>5307</v>
      </c>
      <c r="H477" s="398">
        <v>0.34436348447579707</v>
      </c>
      <c r="I477" s="95" t="s">
        <v>952</v>
      </c>
      <c r="J477" s="95" t="s">
        <v>1166</v>
      </c>
      <c r="K477" s="191">
        <v>885629.85</v>
      </c>
      <c r="L477" s="268">
        <v>0.14908431678646</v>
      </c>
      <c r="M477" s="266">
        <v>1</v>
      </c>
      <c r="N477" s="267">
        <f t="shared" si="263"/>
        <v>0</v>
      </c>
      <c r="O477" s="96">
        <f t="shared" si="264"/>
        <v>840162.32660193765</v>
      </c>
      <c r="P477" s="96">
        <f t="shared" si="297"/>
        <v>45467.523398062476</v>
      </c>
      <c r="Q477" s="96">
        <f t="shared" si="265"/>
        <v>0</v>
      </c>
      <c r="R477" s="187" t="s">
        <v>2335</v>
      </c>
      <c r="S477" s="187" t="s">
        <v>3608</v>
      </c>
      <c r="T477" s="94" t="s">
        <v>2779</v>
      </c>
      <c r="U477" s="395">
        <f>COUNTIF(Aggregation_of_rev_to_allocate!$A$3:$A$137,$T477)</f>
        <v>1</v>
      </c>
      <c r="V477" s="100"/>
      <c r="W477" s="100">
        <v>530</v>
      </c>
      <c r="X477" s="109">
        <v>135468.07817855265</v>
      </c>
      <c r="Y477" s="109">
        <v>26082.659828407883</v>
      </c>
      <c r="Z477" s="110">
        <v>0.18241338410958094</v>
      </c>
      <c r="AA477" s="110">
        <v>0.83854818523153951</v>
      </c>
      <c r="AB477" s="110">
        <v>0.16145181476846049</v>
      </c>
      <c r="AC477" s="109">
        <f>IF(ISERROR((X477*SUMIF('Rev_for_allocation(Hard)'!$A$3:$A$249,$T477,'Rev_for_allocation(Hard)'!$I$3:$I$249)/SUMIF(Historic_capex_list!$T$9:$T$586,$T477,Historic_capex_list!$X$9:$X$586))=TRUE),0,X477*SUMIF('Rev_for_allocation(Hard)'!$A$3:$A$249,$T477,'Rev_for_allocation(Hard)'!$I$3:$I$249)/SUMIF(Historic_capex_list!$T$9:$T$586,$T477,Historic_capex_list!$X$9:$X$586))</f>
        <v>-29517.216894015495</v>
      </c>
      <c r="AD477" s="109">
        <f t="shared" si="266"/>
        <v>105950.86128453715</v>
      </c>
      <c r="AE477" s="109">
        <f t="shared" si="298"/>
        <v>105950.86128453715</v>
      </c>
      <c r="AF477" s="109">
        <f t="shared" si="267"/>
        <v>132033.52111294505</v>
      </c>
      <c r="AG477" s="332" t="str">
        <f t="shared" si="268"/>
        <v>N</v>
      </c>
      <c r="AH477" s="332">
        <f t="shared" si="294"/>
        <v>0</v>
      </c>
      <c r="AI477" s="332">
        <f t="shared" si="295"/>
        <v>0</v>
      </c>
      <c r="AJ477" s="109">
        <f t="shared" si="296"/>
        <v>132033.52111294505</v>
      </c>
      <c r="AK477" s="109">
        <f t="shared" si="269"/>
        <v>0</v>
      </c>
      <c r="AL477" s="109">
        <v>0</v>
      </c>
      <c r="AM477" s="111">
        <f t="shared" si="270"/>
        <v>1.9253731343283569</v>
      </c>
      <c r="AN477" s="111">
        <f t="shared" si="271"/>
        <v>-1.0746268656716431</v>
      </c>
      <c r="AO477" s="111" t="str">
        <f t="shared" si="272"/>
        <v>Use deduct 3yrs</v>
      </c>
      <c r="AP477" s="111">
        <f t="shared" si="273"/>
        <v>-1.0746268656716431</v>
      </c>
      <c r="AQ477" s="112">
        <f t="shared" si="274"/>
        <v>0</v>
      </c>
      <c r="AR477" s="112">
        <f t="shared" si="275"/>
        <v>1</v>
      </c>
      <c r="AS477" s="113">
        <f t="shared" si="276"/>
        <v>2028</v>
      </c>
      <c r="AT477" s="109">
        <v>132033.52111294505</v>
      </c>
      <c r="AU477" s="114">
        <v>1</v>
      </c>
      <c r="AV477" s="113">
        <v>2028</v>
      </c>
      <c r="AW477" s="112">
        <f t="shared" si="277"/>
        <v>0.43292719323421208</v>
      </c>
      <c r="AX477" s="109">
        <f t="shared" si="278"/>
        <v>132033.52111294505</v>
      </c>
      <c r="AY477" s="109">
        <f t="shared" si="279"/>
        <v>0</v>
      </c>
      <c r="AZ477" s="109">
        <f t="shared" si="280"/>
        <v>132033.52111294505</v>
      </c>
      <c r="BA477" s="111">
        <f t="shared" si="281"/>
        <v>0</v>
      </c>
      <c r="BB477" s="117"/>
      <c r="BC477" s="115" t="str">
        <f t="shared" si="282"/>
        <v>N</v>
      </c>
      <c r="BD477" s="115" t="str">
        <f t="shared" si="283"/>
        <v>Y</v>
      </c>
      <c r="BE477" s="115" t="str">
        <f t="shared" si="284"/>
        <v>N</v>
      </c>
      <c r="BF477" s="109" t="str">
        <f t="shared" si="285"/>
        <v/>
      </c>
      <c r="BG477" s="111" t="s">
        <v>2499</v>
      </c>
      <c r="BH477" s="115" t="s">
        <v>1168</v>
      </c>
      <c r="BI477" s="116"/>
      <c r="BJ477" s="222">
        <v>0.14908431678646</v>
      </c>
      <c r="BK477" s="265">
        <f t="shared" si="286"/>
        <v>0</v>
      </c>
      <c r="BL477" s="265">
        <f t="shared" si="287"/>
        <v>0</v>
      </c>
      <c r="BM477" s="265">
        <f t="shared" si="288"/>
        <v>-1.4551915228366852E-10</v>
      </c>
      <c r="BN477" s="265">
        <f t="shared" si="289"/>
        <v>90000.554780490173</v>
      </c>
      <c r="BO477" s="109"/>
      <c r="BP477" s="265">
        <f t="shared" si="290"/>
        <v>29517.216894015495</v>
      </c>
      <c r="BQ477" s="265">
        <v>29517.216894015495</v>
      </c>
      <c r="BR477" s="265" t="e">
        <f t="shared" si="291"/>
        <v>#REF!</v>
      </c>
      <c r="BS477" s="265">
        <v>3325.3871127090279</v>
      </c>
      <c r="BT477" s="475">
        <v>753596.32888705493</v>
      </c>
      <c r="BU477" s="475">
        <v>132033.52111294505</v>
      </c>
      <c r="BV477" s="475">
        <v>0</v>
      </c>
      <c r="BW477" s="483">
        <f t="shared" si="292"/>
        <v>-86565.997714882571</v>
      </c>
      <c r="BX477" s="483">
        <f t="shared" si="293"/>
        <v>0</v>
      </c>
    </row>
    <row r="478" spans="1:77" s="103" customFormat="1" ht="42" customHeight="1">
      <c r="A478" s="100"/>
      <c r="B478" s="91" t="str">
        <f t="shared" si="262"/>
        <v>TRA</v>
      </c>
      <c r="C478" s="92"/>
      <c r="D478" s="448"/>
      <c r="E478" s="450"/>
      <c r="F478" s="384" t="s">
        <v>3619</v>
      </c>
      <c r="G478" s="384" t="s">
        <v>4451</v>
      </c>
      <c r="H478" s="398">
        <v>0.16</v>
      </c>
      <c r="I478" s="95"/>
      <c r="J478" s="95" t="s">
        <v>1166</v>
      </c>
      <c r="K478" s="191">
        <v>4567176</v>
      </c>
      <c r="L478" s="268">
        <v>0.83004535469244467</v>
      </c>
      <c r="M478" s="266">
        <v>1</v>
      </c>
      <c r="N478" s="267">
        <f t="shared" si="263"/>
        <v>0</v>
      </c>
      <c r="O478" s="96">
        <f t="shared" si="264"/>
        <v>3960621.8843419487</v>
      </c>
      <c r="P478" s="96">
        <f t="shared" si="297"/>
        <v>606554.11565805133</v>
      </c>
      <c r="Q478" s="96">
        <f t="shared" si="265"/>
        <v>0</v>
      </c>
      <c r="R478" s="187" t="s">
        <v>2335</v>
      </c>
      <c r="S478" s="187" t="s">
        <v>3608</v>
      </c>
      <c r="T478" s="94" t="s">
        <v>2779</v>
      </c>
      <c r="U478" s="395">
        <f>COUNTIF(Aggregation_of_rev_to_allocate!$A$3:$A$137,$T478)</f>
        <v>1</v>
      </c>
      <c r="V478" s="100"/>
      <c r="W478" s="100">
        <v>913</v>
      </c>
      <c r="X478" s="109">
        <v>569983.56480000005</v>
      </c>
      <c r="Y478" s="109">
        <v>160764.59519999998</v>
      </c>
      <c r="Z478" s="110">
        <v>1</v>
      </c>
      <c r="AA478" s="110">
        <v>0.78</v>
      </c>
      <c r="AB478" s="110">
        <v>0.21999999999999997</v>
      </c>
      <c r="AC478" s="109">
        <f>IF(ISERROR((X478*SUMIF('Rev_for_allocation(Hard)'!$A$3:$A$249,$T478,'Rev_for_allocation(Hard)'!$I$3:$I$249)/SUMIF(Historic_capex_list!$T$9:$T$586,$T478,Historic_capex_list!$X$9:$X$586))=TRUE),0,X478*SUMIF('Rev_for_allocation(Hard)'!$A$3:$A$249,$T478,'Rev_for_allocation(Hard)'!$I$3:$I$249)/SUMIF(Historic_capex_list!$T$9:$T$586,$T478,Historic_capex_list!$X$9:$X$586))</f>
        <v>-124194.04434194868</v>
      </c>
      <c r="AD478" s="109">
        <f t="shared" si="266"/>
        <v>445789.52045805135</v>
      </c>
      <c r="AE478" s="109">
        <f t="shared" si="298"/>
        <v>445789.52045805135</v>
      </c>
      <c r="AF478" s="109">
        <f t="shared" si="267"/>
        <v>606554.11565805133</v>
      </c>
      <c r="AG478" s="332" t="str">
        <f t="shared" si="268"/>
        <v>N</v>
      </c>
      <c r="AH478" s="332">
        <f t="shared" si="294"/>
        <v>0</v>
      </c>
      <c r="AI478" s="332">
        <f t="shared" si="295"/>
        <v>0</v>
      </c>
      <c r="AJ478" s="109">
        <f t="shared" si="296"/>
        <v>606554.11565805133</v>
      </c>
      <c r="AK478" s="109">
        <f t="shared" si="269"/>
        <v>0</v>
      </c>
      <c r="AL478" s="109">
        <v>0</v>
      </c>
      <c r="AM478" s="111">
        <f t="shared" si="270"/>
        <v>2.8205128205128198</v>
      </c>
      <c r="AN478" s="111">
        <f t="shared" si="271"/>
        <v>-0.17948717948718018</v>
      </c>
      <c r="AO478" s="111" t="str">
        <f t="shared" si="272"/>
        <v>Use deduct 3yrs</v>
      </c>
      <c r="AP478" s="111">
        <f t="shared" si="273"/>
        <v>-0.17948717948718018</v>
      </c>
      <c r="AQ478" s="112">
        <f t="shared" si="274"/>
        <v>0</v>
      </c>
      <c r="AR478" s="112">
        <f t="shared" si="275"/>
        <v>1</v>
      </c>
      <c r="AS478" s="113">
        <f t="shared" si="276"/>
        <v>2028</v>
      </c>
      <c r="AT478" s="109">
        <v>606554.11565805133</v>
      </c>
      <c r="AU478" s="114">
        <v>1</v>
      </c>
      <c r="AV478" s="113">
        <v>2028</v>
      </c>
      <c r="AW478" s="112">
        <f t="shared" si="277"/>
        <v>0.83004535469244467</v>
      </c>
      <c r="AX478" s="109">
        <f t="shared" si="278"/>
        <v>606554.11565805133</v>
      </c>
      <c r="AY478" s="109">
        <f t="shared" si="279"/>
        <v>0</v>
      </c>
      <c r="AZ478" s="109">
        <f t="shared" si="280"/>
        <v>606554.11565805133</v>
      </c>
      <c r="BA478" s="111">
        <f t="shared" si="281"/>
        <v>0</v>
      </c>
      <c r="BB478" s="117"/>
      <c r="BC478" s="115" t="str">
        <f t="shared" si="282"/>
        <v>N</v>
      </c>
      <c r="BD478" s="115" t="str">
        <f t="shared" si="283"/>
        <v>Y</v>
      </c>
      <c r="BE478" s="115" t="str">
        <f t="shared" si="284"/>
        <v>N</v>
      </c>
      <c r="BF478" s="109" t="str">
        <f t="shared" si="285"/>
        <v/>
      </c>
      <c r="BG478" s="111" t="s">
        <v>2499</v>
      </c>
      <c r="BH478" s="115" t="s">
        <v>1168</v>
      </c>
      <c r="BI478" s="116"/>
      <c r="BJ478" s="222">
        <v>0.83004535469244467</v>
      </c>
      <c r="BK478" s="265">
        <f t="shared" si="286"/>
        <v>0</v>
      </c>
      <c r="BL478" s="265">
        <f t="shared" si="287"/>
        <v>0</v>
      </c>
      <c r="BM478" s="265">
        <f t="shared" si="288"/>
        <v>0</v>
      </c>
      <c r="BN478" s="265">
        <f t="shared" si="289"/>
        <v>-36570.550858051283</v>
      </c>
      <c r="BO478" s="109"/>
      <c r="BP478" s="265">
        <f t="shared" si="290"/>
        <v>124194.0443419487</v>
      </c>
      <c r="BQ478" s="265">
        <v>124194.0443419487</v>
      </c>
      <c r="BR478" s="265" t="e">
        <f t="shared" si="291"/>
        <v>#REF!</v>
      </c>
      <c r="BS478" s="265">
        <v>13991.606187426925</v>
      </c>
      <c r="BT478" s="475">
        <v>3960621.8843419487</v>
      </c>
      <c r="BU478" s="475">
        <v>606554.11565805133</v>
      </c>
      <c r="BV478" s="475">
        <v>0</v>
      </c>
      <c r="BW478" s="483">
        <f t="shared" si="292"/>
        <v>0</v>
      </c>
      <c r="BX478" s="483">
        <f t="shared" si="293"/>
        <v>0</v>
      </c>
    </row>
    <row r="479" spans="1:77" s="103" customFormat="1" ht="43.5">
      <c r="A479" s="100"/>
      <c r="B479" s="91" t="str">
        <f t="shared" si="262"/>
        <v>TRA</v>
      </c>
      <c r="C479" s="92"/>
      <c r="D479" s="448"/>
      <c r="E479" s="450"/>
      <c r="F479" s="384" t="s">
        <v>3619</v>
      </c>
      <c r="G479" s="384" t="s">
        <v>4451</v>
      </c>
      <c r="H479" s="398">
        <v>0.16</v>
      </c>
      <c r="I479" s="95"/>
      <c r="J479" s="95" t="s">
        <v>1166</v>
      </c>
      <c r="K479" s="191">
        <v>3739182.3</v>
      </c>
      <c r="L479" s="268">
        <v>0.83004535469244478</v>
      </c>
      <c r="M479" s="266">
        <v>1</v>
      </c>
      <c r="N479" s="267">
        <f t="shared" si="263"/>
        <v>0</v>
      </c>
      <c r="O479" s="96">
        <f t="shared" si="264"/>
        <v>3242591.756245886</v>
      </c>
      <c r="P479" s="96">
        <f t="shared" si="297"/>
        <v>496590.54375411384</v>
      </c>
      <c r="Q479" s="96">
        <f t="shared" si="265"/>
        <v>0</v>
      </c>
      <c r="R479" s="187" t="s">
        <v>2335</v>
      </c>
      <c r="S479" s="187" t="s">
        <v>3608</v>
      </c>
      <c r="T479" s="94" t="s">
        <v>2779</v>
      </c>
      <c r="U479" s="395">
        <f>COUNTIF(Aggregation_of_rev_to_allocate!$A$3:$A$137,$T479)</f>
        <v>1</v>
      </c>
      <c r="V479" s="100"/>
      <c r="W479" s="100">
        <v>913</v>
      </c>
      <c r="X479" s="109">
        <v>466649.95104000001</v>
      </c>
      <c r="Y479" s="109">
        <v>131619.21695999999</v>
      </c>
      <c r="Z479" s="110">
        <v>1</v>
      </c>
      <c r="AA479" s="110">
        <v>0.78</v>
      </c>
      <c r="AB479" s="110">
        <v>0.21999999999999997</v>
      </c>
      <c r="AC479" s="109">
        <f>IF(ISERROR((X479*SUMIF('Rev_for_allocation(Hard)'!$A$3:$A$249,$T479,'Rev_for_allocation(Hard)'!$I$3:$I$249)/SUMIF(Historic_capex_list!$T$9:$T$586,$T479,Historic_capex_list!$X$9:$X$586))=TRUE),0,X479*SUMIF('Rev_for_allocation(Hard)'!$A$3:$A$249,$T479,'Rev_for_allocation(Hard)'!$I$3:$I$249)/SUMIF(Historic_capex_list!$T$9:$T$586,$T479,Historic_capex_list!$X$9:$X$586))</f>
        <v>-101678.62424588621</v>
      </c>
      <c r="AD479" s="109">
        <f t="shared" si="266"/>
        <v>364971.32679411379</v>
      </c>
      <c r="AE479" s="109">
        <f t="shared" si="298"/>
        <v>364971.32679411379</v>
      </c>
      <c r="AF479" s="109">
        <f t="shared" si="267"/>
        <v>496590.54375411378</v>
      </c>
      <c r="AG479" s="332" t="str">
        <f t="shared" si="268"/>
        <v>N</v>
      </c>
      <c r="AH479" s="332">
        <f t="shared" si="294"/>
        <v>0</v>
      </c>
      <c r="AI479" s="332">
        <f t="shared" si="295"/>
        <v>0</v>
      </c>
      <c r="AJ479" s="109">
        <f t="shared" si="296"/>
        <v>496590.54375411378</v>
      </c>
      <c r="AK479" s="109">
        <f t="shared" si="269"/>
        <v>0</v>
      </c>
      <c r="AL479" s="109">
        <v>0</v>
      </c>
      <c r="AM479" s="111">
        <f t="shared" si="270"/>
        <v>2.8205128205128198</v>
      </c>
      <c r="AN479" s="111">
        <f t="shared" si="271"/>
        <v>-0.17948717948718018</v>
      </c>
      <c r="AO479" s="111" t="str">
        <f t="shared" si="272"/>
        <v>Use deduct 3yrs</v>
      </c>
      <c r="AP479" s="111">
        <f t="shared" si="273"/>
        <v>-0.17948717948718018</v>
      </c>
      <c r="AQ479" s="112">
        <f t="shared" si="274"/>
        <v>0</v>
      </c>
      <c r="AR479" s="112">
        <f t="shared" si="275"/>
        <v>1</v>
      </c>
      <c r="AS479" s="113">
        <f t="shared" si="276"/>
        <v>2028</v>
      </c>
      <c r="AT479" s="109">
        <v>496590.54375411378</v>
      </c>
      <c r="AU479" s="114">
        <v>1</v>
      </c>
      <c r="AV479" s="113">
        <v>2028</v>
      </c>
      <c r="AW479" s="112">
        <f t="shared" si="277"/>
        <v>0.83004535469244478</v>
      </c>
      <c r="AX479" s="109">
        <f t="shared" si="278"/>
        <v>496590.54375411384</v>
      </c>
      <c r="AY479" s="109">
        <f t="shared" si="279"/>
        <v>0</v>
      </c>
      <c r="AZ479" s="109">
        <f t="shared" si="280"/>
        <v>496590.54375411384</v>
      </c>
      <c r="BA479" s="111">
        <f t="shared" si="281"/>
        <v>0</v>
      </c>
      <c r="BB479" s="117"/>
      <c r="BC479" s="115" t="str">
        <f t="shared" si="282"/>
        <v>N</v>
      </c>
      <c r="BD479" s="115" t="str">
        <f t="shared" si="283"/>
        <v>Y</v>
      </c>
      <c r="BE479" s="115" t="str">
        <f t="shared" si="284"/>
        <v>N</v>
      </c>
      <c r="BF479" s="109" t="str">
        <f t="shared" si="285"/>
        <v/>
      </c>
      <c r="BG479" s="111" t="s">
        <v>2499</v>
      </c>
      <c r="BH479" s="115" t="s">
        <v>1168</v>
      </c>
      <c r="BI479" s="116"/>
      <c r="BJ479" s="222">
        <v>0.83004535469244478</v>
      </c>
      <c r="BK479" s="265">
        <f t="shared" si="286"/>
        <v>0</v>
      </c>
      <c r="BL479" s="265">
        <f t="shared" si="287"/>
        <v>0</v>
      </c>
      <c r="BM479" s="265">
        <f t="shared" si="288"/>
        <v>0</v>
      </c>
      <c r="BN479" s="265">
        <f t="shared" si="289"/>
        <v>-29940.592714113824</v>
      </c>
      <c r="BO479" s="109"/>
      <c r="BP479" s="265">
        <f t="shared" si="290"/>
        <v>101678.62424588628</v>
      </c>
      <c r="BQ479" s="265">
        <v>101678.62424588628</v>
      </c>
      <c r="BR479" s="265" t="e">
        <f t="shared" si="291"/>
        <v>#REF!</v>
      </c>
      <c r="BS479" s="265">
        <v>11455.036154638505</v>
      </c>
      <c r="BT479" s="475">
        <v>3242591.756245886</v>
      </c>
      <c r="BU479" s="475">
        <v>496590.54375411384</v>
      </c>
      <c r="BV479" s="475">
        <v>0</v>
      </c>
      <c r="BW479" s="483">
        <f t="shared" si="292"/>
        <v>0</v>
      </c>
      <c r="BX479" s="483">
        <f t="shared" si="293"/>
        <v>0</v>
      </c>
    </row>
    <row r="480" spans="1:77" s="103" customFormat="1" ht="35.25" customHeight="1">
      <c r="A480" s="100" t="s">
        <v>2259</v>
      </c>
      <c r="B480" s="91" t="str">
        <f t="shared" si="262"/>
        <v>TRA</v>
      </c>
      <c r="C480" s="92" t="s">
        <v>461</v>
      </c>
      <c r="D480" s="448"/>
      <c r="E480" s="450" t="s">
        <v>2205</v>
      </c>
      <c r="F480" s="468" t="s">
        <v>2525</v>
      </c>
      <c r="G480" s="620" t="s">
        <v>5308</v>
      </c>
      <c r="H480" s="398">
        <v>1</v>
      </c>
      <c r="I480" s="95" t="s">
        <v>951</v>
      </c>
      <c r="J480" s="95" t="s">
        <v>1166</v>
      </c>
      <c r="K480" s="191">
        <v>3670248</v>
      </c>
      <c r="L480" s="268">
        <v>0.37606106638661874</v>
      </c>
      <c r="M480" s="266">
        <v>1</v>
      </c>
      <c r="N480" s="267">
        <f t="shared" si="263"/>
        <v>0</v>
      </c>
      <c r="O480" s="96">
        <f t="shared" si="264"/>
        <v>2290010.6232166453</v>
      </c>
      <c r="P480" s="96">
        <f t="shared" si="297"/>
        <v>1380237.3767833547</v>
      </c>
      <c r="Q480" s="96">
        <f t="shared" si="265"/>
        <v>0</v>
      </c>
      <c r="R480" s="187" t="s">
        <v>2337</v>
      </c>
      <c r="S480" s="187" t="s">
        <v>3608</v>
      </c>
      <c r="T480" s="94" t="s">
        <v>2781</v>
      </c>
      <c r="U480" s="395">
        <f>COUNTIF(Aggregation_of_rev_to_allocate!$A$3:$A$137,$T480)</f>
        <v>1</v>
      </c>
      <c r="V480" s="100"/>
      <c r="W480" s="100">
        <v>562</v>
      </c>
      <c r="X480" s="109">
        <v>1546259.2940014207</v>
      </c>
      <c r="Y480" s="109">
        <v>751040.22851497564</v>
      </c>
      <c r="Z480" s="110">
        <v>0.62592487551696685</v>
      </c>
      <c r="AA480" s="110">
        <v>0.67307692307692313</v>
      </c>
      <c r="AB480" s="110">
        <v>0.32692307692307687</v>
      </c>
      <c r="AC480" s="109">
        <f>IF(ISERROR((X480*SUMIF('Rev_for_allocation(Hard)'!$A$3:$A$249,$T480,'Rev_for_allocation(Hard)'!$I$3:$I$249)/SUMIF(Historic_capex_list!$T$9:$T$586,$T480,Historic_capex_list!$X$9:$X$586))=TRUE),0,X480*SUMIF('Rev_for_allocation(Hard)'!$A$3:$A$249,$T480,'Rev_for_allocation(Hard)'!$I$3:$I$249)/SUMIF(Historic_capex_list!$T$9:$T$586,$T480,Historic_capex_list!$X$9:$X$586))</f>
        <v>-931488.11536530603</v>
      </c>
      <c r="AD480" s="109">
        <f t="shared" si="266"/>
        <v>614771.1786361147</v>
      </c>
      <c r="AE480" s="109">
        <f t="shared" si="298"/>
        <v>614771.1786361147</v>
      </c>
      <c r="AF480" s="109">
        <f t="shared" si="267"/>
        <v>1365811.4071510904</v>
      </c>
      <c r="AG480" s="332" t="str">
        <f t="shared" si="268"/>
        <v>N</v>
      </c>
      <c r="AH480" s="332">
        <f t="shared" si="294"/>
        <v>0</v>
      </c>
      <c r="AI480" s="332">
        <f t="shared" si="295"/>
        <v>0</v>
      </c>
      <c r="AJ480" s="109">
        <f t="shared" si="296"/>
        <v>1365811.4071510904</v>
      </c>
      <c r="AK480" s="109">
        <f t="shared" si="269"/>
        <v>0</v>
      </c>
      <c r="AL480" s="109">
        <v>0</v>
      </c>
      <c r="AM480" s="111">
        <f t="shared" si="270"/>
        <v>4.8571428571428559</v>
      </c>
      <c r="AN480" s="111">
        <f t="shared" si="271"/>
        <v>1.8571428571428559</v>
      </c>
      <c r="AO480" s="111">
        <f t="shared" si="272"/>
        <v>4.7245199142871916</v>
      </c>
      <c r="AP480" s="111">
        <f t="shared" si="273"/>
        <v>0</v>
      </c>
      <c r="AQ480" s="112">
        <f t="shared" si="274"/>
        <v>0</v>
      </c>
      <c r="AR480" s="112">
        <f t="shared" si="275"/>
        <v>1</v>
      </c>
      <c r="AS480" s="113">
        <f t="shared" si="276"/>
        <v>2028</v>
      </c>
      <c r="AT480" s="109">
        <v>1380237.3767833547</v>
      </c>
      <c r="AU480" s="114">
        <v>1</v>
      </c>
      <c r="AV480" s="113">
        <v>2028</v>
      </c>
      <c r="AW480" s="112">
        <f t="shared" si="277"/>
        <v>0.37606106638661874</v>
      </c>
      <c r="AX480" s="109">
        <f t="shared" si="278"/>
        <v>1380237.3767833547</v>
      </c>
      <c r="AY480" s="109">
        <f t="shared" si="279"/>
        <v>0</v>
      </c>
      <c r="AZ480" s="109">
        <f t="shared" si="280"/>
        <v>1380237.3767833547</v>
      </c>
      <c r="BA480" s="111">
        <f t="shared" si="281"/>
        <v>0</v>
      </c>
      <c r="BB480" s="117" t="s">
        <v>2467</v>
      </c>
      <c r="BC480" s="115" t="str">
        <f t="shared" si="282"/>
        <v>N</v>
      </c>
      <c r="BD480" s="115" t="str">
        <f t="shared" si="283"/>
        <v>Y</v>
      </c>
      <c r="BE480" s="115" t="str">
        <f t="shared" si="284"/>
        <v>N</v>
      </c>
      <c r="BF480" s="109" t="str">
        <f t="shared" si="285"/>
        <v/>
      </c>
      <c r="BG480" s="111" t="s">
        <v>2499</v>
      </c>
      <c r="BH480" s="115" t="s">
        <v>1168</v>
      </c>
      <c r="BI480" s="116"/>
      <c r="BJ480" s="222">
        <v>0.37606106638661874</v>
      </c>
      <c r="BK480" s="265">
        <f t="shared" si="286"/>
        <v>0</v>
      </c>
      <c r="BL480" s="265">
        <f t="shared" si="287"/>
        <v>0</v>
      </c>
      <c r="BM480" s="265">
        <f t="shared" si="288"/>
        <v>0</v>
      </c>
      <c r="BN480" s="265">
        <f t="shared" si="289"/>
        <v>166021.91721806605</v>
      </c>
      <c r="BO480" s="109"/>
      <c r="BP480" s="265">
        <f t="shared" si="290"/>
        <v>917062.14573304169</v>
      </c>
      <c r="BQ480" s="265">
        <v>917062.14573304169</v>
      </c>
      <c r="BR480" s="265" t="e">
        <f t="shared" si="291"/>
        <v>#REF!</v>
      </c>
      <c r="BS480" s="265">
        <v>103315.52096946639</v>
      </c>
      <c r="BT480" s="475">
        <v>2290010.6232166453</v>
      </c>
      <c r="BU480" s="475">
        <v>1380237.3767833547</v>
      </c>
      <c r="BV480" s="475">
        <v>0</v>
      </c>
      <c r="BW480" s="483">
        <f t="shared" si="292"/>
        <v>0</v>
      </c>
      <c r="BX480" s="483">
        <f t="shared" si="293"/>
        <v>0</v>
      </c>
    </row>
    <row r="481" spans="1:77" s="103" customFormat="1" ht="12.75" customHeight="1">
      <c r="A481" s="100" t="s">
        <v>2259</v>
      </c>
      <c r="B481" s="91" t="str">
        <f t="shared" si="262"/>
        <v>TRA</v>
      </c>
      <c r="C481" s="92" t="s">
        <v>461</v>
      </c>
      <c r="D481" s="448"/>
      <c r="E481" s="450" t="s">
        <v>2212</v>
      </c>
      <c r="F481" s="467" t="s">
        <v>4956</v>
      </c>
      <c r="G481" s="384" t="s">
        <v>4701</v>
      </c>
      <c r="H481" s="398">
        <v>0.80300000000000005</v>
      </c>
      <c r="I481" s="95" t="s">
        <v>890</v>
      </c>
      <c r="J481" s="95" t="s">
        <v>1166</v>
      </c>
      <c r="K481" s="191">
        <v>12456838</v>
      </c>
      <c r="L481" s="268">
        <v>0.18548182855772624</v>
      </c>
      <c r="M481" s="266">
        <v>1</v>
      </c>
      <c r="N481" s="267">
        <f t="shared" si="263"/>
        <v>0</v>
      </c>
      <c r="O481" s="96">
        <f t="shared" si="264"/>
        <v>10601492.776499242</v>
      </c>
      <c r="P481" s="96">
        <f t="shared" si="297"/>
        <v>1855345.2235007575</v>
      </c>
      <c r="Q481" s="96">
        <f t="shared" si="265"/>
        <v>0</v>
      </c>
      <c r="R481" s="187" t="s">
        <v>2336</v>
      </c>
      <c r="S481" s="187" t="s">
        <v>3608</v>
      </c>
      <c r="T481" s="94" t="s">
        <v>2780</v>
      </c>
      <c r="U481" s="395">
        <f>COUNTIF(Aggregation_of_rev_to_allocate!$A$3:$A$137,$T481)</f>
        <v>1</v>
      </c>
      <c r="V481" s="100"/>
      <c r="W481" s="100">
        <v>494</v>
      </c>
      <c r="X481" s="109">
        <v>3040509.218230674</v>
      </c>
      <c r="Y481" s="109">
        <v>0</v>
      </c>
      <c r="Z481" s="110">
        <v>0.30396456810336447</v>
      </c>
      <c r="AA481" s="110">
        <v>1</v>
      </c>
      <c r="AB481" s="110">
        <v>0</v>
      </c>
      <c r="AC481" s="109">
        <f>IF(ISERROR((X481*SUMIF('Rev_for_allocation(Hard)'!$A$3:$A$249,$T481,'Rev_for_allocation(Hard)'!$I$3:$I$249)/SUMIF(Historic_capex_list!$T$9:$T$586,$T481,Historic_capex_list!$X$9:$X$586))=TRUE),0,X481*SUMIF('Rev_for_allocation(Hard)'!$A$3:$A$249,$T481,'Rev_for_allocation(Hard)'!$I$3:$I$249)/SUMIF(Historic_capex_list!$T$9:$T$586,$T481,Historic_capex_list!$X$9:$X$586))</f>
        <v>-1185163.9947299163</v>
      </c>
      <c r="AD481" s="109">
        <f t="shared" si="266"/>
        <v>1855345.2235007577</v>
      </c>
      <c r="AE481" s="109">
        <f t="shared" si="298"/>
        <v>1855345.2235007577</v>
      </c>
      <c r="AF481" s="109">
        <f t="shared" si="267"/>
        <v>1855345.2235007577</v>
      </c>
      <c r="AG481" s="332" t="str">
        <f t="shared" si="268"/>
        <v>N</v>
      </c>
      <c r="AH481" s="332">
        <f t="shared" si="294"/>
        <v>0</v>
      </c>
      <c r="AI481" s="332">
        <f t="shared" si="295"/>
        <v>0</v>
      </c>
      <c r="AJ481" s="109">
        <f t="shared" si="296"/>
        <v>1855345.2235007577</v>
      </c>
      <c r="AK481" s="109">
        <f t="shared" si="269"/>
        <v>0</v>
      </c>
      <c r="AL481" s="109">
        <v>0</v>
      </c>
      <c r="AM481" s="111">
        <f t="shared" si="270"/>
        <v>0</v>
      </c>
      <c r="AN481" s="111">
        <f t="shared" si="271"/>
        <v>0</v>
      </c>
      <c r="AO481" s="111" t="str">
        <f t="shared" si="272"/>
        <v>Use deduct 3yrs</v>
      </c>
      <c r="AP481" s="111">
        <f t="shared" si="273"/>
        <v>0</v>
      </c>
      <c r="AQ481" s="112">
        <f t="shared" si="274"/>
        <v>0</v>
      </c>
      <c r="AR481" s="112">
        <f t="shared" si="275"/>
        <v>1</v>
      </c>
      <c r="AS481" s="113">
        <f t="shared" si="276"/>
        <v>2028</v>
      </c>
      <c r="AT481" s="109">
        <v>1855345.2235007577</v>
      </c>
      <c r="AU481" s="114">
        <v>1</v>
      </c>
      <c r="AV481" s="113">
        <v>2028</v>
      </c>
      <c r="AW481" s="112">
        <f t="shared" si="277"/>
        <v>0.18548182855772624</v>
      </c>
      <c r="AX481" s="109">
        <f t="shared" si="278"/>
        <v>1855345.2235007575</v>
      </c>
      <c r="AY481" s="109">
        <f t="shared" si="279"/>
        <v>0</v>
      </c>
      <c r="AZ481" s="109">
        <f t="shared" si="280"/>
        <v>1855345.2235007575</v>
      </c>
      <c r="BA481" s="111">
        <f t="shared" si="281"/>
        <v>0</v>
      </c>
      <c r="BB481" s="117"/>
      <c r="BC481" s="115" t="str">
        <f t="shared" si="282"/>
        <v>N</v>
      </c>
      <c r="BD481" s="115" t="str">
        <f t="shared" si="283"/>
        <v>Y</v>
      </c>
      <c r="BE481" s="115" t="str">
        <f t="shared" si="284"/>
        <v>N</v>
      </c>
      <c r="BF481" s="109" t="str">
        <f t="shared" si="285"/>
        <v/>
      </c>
      <c r="BG481" s="111" t="s">
        <v>2499</v>
      </c>
      <c r="BH481" s="115" t="s">
        <v>1168</v>
      </c>
      <c r="BI481" s="116"/>
      <c r="BJ481" s="222">
        <v>0.18548182855772624</v>
      </c>
      <c r="BK481" s="265">
        <f t="shared" si="286"/>
        <v>0</v>
      </c>
      <c r="BL481" s="265">
        <f t="shared" si="287"/>
        <v>0</v>
      </c>
      <c r="BM481" s="265">
        <f t="shared" si="288"/>
        <v>9.3132257461547852E-10</v>
      </c>
      <c r="BN481" s="265">
        <f t="shared" si="289"/>
        <v>1185163.9947299166</v>
      </c>
      <c r="BO481" s="109"/>
      <c r="BP481" s="265">
        <f t="shared" si="290"/>
        <v>1185163.9947299163</v>
      </c>
      <c r="BQ481" s="265">
        <v>1185163.9947299163</v>
      </c>
      <c r="BR481" s="265" t="e">
        <f t="shared" si="291"/>
        <v>#REF!</v>
      </c>
      <c r="BS481" s="265">
        <v>133519.67052559971</v>
      </c>
      <c r="BT481" s="475">
        <v>10601492.776499242</v>
      </c>
      <c r="BU481" s="475">
        <v>1855345.2235007575</v>
      </c>
      <c r="BV481" s="475">
        <v>0</v>
      </c>
      <c r="BW481" s="483">
        <f t="shared" si="292"/>
        <v>0</v>
      </c>
      <c r="BX481" s="483">
        <f t="shared" si="293"/>
        <v>0</v>
      </c>
    </row>
    <row r="482" spans="1:77" s="103" customFormat="1" ht="29">
      <c r="A482" s="100" t="s">
        <v>2259</v>
      </c>
      <c r="B482" s="91" t="str">
        <f t="shared" si="262"/>
        <v>TRA</v>
      </c>
      <c r="C482" s="92" t="s">
        <v>461</v>
      </c>
      <c r="D482" s="448"/>
      <c r="E482" s="450" t="s">
        <v>2213</v>
      </c>
      <c r="F482" s="468" t="s">
        <v>4477</v>
      </c>
      <c r="G482" s="620" t="s">
        <v>5347</v>
      </c>
      <c r="H482" s="398">
        <v>9.5000000000000001E-2</v>
      </c>
      <c r="I482" s="95" t="s">
        <v>890</v>
      </c>
      <c r="J482" s="95" t="s">
        <v>1166</v>
      </c>
      <c r="K482" s="191">
        <v>70692896</v>
      </c>
      <c r="L482" s="268">
        <v>0.22270184583086483</v>
      </c>
      <c r="M482" s="266">
        <v>1</v>
      </c>
      <c r="N482" s="267">
        <f t="shared" si="263"/>
        <v>0</v>
      </c>
      <c r="O482" s="96">
        <f t="shared" si="264"/>
        <v>69197269.349498719</v>
      </c>
      <c r="P482" s="96">
        <f t="shared" si="297"/>
        <v>1495626.6505012894</v>
      </c>
      <c r="Q482" s="96">
        <f t="shared" si="265"/>
        <v>0</v>
      </c>
      <c r="R482" s="187" t="s">
        <v>2336</v>
      </c>
      <c r="S482" s="187" t="s">
        <v>3608</v>
      </c>
      <c r="T482" s="94" t="s">
        <v>2780</v>
      </c>
      <c r="U482" s="395">
        <f>COUNTIF(Aggregation_of_rev_to_allocate!$A$3:$A$137,$T482)</f>
        <v>1</v>
      </c>
      <c r="V482" s="100"/>
      <c r="W482" s="100">
        <v>495</v>
      </c>
      <c r="X482" s="109">
        <v>2451008.3408090766</v>
      </c>
      <c r="Y482" s="109">
        <v>0</v>
      </c>
      <c r="Z482" s="110">
        <v>0.36496011986820115</v>
      </c>
      <c r="AA482" s="110">
        <v>1</v>
      </c>
      <c r="AB482" s="110">
        <v>0</v>
      </c>
      <c r="AC482" s="109">
        <f>IF(ISERROR((X482*SUMIF('Rev_for_allocation(Hard)'!$A$3:$A$249,$T482,'Rev_for_allocation(Hard)'!$I$3:$I$249)/SUMIF(Historic_capex_list!$T$9:$T$586,$T482,Historic_capex_list!$X$9:$X$586))=TRUE),0,X482*SUMIF('Rev_for_allocation(Hard)'!$A$3:$A$249,$T482,'Rev_for_allocation(Hard)'!$I$3:$I$249)/SUMIF(Historic_capex_list!$T$9:$T$586,$T482,Historic_capex_list!$X$9:$X$586))</f>
        <v>-955381.69030778715</v>
      </c>
      <c r="AD482" s="109">
        <f t="shared" si="266"/>
        <v>1495626.6505012894</v>
      </c>
      <c r="AE482" s="109">
        <f t="shared" si="298"/>
        <v>1495626.6505012894</v>
      </c>
      <c r="AF482" s="109">
        <f t="shared" si="267"/>
        <v>1495626.6505012894</v>
      </c>
      <c r="AG482" s="332" t="str">
        <f t="shared" si="268"/>
        <v>N</v>
      </c>
      <c r="AH482" s="332">
        <f t="shared" si="294"/>
        <v>0</v>
      </c>
      <c r="AI482" s="332">
        <f t="shared" si="295"/>
        <v>0</v>
      </c>
      <c r="AJ482" s="109">
        <f t="shared" si="296"/>
        <v>1495626.6505012894</v>
      </c>
      <c r="AK482" s="109">
        <f t="shared" si="269"/>
        <v>0</v>
      </c>
      <c r="AL482" s="109">
        <v>0</v>
      </c>
      <c r="AM482" s="111">
        <f t="shared" si="270"/>
        <v>0</v>
      </c>
      <c r="AN482" s="111">
        <f t="shared" si="271"/>
        <v>0</v>
      </c>
      <c r="AO482" s="111" t="str">
        <f t="shared" si="272"/>
        <v>Use deduct 3yrs</v>
      </c>
      <c r="AP482" s="111">
        <f t="shared" si="273"/>
        <v>0</v>
      </c>
      <c r="AQ482" s="112">
        <f t="shared" si="274"/>
        <v>0</v>
      </c>
      <c r="AR482" s="112">
        <f t="shared" si="275"/>
        <v>1</v>
      </c>
      <c r="AS482" s="113">
        <f t="shared" si="276"/>
        <v>2028</v>
      </c>
      <c r="AT482" s="109">
        <v>1495626.6505012894</v>
      </c>
      <c r="AU482" s="114">
        <v>1</v>
      </c>
      <c r="AV482" s="113">
        <v>2028</v>
      </c>
      <c r="AW482" s="112">
        <f t="shared" si="277"/>
        <v>0.22270184583086483</v>
      </c>
      <c r="AX482" s="109">
        <f t="shared" si="278"/>
        <v>1495626.6505012894</v>
      </c>
      <c r="AY482" s="109">
        <f t="shared" si="279"/>
        <v>0</v>
      </c>
      <c r="AZ482" s="109">
        <f t="shared" si="280"/>
        <v>1495626.6505012894</v>
      </c>
      <c r="BA482" s="111">
        <f t="shared" si="281"/>
        <v>0</v>
      </c>
      <c r="BB482" s="117"/>
      <c r="BC482" s="115" t="str">
        <f t="shared" si="282"/>
        <v>N</v>
      </c>
      <c r="BD482" s="115" t="str">
        <f t="shared" si="283"/>
        <v>Y</v>
      </c>
      <c r="BE482" s="115" t="str">
        <f t="shared" si="284"/>
        <v>N</v>
      </c>
      <c r="BF482" s="109" t="str">
        <f t="shared" si="285"/>
        <v/>
      </c>
      <c r="BG482" s="111" t="s">
        <v>2499</v>
      </c>
      <c r="BH482" s="115" t="s">
        <v>1168</v>
      </c>
      <c r="BI482" s="116"/>
      <c r="BJ482" s="222">
        <v>0.22270184583086483</v>
      </c>
      <c r="BK482" s="265">
        <f t="shared" si="286"/>
        <v>0</v>
      </c>
      <c r="BL482" s="265">
        <f t="shared" si="287"/>
        <v>0</v>
      </c>
      <c r="BM482" s="265">
        <f t="shared" si="288"/>
        <v>-8.3819031715393066E-9</v>
      </c>
      <c r="BN482" s="265">
        <f t="shared" si="289"/>
        <v>955381.69030778715</v>
      </c>
      <c r="BO482" s="109"/>
      <c r="BP482" s="265">
        <f t="shared" si="290"/>
        <v>955381.69030778715</v>
      </c>
      <c r="BQ482" s="265">
        <v>955381.69030778715</v>
      </c>
      <c r="BR482" s="265" t="e">
        <f t="shared" si="291"/>
        <v>#REF!</v>
      </c>
      <c r="BS482" s="265">
        <v>107632.57159626763</v>
      </c>
      <c r="BT482" s="475">
        <v>69197269.349498719</v>
      </c>
      <c r="BU482" s="475">
        <v>1495626.6505012894</v>
      </c>
      <c r="BV482" s="475">
        <v>0</v>
      </c>
      <c r="BW482" s="483">
        <f t="shared" si="292"/>
        <v>0</v>
      </c>
      <c r="BX482" s="483">
        <f t="shared" si="293"/>
        <v>0</v>
      </c>
      <c r="BY482" s="103" t="s">
        <v>5334</v>
      </c>
    </row>
    <row r="483" spans="1:77" s="103" customFormat="1" ht="29">
      <c r="A483" s="100" t="s">
        <v>2259</v>
      </c>
      <c r="B483" s="91" t="str">
        <f t="shared" si="262"/>
        <v>TRA</v>
      </c>
      <c r="C483" s="92" t="s">
        <v>461</v>
      </c>
      <c r="D483" s="448"/>
      <c r="E483" s="450" t="s">
        <v>2172</v>
      </c>
      <c r="F483" s="467" t="s">
        <v>4879</v>
      </c>
      <c r="G483" s="467" t="s">
        <v>4747</v>
      </c>
      <c r="H483" s="470">
        <v>0.37</v>
      </c>
      <c r="I483" s="95" t="s">
        <v>962</v>
      </c>
      <c r="J483" s="95" t="s">
        <v>1166</v>
      </c>
      <c r="K483" s="469">
        <v>1204433</v>
      </c>
      <c r="L483" s="471">
        <v>0.72859963042314391</v>
      </c>
      <c r="M483" s="266">
        <v>0.30805687203791476</v>
      </c>
      <c r="N483" s="267">
        <f t="shared" si="263"/>
        <v>0.69194312796208524</v>
      </c>
      <c r="O483" s="96">
        <f t="shared" si="264"/>
        <v>879739.70769230777</v>
      </c>
      <c r="P483" s="96">
        <f t="shared" si="297"/>
        <v>100024</v>
      </c>
      <c r="Q483" s="96">
        <f t="shared" si="265"/>
        <v>224669.29230769223</v>
      </c>
      <c r="R483" s="187" t="s">
        <v>2335</v>
      </c>
      <c r="S483" s="187" t="s">
        <v>3608</v>
      </c>
      <c r="T483" s="94" t="s">
        <v>2779</v>
      </c>
      <c r="U483" s="395">
        <f>COUNTIF(Aggregation_of_rev_to_allocate!$A$3:$A$137,$T483)</f>
        <v>1</v>
      </c>
      <c r="V483" s="100"/>
      <c r="W483" s="100">
        <v>533</v>
      </c>
      <c r="X483" s="109">
        <v>97556.758915637067</v>
      </c>
      <c r="Y483" s="109">
        <v>248394.51693135287</v>
      </c>
      <c r="Z483" s="110">
        <v>0.77275083506144893</v>
      </c>
      <c r="AA483" s="110">
        <v>0.28199566160520606</v>
      </c>
      <c r="AB483" s="110">
        <v>0.71800433839479394</v>
      </c>
      <c r="AC483" s="109">
        <f>IF(ISERROR((X483*SUMIF('Rev_for_allocation(Hard)'!$A$3:$A$249,$T483,'Rev_for_allocation(Hard)'!$I$3:$I$249)/SUMIF(Historic_capex_list!$T$9:$T$586,$T483,Historic_capex_list!$X$9:$X$586))=TRUE),0,X483*SUMIF('Rev_for_allocation(Hard)'!$A$3:$A$249,$T483,'Rev_for_allocation(Hard)'!$I$3:$I$249)/SUMIF(Historic_capex_list!$T$9:$T$586,$T483,Historic_capex_list!$X$9:$X$586))</f>
        <v>-21256.697895976638</v>
      </c>
      <c r="AD483" s="109">
        <f t="shared" si="266"/>
        <v>76300.061019660425</v>
      </c>
      <c r="AE483" s="109">
        <f t="shared" si="298"/>
        <v>76300.061019660425</v>
      </c>
      <c r="AF483" s="109">
        <f t="shared" si="267"/>
        <v>324694.57795101329</v>
      </c>
      <c r="AG483" s="332" t="str">
        <f t="shared" si="268"/>
        <v>N</v>
      </c>
      <c r="AH483" s="332">
        <f t="shared" si="294"/>
        <v>0</v>
      </c>
      <c r="AI483" s="332">
        <f t="shared" si="295"/>
        <v>0</v>
      </c>
      <c r="AJ483" s="109">
        <f t="shared" si="296"/>
        <v>324694.57795101329</v>
      </c>
      <c r="AK483" s="109">
        <f t="shared" si="269"/>
        <v>0</v>
      </c>
      <c r="AL483" s="109">
        <v>0</v>
      </c>
      <c r="AM483" s="111">
        <f t="shared" si="270"/>
        <v>25.461538461538463</v>
      </c>
      <c r="AN483" s="111">
        <f t="shared" si="271"/>
        <v>22.461538461538463</v>
      </c>
      <c r="AO483" s="111" t="str">
        <f t="shared" si="272"/>
        <v>Use deduct 3yrs</v>
      </c>
      <c r="AP483" s="111">
        <f t="shared" si="273"/>
        <v>22.461538461538463</v>
      </c>
      <c r="AQ483" s="112">
        <f t="shared" si="274"/>
        <v>0.69194312796208524</v>
      </c>
      <c r="AR483" s="112">
        <f t="shared" si="275"/>
        <v>0.30805687203791476</v>
      </c>
      <c r="AS483" s="113">
        <f t="shared" si="276"/>
        <v>2050</v>
      </c>
      <c r="AT483" s="109">
        <v>324694.57795101329</v>
      </c>
      <c r="AU483" s="114">
        <v>0.30805687203791476</v>
      </c>
      <c r="AV483" s="113">
        <v>2050</v>
      </c>
      <c r="AW483" s="112">
        <f t="shared" si="277"/>
        <v>0.72860251535877629</v>
      </c>
      <c r="AX483" s="109">
        <f t="shared" si="278"/>
        <v>100024.39605126005</v>
      </c>
      <c r="AY483" s="109">
        <f t="shared" si="279"/>
        <v>224670.18189975322</v>
      </c>
      <c r="AZ483" s="109">
        <f t="shared" si="280"/>
        <v>324694.57795101329</v>
      </c>
      <c r="BA483" s="111">
        <f t="shared" si="281"/>
        <v>0</v>
      </c>
      <c r="BB483" s="117"/>
      <c r="BC483" s="115" t="str">
        <f t="shared" si="282"/>
        <v>N</v>
      </c>
      <c r="BD483" s="115" t="str">
        <f t="shared" si="283"/>
        <v>N</v>
      </c>
      <c r="BE483" s="115" t="str">
        <f t="shared" si="284"/>
        <v>N</v>
      </c>
      <c r="BF483" s="109" t="str">
        <f t="shared" si="285"/>
        <v/>
      </c>
      <c r="BG483" s="111" t="s">
        <v>2499</v>
      </c>
      <c r="BH483" s="115" t="s">
        <v>1168</v>
      </c>
      <c r="BI483" s="116"/>
      <c r="BJ483" s="222">
        <v>0.72526978152421617</v>
      </c>
      <c r="BK483" s="265">
        <f t="shared" si="286"/>
        <v>0.88959206099389121</v>
      </c>
      <c r="BL483" s="265">
        <f t="shared" si="287"/>
        <v>-0.88959206099389121</v>
      </c>
      <c r="BM483" s="265">
        <f t="shared" si="288"/>
        <v>0</v>
      </c>
      <c r="BN483" s="265">
        <f t="shared" si="289"/>
        <v>-2467.2410843629332</v>
      </c>
      <c r="BO483" s="109"/>
      <c r="BP483" s="265">
        <f t="shared" si="290"/>
        <v>21256.697895976657</v>
      </c>
      <c r="BQ483" s="265">
        <v>21256.697895976657</v>
      </c>
      <c r="BR483" s="265" t="e">
        <f t="shared" si="291"/>
        <v>#REF!</v>
      </c>
      <c r="BS483" s="265">
        <v>2394.7633510245118</v>
      </c>
      <c r="BT483" s="475">
        <v>122993.42204898671</v>
      </c>
      <c r="BU483" s="475">
        <v>100024.39605126005</v>
      </c>
      <c r="BV483" s="475">
        <v>224670.18189975325</v>
      </c>
      <c r="BW483" s="483">
        <f t="shared" si="292"/>
        <v>-0.39605126004607882</v>
      </c>
      <c r="BX483" s="483">
        <f t="shared" si="293"/>
        <v>-0.88959206102299504</v>
      </c>
    </row>
    <row r="484" spans="1:77" s="103" customFormat="1" ht="14.5">
      <c r="A484" s="100" t="s">
        <v>2259</v>
      </c>
      <c r="B484" s="91" t="str">
        <f t="shared" si="262"/>
        <v>TRA</v>
      </c>
      <c r="C484" s="92" t="s">
        <v>461</v>
      </c>
      <c r="D484" s="448"/>
      <c r="E484" s="452">
        <v>792145</v>
      </c>
      <c r="F484" s="467" t="s">
        <v>4932</v>
      </c>
      <c r="G484" s="620" t="s">
        <v>5320</v>
      </c>
      <c r="H484" s="470">
        <v>0.42</v>
      </c>
      <c r="I484" s="95" t="s">
        <v>952</v>
      </c>
      <c r="J484" s="95" t="s">
        <v>1166</v>
      </c>
      <c r="K484" s="469">
        <v>809733</v>
      </c>
      <c r="L484" s="268">
        <v>0.29226633952681347</v>
      </c>
      <c r="M484" s="266">
        <v>0.91331269349845201</v>
      </c>
      <c r="N484" s="267">
        <f t="shared" si="263"/>
        <v>8.6687306501547989E-2</v>
      </c>
      <c r="O484" s="96">
        <f t="shared" si="264"/>
        <v>710336.76604029268</v>
      </c>
      <c r="P484" s="96">
        <f t="shared" si="297"/>
        <v>90779.842161342676</v>
      </c>
      <c r="Q484" s="96">
        <f t="shared" si="265"/>
        <v>8616.3917983647298</v>
      </c>
      <c r="R484" s="187" t="s">
        <v>2335</v>
      </c>
      <c r="S484" s="187" t="s">
        <v>3608</v>
      </c>
      <c r="T484" s="94" t="s">
        <v>2779</v>
      </c>
      <c r="U484" s="395">
        <f>COUNTIF(Aggregation_of_rev_to_allocate!$A$3:$A$137,$T484)</f>
        <v>1</v>
      </c>
      <c r="V484" s="100"/>
      <c r="W484" s="100">
        <v>531</v>
      </c>
      <c r="X484" s="109">
        <v>84447.113538901409</v>
      </c>
      <c r="Y484" s="109">
        <v>33349.453312820384</v>
      </c>
      <c r="Z484" s="110">
        <v>0.34637062508542715</v>
      </c>
      <c r="AA484" s="110">
        <v>0.71688942891859053</v>
      </c>
      <c r="AB484" s="110">
        <v>0.28311057108140947</v>
      </c>
      <c r="AC484" s="109">
        <f>IF(ISERROR((X484*SUMIF('Rev_for_allocation(Hard)'!$A$3:$A$249,$T484,'Rev_for_allocation(Hard)'!$I$3:$I$249)/SUMIF(Historic_capex_list!$T$9:$T$586,$T484,Historic_capex_list!$X$9:$X$586))=TRUE),0,X484*SUMIF('Rev_for_allocation(Hard)'!$A$3:$A$249,$T484,'Rev_for_allocation(Hard)'!$I$3:$I$249)/SUMIF(Historic_capex_list!$T$9:$T$586,$T484,Historic_capex_list!$X$9:$X$586))</f>
        <v>-18400.229780449794</v>
      </c>
      <c r="AD484" s="109">
        <f t="shared" si="266"/>
        <v>66046.883758451615</v>
      </c>
      <c r="AE484" s="109">
        <f t="shared" si="298"/>
        <v>66046.883758451615</v>
      </c>
      <c r="AF484" s="109">
        <f t="shared" si="267"/>
        <v>99396.337071271992</v>
      </c>
      <c r="AG484" s="332" t="str">
        <f t="shared" si="268"/>
        <v>N</v>
      </c>
      <c r="AH484" s="332">
        <f t="shared" si="294"/>
        <v>0</v>
      </c>
      <c r="AI484" s="332">
        <f t="shared" si="295"/>
        <v>0</v>
      </c>
      <c r="AJ484" s="109">
        <f t="shared" si="296"/>
        <v>99396.337071271992</v>
      </c>
      <c r="AK484" s="109">
        <f t="shared" si="269"/>
        <v>0</v>
      </c>
      <c r="AL484" s="109">
        <v>0</v>
      </c>
      <c r="AM484" s="111">
        <f t="shared" si="270"/>
        <v>3.9491525423728815</v>
      </c>
      <c r="AN484" s="111">
        <f t="shared" si="271"/>
        <v>0.94915254237288149</v>
      </c>
      <c r="AO484" s="111" t="str">
        <f t="shared" si="272"/>
        <v>Use deduct 3yrs</v>
      </c>
      <c r="AP484" s="111">
        <f t="shared" si="273"/>
        <v>0.94915254237288149</v>
      </c>
      <c r="AQ484" s="112">
        <f t="shared" si="274"/>
        <v>8.6687306501547989E-2</v>
      </c>
      <c r="AR484" s="112">
        <f t="shared" si="275"/>
        <v>0.91331269349845201</v>
      </c>
      <c r="AS484" s="113">
        <f t="shared" si="276"/>
        <v>2029</v>
      </c>
      <c r="AT484" s="109">
        <v>99396.337071271992</v>
      </c>
      <c r="AU484" s="114">
        <v>0.91331269349845201</v>
      </c>
      <c r="AV484" s="113">
        <v>2029</v>
      </c>
      <c r="AW484" s="112">
        <f t="shared" si="277"/>
        <v>0.29226664271777297</v>
      </c>
      <c r="AX484" s="109">
        <f t="shared" si="278"/>
        <v>90779.936334443453</v>
      </c>
      <c r="AY484" s="109">
        <f t="shared" si="279"/>
        <v>8616.4007368285329</v>
      </c>
      <c r="AZ484" s="109">
        <f t="shared" si="280"/>
        <v>99396.337071271992</v>
      </c>
      <c r="BA484" s="111">
        <f t="shared" si="281"/>
        <v>0</v>
      </c>
      <c r="BB484" s="117"/>
      <c r="BC484" s="115" t="str">
        <f t="shared" si="282"/>
        <v>N</v>
      </c>
      <c r="BD484" s="115" t="str">
        <f t="shared" si="283"/>
        <v>Y</v>
      </c>
      <c r="BE484" s="115" t="str">
        <f t="shared" si="284"/>
        <v>N</v>
      </c>
      <c r="BF484" s="109" t="str">
        <f t="shared" si="285"/>
        <v/>
      </c>
      <c r="BG484" s="111" t="s">
        <v>2499</v>
      </c>
      <c r="BH484" s="115" t="s">
        <v>1168</v>
      </c>
      <c r="BI484" s="116"/>
      <c r="BJ484" s="222">
        <v>0.29226633952681347</v>
      </c>
      <c r="BK484" s="265">
        <f t="shared" si="286"/>
        <v>8.9384638031333452E-3</v>
      </c>
      <c r="BL484" s="265">
        <f t="shared" si="287"/>
        <v>-8.9384638031333452E-3</v>
      </c>
      <c r="BM484" s="265">
        <f t="shared" si="288"/>
        <v>-9.0949470177292824E-11</v>
      </c>
      <c r="BN484" s="265">
        <f t="shared" si="289"/>
        <v>-6332.7286224412674</v>
      </c>
      <c r="BO484" s="109"/>
      <c r="BP484" s="265">
        <f t="shared" si="290"/>
        <v>18400.229780449794</v>
      </c>
      <c r="BQ484" s="265">
        <v>18400.229780449794</v>
      </c>
      <c r="BR484" s="265" t="e">
        <f t="shared" si="291"/>
        <v>#REF!</v>
      </c>
      <c r="BS484" s="265">
        <v>2072.9558346402987</v>
      </c>
      <c r="BT484" s="475">
        <v>240691.87572872805</v>
      </c>
      <c r="BU484" s="475">
        <v>90779.936334443468</v>
      </c>
      <c r="BV484" s="475">
        <v>8616.4007368285329</v>
      </c>
      <c r="BW484" s="483">
        <f t="shared" si="292"/>
        <v>-9.4173100791522302E-2</v>
      </c>
      <c r="BX484" s="483">
        <f t="shared" si="293"/>
        <v>-8.9384638031333452E-3</v>
      </c>
    </row>
    <row r="485" spans="1:77" s="103" customFormat="1" ht="14.5">
      <c r="A485" s="100" t="s">
        <v>2259</v>
      </c>
      <c r="B485" s="91" t="str">
        <f t="shared" si="262"/>
        <v>TRA</v>
      </c>
      <c r="C485" s="92" t="s">
        <v>461</v>
      </c>
      <c r="D485" s="448"/>
      <c r="E485" s="450" t="s">
        <v>2149</v>
      </c>
      <c r="F485" s="467" t="s">
        <v>4758</v>
      </c>
      <c r="G485" s="467" t="s">
        <v>4748</v>
      </c>
      <c r="H485" s="470">
        <v>0.69310000000000005</v>
      </c>
      <c r="I485" s="95" t="s">
        <v>962</v>
      </c>
      <c r="J485" s="95" t="s">
        <v>1166</v>
      </c>
      <c r="K485" s="469">
        <v>559734</v>
      </c>
      <c r="L485" s="471">
        <v>0.68494854369753644</v>
      </c>
      <c r="M485" s="266">
        <v>0.30805687203791476</v>
      </c>
      <c r="N485" s="267">
        <f t="shared" si="263"/>
        <v>0.69194312796208524</v>
      </c>
      <c r="O485" s="96">
        <f t="shared" si="264"/>
        <v>294007.09230769234</v>
      </c>
      <c r="P485" s="96">
        <f t="shared" si="297"/>
        <v>81859</v>
      </c>
      <c r="Q485" s="96">
        <f t="shared" si="265"/>
        <v>183867.90769230764</v>
      </c>
      <c r="R485" s="187" t="s">
        <v>2335</v>
      </c>
      <c r="S485" s="187" t="s">
        <v>3608</v>
      </c>
      <c r="T485" s="94" t="s">
        <v>2779</v>
      </c>
      <c r="U485" s="395">
        <f>COUNTIF(Aggregation_of_rev_to_allocate!$A$3:$A$137,$T485)</f>
        <v>1</v>
      </c>
      <c r="V485" s="100"/>
      <c r="W485" s="100">
        <v>532</v>
      </c>
      <c r="X485" s="109">
        <v>79839.816335228432</v>
      </c>
      <c r="Y485" s="109">
        <v>203284.45543815856</v>
      </c>
      <c r="Z485" s="110">
        <v>0.72982023311359057</v>
      </c>
      <c r="AA485" s="110">
        <v>0.28199566160520606</v>
      </c>
      <c r="AB485" s="110">
        <v>0.71800433839479394</v>
      </c>
      <c r="AC485" s="109">
        <f>IF(ISERROR((X485*SUMIF('Rev_for_allocation(Hard)'!$A$3:$A$249,$T485,'Rev_for_allocation(Hard)'!$I$3:$I$249)/SUMIF(Historic_capex_list!$T$9:$T$586,$T485,Historic_capex_list!$X$9:$X$586))=TRUE),0,X485*SUMIF('Rev_for_allocation(Hard)'!$A$3:$A$249,$T485,'Rev_for_allocation(Hard)'!$I$3:$I$249)/SUMIF(Historic_capex_list!$T$9:$T$586,$T485,Historic_capex_list!$X$9:$X$586))</f>
        <v>-17396.3431624027</v>
      </c>
      <c r="AD485" s="109">
        <f t="shared" si="266"/>
        <v>62443.473172825732</v>
      </c>
      <c r="AE485" s="109">
        <f t="shared" si="298"/>
        <v>62443.473172825732</v>
      </c>
      <c r="AF485" s="109">
        <f t="shared" si="267"/>
        <v>265727.92861098429</v>
      </c>
      <c r="AG485" s="332" t="str">
        <f t="shared" si="268"/>
        <v>N</v>
      </c>
      <c r="AH485" s="332">
        <f t="shared" si="294"/>
        <v>0</v>
      </c>
      <c r="AI485" s="332">
        <f t="shared" si="295"/>
        <v>0</v>
      </c>
      <c r="AJ485" s="109">
        <f t="shared" si="296"/>
        <v>265727.92861098429</v>
      </c>
      <c r="AK485" s="109">
        <f t="shared" si="269"/>
        <v>0</v>
      </c>
      <c r="AL485" s="109">
        <v>0</v>
      </c>
      <c r="AM485" s="111">
        <f t="shared" si="270"/>
        <v>25.461538461538463</v>
      </c>
      <c r="AN485" s="111">
        <f t="shared" si="271"/>
        <v>22.461538461538463</v>
      </c>
      <c r="AO485" s="111" t="str">
        <f t="shared" si="272"/>
        <v>Use deduct 3yrs</v>
      </c>
      <c r="AP485" s="111">
        <f t="shared" si="273"/>
        <v>22.461538461538463</v>
      </c>
      <c r="AQ485" s="112">
        <f t="shared" si="274"/>
        <v>0.69194312796208524</v>
      </c>
      <c r="AR485" s="112">
        <f t="shared" si="275"/>
        <v>0.30805687203791476</v>
      </c>
      <c r="AS485" s="113">
        <f t="shared" si="276"/>
        <v>2050</v>
      </c>
      <c r="AT485" s="109">
        <v>265727.92861098429</v>
      </c>
      <c r="AU485" s="114">
        <v>0.30805687203791476</v>
      </c>
      <c r="AV485" s="113">
        <v>2050</v>
      </c>
      <c r="AW485" s="112">
        <f t="shared" si="277"/>
        <v>0.68495117525926608</v>
      </c>
      <c r="AX485" s="109">
        <f t="shared" si="278"/>
        <v>81859.314501014145</v>
      </c>
      <c r="AY485" s="109">
        <f t="shared" si="279"/>
        <v>183868.61410997019</v>
      </c>
      <c r="AZ485" s="109">
        <f t="shared" si="280"/>
        <v>265727.92861098435</v>
      </c>
      <c r="BA485" s="111">
        <f t="shared" si="281"/>
        <v>0</v>
      </c>
      <c r="BB485" s="117"/>
      <c r="BC485" s="115" t="str">
        <f t="shared" si="282"/>
        <v>N</v>
      </c>
      <c r="BD485" s="115" t="str">
        <f t="shared" si="283"/>
        <v>N</v>
      </c>
      <c r="BE485" s="115" t="str">
        <f t="shared" si="284"/>
        <v>N</v>
      </c>
      <c r="BF485" s="109" t="str">
        <f t="shared" si="285"/>
        <v/>
      </c>
      <c r="BG485" s="111" t="s">
        <v>2499</v>
      </c>
      <c r="BH485" s="115" t="s">
        <v>1168</v>
      </c>
      <c r="BI485" s="116"/>
      <c r="BJ485" s="222">
        <v>0.68497701588398197</v>
      </c>
      <c r="BK485" s="265">
        <f t="shared" si="286"/>
        <v>0.7064176625572145</v>
      </c>
      <c r="BL485" s="265">
        <f t="shared" si="287"/>
        <v>-0.7064176625572145</v>
      </c>
      <c r="BM485" s="265">
        <f t="shared" si="288"/>
        <v>0</v>
      </c>
      <c r="BN485" s="265">
        <f t="shared" si="289"/>
        <v>-2019.1836647715681</v>
      </c>
      <c r="BO485" s="109"/>
      <c r="BP485" s="265">
        <f t="shared" si="290"/>
        <v>17396.343162402685</v>
      </c>
      <c r="BQ485" s="265">
        <v>17396.343162402685</v>
      </c>
      <c r="BR485" s="265" t="e">
        <f t="shared" si="291"/>
        <v>#REF!</v>
      </c>
      <c r="BS485" s="265">
        <v>1959.8587349285797</v>
      </c>
      <c r="BT485" s="475">
        <v>122209.07138901569</v>
      </c>
      <c r="BU485" s="475">
        <v>81859.314501014145</v>
      </c>
      <c r="BV485" s="475">
        <v>183868.61410997016</v>
      </c>
      <c r="BW485" s="483">
        <f t="shared" si="292"/>
        <v>-0.31450101414520759</v>
      </c>
      <c r="BX485" s="483">
        <f t="shared" si="293"/>
        <v>-0.70641766252811067</v>
      </c>
    </row>
    <row r="486" spans="1:77" s="103" customFormat="1" ht="29">
      <c r="A486" s="100" t="s">
        <v>2259</v>
      </c>
      <c r="B486" s="91" t="str">
        <f t="shared" si="262"/>
        <v>TRA</v>
      </c>
      <c r="C486" s="92" t="s">
        <v>461</v>
      </c>
      <c r="D486" s="448"/>
      <c r="E486" s="452">
        <v>41230</v>
      </c>
      <c r="F486" s="592" t="s">
        <v>4934</v>
      </c>
      <c r="G486" s="592" t="s">
        <v>5269</v>
      </c>
      <c r="H486" s="398">
        <v>1</v>
      </c>
      <c r="I486" s="95" t="s">
        <v>952</v>
      </c>
      <c r="J486" s="95" t="s">
        <v>1166</v>
      </c>
      <c r="K486" s="191">
        <v>2269234.65</v>
      </c>
      <c r="L486" s="268">
        <v>0.10703953162192016</v>
      </c>
      <c r="M486" s="266">
        <v>1</v>
      </c>
      <c r="N486" s="267">
        <f t="shared" si="263"/>
        <v>0</v>
      </c>
      <c r="O486" s="96">
        <f t="shared" si="264"/>
        <v>2026336.8359237681</v>
      </c>
      <c r="P486" s="96">
        <f t="shared" si="297"/>
        <v>242897.81407623191</v>
      </c>
      <c r="Q486" s="96">
        <f t="shared" si="265"/>
        <v>0</v>
      </c>
      <c r="R486" s="187" t="s">
        <v>2335</v>
      </c>
      <c r="S486" s="187" t="s">
        <v>3608</v>
      </c>
      <c r="T486" s="94" t="s">
        <v>2779</v>
      </c>
      <c r="U486" s="395">
        <f>COUNTIF(Aggregation_of_rev_to_allocate!$A$3:$A$137,$T486)</f>
        <v>1</v>
      </c>
      <c r="V486" s="100"/>
      <c r="W486" s="100">
        <v>534</v>
      </c>
      <c r="X486" s="109">
        <v>310567.55620240333</v>
      </c>
      <c r="Y486" s="109">
        <v>0</v>
      </c>
      <c r="Z486" s="110">
        <v>0.13686004495057544</v>
      </c>
      <c r="AA486" s="110">
        <v>1</v>
      </c>
      <c r="AB486" s="110">
        <v>0</v>
      </c>
      <c r="AC486" s="109">
        <f>IF(ISERROR((X486*SUMIF('Rev_for_allocation(Hard)'!$A$3:$A$249,$T486,'Rev_for_allocation(Hard)'!$I$3:$I$249)/SUMIF(Historic_capex_list!$T$9:$T$586,$T486,Historic_capex_list!$X$9:$X$586))=TRUE),0,X486*SUMIF('Rev_for_allocation(Hard)'!$A$3:$A$249,$T486,'Rev_for_allocation(Hard)'!$I$3:$I$249)/SUMIF(Historic_capex_list!$T$9:$T$586,$T486,Historic_capex_list!$X$9:$X$586))</f>
        <v>-67669.742126171404</v>
      </c>
      <c r="AD486" s="109">
        <f t="shared" si="266"/>
        <v>242897.81407623191</v>
      </c>
      <c r="AE486" s="109">
        <f t="shared" si="298"/>
        <v>242897.81407623191</v>
      </c>
      <c r="AF486" s="109">
        <f t="shared" si="267"/>
        <v>242897.81407623191</v>
      </c>
      <c r="AG486" s="332" t="str">
        <f t="shared" si="268"/>
        <v>N</v>
      </c>
      <c r="AH486" s="332">
        <f t="shared" si="294"/>
        <v>0</v>
      </c>
      <c r="AI486" s="332">
        <f t="shared" si="295"/>
        <v>0</v>
      </c>
      <c r="AJ486" s="109">
        <f t="shared" si="296"/>
        <v>242897.81407623191</v>
      </c>
      <c r="AK486" s="109">
        <f t="shared" si="269"/>
        <v>0</v>
      </c>
      <c r="AL486" s="109">
        <v>0</v>
      </c>
      <c r="AM486" s="111">
        <f t="shared" si="270"/>
        <v>0</v>
      </c>
      <c r="AN486" s="111">
        <f t="shared" si="271"/>
        <v>0</v>
      </c>
      <c r="AO486" s="111" t="str">
        <f t="shared" si="272"/>
        <v>Use deduct 3yrs</v>
      </c>
      <c r="AP486" s="111">
        <f t="shared" si="273"/>
        <v>0</v>
      </c>
      <c r="AQ486" s="112">
        <f t="shared" si="274"/>
        <v>0</v>
      </c>
      <c r="AR486" s="112">
        <f t="shared" si="275"/>
        <v>1</v>
      </c>
      <c r="AS486" s="113">
        <f t="shared" si="276"/>
        <v>2028</v>
      </c>
      <c r="AT486" s="109">
        <v>242897.81407623191</v>
      </c>
      <c r="AU486" s="114">
        <v>1</v>
      </c>
      <c r="AV486" s="113">
        <v>2028</v>
      </c>
      <c r="AW486" s="112">
        <f t="shared" si="277"/>
        <v>0.10703953162192016</v>
      </c>
      <c r="AX486" s="109">
        <f t="shared" si="278"/>
        <v>242897.81407623191</v>
      </c>
      <c r="AY486" s="109">
        <f t="shared" si="279"/>
        <v>0</v>
      </c>
      <c r="AZ486" s="109">
        <f t="shared" si="280"/>
        <v>242897.81407623191</v>
      </c>
      <c r="BA486" s="111">
        <f t="shared" si="281"/>
        <v>0</v>
      </c>
      <c r="BB486" s="117"/>
      <c r="BC486" s="115" t="str">
        <f t="shared" si="282"/>
        <v>N</v>
      </c>
      <c r="BD486" s="115" t="str">
        <f t="shared" si="283"/>
        <v>Y</v>
      </c>
      <c r="BE486" s="115" t="str">
        <f t="shared" si="284"/>
        <v>N</v>
      </c>
      <c r="BF486" s="109" t="str">
        <f t="shared" si="285"/>
        <v/>
      </c>
      <c r="BG486" s="111" t="s">
        <v>2499</v>
      </c>
      <c r="BH486" s="115" t="s">
        <v>1168</v>
      </c>
      <c r="BI486" s="116"/>
      <c r="BJ486" s="222">
        <v>0.10703953162192016</v>
      </c>
      <c r="BK486" s="265">
        <f t="shared" si="286"/>
        <v>0</v>
      </c>
      <c r="BL486" s="265">
        <f t="shared" si="287"/>
        <v>0</v>
      </c>
      <c r="BM486" s="265">
        <f t="shared" si="288"/>
        <v>-1.1641532182693481E-10</v>
      </c>
      <c r="BN486" s="265">
        <f t="shared" si="289"/>
        <v>67669.742126171419</v>
      </c>
      <c r="BO486" s="109"/>
      <c r="BP486" s="265">
        <f t="shared" si="290"/>
        <v>67669.742126171419</v>
      </c>
      <c r="BQ486" s="265">
        <v>67669.742126171419</v>
      </c>
      <c r="BR486" s="265" t="e">
        <f t="shared" si="291"/>
        <v>#REF!</v>
      </c>
      <c r="BS486" s="265">
        <v>7623.6214679283421</v>
      </c>
      <c r="BT486" s="475">
        <v>2026336.8359237681</v>
      </c>
      <c r="BU486" s="475">
        <v>242897.81407623191</v>
      </c>
      <c r="BV486" s="475">
        <v>0</v>
      </c>
      <c r="BW486" s="483">
        <f t="shared" si="292"/>
        <v>0</v>
      </c>
      <c r="BX486" s="483">
        <f t="shared" si="293"/>
        <v>0</v>
      </c>
    </row>
    <row r="487" spans="1:77" s="103" customFormat="1" ht="29">
      <c r="A487" s="100" t="s">
        <v>2259</v>
      </c>
      <c r="B487" s="91" t="str">
        <f t="shared" si="262"/>
        <v>TRA</v>
      </c>
      <c r="C487" s="92" t="s">
        <v>461</v>
      </c>
      <c r="D487" s="448"/>
      <c r="E487" s="452">
        <v>795571</v>
      </c>
      <c r="F487" s="467" t="s">
        <v>4933</v>
      </c>
      <c r="G487" s="592" t="s">
        <v>5269</v>
      </c>
      <c r="H487" s="398">
        <v>1</v>
      </c>
      <c r="I487" s="95" t="s">
        <v>952</v>
      </c>
      <c r="J487" s="95" t="s">
        <v>1166</v>
      </c>
      <c r="K487" s="191">
        <v>1672526.53</v>
      </c>
      <c r="L487" s="268">
        <v>0.26759882905480037</v>
      </c>
      <c r="M487" s="266">
        <v>1</v>
      </c>
      <c r="N487" s="267">
        <f t="shared" si="263"/>
        <v>0</v>
      </c>
      <c r="O487" s="96">
        <f t="shared" si="264"/>
        <v>1224960.3890089116</v>
      </c>
      <c r="P487" s="96">
        <f t="shared" si="297"/>
        <v>447566.14099108847</v>
      </c>
      <c r="Q487" s="96">
        <f t="shared" si="265"/>
        <v>0</v>
      </c>
      <c r="R487" s="187" t="s">
        <v>2335</v>
      </c>
      <c r="S487" s="187" t="s">
        <v>3608</v>
      </c>
      <c r="T487" s="94" t="s">
        <v>2779</v>
      </c>
      <c r="U487" s="395">
        <f>COUNTIF(Aggregation_of_rev_to_allocate!$A$3:$A$137,$T487)</f>
        <v>1</v>
      </c>
      <c r="V487" s="100"/>
      <c r="W487" s="100">
        <v>535</v>
      </c>
      <c r="X487" s="109">
        <v>572255.14019207493</v>
      </c>
      <c r="Y487" s="109">
        <v>0</v>
      </c>
      <c r="Z487" s="110">
        <v>0.34215011237643861</v>
      </c>
      <c r="AA487" s="110">
        <v>1</v>
      </c>
      <c r="AB487" s="110">
        <v>0</v>
      </c>
      <c r="AC487" s="109">
        <f>IF(ISERROR((X487*SUMIF('Rev_for_allocation(Hard)'!$A$3:$A$249,$T487,'Rev_for_allocation(Hard)'!$I$3:$I$249)/SUMIF(Historic_capex_list!$T$9:$T$586,$T487,Historic_capex_list!$X$9:$X$586))=TRUE),0,X487*SUMIF('Rev_for_allocation(Hard)'!$A$3:$A$249,$T487,'Rev_for_allocation(Hard)'!$I$3:$I$249)/SUMIF(Historic_capex_list!$T$9:$T$586,$T487,Historic_capex_list!$X$9:$X$586))</f>
        <v>-124688.99920098644</v>
      </c>
      <c r="AD487" s="109">
        <f t="shared" si="266"/>
        <v>447566.14099108847</v>
      </c>
      <c r="AE487" s="109">
        <f t="shared" si="298"/>
        <v>447566.14099108847</v>
      </c>
      <c r="AF487" s="109">
        <f t="shared" si="267"/>
        <v>447566.14099108847</v>
      </c>
      <c r="AG487" s="332" t="str">
        <f t="shared" si="268"/>
        <v>N</v>
      </c>
      <c r="AH487" s="332">
        <f t="shared" si="294"/>
        <v>0</v>
      </c>
      <c r="AI487" s="332">
        <f t="shared" si="295"/>
        <v>0</v>
      </c>
      <c r="AJ487" s="109">
        <f t="shared" si="296"/>
        <v>447566.14099108847</v>
      </c>
      <c r="AK487" s="109">
        <f t="shared" si="269"/>
        <v>0</v>
      </c>
      <c r="AL487" s="109">
        <v>0</v>
      </c>
      <c r="AM487" s="111">
        <f t="shared" si="270"/>
        <v>0</v>
      </c>
      <c r="AN487" s="111">
        <f t="shared" si="271"/>
        <v>0</v>
      </c>
      <c r="AO487" s="111" t="str">
        <f t="shared" si="272"/>
        <v>Use deduct 3yrs</v>
      </c>
      <c r="AP487" s="111">
        <f t="shared" si="273"/>
        <v>0</v>
      </c>
      <c r="AQ487" s="112">
        <f t="shared" si="274"/>
        <v>0</v>
      </c>
      <c r="AR487" s="112">
        <f t="shared" si="275"/>
        <v>1</v>
      </c>
      <c r="AS487" s="113">
        <f t="shared" si="276"/>
        <v>2028</v>
      </c>
      <c r="AT487" s="109">
        <v>447566.14099108847</v>
      </c>
      <c r="AU487" s="114">
        <v>1</v>
      </c>
      <c r="AV487" s="113">
        <v>2028</v>
      </c>
      <c r="AW487" s="112">
        <f t="shared" si="277"/>
        <v>0.26759882905480037</v>
      </c>
      <c r="AX487" s="109">
        <f t="shared" si="278"/>
        <v>447566.14099108847</v>
      </c>
      <c r="AY487" s="109">
        <f t="shared" si="279"/>
        <v>0</v>
      </c>
      <c r="AZ487" s="109">
        <f t="shared" si="280"/>
        <v>447566.14099108847</v>
      </c>
      <c r="BA487" s="111">
        <f t="shared" si="281"/>
        <v>0</v>
      </c>
      <c r="BB487" s="117"/>
      <c r="BC487" s="115" t="str">
        <f t="shared" si="282"/>
        <v>N</v>
      </c>
      <c r="BD487" s="115" t="str">
        <f t="shared" si="283"/>
        <v>Y</v>
      </c>
      <c r="BE487" s="115" t="str">
        <f t="shared" si="284"/>
        <v>N</v>
      </c>
      <c r="BF487" s="109" t="str">
        <f t="shared" si="285"/>
        <v/>
      </c>
      <c r="BG487" s="111" t="s">
        <v>2499</v>
      </c>
      <c r="BH487" s="115" t="s">
        <v>1168</v>
      </c>
      <c r="BI487" s="116"/>
      <c r="BJ487" s="222">
        <v>0.26759882905480037</v>
      </c>
      <c r="BK487" s="265">
        <f t="shared" si="286"/>
        <v>0</v>
      </c>
      <c r="BL487" s="265">
        <f t="shared" si="287"/>
        <v>0</v>
      </c>
      <c r="BM487" s="265">
        <f t="shared" si="288"/>
        <v>0</v>
      </c>
      <c r="BN487" s="265">
        <f t="shared" si="289"/>
        <v>124688.99920098647</v>
      </c>
      <c r="BO487" s="109"/>
      <c r="BP487" s="265">
        <f t="shared" si="290"/>
        <v>124688.99920098647</v>
      </c>
      <c r="BQ487" s="265">
        <v>124688.99920098647</v>
      </c>
      <c r="BR487" s="265" t="e">
        <f t="shared" si="291"/>
        <v>#REF!</v>
      </c>
      <c r="BS487" s="265">
        <v>14047.367423844529</v>
      </c>
      <c r="BT487" s="475">
        <v>1224960.3890089116</v>
      </c>
      <c r="BU487" s="475">
        <v>447566.14099108847</v>
      </c>
      <c r="BV487" s="475">
        <v>0</v>
      </c>
      <c r="BW487" s="483">
        <f t="shared" si="292"/>
        <v>0</v>
      </c>
      <c r="BX487" s="483">
        <f t="shared" si="293"/>
        <v>0</v>
      </c>
    </row>
    <row r="488" spans="1:77" s="103" customFormat="1" ht="29">
      <c r="A488" s="100" t="s">
        <v>2259</v>
      </c>
      <c r="B488" s="91" t="str">
        <f t="shared" si="262"/>
        <v>TRA</v>
      </c>
      <c r="C488" s="92" t="s">
        <v>461</v>
      </c>
      <c r="D488" s="448"/>
      <c r="E488" s="452">
        <v>794263</v>
      </c>
      <c r="F488" s="592" t="s">
        <v>4935</v>
      </c>
      <c r="G488" s="592" t="s">
        <v>5269</v>
      </c>
      <c r="H488" s="398">
        <v>1</v>
      </c>
      <c r="I488" s="95" t="s">
        <v>952</v>
      </c>
      <c r="J488" s="95" t="s">
        <v>1166</v>
      </c>
      <c r="K488" s="191">
        <v>3408406.8105678428</v>
      </c>
      <c r="L488" s="268">
        <v>0.24975890711781373</v>
      </c>
      <c r="M488" s="266">
        <v>1</v>
      </c>
      <c r="N488" s="267">
        <f t="shared" si="263"/>
        <v>0</v>
      </c>
      <c r="O488" s="96">
        <f t="shared" si="264"/>
        <v>2557126.8505475055</v>
      </c>
      <c r="P488" s="96">
        <f t="shared" si="297"/>
        <v>851279.9600203376</v>
      </c>
      <c r="Q488" s="96">
        <f t="shared" si="265"/>
        <v>0</v>
      </c>
      <c r="R488" s="187" t="s">
        <v>2335</v>
      </c>
      <c r="S488" s="187" t="s">
        <v>3608</v>
      </c>
      <c r="T488" s="94" t="s">
        <v>2779</v>
      </c>
      <c r="U488" s="395">
        <f>COUNTIF(Aggregation_of_rev_to_allocate!$A$3:$A$137,$T488)</f>
        <v>1</v>
      </c>
      <c r="V488" s="100"/>
      <c r="W488" s="100">
        <v>536</v>
      </c>
      <c r="X488" s="109">
        <v>1088440.9883763792</v>
      </c>
      <c r="Y488" s="109">
        <v>0</v>
      </c>
      <c r="Z488" s="110">
        <v>0.31934010488467607</v>
      </c>
      <c r="AA488" s="110">
        <v>1</v>
      </c>
      <c r="AB488" s="110">
        <v>0</v>
      </c>
      <c r="AC488" s="109">
        <f>IF(ISERROR((X488*SUMIF('Rev_for_allocation(Hard)'!$A$3:$A$249,$T488,'Rev_for_allocation(Hard)'!$I$3:$I$249)/SUMIF(Historic_capex_list!$T$9:$T$586,$T488,Historic_capex_list!$X$9:$X$586))=TRUE),0,X488*SUMIF('Rev_for_allocation(Hard)'!$A$3:$A$249,$T488,'Rev_for_allocation(Hard)'!$I$3:$I$249)/SUMIF(Historic_capex_list!$T$9:$T$586,$T488,Historic_capex_list!$X$9:$X$586))</f>
        <v>-237161.02835604161</v>
      </c>
      <c r="AD488" s="109">
        <f t="shared" si="266"/>
        <v>851279.9600203376</v>
      </c>
      <c r="AE488" s="109">
        <f t="shared" si="298"/>
        <v>851279.9600203376</v>
      </c>
      <c r="AF488" s="109">
        <f t="shared" si="267"/>
        <v>851279.9600203376</v>
      </c>
      <c r="AG488" s="332" t="str">
        <f t="shared" si="268"/>
        <v>N</v>
      </c>
      <c r="AH488" s="332">
        <f t="shared" si="294"/>
        <v>0</v>
      </c>
      <c r="AI488" s="332">
        <f t="shared" si="295"/>
        <v>0</v>
      </c>
      <c r="AJ488" s="109">
        <f t="shared" si="296"/>
        <v>851279.9600203376</v>
      </c>
      <c r="AK488" s="109">
        <f t="shared" si="269"/>
        <v>0</v>
      </c>
      <c r="AL488" s="109">
        <v>0</v>
      </c>
      <c r="AM488" s="111">
        <f t="shared" si="270"/>
        <v>0</v>
      </c>
      <c r="AN488" s="111">
        <f t="shared" si="271"/>
        <v>0</v>
      </c>
      <c r="AO488" s="111" t="str">
        <f t="shared" si="272"/>
        <v>Use deduct 3yrs</v>
      </c>
      <c r="AP488" s="111">
        <f t="shared" si="273"/>
        <v>0</v>
      </c>
      <c r="AQ488" s="112">
        <f t="shared" si="274"/>
        <v>0</v>
      </c>
      <c r="AR488" s="112">
        <f t="shared" si="275"/>
        <v>1</v>
      </c>
      <c r="AS488" s="113">
        <f t="shared" si="276"/>
        <v>2028</v>
      </c>
      <c r="AT488" s="109">
        <v>851279.9600203376</v>
      </c>
      <c r="AU488" s="114">
        <v>1</v>
      </c>
      <c r="AV488" s="113">
        <v>2028</v>
      </c>
      <c r="AW488" s="112">
        <f t="shared" si="277"/>
        <v>0.24975890711781373</v>
      </c>
      <c r="AX488" s="109">
        <f t="shared" si="278"/>
        <v>851279.9600203376</v>
      </c>
      <c r="AY488" s="109">
        <f t="shared" si="279"/>
        <v>0</v>
      </c>
      <c r="AZ488" s="109">
        <f t="shared" si="280"/>
        <v>851279.9600203376</v>
      </c>
      <c r="BA488" s="111">
        <f t="shared" si="281"/>
        <v>0</v>
      </c>
      <c r="BB488" s="117"/>
      <c r="BC488" s="115" t="str">
        <f t="shared" si="282"/>
        <v>N</v>
      </c>
      <c r="BD488" s="115" t="str">
        <f t="shared" si="283"/>
        <v>Y</v>
      </c>
      <c r="BE488" s="115" t="str">
        <f t="shared" si="284"/>
        <v>N</v>
      </c>
      <c r="BF488" s="109" t="str">
        <f t="shared" si="285"/>
        <v/>
      </c>
      <c r="BG488" s="111" t="s">
        <v>2499</v>
      </c>
      <c r="BH488" s="115" t="s">
        <v>1168</v>
      </c>
      <c r="BI488" s="116"/>
      <c r="BJ488" s="222">
        <v>0.24975890711781373</v>
      </c>
      <c r="BK488" s="265">
        <f t="shared" si="286"/>
        <v>0</v>
      </c>
      <c r="BL488" s="265">
        <f t="shared" si="287"/>
        <v>0</v>
      </c>
      <c r="BM488" s="265">
        <f t="shared" si="288"/>
        <v>-3.4924596548080444E-10</v>
      </c>
      <c r="BN488" s="265">
        <f t="shared" si="289"/>
        <v>237161.02835604164</v>
      </c>
      <c r="BO488" s="109"/>
      <c r="BP488" s="265">
        <f t="shared" si="290"/>
        <v>237161.02835604164</v>
      </c>
      <c r="BQ488" s="265">
        <v>237161.02835604164</v>
      </c>
      <c r="BR488" s="265" t="e">
        <f t="shared" si="291"/>
        <v>#REF!</v>
      </c>
      <c r="BS488" s="265">
        <v>26718.380332527133</v>
      </c>
      <c r="BT488" s="475">
        <v>2557126.8505475055</v>
      </c>
      <c r="BU488" s="475">
        <v>851279.9600203376</v>
      </c>
      <c r="BV488" s="475">
        <v>0</v>
      </c>
      <c r="BW488" s="483">
        <f t="shared" si="292"/>
        <v>0</v>
      </c>
      <c r="BX488" s="483">
        <f t="shared" si="293"/>
        <v>0</v>
      </c>
    </row>
    <row r="489" spans="1:77" ht="29">
      <c r="A489" s="100"/>
      <c r="B489" s="91" t="str">
        <f t="shared" si="262"/>
        <v>TRA</v>
      </c>
      <c r="C489" s="92" t="s">
        <v>461</v>
      </c>
      <c r="D489" s="448"/>
      <c r="E489" s="452">
        <v>796152</v>
      </c>
      <c r="F489" s="467" t="s">
        <v>4936</v>
      </c>
      <c r="G489" s="592" t="s">
        <v>5269</v>
      </c>
      <c r="H489" s="398">
        <v>1</v>
      </c>
      <c r="I489" s="95" t="s">
        <v>952</v>
      </c>
      <c r="J489" s="95" t="s">
        <v>1166</v>
      </c>
      <c r="K489" s="191">
        <v>4098025.6599999969</v>
      </c>
      <c r="L489" s="268">
        <v>0.20515910227534701</v>
      </c>
      <c r="M489" s="266">
        <v>1</v>
      </c>
      <c r="N489" s="267">
        <f t="shared" si="263"/>
        <v>0</v>
      </c>
      <c r="O489" s="96">
        <f t="shared" si="264"/>
        <v>3257278.3944930611</v>
      </c>
      <c r="P489" s="96">
        <f t="shared" si="297"/>
        <v>840747.26550693577</v>
      </c>
      <c r="Q489" s="96">
        <f t="shared" si="265"/>
        <v>0</v>
      </c>
      <c r="R489" s="187" t="s">
        <v>2335</v>
      </c>
      <c r="S489" s="187" t="s">
        <v>3608</v>
      </c>
      <c r="T489" s="94" t="s">
        <v>2779</v>
      </c>
      <c r="U489" s="395">
        <f>COUNTIF(Aggregation_of_rev_to_allocate!$A$3:$A$137,$T489)</f>
        <v>1</v>
      </c>
      <c r="V489" s="100"/>
      <c r="W489" s="100">
        <v>537</v>
      </c>
      <c r="X489" s="109">
        <v>1074973.9540694049</v>
      </c>
      <c r="Y489" s="109">
        <v>0</v>
      </c>
      <c r="Z489" s="110">
        <v>0.26231508615526961</v>
      </c>
      <c r="AA489" s="110">
        <v>1</v>
      </c>
      <c r="AB489" s="110">
        <v>0</v>
      </c>
      <c r="AC489" s="109">
        <f>IF(ISERROR((X489*SUMIF('Rev_for_allocation(Hard)'!$A$3:$A$249,$T489,'Rev_for_allocation(Hard)'!$I$3:$I$249)/SUMIF(Historic_capex_list!$T$9:$T$586,$T489,Historic_capex_list!$X$9:$X$586))=TRUE),0,X489*SUMIF('Rev_for_allocation(Hard)'!$A$3:$A$249,$T489,'Rev_for_allocation(Hard)'!$I$3:$I$249)/SUMIF(Historic_capex_list!$T$9:$T$586,$T489,Historic_capex_list!$X$9:$X$586))</f>
        <v>-234226.68856246915</v>
      </c>
      <c r="AD489" s="109">
        <f t="shared" si="266"/>
        <v>840747.26550693577</v>
      </c>
      <c r="AE489" s="109">
        <f t="shared" si="298"/>
        <v>840747.26550693577</v>
      </c>
      <c r="AF489" s="109">
        <f t="shared" si="267"/>
        <v>840747.26550693577</v>
      </c>
      <c r="AG489" s="332" t="str">
        <f t="shared" si="268"/>
        <v>N</v>
      </c>
      <c r="AH489" s="332">
        <f t="shared" si="294"/>
        <v>0</v>
      </c>
      <c r="AI489" s="332">
        <f t="shared" si="295"/>
        <v>0</v>
      </c>
      <c r="AJ489" s="109">
        <f t="shared" si="296"/>
        <v>840747.26550693577</v>
      </c>
      <c r="AK489" s="109">
        <f t="shared" si="269"/>
        <v>0</v>
      </c>
      <c r="AL489" s="109">
        <v>0</v>
      </c>
      <c r="AM489" s="111">
        <f t="shared" si="270"/>
        <v>0</v>
      </c>
      <c r="AN489" s="111">
        <f t="shared" si="271"/>
        <v>0</v>
      </c>
      <c r="AO489" s="111" t="str">
        <f t="shared" si="272"/>
        <v>Use deduct 3yrs</v>
      </c>
      <c r="AP489" s="111">
        <f t="shared" si="273"/>
        <v>0</v>
      </c>
      <c r="AQ489" s="112">
        <f t="shared" si="274"/>
        <v>0</v>
      </c>
      <c r="AR489" s="112">
        <f t="shared" si="275"/>
        <v>1</v>
      </c>
      <c r="AS489" s="113">
        <f t="shared" si="276"/>
        <v>2028</v>
      </c>
      <c r="AT489" s="109">
        <v>840747.26550693577</v>
      </c>
      <c r="AU489" s="114">
        <v>1</v>
      </c>
      <c r="AV489" s="113">
        <v>2028</v>
      </c>
      <c r="AW489" s="112">
        <f t="shared" si="277"/>
        <v>0.20515910227534701</v>
      </c>
      <c r="AX489" s="109">
        <f t="shared" si="278"/>
        <v>840747.26550693577</v>
      </c>
      <c r="AY489" s="109">
        <f t="shared" si="279"/>
        <v>0</v>
      </c>
      <c r="AZ489" s="109">
        <f t="shared" si="280"/>
        <v>840747.26550693577</v>
      </c>
      <c r="BA489" s="111">
        <f t="shared" si="281"/>
        <v>0</v>
      </c>
      <c r="BB489" s="117"/>
      <c r="BC489" s="115" t="str">
        <f t="shared" si="282"/>
        <v>N</v>
      </c>
      <c r="BD489" s="115" t="str">
        <f t="shared" si="283"/>
        <v>Y</v>
      </c>
      <c r="BE489" s="115" t="str">
        <f t="shared" si="284"/>
        <v>N</v>
      </c>
      <c r="BF489" s="109" t="str">
        <f t="shared" si="285"/>
        <v/>
      </c>
      <c r="BG489" s="111" t="s">
        <v>2499</v>
      </c>
      <c r="BH489" s="115" t="s">
        <v>1168</v>
      </c>
      <c r="BI489" s="116"/>
      <c r="BJ489" s="222">
        <v>0.20515910227534701</v>
      </c>
      <c r="BK489" s="265">
        <f t="shared" si="286"/>
        <v>0</v>
      </c>
      <c r="BL489" s="265">
        <f t="shared" si="287"/>
        <v>0</v>
      </c>
      <c r="BM489" s="265">
        <f t="shared" si="288"/>
        <v>0</v>
      </c>
      <c r="BN489" s="265">
        <f t="shared" si="289"/>
        <v>234226.68856246909</v>
      </c>
      <c r="BO489" s="109"/>
      <c r="BP489" s="265">
        <f t="shared" si="290"/>
        <v>234226.68856246909</v>
      </c>
      <c r="BQ489" s="265">
        <v>234226.68856246909</v>
      </c>
      <c r="BR489" s="265" t="e">
        <f t="shared" si="291"/>
        <v>#REF!</v>
      </c>
      <c r="BS489" s="265">
        <v>26387.79985236561</v>
      </c>
      <c r="BT489" s="475">
        <v>3257278.3944930611</v>
      </c>
      <c r="BU489" s="475">
        <v>840747.26550693577</v>
      </c>
      <c r="BV489" s="475">
        <v>0</v>
      </c>
      <c r="BW489" s="483">
        <f t="shared" si="292"/>
        <v>0</v>
      </c>
      <c r="BX489" s="483">
        <f t="shared" si="293"/>
        <v>0</v>
      </c>
    </row>
    <row r="490" spans="1:77" ht="43.5">
      <c r="A490" s="100"/>
      <c r="B490" s="91" t="str">
        <f t="shared" si="262"/>
        <v>TRA</v>
      </c>
      <c r="C490" s="92" t="s">
        <v>3626</v>
      </c>
      <c r="D490" s="448"/>
      <c r="E490" s="449"/>
      <c r="F490" s="384" t="s">
        <v>2952</v>
      </c>
      <c r="G490" s="588" t="s">
        <v>4463</v>
      </c>
      <c r="H490" s="398">
        <v>0.18</v>
      </c>
      <c r="I490" s="95"/>
      <c r="J490" s="95" t="s">
        <v>1166</v>
      </c>
      <c r="K490" s="191">
        <v>432406.59</v>
      </c>
      <c r="L490" s="268">
        <v>0.42179785667124808</v>
      </c>
      <c r="M490" s="266">
        <v>1</v>
      </c>
      <c r="N490" s="267">
        <f t="shared" si="263"/>
        <v>0</v>
      </c>
      <c r="O490" s="96">
        <f t="shared" si="264"/>
        <v>399576.71888294583</v>
      </c>
      <c r="P490" s="96">
        <f t="shared" si="297"/>
        <v>32829.871117054165</v>
      </c>
      <c r="Q490" s="96">
        <f t="shared" si="265"/>
        <v>0</v>
      </c>
      <c r="R490" s="187" t="s">
        <v>943</v>
      </c>
      <c r="S490" s="187" t="s">
        <v>3608</v>
      </c>
      <c r="T490" s="94" t="s">
        <v>2782</v>
      </c>
      <c r="U490" s="395">
        <f>COUNTIF(Aggregation_of_rev_to_allocate!$A$3:$A$137,$T490)</f>
        <v>1</v>
      </c>
      <c r="V490" s="100"/>
      <c r="W490" s="100">
        <v>1058</v>
      </c>
      <c r="X490" s="109">
        <v>60709.885236000002</v>
      </c>
      <c r="Y490" s="109">
        <v>17123.300963999998</v>
      </c>
      <c r="Z490" s="110">
        <v>1</v>
      </c>
      <c r="AA490" s="110">
        <v>0.78</v>
      </c>
      <c r="AB490" s="110">
        <v>0.21999999999999997</v>
      </c>
      <c r="AC490" s="109">
        <f>IF(ISERROR((X490*SUMIF('Rev_for_allocation(Hard)'!$A$3:$A$249,$T490,'Rev_for_allocation(Hard)'!$I$3:$I$249)/SUMIF(Historic_capex_list!$T$9:$T$586,$T490,Historic_capex_list!$X$9:$X$586))=TRUE),0,X490*SUMIF('Rev_for_allocation(Hard)'!$A$3:$A$249,$T490,'Rev_for_allocation(Hard)'!$I$3:$I$249)/SUMIF(Historic_capex_list!$T$9:$T$586,$T490,Historic_capex_list!$X$9:$X$586))</f>
        <v>-45003.315082945832</v>
      </c>
      <c r="AD490" s="109">
        <f t="shared" si="266"/>
        <v>15706.57015305417</v>
      </c>
      <c r="AE490" s="109">
        <f t="shared" si="298"/>
        <v>15706.57015305417</v>
      </c>
      <c r="AF490" s="109">
        <f t="shared" si="267"/>
        <v>32829.871117054165</v>
      </c>
      <c r="AG490" s="332" t="str">
        <f t="shared" si="268"/>
        <v>N</v>
      </c>
      <c r="AH490" s="332">
        <f t="shared" si="294"/>
        <v>0</v>
      </c>
      <c r="AI490" s="332">
        <f t="shared" si="295"/>
        <v>0</v>
      </c>
      <c r="AJ490" s="109">
        <f t="shared" si="296"/>
        <v>32829.871117054165</v>
      </c>
      <c r="AK490" s="109">
        <f t="shared" si="269"/>
        <v>0</v>
      </c>
      <c r="AL490" s="109">
        <v>0</v>
      </c>
      <c r="AM490" s="111">
        <f t="shared" si="270"/>
        <v>2.8205128205128198</v>
      </c>
      <c r="AN490" s="111">
        <f t="shared" si="271"/>
        <v>-0.17948717948718018</v>
      </c>
      <c r="AO490" s="111">
        <f t="shared" si="272"/>
        <v>-4.7538960441862601</v>
      </c>
      <c r="AP490" s="111">
        <f t="shared" si="273"/>
        <v>0</v>
      </c>
      <c r="AQ490" s="112">
        <f t="shared" si="274"/>
        <v>0</v>
      </c>
      <c r="AR490" s="112">
        <f t="shared" si="275"/>
        <v>1</v>
      </c>
      <c r="AS490" s="113">
        <f t="shared" si="276"/>
        <v>2028</v>
      </c>
      <c r="AT490" s="109">
        <v>32829.871117054165</v>
      </c>
      <c r="AU490" s="114">
        <v>1</v>
      </c>
      <c r="AV490" s="113">
        <v>2028</v>
      </c>
      <c r="AW490" s="112">
        <f t="shared" si="277"/>
        <v>0.42179785667124808</v>
      </c>
      <c r="AX490" s="109">
        <f t="shared" si="278"/>
        <v>32829.871117054165</v>
      </c>
      <c r="AY490" s="109">
        <f t="shared" si="279"/>
        <v>0</v>
      </c>
      <c r="AZ490" s="109">
        <f t="shared" si="280"/>
        <v>32829.871117054165</v>
      </c>
      <c r="BA490" s="111">
        <f t="shared" si="281"/>
        <v>0</v>
      </c>
      <c r="BB490" s="117"/>
      <c r="BC490" s="115" t="str">
        <f t="shared" si="282"/>
        <v>N</v>
      </c>
      <c r="BD490" s="115" t="str">
        <f t="shared" si="283"/>
        <v>Y</v>
      </c>
      <c r="BE490" s="115" t="str">
        <f t="shared" si="284"/>
        <v>N</v>
      </c>
      <c r="BF490" s="109" t="str">
        <f t="shared" si="285"/>
        <v/>
      </c>
      <c r="BG490" s="111" t="s">
        <v>2499</v>
      </c>
      <c r="BH490" s="115" t="s">
        <v>1168</v>
      </c>
      <c r="BI490" s="116"/>
      <c r="BJ490" s="222">
        <v>0.42179785667124808</v>
      </c>
      <c r="BK490" s="265">
        <f t="shared" si="286"/>
        <v>0</v>
      </c>
      <c r="BL490" s="265">
        <f t="shared" si="287"/>
        <v>0</v>
      </c>
      <c r="BM490" s="265">
        <f t="shared" si="288"/>
        <v>2.9103830456733704E-11</v>
      </c>
      <c r="BN490" s="265">
        <f t="shared" si="289"/>
        <v>27880.014118945837</v>
      </c>
      <c r="BO490" s="109"/>
      <c r="BP490" s="265">
        <f t="shared" si="290"/>
        <v>45003.315082945832</v>
      </c>
      <c r="BQ490" s="265">
        <v>45003.315082945832</v>
      </c>
      <c r="BR490" s="265" t="e">
        <f t="shared" si="291"/>
        <v>#REF!</v>
      </c>
      <c r="BS490" s="265">
        <v>5070.0391077979157</v>
      </c>
      <c r="BT490" s="475">
        <v>399576.71888294583</v>
      </c>
      <c r="BU490" s="475">
        <v>32829.871117054165</v>
      </c>
      <c r="BV490" s="475">
        <v>0</v>
      </c>
      <c r="BW490" s="483">
        <f t="shared" si="292"/>
        <v>0</v>
      </c>
      <c r="BX490" s="483">
        <f t="shared" si="293"/>
        <v>0</v>
      </c>
    </row>
    <row r="491" spans="1:77" ht="43.5">
      <c r="A491" s="100" t="s">
        <v>2259</v>
      </c>
      <c r="B491" s="91" t="str">
        <f t="shared" si="262"/>
        <v>TRA</v>
      </c>
      <c r="C491" s="92" t="s">
        <v>461</v>
      </c>
      <c r="D491" s="448"/>
      <c r="E491" s="450" t="s">
        <v>2178</v>
      </c>
      <c r="F491" s="467" t="s">
        <v>4889</v>
      </c>
      <c r="G491" s="467" t="s">
        <v>4749</v>
      </c>
      <c r="H491" s="470">
        <v>0.3</v>
      </c>
      <c r="I491" s="95" t="s">
        <v>962</v>
      </c>
      <c r="J491" s="95" t="s">
        <v>1166</v>
      </c>
      <c r="K491" s="469">
        <v>6950980.5</v>
      </c>
      <c r="L491" s="471">
        <v>8.2459589693857638E-3</v>
      </c>
      <c r="M491" s="591">
        <v>1</v>
      </c>
      <c r="N491" s="267">
        <f t="shared" si="263"/>
        <v>0</v>
      </c>
      <c r="O491" s="96">
        <f t="shared" si="264"/>
        <v>6933785.25</v>
      </c>
      <c r="P491" s="96">
        <f t="shared" si="297"/>
        <v>17195.25000000016</v>
      </c>
      <c r="Q491" s="96">
        <f t="shared" si="265"/>
        <v>0</v>
      </c>
      <c r="R491" s="187" t="s">
        <v>2335</v>
      </c>
      <c r="S491" s="187" t="s">
        <v>3608</v>
      </c>
      <c r="T491" s="94" t="s">
        <v>2779</v>
      </c>
      <c r="U491" s="395">
        <f>COUNTIF(Aggregation_of_rev_to_allocate!$A$3:$A$137,$T491)</f>
        <v>1</v>
      </c>
      <c r="V491" s="100"/>
      <c r="W491" s="100">
        <v>538</v>
      </c>
      <c r="X491" s="109">
        <v>6595.1495142480417</v>
      </c>
      <c r="Y491" s="109">
        <v>12036.147863502676</v>
      </c>
      <c r="Z491" s="110">
        <v>0.73158587103901984</v>
      </c>
      <c r="AA491" s="110">
        <v>0.35398230088495575</v>
      </c>
      <c r="AB491" s="110">
        <v>0.64601769911504425</v>
      </c>
      <c r="AC491" s="109">
        <f>IF(ISERROR((X491*SUMIF('Rev_for_allocation(Hard)'!$A$3:$A$249,$T491,'Rev_for_allocation(Hard)'!$I$3:$I$249)/SUMIF(Historic_capex_list!$T$9:$T$586,$T491,Historic_capex_list!$X$9:$X$586))=TRUE),0,X491*SUMIF('Rev_for_allocation(Hard)'!$A$3:$A$249,$T491,'Rev_for_allocation(Hard)'!$I$3:$I$249)/SUMIF(Historic_capex_list!$T$9:$T$586,$T491,Historic_capex_list!$X$9:$X$586))</f>
        <v>-1437.0208928773352</v>
      </c>
      <c r="AD491" s="109">
        <f t="shared" si="266"/>
        <v>5158.1286213707062</v>
      </c>
      <c r="AE491" s="109">
        <f t="shared" si="298"/>
        <v>5158.1286213707062</v>
      </c>
      <c r="AF491" s="109">
        <f t="shared" si="267"/>
        <v>17194.276484873382</v>
      </c>
      <c r="AG491" s="332" t="str">
        <f t="shared" si="268"/>
        <v>N</v>
      </c>
      <c r="AH491" s="332">
        <f t="shared" si="294"/>
        <v>0</v>
      </c>
      <c r="AI491" s="332">
        <f t="shared" si="295"/>
        <v>0</v>
      </c>
      <c r="AJ491" s="109">
        <f t="shared" si="296"/>
        <v>17194.276484873382</v>
      </c>
      <c r="AK491" s="109">
        <f t="shared" si="269"/>
        <v>0</v>
      </c>
      <c r="AL491" s="109">
        <v>0</v>
      </c>
      <c r="AM491" s="111">
        <f t="shared" si="270"/>
        <v>18.25</v>
      </c>
      <c r="AN491" s="111">
        <f t="shared" si="271"/>
        <v>15.25</v>
      </c>
      <c r="AO491" s="111" t="str">
        <f t="shared" si="272"/>
        <v>Use deduct 3yrs</v>
      </c>
      <c r="AP491" s="111">
        <f t="shared" si="273"/>
        <v>15.25</v>
      </c>
      <c r="AQ491" s="112">
        <f t="shared" si="274"/>
        <v>0.60396039603960394</v>
      </c>
      <c r="AR491" s="112">
        <f t="shared" si="275"/>
        <v>0.39603960396039606</v>
      </c>
      <c r="AS491" s="113">
        <f t="shared" si="276"/>
        <v>2043</v>
      </c>
      <c r="AT491" s="109">
        <v>17194.276484873382</v>
      </c>
      <c r="AU491" s="114">
        <v>0.39603960396039606</v>
      </c>
      <c r="AV491" s="113">
        <v>2043</v>
      </c>
      <c r="AW491" s="112">
        <f t="shared" si="277"/>
        <v>8.2454921215183875E-3</v>
      </c>
      <c r="AX491" s="109">
        <f t="shared" si="278"/>
        <v>6809.6144494548043</v>
      </c>
      <c r="AY491" s="109">
        <f t="shared" si="279"/>
        <v>10384.662035418576</v>
      </c>
      <c r="AZ491" s="109">
        <f t="shared" si="280"/>
        <v>17194.276484873379</v>
      </c>
      <c r="BA491" s="111">
        <f t="shared" si="281"/>
        <v>0</v>
      </c>
      <c r="BB491" s="117"/>
      <c r="BC491" s="115" t="str">
        <f t="shared" si="282"/>
        <v>N</v>
      </c>
      <c r="BD491" s="115" t="str">
        <f t="shared" si="283"/>
        <v>Y</v>
      </c>
      <c r="BE491" s="115" t="str">
        <f t="shared" si="284"/>
        <v>N</v>
      </c>
      <c r="BF491" s="109" t="str">
        <f t="shared" si="285"/>
        <v/>
      </c>
      <c r="BG491" s="111" t="s">
        <v>2499</v>
      </c>
      <c r="BH491" s="115" t="s">
        <v>1168</v>
      </c>
      <c r="BI491" s="116"/>
      <c r="BJ491" s="222">
        <v>0.67515908763786003</v>
      </c>
      <c r="BK491" s="265">
        <f t="shared" si="286"/>
        <v>10384.662035418576</v>
      </c>
      <c r="BL491" s="265">
        <f t="shared" si="287"/>
        <v>-10384.662035418576</v>
      </c>
      <c r="BM491" s="265">
        <f t="shared" si="288"/>
        <v>-1.6007106751203537E-10</v>
      </c>
      <c r="BN491" s="265">
        <f t="shared" si="289"/>
        <v>-10600.100485752118</v>
      </c>
      <c r="BO491" s="109"/>
      <c r="BP491" s="265">
        <f t="shared" si="290"/>
        <v>1437.0208928773354</v>
      </c>
      <c r="BQ491" s="265">
        <v>1437.0208928773354</v>
      </c>
      <c r="BR491" s="265" t="e">
        <f t="shared" si="291"/>
        <v>#REF!</v>
      </c>
      <c r="BS491" s="265">
        <v>161.89367632545213</v>
      </c>
      <c r="BT491" s="475">
        <v>8272.7235151266177</v>
      </c>
      <c r="BU491" s="475">
        <v>6809.6144494548053</v>
      </c>
      <c r="BV491" s="475">
        <v>10384.662035418578</v>
      </c>
      <c r="BW491" s="483">
        <f t="shared" si="292"/>
        <v>10385.635550545354</v>
      </c>
      <c r="BX491" s="483">
        <f t="shared" si="293"/>
        <v>-10384.662035418578</v>
      </c>
    </row>
    <row r="492" spans="1:77" ht="14.5">
      <c r="A492" s="100" t="s">
        <v>2259</v>
      </c>
      <c r="B492" s="91" t="str">
        <f t="shared" si="262"/>
        <v>TRA</v>
      </c>
      <c r="C492" s="92" t="s">
        <v>461</v>
      </c>
      <c r="D492" s="448"/>
      <c r="E492" s="452">
        <v>793072</v>
      </c>
      <c r="F492" s="467" t="s">
        <v>4939</v>
      </c>
      <c r="G492" s="620" t="s">
        <v>5321</v>
      </c>
      <c r="H492" s="470">
        <v>0.37607562151317125</v>
      </c>
      <c r="I492" s="95" t="s">
        <v>952</v>
      </c>
      <c r="J492" s="95" t="s">
        <v>1166</v>
      </c>
      <c r="K492" s="469">
        <v>1052568.2</v>
      </c>
      <c r="L492" s="268">
        <v>0.25421888760206035</v>
      </c>
      <c r="M492" s="266">
        <v>1</v>
      </c>
      <c r="N492" s="267">
        <f t="shared" si="263"/>
        <v>0</v>
      </c>
      <c r="O492" s="96">
        <f t="shared" si="264"/>
        <v>951936.86342462932</v>
      </c>
      <c r="P492" s="96">
        <f t="shared" si="297"/>
        <v>100631.33657537059</v>
      </c>
      <c r="Q492" s="96">
        <f t="shared" si="265"/>
        <v>0</v>
      </c>
      <c r="R492" s="187" t="s">
        <v>2335</v>
      </c>
      <c r="S492" s="187" t="s">
        <v>3608</v>
      </c>
      <c r="T492" s="94" t="s">
        <v>2779</v>
      </c>
      <c r="U492" s="395">
        <f>COUNTIF(Aggregation_of_rev_to_allocate!$A$3:$A$137,$T492)</f>
        <v>1</v>
      </c>
      <c r="V492" s="100"/>
      <c r="W492" s="100">
        <v>539</v>
      </c>
      <c r="X492" s="109">
        <v>135438.49334967829</v>
      </c>
      <c r="Y492" s="109">
        <v>0</v>
      </c>
      <c r="Z492" s="110">
        <v>0.32504260675761665</v>
      </c>
      <c r="AA492" s="110">
        <v>1</v>
      </c>
      <c r="AB492" s="110">
        <v>0</v>
      </c>
      <c r="AC492" s="109">
        <f>IF(ISERROR((X492*SUMIF('Rev_for_allocation(Hard)'!$A$3:$A$249,$T492,'Rev_for_allocation(Hard)'!$I$3:$I$249)/SUMIF(Historic_capex_list!$T$9:$T$586,$T492,Historic_capex_list!$X$9:$X$586))=TRUE),0,X492*SUMIF('Rev_for_allocation(Hard)'!$A$3:$A$249,$T492,'Rev_for_allocation(Hard)'!$I$3:$I$249)/SUMIF(Historic_capex_list!$T$9:$T$586,$T492,Historic_capex_list!$X$9:$X$586))</f>
        <v>-29510.770638761871</v>
      </c>
      <c r="AD492" s="109">
        <f t="shared" si="266"/>
        <v>105927.72271091642</v>
      </c>
      <c r="AE492" s="109">
        <f t="shared" si="298"/>
        <v>105927.72271091642</v>
      </c>
      <c r="AF492" s="109">
        <f t="shared" si="267"/>
        <v>105927.72271091642</v>
      </c>
      <c r="AG492" s="332" t="str">
        <f t="shared" si="268"/>
        <v>N</v>
      </c>
      <c r="AH492" s="332">
        <f t="shared" si="294"/>
        <v>0</v>
      </c>
      <c r="AI492" s="332">
        <f t="shared" si="295"/>
        <v>0</v>
      </c>
      <c r="AJ492" s="109">
        <f t="shared" si="296"/>
        <v>105927.72271091642</v>
      </c>
      <c r="AK492" s="109">
        <f t="shared" si="269"/>
        <v>0</v>
      </c>
      <c r="AL492" s="109">
        <v>0</v>
      </c>
      <c r="AM492" s="111">
        <f t="shared" si="270"/>
        <v>0</v>
      </c>
      <c r="AN492" s="111">
        <f t="shared" si="271"/>
        <v>0</v>
      </c>
      <c r="AO492" s="111" t="str">
        <f t="shared" si="272"/>
        <v>Use deduct 3yrs</v>
      </c>
      <c r="AP492" s="111">
        <f t="shared" si="273"/>
        <v>0</v>
      </c>
      <c r="AQ492" s="112">
        <f t="shared" si="274"/>
        <v>0</v>
      </c>
      <c r="AR492" s="112">
        <f t="shared" si="275"/>
        <v>1</v>
      </c>
      <c r="AS492" s="113">
        <f t="shared" si="276"/>
        <v>2028</v>
      </c>
      <c r="AT492" s="109">
        <v>105927.72271091642</v>
      </c>
      <c r="AU492" s="114">
        <v>1</v>
      </c>
      <c r="AV492" s="113">
        <v>2028</v>
      </c>
      <c r="AW492" s="112">
        <f t="shared" si="277"/>
        <v>0.26759882905480042</v>
      </c>
      <c r="AX492" s="109">
        <f t="shared" si="278"/>
        <v>105927.72271091644</v>
      </c>
      <c r="AY492" s="109">
        <f t="shared" si="279"/>
        <v>0</v>
      </c>
      <c r="AZ492" s="109">
        <f t="shared" si="280"/>
        <v>105927.72271091644</v>
      </c>
      <c r="BA492" s="111">
        <f t="shared" si="281"/>
        <v>0</v>
      </c>
      <c r="BB492" s="117"/>
      <c r="BC492" s="115" t="str">
        <f t="shared" si="282"/>
        <v>N</v>
      </c>
      <c r="BD492" s="115" t="str">
        <f t="shared" si="283"/>
        <v>Y</v>
      </c>
      <c r="BE492" s="115" t="str">
        <f t="shared" si="284"/>
        <v>N</v>
      </c>
      <c r="BF492" s="109" t="str">
        <f t="shared" si="285"/>
        <v/>
      </c>
      <c r="BG492" s="111" t="s">
        <v>2499</v>
      </c>
      <c r="BH492" s="115" t="s">
        <v>1168</v>
      </c>
      <c r="BI492" s="116"/>
      <c r="BJ492" s="222">
        <v>0.25421888760206035</v>
      </c>
      <c r="BK492" s="265">
        <f t="shared" si="286"/>
        <v>0</v>
      </c>
      <c r="BL492" s="265">
        <f t="shared" si="287"/>
        <v>0</v>
      </c>
      <c r="BM492" s="265">
        <f t="shared" si="288"/>
        <v>4.3655745685100555E-11</v>
      </c>
      <c r="BN492" s="265">
        <f t="shared" si="289"/>
        <v>34807.156774307703</v>
      </c>
      <c r="BO492" s="109"/>
      <c r="BP492" s="265">
        <f t="shared" si="290"/>
        <v>29510.770638761867</v>
      </c>
      <c r="BQ492" s="265">
        <v>29510.770638761867</v>
      </c>
      <c r="BR492" s="265" t="e">
        <f t="shared" si="291"/>
        <v>#REF!</v>
      </c>
      <c r="BS492" s="265">
        <v>3324.6608825152189</v>
      </c>
      <c r="BT492" s="475">
        <v>310751.47728908353</v>
      </c>
      <c r="BU492" s="475">
        <v>105927.72271091641</v>
      </c>
      <c r="BV492" s="475">
        <v>0</v>
      </c>
      <c r="BW492" s="483">
        <f t="shared" si="292"/>
        <v>-5296.3861355458212</v>
      </c>
      <c r="BX492" s="483">
        <f t="shared" si="293"/>
        <v>0</v>
      </c>
    </row>
    <row r="493" spans="1:77" ht="29">
      <c r="A493" s="100"/>
      <c r="B493" s="91" t="str">
        <f t="shared" si="262"/>
        <v>TRA</v>
      </c>
      <c r="C493" s="92"/>
      <c r="D493" s="448"/>
      <c r="E493" s="450"/>
      <c r="F493" s="384" t="s">
        <v>2257</v>
      </c>
      <c r="G493" s="590" t="s">
        <v>5265</v>
      </c>
      <c r="H493" s="398">
        <v>0.56000000000000005</v>
      </c>
      <c r="I493" s="95"/>
      <c r="J493" s="95" t="s">
        <v>1166</v>
      </c>
      <c r="K493" s="191">
        <v>1278135</v>
      </c>
      <c r="L493" s="268">
        <v>0.83004535469244467</v>
      </c>
      <c r="M493" s="266">
        <v>1</v>
      </c>
      <c r="N493" s="267">
        <f t="shared" si="263"/>
        <v>0</v>
      </c>
      <c r="O493" s="96">
        <f t="shared" si="264"/>
        <v>684025.38912489638</v>
      </c>
      <c r="P493" s="96">
        <f t="shared" si="297"/>
        <v>594109.61087510362</v>
      </c>
      <c r="Q493" s="96">
        <f t="shared" si="265"/>
        <v>0</v>
      </c>
      <c r="R493" s="187" t="s">
        <v>2335</v>
      </c>
      <c r="S493" s="187" t="s">
        <v>3608</v>
      </c>
      <c r="T493" s="94" t="s">
        <v>2779</v>
      </c>
      <c r="U493" s="395">
        <f>COUNTIF(Aggregation_of_rev_to_allocate!$A$3:$A$137,$T493)</f>
        <v>1</v>
      </c>
      <c r="V493" s="100"/>
      <c r="W493" s="100">
        <v>921</v>
      </c>
      <c r="X493" s="109">
        <v>558289.36800000013</v>
      </c>
      <c r="Y493" s="109">
        <v>157466.23199999999</v>
      </c>
      <c r="Z493" s="110">
        <v>1</v>
      </c>
      <c r="AA493" s="110">
        <v>0.78</v>
      </c>
      <c r="AB493" s="110">
        <v>0.21999999999999997</v>
      </c>
      <c r="AC493" s="109">
        <f>IF(ISERROR((X493*SUMIF('Rev_for_allocation(Hard)'!$A$3:$A$249,$T493,'Rev_for_allocation(Hard)'!$I$3:$I$249)/SUMIF(Historic_capex_list!$T$9:$T$586,$T493,Historic_capex_list!$X$9:$X$586))=TRUE),0,X493*SUMIF('Rev_for_allocation(Hard)'!$A$3:$A$249,$T493,'Rev_for_allocation(Hard)'!$I$3:$I$249)/SUMIF(Historic_capex_list!$T$9:$T$586,$T493,Historic_capex_list!$X$9:$X$586))</f>
        <v>-121645.98912489644</v>
      </c>
      <c r="AD493" s="109">
        <f t="shared" si="266"/>
        <v>436643.37887510366</v>
      </c>
      <c r="AE493" s="109">
        <f t="shared" si="298"/>
        <v>436643.37887510366</v>
      </c>
      <c r="AF493" s="109">
        <f t="shared" si="267"/>
        <v>594109.61087510362</v>
      </c>
      <c r="AG493" s="332" t="str">
        <f t="shared" si="268"/>
        <v>N</v>
      </c>
      <c r="AH493" s="332">
        <f t="shared" si="294"/>
        <v>0</v>
      </c>
      <c r="AI493" s="332">
        <f t="shared" si="295"/>
        <v>0</v>
      </c>
      <c r="AJ493" s="109">
        <f t="shared" si="296"/>
        <v>594109.61087510362</v>
      </c>
      <c r="AK493" s="109">
        <f t="shared" si="269"/>
        <v>0</v>
      </c>
      <c r="AL493" s="109">
        <v>0</v>
      </c>
      <c r="AM493" s="111">
        <f t="shared" si="270"/>
        <v>2.8205128205128198</v>
      </c>
      <c r="AN493" s="111">
        <f t="shared" si="271"/>
        <v>-0.17948717948718018</v>
      </c>
      <c r="AO493" s="111" t="str">
        <f t="shared" si="272"/>
        <v>Use deduct 3yrs</v>
      </c>
      <c r="AP493" s="111">
        <f t="shared" si="273"/>
        <v>-0.17948717948718018</v>
      </c>
      <c r="AQ493" s="112">
        <f t="shared" si="274"/>
        <v>0</v>
      </c>
      <c r="AR493" s="112">
        <f t="shared" si="275"/>
        <v>1</v>
      </c>
      <c r="AS493" s="113">
        <f t="shared" si="276"/>
        <v>2028</v>
      </c>
      <c r="AT493" s="109">
        <v>594109.61087510362</v>
      </c>
      <c r="AU493" s="114">
        <v>1</v>
      </c>
      <c r="AV493" s="113">
        <v>2028</v>
      </c>
      <c r="AW493" s="112">
        <f t="shared" si="277"/>
        <v>0.83004535469244467</v>
      </c>
      <c r="AX493" s="109">
        <f t="shared" si="278"/>
        <v>594109.61087510362</v>
      </c>
      <c r="AY493" s="109">
        <f t="shared" si="279"/>
        <v>0</v>
      </c>
      <c r="AZ493" s="109">
        <f t="shared" si="280"/>
        <v>594109.61087510362</v>
      </c>
      <c r="BA493" s="111">
        <f t="shared" si="281"/>
        <v>0</v>
      </c>
      <c r="BB493" s="117"/>
      <c r="BC493" s="115" t="str">
        <f t="shared" si="282"/>
        <v>N</v>
      </c>
      <c r="BD493" s="115" t="str">
        <f t="shared" si="283"/>
        <v>Y</v>
      </c>
      <c r="BE493" s="115" t="str">
        <f t="shared" si="284"/>
        <v>N</v>
      </c>
      <c r="BF493" s="109" t="str">
        <f t="shared" si="285"/>
        <v/>
      </c>
      <c r="BG493" s="111" t="s">
        <v>2499</v>
      </c>
      <c r="BH493" s="115" t="s">
        <v>1168</v>
      </c>
      <c r="BI493" s="116"/>
      <c r="BJ493" s="222">
        <v>0.83004535469244467</v>
      </c>
      <c r="BK493" s="265">
        <f t="shared" si="286"/>
        <v>0</v>
      </c>
      <c r="BL493" s="265">
        <f t="shared" si="287"/>
        <v>0</v>
      </c>
      <c r="BM493" s="265">
        <f t="shared" si="288"/>
        <v>0</v>
      </c>
      <c r="BN493" s="265">
        <f t="shared" si="289"/>
        <v>-35820.242875103489</v>
      </c>
      <c r="BO493" s="109"/>
      <c r="BP493" s="265">
        <f t="shared" si="290"/>
        <v>121645.98912489647</v>
      </c>
      <c r="BQ493" s="265">
        <v>121645.98912489647</v>
      </c>
      <c r="BR493" s="265" t="e">
        <f t="shared" si="291"/>
        <v>#REF!</v>
      </c>
      <c r="BS493" s="265">
        <v>13704.544232647089</v>
      </c>
      <c r="BT493" s="475">
        <v>684025.38912489638</v>
      </c>
      <c r="BU493" s="475">
        <v>594109.61087510362</v>
      </c>
      <c r="BV493" s="475">
        <v>0</v>
      </c>
      <c r="BW493" s="483">
        <f t="shared" si="292"/>
        <v>0</v>
      </c>
      <c r="BX493" s="483">
        <f t="shared" si="293"/>
        <v>0</v>
      </c>
    </row>
    <row r="494" spans="1:77" ht="29">
      <c r="A494" s="100"/>
      <c r="B494" s="91" t="str">
        <f t="shared" si="262"/>
        <v>TRA</v>
      </c>
      <c r="C494" s="92"/>
      <c r="D494" s="448"/>
      <c r="E494" s="450"/>
      <c r="F494" s="384" t="s">
        <v>2257</v>
      </c>
      <c r="G494" s="590" t="s">
        <v>5265</v>
      </c>
      <c r="H494" s="398">
        <v>0.56000000000000005</v>
      </c>
      <c r="I494" s="95"/>
      <c r="J494" s="95" t="s">
        <v>1166</v>
      </c>
      <c r="K494" s="191">
        <v>270725.42</v>
      </c>
      <c r="L494" s="268">
        <v>0.83004535469244478</v>
      </c>
      <c r="M494" s="266">
        <v>1</v>
      </c>
      <c r="N494" s="267">
        <f t="shared" si="263"/>
        <v>0</v>
      </c>
      <c r="O494" s="96">
        <f t="shared" si="264"/>
        <v>144885.36872982976</v>
      </c>
      <c r="P494" s="96">
        <f t="shared" si="297"/>
        <v>125840.05127017021</v>
      </c>
      <c r="Q494" s="96">
        <f t="shared" si="265"/>
        <v>0</v>
      </c>
      <c r="R494" s="187" t="s">
        <v>2335</v>
      </c>
      <c r="S494" s="187" t="s">
        <v>3608</v>
      </c>
      <c r="T494" s="94" t="s">
        <v>2779</v>
      </c>
      <c r="U494" s="395">
        <f>COUNTIF(Aggregation_of_rev_to_allocate!$A$3:$A$137,$T494)</f>
        <v>1</v>
      </c>
      <c r="V494" s="100"/>
      <c r="W494" s="100">
        <v>921</v>
      </c>
      <c r="X494" s="109">
        <v>118252.86345600001</v>
      </c>
      <c r="Y494" s="109">
        <v>33353.371743999996</v>
      </c>
      <c r="Z494" s="110">
        <v>1</v>
      </c>
      <c r="AA494" s="110">
        <v>0.78</v>
      </c>
      <c r="AB494" s="110">
        <v>0.21999999999999997</v>
      </c>
      <c r="AC494" s="109">
        <f>IF(ISERROR((X494*SUMIF('Rev_for_allocation(Hard)'!$A$3:$A$249,$T494,'Rev_for_allocation(Hard)'!$I$3:$I$249)/SUMIF(Historic_capex_list!$T$9:$T$586,$T494,Historic_capex_list!$X$9:$X$586))=TRUE),0,X494*SUMIF('Rev_for_allocation(Hard)'!$A$3:$A$249,$T494,'Rev_for_allocation(Hard)'!$I$3:$I$249)/SUMIF(Historic_capex_list!$T$9:$T$586,$T494,Historic_capex_list!$X$9:$X$586))</f>
        <v>-25766.183929829804</v>
      </c>
      <c r="AD494" s="109">
        <f t="shared" si="266"/>
        <v>92486.679526170206</v>
      </c>
      <c r="AE494" s="109">
        <f t="shared" si="298"/>
        <v>92486.679526170206</v>
      </c>
      <c r="AF494" s="109">
        <f t="shared" si="267"/>
        <v>125840.0512701702</v>
      </c>
      <c r="AG494" s="332" t="str">
        <f t="shared" si="268"/>
        <v>N</v>
      </c>
      <c r="AH494" s="332">
        <f t="shared" si="294"/>
        <v>0</v>
      </c>
      <c r="AI494" s="332">
        <f t="shared" si="295"/>
        <v>0</v>
      </c>
      <c r="AJ494" s="109">
        <f t="shared" si="296"/>
        <v>125840.0512701702</v>
      </c>
      <c r="AK494" s="109">
        <f t="shared" si="269"/>
        <v>0</v>
      </c>
      <c r="AL494" s="109">
        <v>0</v>
      </c>
      <c r="AM494" s="111">
        <f t="shared" si="270"/>
        <v>2.8205128205128198</v>
      </c>
      <c r="AN494" s="111">
        <f t="shared" si="271"/>
        <v>-0.17948717948718018</v>
      </c>
      <c r="AO494" s="111" t="str">
        <f t="shared" si="272"/>
        <v>Use deduct 3yrs</v>
      </c>
      <c r="AP494" s="111">
        <f t="shared" si="273"/>
        <v>-0.17948717948718018</v>
      </c>
      <c r="AQ494" s="112">
        <f t="shared" si="274"/>
        <v>0</v>
      </c>
      <c r="AR494" s="112">
        <f t="shared" si="275"/>
        <v>1</v>
      </c>
      <c r="AS494" s="113">
        <f t="shared" si="276"/>
        <v>2028</v>
      </c>
      <c r="AT494" s="109">
        <v>125840.0512701702</v>
      </c>
      <c r="AU494" s="114">
        <v>1</v>
      </c>
      <c r="AV494" s="113">
        <v>2028</v>
      </c>
      <c r="AW494" s="112">
        <f t="shared" si="277"/>
        <v>0.83004535469244478</v>
      </c>
      <c r="AX494" s="109">
        <f t="shared" si="278"/>
        <v>125840.05127017021</v>
      </c>
      <c r="AY494" s="109">
        <f t="shared" si="279"/>
        <v>0</v>
      </c>
      <c r="AZ494" s="109">
        <f t="shared" si="280"/>
        <v>125840.05127017021</v>
      </c>
      <c r="BA494" s="111">
        <f t="shared" si="281"/>
        <v>0</v>
      </c>
      <c r="BB494" s="117"/>
      <c r="BC494" s="115" t="str">
        <f t="shared" si="282"/>
        <v>N</v>
      </c>
      <c r="BD494" s="115" t="str">
        <f t="shared" si="283"/>
        <v>Y</v>
      </c>
      <c r="BE494" s="115" t="str">
        <f t="shared" si="284"/>
        <v>N</v>
      </c>
      <c r="BF494" s="109" t="str">
        <f t="shared" si="285"/>
        <v/>
      </c>
      <c r="BG494" s="111" t="s">
        <v>2499</v>
      </c>
      <c r="BH494" s="115" t="s">
        <v>1168</v>
      </c>
      <c r="BI494" s="116"/>
      <c r="BJ494" s="222">
        <v>0.83004535469244478</v>
      </c>
      <c r="BK494" s="265">
        <f t="shared" si="286"/>
        <v>0</v>
      </c>
      <c r="BL494" s="265">
        <f t="shared" si="287"/>
        <v>0</v>
      </c>
      <c r="BM494" s="265">
        <f t="shared" si="288"/>
        <v>1.4551915228366852E-11</v>
      </c>
      <c r="BN494" s="265">
        <f t="shared" si="289"/>
        <v>-7587.1878141702036</v>
      </c>
      <c r="BO494" s="109"/>
      <c r="BP494" s="265">
        <f t="shared" si="290"/>
        <v>25766.1839298298</v>
      </c>
      <c r="BQ494" s="265">
        <v>25766.1839298298</v>
      </c>
      <c r="BR494" s="265" t="e">
        <f t="shared" si="291"/>
        <v>#REF!</v>
      </c>
      <c r="BS494" s="265">
        <v>2902.7986036623356</v>
      </c>
      <c r="BT494" s="475">
        <v>144885.36872982976</v>
      </c>
      <c r="BU494" s="475">
        <v>125840.05127017021</v>
      </c>
      <c r="BV494" s="475">
        <v>0</v>
      </c>
      <c r="BW494" s="483">
        <f t="shared" si="292"/>
        <v>0</v>
      </c>
      <c r="BX494" s="483">
        <f t="shared" si="293"/>
        <v>0</v>
      </c>
    </row>
    <row r="495" spans="1:77" ht="58">
      <c r="A495" s="100" t="s">
        <v>2259</v>
      </c>
      <c r="B495" s="91" t="str">
        <f t="shared" si="262"/>
        <v>TRA</v>
      </c>
      <c r="C495" s="92" t="s">
        <v>461</v>
      </c>
      <c r="D495" s="448"/>
      <c r="E495" s="450" t="s">
        <v>2150</v>
      </c>
      <c r="F495" s="467" t="s">
        <v>4891</v>
      </c>
      <c r="G495" s="467" t="s">
        <v>4750</v>
      </c>
      <c r="H495" s="470">
        <v>0.37</v>
      </c>
      <c r="I495" s="95" t="s">
        <v>962</v>
      </c>
      <c r="J495" s="95" t="s">
        <v>1166</v>
      </c>
      <c r="K495" s="469">
        <v>27092165.379999995</v>
      </c>
      <c r="L495" s="471">
        <v>8.5539539525406133E-2</v>
      </c>
      <c r="M495" s="266">
        <v>1</v>
      </c>
      <c r="N495" s="267">
        <f t="shared" si="263"/>
        <v>0</v>
      </c>
      <c r="O495" s="96">
        <f t="shared" si="264"/>
        <v>26234708.379999995</v>
      </c>
      <c r="P495" s="96">
        <f t="shared" si="297"/>
        <v>857456.99999999919</v>
      </c>
      <c r="Q495" s="96">
        <f t="shared" si="265"/>
        <v>0</v>
      </c>
      <c r="R495" s="187" t="s">
        <v>2335</v>
      </c>
      <c r="S495" s="187" t="s">
        <v>3608</v>
      </c>
      <c r="T495" s="94" t="s">
        <v>2779</v>
      </c>
      <c r="U495" s="395">
        <f>COUNTIF(Aggregation_of_rev_to_allocate!$A$3:$A$137,$T495)</f>
        <v>1</v>
      </c>
      <c r="V495" s="100"/>
      <c r="W495" s="100">
        <v>540</v>
      </c>
      <c r="X495" s="109">
        <v>1096339.0823937096</v>
      </c>
      <c r="Y495" s="109">
        <v>0</v>
      </c>
      <c r="Z495" s="110">
        <v>0.29653009739291353</v>
      </c>
      <c r="AA495" s="110">
        <v>1</v>
      </c>
      <c r="AB495" s="110">
        <v>0</v>
      </c>
      <c r="AC495" s="109">
        <f>IF(ISERROR((X495*SUMIF('Rev_for_allocation(Hard)'!$A$3:$A$249,$T495,'Rev_for_allocation(Hard)'!$I$3:$I$249)/SUMIF(Historic_capex_list!$T$9:$T$586,$T495,Historic_capex_list!$X$9:$X$586))=TRUE),0,X495*SUMIF('Rev_for_allocation(Hard)'!$A$3:$A$249,$T495,'Rev_for_allocation(Hard)'!$I$3:$I$249)/SUMIF(Historic_capex_list!$T$9:$T$586,$T495,Historic_capex_list!$X$9:$X$586))</f>
        <v>-238881.9485705558</v>
      </c>
      <c r="AD495" s="109">
        <f t="shared" si="266"/>
        <v>857457.1338231538</v>
      </c>
      <c r="AE495" s="109">
        <f t="shared" ref="AE495:AE524" si="299">IF(AD495&lt;0,+Q495+P495+AC495,+AD495)</f>
        <v>857457.1338231538</v>
      </c>
      <c r="AF495" s="109">
        <f t="shared" si="267"/>
        <v>857457.1338231538</v>
      </c>
      <c r="AG495" s="332" t="str">
        <f t="shared" si="268"/>
        <v>N</v>
      </c>
      <c r="AH495" s="332">
        <f t="shared" si="294"/>
        <v>0</v>
      </c>
      <c r="AI495" s="332">
        <f t="shared" si="295"/>
        <v>0</v>
      </c>
      <c r="AJ495" s="109">
        <f t="shared" si="296"/>
        <v>857457.1338231538</v>
      </c>
      <c r="AK495" s="109">
        <f t="shared" si="269"/>
        <v>0</v>
      </c>
      <c r="AL495" s="109">
        <v>0</v>
      </c>
      <c r="AM495" s="111">
        <f t="shared" si="270"/>
        <v>0</v>
      </c>
      <c r="AN495" s="111">
        <f t="shared" si="271"/>
        <v>0</v>
      </c>
      <c r="AO495" s="111" t="str">
        <f t="shared" si="272"/>
        <v>Use deduct 3yrs</v>
      </c>
      <c r="AP495" s="111">
        <f t="shared" si="273"/>
        <v>0</v>
      </c>
      <c r="AQ495" s="112">
        <f t="shared" si="274"/>
        <v>0</v>
      </c>
      <c r="AR495" s="112">
        <f t="shared" si="275"/>
        <v>1</v>
      </c>
      <c r="AS495" s="113">
        <f t="shared" si="276"/>
        <v>2028</v>
      </c>
      <c r="AT495" s="109">
        <v>857457.1338231538</v>
      </c>
      <c r="AU495" s="114">
        <v>1</v>
      </c>
      <c r="AV495" s="113">
        <v>2028</v>
      </c>
      <c r="AW495" s="112">
        <f t="shared" si="277"/>
        <v>8.5539552875546154E-2</v>
      </c>
      <c r="AX495" s="109">
        <f t="shared" si="278"/>
        <v>857457.13382315368</v>
      </c>
      <c r="AY495" s="109">
        <f t="shared" si="279"/>
        <v>0</v>
      </c>
      <c r="AZ495" s="109">
        <f t="shared" si="280"/>
        <v>857457.13382315368</v>
      </c>
      <c r="BA495" s="111">
        <f t="shared" si="281"/>
        <v>0</v>
      </c>
      <c r="BB495" s="117" t="s">
        <v>2466</v>
      </c>
      <c r="BC495" s="115" t="str">
        <f t="shared" si="282"/>
        <v>N</v>
      </c>
      <c r="BD495" s="115" t="str">
        <f t="shared" si="283"/>
        <v>Y</v>
      </c>
      <c r="BE495" s="115" t="str">
        <f t="shared" si="284"/>
        <v>N</v>
      </c>
      <c r="BF495" s="109" t="str">
        <f t="shared" si="285"/>
        <v/>
      </c>
      <c r="BG495" s="111" t="s">
        <v>2499</v>
      </c>
      <c r="BH495" s="115" t="s">
        <v>1168</v>
      </c>
      <c r="BI495" s="116"/>
      <c r="BJ495" s="222">
        <v>0.2319189851808271</v>
      </c>
      <c r="BK495" s="265">
        <f t="shared" si="286"/>
        <v>0</v>
      </c>
      <c r="BL495" s="265">
        <f t="shared" si="287"/>
        <v>0</v>
      </c>
      <c r="BM495" s="265">
        <f t="shared" si="288"/>
        <v>8.149072527885437E-10</v>
      </c>
      <c r="BN495" s="265">
        <f t="shared" si="289"/>
        <v>238882.08239371039</v>
      </c>
      <c r="BO495" s="109"/>
      <c r="BP495" s="265">
        <f t="shared" si="290"/>
        <v>238881.94857055577</v>
      </c>
      <c r="BQ495" s="265">
        <v>238881.94857055577</v>
      </c>
      <c r="BR495" s="265" t="e">
        <f t="shared" si="291"/>
        <v>#REF!</v>
      </c>
      <c r="BS495" s="265">
        <v>26912.257889611657</v>
      </c>
      <c r="BT495" s="475">
        <v>2839769.866176846</v>
      </c>
      <c r="BU495" s="475">
        <v>857457.1338231538</v>
      </c>
      <c r="BV495" s="475">
        <v>0</v>
      </c>
      <c r="BW495" s="483">
        <f t="shared" si="292"/>
        <v>-0.1338231546105817</v>
      </c>
      <c r="BX495" s="483">
        <f t="shared" si="293"/>
        <v>0</v>
      </c>
    </row>
    <row r="496" spans="1:77" ht="29">
      <c r="A496" s="100"/>
      <c r="B496" s="91" t="str">
        <f t="shared" si="262"/>
        <v>TRA</v>
      </c>
      <c r="C496" s="92"/>
      <c r="D496" s="448"/>
      <c r="E496" s="450"/>
      <c r="F496" s="384" t="s">
        <v>2895</v>
      </c>
      <c r="G496" s="590" t="s">
        <v>5266</v>
      </c>
      <c r="H496" s="398">
        <v>0.17</v>
      </c>
      <c r="I496" s="95"/>
      <c r="J496" s="95" t="s">
        <v>1166</v>
      </c>
      <c r="K496" s="191">
        <v>21393273</v>
      </c>
      <c r="L496" s="268">
        <v>0.40691567753823371</v>
      </c>
      <c r="M496" s="266">
        <v>1</v>
      </c>
      <c r="N496" s="267">
        <f t="shared" si="263"/>
        <v>0</v>
      </c>
      <c r="O496" s="96">
        <f t="shared" si="264"/>
        <v>19913379.109815583</v>
      </c>
      <c r="P496" s="96">
        <f t="shared" si="297"/>
        <v>1479893.8901844183</v>
      </c>
      <c r="Q496" s="96">
        <f t="shared" si="265"/>
        <v>0</v>
      </c>
      <c r="R496" s="187" t="s">
        <v>2337</v>
      </c>
      <c r="S496" s="187" t="s">
        <v>3608</v>
      </c>
      <c r="T496" s="94" t="s">
        <v>2781</v>
      </c>
      <c r="U496" s="395">
        <f>COUNTIF(Aggregation_of_rev_to_allocate!$A$3:$A$137,$T496)</f>
        <v>1</v>
      </c>
      <c r="V496" s="100"/>
      <c r="W496" s="100">
        <v>922</v>
      </c>
      <c r="X496" s="109">
        <v>3636856.41</v>
      </c>
      <c r="Y496" s="109">
        <v>0</v>
      </c>
      <c r="Z496" s="110">
        <v>1</v>
      </c>
      <c r="AA496" s="110">
        <v>1</v>
      </c>
      <c r="AB496" s="110">
        <v>0</v>
      </c>
      <c r="AC496" s="109">
        <f>IF(ISERROR((X496*SUMIF('Rev_for_allocation(Hard)'!$A$3:$A$249,$T496,'Rev_for_allocation(Hard)'!$I$3:$I$249)/SUMIF(Historic_capex_list!$T$9:$T$586,$T496,Historic_capex_list!$X$9:$X$586))=TRUE),0,X496*SUMIF('Rev_for_allocation(Hard)'!$A$3:$A$249,$T496,'Rev_for_allocation(Hard)'!$I$3:$I$249)/SUMIF(Historic_capex_list!$T$9:$T$586,$T496,Historic_capex_list!$X$9:$X$586))</f>
        <v>-2190892.9093247023</v>
      </c>
      <c r="AD496" s="109">
        <f t="shared" si="266"/>
        <v>1445963.5006752978</v>
      </c>
      <c r="AE496" s="109">
        <f t="shared" si="299"/>
        <v>1445963.5006752978</v>
      </c>
      <c r="AF496" s="109">
        <f t="shared" si="267"/>
        <v>1445963.5006752978</v>
      </c>
      <c r="AG496" s="332" t="str">
        <f t="shared" si="268"/>
        <v>N</v>
      </c>
      <c r="AH496" s="332">
        <f t="shared" si="294"/>
        <v>0</v>
      </c>
      <c r="AI496" s="332">
        <f t="shared" si="295"/>
        <v>0</v>
      </c>
      <c r="AJ496" s="109">
        <f t="shared" si="296"/>
        <v>1445963.5006752978</v>
      </c>
      <c r="AK496" s="109">
        <f t="shared" si="269"/>
        <v>0</v>
      </c>
      <c r="AL496" s="109">
        <v>0</v>
      </c>
      <c r="AM496" s="111">
        <f t="shared" si="270"/>
        <v>0</v>
      </c>
      <c r="AN496" s="111">
        <f t="shared" si="271"/>
        <v>0</v>
      </c>
      <c r="AO496" s="111">
        <f t="shared" si="272"/>
        <v>-5.1517857006868129</v>
      </c>
      <c r="AP496" s="111">
        <f t="shared" si="273"/>
        <v>0</v>
      </c>
      <c r="AQ496" s="112">
        <f t="shared" si="274"/>
        <v>0</v>
      </c>
      <c r="AR496" s="112">
        <f t="shared" si="275"/>
        <v>1</v>
      </c>
      <c r="AS496" s="113">
        <f t="shared" si="276"/>
        <v>2028</v>
      </c>
      <c r="AT496" s="109">
        <v>1479893.8901844183</v>
      </c>
      <c r="AU496" s="114">
        <v>1</v>
      </c>
      <c r="AV496" s="113">
        <v>2028</v>
      </c>
      <c r="AW496" s="112">
        <f t="shared" si="277"/>
        <v>0.40691567753823371</v>
      </c>
      <c r="AX496" s="109">
        <f t="shared" si="278"/>
        <v>1479893.8901844183</v>
      </c>
      <c r="AY496" s="109">
        <f t="shared" si="279"/>
        <v>0</v>
      </c>
      <c r="AZ496" s="109">
        <f t="shared" si="280"/>
        <v>1479893.8901844183</v>
      </c>
      <c r="BA496" s="111">
        <f t="shared" si="281"/>
        <v>0</v>
      </c>
      <c r="BB496" s="117"/>
      <c r="BC496" s="115" t="str">
        <f t="shared" si="282"/>
        <v>N</v>
      </c>
      <c r="BD496" s="115" t="str">
        <f t="shared" si="283"/>
        <v>Y</v>
      </c>
      <c r="BE496" s="115" t="str">
        <f t="shared" si="284"/>
        <v>N</v>
      </c>
      <c r="BF496" s="109" t="str">
        <f t="shared" si="285"/>
        <v/>
      </c>
      <c r="BG496" s="111" t="s">
        <v>2499</v>
      </c>
      <c r="BH496" s="115" t="s">
        <v>1168</v>
      </c>
      <c r="BI496" s="116"/>
      <c r="BJ496" s="222">
        <v>0.40691567753823371</v>
      </c>
      <c r="BK496" s="265">
        <f t="shared" si="286"/>
        <v>0</v>
      </c>
      <c r="BL496" s="265">
        <f t="shared" si="287"/>
        <v>0</v>
      </c>
      <c r="BM496" s="265">
        <f t="shared" si="288"/>
        <v>-9.3132257461547852E-10</v>
      </c>
      <c r="BN496" s="265">
        <f t="shared" si="289"/>
        <v>2156962.5198155819</v>
      </c>
      <c r="BO496" s="109"/>
      <c r="BP496" s="265">
        <f t="shared" si="290"/>
        <v>2156962.5198155819</v>
      </c>
      <c r="BQ496" s="265">
        <v>2156962.5198155819</v>
      </c>
      <c r="BR496" s="265" t="e">
        <f t="shared" si="291"/>
        <v>#REF!</v>
      </c>
      <c r="BS496" s="265">
        <v>243001.75019025497</v>
      </c>
      <c r="BT496" s="475">
        <v>19913379.109815583</v>
      </c>
      <c r="BU496" s="475">
        <v>1479893.8901844183</v>
      </c>
      <c r="BV496" s="475">
        <v>0</v>
      </c>
      <c r="BW496" s="483">
        <f t="shared" si="292"/>
        <v>0</v>
      </c>
      <c r="BX496" s="483">
        <f t="shared" si="293"/>
        <v>0</v>
      </c>
    </row>
    <row r="497" spans="1:76" ht="29">
      <c r="A497" s="100"/>
      <c r="B497" s="91" t="str">
        <f t="shared" si="262"/>
        <v>TRA</v>
      </c>
      <c r="C497" s="92"/>
      <c r="D497" s="448"/>
      <c r="E497" s="450"/>
      <c r="F497" s="384" t="s">
        <v>2895</v>
      </c>
      <c r="G497" s="590" t="s">
        <v>5266</v>
      </c>
      <c r="H497" s="398">
        <v>0.17</v>
      </c>
      <c r="I497" s="95"/>
      <c r="J497" s="95" t="s">
        <v>1166</v>
      </c>
      <c r="K497" s="191">
        <v>3861657.4299999997</v>
      </c>
      <c r="L497" s="268">
        <v>0.40691567753823371</v>
      </c>
      <c r="M497" s="266">
        <v>1</v>
      </c>
      <c r="N497" s="267">
        <f t="shared" si="263"/>
        <v>0</v>
      </c>
      <c r="O497" s="96">
        <f t="shared" si="264"/>
        <v>3594524.708576669</v>
      </c>
      <c r="P497" s="96">
        <f t="shared" si="297"/>
        <v>267132.72142333072</v>
      </c>
      <c r="Q497" s="96">
        <f t="shared" si="265"/>
        <v>0</v>
      </c>
      <c r="R497" s="187" t="s">
        <v>2337</v>
      </c>
      <c r="S497" s="187" t="s">
        <v>3608</v>
      </c>
      <c r="T497" s="94" t="s">
        <v>2781</v>
      </c>
      <c r="U497" s="395">
        <f>COUNTIF(Aggregation_of_rev_to_allocate!$A$3:$A$137,$T497)</f>
        <v>1</v>
      </c>
      <c r="V497" s="100"/>
      <c r="W497" s="100">
        <v>922</v>
      </c>
      <c r="X497" s="109">
        <v>656481.76309999998</v>
      </c>
      <c r="Y497" s="109">
        <v>0</v>
      </c>
      <c r="Z497" s="110">
        <v>1</v>
      </c>
      <c r="AA497" s="110">
        <v>1</v>
      </c>
      <c r="AB497" s="110">
        <v>0</v>
      </c>
      <c r="AC497" s="109">
        <f>IF(ISERROR((X497*SUMIF('Rev_for_allocation(Hard)'!$A$3:$A$249,$T497,'Rev_for_allocation(Hard)'!$I$3:$I$249)/SUMIF(Historic_capex_list!$T$9:$T$586,$T497,Historic_capex_list!$X$9:$X$586))=TRUE),0,X497*SUMIF('Rev_for_allocation(Hard)'!$A$3:$A$249,$T497,'Rev_for_allocation(Hard)'!$I$3:$I$249)/SUMIF(Historic_capex_list!$T$9:$T$586,$T497,Historic_capex_list!$X$9:$X$586))</f>
        <v>-395473.74923080037</v>
      </c>
      <c r="AD497" s="109">
        <f t="shared" si="266"/>
        <v>261008.01386919961</v>
      </c>
      <c r="AE497" s="109">
        <f t="shared" si="299"/>
        <v>261008.01386919961</v>
      </c>
      <c r="AF497" s="109">
        <f t="shared" si="267"/>
        <v>261008.01386919961</v>
      </c>
      <c r="AG497" s="332" t="str">
        <f t="shared" si="268"/>
        <v>N</v>
      </c>
      <c r="AH497" s="332">
        <f t="shared" si="294"/>
        <v>0</v>
      </c>
      <c r="AI497" s="332">
        <f t="shared" si="295"/>
        <v>0</v>
      </c>
      <c r="AJ497" s="109">
        <f t="shared" si="296"/>
        <v>261008.01386919961</v>
      </c>
      <c r="AK497" s="109">
        <f t="shared" si="269"/>
        <v>0</v>
      </c>
      <c r="AL497" s="109">
        <v>0</v>
      </c>
      <c r="AM497" s="111">
        <f t="shared" si="270"/>
        <v>0</v>
      </c>
      <c r="AN497" s="111">
        <f t="shared" si="271"/>
        <v>0</v>
      </c>
      <c r="AO497" s="111">
        <f t="shared" si="272"/>
        <v>-5.151785700686812</v>
      </c>
      <c r="AP497" s="111">
        <f t="shared" si="273"/>
        <v>0</v>
      </c>
      <c r="AQ497" s="112">
        <f t="shared" si="274"/>
        <v>0</v>
      </c>
      <c r="AR497" s="112">
        <f t="shared" si="275"/>
        <v>1</v>
      </c>
      <c r="AS497" s="113">
        <f t="shared" si="276"/>
        <v>2028</v>
      </c>
      <c r="AT497" s="109">
        <v>267132.72142333072</v>
      </c>
      <c r="AU497" s="114">
        <v>1</v>
      </c>
      <c r="AV497" s="113">
        <v>2028</v>
      </c>
      <c r="AW497" s="112">
        <f t="shared" si="277"/>
        <v>0.40691567753823371</v>
      </c>
      <c r="AX497" s="109">
        <f t="shared" si="278"/>
        <v>267132.72142333072</v>
      </c>
      <c r="AY497" s="109">
        <f t="shared" si="279"/>
        <v>0</v>
      </c>
      <c r="AZ497" s="109">
        <f t="shared" si="280"/>
        <v>267132.72142333072</v>
      </c>
      <c r="BA497" s="111">
        <f t="shared" si="281"/>
        <v>0</v>
      </c>
      <c r="BB497" s="117"/>
      <c r="BC497" s="115" t="str">
        <f t="shared" si="282"/>
        <v>N</v>
      </c>
      <c r="BD497" s="115" t="str">
        <f t="shared" si="283"/>
        <v>Y</v>
      </c>
      <c r="BE497" s="115" t="str">
        <f t="shared" si="284"/>
        <v>N</v>
      </c>
      <c r="BF497" s="109" t="str">
        <f t="shared" si="285"/>
        <v/>
      </c>
      <c r="BG497" s="111" t="s">
        <v>2499</v>
      </c>
      <c r="BH497" s="115" t="s">
        <v>1168</v>
      </c>
      <c r="BI497" s="116"/>
      <c r="BJ497" s="222">
        <v>0.40691567753823371</v>
      </c>
      <c r="BK497" s="265">
        <f t="shared" si="286"/>
        <v>0</v>
      </c>
      <c r="BL497" s="265">
        <f t="shared" si="287"/>
        <v>0</v>
      </c>
      <c r="BM497" s="265">
        <f t="shared" si="288"/>
        <v>0</v>
      </c>
      <c r="BN497" s="265">
        <f t="shared" si="289"/>
        <v>389349.04167666927</v>
      </c>
      <c r="BO497" s="109"/>
      <c r="BP497" s="265">
        <f t="shared" si="290"/>
        <v>389349.04167666927</v>
      </c>
      <c r="BQ497" s="265">
        <v>389349.04167666927</v>
      </c>
      <c r="BR497" s="265" t="e">
        <f t="shared" si="291"/>
        <v>#REF!</v>
      </c>
      <c r="BS497" s="265">
        <v>43863.765685839746</v>
      </c>
      <c r="BT497" s="475">
        <v>3594524.708576669</v>
      </c>
      <c r="BU497" s="475">
        <v>267132.72142333072</v>
      </c>
      <c r="BV497" s="475">
        <v>0</v>
      </c>
      <c r="BW497" s="483">
        <f t="shared" si="292"/>
        <v>0</v>
      </c>
      <c r="BX497" s="483">
        <f t="shared" si="293"/>
        <v>0</v>
      </c>
    </row>
    <row r="498" spans="1:76" ht="43.5">
      <c r="A498" s="100" t="s">
        <v>2259</v>
      </c>
      <c r="B498" s="91" t="str">
        <f t="shared" ref="B498:B508" si="300">LEFT(T498,3)</f>
        <v>TRA</v>
      </c>
      <c r="C498" s="92" t="s">
        <v>461</v>
      </c>
      <c r="D498" s="448"/>
      <c r="E498" s="452"/>
      <c r="F498" s="467" t="s">
        <v>2543</v>
      </c>
      <c r="G498" s="384" t="s">
        <v>4711</v>
      </c>
      <c r="H498" s="470">
        <v>0.85</v>
      </c>
      <c r="I498" s="407" t="s">
        <v>956</v>
      </c>
      <c r="J498" s="95" t="s">
        <v>1166</v>
      </c>
      <c r="K498" s="469">
        <v>11013584</v>
      </c>
      <c r="L498" s="268">
        <v>0.11802591339725133</v>
      </c>
      <c r="M498" s="266">
        <v>1</v>
      </c>
      <c r="N498" s="267">
        <f t="shared" ref="N498:N506" si="301">100%-M498</f>
        <v>0</v>
      </c>
      <c r="O498" s="96">
        <f t="shared" ref="O498:O506" si="302">(K498*(100%-H498))+(K498*H498*(100%-L498))</f>
        <v>9908678.935329251</v>
      </c>
      <c r="P498" s="96">
        <f t="shared" si="297"/>
        <v>1104905.0646707499</v>
      </c>
      <c r="Q498" s="96">
        <f t="shared" ref="Q498:Q506" si="303">+K498*L498*N498*H498</f>
        <v>0</v>
      </c>
      <c r="R498" s="187" t="s">
        <v>2338</v>
      </c>
      <c r="S498" s="187" t="s">
        <v>3608</v>
      </c>
      <c r="T498" s="94" t="s">
        <v>2782</v>
      </c>
      <c r="U498" s="395">
        <f>COUNTIF(Aggregation_of_rev_to_allocate!$A$3:$A$137,$T498)</f>
        <v>1</v>
      </c>
      <c r="V498" s="100"/>
      <c r="W498" s="100">
        <v>546</v>
      </c>
      <c r="X498" s="109">
        <v>5018201.6481877659</v>
      </c>
      <c r="Y498" s="109">
        <v>0</v>
      </c>
      <c r="Z498" s="110">
        <v>0.45620014983525142</v>
      </c>
      <c r="AA498" s="110">
        <v>1</v>
      </c>
      <c r="AB498" s="110">
        <v>0</v>
      </c>
      <c r="AC498" s="109">
        <f>IF(ISERROR((X498*SUMIF('Rev_for_allocation(Hard)'!$A$3:$A$249,$T498,'Rev_for_allocation(Hard)'!$I$3:$I$249)/SUMIF(Historic_capex_list!$T$9:$T$586,$T498,Historic_capex_list!$X$9:$X$586))=TRUE),0,X498*SUMIF('Rev_for_allocation(Hard)'!$A$3:$A$249,$T498,'Rev_for_allocation(Hard)'!$I$3:$I$249)/SUMIF(Historic_capex_list!$T$9:$T$586,$T498,Historic_capex_list!$X$9:$X$586))</f>
        <v>-3719916.6008180012</v>
      </c>
      <c r="AD498" s="109">
        <f t="shared" ref="AD498:AD524" si="304">+AC498+X498</f>
        <v>1298285.0473697647</v>
      </c>
      <c r="AE498" s="109">
        <f t="shared" si="299"/>
        <v>1298285.0473697647</v>
      </c>
      <c r="AF498" s="109">
        <f t="shared" ref="AF498:AF506" si="305">+Y498+AD498</f>
        <v>1298285.0473697647</v>
      </c>
      <c r="AG498" s="332" t="str">
        <f t="shared" ref="AG498:AG506" si="306">IF(AF498&lt;0,"Y","N")</f>
        <v>N</v>
      </c>
      <c r="AH498" s="332">
        <f t="shared" si="294"/>
        <v>0</v>
      </c>
      <c r="AI498" s="332">
        <f t="shared" si="295"/>
        <v>0</v>
      </c>
      <c r="AJ498" s="109">
        <f t="shared" si="296"/>
        <v>1298285.0473697647</v>
      </c>
      <c r="AK498" s="109">
        <f t="shared" ref="AK498:AK506" si="307">IF(AJ498&lt;0,+AJ498,0)</f>
        <v>0</v>
      </c>
      <c r="AL498" s="109">
        <v>0</v>
      </c>
      <c r="AM498" s="111">
        <f t="shared" ref="AM498:AM506" si="308">AB498/(1-AB498)*10</f>
        <v>0</v>
      </c>
      <c r="AN498" s="111">
        <f t="shared" ref="AN498:AN506" si="309">IF(AM498=0,0,IF(AD498&lt;0,AM498-10,AM498-3))</f>
        <v>0</v>
      </c>
      <c r="AO498" s="111">
        <f t="shared" ref="AO498:AO506" si="310">IF(-AC498&gt;AE498,((AE498+Y498+AC498)/(AE498+Y498))*(AM498+10),"Use deduct 3yrs")</f>
        <v>-18.652541353336034</v>
      </c>
      <c r="AP498" s="111">
        <f t="shared" ref="AP498:AP524" si="311">IF(AO498&lt;=10,0,AN498)</f>
        <v>0</v>
      </c>
      <c r="AQ498" s="112">
        <f t="shared" ref="AQ498:AQ524" si="312">IF(AN498&lt;=0,0,(AP498/(AP498+10)))</f>
        <v>0</v>
      </c>
      <c r="AR498" s="112">
        <f t="shared" ref="AR498:AR506" si="313">IF(O498=0,1,1-AQ498)</f>
        <v>1</v>
      </c>
      <c r="AS498" s="113">
        <f t="shared" ref="AS498:AS524" si="314">ROUND(IF(+$AS$7+AP498&lt;+$AS$7,+$AS$7,+$AS$7+AP498),0)</f>
        <v>2028</v>
      </c>
      <c r="AT498" s="109">
        <v>1298285.0473697647</v>
      </c>
      <c r="AU498" s="114">
        <v>1</v>
      </c>
      <c r="AV498" s="113">
        <v>2028</v>
      </c>
      <c r="AW498" s="112">
        <f t="shared" ref="AW498:AW506" si="315">IF(ISERR($AT498/($K498*$H498)),0,($AT498/($K498*$H498)))</f>
        <v>0.13868275516636488</v>
      </c>
      <c r="AX498" s="109">
        <f t="shared" ref="AX498:AX524" si="316">$K498*$AW498*$AU498*$H498</f>
        <v>1298285.0473697647</v>
      </c>
      <c r="AY498" s="109">
        <f t="shared" ref="AY498:AY524" si="317">$K498*$AW498*(1-$AU498)*$H498</f>
        <v>0</v>
      </c>
      <c r="AZ498" s="109">
        <f t="shared" ref="AZ498:AZ524" si="318">IF(K498&lt;1,+AF498,+AY498+AX498)</f>
        <v>1298285.0473697647</v>
      </c>
      <c r="BA498" s="111">
        <f t="shared" ref="BA498:BA524" si="319">+AZ498-AT498</f>
        <v>0</v>
      </c>
      <c r="BB498" s="117"/>
      <c r="BC498" s="115" t="str">
        <f t="shared" ref="BC498:BC524" si="320">IF(P498&lt;=BC$7,"Y","N")</f>
        <v>N</v>
      </c>
      <c r="BD498" s="115" t="str">
        <f t="shared" ref="BD498:BD524" si="321">IF(Q498&lt;=BD$7,"Y","N")</f>
        <v>Y</v>
      </c>
      <c r="BE498" s="115" t="str">
        <f t="shared" ref="BE498:BE524" si="322">IF(AND(BC498="Y",Q498=0),"Y","N")</f>
        <v>N</v>
      </c>
      <c r="BF498" s="109" t="str">
        <f t="shared" ref="BF498:BF524" si="323">IF(BE498="Y",+P498,"")</f>
        <v/>
      </c>
      <c r="BG498" s="111" t="s">
        <v>2499</v>
      </c>
      <c r="BH498" s="115" t="s">
        <v>1168</v>
      </c>
      <c r="BI498" s="116"/>
      <c r="BJ498" s="222">
        <v>0.11802591339725133</v>
      </c>
      <c r="BK498" s="265">
        <f t="shared" ref="BK498:BK524" si="324">+AY498-Q498</f>
        <v>0</v>
      </c>
      <c r="BL498" s="265">
        <f t="shared" ref="BL498:BL506" si="325">+Q498-AY498</f>
        <v>0</v>
      </c>
      <c r="BM498" s="265">
        <f t="shared" ref="BM498:BM524" si="326">+K498-O498-P498-Q498</f>
        <v>-9.3132257461547852E-10</v>
      </c>
      <c r="BN498" s="265">
        <f t="shared" ref="BN498:BN524" si="327">+X498-P498</f>
        <v>3913296.5835170159</v>
      </c>
      <c r="BO498" s="109"/>
      <c r="BP498" s="265">
        <f t="shared" ref="BP498:BP506" si="328">+X498+Y498-AT498</f>
        <v>3719916.6008180012</v>
      </c>
      <c r="BQ498" s="265">
        <v>3719916.6008180012</v>
      </c>
      <c r="BR498" s="265" t="e">
        <f t="shared" ref="BR498:BR506" si="329">+BQ498*$BR$7</f>
        <v>#REF!</v>
      </c>
      <c r="BS498" s="265">
        <v>419082.9633135419</v>
      </c>
      <c r="BT498" s="475">
        <v>9701714.9526302349</v>
      </c>
      <c r="BU498" s="475">
        <v>1298285.0473697647</v>
      </c>
      <c r="BV498" s="475">
        <v>0</v>
      </c>
      <c r="BW498" s="483">
        <f t="shared" ref="BW498:BW506" si="330">P498-BU498</f>
        <v>-193379.98269901471</v>
      </c>
      <c r="BX498" s="483">
        <f t="shared" ref="BX498:BX506" si="331">Q498-BV498</f>
        <v>0</v>
      </c>
    </row>
    <row r="499" spans="1:76" ht="29">
      <c r="A499" s="100" t="s">
        <v>2259</v>
      </c>
      <c r="B499" s="91" t="str">
        <f t="shared" si="300"/>
        <v>TRA</v>
      </c>
      <c r="C499" s="92" t="s">
        <v>461</v>
      </c>
      <c r="D499" s="448"/>
      <c r="E499" s="450" t="s">
        <v>2203</v>
      </c>
      <c r="F499" s="468" t="s">
        <v>2526</v>
      </c>
      <c r="G499" s="620" t="s">
        <v>5324</v>
      </c>
      <c r="H499" s="486">
        <v>1</v>
      </c>
      <c r="I499" s="95" t="s">
        <v>951</v>
      </c>
      <c r="J499" s="95" t="s">
        <v>1166</v>
      </c>
      <c r="K499" s="191">
        <v>3511114</v>
      </c>
      <c r="L499" s="268">
        <v>0.37606106638661874</v>
      </c>
      <c r="M499" s="266">
        <v>1</v>
      </c>
      <c r="N499" s="267">
        <f t="shared" si="301"/>
        <v>0</v>
      </c>
      <c r="O499" s="96">
        <f t="shared" si="302"/>
        <v>2190720.7249550135</v>
      </c>
      <c r="P499" s="96">
        <f t="shared" si="297"/>
        <v>1320393.2750449865</v>
      </c>
      <c r="Q499" s="96">
        <f t="shared" si="303"/>
        <v>0</v>
      </c>
      <c r="R499" s="187" t="s">
        <v>2337</v>
      </c>
      <c r="S499" s="187" t="s">
        <v>3608</v>
      </c>
      <c r="T499" s="94" t="s">
        <v>2781</v>
      </c>
      <c r="U499" s="395">
        <f>COUNTIF(Aggregation_of_rev_to_allocate!$A$3:$A$137,$T499)</f>
        <v>1</v>
      </c>
      <c r="V499" s="100"/>
      <c r="W499" s="100">
        <v>565</v>
      </c>
      <c r="X499" s="109">
        <v>1479216.8416953036</v>
      </c>
      <c r="Y499" s="109">
        <v>718476.75168057578</v>
      </c>
      <c r="Z499" s="110">
        <v>0.62592487551696674</v>
      </c>
      <c r="AA499" s="110">
        <v>0.67307692307692313</v>
      </c>
      <c r="AB499" s="110">
        <v>0.32692307692307687</v>
      </c>
      <c r="AC499" s="109">
        <f>IF(ISERROR((X499*SUMIF('Rev_for_allocation(Hard)'!$A$3:$A$249,$T499,'Rev_for_allocation(Hard)'!$I$3:$I$249)/SUMIF(Historic_capex_list!$T$9:$T$586,$T499,Historic_capex_list!$X$9:$X$586))=TRUE),0,X499*SUMIF('Rev_for_allocation(Hard)'!$A$3:$A$249,$T499,'Rev_for_allocation(Hard)'!$I$3:$I$249)/SUMIF(Historic_capex_list!$T$9:$T$586,$T499,Historic_capex_list!$X$9:$X$586))</f>
        <v>-891100.80918039894</v>
      </c>
      <c r="AD499" s="109">
        <f t="shared" si="304"/>
        <v>588116.03251490463</v>
      </c>
      <c r="AE499" s="109">
        <f t="shared" si="299"/>
        <v>588116.03251490463</v>
      </c>
      <c r="AF499" s="109">
        <f t="shared" si="305"/>
        <v>1306592.7841954804</v>
      </c>
      <c r="AG499" s="332" t="str">
        <f t="shared" si="306"/>
        <v>N</v>
      </c>
      <c r="AH499" s="332">
        <f t="shared" si="294"/>
        <v>0</v>
      </c>
      <c r="AI499" s="332">
        <f t="shared" si="295"/>
        <v>0</v>
      </c>
      <c r="AJ499" s="109">
        <f t="shared" si="296"/>
        <v>1306592.7841954804</v>
      </c>
      <c r="AK499" s="109">
        <f t="shared" si="307"/>
        <v>0</v>
      </c>
      <c r="AL499" s="109">
        <v>0</v>
      </c>
      <c r="AM499" s="111">
        <f t="shared" si="308"/>
        <v>4.8571428571428559</v>
      </c>
      <c r="AN499" s="111">
        <f t="shared" si="309"/>
        <v>1.8571428571428559</v>
      </c>
      <c r="AO499" s="111">
        <f t="shared" si="310"/>
        <v>4.7245199142871925</v>
      </c>
      <c r="AP499" s="111">
        <f t="shared" si="311"/>
        <v>0</v>
      </c>
      <c r="AQ499" s="112">
        <f t="shared" si="312"/>
        <v>0</v>
      </c>
      <c r="AR499" s="112">
        <f t="shared" si="313"/>
        <v>1</v>
      </c>
      <c r="AS499" s="113">
        <f t="shared" si="314"/>
        <v>2028</v>
      </c>
      <c r="AT499" s="109">
        <v>1320393.2750449865</v>
      </c>
      <c r="AU499" s="114">
        <v>1</v>
      </c>
      <c r="AV499" s="113">
        <v>2028</v>
      </c>
      <c r="AW499" s="112">
        <f t="shared" si="315"/>
        <v>0.37606106638661874</v>
      </c>
      <c r="AX499" s="109">
        <f t="shared" si="316"/>
        <v>1320393.2750449865</v>
      </c>
      <c r="AY499" s="109">
        <f t="shared" si="317"/>
        <v>0</v>
      </c>
      <c r="AZ499" s="109">
        <f t="shared" si="318"/>
        <v>1320393.2750449865</v>
      </c>
      <c r="BA499" s="111">
        <f t="shared" si="319"/>
        <v>0</v>
      </c>
      <c r="BB499" s="117"/>
      <c r="BC499" s="115" t="str">
        <f t="shared" si="320"/>
        <v>N</v>
      </c>
      <c r="BD499" s="115" t="str">
        <f t="shared" si="321"/>
        <v>Y</v>
      </c>
      <c r="BE499" s="115" t="str">
        <f t="shared" si="322"/>
        <v>N</v>
      </c>
      <c r="BF499" s="109" t="str">
        <f t="shared" si="323"/>
        <v/>
      </c>
      <c r="BG499" s="111" t="s">
        <v>2499</v>
      </c>
      <c r="BH499" s="115" t="s">
        <v>1168</v>
      </c>
      <c r="BI499" s="116"/>
      <c r="BJ499" s="222">
        <v>0.37606106638661874</v>
      </c>
      <c r="BK499" s="265">
        <f t="shared" si="324"/>
        <v>0</v>
      </c>
      <c r="BL499" s="265">
        <f t="shared" si="325"/>
        <v>0</v>
      </c>
      <c r="BM499" s="265">
        <f t="shared" si="326"/>
        <v>0</v>
      </c>
      <c r="BN499" s="265">
        <f t="shared" si="327"/>
        <v>158823.56665031705</v>
      </c>
      <c r="BO499" s="109"/>
      <c r="BP499" s="265">
        <f t="shared" si="328"/>
        <v>877300.31833089283</v>
      </c>
      <c r="BQ499" s="265">
        <v>877300.31833089283</v>
      </c>
      <c r="BR499" s="265" t="e">
        <f t="shared" si="329"/>
        <v>#REF!</v>
      </c>
      <c r="BS499" s="265">
        <v>98835.98386081458</v>
      </c>
      <c r="BT499" s="475">
        <v>2190720.7249550135</v>
      </c>
      <c r="BU499" s="475">
        <v>1320393.2750449865</v>
      </c>
      <c r="BV499" s="475">
        <v>0</v>
      </c>
      <c r="BW499" s="483">
        <f t="shared" si="330"/>
        <v>0</v>
      </c>
      <c r="BX499" s="483">
        <f t="shared" si="331"/>
        <v>0</v>
      </c>
    </row>
    <row r="500" spans="1:76" ht="29">
      <c r="A500" s="100" t="s">
        <v>2259</v>
      </c>
      <c r="B500" s="91" t="str">
        <f t="shared" si="300"/>
        <v>TRA</v>
      </c>
      <c r="C500" s="92" t="s">
        <v>461</v>
      </c>
      <c r="D500" s="448"/>
      <c r="E500" s="452">
        <v>41232</v>
      </c>
      <c r="F500" s="467" t="s">
        <v>4944</v>
      </c>
      <c r="G500" s="620" t="s">
        <v>5319</v>
      </c>
      <c r="H500" s="470">
        <v>0.42</v>
      </c>
      <c r="I500" s="95" t="s">
        <v>952</v>
      </c>
      <c r="J500" s="95" t="s">
        <v>1166</v>
      </c>
      <c r="K500" s="469">
        <v>600000</v>
      </c>
      <c r="L500" s="268">
        <v>0.38968845270241792</v>
      </c>
      <c r="M500" s="266">
        <v>0.91331269349845201</v>
      </c>
      <c r="N500" s="267">
        <f t="shared" si="301"/>
        <v>8.6687306501547989E-2</v>
      </c>
      <c r="O500" s="96">
        <f t="shared" si="302"/>
        <v>501798.50991899078</v>
      </c>
      <c r="P500" s="96">
        <f t="shared" si="297"/>
        <v>89688.667411448128</v>
      </c>
      <c r="Q500" s="96">
        <f t="shared" si="303"/>
        <v>8512.8226695611775</v>
      </c>
      <c r="R500" s="187" t="s">
        <v>2335</v>
      </c>
      <c r="S500" s="187" t="s">
        <v>3608</v>
      </c>
      <c r="T500" s="94" t="s">
        <v>2779</v>
      </c>
      <c r="U500" s="395">
        <f>COUNTIF(Aggregation_of_rev_to_allocate!$A$3:$A$137,$T500)</f>
        <v>1</v>
      </c>
      <c r="V500" s="100"/>
      <c r="W500" s="100">
        <v>541</v>
      </c>
      <c r="X500" s="109">
        <v>83431.971709520149</v>
      </c>
      <c r="Y500" s="109">
        <v>32948.558319183379</v>
      </c>
      <c r="Z500" s="110">
        <v>0.46182750011390294</v>
      </c>
      <c r="AA500" s="110">
        <v>0.71688942891859053</v>
      </c>
      <c r="AB500" s="110">
        <v>0.28311057108140947</v>
      </c>
      <c r="AC500" s="109">
        <f>IF(ISERROR((X500*SUMIF('Rev_for_allocation(Hard)'!$A$3:$A$249,$T500,'Rev_for_allocation(Hard)'!$I$3:$I$249)/SUMIF(Historic_capex_list!$T$9:$T$586,$T500,Historic_capex_list!$X$9:$X$586))=TRUE),0,X500*SUMIF('Rev_for_allocation(Hard)'!$A$3:$A$249,$T500,'Rev_for_allocation(Hard)'!$I$3:$I$249)/SUMIF(Historic_capex_list!$T$9:$T$586,$T500,Historic_capex_list!$X$9:$X$586))</f>
        <v>-18179.039947694208</v>
      </c>
      <c r="AD500" s="109">
        <f t="shared" si="304"/>
        <v>65252.931761825937</v>
      </c>
      <c r="AE500" s="109">
        <f t="shared" si="299"/>
        <v>65252.931761825937</v>
      </c>
      <c r="AF500" s="109">
        <f t="shared" si="305"/>
        <v>98201.49008100931</v>
      </c>
      <c r="AG500" s="332" t="str">
        <f t="shared" si="306"/>
        <v>N</v>
      </c>
      <c r="AH500" s="332">
        <f t="shared" si="294"/>
        <v>0</v>
      </c>
      <c r="AI500" s="332">
        <f t="shared" si="295"/>
        <v>0</v>
      </c>
      <c r="AJ500" s="109">
        <f t="shared" si="296"/>
        <v>98201.49008100931</v>
      </c>
      <c r="AK500" s="109">
        <f t="shared" si="307"/>
        <v>0</v>
      </c>
      <c r="AL500" s="109">
        <v>0</v>
      </c>
      <c r="AM500" s="111">
        <f t="shared" si="308"/>
        <v>3.9491525423728815</v>
      </c>
      <c r="AN500" s="111">
        <f t="shared" si="309"/>
        <v>0.94915254237288149</v>
      </c>
      <c r="AO500" s="111" t="str">
        <f t="shared" si="310"/>
        <v>Use deduct 3yrs</v>
      </c>
      <c r="AP500" s="111">
        <f t="shared" si="311"/>
        <v>0.94915254237288149</v>
      </c>
      <c r="AQ500" s="112">
        <f t="shared" si="312"/>
        <v>8.6687306501547989E-2</v>
      </c>
      <c r="AR500" s="112">
        <f t="shared" si="313"/>
        <v>0.91331269349845201</v>
      </c>
      <c r="AS500" s="113">
        <f t="shared" si="314"/>
        <v>2029</v>
      </c>
      <c r="AT500" s="109">
        <v>98201.49008100931</v>
      </c>
      <c r="AU500" s="114">
        <v>0.91331269349845201</v>
      </c>
      <c r="AV500" s="113">
        <v>2029</v>
      </c>
      <c r="AW500" s="112">
        <f t="shared" si="315"/>
        <v>0.38968845270241792</v>
      </c>
      <c r="AX500" s="109">
        <f t="shared" si="316"/>
        <v>89688.667411448128</v>
      </c>
      <c r="AY500" s="109">
        <f t="shared" si="317"/>
        <v>8512.8226695611775</v>
      </c>
      <c r="AZ500" s="109">
        <f t="shared" si="318"/>
        <v>98201.49008100931</v>
      </c>
      <c r="BA500" s="111">
        <f t="shared" si="319"/>
        <v>0</v>
      </c>
      <c r="BB500" s="117"/>
      <c r="BC500" s="115" t="str">
        <f t="shared" si="320"/>
        <v>N</v>
      </c>
      <c r="BD500" s="115" t="str">
        <f t="shared" si="321"/>
        <v>Y</v>
      </c>
      <c r="BE500" s="115" t="str">
        <f t="shared" si="322"/>
        <v>N</v>
      </c>
      <c r="BF500" s="109" t="str">
        <f t="shared" si="323"/>
        <v/>
      </c>
      <c r="BG500" s="111" t="s">
        <v>2499</v>
      </c>
      <c r="BH500" s="115" t="s">
        <v>1168</v>
      </c>
      <c r="BI500" s="116"/>
      <c r="BJ500" s="222">
        <v>0.38968845270241792</v>
      </c>
      <c r="BK500" s="265">
        <f t="shared" si="324"/>
        <v>0</v>
      </c>
      <c r="BL500" s="265">
        <f t="shared" si="325"/>
        <v>0</v>
      </c>
      <c r="BM500" s="265">
        <f t="shared" si="326"/>
        <v>-8.3673512563109398E-11</v>
      </c>
      <c r="BN500" s="265">
        <f t="shared" si="327"/>
        <v>-6256.6957019279798</v>
      </c>
      <c r="BO500" s="109"/>
      <c r="BP500" s="265">
        <f t="shared" si="328"/>
        <v>18179.039947694226</v>
      </c>
      <c r="BQ500" s="265">
        <v>18179.039947694226</v>
      </c>
      <c r="BR500" s="265" t="e">
        <f t="shared" si="329"/>
        <v>#REF!</v>
      </c>
      <c r="BS500" s="265">
        <v>2048.0367570067715</v>
      </c>
      <c r="BT500" s="475">
        <v>153798.50991899069</v>
      </c>
      <c r="BU500" s="475">
        <v>89688.667411448128</v>
      </c>
      <c r="BV500" s="475">
        <v>8512.8226695611793</v>
      </c>
      <c r="BW500" s="483">
        <f t="shared" si="330"/>
        <v>0</v>
      </c>
      <c r="BX500" s="483">
        <f t="shared" si="331"/>
        <v>0</v>
      </c>
    </row>
    <row r="501" spans="1:76" ht="14.5">
      <c r="A501" s="100"/>
      <c r="B501" s="91" t="str">
        <f t="shared" si="300"/>
        <v>TRA</v>
      </c>
      <c r="C501" s="92"/>
      <c r="D501" s="448"/>
      <c r="E501" s="449"/>
      <c r="F501" s="384" t="s">
        <v>3617</v>
      </c>
      <c r="G501" s="384" t="s">
        <v>4449</v>
      </c>
      <c r="H501" s="398">
        <v>0.18</v>
      </c>
      <c r="I501" s="95"/>
      <c r="J501" s="95" t="s">
        <v>1166</v>
      </c>
      <c r="K501" s="191">
        <v>923238.29709999997</v>
      </c>
      <c r="L501" s="268">
        <v>0.89105471454643903</v>
      </c>
      <c r="M501" s="266">
        <v>0.58823529411764708</v>
      </c>
      <c r="N501" s="267">
        <f t="shared" si="301"/>
        <v>0.41176470588235292</v>
      </c>
      <c r="O501" s="96">
        <f t="shared" si="302"/>
        <v>775160.24638945947</v>
      </c>
      <c r="P501" s="96">
        <f t="shared" si="297"/>
        <v>87104.735712082678</v>
      </c>
      <c r="Q501" s="96">
        <f t="shared" si="303"/>
        <v>60973.31499845787</v>
      </c>
      <c r="R501" s="187"/>
      <c r="S501" s="187" t="s">
        <v>3608</v>
      </c>
      <c r="T501" s="94" t="s">
        <v>2779</v>
      </c>
      <c r="U501" s="395"/>
      <c r="V501" s="100"/>
      <c r="W501" s="100"/>
      <c r="X501" s="109">
        <v>83091.446738999992</v>
      </c>
      <c r="Y501" s="109">
        <v>83091.446738999992</v>
      </c>
      <c r="Z501" s="110">
        <v>1</v>
      </c>
      <c r="AA501" s="110">
        <v>0.5</v>
      </c>
      <c r="AB501" s="110">
        <v>0.5</v>
      </c>
      <c r="AC501" s="109">
        <f>IF(ISERROR((X501*SUMIF('Rev_for_allocation(Hard)'!$A$3:$A$249,$T501,'Rev_for_allocation(Hard)'!$I$3:$I$249)/SUMIF(Historic_capex_list!$T$9:$T$586,$T501,Historic_capex_list!$X$9:$X$586))=TRUE),0,X501*SUMIF('Rev_for_allocation(Hard)'!$A$3:$A$249,$T501,'Rev_for_allocation(Hard)'!$I$3:$I$249)/SUMIF(Historic_capex_list!$T$9:$T$586,$T501,Historic_capex_list!$X$9:$X$586))</f>
        <v>-18104.842767459442</v>
      </c>
      <c r="AD501" s="109">
        <f t="shared" si="304"/>
        <v>64986.60397154055</v>
      </c>
      <c r="AE501" s="109">
        <f t="shared" si="299"/>
        <v>64986.60397154055</v>
      </c>
      <c r="AF501" s="109">
        <f t="shared" si="305"/>
        <v>148078.05071054056</v>
      </c>
      <c r="AG501" s="332" t="str">
        <f t="shared" si="306"/>
        <v>N</v>
      </c>
      <c r="AH501" s="332">
        <f t="shared" si="294"/>
        <v>0</v>
      </c>
      <c r="AI501" s="332">
        <f t="shared" si="295"/>
        <v>0</v>
      </c>
      <c r="AJ501" s="109">
        <f t="shared" si="296"/>
        <v>148078.05071054056</v>
      </c>
      <c r="AK501" s="109">
        <f t="shared" si="307"/>
        <v>0</v>
      </c>
      <c r="AL501" s="109">
        <v>0</v>
      </c>
      <c r="AM501" s="111">
        <f t="shared" si="308"/>
        <v>10</v>
      </c>
      <c r="AN501" s="111">
        <f t="shared" si="309"/>
        <v>7</v>
      </c>
      <c r="AO501" s="111" t="str">
        <f t="shared" si="310"/>
        <v>Use deduct 3yrs</v>
      </c>
      <c r="AP501" s="111">
        <f t="shared" si="311"/>
        <v>7</v>
      </c>
      <c r="AQ501" s="112">
        <f t="shared" si="312"/>
        <v>0.41176470588235292</v>
      </c>
      <c r="AR501" s="112">
        <f t="shared" si="313"/>
        <v>0.58823529411764708</v>
      </c>
      <c r="AS501" s="113">
        <f t="shared" si="314"/>
        <v>2035</v>
      </c>
      <c r="AT501" s="109">
        <v>148078.05071054056</v>
      </c>
      <c r="AU501" s="114">
        <v>0.58823529411764708</v>
      </c>
      <c r="AV501" s="113">
        <v>2035</v>
      </c>
      <c r="AW501" s="112">
        <f t="shared" si="315"/>
        <v>0.89105471454643903</v>
      </c>
      <c r="AX501" s="109">
        <f t="shared" si="316"/>
        <v>87104.735712082678</v>
      </c>
      <c r="AY501" s="109">
        <f t="shared" si="317"/>
        <v>60973.31499845787</v>
      </c>
      <c r="AZ501" s="109">
        <f t="shared" si="318"/>
        <v>148078.05071054056</v>
      </c>
      <c r="BA501" s="111">
        <f t="shared" si="319"/>
        <v>0</v>
      </c>
      <c r="BB501" s="117"/>
      <c r="BC501" s="115" t="str">
        <f t="shared" si="320"/>
        <v>N</v>
      </c>
      <c r="BD501" s="115" t="str">
        <f t="shared" si="321"/>
        <v>N</v>
      </c>
      <c r="BE501" s="115" t="str">
        <f t="shared" si="322"/>
        <v>N</v>
      </c>
      <c r="BF501" s="109" t="str">
        <f t="shared" si="323"/>
        <v/>
      </c>
      <c r="BG501" s="111" t="s">
        <v>2499</v>
      </c>
      <c r="BH501" s="115" t="s">
        <v>1168</v>
      </c>
      <c r="BI501" s="116"/>
      <c r="BJ501" s="222">
        <v>0.89105471454643903</v>
      </c>
      <c r="BK501" s="265">
        <f t="shared" si="324"/>
        <v>0</v>
      </c>
      <c r="BL501" s="265">
        <f t="shared" si="325"/>
        <v>0</v>
      </c>
      <c r="BM501" s="265">
        <f t="shared" si="326"/>
        <v>0</v>
      </c>
      <c r="BN501" s="265">
        <f t="shared" si="327"/>
        <v>-4013.2889730826864</v>
      </c>
      <c r="BO501" s="109"/>
      <c r="BP501" s="265">
        <f t="shared" si="328"/>
        <v>18104.842767459428</v>
      </c>
      <c r="BQ501" s="265">
        <v>18104.842767459428</v>
      </c>
      <c r="BR501" s="265" t="e">
        <f t="shared" si="329"/>
        <v>#REF!</v>
      </c>
      <c r="BS501" s="265">
        <v>2039.6777593465899</v>
      </c>
      <c r="BT501" s="475">
        <v>775160.24638945947</v>
      </c>
      <c r="BU501" s="475">
        <v>87104.735712082678</v>
      </c>
      <c r="BV501" s="475">
        <v>60973.31499845787</v>
      </c>
      <c r="BW501" s="483">
        <f t="shared" si="330"/>
        <v>0</v>
      </c>
      <c r="BX501" s="483">
        <f t="shared" si="331"/>
        <v>0</v>
      </c>
    </row>
    <row r="502" spans="1:76" ht="29">
      <c r="A502" s="100"/>
      <c r="B502" s="91" t="str">
        <f t="shared" si="300"/>
        <v>TRA</v>
      </c>
      <c r="C502" s="92"/>
      <c r="D502" s="448"/>
      <c r="E502" s="449"/>
      <c r="F502" s="384" t="s">
        <v>2480</v>
      </c>
      <c r="G502" s="588" t="s">
        <v>5267</v>
      </c>
      <c r="H502" s="398">
        <v>0.3</v>
      </c>
      <c r="I502" s="95"/>
      <c r="J502" s="95" t="s">
        <v>1166</v>
      </c>
      <c r="K502" s="191">
        <v>4615300</v>
      </c>
      <c r="L502" s="268">
        <v>0.83004535469244467</v>
      </c>
      <c r="M502" s="266">
        <v>1</v>
      </c>
      <c r="N502" s="267">
        <f t="shared" si="301"/>
        <v>0</v>
      </c>
      <c r="O502" s="96">
        <f t="shared" si="302"/>
        <v>3466027.5023463881</v>
      </c>
      <c r="P502" s="96">
        <f t="shared" si="297"/>
        <v>1149272.4976536119</v>
      </c>
      <c r="Q502" s="96">
        <f t="shared" si="303"/>
        <v>0</v>
      </c>
      <c r="R502" s="187" t="s">
        <v>2335</v>
      </c>
      <c r="S502" s="187" t="s">
        <v>3608</v>
      </c>
      <c r="T502" s="94" t="s">
        <v>2779</v>
      </c>
      <c r="U502" s="395">
        <f>COUNTIF(Aggregation_of_rev_to_allocate!$A$3:$A$137,$T502)</f>
        <v>1</v>
      </c>
      <c r="V502" s="100"/>
      <c r="W502" s="100">
        <v>973</v>
      </c>
      <c r="X502" s="109">
        <v>1079980.2</v>
      </c>
      <c r="Y502" s="109">
        <v>304609.79999999993</v>
      </c>
      <c r="Z502" s="110">
        <v>1</v>
      </c>
      <c r="AA502" s="110">
        <v>0.78</v>
      </c>
      <c r="AB502" s="110">
        <v>0.21999999999999997</v>
      </c>
      <c r="AC502" s="109">
        <f>IF(ISERROR((X502*SUMIF('Rev_for_allocation(Hard)'!$A$3:$A$249,$T502,'Rev_for_allocation(Hard)'!$I$3:$I$249)/SUMIF(Historic_capex_list!$T$9:$T$586,$T502,Historic_capex_list!$X$9:$X$586))=TRUE),0,X502*SUMIF('Rev_for_allocation(Hard)'!$A$3:$A$249,$T502,'Rev_for_allocation(Hard)'!$I$3:$I$249)/SUMIF(Historic_capex_list!$T$9:$T$586,$T502,Historic_capex_list!$X$9:$X$586))</f>
        <v>-235317.50234638798</v>
      </c>
      <c r="AD502" s="109">
        <f t="shared" si="304"/>
        <v>844662.69765361201</v>
      </c>
      <c r="AE502" s="109">
        <f t="shared" si="299"/>
        <v>844662.69765361201</v>
      </c>
      <c r="AF502" s="109">
        <f t="shared" si="305"/>
        <v>1149272.4976536119</v>
      </c>
      <c r="AG502" s="332" t="str">
        <f t="shared" si="306"/>
        <v>N</v>
      </c>
      <c r="AH502" s="332">
        <f t="shared" si="294"/>
        <v>0</v>
      </c>
      <c r="AI502" s="332">
        <f t="shared" si="295"/>
        <v>0</v>
      </c>
      <c r="AJ502" s="109">
        <f t="shared" si="296"/>
        <v>1149272.4976536119</v>
      </c>
      <c r="AK502" s="109">
        <f t="shared" si="307"/>
        <v>0</v>
      </c>
      <c r="AL502" s="109">
        <v>0</v>
      </c>
      <c r="AM502" s="111">
        <f t="shared" si="308"/>
        <v>2.8205128205128198</v>
      </c>
      <c r="AN502" s="111">
        <f t="shared" si="309"/>
        <v>-0.17948717948718018</v>
      </c>
      <c r="AO502" s="111" t="str">
        <f t="shared" si="310"/>
        <v>Use deduct 3yrs</v>
      </c>
      <c r="AP502" s="111">
        <f t="shared" si="311"/>
        <v>-0.17948717948718018</v>
      </c>
      <c r="AQ502" s="112">
        <f t="shared" si="312"/>
        <v>0</v>
      </c>
      <c r="AR502" s="112">
        <f t="shared" si="313"/>
        <v>1</v>
      </c>
      <c r="AS502" s="113">
        <f t="shared" si="314"/>
        <v>2028</v>
      </c>
      <c r="AT502" s="109">
        <v>1149272.4976536119</v>
      </c>
      <c r="AU502" s="114">
        <v>1</v>
      </c>
      <c r="AV502" s="113">
        <v>2028</v>
      </c>
      <c r="AW502" s="112">
        <f t="shared" si="315"/>
        <v>0.83004535469244467</v>
      </c>
      <c r="AX502" s="109">
        <f t="shared" si="316"/>
        <v>1149272.4976536119</v>
      </c>
      <c r="AY502" s="109">
        <f t="shared" si="317"/>
        <v>0</v>
      </c>
      <c r="AZ502" s="109">
        <f t="shared" si="318"/>
        <v>1149272.4976536119</v>
      </c>
      <c r="BA502" s="111">
        <f t="shared" si="319"/>
        <v>0</v>
      </c>
      <c r="BB502" s="117"/>
      <c r="BC502" s="115" t="str">
        <f t="shared" si="320"/>
        <v>N</v>
      </c>
      <c r="BD502" s="115" t="str">
        <f t="shared" si="321"/>
        <v>Y</v>
      </c>
      <c r="BE502" s="115" t="str">
        <f t="shared" si="322"/>
        <v>N</v>
      </c>
      <c r="BF502" s="109" t="str">
        <f t="shared" si="323"/>
        <v/>
      </c>
      <c r="BG502" s="111" t="s">
        <v>2499</v>
      </c>
      <c r="BH502" s="115" t="s">
        <v>1168</v>
      </c>
      <c r="BI502" s="116"/>
      <c r="BJ502" s="222">
        <v>0.83004535469244467</v>
      </c>
      <c r="BK502" s="265">
        <f t="shared" si="324"/>
        <v>0</v>
      </c>
      <c r="BL502" s="265">
        <f t="shared" si="325"/>
        <v>0</v>
      </c>
      <c r="BM502" s="265">
        <f t="shared" si="326"/>
        <v>0</v>
      </c>
      <c r="BN502" s="265">
        <f t="shared" si="327"/>
        <v>-69292.297653611982</v>
      </c>
      <c r="BO502" s="109"/>
      <c r="BP502" s="265">
        <f t="shared" si="328"/>
        <v>235317.50234638806</v>
      </c>
      <c r="BQ502" s="265">
        <v>235317.50234638806</v>
      </c>
      <c r="BR502" s="265" t="e">
        <f t="shared" si="329"/>
        <v>#REF!</v>
      </c>
      <c r="BS502" s="207">
        <v>26510.690100197375</v>
      </c>
      <c r="BT502" s="475">
        <v>3466027.5023463881</v>
      </c>
      <c r="BU502" s="475">
        <v>1149272.4976536119</v>
      </c>
      <c r="BV502" s="475">
        <v>0</v>
      </c>
      <c r="BW502" s="483">
        <f t="shared" si="330"/>
        <v>0</v>
      </c>
      <c r="BX502" s="483">
        <f t="shared" si="331"/>
        <v>0</v>
      </c>
    </row>
    <row r="503" spans="1:76" ht="29">
      <c r="A503" s="100"/>
      <c r="B503" s="91" t="str">
        <f t="shared" si="300"/>
        <v>TRA</v>
      </c>
      <c r="C503" s="92"/>
      <c r="D503" s="448"/>
      <c r="E503" s="449"/>
      <c r="F503" s="384" t="s">
        <v>2480</v>
      </c>
      <c r="G503" s="588" t="s">
        <v>5267</v>
      </c>
      <c r="H503" s="398">
        <v>0.3</v>
      </c>
      <c r="I503" s="95"/>
      <c r="J503" s="95" t="s">
        <v>1166</v>
      </c>
      <c r="K503" s="191">
        <v>157776.73000000001</v>
      </c>
      <c r="L503" s="268">
        <v>0.83004535469244467</v>
      </c>
      <c r="M503" s="266">
        <v>1</v>
      </c>
      <c r="N503" s="267">
        <f t="shared" si="301"/>
        <v>0</v>
      </c>
      <c r="O503" s="96">
        <f t="shared" si="302"/>
        <v>118488.17745548078</v>
      </c>
      <c r="P503" s="96">
        <f t="shared" si="297"/>
        <v>39288.552544519225</v>
      </c>
      <c r="Q503" s="96">
        <f t="shared" si="303"/>
        <v>0</v>
      </c>
      <c r="R503" s="187" t="s">
        <v>2335</v>
      </c>
      <c r="S503" s="187" t="s">
        <v>3608</v>
      </c>
      <c r="T503" s="94" t="s">
        <v>2779</v>
      </c>
      <c r="U503" s="395">
        <f>COUNTIF(Aggregation_of_rev_to_allocate!$A$3:$A$137,$T503)</f>
        <v>1</v>
      </c>
      <c r="V503" s="100"/>
      <c r="W503" s="100">
        <v>973</v>
      </c>
      <c r="X503" s="109">
        <v>36919.754820000002</v>
      </c>
      <c r="Y503" s="109">
        <v>10413.264179999998</v>
      </c>
      <c r="Z503" s="110">
        <v>1</v>
      </c>
      <c r="AA503" s="110">
        <v>0.78</v>
      </c>
      <c r="AB503" s="110">
        <v>0.21999999999999997</v>
      </c>
      <c r="AC503" s="109">
        <f>IF(ISERROR((X503*SUMIF('Rev_for_allocation(Hard)'!$A$3:$A$249,$T503,'Rev_for_allocation(Hard)'!$I$3:$I$249)/SUMIF(Historic_capex_list!$T$9:$T$586,$T503,Historic_capex_list!$X$9:$X$586))=TRUE),0,X503*SUMIF('Rev_for_allocation(Hard)'!$A$3:$A$249,$T503,'Rev_for_allocation(Hard)'!$I$3:$I$249)/SUMIF(Historic_capex_list!$T$9:$T$586,$T503,Historic_capex_list!$X$9:$X$586))</f>
        <v>-8044.4664554807759</v>
      </c>
      <c r="AD503" s="109">
        <f t="shared" si="304"/>
        <v>28875.288364519227</v>
      </c>
      <c r="AE503" s="109">
        <f t="shared" si="299"/>
        <v>28875.288364519227</v>
      </c>
      <c r="AF503" s="109">
        <f t="shared" si="305"/>
        <v>39288.552544519225</v>
      </c>
      <c r="AG503" s="332" t="str">
        <f t="shared" si="306"/>
        <v>N</v>
      </c>
      <c r="AH503" s="332">
        <f t="shared" si="294"/>
        <v>0</v>
      </c>
      <c r="AI503" s="332">
        <f t="shared" si="295"/>
        <v>0</v>
      </c>
      <c r="AJ503" s="109">
        <f t="shared" si="296"/>
        <v>39288.552544519225</v>
      </c>
      <c r="AK503" s="109">
        <f t="shared" si="307"/>
        <v>0</v>
      </c>
      <c r="AL503" s="109">
        <v>0</v>
      </c>
      <c r="AM503" s="111">
        <f t="shared" si="308"/>
        <v>2.8205128205128198</v>
      </c>
      <c r="AN503" s="111">
        <f t="shared" si="309"/>
        <v>-0.17948717948718018</v>
      </c>
      <c r="AO503" s="111" t="str">
        <f t="shared" si="310"/>
        <v>Use deduct 3yrs</v>
      </c>
      <c r="AP503" s="111">
        <f t="shared" si="311"/>
        <v>-0.17948717948718018</v>
      </c>
      <c r="AQ503" s="112">
        <f t="shared" si="312"/>
        <v>0</v>
      </c>
      <c r="AR503" s="112">
        <f t="shared" si="313"/>
        <v>1</v>
      </c>
      <c r="AS503" s="113">
        <f t="shared" si="314"/>
        <v>2028</v>
      </c>
      <c r="AT503" s="109">
        <v>39288.552544519225</v>
      </c>
      <c r="AU503" s="114">
        <v>1</v>
      </c>
      <c r="AV503" s="113">
        <v>2028</v>
      </c>
      <c r="AW503" s="112">
        <f t="shared" si="315"/>
        <v>0.83004535469244467</v>
      </c>
      <c r="AX503" s="109">
        <f t="shared" si="316"/>
        <v>39288.552544519225</v>
      </c>
      <c r="AY503" s="109">
        <f t="shared" si="317"/>
        <v>0</v>
      </c>
      <c r="AZ503" s="109">
        <f t="shared" si="318"/>
        <v>39288.552544519225</v>
      </c>
      <c r="BA503" s="111">
        <f t="shared" si="319"/>
        <v>0</v>
      </c>
      <c r="BB503" s="117"/>
      <c r="BC503" s="115" t="str">
        <f t="shared" si="320"/>
        <v>N</v>
      </c>
      <c r="BD503" s="115" t="str">
        <f t="shared" si="321"/>
        <v>Y</v>
      </c>
      <c r="BE503" s="115" t="str">
        <f t="shared" si="322"/>
        <v>N</v>
      </c>
      <c r="BF503" s="109" t="str">
        <f t="shared" si="323"/>
        <v/>
      </c>
      <c r="BG503" s="111" t="s">
        <v>2499</v>
      </c>
      <c r="BH503" s="115" t="s">
        <v>1168</v>
      </c>
      <c r="BI503" s="116"/>
      <c r="BJ503" s="222">
        <v>0.83004535469244467</v>
      </c>
      <c r="BK503" s="265">
        <f t="shared" si="324"/>
        <v>0</v>
      </c>
      <c r="BL503" s="265">
        <f t="shared" si="325"/>
        <v>0</v>
      </c>
      <c r="BM503" s="265">
        <f t="shared" si="326"/>
        <v>7.2759576141834259E-12</v>
      </c>
      <c r="BN503" s="265">
        <f t="shared" si="327"/>
        <v>-2368.7977245192233</v>
      </c>
      <c r="BO503" s="109"/>
      <c r="BP503" s="265">
        <f t="shared" si="328"/>
        <v>8044.466455480775</v>
      </c>
      <c r="BQ503" s="265">
        <v>8044.466455480775</v>
      </c>
      <c r="BR503" s="265" t="e">
        <f t="shared" si="329"/>
        <v>#REF!</v>
      </c>
      <c r="BS503" s="207">
        <v>906.28344724124383</v>
      </c>
      <c r="BT503" s="475">
        <v>118488.17745548078</v>
      </c>
      <c r="BU503" s="475">
        <v>39288.552544519225</v>
      </c>
      <c r="BV503" s="475">
        <v>0</v>
      </c>
      <c r="BW503" s="483">
        <f t="shared" si="330"/>
        <v>0</v>
      </c>
      <c r="BX503" s="483">
        <f t="shared" si="331"/>
        <v>0</v>
      </c>
    </row>
    <row r="504" spans="1:76" ht="14.5">
      <c r="A504" s="100" t="s">
        <v>2259</v>
      </c>
      <c r="B504" s="91" t="str">
        <f t="shared" si="300"/>
        <v>TRA</v>
      </c>
      <c r="C504" s="92" t="s">
        <v>461</v>
      </c>
      <c r="D504" s="448"/>
      <c r="E504" s="452">
        <v>796532</v>
      </c>
      <c r="F504" s="467" t="s">
        <v>4947</v>
      </c>
      <c r="G504" s="384" t="s">
        <v>4714</v>
      </c>
      <c r="H504" s="470">
        <v>0.42</v>
      </c>
      <c r="I504" s="95" t="s">
        <v>952</v>
      </c>
      <c r="J504" s="95" t="s">
        <v>1166</v>
      </c>
      <c r="K504" s="469">
        <v>4821723</v>
      </c>
      <c r="L504" s="268">
        <v>0.14613316976340676</v>
      </c>
      <c r="M504" s="266">
        <v>0.91331269349845201</v>
      </c>
      <c r="N504" s="267">
        <f t="shared" si="301"/>
        <v>8.6687306501547989E-2</v>
      </c>
      <c r="O504" s="96">
        <f t="shared" si="302"/>
        <v>4525785.260401329</v>
      </c>
      <c r="P504" s="96">
        <f t="shared" si="297"/>
        <v>270283.69406070624</v>
      </c>
      <c r="Q504" s="96">
        <f t="shared" si="303"/>
        <v>25654.045537965339</v>
      </c>
      <c r="R504" s="187" t="s">
        <v>2335</v>
      </c>
      <c r="S504" s="187" t="s">
        <v>3608</v>
      </c>
      <c r="T504" s="94" t="s">
        <v>2779</v>
      </c>
      <c r="U504" s="395">
        <f>COUNTIF(Aggregation_of_rev_to_allocate!$A$3:$A$137,$T504)</f>
        <v>1</v>
      </c>
      <c r="V504" s="100"/>
      <c r="W504" s="100">
        <v>543</v>
      </c>
      <c r="X504" s="109">
        <v>251428.68352325651</v>
      </c>
      <c r="Y504" s="109">
        <v>99293.022476133498</v>
      </c>
      <c r="Z504" s="110">
        <v>0.17318531254271363</v>
      </c>
      <c r="AA504" s="110">
        <v>0.71688942891859053</v>
      </c>
      <c r="AB504" s="110">
        <v>0.28311057108140947</v>
      </c>
      <c r="AC504" s="109">
        <f>IF(ISERROR((X504*SUMIF('Rev_for_allocation(Hard)'!$A$3:$A$249,$T504,'Rev_for_allocation(Hard)'!$I$3:$I$249)/SUMIF(Historic_capex_list!$T$9:$T$586,$T504,Historic_capex_list!$X$9:$X$586))=TRUE),0,X504*SUMIF('Rev_for_allocation(Hard)'!$A$3:$A$249,$T504,'Rev_for_allocation(Hard)'!$I$3:$I$249)/SUMIF(Historic_capex_list!$T$9:$T$586,$T504,Historic_capex_list!$X$9:$X$586))</f>
        <v>-54783.939395308502</v>
      </c>
      <c r="AD504" s="109">
        <f t="shared" si="304"/>
        <v>196644.74412794801</v>
      </c>
      <c r="AE504" s="109">
        <f t="shared" si="299"/>
        <v>196644.74412794801</v>
      </c>
      <c r="AF504" s="109">
        <f t="shared" si="305"/>
        <v>295937.76660408149</v>
      </c>
      <c r="AG504" s="332" t="str">
        <f t="shared" si="306"/>
        <v>N</v>
      </c>
      <c r="AH504" s="332">
        <f t="shared" si="294"/>
        <v>0</v>
      </c>
      <c r="AI504" s="332">
        <f t="shared" si="295"/>
        <v>0</v>
      </c>
      <c r="AJ504" s="109">
        <f t="shared" si="296"/>
        <v>295937.76660408149</v>
      </c>
      <c r="AK504" s="109">
        <f t="shared" si="307"/>
        <v>0</v>
      </c>
      <c r="AL504" s="109">
        <v>0</v>
      </c>
      <c r="AM504" s="111">
        <f t="shared" si="308"/>
        <v>3.9491525423728815</v>
      </c>
      <c r="AN504" s="111">
        <f t="shared" si="309"/>
        <v>0.94915254237288149</v>
      </c>
      <c r="AO504" s="111" t="str">
        <f t="shared" si="310"/>
        <v>Use deduct 3yrs</v>
      </c>
      <c r="AP504" s="111">
        <f t="shared" si="311"/>
        <v>0.94915254237288149</v>
      </c>
      <c r="AQ504" s="112">
        <f t="shared" si="312"/>
        <v>8.6687306501547989E-2</v>
      </c>
      <c r="AR504" s="112">
        <f t="shared" si="313"/>
        <v>0.91331269349845201</v>
      </c>
      <c r="AS504" s="113">
        <f t="shared" si="314"/>
        <v>2029</v>
      </c>
      <c r="AT504" s="109">
        <v>295937.76660408149</v>
      </c>
      <c r="AU504" s="114">
        <v>0.91331269349845201</v>
      </c>
      <c r="AV504" s="113">
        <v>2029</v>
      </c>
      <c r="AW504" s="112">
        <f t="shared" si="315"/>
        <v>0.1461331830985973</v>
      </c>
      <c r="AX504" s="109">
        <f t="shared" si="316"/>
        <v>270283.71872508992</v>
      </c>
      <c r="AY504" s="109">
        <f t="shared" si="317"/>
        <v>25654.047878991587</v>
      </c>
      <c r="AZ504" s="109">
        <f t="shared" si="318"/>
        <v>295937.76660408149</v>
      </c>
      <c r="BA504" s="111">
        <f t="shared" si="319"/>
        <v>0</v>
      </c>
      <c r="BB504" s="117"/>
      <c r="BC504" s="115" t="str">
        <f t="shared" si="320"/>
        <v>N</v>
      </c>
      <c r="BD504" s="115" t="str">
        <f t="shared" si="321"/>
        <v>Y</v>
      </c>
      <c r="BE504" s="115" t="str">
        <f t="shared" si="322"/>
        <v>N</v>
      </c>
      <c r="BF504" s="109" t="str">
        <f t="shared" si="323"/>
        <v/>
      </c>
      <c r="BG504" s="111" t="s">
        <v>2499</v>
      </c>
      <c r="BH504" s="115" t="s">
        <v>1168</v>
      </c>
      <c r="BI504" s="116"/>
      <c r="BJ504" s="222">
        <v>0.14613316976340676</v>
      </c>
      <c r="BK504" s="265">
        <f t="shared" si="324"/>
        <v>2.3410262474499177E-3</v>
      </c>
      <c r="BL504" s="265">
        <f t="shared" si="325"/>
        <v>-2.3410262474499177E-3</v>
      </c>
      <c r="BM504" s="265">
        <f t="shared" si="326"/>
        <v>-6.0754246078431606E-10</v>
      </c>
      <c r="BN504" s="265">
        <f t="shared" si="327"/>
        <v>-18855.010537449736</v>
      </c>
      <c r="BO504" s="109"/>
      <c r="BP504" s="265">
        <f t="shared" si="328"/>
        <v>54783.939395308495</v>
      </c>
      <c r="BQ504" s="265">
        <v>54783.939395308495</v>
      </c>
      <c r="BR504" s="265" t="e">
        <f t="shared" si="329"/>
        <v>#REF!</v>
      </c>
      <c r="BS504" s="207">
        <v>6171.9167732757069</v>
      </c>
      <c r="BT504" s="475">
        <v>1729186.078195919</v>
      </c>
      <c r="BU504" s="475">
        <v>270283.71872508992</v>
      </c>
      <c r="BV504" s="475">
        <v>25654.047878991587</v>
      </c>
      <c r="BW504" s="483">
        <f t="shared" si="330"/>
        <v>-2.4664383672643453E-2</v>
      </c>
      <c r="BX504" s="483">
        <f t="shared" si="331"/>
        <v>-2.3410262474499177E-3</v>
      </c>
    </row>
    <row r="505" spans="1:76" ht="43.5">
      <c r="A505" s="100" t="s">
        <v>2259</v>
      </c>
      <c r="B505" s="91" t="str">
        <f t="shared" si="300"/>
        <v>TRA</v>
      </c>
      <c r="C505" s="92" t="s">
        <v>461</v>
      </c>
      <c r="D505" s="448"/>
      <c r="E505" s="452">
        <v>795525</v>
      </c>
      <c r="F505" s="467" t="s">
        <v>4948</v>
      </c>
      <c r="G505" s="384" t="s">
        <v>4714</v>
      </c>
      <c r="H505" s="470">
        <v>0.42</v>
      </c>
      <c r="I505" s="95" t="s">
        <v>952</v>
      </c>
      <c r="J505" s="95" t="s">
        <v>1166</v>
      </c>
      <c r="K505" s="469">
        <v>12924914</v>
      </c>
      <c r="L505" s="268">
        <v>0.21022312507948293</v>
      </c>
      <c r="M505" s="266">
        <v>0.30805687203791476</v>
      </c>
      <c r="N505" s="267">
        <f t="shared" si="301"/>
        <v>0.69194312796208524</v>
      </c>
      <c r="O505" s="96">
        <f t="shared" si="302"/>
        <v>11783725.358765306</v>
      </c>
      <c r="P505" s="96">
        <f t="shared" si="297"/>
        <v>351551.00322395837</v>
      </c>
      <c r="Q505" s="96">
        <f t="shared" si="303"/>
        <v>789637.6380107369</v>
      </c>
      <c r="R505" s="187" t="s">
        <v>2335</v>
      </c>
      <c r="S505" s="187" t="s">
        <v>3608</v>
      </c>
      <c r="T505" s="94" t="s">
        <v>2779</v>
      </c>
      <c r="U505" s="395">
        <f>COUNTIF(Aggregation_of_rev_to_allocate!$A$3:$A$137,$T505)</f>
        <v>1</v>
      </c>
      <c r="V505" s="100"/>
      <c r="W505" s="100">
        <v>544</v>
      </c>
      <c r="X505" s="109">
        <v>342878.12232660293</v>
      </c>
      <c r="Y505" s="109">
        <v>873020.44992388901</v>
      </c>
      <c r="Z505" s="110">
        <v>0.22398574929317355</v>
      </c>
      <c r="AA505" s="110">
        <v>0.28199566160520606</v>
      </c>
      <c r="AB505" s="110">
        <v>0.71800433839479394</v>
      </c>
      <c r="AC505" s="109">
        <f>IF(ISERROR((X505*SUMIF('Rev_for_allocation(Hard)'!$A$3:$A$249,$T505,'Rev_for_allocation(Hard)'!$I$3:$I$249)/SUMIF(Historic_capex_list!$T$9:$T$586,$T505,Historic_capex_list!$X$9:$X$586))=TRUE),0,X505*SUMIF('Rev_for_allocation(Hard)'!$A$3:$A$249,$T505,'Rev_for_allocation(Hard)'!$I$3:$I$249)/SUMIF(Historic_capex_list!$T$9:$T$586,$T505,Historic_capex_list!$X$9:$X$586))</f>
        <v>-74709.909825305571</v>
      </c>
      <c r="AD505" s="109">
        <f t="shared" si="304"/>
        <v>268168.21250129736</v>
      </c>
      <c r="AE505" s="109">
        <f t="shared" si="299"/>
        <v>268168.21250129736</v>
      </c>
      <c r="AF505" s="109">
        <f t="shared" si="305"/>
        <v>1141188.6624251865</v>
      </c>
      <c r="AG505" s="332" t="str">
        <f t="shared" si="306"/>
        <v>N</v>
      </c>
      <c r="AH505" s="332">
        <f t="shared" si="294"/>
        <v>0</v>
      </c>
      <c r="AI505" s="332">
        <f t="shared" si="295"/>
        <v>0</v>
      </c>
      <c r="AJ505" s="109">
        <f t="shared" si="296"/>
        <v>1141188.6624251865</v>
      </c>
      <c r="AK505" s="109">
        <f t="shared" si="307"/>
        <v>0</v>
      </c>
      <c r="AL505" s="109">
        <v>0</v>
      </c>
      <c r="AM505" s="111">
        <f t="shared" si="308"/>
        <v>25.461538461538463</v>
      </c>
      <c r="AN505" s="111">
        <f t="shared" si="309"/>
        <v>22.461538461538463</v>
      </c>
      <c r="AO505" s="111" t="str">
        <f t="shared" si="310"/>
        <v>Use deduct 3yrs</v>
      </c>
      <c r="AP505" s="111">
        <f t="shared" si="311"/>
        <v>22.461538461538463</v>
      </c>
      <c r="AQ505" s="112">
        <f t="shared" si="312"/>
        <v>0.69194312796208524</v>
      </c>
      <c r="AR505" s="112">
        <f t="shared" si="313"/>
        <v>0.30805687203791476</v>
      </c>
      <c r="AS505" s="113">
        <f t="shared" si="314"/>
        <v>2050</v>
      </c>
      <c r="AT505" s="109">
        <v>1141188.6624251865</v>
      </c>
      <c r="AU505" s="114">
        <v>0.30805687203791476</v>
      </c>
      <c r="AV505" s="113">
        <v>2050</v>
      </c>
      <c r="AW505" s="112">
        <f t="shared" si="315"/>
        <v>0.21022312898307183</v>
      </c>
      <c r="AX505" s="109">
        <f t="shared" si="316"/>
        <v>351551.00975183479</v>
      </c>
      <c r="AY505" s="109">
        <f t="shared" si="317"/>
        <v>789637.65267335169</v>
      </c>
      <c r="AZ505" s="109">
        <f t="shared" si="318"/>
        <v>1141188.6624251865</v>
      </c>
      <c r="BA505" s="111">
        <f t="shared" si="319"/>
        <v>0</v>
      </c>
      <c r="BB505" s="117" t="s">
        <v>2472</v>
      </c>
      <c r="BC505" s="115" t="str">
        <f t="shared" si="320"/>
        <v>N</v>
      </c>
      <c r="BD505" s="115" t="str">
        <f t="shared" si="321"/>
        <v>N</v>
      </c>
      <c r="BE505" s="115" t="str">
        <f t="shared" si="322"/>
        <v>N</v>
      </c>
      <c r="BF505" s="109" t="str">
        <f t="shared" si="323"/>
        <v/>
      </c>
      <c r="BG505" s="111" t="s">
        <v>2499</v>
      </c>
      <c r="BH505" s="115" t="s">
        <v>1168</v>
      </c>
      <c r="BI505" s="116"/>
      <c r="BJ505" s="222">
        <v>0.21022312507948293</v>
      </c>
      <c r="BK505" s="265">
        <f t="shared" si="324"/>
        <v>1.4662614790722728E-2</v>
      </c>
      <c r="BL505" s="265">
        <f t="shared" si="325"/>
        <v>-1.4662614790722728E-2</v>
      </c>
      <c r="BM505" s="265">
        <f t="shared" si="326"/>
        <v>-1.280568540096283E-9</v>
      </c>
      <c r="BN505" s="265">
        <f t="shared" si="327"/>
        <v>-8672.8808973554405</v>
      </c>
      <c r="BO505" s="109"/>
      <c r="BP505" s="265">
        <f t="shared" si="328"/>
        <v>74709.909825305454</v>
      </c>
      <c r="BQ505" s="265">
        <v>74709.909825305454</v>
      </c>
      <c r="BR505" s="265" t="e">
        <f t="shared" si="329"/>
        <v>#REF!</v>
      </c>
      <c r="BS505" s="207">
        <v>8416.7613842717838</v>
      </c>
      <c r="BT505" s="475">
        <v>4287275.3183748145</v>
      </c>
      <c r="BU505" s="475">
        <v>351551.00975183479</v>
      </c>
      <c r="BV505" s="475">
        <v>789637.65267335169</v>
      </c>
      <c r="BW505" s="483">
        <f t="shared" si="330"/>
        <v>-6.5278764232061803E-3</v>
      </c>
      <c r="BX505" s="483">
        <f t="shared" si="331"/>
        <v>-1.4662614790722728E-2</v>
      </c>
    </row>
    <row r="506" spans="1:76" ht="14.5">
      <c r="A506" s="100" t="s">
        <v>2259</v>
      </c>
      <c r="B506" s="91" t="str">
        <f t="shared" si="300"/>
        <v>TRA</v>
      </c>
      <c r="C506" s="92" t="s">
        <v>461</v>
      </c>
      <c r="D506" s="448"/>
      <c r="E506" s="452">
        <v>41357</v>
      </c>
      <c r="F506" s="467" t="s">
        <v>4949</v>
      </c>
      <c r="G506" s="384" t="s">
        <v>4715</v>
      </c>
      <c r="H506" s="398">
        <v>1</v>
      </c>
      <c r="I506" s="95" t="s">
        <v>952</v>
      </c>
      <c r="J506" s="95" t="s">
        <v>1166</v>
      </c>
      <c r="K506" s="191">
        <v>700000</v>
      </c>
      <c r="L506" s="268">
        <v>8.2083418303090794E-2</v>
      </c>
      <c r="M506" s="266">
        <v>1</v>
      </c>
      <c r="N506" s="267">
        <f t="shared" si="301"/>
        <v>0</v>
      </c>
      <c r="O506" s="96">
        <f t="shared" si="302"/>
        <v>642541.60718783643</v>
      </c>
      <c r="P506" s="96">
        <f t="shared" si="297"/>
        <v>57458.392812163554</v>
      </c>
      <c r="Q506" s="96">
        <f t="shared" si="303"/>
        <v>0</v>
      </c>
      <c r="R506" s="187" t="s">
        <v>2335</v>
      </c>
      <c r="S506" s="187" t="s">
        <v>3608</v>
      </c>
      <c r="T506" s="94" t="s">
        <v>2779</v>
      </c>
      <c r="U506" s="395">
        <f>COUNTIF(Aggregation_of_rev_to_allocate!$A$3:$A$137,$T506)</f>
        <v>1</v>
      </c>
      <c r="V506" s="100"/>
      <c r="W506" s="100">
        <v>545</v>
      </c>
      <c r="X506" s="109">
        <v>73465.925195156029</v>
      </c>
      <c r="Y506" s="109">
        <v>0</v>
      </c>
      <c r="Z506" s="110">
        <v>0.10495132170736575</v>
      </c>
      <c r="AA506" s="110">
        <v>1</v>
      </c>
      <c r="AB506" s="110">
        <v>0</v>
      </c>
      <c r="AC506" s="109">
        <f>IF(ISERROR((X506*SUMIF('Rev_for_allocation(Hard)'!$A$3:$A$249,$T506,'Rev_for_allocation(Hard)'!$I$3:$I$249)/SUMIF(Historic_capex_list!$T$9:$T$586,$T506,Historic_capex_list!$X$9:$X$586))=TRUE),0,X506*SUMIF('Rev_for_allocation(Hard)'!$A$3:$A$249,$T506,'Rev_for_allocation(Hard)'!$I$3:$I$249)/SUMIF(Historic_capex_list!$T$9:$T$586,$T506,Historic_capex_list!$X$9:$X$586))</f>
        <v>-16007.532382992476</v>
      </c>
      <c r="AD506" s="109">
        <f t="shared" si="304"/>
        <v>57458.392812163554</v>
      </c>
      <c r="AE506" s="109">
        <f t="shared" si="299"/>
        <v>57458.392812163554</v>
      </c>
      <c r="AF506" s="109">
        <f t="shared" si="305"/>
        <v>57458.392812163554</v>
      </c>
      <c r="AG506" s="332" t="str">
        <f t="shared" si="306"/>
        <v>N</v>
      </c>
      <c r="AH506" s="332">
        <f t="shared" si="294"/>
        <v>0</v>
      </c>
      <c r="AI506" s="332">
        <f t="shared" si="295"/>
        <v>0</v>
      </c>
      <c r="AJ506" s="109">
        <f t="shared" si="296"/>
        <v>57458.392812163554</v>
      </c>
      <c r="AK506" s="109">
        <f t="shared" si="307"/>
        <v>0</v>
      </c>
      <c r="AL506" s="109">
        <v>0</v>
      </c>
      <c r="AM506" s="111">
        <f t="shared" si="308"/>
        <v>0</v>
      </c>
      <c r="AN506" s="111">
        <f t="shared" si="309"/>
        <v>0</v>
      </c>
      <c r="AO506" s="111" t="str">
        <f t="shared" si="310"/>
        <v>Use deduct 3yrs</v>
      </c>
      <c r="AP506" s="111">
        <f t="shared" si="311"/>
        <v>0</v>
      </c>
      <c r="AQ506" s="112">
        <f t="shared" si="312"/>
        <v>0</v>
      </c>
      <c r="AR506" s="112">
        <f t="shared" si="313"/>
        <v>1</v>
      </c>
      <c r="AS506" s="113">
        <f t="shared" si="314"/>
        <v>2028</v>
      </c>
      <c r="AT506" s="109">
        <v>57458.392812163554</v>
      </c>
      <c r="AU506" s="114">
        <v>1</v>
      </c>
      <c r="AV506" s="113">
        <v>2028</v>
      </c>
      <c r="AW506" s="112">
        <f t="shared" si="315"/>
        <v>8.2083418303090794E-2</v>
      </c>
      <c r="AX506" s="109">
        <f t="shared" si="316"/>
        <v>57458.392812163554</v>
      </c>
      <c r="AY506" s="109">
        <f t="shared" si="317"/>
        <v>0</v>
      </c>
      <c r="AZ506" s="109">
        <f t="shared" si="318"/>
        <v>57458.392812163554</v>
      </c>
      <c r="BA506" s="111">
        <f t="shared" si="319"/>
        <v>0</v>
      </c>
      <c r="BB506" s="117"/>
      <c r="BC506" s="115" t="str">
        <f t="shared" si="320"/>
        <v>N</v>
      </c>
      <c r="BD506" s="115" t="str">
        <f t="shared" si="321"/>
        <v>Y</v>
      </c>
      <c r="BE506" s="115" t="str">
        <f t="shared" si="322"/>
        <v>N</v>
      </c>
      <c r="BF506" s="109" t="str">
        <f t="shared" si="323"/>
        <v/>
      </c>
      <c r="BG506" s="111" t="s">
        <v>2499</v>
      </c>
      <c r="BH506" s="115" t="s">
        <v>1168</v>
      </c>
      <c r="BI506" s="116"/>
      <c r="BJ506" s="222">
        <v>8.2083418303090794E-2</v>
      </c>
      <c r="BK506" s="265">
        <f t="shared" si="324"/>
        <v>0</v>
      </c>
      <c r="BL506" s="265">
        <f t="shared" si="325"/>
        <v>0</v>
      </c>
      <c r="BM506" s="265">
        <f t="shared" si="326"/>
        <v>1.4551915228366852E-11</v>
      </c>
      <c r="BN506" s="265">
        <f t="shared" si="327"/>
        <v>16007.532382992475</v>
      </c>
      <c r="BO506" s="109"/>
      <c r="BP506" s="265">
        <f t="shared" si="328"/>
        <v>16007.532382992475</v>
      </c>
      <c r="BQ506" s="265">
        <v>16007.532382992475</v>
      </c>
      <c r="BR506" s="265" t="e">
        <f t="shared" si="329"/>
        <v>#REF!</v>
      </c>
      <c r="BS506" s="207">
        <v>1803.3963731678255</v>
      </c>
      <c r="BT506" s="475">
        <v>642541.60718783643</v>
      </c>
      <c r="BU506" s="475">
        <v>57458.392812163554</v>
      </c>
      <c r="BV506" s="475">
        <v>0</v>
      </c>
      <c r="BW506" s="483">
        <f t="shared" si="330"/>
        <v>0</v>
      </c>
      <c r="BX506" s="483">
        <f t="shared" si="331"/>
        <v>0</v>
      </c>
    </row>
    <row r="507" spans="1:76" ht="14.5">
      <c r="A507" s="511"/>
      <c r="B507" s="696" t="str">
        <f t="shared" si="300"/>
        <v xml:space="preserve">CI </v>
      </c>
      <c r="C507" s="697"/>
      <c r="D507" s="509" t="s">
        <v>5371</v>
      </c>
      <c r="E507" s="698" t="s">
        <v>1088</v>
      </c>
      <c r="F507" s="502" t="s">
        <v>5376</v>
      </c>
      <c r="G507" s="502"/>
      <c r="H507" s="700">
        <v>0.25</v>
      </c>
      <c r="I507" s="504"/>
      <c r="J507" s="504"/>
      <c r="K507" s="505">
        <v>0</v>
      </c>
      <c r="L507" s="506"/>
      <c r="M507" s="507">
        <v>1</v>
      </c>
      <c r="N507" s="508">
        <f t="shared" ref="N507:N519" si="332">100%-M507</f>
        <v>0</v>
      </c>
      <c r="O507" s="475">
        <f t="shared" ref="O507" si="333">(K507*(100%-H507))+(K507*H507*(100%-L507))</f>
        <v>0</v>
      </c>
      <c r="P507" s="475">
        <f t="shared" ref="P507" si="334">(+K507*L507*M507*H507)</f>
        <v>0</v>
      </c>
      <c r="Q507" s="475">
        <f t="shared" ref="Q507" si="335">+K507*L507*N507*H507</f>
        <v>0</v>
      </c>
      <c r="R507" s="699"/>
      <c r="S507" s="699"/>
      <c r="T507" s="509" t="s">
        <v>2851</v>
      </c>
      <c r="U507" s="395"/>
      <c r="V507" s="100"/>
      <c r="W507" s="100"/>
      <c r="X507" s="109"/>
      <c r="Y507" s="109"/>
      <c r="Z507" s="110"/>
      <c r="AA507" s="110"/>
      <c r="AB507" s="110"/>
      <c r="AC507" s="109"/>
      <c r="AD507" s="109"/>
      <c r="AE507" s="109"/>
      <c r="AF507" s="109"/>
      <c r="AG507" s="332"/>
      <c r="AH507" s="332">
        <f t="shared" si="294"/>
        <v>0</v>
      </c>
      <c r="AI507" s="332"/>
      <c r="AJ507" s="109"/>
      <c r="AK507" s="109"/>
      <c r="AL507" s="109"/>
      <c r="AM507" s="111"/>
      <c r="AN507" s="111"/>
      <c r="AO507" s="111"/>
      <c r="AP507" s="111"/>
      <c r="AQ507" s="112"/>
      <c r="AR507" s="112"/>
      <c r="AS507" s="113"/>
      <c r="AT507" s="109"/>
      <c r="AU507" s="114"/>
      <c r="AV507" s="113"/>
      <c r="AW507" s="112"/>
      <c r="AX507" s="109"/>
      <c r="AY507" s="109"/>
      <c r="AZ507" s="109"/>
      <c r="BA507" s="111"/>
      <c r="BB507" s="117"/>
      <c r="BC507" s="115"/>
      <c r="BD507" s="115"/>
      <c r="BE507" s="115"/>
      <c r="BF507" s="109"/>
      <c r="BG507" s="111"/>
      <c r="BH507" s="115"/>
      <c r="BI507" s="116"/>
      <c r="BJ507" s="222"/>
      <c r="BK507" s="265"/>
      <c r="BL507" s="265"/>
      <c r="BM507" s="265"/>
      <c r="BN507" s="265"/>
      <c r="BO507" s="109"/>
      <c r="BP507" s="265"/>
      <c r="BQ507" s="265"/>
      <c r="BR507" s="265"/>
      <c r="BS507" s="207"/>
      <c r="BT507" s="475"/>
      <c r="BU507" s="475"/>
      <c r="BV507" s="475"/>
      <c r="BW507" s="483"/>
      <c r="BX507" s="483"/>
    </row>
    <row r="508" spans="1:76" ht="14.5">
      <c r="A508" s="511"/>
      <c r="B508" s="696" t="str">
        <f t="shared" si="300"/>
        <v xml:space="preserve">CI </v>
      </c>
      <c r="C508" s="697"/>
      <c r="D508" s="509" t="s">
        <v>5371</v>
      </c>
      <c r="E508" s="698" t="s">
        <v>5372</v>
      </c>
      <c r="F508" s="502" t="s">
        <v>5377</v>
      </c>
      <c r="G508" s="502"/>
      <c r="H508" s="700">
        <v>0.54</v>
      </c>
      <c r="I508" s="504"/>
      <c r="J508" s="504"/>
      <c r="K508" s="505">
        <v>251083</v>
      </c>
      <c r="L508" s="506"/>
      <c r="M508" s="507">
        <v>0.25</v>
      </c>
      <c r="N508" s="508">
        <f t="shared" si="332"/>
        <v>0.75</v>
      </c>
      <c r="O508" s="475">
        <f>$K508*(1-$H508)-VLOOKUP($F508,$F$665:$U$676,11,FALSE)</f>
        <v>139524.51746293338</v>
      </c>
      <c r="P508" s="475">
        <f>K508*H508*M508+VLOOKUP($F508,$F$665:$U$676,11,FALSE)</f>
        <v>9869.8675370666206</v>
      </c>
      <c r="Q508" s="475">
        <f>K508*H508*N508</f>
        <v>101688.61500000001</v>
      </c>
      <c r="R508" s="699"/>
      <c r="S508" s="699"/>
      <c r="T508" s="509" t="s">
        <v>2858</v>
      </c>
      <c r="U508" s="395"/>
      <c r="V508" s="100"/>
      <c r="W508" s="100"/>
      <c r="X508" s="109"/>
      <c r="Y508" s="109"/>
      <c r="Z508" s="110"/>
      <c r="AA508" s="110"/>
      <c r="AB508" s="110"/>
      <c r="AC508" s="109"/>
      <c r="AD508" s="109"/>
      <c r="AE508" s="109"/>
      <c r="AF508" s="109"/>
      <c r="AG508" s="332"/>
      <c r="AH508" s="332">
        <f t="shared" si="294"/>
        <v>0</v>
      </c>
      <c r="AI508" s="332"/>
      <c r="AJ508" s="109"/>
      <c r="AK508" s="109"/>
      <c r="AL508" s="109"/>
      <c r="AM508" s="111"/>
      <c r="AN508" s="111"/>
      <c r="AO508" s="111"/>
      <c r="AP508" s="111"/>
      <c r="AQ508" s="112"/>
      <c r="AR508" s="112"/>
      <c r="AS508" s="113"/>
      <c r="AT508" s="109"/>
      <c r="AU508" s="114"/>
      <c r="AV508" s="113"/>
      <c r="AW508" s="112"/>
      <c r="AX508" s="109"/>
      <c r="AY508" s="109"/>
      <c r="AZ508" s="109"/>
      <c r="BA508" s="111"/>
      <c r="BB508" s="117"/>
      <c r="BC508" s="115"/>
      <c r="BD508" s="115"/>
      <c r="BE508" s="115"/>
      <c r="BF508" s="109"/>
      <c r="BG508" s="111"/>
      <c r="BH508" s="115"/>
      <c r="BI508" s="116"/>
      <c r="BJ508" s="222"/>
      <c r="BK508" s="265"/>
      <c r="BL508" s="265"/>
      <c r="BM508" s="265"/>
      <c r="BN508" s="265"/>
      <c r="BO508" s="109"/>
      <c r="BP508" s="265"/>
      <c r="BQ508" s="265"/>
      <c r="BR508" s="265"/>
      <c r="BS508" s="207"/>
      <c r="BT508" s="475"/>
      <c r="BU508" s="475"/>
      <c r="BV508" s="475"/>
      <c r="BW508" s="483"/>
      <c r="BX508" s="483"/>
    </row>
    <row r="509" spans="1:76" ht="29">
      <c r="A509" s="511"/>
      <c r="B509" s="696"/>
      <c r="C509" s="697"/>
      <c r="D509" s="509" t="s">
        <v>5371</v>
      </c>
      <c r="E509" s="698" t="s">
        <v>5372</v>
      </c>
      <c r="F509" s="502" t="s">
        <v>5378</v>
      </c>
      <c r="G509" s="502"/>
      <c r="H509" s="700">
        <v>0.54</v>
      </c>
      <c r="I509" s="504"/>
      <c r="J509" s="504"/>
      <c r="K509" s="505">
        <v>1671766</v>
      </c>
      <c r="L509" s="506"/>
      <c r="M509" s="507">
        <v>0.25</v>
      </c>
      <c r="N509" s="508">
        <f t="shared" si="332"/>
        <v>0.75</v>
      </c>
      <c r="O509" s="475">
        <f t="shared" ref="O509:O519" si="336">$K509*(1-$H509)-VLOOKUP($F509,$F$665:$U$676,11,FALSE)</f>
        <v>801965.16688062483</v>
      </c>
      <c r="P509" s="475">
        <f t="shared" ref="P509:P519" si="337">K509*H509*M509+VLOOKUP($F509,$F$665:$U$676,11,FALSE)</f>
        <v>192735.6031193751</v>
      </c>
      <c r="Q509" s="475">
        <f t="shared" ref="Q509:Q519" si="338">K509*H509*N509</f>
        <v>677065.23</v>
      </c>
      <c r="R509" s="699"/>
      <c r="S509" s="699"/>
      <c r="T509" s="509" t="s">
        <v>2858</v>
      </c>
      <c r="U509" s="395"/>
      <c r="V509" s="100"/>
      <c r="W509" s="100"/>
      <c r="X509" s="109"/>
      <c r="Y509" s="109"/>
      <c r="Z509" s="110"/>
      <c r="AA509" s="110"/>
      <c r="AB509" s="110"/>
      <c r="AC509" s="109"/>
      <c r="AD509" s="109"/>
      <c r="AE509" s="109"/>
      <c r="AF509" s="109"/>
      <c r="AG509" s="332"/>
      <c r="AH509" s="332"/>
      <c r="AI509" s="332"/>
      <c r="AJ509" s="109"/>
      <c r="AK509" s="109"/>
      <c r="AL509" s="109"/>
      <c r="AM509" s="111"/>
      <c r="AN509" s="111"/>
      <c r="AO509" s="111"/>
      <c r="AP509" s="111"/>
      <c r="AQ509" s="112"/>
      <c r="AR509" s="112"/>
      <c r="AS509" s="113"/>
      <c r="AT509" s="109"/>
      <c r="AU509" s="114"/>
      <c r="AV509" s="113"/>
      <c r="AW509" s="112"/>
      <c r="AX509" s="109"/>
      <c r="AY509" s="109"/>
      <c r="AZ509" s="109"/>
      <c r="BA509" s="111"/>
      <c r="BB509" s="117"/>
      <c r="BC509" s="115"/>
      <c r="BD509" s="115"/>
      <c r="BE509" s="115"/>
      <c r="BF509" s="109"/>
      <c r="BG509" s="111"/>
      <c r="BH509" s="115"/>
      <c r="BI509" s="116"/>
      <c r="BJ509" s="222"/>
      <c r="BK509" s="265"/>
      <c r="BL509" s="265"/>
      <c r="BM509" s="265"/>
      <c r="BN509" s="265"/>
      <c r="BO509" s="109"/>
      <c r="BP509" s="265"/>
      <c r="BQ509" s="265"/>
      <c r="BR509" s="265"/>
      <c r="BS509" s="207"/>
      <c r="BT509" s="475"/>
      <c r="BU509" s="475"/>
      <c r="BV509" s="475"/>
      <c r="BW509" s="483"/>
      <c r="BX509" s="483"/>
    </row>
    <row r="510" spans="1:76" ht="14.5">
      <c r="A510" s="511"/>
      <c r="B510" s="696"/>
      <c r="C510" s="697"/>
      <c r="D510" s="509" t="s">
        <v>5371</v>
      </c>
      <c r="E510" s="698" t="s">
        <v>1088</v>
      </c>
      <c r="F510" s="502" t="s">
        <v>5376</v>
      </c>
      <c r="G510" s="502"/>
      <c r="H510" s="700">
        <v>0.36</v>
      </c>
      <c r="I510" s="504"/>
      <c r="J510" s="504"/>
      <c r="K510" s="505">
        <v>6592813.3596621193</v>
      </c>
      <c r="L510" s="506"/>
      <c r="M510" s="507">
        <v>1</v>
      </c>
      <c r="N510" s="508">
        <f t="shared" si="332"/>
        <v>0</v>
      </c>
      <c r="O510" s="475">
        <f t="shared" si="336"/>
        <v>3916486.7768906271</v>
      </c>
      <c r="P510" s="475">
        <f t="shared" si="337"/>
        <v>2676326.5827714922</v>
      </c>
      <c r="Q510" s="475">
        <f t="shared" si="338"/>
        <v>0</v>
      </c>
      <c r="R510" s="699"/>
      <c r="S510" s="699"/>
      <c r="T510" s="509" t="s">
        <v>2851</v>
      </c>
      <c r="U510" s="395"/>
      <c r="V510" s="100"/>
      <c r="W510" s="100"/>
      <c r="X510" s="109"/>
      <c r="Y510" s="109"/>
      <c r="Z510" s="110"/>
      <c r="AA510" s="110"/>
      <c r="AB510" s="110"/>
      <c r="AC510" s="109"/>
      <c r="AD510" s="109"/>
      <c r="AE510" s="109"/>
      <c r="AF510" s="109"/>
      <c r="AG510" s="332"/>
      <c r="AH510" s="332"/>
      <c r="AI510" s="332"/>
      <c r="AJ510" s="109"/>
      <c r="AK510" s="109"/>
      <c r="AL510" s="109"/>
      <c r="AM510" s="111"/>
      <c r="AN510" s="111"/>
      <c r="AO510" s="111"/>
      <c r="AP510" s="111"/>
      <c r="AQ510" s="112"/>
      <c r="AR510" s="112"/>
      <c r="AS510" s="113"/>
      <c r="AT510" s="109"/>
      <c r="AU510" s="114"/>
      <c r="AV510" s="113"/>
      <c r="AW510" s="112"/>
      <c r="AX510" s="109"/>
      <c r="AY510" s="109"/>
      <c r="AZ510" s="109"/>
      <c r="BA510" s="111"/>
      <c r="BB510" s="117"/>
      <c r="BC510" s="115"/>
      <c r="BD510" s="115"/>
      <c r="BE510" s="115"/>
      <c r="BF510" s="109"/>
      <c r="BG510" s="111"/>
      <c r="BH510" s="115"/>
      <c r="BI510" s="116"/>
      <c r="BJ510" s="222"/>
      <c r="BK510" s="265"/>
      <c r="BL510" s="265"/>
      <c r="BM510" s="265"/>
      <c r="BN510" s="265"/>
      <c r="BO510" s="109"/>
      <c r="BP510" s="265"/>
      <c r="BQ510" s="265"/>
      <c r="BR510" s="265"/>
      <c r="BS510" s="207"/>
      <c r="BT510" s="475"/>
      <c r="BU510" s="475"/>
      <c r="BV510" s="475"/>
      <c r="BW510" s="483"/>
      <c r="BX510" s="483"/>
    </row>
    <row r="511" spans="1:76" ht="14.5">
      <c r="A511" s="511"/>
      <c r="B511" s="696"/>
      <c r="C511" s="697"/>
      <c r="D511" s="509" t="s">
        <v>5371</v>
      </c>
      <c r="E511" s="698"/>
      <c r="F511" s="502"/>
      <c r="G511" s="502"/>
      <c r="H511" s="700"/>
      <c r="I511" s="504"/>
      <c r="J511" s="504"/>
      <c r="K511" s="505"/>
      <c r="L511" s="506"/>
      <c r="M511" s="507"/>
      <c r="N511" s="508">
        <f t="shared" si="332"/>
        <v>1</v>
      </c>
      <c r="O511" s="475"/>
      <c r="P511" s="475"/>
      <c r="Q511" s="475">
        <f t="shared" si="338"/>
        <v>0</v>
      </c>
      <c r="R511" s="699"/>
      <c r="S511" s="699"/>
      <c r="T511" s="509"/>
      <c r="U511" s="395"/>
      <c r="V511" s="100"/>
      <c r="W511" s="100"/>
      <c r="X511" s="109"/>
      <c r="Y511" s="109"/>
      <c r="Z511" s="110"/>
      <c r="AA511" s="110"/>
      <c r="AB511" s="110"/>
      <c r="AC511" s="109"/>
      <c r="AD511" s="109"/>
      <c r="AE511" s="109"/>
      <c r="AF511" s="109"/>
      <c r="AG511" s="332"/>
      <c r="AH511" s="332"/>
      <c r="AI511" s="332"/>
      <c r="AJ511" s="109"/>
      <c r="AK511" s="109"/>
      <c r="AL511" s="109"/>
      <c r="AM511" s="111"/>
      <c r="AN511" s="111"/>
      <c r="AO511" s="111"/>
      <c r="AP511" s="111"/>
      <c r="AQ511" s="112"/>
      <c r="AR511" s="112"/>
      <c r="AS511" s="113"/>
      <c r="AT511" s="109"/>
      <c r="AU511" s="114"/>
      <c r="AV511" s="113"/>
      <c r="AW511" s="112"/>
      <c r="AX511" s="109"/>
      <c r="AY511" s="109"/>
      <c r="AZ511" s="109"/>
      <c r="BA511" s="111"/>
      <c r="BB511" s="117"/>
      <c r="BC511" s="115"/>
      <c r="BD511" s="115"/>
      <c r="BE511" s="115"/>
      <c r="BF511" s="109"/>
      <c r="BG511" s="111"/>
      <c r="BH511" s="115"/>
      <c r="BI511" s="116"/>
      <c r="BJ511" s="222"/>
      <c r="BK511" s="265"/>
      <c r="BL511" s="265"/>
      <c r="BM511" s="265"/>
      <c r="BN511" s="265"/>
      <c r="BO511" s="109"/>
      <c r="BP511" s="265"/>
      <c r="BQ511" s="265"/>
      <c r="BR511" s="265"/>
      <c r="BS511" s="207"/>
      <c r="BT511" s="475"/>
      <c r="BU511" s="475"/>
      <c r="BV511" s="475"/>
      <c r="BW511" s="483"/>
      <c r="BX511" s="483"/>
    </row>
    <row r="512" spans="1:76" ht="14.5">
      <c r="A512" s="511"/>
      <c r="B512" s="696"/>
      <c r="C512" s="697"/>
      <c r="D512" s="509" t="s">
        <v>5371</v>
      </c>
      <c r="E512" s="698" t="s">
        <v>5373</v>
      </c>
      <c r="F512" s="502" t="s">
        <v>5379</v>
      </c>
      <c r="G512" s="502"/>
      <c r="H512" s="700">
        <v>0.75</v>
      </c>
      <c r="I512" s="504"/>
      <c r="J512" s="504"/>
      <c r="K512" s="505">
        <v>70</v>
      </c>
      <c r="L512" s="506"/>
      <c r="M512" s="507">
        <v>0.76923076923076927</v>
      </c>
      <c r="N512" s="508">
        <f t="shared" si="332"/>
        <v>0.23076923076923073</v>
      </c>
      <c r="O512" s="475">
        <f t="shared" si="336"/>
        <v>936103.69332643272</v>
      </c>
      <c r="P512" s="475">
        <f t="shared" si="337"/>
        <v>-936045.8087110481</v>
      </c>
      <c r="Q512" s="475">
        <f t="shared" si="338"/>
        <v>12.115384615384613</v>
      </c>
      <c r="R512" s="699"/>
      <c r="S512" s="699"/>
      <c r="T512" s="509" t="s">
        <v>2859</v>
      </c>
      <c r="U512" s="395"/>
      <c r="V512" s="100"/>
      <c r="W512" s="100"/>
      <c r="X512" s="109"/>
      <c r="Y512" s="109"/>
      <c r="Z512" s="110"/>
      <c r="AA512" s="110"/>
      <c r="AB512" s="110"/>
      <c r="AC512" s="109"/>
      <c r="AD512" s="109"/>
      <c r="AE512" s="109"/>
      <c r="AF512" s="109"/>
      <c r="AG512" s="332"/>
      <c r="AH512" s="332"/>
      <c r="AI512" s="332"/>
      <c r="AJ512" s="109"/>
      <c r="AK512" s="109"/>
      <c r="AL512" s="109"/>
      <c r="AM512" s="111"/>
      <c r="AN512" s="111"/>
      <c r="AO512" s="111"/>
      <c r="AP512" s="111"/>
      <c r="AQ512" s="112"/>
      <c r="AR512" s="112"/>
      <c r="AS512" s="113"/>
      <c r="AT512" s="109"/>
      <c r="AU512" s="114"/>
      <c r="AV512" s="113"/>
      <c r="AW512" s="112"/>
      <c r="AX512" s="109"/>
      <c r="AY512" s="109"/>
      <c r="AZ512" s="109"/>
      <c r="BA512" s="111"/>
      <c r="BB512" s="117"/>
      <c r="BC512" s="115"/>
      <c r="BD512" s="115"/>
      <c r="BE512" s="115"/>
      <c r="BF512" s="109"/>
      <c r="BG512" s="111"/>
      <c r="BH512" s="115"/>
      <c r="BI512" s="116"/>
      <c r="BJ512" s="222"/>
      <c r="BK512" s="265"/>
      <c r="BL512" s="265"/>
      <c r="BM512" s="265"/>
      <c r="BN512" s="265"/>
      <c r="BO512" s="109"/>
      <c r="BP512" s="265"/>
      <c r="BQ512" s="265"/>
      <c r="BR512" s="265"/>
      <c r="BS512" s="207"/>
      <c r="BT512" s="475"/>
      <c r="BU512" s="475"/>
      <c r="BV512" s="475"/>
      <c r="BW512" s="483"/>
      <c r="BX512" s="483"/>
    </row>
    <row r="513" spans="1:76" ht="14.5">
      <c r="A513" s="511"/>
      <c r="B513" s="696"/>
      <c r="C513" s="697"/>
      <c r="D513" s="509" t="s">
        <v>5371</v>
      </c>
      <c r="E513" s="698" t="s">
        <v>993</v>
      </c>
      <c r="F513" s="502" t="s">
        <v>5380</v>
      </c>
      <c r="G513" s="502"/>
      <c r="H513" s="700">
        <v>0.61</v>
      </c>
      <c r="I513" s="504"/>
      <c r="J513" s="504"/>
      <c r="K513" s="505">
        <v>6188053.112583749</v>
      </c>
      <c r="L513" s="506"/>
      <c r="M513" s="507">
        <v>0.7142857142857143</v>
      </c>
      <c r="N513" s="508">
        <f t="shared" si="332"/>
        <v>0.2857142857142857</v>
      </c>
      <c r="O513" s="475">
        <f t="shared" si="336"/>
        <v>1645706.5083559237</v>
      </c>
      <c r="P513" s="475">
        <f t="shared" si="337"/>
        <v>3463857.3474632287</v>
      </c>
      <c r="Q513" s="475">
        <f t="shared" si="338"/>
        <v>1078489.2567645961</v>
      </c>
      <c r="R513" s="699"/>
      <c r="S513" s="699"/>
      <c r="T513" s="509" t="s">
        <v>2852</v>
      </c>
      <c r="U513" s="395"/>
      <c r="V513" s="100"/>
      <c r="W513" s="100"/>
      <c r="X513" s="109"/>
      <c r="Y513" s="109"/>
      <c r="Z513" s="110"/>
      <c r="AA513" s="110"/>
      <c r="AB513" s="110"/>
      <c r="AC513" s="109"/>
      <c r="AD513" s="109"/>
      <c r="AE513" s="109"/>
      <c r="AF513" s="109"/>
      <c r="AG513" s="332"/>
      <c r="AH513" s="332"/>
      <c r="AI513" s="332"/>
      <c r="AJ513" s="109"/>
      <c r="AK513" s="109"/>
      <c r="AL513" s="109"/>
      <c r="AM513" s="111"/>
      <c r="AN513" s="111"/>
      <c r="AO513" s="111"/>
      <c r="AP513" s="111"/>
      <c r="AQ513" s="112"/>
      <c r="AR513" s="112"/>
      <c r="AS513" s="113"/>
      <c r="AT513" s="109"/>
      <c r="AU513" s="114"/>
      <c r="AV513" s="113"/>
      <c r="AW513" s="112"/>
      <c r="AX513" s="109"/>
      <c r="AY513" s="109"/>
      <c r="AZ513" s="109"/>
      <c r="BA513" s="111"/>
      <c r="BB513" s="117"/>
      <c r="BC513" s="115"/>
      <c r="BD513" s="115"/>
      <c r="BE513" s="115"/>
      <c r="BF513" s="109"/>
      <c r="BG513" s="111"/>
      <c r="BH513" s="115"/>
      <c r="BI513" s="116"/>
      <c r="BJ513" s="222"/>
      <c r="BK513" s="265"/>
      <c r="BL513" s="265"/>
      <c r="BM513" s="265"/>
      <c r="BN513" s="265"/>
      <c r="BO513" s="109"/>
      <c r="BP513" s="265"/>
      <c r="BQ513" s="265"/>
      <c r="BR513" s="265"/>
      <c r="BS513" s="207"/>
      <c r="BT513" s="475"/>
      <c r="BU513" s="475"/>
      <c r="BV513" s="475"/>
      <c r="BW513" s="483"/>
      <c r="BX513" s="483"/>
    </row>
    <row r="514" spans="1:76" ht="14.5">
      <c r="A514" s="511"/>
      <c r="B514" s="696"/>
      <c r="C514" s="697"/>
      <c r="D514" s="509" t="s">
        <v>5371</v>
      </c>
      <c r="E514" s="698" t="s">
        <v>5374</v>
      </c>
      <c r="F514" s="502" t="s">
        <v>5381</v>
      </c>
      <c r="G514" s="502"/>
      <c r="H514" s="700">
        <v>0.35</v>
      </c>
      <c r="I514" s="504"/>
      <c r="J514" s="504"/>
      <c r="K514" s="505">
        <v>0</v>
      </c>
      <c r="L514" s="506"/>
      <c r="M514" s="507">
        <v>0.4</v>
      </c>
      <c r="N514" s="508">
        <f t="shared" si="332"/>
        <v>0.6</v>
      </c>
      <c r="O514" s="475">
        <f t="shared" si="336"/>
        <v>617219.62380325247</v>
      </c>
      <c r="P514" s="475">
        <f t="shared" si="337"/>
        <v>-617219.62380325247</v>
      </c>
      <c r="Q514" s="475">
        <f t="shared" si="338"/>
        <v>0</v>
      </c>
      <c r="R514" s="699"/>
      <c r="S514" s="699"/>
      <c r="T514" s="509" t="s">
        <v>2858</v>
      </c>
      <c r="U514" s="395"/>
      <c r="V514" s="100"/>
      <c r="W514" s="100"/>
      <c r="X514" s="109"/>
      <c r="Y514" s="109"/>
      <c r="Z514" s="110"/>
      <c r="AA514" s="110"/>
      <c r="AB514" s="110"/>
      <c r="AC514" s="109"/>
      <c r="AD514" s="109"/>
      <c r="AE514" s="109"/>
      <c r="AF514" s="109"/>
      <c r="AG514" s="332"/>
      <c r="AH514" s="332"/>
      <c r="AI514" s="332"/>
      <c r="AJ514" s="109"/>
      <c r="AK514" s="109"/>
      <c r="AL514" s="109"/>
      <c r="AM514" s="111"/>
      <c r="AN514" s="111"/>
      <c r="AO514" s="111"/>
      <c r="AP514" s="111"/>
      <c r="AQ514" s="112"/>
      <c r="AR514" s="112"/>
      <c r="AS514" s="113"/>
      <c r="AT514" s="109"/>
      <c r="AU514" s="114"/>
      <c r="AV514" s="113"/>
      <c r="AW514" s="112"/>
      <c r="AX514" s="109"/>
      <c r="AY514" s="109"/>
      <c r="AZ514" s="109"/>
      <c r="BA514" s="111"/>
      <c r="BB514" s="117"/>
      <c r="BC514" s="115"/>
      <c r="BD514" s="115"/>
      <c r="BE514" s="115"/>
      <c r="BF514" s="109"/>
      <c r="BG514" s="111"/>
      <c r="BH514" s="115"/>
      <c r="BI514" s="116"/>
      <c r="BJ514" s="222"/>
      <c r="BK514" s="265"/>
      <c r="BL514" s="265"/>
      <c r="BM514" s="265"/>
      <c r="BN514" s="265"/>
      <c r="BO514" s="109"/>
      <c r="BP514" s="265"/>
      <c r="BQ514" s="265"/>
      <c r="BR514" s="265"/>
      <c r="BS514" s="207"/>
      <c r="BT514" s="475"/>
      <c r="BU514" s="475"/>
      <c r="BV514" s="475"/>
      <c r="BW514" s="483"/>
      <c r="BX514" s="483"/>
    </row>
    <row r="515" spans="1:76" ht="14.5">
      <c r="A515" s="511"/>
      <c r="B515" s="696"/>
      <c r="C515" s="697"/>
      <c r="D515" s="509" t="s">
        <v>5371</v>
      </c>
      <c r="E515" s="698" t="s">
        <v>1625</v>
      </c>
      <c r="F515" s="502"/>
      <c r="G515" s="502"/>
      <c r="H515" s="700">
        <v>0.5</v>
      </c>
      <c r="I515" s="504"/>
      <c r="J515" s="504"/>
      <c r="K515" s="505">
        <v>0</v>
      </c>
      <c r="L515" s="506"/>
      <c r="M515" s="507">
        <v>0.7142857142857143</v>
      </c>
      <c r="N515" s="508">
        <f t="shared" si="332"/>
        <v>0.2857142857142857</v>
      </c>
      <c r="O515" s="475"/>
      <c r="P515" s="475"/>
      <c r="Q515" s="475">
        <f t="shared" si="338"/>
        <v>0</v>
      </c>
      <c r="R515" s="699"/>
      <c r="S515" s="699"/>
      <c r="T515" s="509"/>
      <c r="U515" s="395"/>
      <c r="V515" s="100"/>
      <c r="W515" s="100"/>
      <c r="X515" s="109"/>
      <c r="Y515" s="109"/>
      <c r="Z515" s="110"/>
      <c r="AA515" s="110"/>
      <c r="AB515" s="110"/>
      <c r="AC515" s="109"/>
      <c r="AD515" s="109"/>
      <c r="AE515" s="109"/>
      <c r="AF515" s="109"/>
      <c r="AG515" s="332"/>
      <c r="AH515" s="332"/>
      <c r="AI515" s="332"/>
      <c r="AJ515" s="109"/>
      <c r="AK515" s="109"/>
      <c r="AL515" s="109"/>
      <c r="AM515" s="111"/>
      <c r="AN515" s="111"/>
      <c r="AO515" s="111"/>
      <c r="AP515" s="111"/>
      <c r="AQ515" s="112"/>
      <c r="AR515" s="112"/>
      <c r="AS515" s="113"/>
      <c r="AT515" s="109"/>
      <c r="AU515" s="114"/>
      <c r="AV515" s="113"/>
      <c r="AW515" s="112"/>
      <c r="AX515" s="109"/>
      <c r="AY515" s="109"/>
      <c r="AZ515" s="109"/>
      <c r="BA515" s="111"/>
      <c r="BB515" s="117"/>
      <c r="BC515" s="115"/>
      <c r="BD515" s="115"/>
      <c r="BE515" s="115"/>
      <c r="BF515" s="109"/>
      <c r="BG515" s="111"/>
      <c r="BH515" s="115"/>
      <c r="BI515" s="116"/>
      <c r="BJ515" s="222"/>
      <c r="BK515" s="265"/>
      <c r="BL515" s="265"/>
      <c r="BM515" s="265"/>
      <c r="BN515" s="265"/>
      <c r="BO515" s="109"/>
      <c r="BP515" s="265"/>
      <c r="BQ515" s="265"/>
      <c r="BR515" s="265"/>
      <c r="BS515" s="207"/>
      <c r="BT515" s="475"/>
      <c r="BU515" s="475"/>
      <c r="BV515" s="475"/>
      <c r="BW515" s="483"/>
      <c r="BX515" s="483"/>
    </row>
    <row r="516" spans="1:76" ht="14.5">
      <c r="A516" s="511"/>
      <c r="B516" s="696"/>
      <c r="C516" s="697"/>
      <c r="D516" s="509" t="s">
        <v>5371</v>
      </c>
      <c r="E516" s="698" t="s">
        <v>1625</v>
      </c>
      <c r="F516" s="502"/>
      <c r="G516" s="502"/>
      <c r="H516" s="700">
        <v>0.5</v>
      </c>
      <c r="I516" s="504"/>
      <c r="J516" s="504"/>
      <c r="K516" s="505">
        <v>0</v>
      </c>
      <c r="L516" s="506"/>
      <c r="M516" s="507">
        <v>0.7142857142857143</v>
      </c>
      <c r="N516" s="508">
        <f t="shared" si="332"/>
        <v>0.2857142857142857</v>
      </c>
      <c r="O516" s="475"/>
      <c r="P516" s="475"/>
      <c r="Q516" s="475">
        <f t="shared" si="338"/>
        <v>0</v>
      </c>
      <c r="R516" s="699"/>
      <c r="S516" s="699"/>
      <c r="T516" s="509"/>
      <c r="U516" s="395"/>
      <c r="V516" s="100"/>
      <c r="W516" s="100"/>
      <c r="X516" s="109"/>
      <c r="Y516" s="109"/>
      <c r="Z516" s="110"/>
      <c r="AA516" s="110"/>
      <c r="AB516" s="110"/>
      <c r="AC516" s="109"/>
      <c r="AD516" s="109"/>
      <c r="AE516" s="109"/>
      <c r="AF516" s="109"/>
      <c r="AG516" s="332"/>
      <c r="AH516" s="332"/>
      <c r="AI516" s="332"/>
      <c r="AJ516" s="109"/>
      <c r="AK516" s="109"/>
      <c r="AL516" s="109"/>
      <c r="AM516" s="111"/>
      <c r="AN516" s="111"/>
      <c r="AO516" s="111"/>
      <c r="AP516" s="111"/>
      <c r="AQ516" s="112"/>
      <c r="AR516" s="112"/>
      <c r="AS516" s="113"/>
      <c r="AT516" s="109"/>
      <c r="AU516" s="114"/>
      <c r="AV516" s="113"/>
      <c r="AW516" s="112"/>
      <c r="AX516" s="109"/>
      <c r="AY516" s="109"/>
      <c r="AZ516" s="109"/>
      <c r="BA516" s="111"/>
      <c r="BB516" s="117"/>
      <c r="BC516" s="115"/>
      <c r="BD516" s="115"/>
      <c r="BE516" s="115"/>
      <c r="BF516" s="109"/>
      <c r="BG516" s="111"/>
      <c r="BH516" s="115"/>
      <c r="BI516" s="116"/>
      <c r="BJ516" s="222"/>
      <c r="BK516" s="265"/>
      <c r="BL516" s="265"/>
      <c r="BM516" s="265"/>
      <c r="BN516" s="265"/>
      <c r="BO516" s="109"/>
      <c r="BP516" s="265"/>
      <c r="BQ516" s="265"/>
      <c r="BR516" s="265"/>
      <c r="BS516" s="207"/>
      <c r="BT516" s="475"/>
      <c r="BU516" s="475"/>
      <c r="BV516" s="475"/>
      <c r="BW516" s="483"/>
      <c r="BX516" s="483"/>
    </row>
    <row r="517" spans="1:76" ht="14.5">
      <c r="A517" s="511"/>
      <c r="B517" s="696"/>
      <c r="C517" s="697"/>
      <c r="D517" s="509" t="s">
        <v>5371</v>
      </c>
      <c r="E517" s="698" t="s">
        <v>1625</v>
      </c>
      <c r="F517" s="502" t="s">
        <v>5382</v>
      </c>
      <c r="G517" s="502"/>
      <c r="H517" s="700">
        <v>0.38</v>
      </c>
      <c r="I517" s="504"/>
      <c r="J517" s="504"/>
      <c r="K517" s="505">
        <v>0</v>
      </c>
      <c r="L517" s="506"/>
      <c r="M517" s="507">
        <v>0.35714285714285715</v>
      </c>
      <c r="N517" s="508">
        <f t="shared" si="332"/>
        <v>0.64285714285714279</v>
      </c>
      <c r="O517" s="475">
        <f t="shared" si="336"/>
        <v>153594.93560283733</v>
      </c>
      <c r="P517" s="475">
        <f t="shared" si="337"/>
        <v>-153594.93560283733</v>
      </c>
      <c r="Q517" s="475">
        <f t="shared" si="338"/>
        <v>0</v>
      </c>
      <c r="R517" s="699"/>
      <c r="S517" s="699"/>
      <c r="T517" s="509" t="s">
        <v>2851</v>
      </c>
      <c r="U517" s="395"/>
      <c r="V517" s="100"/>
      <c r="W517" s="100"/>
      <c r="X517" s="109"/>
      <c r="Y517" s="109"/>
      <c r="Z517" s="110"/>
      <c r="AA517" s="110"/>
      <c r="AB517" s="110"/>
      <c r="AC517" s="109"/>
      <c r="AD517" s="109"/>
      <c r="AE517" s="109"/>
      <c r="AF517" s="109"/>
      <c r="AG517" s="332"/>
      <c r="AH517" s="332"/>
      <c r="AI517" s="332"/>
      <c r="AJ517" s="109"/>
      <c r="AK517" s="109"/>
      <c r="AL517" s="109"/>
      <c r="AM517" s="111"/>
      <c r="AN517" s="111"/>
      <c r="AO517" s="111"/>
      <c r="AP517" s="111"/>
      <c r="AQ517" s="112"/>
      <c r="AR517" s="112"/>
      <c r="AS517" s="113"/>
      <c r="AT517" s="109"/>
      <c r="AU517" s="114"/>
      <c r="AV517" s="113"/>
      <c r="AW517" s="112"/>
      <c r="AX517" s="109"/>
      <c r="AY517" s="109"/>
      <c r="AZ517" s="109"/>
      <c r="BA517" s="111"/>
      <c r="BB517" s="117"/>
      <c r="BC517" s="115"/>
      <c r="BD517" s="115"/>
      <c r="BE517" s="115"/>
      <c r="BF517" s="109"/>
      <c r="BG517" s="111"/>
      <c r="BH517" s="115"/>
      <c r="BI517" s="116"/>
      <c r="BJ517" s="222"/>
      <c r="BK517" s="265"/>
      <c r="BL517" s="265"/>
      <c r="BM517" s="265"/>
      <c r="BN517" s="265"/>
      <c r="BO517" s="109"/>
      <c r="BP517" s="265"/>
      <c r="BQ517" s="265"/>
      <c r="BR517" s="265"/>
      <c r="BS517" s="207"/>
      <c r="BT517" s="475"/>
      <c r="BU517" s="475"/>
      <c r="BV517" s="475"/>
      <c r="BW517" s="483"/>
      <c r="BX517" s="483"/>
    </row>
    <row r="518" spans="1:76" ht="14.5">
      <c r="A518" s="511"/>
      <c r="B518" s="696"/>
      <c r="C518" s="697"/>
      <c r="D518" s="509" t="s">
        <v>5371</v>
      </c>
      <c r="E518" s="698" t="s">
        <v>1638</v>
      </c>
      <c r="F518" s="502" t="s">
        <v>5383</v>
      </c>
      <c r="G518" s="502"/>
      <c r="H518" s="700">
        <v>0.55000000000000004</v>
      </c>
      <c r="I518" s="504"/>
      <c r="J518" s="504"/>
      <c r="K518" s="505">
        <v>1638272</v>
      </c>
      <c r="L518" s="506"/>
      <c r="M518" s="507">
        <v>0.24999999999999994</v>
      </c>
      <c r="N518" s="508">
        <f t="shared" si="332"/>
        <v>0.75</v>
      </c>
      <c r="O518" s="475">
        <f t="shared" si="336"/>
        <v>769934.60794531228</v>
      </c>
      <c r="P518" s="475">
        <f t="shared" si="337"/>
        <v>192550.19205468753</v>
      </c>
      <c r="Q518" s="475">
        <f t="shared" si="338"/>
        <v>675787.20000000007</v>
      </c>
      <c r="R518" s="699"/>
      <c r="S518" s="699"/>
      <c r="T518" s="509" t="s">
        <v>2858</v>
      </c>
      <c r="U518" s="395"/>
      <c r="V518" s="100"/>
      <c r="W518" s="100"/>
      <c r="X518" s="109"/>
      <c r="Y518" s="109"/>
      <c r="Z518" s="110"/>
      <c r="AA518" s="110"/>
      <c r="AB518" s="110"/>
      <c r="AC518" s="109"/>
      <c r="AD518" s="109"/>
      <c r="AE518" s="109"/>
      <c r="AF518" s="109"/>
      <c r="AG518" s="332"/>
      <c r="AH518" s="332"/>
      <c r="AI518" s="332"/>
      <c r="AJ518" s="109"/>
      <c r="AK518" s="109"/>
      <c r="AL518" s="109"/>
      <c r="AM518" s="111"/>
      <c r="AN518" s="111"/>
      <c r="AO518" s="111"/>
      <c r="AP518" s="111"/>
      <c r="AQ518" s="112"/>
      <c r="AR518" s="112"/>
      <c r="AS518" s="113"/>
      <c r="AT518" s="109"/>
      <c r="AU518" s="114"/>
      <c r="AV518" s="113"/>
      <c r="AW518" s="112"/>
      <c r="AX518" s="109"/>
      <c r="AY518" s="109"/>
      <c r="AZ518" s="109"/>
      <c r="BA518" s="111"/>
      <c r="BB518" s="117"/>
      <c r="BC518" s="115"/>
      <c r="BD518" s="115"/>
      <c r="BE518" s="115"/>
      <c r="BF518" s="109"/>
      <c r="BG518" s="111"/>
      <c r="BH518" s="115"/>
      <c r="BI518" s="116"/>
      <c r="BJ518" s="222"/>
      <c r="BK518" s="265"/>
      <c r="BL518" s="265"/>
      <c r="BM518" s="265"/>
      <c r="BN518" s="265"/>
      <c r="BO518" s="109"/>
      <c r="BP518" s="265"/>
      <c r="BQ518" s="265"/>
      <c r="BR518" s="265"/>
      <c r="BS518" s="207"/>
      <c r="BT518" s="475"/>
      <c r="BU518" s="475"/>
      <c r="BV518" s="475"/>
      <c r="BW518" s="483"/>
      <c r="BX518" s="483"/>
    </row>
    <row r="519" spans="1:76" ht="14.5">
      <c r="A519" s="511"/>
      <c r="B519" s="696"/>
      <c r="C519" s="697"/>
      <c r="D519" s="509" t="s">
        <v>5371</v>
      </c>
      <c r="E519" s="698" t="s">
        <v>5375</v>
      </c>
      <c r="F519" s="502" t="s">
        <v>5384</v>
      </c>
      <c r="G519" s="502"/>
      <c r="H519" s="700">
        <v>0.25</v>
      </c>
      <c r="I519" s="504"/>
      <c r="J519" s="504"/>
      <c r="K519" s="505">
        <v>3100393</v>
      </c>
      <c r="L519" s="506"/>
      <c r="M519" s="507">
        <v>0.24999999999999994</v>
      </c>
      <c r="N519" s="508">
        <f t="shared" si="332"/>
        <v>0.75</v>
      </c>
      <c r="O519" s="475">
        <f t="shared" si="336"/>
        <v>2337294.3747795108</v>
      </c>
      <c r="P519" s="475">
        <f t="shared" si="337"/>
        <v>181774.93772048914</v>
      </c>
      <c r="Q519" s="475">
        <f t="shared" si="338"/>
        <v>581323.6875</v>
      </c>
      <c r="R519" s="699"/>
      <c r="S519" s="699"/>
      <c r="T519" s="509" t="s">
        <v>2860</v>
      </c>
      <c r="U519" s="395"/>
      <c r="V519" s="100"/>
      <c r="W519" s="100"/>
      <c r="X519" s="109"/>
      <c r="Y519" s="109"/>
      <c r="Z519" s="110"/>
      <c r="AA519" s="110"/>
      <c r="AB519" s="110"/>
      <c r="AC519" s="109"/>
      <c r="AD519" s="109"/>
      <c r="AE519" s="109"/>
      <c r="AF519" s="109"/>
      <c r="AG519" s="332"/>
      <c r="AH519" s="332"/>
      <c r="AI519" s="332"/>
      <c r="AJ519" s="109"/>
      <c r="AK519" s="109"/>
      <c r="AL519" s="109"/>
      <c r="AM519" s="111"/>
      <c r="AN519" s="111"/>
      <c r="AO519" s="111"/>
      <c r="AP519" s="111"/>
      <c r="AQ519" s="112"/>
      <c r="AR519" s="112"/>
      <c r="AS519" s="113"/>
      <c r="AT519" s="109"/>
      <c r="AU519" s="114"/>
      <c r="AV519" s="113"/>
      <c r="AW519" s="112"/>
      <c r="AX519" s="109"/>
      <c r="AY519" s="109"/>
      <c r="AZ519" s="109"/>
      <c r="BA519" s="111"/>
      <c r="BB519" s="117"/>
      <c r="BC519" s="115"/>
      <c r="BD519" s="115"/>
      <c r="BE519" s="115"/>
      <c r="BF519" s="109"/>
      <c r="BG519" s="111"/>
      <c r="BH519" s="115"/>
      <c r="BI519" s="116"/>
      <c r="BJ519" s="222"/>
      <c r="BK519" s="265"/>
      <c r="BL519" s="265"/>
      <c r="BM519" s="265"/>
      <c r="BN519" s="265"/>
      <c r="BO519" s="109"/>
      <c r="BP519" s="265"/>
      <c r="BQ519" s="265"/>
      <c r="BR519" s="265"/>
      <c r="BS519" s="207"/>
      <c r="BT519" s="475"/>
      <c r="BU519" s="475"/>
      <c r="BV519" s="475"/>
      <c r="BW519" s="483"/>
      <c r="BX519" s="483"/>
    </row>
    <row r="520" spans="1:76" ht="14.5">
      <c r="A520" s="99"/>
      <c r="B520" s="91" t="str">
        <f t="shared" ref="B520:B569" si="339">LEFT(T520,3)</f>
        <v xml:space="preserve">CI </v>
      </c>
      <c r="C520" s="92"/>
      <c r="D520" s="451"/>
      <c r="E520" s="451"/>
      <c r="F520" s="409" t="s">
        <v>4385</v>
      </c>
      <c r="G520" s="384"/>
      <c r="H520" s="398">
        <v>1</v>
      </c>
      <c r="I520" s="151"/>
      <c r="J520" s="95"/>
      <c r="K520" s="191">
        <v>-1196206.6046237389</v>
      </c>
      <c r="L520" s="269">
        <v>1</v>
      </c>
      <c r="M520" s="267">
        <v>1</v>
      </c>
      <c r="N520" s="267">
        <f t="shared" ref="N520:N569" si="340">100%-M520</f>
        <v>0</v>
      </c>
      <c r="O520" s="96">
        <f t="shared" ref="O520:O546" si="341">(K520*(100%-H520))+(K520*H520*(100%-L520))</f>
        <v>0</v>
      </c>
      <c r="P520" s="96">
        <f t="shared" ref="P520:P546" si="342">(+K520*L520*M520*H520)</f>
        <v>-1196206.6046237389</v>
      </c>
      <c r="Q520" s="96">
        <f t="shared" ref="Q520:Q535" si="343">+K520*L520*N520*H520</f>
        <v>0</v>
      </c>
      <c r="R520" s="187"/>
      <c r="S520" s="187"/>
      <c r="T520" s="94" t="s">
        <v>2851</v>
      </c>
      <c r="U520" s="395">
        <f>COUNTIF(Aggregation_of_rev_to_allocate!$A$3:$A$137,$T520)</f>
        <v>1</v>
      </c>
      <c r="V520" s="100"/>
      <c r="W520" s="100"/>
      <c r="X520" s="109">
        <v>1E-3</v>
      </c>
      <c r="Y520" s="109">
        <v>0</v>
      </c>
      <c r="Z520" s="110">
        <v>1</v>
      </c>
      <c r="AA520" s="110">
        <v>1</v>
      </c>
      <c r="AB520" s="110">
        <v>0</v>
      </c>
      <c r="AC520" s="109">
        <f>IF(ISERROR((X520*SUMIF('Rev_for_allocation(Hard)'!$A$3:$A$249,$T520,'Rev_for_allocation(Hard)'!$I$3:$I$249)/SUMIF(Historic_capex_list!$T$9:$T$586,$T520,Historic_capex_list!$X$9:$X$586))=TRUE),0,X520*SUMIF('Rev_for_allocation(Hard)'!$A$3:$A$249,$T520,'Rev_for_allocation(Hard)'!$I$3:$I$249)/SUMIF(Historic_capex_list!$T$9:$T$586,$T520,Historic_capex_list!$X$9:$X$586))</f>
        <v>-1196206.6046237389</v>
      </c>
      <c r="AD520" s="109">
        <f t="shared" si="304"/>
        <v>-1196206.603623739</v>
      </c>
      <c r="AE520" s="109">
        <f t="shared" si="299"/>
        <v>-2392413.2092474778</v>
      </c>
      <c r="AF520" s="109">
        <f t="shared" ref="AF520:AF546" si="344">+Y520+AD520</f>
        <v>-1196206.603623739</v>
      </c>
      <c r="AG520" s="109"/>
      <c r="AH520" s="109"/>
      <c r="AI520" s="109"/>
      <c r="AJ520" s="109"/>
      <c r="AK520" s="109"/>
      <c r="AL520" s="109"/>
      <c r="AM520" s="111">
        <f t="shared" ref="AM520:AM546" si="345">AB520/(1-AB520)*10</f>
        <v>0</v>
      </c>
      <c r="AN520" s="111">
        <f t="shared" ref="AN520:AN546" si="346">IF(AM520=0,0,IF(AD520&lt;0,AM520-10,AM520-3))</f>
        <v>0</v>
      </c>
      <c r="AO520" s="111">
        <f t="shared" ref="AO520:AO546" si="347">IF(-AC520&gt;AE520,((AE520+Y520+AC520)/(AE520+Y520))*(AM520+10),"Use deduct 3yrs")</f>
        <v>15</v>
      </c>
      <c r="AP520" s="111">
        <f t="shared" si="311"/>
        <v>0</v>
      </c>
      <c r="AQ520" s="112">
        <f t="shared" si="312"/>
        <v>0</v>
      </c>
      <c r="AR520" s="112">
        <f t="shared" ref="AR520:AR546" si="348">IF(O520=0,1,1-AQ520)</f>
        <v>1</v>
      </c>
      <c r="AS520" s="113">
        <f t="shared" si="314"/>
        <v>2028</v>
      </c>
      <c r="AT520" s="109">
        <v>-1196206.6046237389</v>
      </c>
      <c r="AU520" s="114">
        <v>1</v>
      </c>
      <c r="AV520" s="113">
        <v>2028</v>
      </c>
      <c r="AW520" s="112">
        <v>1</v>
      </c>
      <c r="AX520" s="109">
        <f t="shared" si="316"/>
        <v>-1196206.6046237389</v>
      </c>
      <c r="AY520" s="109">
        <f t="shared" si="317"/>
        <v>0</v>
      </c>
      <c r="AZ520" s="109">
        <f t="shared" si="318"/>
        <v>-1196206.603623739</v>
      </c>
      <c r="BA520" s="111">
        <f t="shared" si="319"/>
        <v>9.9999993108212948E-4</v>
      </c>
      <c r="BB520" s="117"/>
      <c r="BC520" s="115" t="str">
        <f t="shared" si="320"/>
        <v>Y</v>
      </c>
      <c r="BD520" s="115" t="str">
        <f t="shared" si="321"/>
        <v>Y</v>
      </c>
      <c r="BE520" s="115" t="str">
        <f t="shared" si="322"/>
        <v>Y</v>
      </c>
      <c r="BF520" s="109">
        <f t="shared" si="323"/>
        <v>-1196206.6046237389</v>
      </c>
      <c r="BG520" s="111" t="s">
        <v>2499</v>
      </c>
      <c r="BH520" s="115" t="s">
        <v>1168</v>
      </c>
      <c r="BI520" s="116"/>
      <c r="BJ520" s="222">
        <v>1</v>
      </c>
      <c r="BK520" s="265">
        <f t="shared" si="324"/>
        <v>0</v>
      </c>
      <c r="BL520" s="265">
        <f t="shared" ref="BL520:BL570" si="349">+Q520-AY520</f>
        <v>0</v>
      </c>
      <c r="BM520" s="265">
        <f t="shared" si="326"/>
        <v>0</v>
      </c>
      <c r="BN520" s="265">
        <f t="shared" si="327"/>
        <v>1196206.6056237388</v>
      </c>
      <c r="BO520" s="109"/>
      <c r="BP520" s="265">
        <f t="shared" ref="BP520:BP570" si="350">+X520+Y520-AT520</f>
        <v>1196206.6056237388</v>
      </c>
      <c r="BQ520" s="265">
        <v>1196206.6056237388</v>
      </c>
      <c r="BR520" s="265" t="e">
        <f t="shared" ref="BR520:BR570" si="351">+BQ520*$BR$7</f>
        <v>#REF!</v>
      </c>
      <c r="BS520" s="207">
        <v>134763.72263555398</v>
      </c>
      <c r="BT520" s="475">
        <v>0</v>
      </c>
      <c r="BU520" s="475">
        <v>-1196206.6046237389</v>
      </c>
      <c r="BV520" s="475">
        <v>0</v>
      </c>
      <c r="BW520" s="483">
        <f t="shared" ref="BW520:BW574" si="352">P520-BU520</f>
        <v>0</v>
      </c>
      <c r="BX520" s="483">
        <f t="shared" ref="BX520:BX574" si="353">Q520-BV520</f>
        <v>0</v>
      </c>
    </row>
    <row r="521" spans="1:76" ht="14.5">
      <c r="A521" s="99"/>
      <c r="B521" s="91" t="str">
        <f t="shared" si="339"/>
        <v xml:space="preserve">CI </v>
      </c>
      <c r="C521" s="92"/>
      <c r="D521" s="451"/>
      <c r="E521" s="451"/>
      <c r="F521" s="409" t="s">
        <v>4385</v>
      </c>
      <c r="G521" s="384"/>
      <c r="H521" s="398">
        <v>1</v>
      </c>
      <c r="I521" s="151"/>
      <c r="J521" s="95"/>
      <c r="K521" s="191">
        <v>-150.98679953781314</v>
      </c>
      <c r="L521" s="269">
        <v>1</v>
      </c>
      <c r="M521" s="267">
        <v>1</v>
      </c>
      <c r="N521" s="267">
        <f t="shared" si="340"/>
        <v>0</v>
      </c>
      <c r="O521" s="96">
        <f t="shared" si="341"/>
        <v>0</v>
      </c>
      <c r="P521" s="96">
        <f t="shared" si="342"/>
        <v>-150.98679953781314</v>
      </c>
      <c r="Q521" s="96">
        <f t="shared" si="343"/>
        <v>0</v>
      </c>
      <c r="R521" s="187"/>
      <c r="S521" s="187"/>
      <c r="T521" s="94" t="s">
        <v>2861</v>
      </c>
      <c r="U521" s="395">
        <f>COUNTIF(Aggregation_of_rev_to_allocate!$A$3:$A$137,$T521)</f>
        <v>1</v>
      </c>
      <c r="V521" s="100"/>
      <c r="W521" s="100"/>
      <c r="X521" s="109">
        <v>1E-3</v>
      </c>
      <c r="Y521" s="109">
        <v>0</v>
      </c>
      <c r="Z521" s="110">
        <v>1</v>
      </c>
      <c r="AA521" s="110">
        <v>1</v>
      </c>
      <c r="AB521" s="110">
        <v>0</v>
      </c>
      <c r="AC521" s="109">
        <f>IF(ISERROR((X521*SUMIF('Rev_for_allocation(Hard)'!$A$3:$A$249,$T521,'Rev_for_allocation(Hard)'!$I$3:$I$249)/SUMIF(Historic_capex_list!$T$9:$T$586,$T521,Historic_capex_list!$X$9:$X$586))=TRUE),0,X521*SUMIF('Rev_for_allocation(Hard)'!$A$3:$A$249,$T521,'Rev_for_allocation(Hard)'!$I$3:$I$249)/SUMIF(Historic_capex_list!$T$9:$T$586,$T521,Historic_capex_list!$X$9:$X$586))</f>
        <v>-150.98679953781314</v>
      </c>
      <c r="AD521" s="109">
        <f t="shared" si="304"/>
        <v>-150.98579953781314</v>
      </c>
      <c r="AE521" s="109">
        <f t="shared" si="299"/>
        <v>-301.97359907562628</v>
      </c>
      <c r="AF521" s="109">
        <f t="shared" si="344"/>
        <v>-150.98579953781314</v>
      </c>
      <c r="AG521" s="109"/>
      <c r="AH521" s="109"/>
      <c r="AI521" s="109"/>
      <c r="AJ521" s="109"/>
      <c r="AK521" s="109"/>
      <c r="AL521" s="109"/>
      <c r="AM521" s="111">
        <f t="shared" si="345"/>
        <v>0</v>
      </c>
      <c r="AN521" s="111">
        <f t="shared" si="346"/>
        <v>0</v>
      </c>
      <c r="AO521" s="111">
        <f t="shared" si="347"/>
        <v>15</v>
      </c>
      <c r="AP521" s="111">
        <f t="shared" si="311"/>
        <v>0</v>
      </c>
      <c r="AQ521" s="112">
        <f t="shared" si="312"/>
        <v>0</v>
      </c>
      <c r="AR521" s="112">
        <f t="shared" si="348"/>
        <v>1</v>
      </c>
      <c r="AS521" s="113">
        <f t="shared" si="314"/>
        <v>2028</v>
      </c>
      <c r="AT521" s="109">
        <v>-150.98679953781314</v>
      </c>
      <c r="AU521" s="114">
        <v>1</v>
      </c>
      <c r="AV521" s="113">
        <v>2028</v>
      </c>
      <c r="AW521" s="112">
        <v>1</v>
      </c>
      <c r="AX521" s="109">
        <f t="shared" si="316"/>
        <v>-150.98679953781314</v>
      </c>
      <c r="AY521" s="109">
        <f t="shared" si="317"/>
        <v>0</v>
      </c>
      <c r="AZ521" s="109">
        <f t="shared" si="318"/>
        <v>-150.98579953781314</v>
      </c>
      <c r="BA521" s="111">
        <f t="shared" si="319"/>
        <v>1.0000000000047748E-3</v>
      </c>
      <c r="BB521" s="117"/>
      <c r="BC521" s="115" t="str">
        <f t="shared" si="320"/>
        <v>Y</v>
      </c>
      <c r="BD521" s="115" t="str">
        <f t="shared" si="321"/>
        <v>Y</v>
      </c>
      <c r="BE521" s="115" t="str">
        <f t="shared" si="322"/>
        <v>Y</v>
      </c>
      <c r="BF521" s="109">
        <f t="shared" si="323"/>
        <v>-150.98679953781314</v>
      </c>
      <c r="BG521" s="111" t="s">
        <v>2499</v>
      </c>
      <c r="BH521" s="115" t="s">
        <v>1168</v>
      </c>
      <c r="BI521" s="116"/>
      <c r="BJ521" s="222">
        <v>1</v>
      </c>
      <c r="BK521" s="265">
        <f t="shared" si="324"/>
        <v>0</v>
      </c>
      <c r="BL521" s="265">
        <f t="shared" si="349"/>
        <v>0</v>
      </c>
      <c r="BM521" s="265">
        <f t="shared" si="326"/>
        <v>0</v>
      </c>
      <c r="BN521" s="265">
        <f t="shared" si="327"/>
        <v>150.98779953781315</v>
      </c>
      <c r="BO521" s="109"/>
      <c r="BP521" s="265">
        <f t="shared" si="350"/>
        <v>150.98779953781315</v>
      </c>
      <c r="BQ521" s="265">
        <v>150.98779953781315</v>
      </c>
      <c r="BR521" s="265" t="e">
        <f t="shared" si="351"/>
        <v>#REF!</v>
      </c>
      <c r="BS521" s="207">
        <v>17.010170185155072</v>
      </c>
      <c r="BT521" s="475">
        <v>0</v>
      </c>
      <c r="BU521" s="475">
        <v>-150.98679953781314</v>
      </c>
      <c r="BV521" s="475">
        <v>0</v>
      </c>
      <c r="BW521" s="483">
        <f t="shared" si="352"/>
        <v>0</v>
      </c>
      <c r="BX521" s="483">
        <f t="shared" si="353"/>
        <v>0</v>
      </c>
    </row>
    <row r="522" spans="1:76" ht="14.5">
      <c r="A522" s="99"/>
      <c r="B522" s="91" t="str">
        <f t="shared" si="339"/>
        <v xml:space="preserve">CI </v>
      </c>
      <c r="C522" s="92"/>
      <c r="D522" s="451"/>
      <c r="E522" s="451"/>
      <c r="F522" s="409" t="s">
        <v>4385</v>
      </c>
      <c r="G522" s="384"/>
      <c r="H522" s="398">
        <v>1</v>
      </c>
      <c r="I522" s="151"/>
      <c r="J522" s="95"/>
      <c r="K522" s="191">
        <v>-9448.5974265617788</v>
      </c>
      <c r="L522" s="269">
        <v>1</v>
      </c>
      <c r="M522" s="267">
        <v>1</v>
      </c>
      <c r="N522" s="267">
        <f t="shared" si="340"/>
        <v>0</v>
      </c>
      <c r="O522" s="96">
        <f t="shared" si="341"/>
        <v>0</v>
      </c>
      <c r="P522" s="96">
        <f t="shared" si="342"/>
        <v>-9448.5974265617788</v>
      </c>
      <c r="Q522" s="96">
        <f t="shared" si="343"/>
        <v>0</v>
      </c>
      <c r="R522" s="187"/>
      <c r="S522" s="187"/>
      <c r="T522" s="94" t="s">
        <v>2866</v>
      </c>
      <c r="U522" s="395">
        <f>COUNTIF(Aggregation_of_rev_to_allocate!$A$3:$A$137,$T522)</f>
        <v>1</v>
      </c>
      <c r="V522" s="100"/>
      <c r="W522" s="100"/>
      <c r="X522" s="109">
        <v>1E-3</v>
      </c>
      <c r="Y522" s="109">
        <v>0</v>
      </c>
      <c r="Z522" s="110">
        <v>1</v>
      </c>
      <c r="AA522" s="110">
        <v>1</v>
      </c>
      <c r="AB522" s="110">
        <v>0</v>
      </c>
      <c r="AC522" s="109">
        <f>IF(ISERROR((X522*SUMIF('Rev_for_allocation(Hard)'!$A$3:$A$249,$T522,'Rev_for_allocation(Hard)'!$I$3:$I$249)/SUMIF(Historic_capex_list!$T$9:$T$586,$T522,Historic_capex_list!$X$9:$X$586))=TRUE),0,X522*SUMIF('Rev_for_allocation(Hard)'!$A$3:$A$249,$T522,'Rev_for_allocation(Hard)'!$I$3:$I$249)/SUMIF(Historic_capex_list!$T$9:$T$586,$T522,Historic_capex_list!$X$9:$X$586))</f>
        <v>-9448.5974265617788</v>
      </c>
      <c r="AD522" s="109">
        <f t="shared" si="304"/>
        <v>-9448.5964265617786</v>
      </c>
      <c r="AE522" s="109">
        <f t="shared" si="299"/>
        <v>-18897.194853123558</v>
      </c>
      <c r="AF522" s="109">
        <f t="shared" si="344"/>
        <v>-9448.5964265617786</v>
      </c>
      <c r="AG522" s="109"/>
      <c r="AH522" s="109"/>
      <c r="AI522" s="109"/>
      <c r="AJ522" s="109"/>
      <c r="AK522" s="109"/>
      <c r="AL522" s="109"/>
      <c r="AM522" s="111">
        <f t="shared" si="345"/>
        <v>0</v>
      </c>
      <c r="AN522" s="111">
        <f t="shared" si="346"/>
        <v>0</v>
      </c>
      <c r="AO522" s="111">
        <f t="shared" si="347"/>
        <v>15</v>
      </c>
      <c r="AP522" s="111">
        <f t="shared" si="311"/>
        <v>0</v>
      </c>
      <c r="AQ522" s="112">
        <f t="shared" si="312"/>
        <v>0</v>
      </c>
      <c r="AR522" s="112">
        <f t="shared" si="348"/>
        <v>1</v>
      </c>
      <c r="AS522" s="113">
        <f t="shared" si="314"/>
        <v>2028</v>
      </c>
      <c r="AT522" s="109">
        <v>-9448.5974265617788</v>
      </c>
      <c r="AU522" s="114">
        <v>1</v>
      </c>
      <c r="AV522" s="113">
        <v>2028</v>
      </c>
      <c r="AW522" s="112">
        <v>1</v>
      </c>
      <c r="AX522" s="109">
        <f t="shared" si="316"/>
        <v>-9448.5974265617788</v>
      </c>
      <c r="AY522" s="109">
        <f t="shared" si="317"/>
        <v>0</v>
      </c>
      <c r="AZ522" s="109">
        <f t="shared" si="318"/>
        <v>-9448.5964265617786</v>
      </c>
      <c r="BA522" s="111">
        <f t="shared" si="319"/>
        <v>1.0000000002037268E-3</v>
      </c>
      <c r="BB522" s="117"/>
      <c r="BC522" s="115" t="str">
        <f t="shared" si="320"/>
        <v>Y</v>
      </c>
      <c r="BD522" s="115" t="str">
        <f t="shared" si="321"/>
        <v>Y</v>
      </c>
      <c r="BE522" s="115" t="str">
        <f t="shared" si="322"/>
        <v>Y</v>
      </c>
      <c r="BF522" s="109">
        <f t="shared" si="323"/>
        <v>-9448.5974265617788</v>
      </c>
      <c r="BG522" s="111" t="s">
        <v>2499</v>
      </c>
      <c r="BH522" s="115" t="s">
        <v>1168</v>
      </c>
      <c r="BI522" s="116"/>
      <c r="BJ522" s="222">
        <v>1</v>
      </c>
      <c r="BK522" s="265">
        <f t="shared" si="324"/>
        <v>0</v>
      </c>
      <c r="BL522" s="265">
        <f t="shared" si="349"/>
        <v>0</v>
      </c>
      <c r="BM522" s="265">
        <f t="shared" si="326"/>
        <v>0</v>
      </c>
      <c r="BN522" s="265">
        <f t="shared" si="327"/>
        <v>9448.598426561779</v>
      </c>
      <c r="BO522" s="109"/>
      <c r="BP522" s="265">
        <f t="shared" si="350"/>
        <v>9448.598426561779</v>
      </c>
      <c r="BQ522" s="265">
        <v>9448.598426561779</v>
      </c>
      <c r="BR522" s="265" t="e">
        <f t="shared" si="351"/>
        <v>#REF!</v>
      </c>
      <c r="BS522" s="207">
        <v>1064.4718827546942</v>
      </c>
      <c r="BT522" s="475">
        <v>0</v>
      </c>
      <c r="BU522" s="475">
        <v>-9448.5974265617788</v>
      </c>
      <c r="BV522" s="475">
        <v>0</v>
      </c>
      <c r="BW522" s="483">
        <f t="shared" si="352"/>
        <v>0</v>
      </c>
      <c r="BX522" s="483">
        <f t="shared" si="353"/>
        <v>0</v>
      </c>
    </row>
    <row r="523" spans="1:76" ht="14.5">
      <c r="A523" s="99"/>
      <c r="B523" s="91" t="str">
        <f t="shared" si="339"/>
        <v>OSD</v>
      </c>
      <c r="C523" s="92"/>
      <c r="D523" s="451"/>
      <c r="E523" s="451"/>
      <c r="F523" s="409" t="s">
        <v>4385</v>
      </c>
      <c r="G523" s="384"/>
      <c r="H523" s="398">
        <v>1</v>
      </c>
      <c r="I523" s="151"/>
      <c r="J523" s="95"/>
      <c r="K523" s="191">
        <v>-3.106605767095295E-3</v>
      </c>
      <c r="L523" s="269">
        <v>1</v>
      </c>
      <c r="M523" s="267">
        <v>1</v>
      </c>
      <c r="N523" s="267">
        <f t="shared" si="340"/>
        <v>0</v>
      </c>
      <c r="O523" s="96">
        <f t="shared" si="341"/>
        <v>0</v>
      </c>
      <c r="P523" s="96">
        <f t="shared" si="342"/>
        <v>-3.106605767095295E-3</v>
      </c>
      <c r="Q523" s="96">
        <f t="shared" si="343"/>
        <v>0</v>
      </c>
      <c r="R523" s="187"/>
      <c r="S523" s="187"/>
      <c r="T523" s="94" t="s">
        <v>2714</v>
      </c>
      <c r="U523" s="395">
        <f>COUNTIF(Aggregation_of_rev_to_allocate!$A$3:$A$137,$T523)</f>
        <v>1</v>
      </c>
      <c r="V523" s="100"/>
      <c r="W523" s="100"/>
      <c r="X523" s="109">
        <v>1E-3</v>
      </c>
      <c r="Y523" s="109">
        <v>0</v>
      </c>
      <c r="Z523" s="110">
        <v>1</v>
      </c>
      <c r="AA523" s="110">
        <v>1</v>
      </c>
      <c r="AB523" s="110">
        <v>0</v>
      </c>
      <c r="AC523" s="109">
        <f>IF(ISERROR((X523*SUMIF('Rev_for_allocation(Hard)'!$A$3:$A$249,$T523,'Rev_for_allocation(Hard)'!$I$3:$I$249)/SUMIF(Historic_capex_list!$T$9:$T$586,$T523,Historic_capex_list!$X$9:$X$586))=TRUE),0,X523*SUMIF('Rev_for_allocation(Hard)'!$A$3:$A$249,$T523,'Rev_for_allocation(Hard)'!$I$3:$I$249)/SUMIF(Historic_capex_list!$T$9:$T$586,$T523,Historic_capex_list!$X$9:$X$586))</f>
        <v>-4725613.9348458098</v>
      </c>
      <c r="AD523" s="109">
        <f t="shared" si="304"/>
        <v>-4725613.9338458097</v>
      </c>
      <c r="AE523" s="109">
        <f t="shared" si="299"/>
        <v>-4725613.937952416</v>
      </c>
      <c r="AF523" s="109">
        <f t="shared" si="344"/>
        <v>-4725613.9338458097</v>
      </c>
      <c r="AG523" s="109"/>
      <c r="AH523" s="109"/>
      <c r="AI523" s="109"/>
      <c r="AJ523" s="109"/>
      <c r="AK523" s="109"/>
      <c r="AL523" s="109"/>
      <c r="AM523" s="111">
        <f t="shared" si="345"/>
        <v>0</v>
      </c>
      <c r="AN523" s="111">
        <f t="shared" si="346"/>
        <v>0</v>
      </c>
      <c r="AO523" s="111">
        <f t="shared" si="347"/>
        <v>19.999999993426027</v>
      </c>
      <c r="AP523" s="111">
        <f t="shared" si="311"/>
        <v>0</v>
      </c>
      <c r="AQ523" s="112">
        <f t="shared" si="312"/>
        <v>0</v>
      </c>
      <c r="AR523" s="112">
        <f t="shared" si="348"/>
        <v>1</v>
      </c>
      <c r="AS523" s="113">
        <f t="shared" si="314"/>
        <v>2028</v>
      </c>
      <c r="AT523" s="109">
        <v>-3.106605767095295E-3</v>
      </c>
      <c r="AU523" s="114">
        <v>1</v>
      </c>
      <c r="AV523" s="113">
        <v>2028</v>
      </c>
      <c r="AW523" s="112">
        <v>1</v>
      </c>
      <c r="AX523" s="109">
        <f t="shared" si="316"/>
        <v>-3.106605767095295E-3</v>
      </c>
      <c r="AY523" s="109">
        <f t="shared" si="317"/>
        <v>0</v>
      </c>
      <c r="AZ523" s="109">
        <f t="shared" si="318"/>
        <v>-4725613.9338458097</v>
      </c>
      <c r="BA523" s="111">
        <f t="shared" si="319"/>
        <v>-4725613.9307392035</v>
      </c>
      <c r="BB523" s="117"/>
      <c r="BC523" s="115" t="str">
        <f t="shared" si="320"/>
        <v>Y</v>
      </c>
      <c r="BD523" s="115" t="str">
        <f t="shared" si="321"/>
        <v>Y</v>
      </c>
      <c r="BE523" s="115" t="str">
        <f t="shared" si="322"/>
        <v>Y</v>
      </c>
      <c r="BF523" s="109">
        <f t="shared" si="323"/>
        <v>-3.106605767095295E-3</v>
      </c>
      <c r="BG523" s="111" t="s">
        <v>2499</v>
      </c>
      <c r="BH523" s="115" t="s">
        <v>1168</v>
      </c>
      <c r="BI523" s="116"/>
      <c r="BJ523" s="222">
        <v>1</v>
      </c>
      <c r="BK523" s="265">
        <f t="shared" si="324"/>
        <v>0</v>
      </c>
      <c r="BL523" s="265">
        <f t="shared" si="349"/>
        <v>0</v>
      </c>
      <c r="BM523" s="265">
        <f t="shared" si="326"/>
        <v>0</v>
      </c>
      <c r="BN523" s="265">
        <f t="shared" si="327"/>
        <v>4.1066057670952946E-3</v>
      </c>
      <c r="BO523" s="109"/>
      <c r="BP523" s="265">
        <f t="shared" si="350"/>
        <v>4.1066057670952946E-3</v>
      </c>
      <c r="BQ523" s="265">
        <v>4.1066057670952946E-3</v>
      </c>
      <c r="BR523" s="265" t="e">
        <f t="shared" si="351"/>
        <v>#REF!</v>
      </c>
      <c r="BS523" s="207">
        <v>4.6264706946825933E-4</v>
      </c>
      <c r="BT523" s="475">
        <v>0</v>
      </c>
      <c r="BU523" s="475">
        <v>-3.106605767095295E-3</v>
      </c>
      <c r="BV523" s="475">
        <v>0</v>
      </c>
      <c r="BW523" s="483">
        <f t="shared" si="352"/>
        <v>0</v>
      </c>
      <c r="BX523" s="483">
        <f t="shared" si="353"/>
        <v>0</v>
      </c>
    </row>
    <row r="524" spans="1:76" ht="14.5">
      <c r="A524" s="99"/>
      <c r="B524" s="91" t="str">
        <f t="shared" si="339"/>
        <v>OSD</v>
      </c>
      <c r="C524" s="92"/>
      <c r="D524" s="451"/>
      <c r="E524" s="451"/>
      <c r="F524" s="409" t="s">
        <v>4385</v>
      </c>
      <c r="G524" s="384"/>
      <c r="H524" s="398">
        <v>1</v>
      </c>
      <c r="I524" s="151"/>
      <c r="J524" s="95"/>
      <c r="K524" s="191">
        <v>-3.106605767095295E-3</v>
      </c>
      <c r="L524" s="269">
        <v>1</v>
      </c>
      <c r="M524" s="267">
        <v>1</v>
      </c>
      <c r="N524" s="267">
        <f t="shared" si="340"/>
        <v>0</v>
      </c>
      <c r="O524" s="96">
        <f t="shared" si="341"/>
        <v>0</v>
      </c>
      <c r="P524" s="96">
        <f t="shared" si="342"/>
        <v>-3.106605767095295E-3</v>
      </c>
      <c r="Q524" s="96">
        <f t="shared" si="343"/>
        <v>0</v>
      </c>
      <c r="R524" s="187"/>
      <c r="S524" s="187"/>
      <c r="T524" s="94" t="s">
        <v>2714</v>
      </c>
      <c r="U524" s="395">
        <f>COUNTIF(Aggregation_of_rev_to_allocate!$A$3:$A$137,$T524)</f>
        <v>1</v>
      </c>
      <c r="V524" s="100"/>
      <c r="W524" s="100"/>
      <c r="X524" s="109">
        <v>1E-3</v>
      </c>
      <c r="Y524" s="109">
        <v>0</v>
      </c>
      <c r="Z524" s="110">
        <v>1</v>
      </c>
      <c r="AA524" s="110">
        <v>1</v>
      </c>
      <c r="AB524" s="110">
        <v>0</v>
      </c>
      <c r="AC524" s="109">
        <f>IF(ISERROR((X524*SUMIF('Rev_for_allocation(Hard)'!$A$3:$A$249,$T524,'Rev_for_allocation(Hard)'!$I$3:$I$249)/SUMIF(Historic_capex_list!$T$9:$T$586,$T524,Historic_capex_list!$X$9:$X$586))=TRUE),0,X524*SUMIF('Rev_for_allocation(Hard)'!$A$3:$A$249,$T524,'Rev_for_allocation(Hard)'!$I$3:$I$249)/SUMIF(Historic_capex_list!$T$9:$T$586,$T524,Historic_capex_list!$X$9:$X$586))</f>
        <v>-4725613.9348458098</v>
      </c>
      <c r="AD524" s="109">
        <f t="shared" si="304"/>
        <v>-4725613.9338458097</v>
      </c>
      <c r="AE524" s="109">
        <f t="shared" si="299"/>
        <v>-4725613.937952416</v>
      </c>
      <c r="AF524" s="109">
        <f t="shared" si="344"/>
        <v>-4725613.9338458097</v>
      </c>
      <c r="AG524" s="109"/>
      <c r="AH524" s="109"/>
      <c r="AI524" s="109"/>
      <c r="AJ524" s="109"/>
      <c r="AK524" s="109"/>
      <c r="AL524" s="109"/>
      <c r="AM524" s="111">
        <f t="shared" si="345"/>
        <v>0</v>
      </c>
      <c r="AN524" s="111">
        <f t="shared" si="346"/>
        <v>0</v>
      </c>
      <c r="AO524" s="111">
        <f t="shared" si="347"/>
        <v>19.999999993426027</v>
      </c>
      <c r="AP524" s="111">
        <f t="shared" si="311"/>
        <v>0</v>
      </c>
      <c r="AQ524" s="112">
        <f t="shared" si="312"/>
        <v>0</v>
      </c>
      <c r="AR524" s="112">
        <f t="shared" si="348"/>
        <v>1</v>
      </c>
      <c r="AS524" s="113">
        <f t="shared" si="314"/>
        <v>2028</v>
      </c>
      <c r="AT524" s="109">
        <v>-3.106605767095295E-3</v>
      </c>
      <c r="AU524" s="114">
        <v>1</v>
      </c>
      <c r="AV524" s="113">
        <v>2028</v>
      </c>
      <c r="AW524" s="112">
        <v>1</v>
      </c>
      <c r="AX524" s="109">
        <f t="shared" si="316"/>
        <v>-3.106605767095295E-3</v>
      </c>
      <c r="AY524" s="109">
        <f t="shared" si="317"/>
        <v>0</v>
      </c>
      <c r="AZ524" s="109">
        <f t="shared" si="318"/>
        <v>-4725613.9338458097</v>
      </c>
      <c r="BA524" s="111">
        <f t="shared" si="319"/>
        <v>-4725613.9307392035</v>
      </c>
      <c r="BB524" s="117"/>
      <c r="BC524" s="115" t="str">
        <f t="shared" si="320"/>
        <v>Y</v>
      </c>
      <c r="BD524" s="115" t="str">
        <f t="shared" si="321"/>
        <v>Y</v>
      </c>
      <c r="BE524" s="115" t="str">
        <f t="shared" si="322"/>
        <v>Y</v>
      </c>
      <c r="BF524" s="109">
        <f t="shared" si="323"/>
        <v>-3.106605767095295E-3</v>
      </c>
      <c r="BG524" s="111" t="s">
        <v>2499</v>
      </c>
      <c r="BH524" s="115" t="s">
        <v>1168</v>
      </c>
      <c r="BI524" s="116"/>
      <c r="BJ524" s="222">
        <v>1</v>
      </c>
      <c r="BK524" s="265">
        <f t="shared" si="324"/>
        <v>0</v>
      </c>
      <c r="BL524" s="265">
        <f t="shared" si="349"/>
        <v>0</v>
      </c>
      <c r="BM524" s="265">
        <f t="shared" si="326"/>
        <v>0</v>
      </c>
      <c r="BN524" s="265">
        <f t="shared" si="327"/>
        <v>4.1066057670952946E-3</v>
      </c>
      <c r="BO524" s="109"/>
      <c r="BP524" s="265">
        <f t="shared" si="350"/>
        <v>4.1066057670952946E-3</v>
      </c>
      <c r="BQ524" s="265">
        <v>4.1066057670952946E-3</v>
      </c>
      <c r="BR524" s="265" t="e">
        <f t="shared" si="351"/>
        <v>#REF!</v>
      </c>
      <c r="BS524" s="207">
        <v>4.6264706946825933E-4</v>
      </c>
      <c r="BT524" s="475">
        <v>0</v>
      </c>
      <c r="BU524" s="475">
        <v>-3.106605767095295E-3</v>
      </c>
      <c r="BV524" s="475">
        <v>0</v>
      </c>
      <c r="BW524" s="483">
        <f t="shared" si="352"/>
        <v>0</v>
      </c>
      <c r="BX524" s="483">
        <f t="shared" si="353"/>
        <v>0</v>
      </c>
    </row>
    <row r="525" spans="1:76" ht="14.5">
      <c r="A525" s="99"/>
      <c r="B525" s="91" t="str">
        <f t="shared" si="339"/>
        <v>OSD</v>
      </c>
      <c r="C525" s="92"/>
      <c r="D525" s="451"/>
      <c r="E525" s="451"/>
      <c r="F525" s="409" t="s">
        <v>4385</v>
      </c>
      <c r="G525" s="384"/>
      <c r="H525" s="398">
        <v>1</v>
      </c>
      <c r="I525" s="151"/>
      <c r="J525" s="95"/>
      <c r="K525" s="191">
        <v>-3.106605767095295E-3</v>
      </c>
      <c r="L525" s="269">
        <v>1</v>
      </c>
      <c r="M525" s="267">
        <v>1</v>
      </c>
      <c r="N525" s="267">
        <f t="shared" si="340"/>
        <v>0</v>
      </c>
      <c r="O525" s="96">
        <f t="shared" si="341"/>
        <v>0</v>
      </c>
      <c r="P525" s="96">
        <f t="shared" si="342"/>
        <v>-3.106605767095295E-3</v>
      </c>
      <c r="Q525" s="96">
        <f t="shared" si="343"/>
        <v>0</v>
      </c>
      <c r="R525" s="187"/>
      <c r="S525" s="187"/>
      <c r="T525" s="94" t="s">
        <v>2714</v>
      </c>
      <c r="U525" s="395">
        <f>COUNTIF(Aggregation_of_rev_to_allocate!$A$3:$A$137,$T525)</f>
        <v>1</v>
      </c>
      <c r="V525" s="100"/>
      <c r="W525" s="100"/>
      <c r="X525" s="109">
        <v>1E-3</v>
      </c>
      <c r="Y525" s="109">
        <v>0</v>
      </c>
      <c r="Z525" s="110">
        <v>1</v>
      </c>
      <c r="AA525" s="110">
        <v>1</v>
      </c>
      <c r="AB525" s="110">
        <v>0</v>
      </c>
      <c r="AC525" s="109">
        <f>IF(ISERROR((X525*SUMIF('Rev_for_allocation(Hard)'!$A$3:$A$249,$T525,'Rev_for_allocation(Hard)'!$I$3:$I$249)/SUMIF(Historic_capex_list!$T$9:$T$586,$T525,Historic_capex_list!$X$9:$X$586))=TRUE),0,X525*SUMIF('Rev_for_allocation(Hard)'!$A$3:$A$249,$T525,'Rev_for_allocation(Hard)'!$I$3:$I$249)/SUMIF(Historic_capex_list!$T$9:$T$586,$T525,Historic_capex_list!$X$9:$X$586))</f>
        <v>-4725613.9348458098</v>
      </c>
      <c r="AD525" s="109">
        <f t="shared" ref="AD525:AD546" si="354">+AC525+X525</f>
        <v>-4725613.9338458097</v>
      </c>
      <c r="AE525" s="109">
        <f t="shared" ref="AE525:AE546" si="355">IF(AD525&lt;0,+Q525+P525+AC525,+AD525)</f>
        <v>-4725613.937952416</v>
      </c>
      <c r="AF525" s="109">
        <f t="shared" si="344"/>
        <v>-4725613.9338458097</v>
      </c>
      <c r="AG525" s="109"/>
      <c r="AH525" s="109"/>
      <c r="AI525" s="109"/>
      <c r="AJ525" s="109"/>
      <c r="AK525" s="109"/>
      <c r="AL525" s="109"/>
      <c r="AM525" s="111">
        <f t="shared" si="345"/>
        <v>0</v>
      </c>
      <c r="AN525" s="111">
        <f t="shared" si="346"/>
        <v>0</v>
      </c>
      <c r="AO525" s="111">
        <f t="shared" si="347"/>
        <v>19.999999993426027</v>
      </c>
      <c r="AP525" s="111">
        <f t="shared" ref="AP525:AP546" si="356">IF(AO525&lt;=10,0,AN525)</f>
        <v>0</v>
      </c>
      <c r="AQ525" s="112">
        <f t="shared" ref="AQ525:AQ546" si="357">IF(AN525&lt;=0,0,(AP525/(AP525+10)))</f>
        <v>0</v>
      </c>
      <c r="AR525" s="112">
        <f t="shared" si="348"/>
        <v>1</v>
      </c>
      <c r="AS525" s="113">
        <f t="shared" ref="AS525:AS546" si="358">ROUND(IF(+$AS$7+AP525&lt;+$AS$7,+$AS$7,+$AS$7+AP525),0)</f>
        <v>2028</v>
      </c>
      <c r="AT525" s="109">
        <v>-3.106605767095295E-3</v>
      </c>
      <c r="AU525" s="114">
        <v>1</v>
      </c>
      <c r="AV525" s="113">
        <v>2028</v>
      </c>
      <c r="AW525" s="112">
        <v>1</v>
      </c>
      <c r="AX525" s="109">
        <f t="shared" ref="AX525:AX586" si="359">$K525*$AW525*$AU525*$H525</f>
        <v>-3.106605767095295E-3</v>
      </c>
      <c r="AY525" s="109">
        <f t="shared" ref="AY525:AY586" si="360">$K525*$AW525*(1-$AU525)*$H525</f>
        <v>0</v>
      </c>
      <c r="AZ525" s="109">
        <f t="shared" ref="AZ525:AZ546" si="361">IF(K525&lt;1,+AF525,+AY525+AX525)</f>
        <v>-4725613.9338458097</v>
      </c>
      <c r="BA525" s="111">
        <f t="shared" ref="BA525:BA546" si="362">+AZ525-AT525</f>
        <v>-4725613.9307392035</v>
      </c>
      <c r="BB525" s="117"/>
      <c r="BC525" s="115" t="str">
        <f t="shared" ref="BC525:BC546" si="363">IF(P525&lt;=BC$7,"Y","N")</f>
        <v>Y</v>
      </c>
      <c r="BD525" s="115" t="str">
        <f t="shared" ref="BD525:BD546" si="364">IF(Q525&lt;=BD$7,"Y","N")</f>
        <v>Y</v>
      </c>
      <c r="BE525" s="115" t="str">
        <f t="shared" ref="BE525:BE546" si="365">IF(AND(BC525="Y",Q525=0),"Y","N")</f>
        <v>Y</v>
      </c>
      <c r="BF525" s="109">
        <f t="shared" ref="BF525:BF546" si="366">IF(BE525="Y",+P525,"")</f>
        <v>-3.106605767095295E-3</v>
      </c>
      <c r="BG525" s="111" t="s">
        <v>2499</v>
      </c>
      <c r="BH525" s="115" t="s">
        <v>1168</v>
      </c>
      <c r="BI525" s="116"/>
      <c r="BJ525" s="222">
        <v>1</v>
      </c>
      <c r="BK525" s="265">
        <f t="shared" ref="BK525:BK546" si="367">+AY525-Q525</f>
        <v>0</v>
      </c>
      <c r="BL525" s="265">
        <f t="shared" si="349"/>
        <v>0</v>
      </c>
      <c r="BM525" s="265">
        <f t="shared" ref="BM525:BM546" si="368">+K525-O525-P525-Q525</f>
        <v>0</v>
      </c>
      <c r="BN525" s="265">
        <f t="shared" ref="BN525:BN546" si="369">+X525-P525</f>
        <v>4.1066057670952946E-3</v>
      </c>
      <c r="BO525" s="109"/>
      <c r="BP525" s="265">
        <f t="shared" si="350"/>
        <v>4.1066057670952946E-3</v>
      </c>
      <c r="BQ525" s="265">
        <v>4.1066057670952946E-3</v>
      </c>
      <c r="BR525" s="265" t="e">
        <f t="shared" si="351"/>
        <v>#REF!</v>
      </c>
      <c r="BS525" s="207">
        <v>4.6264706946825933E-4</v>
      </c>
      <c r="BT525" s="475">
        <v>0</v>
      </c>
      <c r="BU525" s="475">
        <v>-3.106605767095295E-3</v>
      </c>
      <c r="BV525" s="475">
        <v>0</v>
      </c>
      <c r="BW525" s="483">
        <f t="shared" si="352"/>
        <v>0</v>
      </c>
      <c r="BX525" s="483">
        <f t="shared" si="353"/>
        <v>0</v>
      </c>
    </row>
    <row r="526" spans="1:76" ht="14.5">
      <c r="A526" s="99"/>
      <c r="B526" s="91" t="str">
        <f t="shared" si="339"/>
        <v>OSD</v>
      </c>
      <c r="C526" s="92"/>
      <c r="D526" s="451"/>
      <c r="E526" s="451"/>
      <c r="F526" s="409" t="s">
        <v>4385</v>
      </c>
      <c r="G526" s="384"/>
      <c r="H526" s="398">
        <v>1</v>
      </c>
      <c r="I526" s="151"/>
      <c r="J526" s="95"/>
      <c r="K526" s="191">
        <v>-3.106605767095295E-3</v>
      </c>
      <c r="L526" s="269">
        <v>1</v>
      </c>
      <c r="M526" s="267">
        <v>1</v>
      </c>
      <c r="N526" s="267">
        <f t="shared" si="340"/>
        <v>0</v>
      </c>
      <c r="O526" s="96">
        <f t="shared" si="341"/>
        <v>0</v>
      </c>
      <c r="P526" s="96">
        <f t="shared" si="342"/>
        <v>-3.106605767095295E-3</v>
      </c>
      <c r="Q526" s="96">
        <f t="shared" si="343"/>
        <v>0</v>
      </c>
      <c r="R526" s="187"/>
      <c r="S526" s="187"/>
      <c r="T526" s="94" t="s">
        <v>2714</v>
      </c>
      <c r="U526" s="395">
        <f>COUNTIF(Aggregation_of_rev_to_allocate!$A$3:$A$137,$T526)</f>
        <v>1</v>
      </c>
      <c r="V526" s="100"/>
      <c r="W526" s="100"/>
      <c r="X526" s="109">
        <v>1E-3</v>
      </c>
      <c r="Y526" s="109">
        <v>0</v>
      </c>
      <c r="Z526" s="110">
        <v>1</v>
      </c>
      <c r="AA526" s="110">
        <v>1</v>
      </c>
      <c r="AB526" s="110">
        <v>0</v>
      </c>
      <c r="AC526" s="109">
        <f>IF(ISERROR((X526*SUMIF('Rev_for_allocation(Hard)'!$A$3:$A$249,$T526,'Rev_for_allocation(Hard)'!$I$3:$I$249)/SUMIF(Historic_capex_list!$T$9:$T$586,$T526,Historic_capex_list!$X$9:$X$586))=TRUE),0,X526*SUMIF('Rev_for_allocation(Hard)'!$A$3:$A$249,$T526,'Rev_for_allocation(Hard)'!$I$3:$I$249)/SUMIF(Historic_capex_list!$T$9:$T$586,$T526,Historic_capex_list!$X$9:$X$586))</f>
        <v>-4725613.9348458098</v>
      </c>
      <c r="AD526" s="109">
        <f t="shared" si="354"/>
        <v>-4725613.9338458097</v>
      </c>
      <c r="AE526" s="109">
        <f t="shared" si="355"/>
        <v>-4725613.937952416</v>
      </c>
      <c r="AF526" s="109">
        <f t="shared" si="344"/>
        <v>-4725613.9338458097</v>
      </c>
      <c r="AG526" s="109"/>
      <c r="AH526" s="109"/>
      <c r="AI526" s="109"/>
      <c r="AJ526" s="109"/>
      <c r="AK526" s="109"/>
      <c r="AL526" s="109"/>
      <c r="AM526" s="111">
        <f t="shared" si="345"/>
        <v>0</v>
      </c>
      <c r="AN526" s="111">
        <f t="shared" si="346"/>
        <v>0</v>
      </c>
      <c r="AO526" s="111">
        <f t="shared" si="347"/>
        <v>19.999999993426027</v>
      </c>
      <c r="AP526" s="111">
        <f t="shared" si="356"/>
        <v>0</v>
      </c>
      <c r="AQ526" s="112">
        <f t="shared" si="357"/>
        <v>0</v>
      </c>
      <c r="AR526" s="112">
        <f t="shared" si="348"/>
        <v>1</v>
      </c>
      <c r="AS526" s="113">
        <f t="shared" si="358"/>
        <v>2028</v>
      </c>
      <c r="AT526" s="109">
        <v>-3.106605767095295E-3</v>
      </c>
      <c r="AU526" s="114">
        <v>1</v>
      </c>
      <c r="AV526" s="113">
        <v>2028</v>
      </c>
      <c r="AW526" s="112">
        <v>1</v>
      </c>
      <c r="AX526" s="109">
        <f t="shared" si="359"/>
        <v>-3.106605767095295E-3</v>
      </c>
      <c r="AY526" s="109">
        <f t="shared" si="360"/>
        <v>0</v>
      </c>
      <c r="AZ526" s="109">
        <f t="shared" si="361"/>
        <v>-4725613.9338458097</v>
      </c>
      <c r="BA526" s="111">
        <f t="shared" si="362"/>
        <v>-4725613.9307392035</v>
      </c>
      <c r="BB526" s="117"/>
      <c r="BC526" s="115" t="str">
        <f t="shared" si="363"/>
        <v>Y</v>
      </c>
      <c r="BD526" s="115" t="str">
        <f t="shared" si="364"/>
        <v>Y</v>
      </c>
      <c r="BE526" s="115" t="str">
        <f t="shared" si="365"/>
        <v>Y</v>
      </c>
      <c r="BF526" s="109">
        <f t="shared" si="366"/>
        <v>-3.106605767095295E-3</v>
      </c>
      <c r="BG526" s="111" t="s">
        <v>2499</v>
      </c>
      <c r="BH526" s="115" t="s">
        <v>1168</v>
      </c>
      <c r="BI526" s="116"/>
      <c r="BJ526" s="222">
        <v>1</v>
      </c>
      <c r="BK526" s="265">
        <f t="shared" si="367"/>
        <v>0</v>
      </c>
      <c r="BL526" s="265">
        <f t="shared" si="349"/>
        <v>0</v>
      </c>
      <c r="BM526" s="265">
        <f t="shared" si="368"/>
        <v>0</v>
      </c>
      <c r="BN526" s="265">
        <f t="shared" si="369"/>
        <v>4.1066057670952946E-3</v>
      </c>
      <c r="BO526" s="109"/>
      <c r="BP526" s="265">
        <f t="shared" si="350"/>
        <v>4.1066057670952946E-3</v>
      </c>
      <c r="BQ526" s="265">
        <v>4.1066057670952946E-3</v>
      </c>
      <c r="BR526" s="265" t="e">
        <f t="shared" si="351"/>
        <v>#REF!</v>
      </c>
      <c r="BS526" s="207">
        <v>4.6264706946825933E-4</v>
      </c>
      <c r="BT526" s="475">
        <v>0</v>
      </c>
      <c r="BU526" s="475">
        <v>-3.106605767095295E-3</v>
      </c>
      <c r="BV526" s="475">
        <v>0</v>
      </c>
      <c r="BW526" s="483">
        <f t="shared" si="352"/>
        <v>0</v>
      </c>
      <c r="BX526" s="483">
        <f t="shared" si="353"/>
        <v>0</v>
      </c>
    </row>
    <row r="527" spans="1:76" ht="14.5">
      <c r="A527" s="99"/>
      <c r="B527" s="91" t="str">
        <f t="shared" si="339"/>
        <v>OSD</v>
      </c>
      <c r="C527" s="92"/>
      <c r="D527" s="451"/>
      <c r="E527" s="451"/>
      <c r="F527" s="409" t="s">
        <v>4385</v>
      </c>
      <c r="G527" s="384"/>
      <c r="H527" s="398">
        <v>1</v>
      </c>
      <c r="I527" s="151"/>
      <c r="J527" s="95"/>
      <c r="K527" s="191">
        <v>-3.106605767095295E-3</v>
      </c>
      <c r="L527" s="269">
        <v>1</v>
      </c>
      <c r="M527" s="267">
        <v>1</v>
      </c>
      <c r="N527" s="267">
        <f t="shared" si="340"/>
        <v>0</v>
      </c>
      <c r="O527" s="96">
        <f t="shared" si="341"/>
        <v>0</v>
      </c>
      <c r="P527" s="96">
        <f t="shared" si="342"/>
        <v>-3.106605767095295E-3</v>
      </c>
      <c r="Q527" s="96">
        <f t="shared" si="343"/>
        <v>0</v>
      </c>
      <c r="R527" s="187"/>
      <c r="S527" s="187"/>
      <c r="T527" s="94" t="s">
        <v>2714</v>
      </c>
      <c r="U527" s="395">
        <f>COUNTIF(Aggregation_of_rev_to_allocate!$A$3:$A$137,$T527)</f>
        <v>1</v>
      </c>
      <c r="V527" s="100"/>
      <c r="W527" s="100"/>
      <c r="X527" s="109">
        <v>1E-3</v>
      </c>
      <c r="Y527" s="109">
        <v>0</v>
      </c>
      <c r="Z527" s="110">
        <v>1</v>
      </c>
      <c r="AA527" s="110">
        <v>1</v>
      </c>
      <c r="AB527" s="110">
        <v>0</v>
      </c>
      <c r="AC527" s="109">
        <f>IF(ISERROR((X527*SUMIF('Rev_for_allocation(Hard)'!$A$3:$A$249,$T527,'Rev_for_allocation(Hard)'!$I$3:$I$249)/SUMIF(Historic_capex_list!$T$9:$T$586,$T527,Historic_capex_list!$X$9:$X$586))=TRUE),0,X527*SUMIF('Rev_for_allocation(Hard)'!$A$3:$A$249,$T527,'Rev_for_allocation(Hard)'!$I$3:$I$249)/SUMIF(Historic_capex_list!$T$9:$T$586,$T527,Historic_capex_list!$X$9:$X$586))</f>
        <v>-4725613.9348458098</v>
      </c>
      <c r="AD527" s="109">
        <f t="shared" si="354"/>
        <v>-4725613.9338458097</v>
      </c>
      <c r="AE527" s="109">
        <f t="shared" si="355"/>
        <v>-4725613.937952416</v>
      </c>
      <c r="AF527" s="109">
        <f t="shared" si="344"/>
        <v>-4725613.9338458097</v>
      </c>
      <c r="AG527" s="109"/>
      <c r="AH527" s="109"/>
      <c r="AI527" s="109"/>
      <c r="AJ527" s="109"/>
      <c r="AK527" s="109"/>
      <c r="AL527" s="109"/>
      <c r="AM527" s="111">
        <f t="shared" si="345"/>
        <v>0</v>
      </c>
      <c r="AN527" s="111">
        <f t="shared" si="346"/>
        <v>0</v>
      </c>
      <c r="AO527" s="111">
        <f t="shared" si="347"/>
        <v>19.999999993426027</v>
      </c>
      <c r="AP527" s="111">
        <f t="shared" si="356"/>
        <v>0</v>
      </c>
      <c r="AQ527" s="112">
        <f t="shared" si="357"/>
        <v>0</v>
      </c>
      <c r="AR527" s="112">
        <f t="shared" si="348"/>
        <v>1</v>
      </c>
      <c r="AS527" s="113">
        <f t="shared" si="358"/>
        <v>2028</v>
      </c>
      <c r="AT527" s="109">
        <v>-3.106605767095295E-3</v>
      </c>
      <c r="AU527" s="114">
        <v>1</v>
      </c>
      <c r="AV527" s="113">
        <v>2028</v>
      </c>
      <c r="AW527" s="112">
        <v>1</v>
      </c>
      <c r="AX527" s="109">
        <f t="shared" si="359"/>
        <v>-3.106605767095295E-3</v>
      </c>
      <c r="AY527" s="109">
        <f t="shared" si="360"/>
        <v>0</v>
      </c>
      <c r="AZ527" s="109">
        <f t="shared" si="361"/>
        <v>-4725613.9338458097</v>
      </c>
      <c r="BA527" s="111">
        <f t="shared" si="362"/>
        <v>-4725613.9307392035</v>
      </c>
      <c r="BB527" s="117"/>
      <c r="BC527" s="115" t="str">
        <f t="shared" si="363"/>
        <v>Y</v>
      </c>
      <c r="BD527" s="115" t="str">
        <f t="shared" si="364"/>
        <v>Y</v>
      </c>
      <c r="BE527" s="115" t="str">
        <f t="shared" si="365"/>
        <v>Y</v>
      </c>
      <c r="BF527" s="109">
        <f t="shared" si="366"/>
        <v>-3.106605767095295E-3</v>
      </c>
      <c r="BG527" s="111" t="s">
        <v>2499</v>
      </c>
      <c r="BH527" s="115" t="s">
        <v>1168</v>
      </c>
      <c r="BI527" s="116"/>
      <c r="BJ527" s="222">
        <v>1</v>
      </c>
      <c r="BK527" s="265">
        <f t="shared" si="367"/>
        <v>0</v>
      </c>
      <c r="BL527" s="265">
        <f t="shared" si="349"/>
        <v>0</v>
      </c>
      <c r="BM527" s="265">
        <f t="shared" si="368"/>
        <v>0</v>
      </c>
      <c r="BN527" s="265">
        <f t="shared" si="369"/>
        <v>4.1066057670952946E-3</v>
      </c>
      <c r="BO527" s="109"/>
      <c r="BP527" s="265">
        <f t="shared" si="350"/>
        <v>4.1066057670952946E-3</v>
      </c>
      <c r="BQ527" s="265">
        <v>4.1066057670952946E-3</v>
      </c>
      <c r="BR527" s="265" t="e">
        <f t="shared" si="351"/>
        <v>#REF!</v>
      </c>
      <c r="BS527" s="207">
        <v>4.6264706946825933E-4</v>
      </c>
      <c r="BT527" s="475">
        <v>0</v>
      </c>
      <c r="BU527" s="475">
        <v>-3.106605767095295E-3</v>
      </c>
      <c r="BV527" s="475">
        <v>0</v>
      </c>
      <c r="BW527" s="483">
        <f t="shared" si="352"/>
        <v>0</v>
      </c>
      <c r="BX527" s="483">
        <f t="shared" si="353"/>
        <v>0</v>
      </c>
    </row>
    <row r="528" spans="1:76" ht="14.5">
      <c r="A528" s="99"/>
      <c r="B528" s="91" t="str">
        <f t="shared" si="339"/>
        <v>OSD</v>
      </c>
      <c r="C528" s="92"/>
      <c r="D528" s="451"/>
      <c r="E528" s="451"/>
      <c r="F528" s="409" t="s">
        <v>4385</v>
      </c>
      <c r="G528" s="384"/>
      <c r="H528" s="398">
        <v>1</v>
      </c>
      <c r="I528" s="151"/>
      <c r="J528" s="95"/>
      <c r="K528" s="191">
        <v>-3.106605767095295E-3</v>
      </c>
      <c r="L528" s="269">
        <v>1</v>
      </c>
      <c r="M528" s="267">
        <v>1</v>
      </c>
      <c r="N528" s="267">
        <f t="shared" si="340"/>
        <v>0</v>
      </c>
      <c r="O528" s="96">
        <f t="shared" si="341"/>
        <v>0</v>
      </c>
      <c r="P528" s="96">
        <f t="shared" si="342"/>
        <v>-3.106605767095295E-3</v>
      </c>
      <c r="Q528" s="96">
        <f t="shared" si="343"/>
        <v>0</v>
      </c>
      <c r="R528" s="187"/>
      <c r="S528" s="187"/>
      <c r="T528" s="94" t="s">
        <v>2714</v>
      </c>
      <c r="U528" s="395">
        <f>COUNTIF(Aggregation_of_rev_to_allocate!$A$3:$A$137,$T528)</f>
        <v>1</v>
      </c>
      <c r="V528" s="100"/>
      <c r="W528" s="100"/>
      <c r="X528" s="109">
        <v>1E-3</v>
      </c>
      <c r="Y528" s="109">
        <v>0</v>
      </c>
      <c r="Z528" s="110">
        <v>1</v>
      </c>
      <c r="AA528" s="110">
        <v>1</v>
      </c>
      <c r="AB528" s="110">
        <v>0</v>
      </c>
      <c r="AC528" s="109">
        <f>IF(ISERROR((X528*SUMIF('Rev_for_allocation(Hard)'!$A$3:$A$249,$T528,'Rev_for_allocation(Hard)'!$I$3:$I$249)/SUMIF(Historic_capex_list!$T$9:$T$586,$T528,Historic_capex_list!$X$9:$X$586))=TRUE),0,X528*SUMIF('Rev_for_allocation(Hard)'!$A$3:$A$249,$T528,'Rev_for_allocation(Hard)'!$I$3:$I$249)/SUMIF(Historic_capex_list!$T$9:$T$586,$T528,Historic_capex_list!$X$9:$X$586))</f>
        <v>-4725613.9348458098</v>
      </c>
      <c r="AD528" s="109">
        <f t="shared" si="354"/>
        <v>-4725613.9338458097</v>
      </c>
      <c r="AE528" s="109">
        <f t="shared" si="355"/>
        <v>-4725613.937952416</v>
      </c>
      <c r="AF528" s="109">
        <f t="shared" si="344"/>
        <v>-4725613.9338458097</v>
      </c>
      <c r="AG528" s="109"/>
      <c r="AH528" s="109"/>
      <c r="AI528" s="109"/>
      <c r="AJ528" s="109"/>
      <c r="AK528" s="109"/>
      <c r="AL528" s="109"/>
      <c r="AM528" s="111">
        <f t="shared" si="345"/>
        <v>0</v>
      </c>
      <c r="AN528" s="111">
        <f t="shared" si="346"/>
        <v>0</v>
      </c>
      <c r="AO528" s="111">
        <f t="shared" si="347"/>
        <v>19.999999993426027</v>
      </c>
      <c r="AP528" s="111">
        <f t="shared" si="356"/>
        <v>0</v>
      </c>
      <c r="AQ528" s="112">
        <f t="shared" si="357"/>
        <v>0</v>
      </c>
      <c r="AR528" s="112">
        <f t="shared" si="348"/>
        <v>1</v>
      </c>
      <c r="AS528" s="113">
        <f t="shared" si="358"/>
        <v>2028</v>
      </c>
      <c r="AT528" s="109">
        <v>-3.106605767095295E-3</v>
      </c>
      <c r="AU528" s="114">
        <v>1</v>
      </c>
      <c r="AV528" s="113">
        <v>2028</v>
      </c>
      <c r="AW528" s="112">
        <v>1</v>
      </c>
      <c r="AX528" s="109">
        <f t="shared" si="359"/>
        <v>-3.106605767095295E-3</v>
      </c>
      <c r="AY528" s="109">
        <f t="shared" si="360"/>
        <v>0</v>
      </c>
      <c r="AZ528" s="109">
        <f t="shared" si="361"/>
        <v>-4725613.9338458097</v>
      </c>
      <c r="BA528" s="111">
        <f t="shared" si="362"/>
        <v>-4725613.9307392035</v>
      </c>
      <c r="BB528" s="117"/>
      <c r="BC528" s="115" t="str">
        <f t="shared" si="363"/>
        <v>Y</v>
      </c>
      <c r="BD528" s="115" t="str">
        <f t="shared" si="364"/>
        <v>Y</v>
      </c>
      <c r="BE528" s="115" t="str">
        <f t="shared" si="365"/>
        <v>Y</v>
      </c>
      <c r="BF528" s="109">
        <f t="shared" si="366"/>
        <v>-3.106605767095295E-3</v>
      </c>
      <c r="BG528" s="111" t="s">
        <v>2499</v>
      </c>
      <c r="BH528" s="115" t="s">
        <v>1168</v>
      </c>
      <c r="BI528" s="116"/>
      <c r="BJ528" s="222">
        <v>1</v>
      </c>
      <c r="BK528" s="265">
        <f t="shared" si="367"/>
        <v>0</v>
      </c>
      <c r="BL528" s="265">
        <f t="shared" si="349"/>
        <v>0</v>
      </c>
      <c r="BM528" s="265">
        <f t="shared" si="368"/>
        <v>0</v>
      </c>
      <c r="BN528" s="265">
        <f t="shared" si="369"/>
        <v>4.1066057670952946E-3</v>
      </c>
      <c r="BO528" s="109"/>
      <c r="BP528" s="265">
        <f t="shared" si="350"/>
        <v>4.1066057670952946E-3</v>
      </c>
      <c r="BQ528" s="265">
        <v>4.1066057670952946E-3</v>
      </c>
      <c r="BR528" s="265" t="e">
        <f t="shared" si="351"/>
        <v>#REF!</v>
      </c>
      <c r="BS528" s="207">
        <v>4.6264706946825933E-4</v>
      </c>
      <c r="BT528" s="475">
        <v>0</v>
      </c>
      <c r="BU528" s="475">
        <v>-3.106605767095295E-3</v>
      </c>
      <c r="BV528" s="475">
        <v>0</v>
      </c>
      <c r="BW528" s="483">
        <f t="shared" si="352"/>
        <v>0</v>
      </c>
      <c r="BX528" s="483">
        <f t="shared" si="353"/>
        <v>0</v>
      </c>
    </row>
    <row r="529" spans="1:76" ht="14.5">
      <c r="A529" s="99"/>
      <c r="B529" s="91" t="str">
        <f t="shared" si="339"/>
        <v>OSL</v>
      </c>
      <c r="C529" s="92"/>
      <c r="D529" s="451"/>
      <c r="E529" s="451"/>
      <c r="F529" s="409" t="s">
        <v>4385</v>
      </c>
      <c r="G529" s="384"/>
      <c r="H529" s="398">
        <v>1</v>
      </c>
      <c r="I529" s="151"/>
      <c r="J529" s="95"/>
      <c r="K529" s="191">
        <v>-1.5045925365685408E-3</v>
      </c>
      <c r="L529" s="269">
        <v>1</v>
      </c>
      <c r="M529" s="267">
        <v>1</v>
      </c>
      <c r="N529" s="267">
        <f t="shared" si="340"/>
        <v>0</v>
      </c>
      <c r="O529" s="96">
        <f t="shared" si="341"/>
        <v>0</v>
      </c>
      <c r="P529" s="96">
        <f t="shared" si="342"/>
        <v>-1.5045925365685408E-3</v>
      </c>
      <c r="Q529" s="96">
        <f t="shared" si="343"/>
        <v>0</v>
      </c>
      <c r="R529" s="187"/>
      <c r="S529" s="187"/>
      <c r="T529" s="94" t="s">
        <v>2629</v>
      </c>
      <c r="U529" s="395">
        <f>COUNTIF(Aggregation_of_rev_to_allocate!$A$3:$A$137,$T529)</f>
        <v>1</v>
      </c>
      <c r="V529" s="100"/>
      <c r="W529" s="100"/>
      <c r="X529" s="109">
        <v>1E-3</v>
      </c>
      <c r="Y529" s="109">
        <v>0</v>
      </c>
      <c r="Z529" s="110">
        <v>1</v>
      </c>
      <c r="AA529" s="110">
        <v>1</v>
      </c>
      <c r="AB529" s="110">
        <v>0</v>
      </c>
      <c r="AC529" s="109">
        <f>IF(ISERROR((X529*SUMIF('Rev_for_allocation(Hard)'!$A$3:$A$249,$T529,'Rev_for_allocation(Hard)'!$I$3:$I$249)/SUMIF(Historic_capex_list!$T$9:$T$586,$T529,Historic_capex_list!$X$9:$X$586))=TRUE),0,X529*SUMIF('Rev_for_allocation(Hard)'!$A$3:$A$249,$T529,'Rev_for_allocation(Hard)'!$I$3:$I$249)/SUMIF(Historic_capex_list!$T$9:$T$586,$T529,Historic_capex_list!$X$9:$X$586))</f>
        <v>-1.3720149679871309E-2</v>
      </c>
      <c r="AD529" s="109">
        <f t="shared" si="354"/>
        <v>-1.2720149679871309E-2</v>
      </c>
      <c r="AE529" s="109">
        <f t="shared" si="355"/>
        <v>-1.522474221643985E-2</v>
      </c>
      <c r="AF529" s="109">
        <f t="shared" si="344"/>
        <v>-1.2720149679871309E-2</v>
      </c>
      <c r="AG529" s="109"/>
      <c r="AH529" s="109"/>
      <c r="AI529" s="109"/>
      <c r="AJ529" s="109"/>
      <c r="AK529" s="109"/>
      <c r="AL529" s="109"/>
      <c r="AM529" s="111">
        <f t="shared" si="345"/>
        <v>0</v>
      </c>
      <c r="AN529" s="111">
        <f t="shared" si="346"/>
        <v>0</v>
      </c>
      <c r="AO529" s="111">
        <f t="shared" si="347"/>
        <v>19.01174514801054</v>
      </c>
      <c r="AP529" s="111">
        <f t="shared" si="356"/>
        <v>0</v>
      </c>
      <c r="AQ529" s="112">
        <f t="shared" si="357"/>
        <v>0</v>
      </c>
      <c r="AR529" s="112">
        <f t="shared" si="348"/>
        <v>1</v>
      </c>
      <c r="AS529" s="113">
        <f t="shared" si="358"/>
        <v>2028</v>
      </c>
      <c r="AT529" s="109">
        <v>-1.5045925365685408E-3</v>
      </c>
      <c r="AU529" s="114">
        <v>1</v>
      </c>
      <c r="AV529" s="113">
        <v>2028</v>
      </c>
      <c r="AW529" s="112">
        <v>1</v>
      </c>
      <c r="AX529" s="109">
        <f t="shared" si="359"/>
        <v>-1.5045925365685408E-3</v>
      </c>
      <c r="AY529" s="109">
        <f t="shared" si="360"/>
        <v>0</v>
      </c>
      <c r="AZ529" s="109">
        <f t="shared" si="361"/>
        <v>-1.2720149679871309E-2</v>
      </c>
      <c r="BA529" s="111">
        <f t="shared" si="362"/>
        <v>-1.1215557143302768E-2</v>
      </c>
      <c r="BB529" s="117"/>
      <c r="BC529" s="115" t="str">
        <f t="shared" si="363"/>
        <v>Y</v>
      </c>
      <c r="BD529" s="115" t="str">
        <f t="shared" si="364"/>
        <v>Y</v>
      </c>
      <c r="BE529" s="115" t="str">
        <f t="shared" si="365"/>
        <v>Y</v>
      </c>
      <c r="BF529" s="109">
        <f t="shared" si="366"/>
        <v>-1.5045925365685408E-3</v>
      </c>
      <c r="BG529" s="111" t="s">
        <v>2499</v>
      </c>
      <c r="BH529" s="115" t="s">
        <v>1168</v>
      </c>
      <c r="BI529" s="116"/>
      <c r="BJ529" s="222">
        <v>1</v>
      </c>
      <c r="BK529" s="265">
        <f t="shared" si="367"/>
        <v>0</v>
      </c>
      <c r="BL529" s="265">
        <f t="shared" si="349"/>
        <v>0</v>
      </c>
      <c r="BM529" s="265">
        <f t="shared" si="368"/>
        <v>0</v>
      </c>
      <c r="BN529" s="265">
        <f t="shared" si="369"/>
        <v>2.5045925365685408E-3</v>
      </c>
      <c r="BO529" s="109"/>
      <c r="BP529" s="265">
        <f t="shared" si="350"/>
        <v>2.5045925365685408E-3</v>
      </c>
      <c r="BQ529" s="265">
        <v>2.5045925365685408E-3</v>
      </c>
      <c r="BR529" s="265" t="e">
        <f t="shared" si="351"/>
        <v>#REF!</v>
      </c>
      <c r="BS529" s="207">
        <v>2.8216548238939359E-4</v>
      </c>
      <c r="BT529" s="475">
        <v>0</v>
      </c>
      <c r="BU529" s="475">
        <v>-1.5045925365685408E-3</v>
      </c>
      <c r="BV529" s="475">
        <v>0</v>
      </c>
      <c r="BW529" s="483">
        <f t="shared" si="352"/>
        <v>0</v>
      </c>
      <c r="BX529" s="483">
        <f t="shared" si="353"/>
        <v>0</v>
      </c>
    </row>
    <row r="530" spans="1:76" ht="14.5">
      <c r="A530" s="99"/>
      <c r="B530" s="91" t="str">
        <f t="shared" si="339"/>
        <v>OSL</v>
      </c>
      <c r="C530" s="92"/>
      <c r="D530" s="451"/>
      <c r="E530" s="451"/>
      <c r="F530" s="409" t="s">
        <v>4385</v>
      </c>
      <c r="G530" s="384"/>
      <c r="H530" s="398">
        <v>1</v>
      </c>
      <c r="I530" s="151"/>
      <c r="J530" s="95"/>
      <c r="K530" s="191">
        <v>-1.5045925365685408E-3</v>
      </c>
      <c r="L530" s="269">
        <v>1</v>
      </c>
      <c r="M530" s="267">
        <v>1</v>
      </c>
      <c r="N530" s="267">
        <f t="shared" si="340"/>
        <v>0</v>
      </c>
      <c r="O530" s="96">
        <f t="shared" si="341"/>
        <v>0</v>
      </c>
      <c r="P530" s="96">
        <f t="shared" si="342"/>
        <v>-1.5045925365685408E-3</v>
      </c>
      <c r="Q530" s="96">
        <f t="shared" si="343"/>
        <v>0</v>
      </c>
      <c r="R530" s="187"/>
      <c r="S530" s="187"/>
      <c r="T530" s="94" t="s">
        <v>2629</v>
      </c>
      <c r="U530" s="395">
        <f>COUNTIF(Aggregation_of_rev_to_allocate!$A$3:$A$137,$T530)</f>
        <v>1</v>
      </c>
      <c r="V530" s="100"/>
      <c r="W530" s="100"/>
      <c r="X530" s="109">
        <v>1E-3</v>
      </c>
      <c r="Y530" s="109">
        <v>0</v>
      </c>
      <c r="Z530" s="110">
        <v>1</v>
      </c>
      <c r="AA530" s="110">
        <v>1</v>
      </c>
      <c r="AB530" s="110">
        <v>0</v>
      </c>
      <c r="AC530" s="109">
        <f>IF(ISERROR((X530*SUMIF('Rev_for_allocation(Hard)'!$A$3:$A$249,$T530,'Rev_for_allocation(Hard)'!$I$3:$I$249)/SUMIF(Historic_capex_list!$T$9:$T$586,$T530,Historic_capex_list!$X$9:$X$586))=TRUE),0,X530*SUMIF('Rev_for_allocation(Hard)'!$A$3:$A$249,$T530,'Rev_for_allocation(Hard)'!$I$3:$I$249)/SUMIF(Historic_capex_list!$T$9:$T$586,$T530,Historic_capex_list!$X$9:$X$586))</f>
        <v>-1.3720149679871309E-2</v>
      </c>
      <c r="AD530" s="109">
        <f t="shared" si="354"/>
        <v>-1.2720149679871309E-2</v>
      </c>
      <c r="AE530" s="109">
        <f t="shared" si="355"/>
        <v>-1.522474221643985E-2</v>
      </c>
      <c r="AF530" s="109">
        <f t="shared" si="344"/>
        <v>-1.2720149679871309E-2</v>
      </c>
      <c r="AG530" s="109"/>
      <c r="AH530" s="109"/>
      <c r="AI530" s="109"/>
      <c r="AJ530" s="109"/>
      <c r="AK530" s="109"/>
      <c r="AL530" s="109"/>
      <c r="AM530" s="111">
        <f t="shared" si="345"/>
        <v>0</v>
      </c>
      <c r="AN530" s="111">
        <f t="shared" si="346"/>
        <v>0</v>
      </c>
      <c r="AO530" s="111">
        <f t="shared" si="347"/>
        <v>19.01174514801054</v>
      </c>
      <c r="AP530" s="111">
        <f t="shared" si="356"/>
        <v>0</v>
      </c>
      <c r="AQ530" s="112">
        <f t="shared" si="357"/>
        <v>0</v>
      </c>
      <c r="AR530" s="112">
        <f t="shared" si="348"/>
        <v>1</v>
      </c>
      <c r="AS530" s="113">
        <f t="shared" si="358"/>
        <v>2028</v>
      </c>
      <c r="AT530" s="109">
        <v>-1.5045925365685408E-3</v>
      </c>
      <c r="AU530" s="114">
        <v>1</v>
      </c>
      <c r="AV530" s="113">
        <v>2028</v>
      </c>
      <c r="AW530" s="112">
        <v>1</v>
      </c>
      <c r="AX530" s="109">
        <f t="shared" si="359"/>
        <v>-1.5045925365685408E-3</v>
      </c>
      <c r="AY530" s="109">
        <f t="shared" si="360"/>
        <v>0</v>
      </c>
      <c r="AZ530" s="109">
        <f t="shared" si="361"/>
        <v>-1.2720149679871309E-2</v>
      </c>
      <c r="BA530" s="111">
        <f t="shared" si="362"/>
        <v>-1.1215557143302768E-2</v>
      </c>
      <c r="BB530" s="117"/>
      <c r="BC530" s="115" t="str">
        <f t="shared" si="363"/>
        <v>Y</v>
      </c>
      <c r="BD530" s="115" t="str">
        <f t="shared" si="364"/>
        <v>Y</v>
      </c>
      <c r="BE530" s="115" t="str">
        <f t="shared" si="365"/>
        <v>Y</v>
      </c>
      <c r="BF530" s="109">
        <f t="shared" si="366"/>
        <v>-1.5045925365685408E-3</v>
      </c>
      <c r="BG530" s="111" t="s">
        <v>2499</v>
      </c>
      <c r="BH530" s="115" t="s">
        <v>1168</v>
      </c>
      <c r="BI530" s="116"/>
      <c r="BJ530" s="222">
        <v>1</v>
      </c>
      <c r="BK530" s="265">
        <f t="shared" si="367"/>
        <v>0</v>
      </c>
      <c r="BL530" s="265">
        <f t="shared" si="349"/>
        <v>0</v>
      </c>
      <c r="BM530" s="265">
        <f t="shared" si="368"/>
        <v>0</v>
      </c>
      <c r="BN530" s="265">
        <f t="shared" si="369"/>
        <v>2.5045925365685408E-3</v>
      </c>
      <c r="BO530" s="109"/>
      <c r="BP530" s="265">
        <f t="shared" si="350"/>
        <v>2.5045925365685408E-3</v>
      </c>
      <c r="BQ530" s="265">
        <v>2.5045925365685408E-3</v>
      </c>
      <c r="BR530" s="265" t="e">
        <f t="shared" si="351"/>
        <v>#REF!</v>
      </c>
      <c r="BS530" s="207">
        <v>2.8216548238939359E-4</v>
      </c>
      <c r="BT530" s="475">
        <v>0</v>
      </c>
      <c r="BU530" s="475">
        <v>-1.5045925365685408E-3</v>
      </c>
      <c r="BV530" s="475">
        <v>0</v>
      </c>
      <c r="BW530" s="483">
        <f t="shared" si="352"/>
        <v>0</v>
      </c>
      <c r="BX530" s="483">
        <f t="shared" si="353"/>
        <v>0</v>
      </c>
    </row>
    <row r="531" spans="1:76" ht="14.5">
      <c r="A531" s="99"/>
      <c r="B531" s="91" t="str">
        <f t="shared" si="339"/>
        <v>OSL</v>
      </c>
      <c r="C531" s="92"/>
      <c r="D531" s="451"/>
      <c r="E531" s="451"/>
      <c r="F531" s="409" t="s">
        <v>4385</v>
      </c>
      <c r="G531" s="384"/>
      <c r="H531" s="398">
        <v>1</v>
      </c>
      <c r="I531" s="151"/>
      <c r="J531" s="95"/>
      <c r="K531" s="191">
        <v>-1.5045925365685408E-3</v>
      </c>
      <c r="L531" s="269">
        <v>1</v>
      </c>
      <c r="M531" s="267">
        <v>1</v>
      </c>
      <c r="N531" s="267">
        <f t="shared" si="340"/>
        <v>0</v>
      </c>
      <c r="O531" s="96">
        <f t="shared" si="341"/>
        <v>0</v>
      </c>
      <c r="P531" s="96">
        <f t="shared" si="342"/>
        <v>-1.5045925365685408E-3</v>
      </c>
      <c r="Q531" s="96">
        <f t="shared" si="343"/>
        <v>0</v>
      </c>
      <c r="R531" s="187"/>
      <c r="S531" s="187"/>
      <c r="T531" s="94" t="s">
        <v>2629</v>
      </c>
      <c r="U531" s="395">
        <f>COUNTIF(Aggregation_of_rev_to_allocate!$A$3:$A$137,$T531)</f>
        <v>1</v>
      </c>
      <c r="V531" s="100"/>
      <c r="W531" s="100"/>
      <c r="X531" s="109">
        <v>1E-3</v>
      </c>
      <c r="Y531" s="109">
        <v>0</v>
      </c>
      <c r="Z531" s="110">
        <v>1</v>
      </c>
      <c r="AA531" s="110">
        <v>1</v>
      </c>
      <c r="AB531" s="110">
        <v>0</v>
      </c>
      <c r="AC531" s="109">
        <f>IF(ISERROR((X531*SUMIF('Rev_for_allocation(Hard)'!$A$3:$A$249,$T531,'Rev_for_allocation(Hard)'!$I$3:$I$249)/SUMIF(Historic_capex_list!$T$9:$T$586,$T531,Historic_capex_list!$X$9:$X$586))=TRUE),0,X531*SUMIF('Rev_for_allocation(Hard)'!$A$3:$A$249,$T531,'Rev_for_allocation(Hard)'!$I$3:$I$249)/SUMIF(Historic_capex_list!$T$9:$T$586,$T531,Historic_capex_list!$X$9:$X$586))</f>
        <v>-1.3720149679871309E-2</v>
      </c>
      <c r="AD531" s="109">
        <f t="shared" si="354"/>
        <v>-1.2720149679871309E-2</v>
      </c>
      <c r="AE531" s="109">
        <f t="shared" si="355"/>
        <v>-1.522474221643985E-2</v>
      </c>
      <c r="AF531" s="109">
        <f t="shared" si="344"/>
        <v>-1.2720149679871309E-2</v>
      </c>
      <c r="AG531" s="109"/>
      <c r="AH531" s="109"/>
      <c r="AI531" s="109"/>
      <c r="AJ531" s="109"/>
      <c r="AK531" s="109"/>
      <c r="AL531" s="109"/>
      <c r="AM531" s="111">
        <f t="shared" si="345"/>
        <v>0</v>
      </c>
      <c r="AN531" s="111">
        <f t="shared" si="346"/>
        <v>0</v>
      </c>
      <c r="AO531" s="111">
        <f t="shared" si="347"/>
        <v>19.01174514801054</v>
      </c>
      <c r="AP531" s="111">
        <f t="shared" si="356"/>
        <v>0</v>
      </c>
      <c r="AQ531" s="112">
        <f t="shared" si="357"/>
        <v>0</v>
      </c>
      <c r="AR531" s="112">
        <f t="shared" si="348"/>
        <v>1</v>
      </c>
      <c r="AS531" s="113">
        <f t="shared" si="358"/>
        <v>2028</v>
      </c>
      <c r="AT531" s="109">
        <v>-1.5045925365685408E-3</v>
      </c>
      <c r="AU531" s="114">
        <v>1</v>
      </c>
      <c r="AV531" s="113">
        <v>2028</v>
      </c>
      <c r="AW531" s="112">
        <v>1</v>
      </c>
      <c r="AX531" s="109">
        <f t="shared" si="359"/>
        <v>-1.5045925365685408E-3</v>
      </c>
      <c r="AY531" s="109">
        <f t="shared" si="360"/>
        <v>0</v>
      </c>
      <c r="AZ531" s="109">
        <f t="shared" si="361"/>
        <v>-1.2720149679871309E-2</v>
      </c>
      <c r="BA531" s="111">
        <f t="shared" si="362"/>
        <v>-1.1215557143302768E-2</v>
      </c>
      <c r="BB531" s="117"/>
      <c r="BC531" s="115" t="str">
        <f t="shared" si="363"/>
        <v>Y</v>
      </c>
      <c r="BD531" s="115" t="str">
        <f t="shared" si="364"/>
        <v>Y</v>
      </c>
      <c r="BE531" s="115" t="str">
        <f t="shared" si="365"/>
        <v>Y</v>
      </c>
      <c r="BF531" s="109">
        <f t="shared" si="366"/>
        <v>-1.5045925365685408E-3</v>
      </c>
      <c r="BG531" s="111" t="s">
        <v>2499</v>
      </c>
      <c r="BH531" s="115" t="s">
        <v>1168</v>
      </c>
      <c r="BI531" s="116"/>
      <c r="BJ531" s="222">
        <v>1</v>
      </c>
      <c r="BK531" s="265">
        <f t="shared" si="367"/>
        <v>0</v>
      </c>
      <c r="BL531" s="265">
        <f t="shared" si="349"/>
        <v>0</v>
      </c>
      <c r="BM531" s="265">
        <f t="shared" si="368"/>
        <v>0</v>
      </c>
      <c r="BN531" s="265">
        <f t="shared" si="369"/>
        <v>2.5045925365685408E-3</v>
      </c>
      <c r="BO531" s="109"/>
      <c r="BP531" s="265">
        <f t="shared" si="350"/>
        <v>2.5045925365685408E-3</v>
      </c>
      <c r="BQ531" s="265">
        <v>2.5045925365685408E-3</v>
      </c>
      <c r="BR531" s="265" t="e">
        <f t="shared" si="351"/>
        <v>#REF!</v>
      </c>
      <c r="BS531" s="207">
        <v>2.8216548238939359E-4</v>
      </c>
      <c r="BT531" s="475">
        <v>0</v>
      </c>
      <c r="BU531" s="475">
        <v>-1.5045925365685408E-3</v>
      </c>
      <c r="BV531" s="475">
        <v>0</v>
      </c>
      <c r="BW531" s="483">
        <f t="shared" si="352"/>
        <v>0</v>
      </c>
      <c r="BX531" s="483">
        <f t="shared" si="353"/>
        <v>0</v>
      </c>
    </row>
    <row r="532" spans="1:76" ht="14.5">
      <c r="A532" s="99"/>
      <c r="B532" s="91" t="str">
        <f t="shared" si="339"/>
        <v>TRA</v>
      </c>
      <c r="C532" s="92"/>
      <c r="D532" s="451"/>
      <c r="E532" s="451"/>
      <c r="F532" s="409" t="s">
        <v>4385</v>
      </c>
      <c r="G532" s="384"/>
      <c r="H532" s="398">
        <v>1</v>
      </c>
      <c r="I532" s="151"/>
      <c r="J532" s="95"/>
      <c r="K532" s="191">
        <v>-1.4540273791012206E-3</v>
      </c>
      <c r="L532" s="269">
        <v>1</v>
      </c>
      <c r="M532" s="267">
        <v>1</v>
      </c>
      <c r="N532" s="267">
        <f t="shared" si="340"/>
        <v>0</v>
      </c>
      <c r="O532" s="96">
        <f t="shared" si="341"/>
        <v>0</v>
      </c>
      <c r="P532" s="96">
        <f t="shared" si="342"/>
        <v>-1.4540273791012206E-3</v>
      </c>
      <c r="Q532" s="96">
        <f t="shared" si="343"/>
        <v>0</v>
      </c>
      <c r="R532" s="187"/>
      <c r="S532" s="187"/>
      <c r="T532" s="94" t="s">
        <v>2778</v>
      </c>
      <c r="U532" s="395">
        <f>COUNTIF(Aggregation_of_rev_to_allocate!$A$3:$A$137,$T532)</f>
        <v>1</v>
      </c>
      <c r="V532" s="100"/>
      <c r="W532" s="100"/>
      <c r="X532" s="109">
        <v>1E-3</v>
      </c>
      <c r="Y532" s="109">
        <v>0</v>
      </c>
      <c r="Z532" s="110">
        <v>1</v>
      </c>
      <c r="AA532" s="110">
        <v>1</v>
      </c>
      <c r="AB532" s="110">
        <v>0</v>
      </c>
      <c r="AC532" s="109">
        <f>IF(ISERROR((X532*SUMIF('Rev_for_allocation(Hard)'!$A$3:$A$249,$T532,'Rev_for_allocation(Hard)'!$I$3:$I$249)/SUMIF(Historic_capex_list!$T$9:$T$586,$T532,Historic_capex_list!$X$9:$X$586))=TRUE),0,X532*SUMIF('Rev_for_allocation(Hard)'!$A$3:$A$249,$T532,'Rev_for_allocation(Hard)'!$I$3:$I$249)/SUMIF(Historic_capex_list!$T$9:$T$586,$T532,Historic_capex_list!$X$9:$X$586))</f>
        <v>-25906229.418501295</v>
      </c>
      <c r="AD532" s="109">
        <f t="shared" si="354"/>
        <v>-25906229.417501297</v>
      </c>
      <c r="AE532" s="109">
        <f t="shared" si="355"/>
        <v>-25906229.419955324</v>
      </c>
      <c r="AF532" s="109">
        <f t="shared" si="344"/>
        <v>-25906229.417501297</v>
      </c>
      <c r="AG532" s="109"/>
      <c r="AH532" s="109"/>
      <c r="AI532" s="109"/>
      <c r="AJ532" s="109"/>
      <c r="AK532" s="109"/>
      <c r="AL532" s="109"/>
      <c r="AM532" s="111">
        <f t="shared" si="345"/>
        <v>0</v>
      </c>
      <c r="AN532" s="111">
        <f t="shared" si="346"/>
        <v>0</v>
      </c>
      <c r="AO532" s="111">
        <f t="shared" si="347"/>
        <v>19.999999999438735</v>
      </c>
      <c r="AP532" s="111">
        <f t="shared" si="356"/>
        <v>0</v>
      </c>
      <c r="AQ532" s="112">
        <f t="shared" si="357"/>
        <v>0</v>
      </c>
      <c r="AR532" s="112">
        <f t="shared" si="348"/>
        <v>1</v>
      </c>
      <c r="AS532" s="113">
        <f t="shared" si="358"/>
        <v>2028</v>
      </c>
      <c r="AT532" s="109">
        <v>-1.4540273791012206E-3</v>
      </c>
      <c r="AU532" s="114">
        <v>1</v>
      </c>
      <c r="AV532" s="113">
        <v>2028</v>
      </c>
      <c r="AW532" s="112">
        <v>1</v>
      </c>
      <c r="AX532" s="109">
        <f t="shared" si="359"/>
        <v>-1.4540273791012206E-3</v>
      </c>
      <c r="AY532" s="109">
        <f t="shared" si="360"/>
        <v>0</v>
      </c>
      <c r="AZ532" s="109">
        <f t="shared" si="361"/>
        <v>-25906229.417501297</v>
      </c>
      <c r="BA532" s="111">
        <f t="shared" si="362"/>
        <v>-25906229.416047268</v>
      </c>
      <c r="BB532" s="117"/>
      <c r="BC532" s="115" t="str">
        <f t="shared" si="363"/>
        <v>Y</v>
      </c>
      <c r="BD532" s="115" t="str">
        <f t="shared" si="364"/>
        <v>Y</v>
      </c>
      <c r="BE532" s="115" t="str">
        <f t="shared" si="365"/>
        <v>Y</v>
      </c>
      <c r="BF532" s="109">
        <f t="shared" si="366"/>
        <v>-1.4540273791012206E-3</v>
      </c>
      <c r="BG532" s="111" t="s">
        <v>2499</v>
      </c>
      <c r="BH532" s="115" t="s">
        <v>1168</v>
      </c>
      <c r="BI532" s="116"/>
      <c r="BJ532" s="222">
        <v>1</v>
      </c>
      <c r="BK532" s="265">
        <f t="shared" si="367"/>
        <v>0</v>
      </c>
      <c r="BL532" s="265">
        <f t="shared" si="349"/>
        <v>0</v>
      </c>
      <c r="BM532" s="265">
        <f t="shared" si="368"/>
        <v>0</v>
      </c>
      <c r="BN532" s="265">
        <f t="shared" si="369"/>
        <v>2.4540273791012206E-3</v>
      </c>
      <c r="BO532" s="109"/>
      <c r="BP532" s="265">
        <f t="shared" si="350"/>
        <v>2.4540273791012206E-3</v>
      </c>
      <c r="BQ532" s="265">
        <v>2.4540273791012206E-3</v>
      </c>
      <c r="BR532" s="265" t="e">
        <f t="shared" si="351"/>
        <v>#REF!</v>
      </c>
      <c r="BS532" s="207">
        <v>2.764688503662024E-4</v>
      </c>
      <c r="BT532" s="475">
        <v>0</v>
      </c>
      <c r="BU532" s="475">
        <v>-1.4540273791012206E-3</v>
      </c>
      <c r="BV532" s="475">
        <v>0</v>
      </c>
      <c r="BW532" s="483">
        <f t="shared" si="352"/>
        <v>0</v>
      </c>
      <c r="BX532" s="483">
        <f t="shared" si="353"/>
        <v>0</v>
      </c>
    </row>
    <row r="533" spans="1:76" ht="14.5">
      <c r="A533" s="99"/>
      <c r="B533" s="91" t="str">
        <f t="shared" si="339"/>
        <v>STW</v>
      </c>
      <c r="C533" s="92"/>
      <c r="D533" s="451"/>
      <c r="E533" s="451"/>
      <c r="F533" s="409" t="s">
        <v>4385</v>
      </c>
      <c r="G533" s="384"/>
      <c r="H533" s="398">
        <v>1</v>
      </c>
      <c r="I533" s="151"/>
      <c r="J533" s="95"/>
      <c r="K533" s="191">
        <v>-1617684.5435921932</v>
      </c>
      <c r="L533" s="269">
        <v>1</v>
      </c>
      <c r="M533" s="267">
        <v>1</v>
      </c>
      <c r="N533" s="267">
        <f t="shared" si="340"/>
        <v>0</v>
      </c>
      <c r="O533" s="96">
        <f t="shared" si="341"/>
        <v>0</v>
      </c>
      <c r="P533" s="96">
        <f t="shared" si="342"/>
        <v>-1617684.5435921932</v>
      </c>
      <c r="Q533" s="96">
        <f t="shared" si="343"/>
        <v>0</v>
      </c>
      <c r="R533" s="187"/>
      <c r="S533" s="187"/>
      <c r="T533" s="94" t="s">
        <v>5412</v>
      </c>
      <c r="U533" s="395">
        <f>COUNTIF(Aggregation_of_rev_to_allocate!$A$3:$A$137,$T533)</f>
        <v>0</v>
      </c>
      <c r="V533" s="100"/>
      <c r="W533" s="100"/>
      <c r="X533" s="109">
        <v>1E-3</v>
      </c>
      <c r="Y533" s="109">
        <v>0</v>
      </c>
      <c r="Z533" s="110">
        <v>1</v>
      </c>
      <c r="AA533" s="110">
        <v>1</v>
      </c>
      <c r="AB533" s="110">
        <v>0</v>
      </c>
      <c r="AC533" s="109">
        <f>IF(ISERROR((X533*SUMIF('Rev_for_allocation(Hard)'!$A$3:$A$249,$T533,'Rev_for_allocation(Hard)'!$I$3:$I$249)/SUMIF(Historic_capex_list!$T$9:$T$586,$T533,Historic_capex_list!$X$9:$X$586))=TRUE),0,X533*SUMIF('Rev_for_allocation(Hard)'!$A$3:$A$249,$T533,'Rev_for_allocation(Hard)'!$I$3:$I$249)/SUMIF(Historic_capex_list!$T$9:$T$586,$T533,Historic_capex_list!$X$9:$X$586))</f>
        <v>0</v>
      </c>
      <c r="AD533" s="109">
        <f t="shared" si="354"/>
        <v>1E-3</v>
      </c>
      <c r="AE533" s="109">
        <f t="shared" si="355"/>
        <v>1E-3</v>
      </c>
      <c r="AF533" s="109">
        <f t="shared" si="344"/>
        <v>1E-3</v>
      </c>
      <c r="AG533" s="109"/>
      <c r="AH533" s="109"/>
      <c r="AI533" s="109"/>
      <c r="AJ533" s="109"/>
      <c r="AK533" s="109"/>
      <c r="AL533" s="109"/>
      <c r="AM533" s="111">
        <f t="shared" si="345"/>
        <v>0</v>
      </c>
      <c r="AN533" s="111">
        <f t="shared" si="346"/>
        <v>0</v>
      </c>
      <c r="AO533" s="111" t="str">
        <f t="shared" si="347"/>
        <v>Use deduct 3yrs</v>
      </c>
      <c r="AP533" s="111">
        <f t="shared" si="356"/>
        <v>0</v>
      </c>
      <c r="AQ533" s="112">
        <f t="shared" si="357"/>
        <v>0</v>
      </c>
      <c r="AR533" s="112">
        <f t="shared" si="348"/>
        <v>1</v>
      </c>
      <c r="AS533" s="113">
        <f t="shared" si="358"/>
        <v>2028</v>
      </c>
      <c r="AT533" s="109">
        <v>-1617684.5435921932</v>
      </c>
      <c r="AU533" s="114">
        <v>1</v>
      </c>
      <c r="AV533" s="113">
        <v>2028</v>
      </c>
      <c r="AW533" s="112">
        <v>1</v>
      </c>
      <c r="AX533" s="109">
        <f t="shared" si="359"/>
        <v>-1617684.5435921932</v>
      </c>
      <c r="AY533" s="109">
        <f t="shared" si="360"/>
        <v>0</v>
      </c>
      <c r="AZ533" s="109">
        <f t="shared" si="361"/>
        <v>1E-3</v>
      </c>
      <c r="BA533" s="111">
        <f t="shared" si="362"/>
        <v>1617684.5445921931</v>
      </c>
      <c r="BB533" s="117"/>
      <c r="BC533" s="115" t="str">
        <f t="shared" si="363"/>
        <v>Y</v>
      </c>
      <c r="BD533" s="115" t="str">
        <f t="shared" si="364"/>
        <v>Y</v>
      </c>
      <c r="BE533" s="115" t="str">
        <f t="shared" si="365"/>
        <v>Y</v>
      </c>
      <c r="BF533" s="109">
        <f t="shared" si="366"/>
        <v>-1617684.5435921932</v>
      </c>
      <c r="BG533" s="111" t="s">
        <v>2499</v>
      </c>
      <c r="BH533" s="115" t="s">
        <v>1168</v>
      </c>
      <c r="BI533" s="116"/>
      <c r="BJ533" s="222">
        <v>1</v>
      </c>
      <c r="BK533" s="265">
        <f t="shared" si="367"/>
        <v>0</v>
      </c>
      <c r="BL533" s="265">
        <f t="shared" si="349"/>
        <v>0</v>
      </c>
      <c r="BM533" s="265">
        <f t="shared" si="368"/>
        <v>0</v>
      </c>
      <c r="BN533" s="265">
        <f t="shared" si="369"/>
        <v>1617684.5445921931</v>
      </c>
      <c r="BO533" s="109"/>
      <c r="BP533" s="265">
        <f t="shared" si="350"/>
        <v>1617684.5445921931</v>
      </c>
      <c r="BQ533" s="265">
        <v>1617684.5445921931</v>
      </c>
      <c r="BR533" s="265" t="e">
        <f t="shared" si="351"/>
        <v>#REF!</v>
      </c>
      <c r="BS533" s="207">
        <v>182247.10535315104</v>
      </c>
      <c r="BT533" s="475">
        <v>0</v>
      </c>
      <c r="BU533" s="475">
        <v>-1617684.5435921932</v>
      </c>
      <c r="BV533" s="475">
        <v>0</v>
      </c>
      <c r="BW533" s="483">
        <f t="shared" si="352"/>
        <v>0</v>
      </c>
      <c r="BX533" s="483">
        <f t="shared" si="353"/>
        <v>0</v>
      </c>
    </row>
    <row r="534" spans="1:76" ht="14.5">
      <c r="A534" s="99"/>
      <c r="B534" s="91" t="str">
        <f t="shared" si="339"/>
        <v>STW</v>
      </c>
      <c r="C534" s="92"/>
      <c r="D534" s="451"/>
      <c r="E534" s="451"/>
      <c r="F534" s="409" t="s">
        <v>4385</v>
      </c>
      <c r="G534" s="384"/>
      <c r="H534" s="398">
        <v>1</v>
      </c>
      <c r="I534" s="151"/>
      <c r="J534" s="95"/>
      <c r="K534" s="191">
        <v>-56429.294290748738</v>
      </c>
      <c r="L534" s="269">
        <v>1</v>
      </c>
      <c r="M534" s="267">
        <v>1</v>
      </c>
      <c r="N534" s="267">
        <f t="shared" si="340"/>
        <v>0</v>
      </c>
      <c r="O534" s="96">
        <f t="shared" si="341"/>
        <v>0</v>
      </c>
      <c r="P534" s="96">
        <f t="shared" si="342"/>
        <v>-56429.294290748738</v>
      </c>
      <c r="Q534" s="96">
        <f t="shared" si="343"/>
        <v>0</v>
      </c>
      <c r="R534" s="187"/>
      <c r="S534" s="187"/>
      <c r="T534" s="94" t="s">
        <v>5397</v>
      </c>
      <c r="U534" s="395">
        <f>COUNTIF(Aggregation_of_rev_to_allocate!$A$3:$A$137,$T534)</f>
        <v>0</v>
      </c>
      <c r="V534" s="100"/>
      <c r="W534" s="100"/>
      <c r="X534" s="109">
        <v>1E-3</v>
      </c>
      <c r="Y534" s="109">
        <v>0</v>
      </c>
      <c r="Z534" s="110">
        <v>1</v>
      </c>
      <c r="AA534" s="110">
        <v>1</v>
      </c>
      <c r="AB534" s="110">
        <v>0</v>
      </c>
      <c r="AC534" s="109">
        <f>IF(ISERROR((X534*SUMIF('Rev_for_allocation(Hard)'!$A$3:$A$249,$T534,'Rev_for_allocation(Hard)'!$I$3:$I$249)/SUMIF(Historic_capex_list!$T$9:$T$586,$T534,Historic_capex_list!$X$9:$X$586))=TRUE),0,X534*SUMIF('Rev_for_allocation(Hard)'!$A$3:$A$249,$T534,'Rev_for_allocation(Hard)'!$I$3:$I$249)/SUMIF(Historic_capex_list!$T$9:$T$586,$T534,Historic_capex_list!$X$9:$X$586))</f>
        <v>0</v>
      </c>
      <c r="AD534" s="109">
        <f t="shared" si="354"/>
        <v>1E-3</v>
      </c>
      <c r="AE534" s="109">
        <f t="shared" si="355"/>
        <v>1E-3</v>
      </c>
      <c r="AF534" s="109">
        <f t="shared" si="344"/>
        <v>1E-3</v>
      </c>
      <c r="AG534" s="109"/>
      <c r="AH534" s="109"/>
      <c r="AI534" s="109"/>
      <c r="AJ534" s="109"/>
      <c r="AK534" s="109"/>
      <c r="AL534" s="109"/>
      <c r="AM534" s="111">
        <f t="shared" si="345"/>
        <v>0</v>
      </c>
      <c r="AN534" s="111">
        <f t="shared" si="346"/>
        <v>0</v>
      </c>
      <c r="AO534" s="111" t="str">
        <f t="shared" si="347"/>
        <v>Use deduct 3yrs</v>
      </c>
      <c r="AP534" s="111">
        <f t="shared" si="356"/>
        <v>0</v>
      </c>
      <c r="AQ534" s="112">
        <f t="shared" si="357"/>
        <v>0</v>
      </c>
      <c r="AR534" s="112">
        <f t="shared" si="348"/>
        <v>1</v>
      </c>
      <c r="AS534" s="113">
        <f t="shared" si="358"/>
        <v>2028</v>
      </c>
      <c r="AT534" s="109">
        <v>-56429.294290748738</v>
      </c>
      <c r="AU534" s="114">
        <v>1</v>
      </c>
      <c r="AV534" s="113">
        <v>2028</v>
      </c>
      <c r="AW534" s="112">
        <v>1</v>
      </c>
      <c r="AX534" s="109">
        <f t="shared" si="359"/>
        <v>-56429.294290748738</v>
      </c>
      <c r="AY534" s="109">
        <f t="shared" si="360"/>
        <v>0</v>
      </c>
      <c r="AZ534" s="109">
        <f t="shared" si="361"/>
        <v>1E-3</v>
      </c>
      <c r="BA534" s="111">
        <f t="shared" si="362"/>
        <v>56429.295290748734</v>
      </c>
      <c r="BB534" s="117"/>
      <c r="BC534" s="115" t="str">
        <f t="shared" si="363"/>
        <v>Y</v>
      </c>
      <c r="BD534" s="115" t="str">
        <f t="shared" si="364"/>
        <v>Y</v>
      </c>
      <c r="BE534" s="115" t="str">
        <f t="shared" si="365"/>
        <v>Y</v>
      </c>
      <c r="BF534" s="109">
        <f t="shared" si="366"/>
        <v>-56429.294290748738</v>
      </c>
      <c r="BG534" s="111" t="s">
        <v>2499</v>
      </c>
      <c r="BH534" s="115" t="s">
        <v>1168</v>
      </c>
      <c r="BI534" s="116"/>
      <c r="BJ534" s="222">
        <v>1</v>
      </c>
      <c r="BK534" s="265">
        <f t="shared" si="367"/>
        <v>0</v>
      </c>
      <c r="BL534" s="265">
        <f t="shared" si="349"/>
        <v>0</v>
      </c>
      <c r="BM534" s="265">
        <f t="shared" si="368"/>
        <v>0</v>
      </c>
      <c r="BN534" s="265">
        <f t="shared" si="369"/>
        <v>56429.295290748734</v>
      </c>
      <c r="BO534" s="109"/>
      <c r="BP534" s="265">
        <f t="shared" si="350"/>
        <v>56429.295290748734</v>
      </c>
      <c r="BQ534" s="265">
        <v>56429.295290748734</v>
      </c>
      <c r="BR534" s="265" t="e">
        <f t="shared" si="351"/>
        <v>#REF!</v>
      </c>
      <c r="BS534" s="207">
        <v>6357.2813118825325</v>
      </c>
      <c r="BT534" s="475">
        <v>0</v>
      </c>
      <c r="BU534" s="475">
        <v>-56429.294290748738</v>
      </c>
      <c r="BV534" s="475">
        <v>0</v>
      </c>
      <c r="BW534" s="483">
        <f t="shared" si="352"/>
        <v>0</v>
      </c>
      <c r="BX534" s="483">
        <f t="shared" si="353"/>
        <v>0</v>
      </c>
    </row>
    <row r="535" spans="1:76" ht="14.5">
      <c r="A535" s="99"/>
      <c r="B535" s="91" t="str">
        <f t="shared" si="339"/>
        <v>STW</v>
      </c>
      <c r="C535" s="92"/>
      <c r="D535" s="451"/>
      <c r="E535" s="451"/>
      <c r="F535" s="409" t="s">
        <v>4385</v>
      </c>
      <c r="G535" s="384"/>
      <c r="H535" s="398">
        <v>1</v>
      </c>
      <c r="I535" s="151"/>
      <c r="J535" s="95"/>
      <c r="K535" s="191">
        <v>-3329.5921209898379</v>
      </c>
      <c r="L535" s="269">
        <v>1</v>
      </c>
      <c r="M535" s="267">
        <v>1</v>
      </c>
      <c r="N535" s="267">
        <f t="shared" si="340"/>
        <v>0</v>
      </c>
      <c r="O535" s="96">
        <f t="shared" si="341"/>
        <v>0</v>
      </c>
      <c r="P535" s="96">
        <f t="shared" si="342"/>
        <v>-3329.5921209898379</v>
      </c>
      <c r="Q535" s="96">
        <f t="shared" si="343"/>
        <v>0</v>
      </c>
      <c r="R535" s="187"/>
      <c r="S535" s="187"/>
      <c r="T535" s="94" t="s">
        <v>5413</v>
      </c>
      <c r="U535" s="395">
        <f>COUNTIF(Aggregation_of_rev_to_allocate!$A$3:$A$137,$T535)</f>
        <v>0</v>
      </c>
      <c r="V535" s="100"/>
      <c r="W535" s="100"/>
      <c r="X535" s="109">
        <v>1E-3</v>
      </c>
      <c r="Y535" s="109">
        <v>0</v>
      </c>
      <c r="Z535" s="110">
        <v>1</v>
      </c>
      <c r="AA535" s="110">
        <v>1</v>
      </c>
      <c r="AB535" s="110">
        <v>0</v>
      </c>
      <c r="AC535" s="109">
        <f>IF(ISERROR((X535*SUMIF('Rev_for_allocation(Hard)'!$A$3:$A$249,$T535,'Rev_for_allocation(Hard)'!$I$3:$I$249)/SUMIF(Historic_capex_list!$T$9:$T$586,$T535,Historic_capex_list!$X$9:$X$586))=TRUE),0,X535*SUMIF('Rev_for_allocation(Hard)'!$A$3:$A$249,$T535,'Rev_for_allocation(Hard)'!$I$3:$I$249)/SUMIF(Historic_capex_list!$T$9:$T$586,$T535,Historic_capex_list!$X$9:$X$586))</f>
        <v>0</v>
      </c>
      <c r="AD535" s="109">
        <f t="shared" si="354"/>
        <v>1E-3</v>
      </c>
      <c r="AE535" s="109">
        <f t="shared" si="355"/>
        <v>1E-3</v>
      </c>
      <c r="AF535" s="109">
        <f t="shared" si="344"/>
        <v>1E-3</v>
      </c>
      <c r="AG535" s="109"/>
      <c r="AH535" s="109"/>
      <c r="AI535" s="109"/>
      <c r="AJ535" s="109"/>
      <c r="AK535" s="109"/>
      <c r="AL535" s="109"/>
      <c r="AM535" s="111">
        <f t="shared" si="345"/>
        <v>0</v>
      </c>
      <c r="AN535" s="111">
        <f t="shared" si="346"/>
        <v>0</v>
      </c>
      <c r="AO535" s="111" t="str">
        <f t="shared" si="347"/>
        <v>Use deduct 3yrs</v>
      </c>
      <c r="AP535" s="111">
        <f t="shared" si="356"/>
        <v>0</v>
      </c>
      <c r="AQ535" s="112">
        <f t="shared" si="357"/>
        <v>0</v>
      </c>
      <c r="AR535" s="112">
        <f t="shared" si="348"/>
        <v>1</v>
      </c>
      <c r="AS535" s="113">
        <f t="shared" si="358"/>
        <v>2028</v>
      </c>
      <c r="AT535" s="109">
        <v>-3329.5921209898379</v>
      </c>
      <c r="AU535" s="114">
        <v>1</v>
      </c>
      <c r="AV535" s="113">
        <v>2028</v>
      </c>
      <c r="AW535" s="112">
        <v>1</v>
      </c>
      <c r="AX535" s="109">
        <f t="shared" si="359"/>
        <v>-3329.5921209898379</v>
      </c>
      <c r="AY535" s="109">
        <f t="shared" si="360"/>
        <v>0</v>
      </c>
      <c r="AZ535" s="109">
        <f t="shared" si="361"/>
        <v>1E-3</v>
      </c>
      <c r="BA535" s="111">
        <f t="shared" si="362"/>
        <v>3329.5931209898381</v>
      </c>
      <c r="BB535" s="117"/>
      <c r="BC535" s="115" t="str">
        <f t="shared" si="363"/>
        <v>Y</v>
      </c>
      <c r="BD535" s="115" t="str">
        <f t="shared" si="364"/>
        <v>Y</v>
      </c>
      <c r="BE535" s="115" t="str">
        <f t="shared" si="365"/>
        <v>Y</v>
      </c>
      <c r="BF535" s="109">
        <f t="shared" si="366"/>
        <v>-3329.5921209898379</v>
      </c>
      <c r="BG535" s="111" t="s">
        <v>2499</v>
      </c>
      <c r="BH535" s="115" t="s">
        <v>1168</v>
      </c>
      <c r="BI535" s="116"/>
      <c r="BJ535" s="222">
        <v>1</v>
      </c>
      <c r="BK535" s="265">
        <f t="shared" si="367"/>
        <v>0</v>
      </c>
      <c r="BL535" s="265">
        <f t="shared" si="349"/>
        <v>0</v>
      </c>
      <c r="BM535" s="265">
        <f t="shared" si="368"/>
        <v>0</v>
      </c>
      <c r="BN535" s="265">
        <f t="shared" si="369"/>
        <v>3329.5931209898381</v>
      </c>
      <c r="BO535" s="109"/>
      <c r="BP535" s="265">
        <f t="shared" si="350"/>
        <v>3329.5931209898381</v>
      </c>
      <c r="BQ535" s="265">
        <v>3329.5931209898381</v>
      </c>
      <c r="BR535" s="265" t="e">
        <f t="shared" si="351"/>
        <v>#REF!</v>
      </c>
      <c r="BS535" s="207">
        <v>375.10941816974224</v>
      </c>
      <c r="BT535" s="475">
        <v>0</v>
      </c>
      <c r="BU535" s="475">
        <v>-3329.5921209898379</v>
      </c>
      <c r="BV535" s="475">
        <v>0</v>
      </c>
      <c r="BW535" s="483">
        <f t="shared" si="352"/>
        <v>0</v>
      </c>
      <c r="BX535" s="483">
        <f t="shared" si="353"/>
        <v>0</v>
      </c>
    </row>
    <row r="536" spans="1:76" ht="14.5">
      <c r="A536" s="99"/>
      <c r="B536" s="91" t="str">
        <f t="shared" si="339"/>
        <v xml:space="preserve">CI </v>
      </c>
      <c r="C536" s="92"/>
      <c r="D536" s="451"/>
      <c r="E536" s="451"/>
      <c r="F536" s="409" t="s">
        <v>4385</v>
      </c>
      <c r="G536" s="384"/>
      <c r="H536" s="398">
        <v>1</v>
      </c>
      <c r="I536" s="151"/>
      <c r="J536" s="95"/>
      <c r="K536" s="191">
        <v>-9.7042443144040774E-5</v>
      </c>
      <c r="L536" s="269">
        <v>1</v>
      </c>
      <c r="M536" s="267">
        <v>1</v>
      </c>
      <c r="N536" s="267">
        <f t="shared" si="340"/>
        <v>0</v>
      </c>
      <c r="O536" s="96">
        <f t="shared" si="341"/>
        <v>0</v>
      </c>
      <c r="P536" s="96">
        <f t="shared" si="342"/>
        <v>-9.7042443144040774E-5</v>
      </c>
      <c r="Q536" s="96">
        <f t="shared" ref="Q536:Q546" si="370">+K536*L536*N536*H536</f>
        <v>0</v>
      </c>
      <c r="R536" s="187"/>
      <c r="S536" s="187"/>
      <c r="T536" s="94" t="s">
        <v>2842</v>
      </c>
      <c r="U536" s="395">
        <f>COUNTIF(Aggregation_of_rev_to_allocate!$A$3:$A$137,$T536)</f>
        <v>1</v>
      </c>
      <c r="V536" s="100"/>
      <c r="W536" s="100"/>
      <c r="X536" s="109">
        <v>1E-3</v>
      </c>
      <c r="Y536" s="109">
        <v>0</v>
      </c>
      <c r="Z536" s="110">
        <v>1</v>
      </c>
      <c r="AA536" s="110">
        <v>1</v>
      </c>
      <c r="AB536" s="110">
        <v>0</v>
      </c>
      <c r="AC536" s="109">
        <f>IF(ISERROR((X536*SUMIF('Rev_for_allocation(Hard)'!$A$3:$A$249,$T536,'Rev_for_allocation(Hard)'!$I$3:$I$249)/SUMIF(Historic_capex_list!$T$9:$T$586,$T536,Historic_capex_list!$X$9:$X$586))=TRUE),0,X536*SUMIF('Rev_for_allocation(Hard)'!$A$3:$A$249,$T536,'Rev_for_allocation(Hard)'!$I$3:$I$249)/SUMIF(Historic_capex_list!$T$9:$T$586,$T536,Historic_capex_list!$X$9:$X$586))</f>
        <v>-7.7113633591047905E-5</v>
      </c>
      <c r="AD536" s="109">
        <f t="shared" si="354"/>
        <v>9.2288636640895216E-4</v>
      </c>
      <c r="AE536" s="109">
        <f t="shared" si="355"/>
        <v>9.2288636640895216E-4</v>
      </c>
      <c r="AF536" s="109">
        <f t="shared" si="344"/>
        <v>9.2288636640895216E-4</v>
      </c>
      <c r="AG536" s="109"/>
      <c r="AH536" s="109"/>
      <c r="AI536" s="109"/>
      <c r="AJ536" s="109"/>
      <c r="AK536" s="109"/>
      <c r="AL536" s="109"/>
      <c r="AM536" s="111">
        <f t="shared" si="345"/>
        <v>0</v>
      </c>
      <c r="AN536" s="111">
        <f t="shared" si="346"/>
        <v>0</v>
      </c>
      <c r="AO536" s="111" t="str">
        <f t="shared" si="347"/>
        <v>Use deduct 3yrs</v>
      </c>
      <c r="AP536" s="111">
        <f t="shared" si="356"/>
        <v>0</v>
      </c>
      <c r="AQ536" s="112">
        <f t="shared" si="357"/>
        <v>0</v>
      </c>
      <c r="AR536" s="112">
        <f t="shared" si="348"/>
        <v>1</v>
      </c>
      <c r="AS536" s="113">
        <f t="shared" si="358"/>
        <v>2028</v>
      </c>
      <c r="AT536" s="109">
        <v>-9.7042443144040774E-5</v>
      </c>
      <c r="AU536" s="114">
        <v>1</v>
      </c>
      <c r="AV536" s="113">
        <v>2028</v>
      </c>
      <c r="AW536" s="112">
        <v>1</v>
      </c>
      <c r="AX536" s="109">
        <f t="shared" si="359"/>
        <v>-9.7042443144040774E-5</v>
      </c>
      <c r="AY536" s="109">
        <f t="shared" si="360"/>
        <v>0</v>
      </c>
      <c r="AZ536" s="109">
        <f t="shared" si="361"/>
        <v>9.2288636640895216E-4</v>
      </c>
      <c r="BA536" s="111">
        <f t="shared" si="362"/>
        <v>1.019928809552993E-3</v>
      </c>
      <c r="BB536" s="117"/>
      <c r="BC536" s="115" t="str">
        <f t="shared" si="363"/>
        <v>Y</v>
      </c>
      <c r="BD536" s="115" t="str">
        <f t="shared" si="364"/>
        <v>Y</v>
      </c>
      <c r="BE536" s="115" t="str">
        <f t="shared" si="365"/>
        <v>Y</v>
      </c>
      <c r="BF536" s="109">
        <f t="shared" si="366"/>
        <v>-9.7042443144040774E-5</v>
      </c>
      <c r="BG536" s="111" t="s">
        <v>2499</v>
      </c>
      <c r="BH536" s="115" t="s">
        <v>1168</v>
      </c>
      <c r="BI536" s="116"/>
      <c r="BJ536" s="222">
        <v>1</v>
      </c>
      <c r="BK536" s="265">
        <f t="shared" si="367"/>
        <v>0</v>
      </c>
      <c r="BL536" s="265">
        <f t="shared" si="349"/>
        <v>0</v>
      </c>
      <c r="BM536" s="265">
        <f t="shared" si="368"/>
        <v>0</v>
      </c>
      <c r="BN536" s="265">
        <f t="shared" si="369"/>
        <v>1.0970424431440409E-3</v>
      </c>
      <c r="BO536" s="109"/>
      <c r="BP536" s="265">
        <f t="shared" si="350"/>
        <v>1.0970424431440409E-3</v>
      </c>
      <c r="BQ536" s="265">
        <v>1.0970424431440409E-3</v>
      </c>
      <c r="BR536" s="265" t="e">
        <f t="shared" si="351"/>
        <v>#REF!</v>
      </c>
      <c r="BS536" s="207">
        <v>1.2359196382317659E-4</v>
      </c>
      <c r="BT536" s="475">
        <v>0</v>
      </c>
      <c r="BU536" s="475">
        <v>-9.7042443144040774E-5</v>
      </c>
      <c r="BV536" s="475">
        <v>0</v>
      </c>
      <c r="BW536" s="483">
        <f t="shared" si="352"/>
        <v>0</v>
      </c>
      <c r="BX536" s="483">
        <f t="shared" si="353"/>
        <v>0</v>
      </c>
    </row>
    <row r="537" spans="1:76" ht="14.5">
      <c r="A537" s="99"/>
      <c r="B537" s="91" t="str">
        <f t="shared" si="339"/>
        <v xml:space="preserve">CI </v>
      </c>
      <c r="C537" s="92"/>
      <c r="D537" s="451"/>
      <c r="E537" s="451"/>
      <c r="F537" s="409" t="s">
        <v>4385</v>
      </c>
      <c r="G537" s="384"/>
      <c r="H537" s="398">
        <v>1</v>
      </c>
      <c r="I537" s="151"/>
      <c r="J537" s="95"/>
      <c r="K537" s="191">
        <v>-9.7042443144040774E-5</v>
      </c>
      <c r="L537" s="269">
        <v>1</v>
      </c>
      <c r="M537" s="267">
        <v>1</v>
      </c>
      <c r="N537" s="267">
        <f t="shared" si="340"/>
        <v>0</v>
      </c>
      <c r="O537" s="96">
        <f t="shared" si="341"/>
        <v>0</v>
      </c>
      <c r="P537" s="96">
        <f t="shared" si="342"/>
        <v>-9.7042443144040774E-5</v>
      </c>
      <c r="Q537" s="96">
        <f t="shared" si="370"/>
        <v>0</v>
      </c>
      <c r="R537" s="187"/>
      <c r="S537" s="187"/>
      <c r="T537" s="94" t="s">
        <v>2842</v>
      </c>
      <c r="U537" s="395">
        <f>COUNTIF(Aggregation_of_rev_to_allocate!$A$3:$A$137,$T537)</f>
        <v>1</v>
      </c>
      <c r="V537" s="100"/>
      <c r="W537" s="100"/>
      <c r="X537" s="109">
        <v>1E-3</v>
      </c>
      <c r="Y537" s="109">
        <v>0</v>
      </c>
      <c r="Z537" s="110">
        <v>1</v>
      </c>
      <c r="AA537" s="110">
        <v>1</v>
      </c>
      <c r="AB537" s="110">
        <v>0</v>
      </c>
      <c r="AC537" s="109">
        <f>IF(ISERROR((X537*SUMIF('Rev_for_allocation(Hard)'!$A$3:$A$249,$T537,'Rev_for_allocation(Hard)'!$I$3:$I$249)/SUMIF(Historic_capex_list!$T$9:$T$586,$T537,Historic_capex_list!$X$9:$X$586))=TRUE),0,X537*SUMIF('Rev_for_allocation(Hard)'!$A$3:$A$249,$T537,'Rev_for_allocation(Hard)'!$I$3:$I$249)/SUMIF(Historic_capex_list!$T$9:$T$586,$T537,Historic_capex_list!$X$9:$X$586))</f>
        <v>-7.7113633591047905E-5</v>
      </c>
      <c r="AD537" s="109">
        <f t="shared" si="354"/>
        <v>9.2288636640895216E-4</v>
      </c>
      <c r="AE537" s="109">
        <f t="shared" si="355"/>
        <v>9.2288636640895216E-4</v>
      </c>
      <c r="AF537" s="109">
        <f t="shared" si="344"/>
        <v>9.2288636640895216E-4</v>
      </c>
      <c r="AG537" s="109"/>
      <c r="AH537" s="109"/>
      <c r="AI537" s="109"/>
      <c r="AJ537" s="109"/>
      <c r="AK537" s="109"/>
      <c r="AL537" s="109"/>
      <c r="AM537" s="111">
        <f t="shared" si="345"/>
        <v>0</v>
      </c>
      <c r="AN537" s="111">
        <f t="shared" si="346"/>
        <v>0</v>
      </c>
      <c r="AO537" s="111" t="str">
        <f t="shared" si="347"/>
        <v>Use deduct 3yrs</v>
      </c>
      <c r="AP537" s="111">
        <f t="shared" si="356"/>
        <v>0</v>
      </c>
      <c r="AQ537" s="112">
        <f t="shared" si="357"/>
        <v>0</v>
      </c>
      <c r="AR537" s="112">
        <f t="shared" si="348"/>
        <v>1</v>
      </c>
      <c r="AS537" s="113">
        <f t="shared" si="358"/>
        <v>2028</v>
      </c>
      <c r="AT537" s="109">
        <v>-9.7042443144040774E-5</v>
      </c>
      <c r="AU537" s="114">
        <v>1</v>
      </c>
      <c r="AV537" s="113">
        <v>2028</v>
      </c>
      <c r="AW537" s="112">
        <v>1</v>
      </c>
      <c r="AX537" s="109">
        <f t="shared" si="359"/>
        <v>-9.7042443144040774E-5</v>
      </c>
      <c r="AY537" s="109">
        <f t="shared" si="360"/>
        <v>0</v>
      </c>
      <c r="AZ537" s="109">
        <f t="shared" si="361"/>
        <v>9.2288636640895216E-4</v>
      </c>
      <c r="BA537" s="111">
        <f t="shared" si="362"/>
        <v>1.019928809552993E-3</v>
      </c>
      <c r="BB537" s="117"/>
      <c r="BC537" s="115" t="str">
        <f t="shared" si="363"/>
        <v>Y</v>
      </c>
      <c r="BD537" s="115" t="str">
        <f t="shared" si="364"/>
        <v>Y</v>
      </c>
      <c r="BE537" s="115" t="str">
        <f t="shared" si="365"/>
        <v>Y</v>
      </c>
      <c r="BF537" s="109">
        <f t="shared" si="366"/>
        <v>-9.7042443144040774E-5</v>
      </c>
      <c r="BG537" s="111" t="s">
        <v>2499</v>
      </c>
      <c r="BH537" s="115" t="s">
        <v>1168</v>
      </c>
      <c r="BI537" s="116"/>
      <c r="BJ537" s="222">
        <v>1</v>
      </c>
      <c r="BK537" s="265">
        <f t="shared" si="367"/>
        <v>0</v>
      </c>
      <c r="BL537" s="265">
        <f t="shared" si="349"/>
        <v>0</v>
      </c>
      <c r="BM537" s="265">
        <f t="shared" si="368"/>
        <v>0</v>
      </c>
      <c r="BN537" s="265">
        <f t="shared" si="369"/>
        <v>1.0970424431440409E-3</v>
      </c>
      <c r="BO537" s="109"/>
      <c r="BP537" s="265">
        <f t="shared" si="350"/>
        <v>1.0970424431440409E-3</v>
      </c>
      <c r="BQ537" s="265">
        <v>1.0970424431440409E-3</v>
      </c>
      <c r="BR537" s="265" t="e">
        <f t="shared" si="351"/>
        <v>#REF!</v>
      </c>
      <c r="BS537" s="207">
        <v>1.2359196382317659E-4</v>
      </c>
      <c r="BT537" s="475">
        <v>0</v>
      </c>
      <c r="BU537" s="475">
        <v>-9.7042443144040774E-5</v>
      </c>
      <c r="BV537" s="475">
        <v>0</v>
      </c>
      <c r="BW537" s="483">
        <f t="shared" si="352"/>
        <v>0</v>
      </c>
      <c r="BX537" s="483">
        <f t="shared" si="353"/>
        <v>0</v>
      </c>
    </row>
    <row r="538" spans="1:76" ht="14.5">
      <c r="A538" s="99"/>
      <c r="B538" s="91" t="str">
        <f t="shared" si="339"/>
        <v xml:space="preserve">CI </v>
      </c>
      <c r="C538" s="92"/>
      <c r="D538" s="451"/>
      <c r="E538" s="451"/>
      <c r="F538" s="409" t="s">
        <v>4385</v>
      </c>
      <c r="G538" s="384"/>
      <c r="H538" s="398">
        <v>1</v>
      </c>
      <c r="I538" s="151"/>
      <c r="J538" s="95"/>
      <c r="K538" s="191">
        <v>-9.7042443144040774E-5</v>
      </c>
      <c r="L538" s="269">
        <v>1</v>
      </c>
      <c r="M538" s="267">
        <v>1</v>
      </c>
      <c r="N538" s="267">
        <f t="shared" si="340"/>
        <v>0</v>
      </c>
      <c r="O538" s="96">
        <f t="shared" si="341"/>
        <v>0</v>
      </c>
      <c r="P538" s="96">
        <f t="shared" si="342"/>
        <v>-9.7042443144040774E-5</v>
      </c>
      <c r="Q538" s="96">
        <f t="shared" si="370"/>
        <v>0</v>
      </c>
      <c r="R538" s="187"/>
      <c r="S538" s="187"/>
      <c r="T538" s="94" t="s">
        <v>2842</v>
      </c>
      <c r="U538" s="395">
        <f>COUNTIF(Aggregation_of_rev_to_allocate!$A$3:$A$137,$T538)</f>
        <v>1</v>
      </c>
      <c r="V538" s="100"/>
      <c r="W538" s="100"/>
      <c r="X538" s="109">
        <v>1E-3</v>
      </c>
      <c r="Y538" s="109">
        <v>0</v>
      </c>
      <c r="Z538" s="110">
        <v>1</v>
      </c>
      <c r="AA538" s="110">
        <v>1</v>
      </c>
      <c r="AB538" s="110">
        <v>0</v>
      </c>
      <c r="AC538" s="109">
        <f>IF(ISERROR((X538*SUMIF('Rev_for_allocation(Hard)'!$A$3:$A$249,$T538,'Rev_for_allocation(Hard)'!$I$3:$I$249)/SUMIF(Historic_capex_list!$T$9:$T$586,$T538,Historic_capex_list!$X$9:$X$586))=TRUE),0,X538*SUMIF('Rev_for_allocation(Hard)'!$A$3:$A$249,$T538,'Rev_for_allocation(Hard)'!$I$3:$I$249)/SUMIF(Historic_capex_list!$T$9:$T$586,$T538,Historic_capex_list!$X$9:$X$586))</f>
        <v>-7.7113633591047905E-5</v>
      </c>
      <c r="AD538" s="109">
        <f t="shared" si="354"/>
        <v>9.2288636640895216E-4</v>
      </c>
      <c r="AE538" s="109">
        <f t="shared" si="355"/>
        <v>9.2288636640895216E-4</v>
      </c>
      <c r="AF538" s="109">
        <f t="shared" si="344"/>
        <v>9.2288636640895216E-4</v>
      </c>
      <c r="AG538" s="109"/>
      <c r="AH538" s="109"/>
      <c r="AI538" s="109"/>
      <c r="AJ538" s="109"/>
      <c r="AK538" s="109"/>
      <c r="AL538" s="109"/>
      <c r="AM538" s="111">
        <f t="shared" si="345"/>
        <v>0</v>
      </c>
      <c r="AN538" s="111">
        <f t="shared" si="346"/>
        <v>0</v>
      </c>
      <c r="AO538" s="111" t="str">
        <f t="shared" si="347"/>
        <v>Use deduct 3yrs</v>
      </c>
      <c r="AP538" s="111">
        <f t="shared" si="356"/>
        <v>0</v>
      </c>
      <c r="AQ538" s="112">
        <f t="shared" si="357"/>
        <v>0</v>
      </c>
      <c r="AR538" s="112">
        <f t="shared" si="348"/>
        <v>1</v>
      </c>
      <c r="AS538" s="113">
        <f t="shared" si="358"/>
        <v>2028</v>
      </c>
      <c r="AT538" s="109">
        <v>-9.7042443144040774E-5</v>
      </c>
      <c r="AU538" s="114">
        <v>1</v>
      </c>
      <c r="AV538" s="113">
        <v>2028</v>
      </c>
      <c r="AW538" s="112">
        <v>1</v>
      </c>
      <c r="AX538" s="109">
        <f t="shared" si="359"/>
        <v>-9.7042443144040774E-5</v>
      </c>
      <c r="AY538" s="109">
        <f t="shared" si="360"/>
        <v>0</v>
      </c>
      <c r="AZ538" s="109">
        <f t="shared" si="361"/>
        <v>9.2288636640895216E-4</v>
      </c>
      <c r="BA538" s="111">
        <f t="shared" si="362"/>
        <v>1.019928809552993E-3</v>
      </c>
      <c r="BB538" s="117"/>
      <c r="BC538" s="115" t="str">
        <f t="shared" si="363"/>
        <v>Y</v>
      </c>
      <c r="BD538" s="115" t="str">
        <f t="shared" si="364"/>
        <v>Y</v>
      </c>
      <c r="BE538" s="115" t="str">
        <f t="shared" si="365"/>
        <v>Y</v>
      </c>
      <c r="BF538" s="109">
        <f t="shared" si="366"/>
        <v>-9.7042443144040774E-5</v>
      </c>
      <c r="BG538" s="111" t="s">
        <v>2499</v>
      </c>
      <c r="BH538" s="115" t="s">
        <v>1168</v>
      </c>
      <c r="BI538" s="116"/>
      <c r="BJ538" s="222">
        <v>1</v>
      </c>
      <c r="BK538" s="265">
        <f t="shared" si="367"/>
        <v>0</v>
      </c>
      <c r="BL538" s="265">
        <f t="shared" si="349"/>
        <v>0</v>
      </c>
      <c r="BM538" s="265">
        <f t="shared" si="368"/>
        <v>0</v>
      </c>
      <c r="BN538" s="265">
        <f t="shared" si="369"/>
        <v>1.0970424431440409E-3</v>
      </c>
      <c r="BO538" s="109"/>
      <c r="BP538" s="265">
        <f t="shared" si="350"/>
        <v>1.0970424431440409E-3</v>
      </c>
      <c r="BQ538" s="265">
        <v>1.0970424431440409E-3</v>
      </c>
      <c r="BR538" s="265" t="e">
        <f t="shared" si="351"/>
        <v>#REF!</v>
      </c>
      <c r="BS538" s="207">
        <v>1.2359196382317659E-4</v>
      </c>
      <c r="BT538" s="475">
        <v>0</v>
      </c>
      <c r="BU538" s="475">
        <v>-9.7042443144040774E-5</v>
      </c>
      <c r="BV538" s="475">
        <v>0</v>
      </c>
      <c r="BW538" s="483">
        <f t="shared" si="352"/>
        <v>0</v>
      </c>
      <c r="BX538" s="483">
        <f t="shared" si="353"/>
        <v>0</v>
      </c>
    </row>
    <row r="539" spans="1:76" ht="14.5">
      <c r="A539" s="99"/>
      <c r="B539" s="91" t="str">
        <f t="shared" si="339"/>
        <v xml:space="preserve">CI </v>
      </c>
      <c r="C539" s="92"/>
      <c r="D539" s="451"/>
      <c r="E539" s="451"/>
      <c r="F539" s="409" t="s">
        <v>4385</v>
      </c>
      <c r="G539" s="384"/>
      <c r="H539" s="398">
        <v>1</v>
      </c>
      <c r="I539" s="151"/>
      <c r="J539" s="95"/>
      <c r="K539" s="191">
        <v>-9.7042443144040774E-5</v>
      </c>
      <c r="L539" s="269">
        <v>1</v>
      </c>
      <c r="M539" s="267">
        <v>1</v>
      </c>
      <c r="N539" s="267">
        <f t="shared" si="340"/>
        <v>0</v>
      </c>
      <c r="O539" s="96">
        <f t="shared" si="341"/>
        <v>0</v>
      </c>
      <c r="P539" s="96">
        <f t="shared" si="342"/>
        <v>-9.7042443144040774E-5</v>
      </c>
      <c r="Q539" s="96">
        <f t="shared" si="370"/>
        <v>0</v>
      </c>
      <c r="R539" s="187"/>
      <c r="S539" s="187"/>
      <c r="T539" s="94" t="s">
        <v>2842</v>
      </c>
      <c r="U539" s="395">
        <f>COUNTIF(Aggregation_of_rev_to_allocate!$A$3:$A$137,$T539)</f>
        <v>1</v>
      </c>
      <c r="V539" s="100"/>
      <c r="W539" s="100"/>
      <c r="X539" s="109">
        <v>1E-3</v>
      </c>
      <c r="Y539" s="109">
        <v>0</v>
      </c>
      <c r="Z539" s="110">
        <v>1</v>
      </c>
      <c r="AA539" s="110">
        <v>1</v>
      </c>
      <c r="AB539" s="110">
        <v>0</v>
      </c>
      <c r="AC539" s="109">
        <f>IF(ISERROR((X539*SUMIF('Rev_for_allocation(Hard)'!$A$3:$A$249,$T539,'Rev_for_allocation(Hard)'!$I$3:$I$249)/SUMIF(Historic_capex_list!$T$9:$T$586,$T539,Historic_capex_list!$X$9:$X$586))=TRUE),0,X539*SUMIF('Rev_for_allocation(Hard)'!$A$3:$A$249,$T539,'Rev_for_allocation(Hard)'!$I$3:$I$249)/SUMIF(Historic_capex_list!$T$9:$T$586,$T539,Historic_capex_list!$X$9:$X$586))</f>
        <v>-7.7113633591047905E-5</v>
      </c>
      <c r="AD539" s="109">
        <f t="shared" si="354"/>
        <v>9.2288636640895216E-4</v>
      </c>
      <c r="AE539" s="109">
        <f t="shared" si="355"/>
        <v>9.2288636640895216E-4</v>
      </c>
      <c r="AF539" s="109">
        <f t="shared" si="344"/>
        <v>9.2288636640895216E-4</v>
      </c>
      <c r="AG539" s="109"/>
      <c r="AH539" s="109"/>
      <c r="AI539" s="109"/>
      <c r="AJ539" s="109"/>
      <c r="AK539" s="109"/>
      <c r="AL539" s="109"/>
      <c r="AM539" s="111">
        <f t="shared" si="345"/>
        <v>0</v>
      </c>
      <c r="AN539" s="111">
        <f t="shared" si="346"/>
        <v>0</v>
      </c>
      <c r="AO539" s="111" t="str">
        <f t="shared" si="347"/>
        <v>Use deduct 3yrs</v>
      </c>
      <c r="AP539" s="111">
        <f t="shared" si="356"/>
        <v>0</v>
      </c>
      <c r="AQ539" s="112">
        <f t="shared" si="357"/>
        <v>0</v>
      </c>
      <c r="AR539" s="112">
        <f t="shared" si="348"/>
        <v>1</v>
      </c>
      <c r="AS539" s="113">
        <f t="shared" si="358"/>
        <v>2028</v>
      </c>
      <c r="AT539" s="109">
        <v>-9.7042443144040774E-5</v>
      </c>
      <c r="AU539" s="114">
        <v>1</v>
      </c>
      <c r="AV539" s="113">
        <v>2028</v>
      </c>
      <c r="AW539" s="112">
        <v>1</v>
      </c>
      <c r="AX539" s="109">
        <f t="shared" si="359"/>
        <v>-9.7042443144040774E-5</v>
      </c>
      <c r="AY539" s="109">
        <f t="shared" si="360"/>
        <v>0</v>
      </c>
      <c r="AZ539" s="109">
        <f t="shared" si="361"/>
        <v>9.2288636640895216E-4</v>
      </c>
      <c r="BA539" s="111">
        <f t="shared" si="362"/>
        <v>1.019928809552993E-3</v>
      </c>
      <c r="BB539" s="117"/>
      <c r="BC539" s="115" t="str">
        <f t="shared" si="363"/>
        <v>Y</v>
      </c>
      <c r="BD539" s="115" t="str">
        <f t="shared" si="364"/>
        <v>Y</v>
      </c>
      <c r="BE539" s="115" t="str">
        <f t="shared" si="365"/>
        <v>Y</v>
      </c>
      <c r="BF539" s="109">
        <f t="shared" si="366"/>
        <v>-9.7042443144040774E-5</v>
      </c>
      <c r="BG539" s="111" t="s">
        <v>2499</v>
      </c>
      <c r="BH539" s="115" t="s">
        <v>1168</v>
      </c>
      <c r="BI539" s="116"/>
      <c r="BJ539" s="222">
        <v>1</v>
      </c>
      <c r="BK539" s="265">
        <f t="shared" si="367"/>
        <v>0</v>
      </c>
      <c r="BL539" s="265">
        <f t="shared" si="349"/>
        <v>0</v>
      </c>
      <c r="BM539" s="265">
        <f t="shared" si="368"/>
        <v>0</v>
      </c>
      <c r="BN539" s="265">
        <f t="shared" si="369"/>
        <v>1.0970424431440409E-3</v>
      </c>
      <c r="BO539" s="109"/>
      <c r="BP539" s="265">
        <f t="shared" si="350"/>
        <v>1.0970424431440409E-3</v>
      </c>
      <c r="BQ539" s="265">
        <v>1.0970424431440409E-3</v>
      </c>
      <c r="BR539" s="265" t="e">
        <f t="shared" si="351"/>
        <v>#REF!</v>
      </c>
      <c r="BS539" s="207">
        <v>1.2359196382317659E-4</v>
      </c>
      <c r="BT539" s="475">
        <v>0</v>
      </c>
      <c r="BU539" s="475">
        <v>-9.7042443144040774E-5</v>
      </c>
      <c r="BV539" s="475">
        <v>0</v>
      </c>
      <c r="BW539" s="483">
        <f t="shared" si="352"/>
        <v>0</v>
      </c>
      <c r="BX539" s="483">
        <f t="shared" si="353"/>
        <v>0</v>
      </c>
    </row>
    <row r="540" spans="1:76" ht="14.5">
      <c r="A540" s="99"/>
      <c r="B540" s="91" t="str">
        <f t="shared" si="339"/>
        <v>OSL</v>
      </c>
      <c r="C540" s="92"/>
      <c r="D540" s="451"/>
      <c r="E540" s="451"/>
      <c r="F540" s="409" t="s">
        <v>4385</v>
      </c>
      <c r="G540" s="384"/>
      <c r="H540" s="398">
        <v>1</v>
      </c>
      <c r="I540" s="151"/>
      <c r="J540" s="95"/>
      <c r="K540" s="191">
        <v>-1.5045925365685408E-3</v>
      </c>
      <c r="L540" s="269">
        <v>1</v>
      </c>
      <c r="M540" s="267">
        <v>1</v>
      </c>
      <c r="N540" s="267">
        <f t="shared" si="340"/>
        <v>0</v>
      </c>
      <c r="O540" s="96">
        <f t="shared" si="341"/>
        <v>0</v>
      </c>
      <c r="P540" s="96">
        <f t="shared" si="342"/>
        <v>-1.5045925365685408E-3</v>
      </c>
      <c r="Q540" s="96">
        <f t="shared" si="370"/>
        <v>0</v>
      </c>
      <c r="R540" s="187"/>
      <c r="S540" s="187"/>
      <c r="T540" s="94" t="s">
        <v>2629</v>
      </c>
      <c r="U540" s="395">
        <f>COUNTIF(Aggregation_of_rev_to_allocate!$A$3:$A$137,$T540)</f>
        <v>1</v>
      </c>
      <c r="V540" s="100"/>
      <c r="W540" s="100"/>
      <c r="X540" s="109">
        <v>1E-3</v>
      </c>
      <c r="Y540" s="109">
        <v>0</v>
      </c>
      <c r="Z540" s="110">
        <v>1</v>
      </c>
      <c r="AA540" s="110">
        <v>1</v>
      </c>
      <c r="AB540" s="110">
        <v>0</v>
      </c>
      <c r="AC540" s="109">
        <f>IF(ISERROR((X540*SUMIF('Rev_for_allocation(Hard)'!$A$3:$A$249,$T540,'Rev_for_allocation(Hard)'!$I$3:$I$249)/SUMIF(Historic_capex_list!$T$9:$T$586,$T540,Historic_capex_list!$X$9:$X$586))=TRUE),0,X540*SUMIF('Rev_for_allocation(Hard)'!$A$3:$A$249,$T540,'Rev_for_allocation(Hard)'!$I$3:$I$249)/SUMIF(Historic_capex_list!$T$9:$T$586,$T540,Historic_capex_list!$X$9:$X$586))</f>
        <v>-1.3720149679871309E-2</v>
      </c>
      <c r="AD540" s="109">
        <f t="shared" si="354"/>
        <v>-1.2720149679871309E-2</v>
      </c>
      <c r="AE540" s="109">
        <f t="shared" si="355"/>
        <v>-1.522474221643985E-2</v>
      </c>
      <c r="AF540" s="109">
        <f t="shared" si="344"/>
        <v>-1.2720149679871309E-2</v>
      </c>
      <c r="AG540" s="109"/>
      <c r="AH540" s="109"/>
      <c r="AI540" s="109"/>
      <c r="AJ540" s="109"/>
      <c r="AK540" s="109"/>
      <c r="AL540" s="109"/>
      <c r="AM540" s="111">
        <f t="shared" si="345"/>
        <v>0</v>
      </c>
      <c r="AN540" s="111">
        <f t="shared" si="346"/>
        <v>0</v>
      </c>
      <c r="AO540" s="111">
        <f t="shared" si="347"/>
        <v>19.01174514801054</v>
      </c>
      <c r="AP540" s="111">
        <f t="shared" si="356"/>
        <v>0</v>
      </c>
      <c r="AQ540" s="112">
        <f t="shared" si="357"/>
        <v>0</v>
      </c>
      <c r="AR540" s="112">
        <f t="shared" si="348"/>
        <v>1</v>
      </c>
      <c r="AS540" s="113">
        <f t="shared" si="358"/>
        <v>2028</v>
      </c>
      <c r="AT540" s="109">
        <v>-1.5045925365685408E-3</v>
      </c>
      <c r="AU540" s="114">
        <v>1</v>
      </c>
      <c r="AV540" s="113">
        <v>2028</v>
      </c>
      <c r="AW540" s="112">
        <v>1</v>
      </c>
      <c r="AX540" s="109">
        <f t="shared" si="359"/>
        <v>-1.5045925365685408E-3</v>
      </c>
      <c r="AY540" s="109">
        <f t="shared" si="360"/>
        <v>0</v>
      </c>
      <c r="AZ540" s="109">
        <f t="shared" si="361"/>
        <v>-1.2720149679871309E-2</v>
      </c>
      <c r="BA540" s="111">
        <f t="shared" si="362"/>
        <v>-1.1215557143302768E-2</v>
      </c>
      <c r="BB540" s="117"/>
      <c r="BC540" s="115" t="str">
        <f t="shared" si="363"/>
        <v>Y</v>
      </c>
      <c r="BD540" s="115" t="str">
        <f t="shared" si="364"/>
        <v>Y</v>
      </c>
      <c r="BE540" s="115" t="str">
        <f t="shared" si="365"/>
        <v>Y</v>
      </c>
      <c r="BF540" s="109">
        <f t="shared" si="366"/>
        <v>-1.5045925365685408E-3</v>
      </c>
      <c r="BG540" s="111" t="s">
        <v>2499</v>
      </c>
      <c r="BH540" s="115" t="s">
        <v>1168</v>
      </c>
      <c r="BI540" s="116"/>
      <c r="BJ540" s="222">
        <v>1</v>
      </c>
      <c r="BK540" s="265">
        <f t="shared" si="367"/>
        <v>0</v>
      </c>
      <c r="BL540" s="265">
        <f t="shared" si="349"/>
        <v>0</v>
      </c>
      <c r="BM540" s="265">
        <f t="shared" si="368"/>
        <v>0</v>
      </c>
      <c r="BN540" s="265">
        <f t="shared" si="369"/>
        <v>2.5045925365685408E-3</v>
      </c>
      <c r="BO540" s="109"/>
      <c r="BP540" s="265">
        <f t="shared" si="350"/>
        <v>2.5045925365685408E-3</v>
      </c>
      <c r="BQ540" s="265">
        <v>2.5045925365685408E-3</v>
      </c>
      <c r="BR540" s="265" t="e">
        <f t="shared" si="351"/>
        <v>#REF!</v>
      </c>
      <c r="BS540" s="207">
        <v>2.8216548238939359E-4</v>
      </c>
      <c r="BT540" s="475">
        <v>0</v>
      </c>
      <c r="BU540" s="475">
        <v>-1.5045925365685408E-3</v>
      </c>
      <c r="BV540" s="475">
        <v>0</v>
      </c>
      <c r="BW540" s="483">
        <f t="shared" si="352"/>
        <v>0</v>
      </c>
      <c r="BX540" s="483">
        <f t="shared" si="353"/>
        <v>0</v>
      </c>
    </row>
    <row r="541" spans="1:76" ht="14.5">
      <c r="A541" s="99"/>
      <c r="B541" s="91" t="str">
        <f t="shared" si="339"/>
        <v>OSL</v>
      </c>
      <c r="C541" s="92"/>
      <c r="D541" s="451"/>
      <c r="E541" s="451"/>
      <c r="F541" s="409" t="s">
        <v>4385</v>
      </c>
      <c r="G541" s="384"/>
      <c r="H541" s="398">
        <v>1</v>
      </c>
      <c r="I541" s="151"/>
      <c r="J541" s="95"/>
      <c r="K541" s="191">
        <v>-1.5045925365685408E-3</v>
      </c>
      <c r="L541" s="269">
        <v>1</v>
      </c>
      <c r="M541" s="267">
        <v>1</v>
      </c>
      <c r="N541" s="267">
        <f t="shared" si="340"/>
        <v>0</v>
      </c>
      <c r="O541" s="96">
        <f t="shared" si="341"/>
        <v>0</v>
      </c>
      <c r="P541" s="96">
        <f t="shared" si="342"/>
        <v>-1.5045925365685408E-3</v>
      </c>
      <c r="Q541" s="96">
        <f t="shared" si="370"/>
        <v>0</v>
      </c>
      <c r="R541" s="187"/>
      <c r="S541" s="187"/>
      <c r="T541" s="94" t="s">
        <v>2629</v>
      </c>
      <c r="U541" s="395">
        <f>COUNTIF(Aggregation_of_rev_to_allocate!$A$3:$A$137,$T541)</f>
        <v>1</v>
      </c>
      <c r="V541" s="100"/>
      <c r="W541" s="100"/>
      <c r="X541" s="109">
        <v>1E-3</v>
      </c>
      <c r="Y541" s="109">
        <v>0</v>
      </c>
      <c r="Z541" s="110">
        <v>1</v>
      </c>
      <c r="AA541" s="110">
        <v>1</v>
      </c>
      <c r="AB541" s="110">
        <v>0</v>
      </c>
      <c r="AC541" s="109">
        <f>IF(ISERROR((X541*SUMIF('Rev_for_allocation(Hard)'!$A$3:$A$249,$T541,'Rev_for_allocation(Hard)'!$I$3:$I$249)/SUMIF(Historic_capex_list!$T$9:$T$586,$T541,Historic_capex_list!$X$9:$X$586))=TRUE),0,X541*SUMIF('Rev_for_allocation(Hard)'!$A$3:$A$249,$T541,'Rev_for_allocation(Hard)'!$I$3:$I$249)/SUMIF(Historic_capex_list!$T$9:$T$586,$T541,Historic_capex_list!$X$9:$X$586))</f>
        <v>-1.3720149679871309E-2</v>
      </c>
      <c r="AD541" s="109">
        <f t="shared" si="354"/>
        <v>-1.2720149679871309E-2</v>
      </c>
      <c r="AE541" s="109">
        <f t="shared" si="355"/>
        <v>-1.522474221643985E-2</v>
      </c>
      <c r="AF541" s="109">
        <f t="shared" si="344"/>
        <v>-1.2720149679871309E-2</v>
      </c>
      <c r="AG541" s="109"/>
      <c r="AH541" s="109"/>
      <c r="AI541" s="109"/>
      <c r="AJ541" s="109"/>
      <c r="AK541" s="109"/>
      <c r="AL541" s="109"/>
      <c r="AM541" s="111">
        <f t="shared" si="345"/>
        <v>0</v>
      </c>
      <c r="AN541" s="111">
        <f t="shared" si="346"/>
        <v>0</v>
      </c>
      <c r="AO541" s="111">
        <f t="shared" si="347"/>
        <v>19.01174514801054</v>
      </c>
      <c r="AP541" s="111">
        <f t="shared" si="356"/>
        <v>0</v>
      </c>
      <c r="AQ541" s="112">
        <f t="shared" si="357"/>
        <v>0</v>
      </c>
      <c r="AR541" s="112">
        <f t="shared" si="348"/>
        <v>1</v>
      </c>
      <c r="AS541" s="113">
        <f t="shared" si="358"/>
        <v>2028</v>
      </c>
      <c r="AT541" s="109">
        <v>-1.5045925365685408E-3</v>
      </c>
      <c r="AU541" s="114">
        <v>1</v>
      </c>
      <c r="AV541" s="113">
        <v>2028</v>
      </c>
      <c r="AW541" s="112">
        <v>1</v>
      </c>
      <c r="AX541" s="109">
        <f t="shared" si="359"/>
        <v>-1.5045925365685408E-3</v>
      </c>
      <c r="AY541" s="109">
        <f t="shared" si="360"/>
        <v>0</v>
      </c>
      <c r="AZ541" s="109">
        <f t="shared" si="361"/>
        <v>-1.2720149679871309E-2</v>
      </c>
      <c r="BA541" s="111">
        <f t="shared" si="362"/>
        <v>-1.1215557143302768E-2</v>
      </c>
      <c r="BB541" s="117"/>
      <c r="BC541" s="115" t="str">
        <f t="shared" si="363"/>
        <v>Y</v>
      </c>
      <c r="BD541" s="115" t="str">
        <f t="shared" si="364"/>
        <v>Y</v>
      </c>
      <c r="BE541" s="115" t="str">
        <f t="shared" si="365"/>
        <v>Y</v>
      </c>
      <c r="BF541" s="109">
        <f t="shared" si="366"/>
        <v>-1.5045925365685408E-3</v>
      </c>
      <c r="BG541" s="111" t="s">
        <v>2499</v>
      </c>
      <c r="BH541" s="115" t="s">
        <v>1168</v>
      </c>
      <c r="BI541" s="116"/>
      <c r="BJ541" s="222">
        <v>1</v>
      </c>
      <c r="BK541" s="265">
        <f t="shared" si="367"/>
        <v>0</v>
      </c>
      <c r="BL541" s="265">
        <f t="shared" si="349"/>
        <v>0</v>
      </c>
      <c r="BM541" s="265">
        <f t="shared" si="368"/>
        <v>0</v>
      </c>
      <c r="BN541" s="265">
        <f t="shared" si="369"/>
        <v>2.5045925365685408E-3</v>
      </c>
      <c r="BO541" s="109"/>
      <c r="BP541" s="265">
        <f t="shared" si="350"/>
        <v>2.5045925365685408E-3</v>
      </c>
      <c r="BQ541" s="265">
        <v>2.5045925365685408E-3</v>
      </c>
      <c r="BR541" s="265" t="e">
        <f t="shared" si="351"/>
        <v>#REF!</v>
      </c>
      <c r="BS541" s="207">
        <v>2.8216548238939359E-4</v>
      </c>
      <c r="BT541" s="475">
        <v>0</v>
      </c>
      <c r="BU541" s="475">
        <v>-1.5045925365685408E-3</v>
      </c>
      <c r="BV541" s="475">
        <v>0</v>
      </c>
      <c r="BW541" s="483">
        <f t="shared" si="352"/>
        <v>0</v>
      </c>
      <c r="BX541" s="483">
        <f t="shared" si="353"/>
        <v>0</v>
      </c>
    </row>
    <row r="542" spans="1:76" ht="14.5">
      <c r="A542" s="99"/>
      <c r="B542" s="91" t="str">
        <f t="shared" si="339"/>
        <v>OSL</v>
      </c>
      <c r="C542" s="92"/>
      <c r="D542" s="451"/>
      <c r="E542" s="451"/>
      <c r="F542" s="409" t="s">
        <v>4385</v>
      </c>
      <c r="G542" s="384"/>
      <c r="H542" s="398">
        <v>1</v>
      </c>
      <c r="I542" s="151"/>
      <c r="J542" s="95"/>
      <c r="K542" s="191">
        <v>-1.5045925365685408E-3</v>
      </c>
      <c r="L542" s="269">
        <v>1</v>
      </c>
      <c r="M542" s="267">
        <v>1</v>
      </c>
      <c r="N542" s="267">
        <f t="shared" si="340"/>
        <v>0</v>
      </c>
      <c r="O542" s="96">
        <f t="shared" si="341"/>
        <v>0</v>
      </c>
      <c r="P542" s="96">
        <f t="shared" si="342"/>
        <v>-1.5045925365685408E-3</v>
      </c>
      <c r="Q542" s="96">
        <f t="shared" si="370"/>
        <v>0</v>
      </c>
      <c r="R542" s="187"/>
      <c r="S542" s="187"/>
      <c r="T542" s="94" t="s">
        <v>2629</v>
      </c>
      <c r="U542" s="395">
        <f>COUNTIF(Aggregation_of_rev_to_allocate!$A$3:$A$137,$T542)</f>
        <v>1</v>
      </c>
      <c r="V542" s="100"/>
      <c r="W542" s="100"/>
      <c r="X542" s="109">
        <v>1E-3</v>
      </c>
      <c r="Y542" s="109">
        <v>0</v>
      </c>
      <c r="Z542" s="110">
        <v>1</v>
      </c>
      <c r="AA542" s="110">
        <v>1</v>
      </c>
      <c r="AB542" s="110">
        <v>0</v>
      </c>
      <c r="AC542" s="109">
        <f>IF(ISERROR((X542*SUMIF('Rev_for_allocation(Hard)'!$A$3:$A$249,$T542,'Rev_for_allocation(Hard)'!$I$3:$I$249)/SUMIF(Historic_capex_list!$T$9:$T$586,$T542,Historic_capex_list!$X$9:$X$586))=TRUE),0,X542*SUMIF('Rev_for_allocation(Hard)'!$A$3:$A$249,$T542,'Rev_for_allocation(Hard)'!$I$3:$I$249)/SUMIF(Historic_capex_list!$T$9:$T$586,$T542,Historic_capex_list!$X$9:$X$586))</f>
        <v>-1.3720149679871309E-2</v>
      </c>
      <c r="AD542" s="109">
        <f t="shared" si="354"/>
        <v>-1.2720149679871309E-2</v>
      </c>
      <c r="AE542" s="109">
        <f t="shared" si="355"/>
        <v>-1.522474221643985E-2</v>
      </c>
      <c r="AF542" s="109">
        <f t="shared" si="344"/>
        <v>-1.2720149679871309E-2</v>
      </c>
      <c r="AG542" s="109"/>
      <c r="AH542" s="109"/>
      <c r="AI542" s="109"/>
      <c r="AJ542" s="109"/>
      <c r="AK542" s="109"/>
      <c r="AL542" s="109"/>
      <c r="AM542" s="111">
        <f t="shared" si="345"/>
        <v>0</v>
      </c>
      <c r="AN542" s="111">
        <f t="shared" si="346"/>
        <v>0</v>
      </c>
      <c r="AO542" s="111">
        <f t="shared" si="347"/>
        <v>19.01174514801054</v>
      </c>
      <c r="AP542" s="111">
        <f t="shared" si="356"/>
        <v>0</v>
      </c>
      <c r="AQ542" s="112">
        <f t="shared" si="357"/>
        <v>0</v>
      </c>
      <c r="AR542" s="112">
        <f t="shared" si="348"/>
        <v>1</v>
      </c>
      <c r="AS542" s="113">
        <f t="shared" si="358"/>
        <v>2028</v>
      </c>
      <c r="AT542" s="109">
        <v>-1.5045925365685408E-3</v>
      </c>
      <c r="AU542" s="114">
        <v>1</v>
      </c>
      <c r="AV542" s="113">
        <v>2028</v>
      </c>
      <c r="AW542" s="112">
        <v>1</v>
      </c>
      <c r="AX542" s="109">
        <f t="shared" si="359"/>
        <v>-1.5045925365685408E-3</v>
      </c>
      <c r="AY542" s="109">
        <f t="shared" si="360"/>
        <v>0</v>
      </c>
      <c r="AZ542" s="109">
        <f t="shared" si="361"/>
        <v>-1.2720149679871309E-2</v>
      </c>
      <c r="BA542" s="111">
        <f t="shared" si="362"/>
        <v>-1.1215557143302768E-2</v>
      </c>
      <c r="BB542" s="117"/>
      <c r="BC542" s="115" t="str">
        <f t="shared" si="363"/>
        <v>Y</v>
      </c>
      <c r="BD542" s="115" t="str">
        <f t="shared" si="364"/>
        <v>Y</v>
      </c>
      <c r="BE542" s="115" t="str">
        <f t="shared" si="365"/>
        <v>Y</v>
      </c>
      <c r="BF542" s="109">
        <f t="shared" si="366"/>
        <v>-1.5045925365685408E-3</v>
      </c>
      <c r="BG542" s="111" t="s">
        <v>2499</v>
      </c>
      <c r="BH542" s="115" t="s">
        <v>1168</v>
      </c>
      <c r="BI542" s="116"/>
      <c r="BJ542" s="222">
        <v>1</v>
      </c>
      <c r="BK542" s="265">
        <f t="shared" si="367"/>
        <v>0</v>
      </c>
      <c r="BL542" s="265">
        <f t="shared" si="349"/>
        <v>0</v>
      </c>
      <c r="BM542" s="265">
        <f t="shared" si="368"/>
        <v>0</v>
      </c>
      <c r="BN542" s="265">
        <f t="shared" si="369"/>
        <v>2.5045925365685408E-3</v>
      </c>
      <c r="BO542" s="109"/>
      <c r="BP542" s="265">
        <f t="shared" si="350"/>
        <v>2.5045925365685408E-3</v>
      </c>
      <c r="BQ542" s="265">
        <v>2.5045925365685408E-3</v>
      </c>
      <c r="BR542" s="265" t="e">
        <f t="shared" si="351"/>
        <v>#REF!</v>
      </c>
      <c r="BS542" s="207">
        <v>2.8216548238939359E-4</v>
      </c>
      <c r="BT542" s="475">
        <v>0</v>
      </c>
      <c r="BU542" s="475">
        <v>-1.5045925365685408E-3</v>
      </c>
      <c r="BV542" s="475">
        <v>0</v>
      </c>
      <c r="BW542" s="483">
        <f t="shared" si="352"/>
        <v>0</v>
      </c>
      <c r="BX542" s="483">
        <f t="shared" si="353"/>
        <v>0</v>
      </c>
    </row>
    <row r="543" spans="1:76" ht="14.5">
      <c r="A543" s="99"/>
      <c r="B543" s="91" t="str">
        <f t="shared" si="339"/>
        <v>OSL</v>
      </c>
      <c r="C543" s="92"/>
      <c r="D543" s="451"/>
      <c r="E543" s="451"/>
      <c r="F543" s="409" t="s">
        <v>4385</v>
      </c>
      <c r="G543" s="384"/>
      <c r="H543" s="398">
        <v>1</v>
      </c>
      <c r="I543" s="151"/>
      <c r="J543" s="95"/>
      <c r="K543" s="191">
        <v>-1.5045925365685408E-3</v>
      </c>
      <c r="L543" s="269">
        <v>1</v>
      </c>
      <c r="M543" s="267">
        <v>1</v>
      </c>
      <c r="N543" s="267">
        <f t="shared" si="340"/>
        <v>0</v>
      </c>
      <c r="O543" s="96">
        <f t="shared" si="341"/>
        <v>0</v>
      </c>
      <c r="P543" s="96">
        <f t="shared" si="342"/>
        <v>-1.5045925365685408E-3</v>
      </c>
      <c r="Q543" s="96">
        <f t="shared" si="370"/>
        <v>0</v>
      </c>
      <c r="R543" s="187"/>
      <c r="S543" s="187"/>
      <c r="T543" s="94" t="s">
        <v>2629</v>
      </c>
      <c r="U543" s="395">
        <f>COUNTIF(Aggregation_of_rev_to_allocate!$A$3:$A$137,$T543)</f>
        <v>1</v>
      </c>
      <c r="V543" s="100"/>
      <c r="W543" s="100"/>
      <c r="X543" s="109">
        <v>1E-3</v>
      </c>
      <c r="Y543" s="109">
        <v>0</v>
      </c>
      <c r="Z543" s="110">
        <v>1</v>
      </c>
      <c r="AA543" s="110">
        <v>1</v>
      </c>
      <c r="AB543" s="110">
        <v>0</v>
      </c>
      <c r="AC543" s="109">
        <f>IF(ISERROR((X543*SUMIF('Rev_for_allocation(Hard)'!$A$3:$A$249,$T543,'Rev_for_allocation(Hard)'!$I$3:$I$249)/SUMIF(Historic_capex_list!$T$9:$T$586,$T543,Historic_capex_list!$X$9:$X$586))=TRUE),0,X543*SUMIF('Rev_for_allocation(Hard)'!$A$3:$A$249,$T543,'Rev_for_allocation(Hard)'!$I$3:$I$249)/SUMIF(Historic_capex_list!$T$9:$T$586,$T543,Historic_capex_list!$X$9:$X$586))</f>
        <v>-1.3720149679871309E-2</v>
      </c>
      <c r="AD543" s="109">
        <f t="shared" si="354"/>
        <v>-1.2720149679871309E-2</v>
      </c>
      <c r="AE543" s="109">
        <f t="shared" si="355"/>
        <v>-1.522474221643985E-2</v>
      </c>
      <c r="AF543" s="109">
        <f t="shared" si="344"/>
        <v>-1.2720149679871309E-2</v>
      </c>
      <c r="AG543" s="109"/>
      <c r="AH543" s="109"/>
      <c r="AI543" s="109"/>
      <c r="AJ543" s="109"/>
      <c r="AK543" s="109"/>
      <c r="AL543" s="109"/>
      <c r="AM543" s="111">
        <f t="shared" si="345"/>
        <v>0</v>
      </c>
      <c r="AN543" s="111">
        <f t="shared" si="346"/>
        <v>0</v>
      </c>
      <c r="AO543" s="111">
        <f t="shared" si="347"/>
        <v>19.01174514801054</v>
      </c>
      <c r="AP543" s="111">
        <f t="shared" si="356"/>
        <v>0</v>
      </c>
      <c r="AQ543" s="112">
        <f t="shared" si="357"/>
        <v>0</v>
      </c>
      <c r="AR543" s="112">
        <f t="shared" si="348"/>
        <v>1</v>
      </c>
      <c r="AS543" s="113">
        <f t="shared" si="358"/>
        <v>2028</v>
      </c>
      <c r="AT543" s="109">
        <v>-1.5045925365685408E-3</v>
      </c>
      <c r="AU543" s="114">
        <v>1</v>
      </c>
      <c r="AV543" s="113">
        <v>2028</v>
      </c>
      <c r="AW543" s="112">
        <v>1</v>
      </c>
      <c r="AX543" s="109">
        <f t="shared" si="359"/>
        <v>-1.5045925365685408E-3</v>
      </c>
      <c r="AY543" s="109">
        <f t="shared" si="360"/>
        <v>0</v>
      </c>
      <c r="AZ543" s="109">
        <f t="shared" si="361"/>
        <v>-1.2720149679871309E-2</v>
      </c>
      <c r="BA543" s="111">
        <f t="shared" si="362"/>
        <v>-1.1215557143302768E-2</v>
      </c>
      <c r="BB543" s="117"/>
      <c r="BC543" s="115" t="str">
        <f t="shared" si="363"/>
        <v>Y</v>
      </c>
      <c r="BD543" s="115" t="str">
        <f t="shared" si="364"/>
        <v>Y</v>
      </c>
      <c r="BE543" s="115" t="str">
        <f t="shared" si="365"/>
        <v>Y</v>
      </c>
      <c r="BF543" s="109">
        <f t="shared" si="366"/>
        <v>-1.5045925365685408E-3</v>
      </c>
      <c r="BG543" s="111" t="s">
        <v>2499</v>
      </c>
      <c r="BH543" s="115" t="s">
        <v>1168</v>
      </c>
      <c r="BI543" s="116"/>
      <c r="BJ543" s="222">
        <v>1</v>
      </c>
      <c r="BK543" s="265">
        <f t="shared" si="367"/>
        <v>0</v>
      </c>
      <c r="BL543" s="265">
        <f t="shared" si="349"/>
        <v>0</v>
      </c>
      <c r="BM543" s="265">
        <f t="shared" si="368"/>
        <v>0</v>
      </c>
      <c r="BN543" s="265">
        <f t="shared" si="369"/>
        <v>2.5045925365685408E-3</v>
      </c>
      <c r="BO543" s="109"/>
      <c r="BP543" s="265">
        <f t="shared" si="350"/>
        <v>2.5045925365685408E-3</v>
      </c>
      <c r="BQ543" s="265">
        <v>2.5045925365685408E-3</v>
      </c>
      <c r="BR543" s="265" t="e">
        <f t="shared" si="351"/>
        <v>#REF!</v>
      </c>
      <c r="BS543" s="207">
        <v>2.8216548238939359E-4</v>
      </c>
      <c r="BT543" s="475">
        <v>0</v>
      </c>
      <c r="BU543" s="475">
        <v>-1.5045925365685408E-3</v>
      </c>
      <c r="BV543" s="475">
        <v>0</v>
      </c>
      <c r="BW543" s="483">
        <f t="shared" si="352"/>
        <v>0</v>
      </c>
      <c r="BX543" s="483">
        <f t="shared" si="353"/>
        <v>0</v>
      </c>
    </row>
    <row r="544" spans="1:76" ht="14.5">
      <c r="A544" s="99"/>
      <c r="B544" s="91" t="str">
        <f t="shared" si="339"/>
        <v>TRA</v>
      </c>
      <c r="C544" s="92"/>
      <c r="D544" s="451"/>
      <c r="E544" s="451"/>
      <c r="F544" s="409" t="s">
        <v>4385</v>
      </c>
      <c r="G544" s="384"/>
      <c r="H544" s="398">
        <v>1</v>
      </c>
      <c r="I544" s="151"/>
      <c r="J544" s="95"/>
      <c r="K544" s="191">
        <v>-1.4540273791012206E-3</v>
      </c>
      <c r="L544" s="269">
        <v>1</v>
      </c>
      <c r="M544" s="267">
        <v>1</v>
      </c>
      <c r="N544" s="267">
        <f t="shared" si="340"/>
        <v>0</v>
      </c>
      <c r="O544" s="96">
        <f t="shared" si="341"/>
        <v>0</v>
      </c>
      <c r="P544" s="96">
        <f t="shared" si="342"/>
        <v>-1.4540273791012206E-3</v>
      </c>
      <c r="Q544" s="96">
        <f t="shared" si="370"/>
        <v>0</v>
      </c>
      <c r="R544" s="187"/>
      <c r="S544" s="187"/>
      <c r="T544" s="94" t="s">
        <v>2778</v>
      </c>
      <c r="U544" s="395">
        <f>COUNTIF(Aggregation_of_rev_to_allocate!$A$3:$A$137,$T544)</f>
        <v>1</v>
      </c>
      <c r="V544" s="100"/>
      <c r="W544" s="100"/>
      <c r="X544" s="109">
        <v>1E-3</v>
      </c>
      <c r="Y544" s="109">
        <v>0</v>
      </c>
      <c r="Z544" s="110">
        <v>1</v>
      </c>
      <c r="AA544" s="110">
        <v>1</v>
      </c>
      <c r="AB544" s="110">
        <v>0</v>
      </c>
      <c r="AC544" s="109">
        <f>IF(ISERROR((X544*SUMIF('Rev_for_allocation(Hard)'!$A$3:$A$249,$T544,'Rev_for_allocation(Hard)'!$I$3:$I$249)/SUMIF(Historic_capex_list!$T$9:$T$586,$T544,Historic_capex_list!$X$9:$X$586))=TRUE),0,X544*SUMIF('Rev_for_allocation(Hard)'!$A$3:$A$249,$T544,'Rev_for_allocation(Hard)'!$I$3:$I$249)/SUMIF(Historic_capex_list!$T$9:$T$586,$T544,Historic_capex_list!$X$9:$X$586))</f>
        <v>-25906229.418501295</v>
      </c>
      <c r="AD544" s="109">
        <f t="shared" si="354"/>
        <v>-25906229.417501297</v>
      </c>
      <c r="AE544" s="109">
        <f t="shared" si="355"/>
        <v>-25906229.419955324</v>
      </c>
      <c r="AF544" s="109">
        <f t="shared" si="344"/>
        <v>-25906229.417501297</v>
      </c>
      <c r="AG544" s="109"/>
      <c r="AH544" s="109"/>
      <c r="AI544" s="109"/>
      <c r="AJ544" s="109"/>
      <c r="AK544" s="109"/>
      <c r="AL544" s="109"/>
      <c r="AM544" s="111">
        <f t="shared" si="345"/>
        <v>0</v>
      </c>
      <c r="AN544" s="111">
        <f t="shared" si="346"/>
        <v>0</v>
      </c>
      <c r="AO544" s="111">
        <f t="shared" si="347"/>
        <v>19.999999999438735</v>
      </c>
      <c r="AP544" s="111">
        <f t="shared" si="356"/>
        <v>0</v>
      </c>
      <c r="AQ544" s="112">
        <f t="shared" si="357"/>
        <v>0</v>
      </c>
      <c r="AR544" s="112">
        <f t="shared" si="348"/>
        <v>1</v>
      </c>
      <c r="AS544" s="113">
        <f t="shared" si="358"/>
        <v>2028</v>
      </c>
      <c r="AT544" s="109">
        <v>-1.4540273791012206E-3</v>
      </c>
      <c r="AU544" s="114">
        <v>1</v>
      </c>
      <c r="AV544" s="113">
        <v>2028</v>
      </c>
      <c r="AW544" s="112">
        <v>1</v>
      </c>
      <c r="AX544" s="109">
        <f t="shared" si="359"/>
        <v>-1.4540273791012206E-3</v>
      </c>
      <c r="AY544" s="109">
        <f t="shared" si="360"/>
        <v>0</v>
      </c>
      <c r="AZ544" s="109">
        <f t="shared" si="361"/>
        <v>-25906229.417501297</v>
      </c>
      <c r="BA544" s="111">
        <f t="shared" si="362"/>
        <v>-25906229.416047268</v>
      </c>
      <c r="BB544" s="117"/>
      <c r="BC544" s="115" t="str">
        <f t="shared" si="363"/>
        <v>Y</v>
      </c>
      <c r="BD544" s="115" t="str">
        <f t="shared" si="364"/>
        <v>Y</v>
      </c>
      <c r="BE544" s="115" t="str">
        <f t="shared" si="365"/>
        <v>Y</v>
      </c>
      <c r="BF544" s="109">
        <f t="shared" si="366"/>
        <v>-1.4540273791012206E-3</v>
      </c>
      <c r="BG544" s="111" t="s">
        <v>2499</v>
      </c>
      <c r="BH544" s="115" t="s">
        <v>1168</v>
      </c>
      <c r="BI544" s="116"/>
      <c r="BJ544" s="222">
        <v>1</v>
      </c>
      <c r="BK544" s="265">
        <f t="shared" si="367"/>
        <v>0</v>
      </c>
      <c r="BL544" s="265">
        <f t="shared" si="349"/>
        <v>0</v>
      </c>
      <c r="BM544" s="265">
        <f t="shared" si="368"/>
        <v>0</v>
      </c>
      <c r="BN544" s="265">
        <f t="shared" si="369"/>
        <v>2.4540273791012206E-3</v>
      </c>
      <c r="BO544" s="109"/>
      <c r="BP544" s="265">
        <f t="shared" si="350"/>
        <v>2.4540273791012206E-3</v>
      </c>
      <c r="BQ544" s="265">
        <v>2.4540273791012206E-3</v>
      </c>
      <c r="BR544" s="265" t="e">
        <f t="shared" si="351"/>
        <v>#REF!</v>
      </c>
      <c r="BS544" s="207">
        <v>2.764688503662024E-4</v>
      </c>
      <c r="BT544" s="475">
        <v>0</v>
      </c>
      <c r="BU544" s="475">
        <v>-1.4540273791012206E-3</v>
      </c>
      <c r="BV544" s="475">
        <v>0</v>
      </c>
      <c r="BW544" s="483">
        <f t="shared" si="352"/>
        <v>0</v>
      </c>
      <c r="BX544" s="483">
        <f t="shared" si="353"/>
        <v>0</v>
      </c>
    </row>
    <row r="545" spans="1:76" ht="14.5">
      <c r="A545" s="99"/>
      <c r="B545" s="91" t="str">
        <f t="shared" si="339"/>
        <v>PTR</v>
      </c>
      <c r="C545" s="92"/>
      <c r="D545" s="451"/>
      <c r="E545" s="451"/>
      <c r="F545" s="409" t="s">
        <v>4385</v>
      </c>
      <c r="G545" s="384"/>
      <c r="H545" s="398">
        <v>1</v>
      </c>
      <c r="I545" s="151"/>
      <c r="J545" s="95"/>
      <c r="K545" s="191">
        <v>-4.1179000597882517E-4</v>
      </c>
      <c r="L545" s="269">
        <v>1</v>
      </c>
      <c r="M545" s="267">
        <v>1</v>
      </c>
      <c r="N545" s="267">
        <f t="shared" si="340"/>
        <v>0</v>
      </c>
      <c r="O545" s="96">
        <f t="shared" si="341"/>
        <v>0</v>
      </c>
      <c r="P545" s="96">
        <f t="shared" si="342"/>
        <v>-4.1179000597882517E-4</v>
      </c>
      <c r="Q545" s="96">
        <f t="shared" si="370"/>
        <v>0</v>
      </c>
      <c r="R545" s="187"/>
      <c r="S545" s="187"/>
      <c r="T545" s="94" t="s">
        <v>2810</v>
      </c>
      <c r="U545" s="395">
        <f>COUNTIF(Aggregation_of_rev_to_allocate!$A$3:$A$137,$T545)</f>
        <v>1</v>
      </c>
      <c r="V545" s="100"/>
      <c r="W545" s="100"/>
      <c r="X545" s="109">
        <v>1E-3</v>
      </c>
      <c r="Y545" s="109">
        <v>0</v>
      </c>
      <c r="Z545" s="110">
        <v>1</v>
      </c>
      <c r="AA545" s="110">
        <v>1</v>
      </c>
      <c r="AB545" s="110">
        <v>0</v>
      </c>
      <c r="AC545" s="109">
        <f>IF(ISERROR((X545*SUMIF('Rev_for_allocation(Hard)'!$A$3:$A$249,$T545,'Rev_for_allocation(Hard)'!$I$3:$I$249)/SUMIF(Historic_capex_list!$T$9:$T$586,$T545,Historic_capex_list!$X$9:$X$586))=TRUE),0,X545*SUMIF('Rev_for_allocation(Hard)'!$A$3:$A$249,$T545,'Rev_for_allocation(Hard)'!$I$3:$I$249)/SUMIF(Historic_capex_list!$T$9:$T$586,$T545,Historic_capex_list!$X$9:$X$586))</f>
        <v>-3.7507835773238407E-4</v>
      </c>
      <c r="AD545" s="109">
        <f t="shared" si="354"/>
        <v>6.249216422676159E-4</v>
      </c>
      <c r="AE545" s="109">
        <f t="shared" si="355"/>
        <v>6.249216422676159E-4</v>
      </c>
      <c r="AF545" s="109">
        <f t="shared" si="344"/>
        <v>6.249216422676159E-4</v>
      </c>
      <c r="AG545" s="109"/>
      <c r="AH545" s="109"/>
      <c r="AI545" s="109"/>
      <c r="AJ545" s="109"/>
      <c r="AK545" s="109"/>
      <c r="AL545" s="109"/>
      <c r="AM545" s="111">
        <f t="shared" si="345"/>
        <v>0</v>
      </c>
      <c r="AN545" s="111">
        <f t="shared" si="346"/>
        <v>0</v>
      </c>
      <c r="AO545" s="111" t="str">
        <f t="shared" si="347"/>
        <v>Use deduct 3yrs</v>
      </c>
      <c r="AP545" s="111">
        <f t="shared" si="356"/>
        <v>0</v>
      </c>
      <c r="AQ545" s="112">
        <f t="shared" si="357"/>
        <v>0</v>
      </c>
      <c r="AR545" s="112">
        <f t="shared" si="348"/>
        <v>1</v>
      </c>
      <c r="AS545" s="113">
        <f t="shared" si="358"/>
        <v>2028</v>
      </c>
      <c r="AT545" s="109">
        <v>-4.1179000597882517E-4</v>
      </c>
      <c r="AU545" s="114">
        <v>1</v>
      </c>
      <c r="AV545" s="113">
        <v>2028</v>
      </c>
      <c r="AW545" s="112">
        <v>1</v>
      </c>
      <c r="AX545" s="109">
        <f t="shared" si="359"/>
        <v>-4.1179000597882517E-4</v>
      </c>
      <c r="AY545" s="109">
        <f t="shared" si="360"/>
        <v>0</v>
      </c>
      <c r="AZ545" s="109">
        <f t="shared" si="361"/>
        <v>6.249216422676159E-4</v>
      </c>
      <c r="BA545" s="111">
        <f t="shared" si="362"/>
        <v>1.036711648246441E-3</v>
      </c>
      <c r="BB545" s="117"/>
      <c r="BC545" s="115" t="str">
        <f t="shared" si="363"/>
        <v>Y</v>
      </c>
      <c r="BD545" s="115" t="str">
        <f t="shared" si="364"/>
        <v>Y</v>
      </c>
      <c r="BE545" s="115" t="str">
        <f t="shared" si="365"/>
        <v>Y</v>
      </c>
      <c r="BF545" s="109">
        <f t="shared" si="366"/>
        <v>-4.1179000597882517E-4</v>
      </c>
      <c r="BG545" s="111" t="s">
        <v>2499</v>
      </c>
      <c r="BH545" s="115" t="s">
        <v>1168</v>
      </c>
      <c r="BI545" s="116"/>
      <c r="BJ545" s="222">
        <v>1</v>
      </c>
      <c r="BK545" s="265">
        <f t="shared" si="367"/>
        <v>0</v>
      </c>
      <c r="BL545" s="265">
        <f t="shared" si="349"/>
        <v>0</v>
      </c>
      <c r="BM545" s="265">
        <f t="shared" si="368"/>
        <v>0</v>
      </c>
      <c r="BN545" s="265">
        <f t="shared" si="369"/>
        <v>1.4117900059788251E-3</v>
      </c>
      <c r="BO545" s="109"/>
      <c r="BP545" s="265">
        <f t="shared" si="350"/>
        <v>1.4117900059788251E-3</v>
      </c>
      <c r="BQ545" s="265">
        <v>1.4117900059788251E-3</v>
      </c>
      <c r="BR545" s="265" t="e">
        <f t="shared" si="351"/>
        <v>#REF!</v>
      </c>
      <c r="BS545" s="207">
        <v>1.5905118387652697E-4</v>
      </c>
      <c r="BT545" s="475">
        <v>0</v>
      </c>
      <c r="BU545" s="475">
        <v>-4.1179000597882517E-4</v>
      </c>
      <c r="BV545" s="475">
        <v>0</v>
      </c>
      <c r="BW545" s="483">
        <f t="shared" si="352"/>
        <v>0</v>
      </c>
      <c r="BX545" s="483">
        <f t="shared" si="353"/>
        <v>0</v>
      </c>
    </row>
    <row r="546" spans="1:76" ht="14.5">
      <c r="A546" s="99"/>
      <c r="B546" s="91" t="str">
        <f t="shared" si="339"/>
        <v/>
      </c>
      <c r="C546" s="92"/>
      <c r="D546" s="451"/>
      <c r="E546" s="451"/>
      <c r="F546" s="409"/>
      <c r="G546" s="384"/>
      <c r="H546" s="398">
        <v>1</v>
      </c>
      <c r="I546" s="151"/>
      <c r="J546" s="95"/>
      <c r="K546" s="191">
        <v>0</v>
      </c>
      <c r="L546" s="269">
        <v>1</v>
      </c>
      <c r="M546" s="267">
        <v>1</v>
      </c>
      <c r="N546" s="267">
        <f t="shared" si="340"/>
        <v>0</v>
      </c>
      <c r="O546" s="96">
        <f t="shared" si="341"/>
        <v>0</v>
      </c>
      <c r="P546" s="96">
        <f t="shared" si="342"/>
        <v>0</v>
      </c>
      <c r="Q546" s="96">
        <f t="shared" si="370"/>
        <v>0</v>
      </c>
      <c r="R546" s="187"/>
      <c r="S546" s="187"/>
      <c r="T546" s="94"/>
      <c r="U546" s="395">
        <f>COUNTIF(Aggregation_of_rev_to_allocate!$A$3:$A$137,$T546)</f>
        <v>0</v>
      </c>
      <c r="V546" s="100"/>
      <c r="W546" s="100"/>
      <c r="X546" s="109">
        <v>1E-3</v>
      </c>
      <c r="Y546" s="109">
        <v>0</v>
      </c>
      <c r="Z546" s="110">
        <v>1</v>
      </c>
      <c r="AA546" s="110">
        <v>1</v>
      </c>
      <c r="AB546" s="110">
        <v>0</v>
      </c>
      <c r="AC546" s="109">
        <f>IF(ISERROR((X546*SUMIF('Rev_for_allocation(Hard)'!$A$3:$A$249,$T546,'Rev_for_allocation(Hard)'!$I$3:$I$249)/SUMIF(Historic_capex_list!$T$9:$T$586,$T546,Historic_capex_list!$X$9:$X$586))=TRUE),0,X546*SUMIF('Rev_for_allocation(Hard)'!$A$3:$A$249,$T546,'Rev_for_allocation(Hard)'!$I$3:$I$249)/SUMIF(Historic_capex_list!$T$9:$T$586,$T546,Historic_capex_list!$X$9:$X$586))</f>
        <v>0</v>
      </c>
      <c r="AD546" s="109">
        <f t="shared" si="354"/>
        <v>1E-3</v>
      </c>
      <c r="AE546" s="109">
        <f t="shared" si="355"/>
        <v>1E-3</v>
      </c>
      <c r="AF546" s="109">
        <f t="shared" si="344"/>
        <v>1E-3</v>
      </c>
      <c r="AG546" s="109"/>
      <c r="AH546" s="109"/>
      <c r="AI546" s="109"/>
      <c r="AJ546" s="109"/>
      <c r="AK546" s="109"/>
      <c r="AL546" s="109"/>
      <c r="AM546" s="111">
        <f t="shared" si="345"/>
        <v>0</v>
      </c>
      <c r="AN546" s="111">
        <f t="shared" si="346"/>
        <v>0</v>
      </c>
      <c r="AO546" s="111" t="str">
        <f t="shared" si="347"/>
        <v>Use deduct 3yrs</v>
      </c>
      <c r="AP546" s="111">
        <f t="shared" si="356"/>
        <v>0</v>
      </c>
      <c r="AQ546" s="112">
        <f t="shared" si="357"/>
        <v>0</v>
      </c>
      <c r="AR546" s="112">
        <f t="shared" si="348"/>
        <v>1</v>
      </c>
      <c r="AS546" s="113">
        <f t="shared" si="358"/>
        <v>2028</v>
      </c>
      <c r="AT546" s="109">
        <v>0</v>
      </c>
      <c r="AU546" s="114">
        <v>1</v>
      </c>
      <c r="AV546" s="113">
        <v>2028</v>
      </c>
      <c r="AW546" s="112">
        <v>1</v>
      </c>
      <c r="AX546" s="109">
        <f t="shared" si="359"/>
        <v>0</v>
      </c>
      <c r="AY546" s="109">
        <f t="shared" si="360"/>
        <v>0</v>
      </c>
      <c r="AZ546" s="109">
        <f t="shared" si="361"/>
        <v>1E-3</v>
      </c>
      <c r="BA546" s="111">
        <f t="shared" si="362"/>
        <v>1E-3</v>
      </c>
      <c r="BB546" s="117"/>
      <c r="BC546" s="115" t="str">
        <f t="shared" si="363"/>
        <v>Y</v>
      </c>
      <c r="BD546" s="115" t="str">
        <f t="shared" si="364"/>
        <v>Y</v>
      </c>
      <c r="BE546" s="115" t="str">
        <f t="shared" si="365"/>
        <v>Y</v>
      </c>
      <c r="BF546" s="109">
        <f t="shared" si="366"/>
        <v>0</v>
      </c>
      <c r="BG546" s="111" t="s">
        <v>2499</v>
      </c>
      <c r="BH546" s="115" t="s">
        <v>1168</v>
      </c>
      <c r="BI546" s="116"/>
      <c r="BJ546" s="222">
        <v>1</v>
      </c>
      <c r="BK546" s="265">
        <f t="shared" si="367"/>
        <v>0</v>
      </c>
      <c r="BL546" s="265">
        <f t="shared" si="349"/>
        <v>0</v>
      </c>
      <c r="BM546" s="265">
        <f t="shared" si="368"/>
        <v>0</v>
      </c>
      <c r="BN546" s="265">
        <f t="shared" si="369"/>
        <v>1E-3</v>
      </c>
      <c r="BO546" s="109"/>
      <c r="BP546" s="265">
        <f t="shared" si="350"/>
        <v>1E-3</v>
      </c>
      <c r="BQ546" s="265">
        <v>1E-3</v>
      </c>
      <c r="BR546" s="265" t="e">
        <f t="shared" si="351"/>
        <v>#REF!</v>
      </c>
      <c r="BS546" s="207">
        <v>1.1265923629077774E-4</v>
      </c>
      <c r="BT546" s="475">
        <v>0</v>
      </c>
      <c r="BU546" s="475">
        <v>0</v>
      </c>
      <c r="BV546" s="475">
        <v>0</v>
      </c>
      <c r="BW546" s="483">
        <f t="shared" si="352"/>
        <v>0</v>
      </c>
      <c r="BX546" s="483">
        <f t="shared" si="353"/>
        <v>0</v>
      </c>
    </row>
    <row r="547" spans="1:76" ht="14.5">
      <c r="A547" s="99"/>
      <c r="B547" s="91" t="str">
        <f t="shared" si="339"/>
        <v/>
      </c>
      <c r="C547" s="92"/>
      <c r="D547" s="451"/>
      <c r="E547" s="451"/>
      <c r="F547" s="409"/>
      <c r="G547" s="384"/>
      <c r="H547" s="398">
        <v>1</v>
      </c>
      <c r="I547" s="151"/>
      <c r="J547" s="95"/>
      <c r="K547" s="191">
        <v>0</v>
      </c>
      <c r="L547" s="269">
        <v>1</v>
      </c>
      <c r="M547" s="267">
        <v>1</v>
      </c>
      <c r="N547" s="267">
        <f t="shared" si="340"/>
        <v>0</v>
      </c>
      <c r="O547" s="96">
        <f t="shared" ref="O547:O586" si="371">(K547*(100%-H547))+(K547*H547*(100%-L547))</f>
        <v>0</v>
      </c>
      <c r="P547" s="96">
        <f t="shared" ref="P547:P586" si="372">(+K547*L547*M547*H547)</f>
        <v>0</v>
      </c>
      <c r="Q547" s="96">
        <f t="shared" ref="Q547:Q586" si="373">+K547*L547*N547*H547</f>
        <v>0</v>
      </c>
      <c r="R547" s="187"/>
      <c r="S547" s="187"/>
      <c r="T547" s="94"/>
      <c r="U547" s="395">
        <f>COUNTIF(Aggregation_of_rev_to_allocate!$A$3:$A$137,$T547)</f>
        <v>0</v>
      </c>
      <c r="V547" s="100"/>
      <c r="W547" s="100"/>
      <c r="X547" s="109">
        <v>1E-3</v>
      </c>
      <c r="Y547" s="109">
        <v>0</v>
      </c>
      <c r="Z547" s="110">
        <v>1</v>
      </c>
      <c r="AA547" s="110">
        <v>1</v>
      </c>
      <c r="AB547" s="110">
        <v>0</v>
      </c>
      <c r="AC547" s="109">
        <f>IF(ISERROR((X547*SUMIF('Rev_for_allocation(Hard)'!$A$3:$A$249,$T547,'Rev_for_allocation(Hard)'!$I$3:$I$249)/SUMIF(Historic_capex_list!$T$9:$T$586,$T547,Historic_capex_list!$X$9:$X$586))=TRUE),0,X547*SUMIF('Rev_for_allocation(Hard)'!$A$3:$A$249,$T547,'Rev_for_allocation(Hard)'!$I$3:$I$249)/SUMIF(Historic_capex_list!$T$9:$T$586,$T547,Historic_capex_list!$X$9:$X$586))</f>
        <v>0</v>
      </c>
      <c r="AD547" s="109">
        <f t="shared" ref="AD547:AD586" si="374">+AC547+X547</f>
        <v>1E-3</v>
      </c>
      <c r="AE547" s="109">
        <f t="shared" ref="AE547:AE586" si="375">IF(AD547&lt;0,+Q547+P547+AC547,+AD547)</f>
        <v>1E-3</v>
      </c>
      <c r="AF547" s="109">
        <f t="shared" ref="AF547:AF586" si="376">+Y547+AD547</f>
        <v>1E-3</v>
      </c>
      <c r="AG547" s="109"/>
      <c r="AH547" s="109"/>
      <c r="AI547" s="109"/>
      <c r="AJ547" s="109"/>
      <c r="AK547" s="109"/>
      <c r="AL547" s="109"/>
      <c r="AM547" s="111">
        <f t="shared" ref="AM547:AM586" si="377">AB547/(1-AB547)*10</f>
        <v>0</v>
      </c>
      <c r="AN547" s="111">
        <f t="shared" ref="AN547:AN586" si="378">IF(AM547=0,0,IF(AD547&lt;0,AM547-10,AM547-3))</f>
        <v>0</v>
      </c>
      <c r="AO547" s="111" t="str">
        <f t="shared" ref="AO547:AO586" si="379">IF(-AC547&gt;AE547,((AE547+Y547+AC547)/(AE547+Y547))*(AM547+10),"Use deduct 3yrs")</f>
        <v>Use deduct 3yrs</v>
      </c>
      <c r="AP547" s="111">
        <f t="shared" ref="AP547:AP586" si="380">IF(AO547&lt;=10,0,AN547)</f>
        <v>0</v>
      </c>
      <c r="AQ547" s="112">
        <f t="shared" ref="AQ547:AQ586" si="381">IF(AN547&lt;=0,0,(AP547/(AP547+10)))</f>
        <v>0</v>
      </c>
      <c r="AR547" s="112">
        <f t="shared" ref="AR547:AR586" si="382">IF(O547=0,1,1-AQ547)</f>
        <v>1</v>
      </c>
      <c r="AS547" s="113">
        <f t="shared" ref="AS547:AS586" si="383">ROUND(IF(+$AS$7+AP547&lt;+$AS$7,+$AS$7,+$AS$7+AP547),0)</f>
        <v>2028</v>
      </c>
      <c r="AT547" s="109">
        <v>0</v>
      </c>
      <c r="AU547" s="114">
        <v>1</v>
      </c>
      <c r="AV547" s="113">
        <v>2028</v>
      </c>
      <c r="AW547" s="112">
        <v>1</v>
      </c>
      <c r="AX547" s="109">
        <f t="shared" si="359"/>
        <v>0</v>
      </c>
      <c r="AY547" s="109">
        <f t="shared" si="360"/>
        <v>0</v>
      </c>
      <c r="AZ547" s="109">
        <f t="shared" ref="AZ547:AZ586" si="384">IF(K547&lt;1,+AF547,+AY547+AX547)</f>
        <v>1E-3</v>
      </c>
      <c r="BA547" s="111">
        <f t="shared" ref="BA547:BA586" si="385">+AZ547-AT547</f>
        <v>1E-3</v>
      </c>
      <c r="BB547" s="117"/>
      <c r="BC547" s="115" t="str">
        <f t="shared" ref="BC547:BC586" si="386">IF(P547&lt;=BC$7,"Y","N")</f>
        <v>Y</v>
      </c>
      <c r="BD547" s="115" t="str">
        <f t="shared" ref="BD547:BD586" si="387">IF(Q547&lt;=BD$7,"Y","N")</f>
        <v>Y</v>
      </c>
      <c r="BE547" s="115" t="str">
        <f t="shared" ref="BE547:BE586" si="388">IF(AND(BC547="Y",Q547=0),"Y","N")</f>
        <v>Y</v>
      </c>
      <c r="BF547" s="109">
        <f t="shared" ref="BF547:BF586" si="389">IF(BE547="Y",+P547,"")</f>
        <v>0</v>
      </c>
      <c r="BG547" s="111" t="s">
        <v>2499</v>
      </c>
      <c r="BH547" s="115" t="s">
        <v>1168</v>
      </c>
      <c r="BI547" s="116"/>
      <c r="BJ547" s="222">
        <v>1</v>
      </c>
      <c r="BK547" s="265">
        <f t="shared" ref="BK547:BK586" si="390">+AY547-Q547</f>
        <v>0</v>
      </c>
      <c r="BL547" s="265">
        <f t="shared" si="349"/>
        <v>0</v>
      </c>
      <c r="BM547" s="265">
        <f t="shared" ref="BM547:BM586" si="391">+K547-O547-P547-Q547</f>
        <v>0</v>
      </c>
      <c r="BN547" s="265">
        <f t="shared" ref="BN547:BN586" si="392">+X547-P547</f>
        <v>1E-3</v>
      </c>
      <c r="BO547" s="109"/>
      <c r="BP547" s="265">
        <f t="shared" si="350"/>
        <v>1E-3</v>
      </c>
      <c r="BQ547" s="265">
        <v>1E-3</v>
      </c>
      <c r="BR547" s="265" t="e">
        <f t="shared" si="351"/>
        <v>#REF!</v>
      </c>
      <c r="BS547" s="207">
        <v>1.1265923629077774E-4</v>
      </c>
      <c r="BT547" s="475">
        <v>0</v>
      </c>
      <c r="BU547" s="475">
        <v>0</v>
      </c>
      <c r="BV547" s="475">
        <v>0</v>
      </c>
      <c r="BW547" s="483">
        <f t="shared" si="352"/>
        <v>0</v>
      </c>
      <c r="BX547" s="483">
        <f t="shared" si="353"/>
        <v>0</v>
      </c>
    </row>
    <row r="548" spans="1:76" ht="14.5">
      <c r="A548" s="99"/>
      <c r="B548" s="91" t="str">
        <f t="shared" si="339"/>
        <v>OSD</v>
      </c>
      <c r="C548" s="92"/>
      <c r="D548" s="451"/>
      <c r="E548" s="451"/>
      <c r="F548" s="409" t="s">
        <v>4386</v>
      </c>
      <c r="G548" s="384"/>
      <c r="H548" s="398">
        <v>1</v>
      </c>
      <c r="I548" s="151"/>
      <c r="J548" s="95"/>
      <c r="K548" s="191">
        <v>-22370251.013064414</v>
      </c>
      <c r="L548" s="269">
        <v>1</v>
      </c>
      <c r="M548" s="267">
        <v>1</v>
      </c>
      <c r="N548" s="267">
        <f t="shared" si="340"/>
        <v>0</v>
      </c>
      <c r="O548" s="96">
        <f t="shared" si="371"/>
        <v>0</v>
      </c>
      <c r="P548" s="96">
        <f t="shared" si="372"/>
        <v>-22370251.013064414</v>
      </c>
      <c r="Q548" s="96">
        <f t="shared" si="373"/>
        <v>0</v>
      </c>
      <c r="R548" s="187"/>
      <c r="S548" s="187"/>
      <c r="T548" s="94" t="s">
        <v>2714</v>
      </c>
      <c r="U548" s="395">
        <f>COUNTIF(Aggregation_of_rev_to_allocate!$A$3:$A$137,$T548)</f>
        <v>1</v>
      </c>
      <c r="V548" s="100"/>
      <c r="W548" s="100"/>
      <c r="X548" s="109">
        <v>1E-3</v>
      </c>
      <c r="Y548" s="109">
        <v>0</v>
      </c>
      <c r="Z548" s="110">
        <v>1</v>
      </c>
      <c r="AA548" s="110">
        <v>1</v>
      </c>
      <c r="AB548" s="110">
        <v>0</v>
      </c>
      <c r="AC548" s="109">
        <f>IF(ISERROR((X548*SUMIF('Rev_for_allocation(Hard)'!$A$3:$A$249,$T548,'Rev_for_allocation(Hard)'!$I$3:$I$249)/SUMIF(Historic_capex_list!$T$9:$T$586,$T548,Historic_capex_list!$X$9:$X$586))=TRUE),0,X548*SUMIF('Rev_for_allocation(Hard)'!$A$3:$A$249,$T548,'Rev_for_allocation(Hard)'!$I$3:$I$249)/SUMIF(Historic_capex_list!$T$9:$T$586,$T548,Historic_capex_list!$X$9:$X$586))</f>
        <v>-4725613.9348458098</v>
      </c>
      <c r="AD548" s="109">
        <f t="shared" si="374"/>
        <v>-4725613.9338458097</v>
      </c>
      <c r="AE548" s="109">
        <f t="shared" si="375"/>
        <v>-27095864.947910223</v>
      </c>
      <c r="AF548" s="109">
        <f t="shared" si="376"/>
        <v>-4725613.9338458097</v>
      </c>
      <c r="AG548" s="109"/>
      <c r="AH548" s="109"/>
      <c r="AI548" s="109"/>
      <c r="AJ548" s="109"/>
      <c r="AK548" s="109"/>
      <c r="AL548" s="109"/>
      <c r="AM548" s="111">
        <f t="shared" si="377"/>
        <v>0</v>
      </c>
      <c r="AN548" s="111">
        <f t="shared" si="378"/>
        <v>0</v>
      </c>
      <c r="AO548" s="111">
        <f t="shared" si="379"/>
        <v>11.744035093151833</v>
      </c>
      <c r="AP548" s="111">
        <f t="shared" si="380"/>
        <v>0</v>
      </c>
      <c r="AQ548" s="112">
        <f t="shared" si="381"/>
        <v>0</v>
      </c>
      <c r="AR548" s="112">
        <f t="shared" si="382"/>
        <v>1</v>
      </c>
      <c r="AS548" s="113">
        <f t="shared" si="383"/>
        <v>2028</v>
      </c>
      <c r="AT548" s="109">
        <v>-22370251.013064414</v>
      </c>
      <c r="AU548" s="114">
        <v>1</v>
      </c>
      <c r="AV548" s="113">
        <v>2028</v>
      </c>
      <c r="AW548" s="112">
        <v>1</v>
      </c>
      <c r="AX548" s="109">
        <f t="shared" si="359"/>
        <v>-22370251.013064414</v>
      </c>
      <c r="AY548" s="109">
        <f t="shared" si="360"/>
        <v>0</v>
      </c>
      <c r="AZ548" s="109">
        <f t="shared" si="384"/>
        <v>-4725613.9338458097</v>
      </c>
      <c r="BA548" s="111">
        <f t="shared" si="385"/>
        <v>17644637.079218604</v>
      </c>
      <c r="BB548" s="117"/>
      <c r="BC548" s="115" t="str">
        <f t="shared" si="386"/>
        <v>Y</v>
      </c>
      <c r="BD548" s="115" t="str">
        <f t="shared" si="387"/>
        <v>Y</v>
      </c>
      <c r="BE548" s="115" t="str">
        <f t="shared" si="388"/>
        <v>Y</v>
      </c>
      <c r="BF548" s="109">
        <f t="shared" si="389"/>
        <v>-22370251.013064414</v>
      </c>
      <c r="BG548" s="111" t="s">
        <v>2499</v>
      </c>
      <c r="BH548" s="115" t="s">
        <v>1168</v>
      </c>
      <c r="BI548" s="116"/>
      <c r="BJ548" s="222">
        <v>1</v>
      </c>
      <c r="BK548" s="265">
        <f t="shared" si="390"/>
        <v>0</v>
      </c>
      <c r="BL548" s="265">
        <f t="shared" si="349"/>
        <v>0</v>
      </c>
      <c r="BM548" s="265">
        <f t="shared" si="391"/>
        <v>0</v>
      </c>
      <c r="BN548" s="265">
        <f t="shared" si="392"/>
        <v>22370251.014064413</v>
      </c>
      <c r="BO548" s="109"/>
      <c r="BP548" s="265">
        <f t="shared" si="350"/>
        <v>22370251.014064413</v>
      </c>
      <c r="BQ548" s="265">
        <v>22370251.014064413</v>
      </c>
      <c r="BR548" s="265" t="e">
        <f t="shared" si="351"/>
        <v>#REF!</v>
      </c>
      <c r="BS548" s="207">
        <v>2520215.3948774929</v>
      </c>
      <c r="BT548" s="475">
        <v>0</v>
      </c>
      <c r="BU548" s="475">
        <v>-22370251.013064414</v>
      </c>
      <c r="BV548" s="475">
        <v>0</v>
      </c>
      <c r="BW548" s="483">
        <f t="shared" si="352"/>
        <v>0</v>
      </c>
      <c r="BX548" s="483">
        <f t="shared" si="353"/>
        <v>0</v>
      </c>
    </row>
    <row r="549" spans="1:76" ht="14.5">
      <c r="A549" s="99"/>
      <c r="B549" s="91" t="str">
        <f t="shared" si="339"/>
        <v>OSL</v>
      </c>
      <c r="C549" s="92"/>
      <c r="D549" s="451"/>
      <c r="E549" s="451"/>
      <c r="F549" s="409" t="s">
        <v>4386</v>
      </c>
      <c r="G549" s="384"/>
      <c r="H549" s="398">
        <v>1</v>
      </c>
      <c r="I549" s="151"/>
      <c r="J549" s="95"/>
      <c r="K549" s="191">
        <v>-1799.584350545927</v>
      </c>
      <c r="L549" s="269">
        <v>1</v>
      </c>
      <c r="M549" s="267">
        <v>1</v>
      </c>
      <c r="N549" s="267">
        <f t="shared" si="340"/>
        <v>0</v>
      </c>
      <c r="O549" s="96">
        <f t="shared" si="371"/>
        <v>0</v>
      </c>
      <c r="P549" s="96">
        <f t="shared" si="372"/>
        <v>-1799.584350545927</v>
      </c>
      <c r="Q549" s="96">
        <f t="shared" si="373"/>
        <v>0</v>
      </c>
      <c r="R549" s="187"/>
      <c r="S549" s="187"/>
      <c r="T549" s="94" t="s">
        <v>2642</v>
      </c>
      <c r="U549" s="395">
        <f>COUNTIF(Aggregation_of_rev_to_allocate!$A$3:$A$137,$T549)</f>
        <v>1</v>
      </c>
      <c r="V549" s="100"/>
      <c r="W549" s="100"/>
      <c r="X549" s="109">
        <v>1E-3</v>
      </c>
      <c r="Y549" s="109">
        <v>0</v>
      </c>
      <c r="Z549" s="110">
        <v>1</v>
      </c>
      <c r="AA549" s="110">
        <v>1</v>
      </c>
      <c r="AB549" s="110">
        <v>0</v>
      </c>
      <c r="AC549" s="109">
        <f>IF(ISERROR((X549*SUMIF('Rev_for_allocation(Hard)'!$A$3:$A$249,$T549,'Rev_for_allocation(Hard)'!$I$3:$I$249)/SUMIF(Historic_capex_list!$T$9:$T$586,$T549,Historic_capex_list!$X$9:$X$586))=TRUE),0,X549*SUMIF('Rev_for_allocation(Hard)'!$A$3:$A$249,$T549,'Rev_for_allocation(Hard)'!$I$3:$I$249)/SUMIF(Historic_capex_list!$T$9:$T$586,$T549,Historic_capex_list!$X$9:$X$586))</f>
        <v>0</v>
      </c>
      <c r="AD549" s="109">
        <f t="shared" si="374"/>
        <v>1E-3</v>
      </c>
      <c r="AE549" s="109">
        <f t="shared" si="375"/>
        <v>1E-3</v>
      </c>
      <c r="AF549" s="109">
        <f t="shared" si="376"/>
        <v>1E-3</v>
      </c>
      <c r="AG549" s="109"/>
      <c r="AH549" s="109"/>
      <c r="AI549" s="109"/>
      <c r="AJ549" s="109"/>
      <c r="AK549" s="109"/>
      <c r="AL549" s="109"/>
      <c r="AM549" s="111">
        <f t="shared" si="377"/>
        <v>0</v>
      </c>
      <c r="AN549" s="111">
        <f t="shared" si="378"/>
        <v>0</v>
      </c>
      <c r="AO549" s="111" t="str">
        <f t="shared" si="379"/>
        <v>Use deduct 3yrs</v>
      </c>
      <c r="AP549" s="111">
        <f t="shared" si="380"/>
        <v>0</v>
      </c>
      <c r="AQ549" s="112">
        <f t="shared" si="381"/>
        <v>0</v>
      </c>
      <c r="AR549" s="112">
        <f t="shared" si="382"/>
        <v>1</v>
      </c>
      <c r="AS549" s="113">
        <f t="shared" si="383"/>
        <v>2028</v>
      </c>
      <c r="AT549" s="109">
        <v>-1799.584350545927</v>
      </c>
      <c r="AU549" s="114">
        <v>1</v>
      </c>
      <c r="AV549" s="113">
        <v>2028</v>
      </c>
      <c r="AW549" s="112">
        <v>1</v>
      </c>
      <c r="AX549" s="109">
        <f t="shared" si="359"/>
        <v>-1799.584350545927</v>
      </c>
      <c r="AY549" s="109">
        <f t="shared" si="360"/>
        <v>0</v>
      </c>
      <c r="AZ549" s="109">
        <f t="shared" si="384"/>
        <v>1E-3</v>
      </c>
      <c r="BA549" s="111">
        <f t="shared" si="385"/>
        <v>1799.585350545927</v>
      </c>
      <c r="BB549" s="117"/>
      <c r="BC549" s="115" t="str">
        <f t="shared" si="386"/>
        <v>Y</v>
      </c>
      <c r="BD549" s="115" t="str">
        <f t="shared" si="387"/>
        <v>Y</v>
      </c>
      <c r="BE549" s="115" t="str">
        <f t="shared" si="388"/>
        <v>Y</v>
      </c>
      <c r="BF549" s="109">
        <f t="shared" si="389"/>
        <v>-1799.584350545927</v>
      </c>
      <c r="BG549" s="111" t="s">
        <v>2499</v>
      </c>
      <c r="BH549" s="115" t="s">
        <v>1168</v>
      </c>
      <c r="BI549" s="116"/>
      <c r="BJ549" s="222">
        <v>1</v>
      </c>
      <c r="BK549" s="265">
        <f t="shared" si="390"/>
        <v>0</v>
      </c>
      <c r="BL549" s="265">
        <f t="shared" si="349"/>
        <v>0</v>
      </c>
      <c r="BM549" s="265">
        <f t="shared" si="391"/>
        <v>0</v>
      </c>
      <c r="BN549" s="265">
        <f t="shared" si="392"/>
        <v>1799.585350545927</v>
      </c>
      <c r="BO549" s="109"/>
      <c r="BP549" s="265">
        <f t="shared" si="350"/>
        <v>1799.585350545927</v>
      </c>
      <c r="BQ549" s="265">
        <v>1799.585350545927</v>
      </c>
      <c r="BR549" s="265" t="e">
        <f t="shared" si="351"/>
        <v>#REF!</v>
      </c>
      <c r="BS549" s="207">
        <v>202.73991123257565</v>
      </c>
      <c r="BT549" s="475">
        <v>0</v>
      </c>
      <c r="BU549" s="475">
        <v>-1799.584350545927</v>
      </c>
      <c r="BV549" s="475">
        <v>0</v>
      </c>
      <c r="BW549" s="483">
        <f t="shared" si="352"/>
        <v>0</v>
      </c>
      <c r="BX549" s="483">
        <f t="shared" si="353"/>
        <v>0</v>
      </c>
    </row>
    <row r="550" spans="1:76" ht="14.5">
      <c r="A550" s="99"/>
      <c r="B550" s="91" t="str">
        <f t="shared" si="339"/>
        <v>OSD</v>
      </c>
      <c r="C550" s="92"/>
      <c r="D550" s="451"/>
      <c r="E550" s="451"/>
      <c r="F550" s="409" t="s">
        <v>4386</v>
      </c>
      <c r="G550" s="384"/>
      <c r="H550" s="398">
        <v>1</v>
      </c>
      <c r="I550" s="151"/>
      <c r="J550" s="95"/>
      <c r="K550" s="191">
        <v>-1327017.0664572511</v>
      </c>
      <c r="L550" s="269">
        <v>1</v>
      </c>
      <c r="M550" s="267">
        <v>1</v>
      </c>
      <c r="N550" s="267">
        <f t="shared" si="340"/>
        <v>0</v>
      </c>
      <c r="O550" s="96">
        <f t="shared" si="371"/>
        <v>0</v>
      </c>
      <c r="P550" s="96">
        <f t="shared" si="372"/>
        <v>-1327017.0664572511</v>
      </c>
      <c r="Q550" s="96">
        <f t="shared" si="373"/>
        <v>0</v>
      </c>
      <c r="R550" s="187"/>
      <c r="S550" s="187"/>
      <c r="T550" s="94" t="s">
        <v>2728</v>
      </c>
      <c r="U550" s="395">
        <f>COUNTIF(Aggregation_of_rev_to_allocate!$A$3:$A$137,$T550)</f>
        <v>1</v>
      </c>
      <c r="V550" s="100"/>
      <c r="W550" s="100"/>
      <c r="X550" s="109">
        <v>1E-3</v>
      </c>
      <c r="Y550" s="109">
        <v>0</v>
      </c>
      <c r="Z550" s="110">
        <v>1</v>
      </c>
      <c r="AA550" s="110">
        <v>1</v>
      </c>
      <c r="AB550" s="110">
        <v>0</v>
      </c>
      <c r="AC550" s="109">
        <f>IF(ISERROR((X550*SUMIF('Rev_for_allocation(Hard)'!$A$3:$A$249,$T550,'Rev_for_allocation(Hard)'!$I$3:$I$249)/SUMIF(Historic_capex_list!$T$9:$T$586,$T550,Historic_capex_list!$X$9:$X$586))=TRUE),0,X550*SUMIF('Rev_for_allocation(Hard)'!$A$3:$A$249,$T550,'Rev_for_allocation(Hard)'!$I$3:$I$249)/SUMIF(Historic_capex_list!$T$9:$T$586,$T550,Historic_capex_list!$X$9:$X$586))</f>
        <v>-1857640.5099581149</v>
      </c>
      <c r="AD550" s="109">
        <f t="shared" si="374"/>
        <v>-1857640.508958115</v>
      </c>
      <c r="AE550" s="109">
        <f t="shared" si="375"/>
        <v>-3184657.576415366</v>
      </c>
      <c r="AF550" s="109">
        <f t="shared" si="376"/>
        <v>-1857640.508958115</v>
      </c>
      <c r="AG550" s="109"/>
      <c r="AH550" s="109"/>
      <c r="AI550" s="109"/>
      <c r="AJ550" s="109"/>
      <c r="AK550" s="109"/>
      <c r="AL550" s="109"/>
      <c r="AM550" s="111">
        <f t="shared" si="377"/>
        <v>0</v>
      </c>
      <c r="AN550" s="111">
        <f t="shared" si="378"/>
        <v>0</v>
      </c>
      <c r="AO550" s="111">
        <f t="shared" si="379"/>
        <v>15.833093402930514</v>
      </c>
      <c r="AP550" s="111">
        <f t="shared" si="380"/>
        <v>0</v>
      </c>
      <c r="AQ550" s="112">
        <f t="shared" si="381"/>
        <v>0</v>
      </c>
      <c r="AR550" s="112">
        <f t="shared" si="382"/>
        <v>1</v>
      </c>
      <c r="AS550" s="113">
        <f t="shared" si="383"/>
        <v>2028</v>
      </c>
      <c r="AT550" s="109">
        <v>-1327017.0664572511</v>
      </c>
      <c r="AU550" s="114">
        <v>1</v>
      </c>
      <c r="AV550" s="113">
        <v>2028</v>
      </c>
      <c r="AW550" s="112">
        <v>1</v>
      </c>
      <c r="AX550" s="109">
        <f t="shared" si="359"/>
        <v>-1327017.0664572511</v>
      </c>
      <c r="AY550" s="109">
        <f t="shared" si="360"/>
        <v>0</v>
      </c>
      <c r="AZ550" s="109">
        <f t="shared" si="384"/>
        <v>-1857640.508958115</v>
      </c>
      <c r="BA550" s="111">
        <f t="shared" si="385"/>
        <v>-530623.44250086392</v>
      </c>
      <c r="BB550" s="117"/>
      <c r="BC550" s="115" t="str">
        <f t="shared" si="386"/>
        <v>Y</v>
      </c>
      <c r="BD550" s="115" t="str">
        <f t="shared" si="387"/>
        <v>Y</v>
      </c>
      <c r="BE550" s="115" t="str">
        <f t="shared" si="388"/>
        <v>Y</v>
      </c>
      <c r="BF550" s="109">
        <f t="shared" si="389"/>
        <v>-1327017.0664572511</v>
      </c>
      <c r="BG550" s="111" t="s">
        <v>2499</v>
      </c>
      <c r="BH550" s="115" t="s">
        <v>1168</v>
      </c>
      <c r="BI550" s="116"/>
      <c r="BJ550" s="222">
        <v>1</v>
      </c>
      <c r="BK550" s="265">
        <f t="shared" si="390"/>
        <v>0</v>
      </c>
      <c r="BL550" s="265">
        <f t="shared" si="349"/>
        <v>0</v>
      </c>
      <c r="BM550" s="265">
        <f t="shared" si="391"/>
        <v>0</v>
      </c>
      <c r="BN550" s="265">
        <f t="shared" si="392"/>
        <v>1327017.067457251</v>
      </c>
      <c r="BO550" s="109"/>
      <c r="BP550" s="265">
        <f t="shared" si="350"/>
        <v>1327017.067457251</v>
      </c>
      <c r="BQ550" s="265">
        <v>1327017.067457251</v>
      </c>
      <c r="BR550" s="265" t="e">
        <f t="shared" si="351"/>
        <v>#REF!</v>
      </c>
      <c r="BS550" s="207">
        <v>149500.72936456138</v>
      </c>
      <c r="BT550" s="475">
        <v>0</v>
      </c>
      <c r="BU550" s="475">
        <v>-1327017.0664572511</v>
      </c>
      <c r="BV550" s="475">
        <v>0</v>
      </c>
      <c r="BW550" s="483">
        <f t="shared" si="352"/>
        <v>0</v>
      </c>
      <c r="BX550" s="483">
        <f t="shared" si="353"/>
        <v>0</v>
      </c>
    </row>
    <row r="551" spans="1:76" ht="14.5">
      <c r="A551" s="99"/>
      <c r="B551" s="91" t="str">
        <f t="shared" si="339"/>
        <v>OSD</v>
      </c>
      <c r="C551" s="92"/>
      <c r="D551" s="451"/>
      <c r="E551" s="451"/>
      <c r="F551" s="409" t="s">
        <v>4386</v>
      </c>
      <c r="G551" s="384"/>
      <c r="H551" s="398">
        <v>1</v>
      </c>
      <c r="I551" s="151"/>
      <c r="J551" s="95"/>
      <c r="K551" s="191">
        <v>0</v>
      </c>
      <c r="L551" s="269">
        <v>1</v>
      </c>
      <c r="M551" s="267">
        <v>1</v>
      </c>
      <c r="N551" s="267">
        <f t="shared" si="340"/>
        <v>0</v>
      </c>
      <c r="O551" s="96">
        <f t="shared" si="371"/>
        <v>0</v>
      </c>
      <c r="P551" s="96">
        <f t="shared" si="372"/>
        <v>0</v>
      </c>
      <c r="Q551" s="96">
        <f t="shared" si="373"/>
        <v>0</v>
      </c>
      <c r="R551" s="187"/>
      <c r="S551" s="187"/>
      <c r="T551" s="94" t="s">
        <v>2729</v>
      </c>
      <c r="U551" s="395">
        <f>COUNTIF(Aggregation_of_rev_to_allocate!$A$3:$A$137,$T551)</f>
        <v>1</v>
      </c>
      <c r="V551" s="100"/>
      <c r="W551" s="100"/>
      <c r="X551" s="109">
        <v>1E-3</v>
      </c>
      <c r="Y551" s="109">
        <v>0</v>
      </c>
      <c r="Z551" s="110">
        <v>1</v>
      </c>
      <c r="AA551" s="110">
        <v>1</v>
      </c>
      <c r="AB551" s="110">
        <v>0</v>
      </c>
      <c r="AC551" s="109">
        <f>IF(ISERROR((X551*SUMIF('Rev_for_allocation(Hard)'!$A$3:$A$249,$T551,'Rev_for_allocation(Hard)'!$I$3:$I$249)/SUMIF(Historic_capex_list!$T$9:$T$586,$T551,Historic_capex_list!$X$9:$X$586))=TRUE),0,X551*SUMIF('Rev_for_allocation(Hard)'!$A$3:$A$249,$T551,'Rev_for_allocation(Hard)'!$I$3:$I$249)/SUMIF(Historic_capex_list!$T$9:$T$586,$T551,Historic_capex_list!$X$9:$X$586))</f>
        <v>-8475713.0457511414</v>
      </c>
      <c r="AD551" s="109">
        <f t="shared" si="374"/>
        <v>-8475713.0447511412</v>
      </c>
      <c r="AE551" s="109">
        <f t="shared" si="375"/>
        <v>-8475713.0457511414</v>
      </c>
      <c r="AF551" s="109">
        <f t="shared" si="376"/>
        <v>-8475713.0447511412</v>
      </c>
      <c r="AG551" s="109"/>
      <c r="AH551" s="109"/>
      <c r="AI551" s="109"/>
      <c r="AJ551" s="109"/>
      <c r="AK551" s="109"/>
      <c r="AL551" s="109"/>
      <c r="AM551" s="111">
        <f t="shared" si="377"/>
        <v>0</v>
      </c>
      <c r="AN551" s="111">
        <f t="shared" si="378"/>
        <v>0</v>
      </c>
      <c r="AO551" s="111">
        <f t="shared" si="379"/>
        <v>20</v>
      </c>
      <c r="AP551" s="111">
        <f t="shared" si="380"/>
        <v>0</v>
      </c>
      <c r="AQ551" s="112">
        <f t="shared" si="381"/>
        <v>0</v>
      </c>
      <c r="AR551" s="112">
        <f t="shared" si="382"/>
        <v>1</v>
      </c>
      <c r="AS551" s="113">
        <f t="shared" si="383"/>
        <v>2028</v>
      </c>
      <c r="AT551" s="109">
        <v>0</v>
      </c>
      <c r="AU551" s="114">
        <v>1</v>
      </c>
      <c r="AV551" s="113">
        <v>2028</v>
      </c>
      <c r="AW551" s="112">
        <v>1</v>
      </c>
      <c r="AX551" s="109">
        <f t="shared" si="359"/>
        <v>0</v>
      </c>
      <c r="AY551" s="109">
        <f t="shared" si="360"/>
        <v>0</v>
      </c>
      <c r="AZ551" s="109">
        <f t="shared" si="384"/>
        <v>-8475713.0447511412</v>
      </c>
      <c r="BA551" s="111">
        <f t="shared" si="385"/>
        <v>-8475713.0447511412</v>
      </c>
      <c r="BB551" s="117"/>
      <c r="BC551" s="115" t="str">
        <f t="shared" si="386"/>
        <v>Y</v>
      </c>
      <c r="BD551" s="115" t="str">
        <f t="shared" si="387"/>
        <v>Y</v>
      </c>
      <c r="BE551" s="115" t="str">
        <f t="shared" si="388"/>
        <v>Y</v>
      </c>
      <c r="BF551" s="109">
        <f t="shared" si="389"/>
        <v>0</v>
      </c>
      <c r="BG551" s="111" t="s">
        <v>2499</v>
      </c>
      <c r="BH551" s="115" t="s">
        <v>1168</v>
      </c>
      <c r="BI551" s="116"/>
      <c r="BJ551" s="222">
        <v>1</v>
      </c>
      <c r="BK551" s="265">
        <f t="shared" si="390"/>
        <v>0</v>
      </c>
      <c r="BL551" s="265">
        <f t="shared" si="349"/>
        <v>0</v>
      </c>
      <c r="BM551" s="265">
        <f t="shared" si="391"/>
        <v>0</v>
      </c>
      <c r="BN551" s="265">
        <f t="shared" si="392"/>
        <v>1E-3</v>
      </c>
      <c r="BO551" s="109"/>
      <c r="BP551" s="265">
        <f t="shared" si="350"/>
        <v>1E-3</v>
      </c>
      <c r="BQ551" s="265">
        <v>1E-3</v>
      </c>
      <c r="BR551" s="265" t="e">
        <f t="shared" si="351"/>
        <v>#REF!</v>
      </c>
      <c r="BS551" s="207">
        <v>1.1265923629077774E-4</v>
      </c>
      <c r="BT551" s="475">
        <v>0</v>
      </c>
      <c r="BU551" s="475">
        <v>0</v>
      </c>
      <c r="BV551" s="475">
        <v>0</v>
      </c>
      <c r="BW551" s="483">
        <f t="shared" si="352"/>
        <v>0</v>
      </c>
      <c r="BX551" s="483">
        <f t="shared" si="353"/>
        <v>0</v>
      </c>
    </row>
    <row r="552" spans="1:76" ht="14.5">
      <c r="A552" s="99"/>
      <c r="B552" s="91" t="str">
        <f t="shared" si="339"/>
        <v>OSD</v>
      </c>
      <c r="C552" s="92"/>
      <c r="D552" s="451"/>
      <c r="E552" s="451"/>
      <c r="F552" s="409" t="s">
        <v>4386</v>
      </c>
      <c r="G552" s="384"/>
      <c r="H552" s="398">
        <v>1</v>
      </c>
      <c r="I552" s="151"/>
      <c r="J552" s="95"/>
      <c r="K552" s="191">
        <v>-836168.68398673984</v>
      </c>
      <c r="L552" s="269">
        <v>1</v>
      </c>
      <c r="M552" s="267">
        <v>1</v>
      </c>
      <c r="N552" s="267">
        <f t="shared" si="340"/>
        <v>0</v>
      </c>
      <c r="O552" s="96">
        <f t="shared" si="371"/>
        <v>0</v>
      </c>
      <c r="P552" s="96">
        <f t="shared" si="372"/>
        <v>-836168.68398673984</v>
      </c>
      <c r="Q552" s="96">
        <f t="shared" si="373"/>
        <v>0</v>
      </c>
      <c r="R552" s="187"/>
      <c r="S552" s="187"/>
      <c r="T552" s="94" t="s">
        <v>2730</v>
      </c>
      <c r="U552" s="395">
        <f>COUNTIF(Aggregation_of_rev_to_allocate!$A$3:$A$137,$T552)</f>
        <v>1</v>
      </c>
      <c r="V552" s="100"/>
      <c r="W552" s="100"/>
      <c r="X552" s="109">
        <v>1E-3</v>
      </c>
      <c r="Y552" s="109">
        <v>0</v>
      </c>
      <c r="Z552" s="110">
        <v>1</v>
      </c>
      <c r="AA552" s="110">
        <v>1</v>
      </c>
      <c r="AB552" s="110">
        <v>0</v>
      </c>
      <c r="AC552" s="109">
        <f>IF(ISERROR((X552*SUMIF('Rev_for_allocation(Hard)'!$A$3:$A$249,$T552,'Rev_for_allocation(Hard)'!$I$3:$I$249)/SUMIF(Historic_capex_list!$T$9:$T$586,$T552,Historic_capex_list!$X$9:$X$586))=TRUE),0,X552*SUMIF('Rev_for_allocation(Hard)'!$A$3:$A$249,$T552,'Rev_for_allocation(Hard)'!$I$3:$I$249)/SUMIF(Historic_capex_list!$T$9:$T$586,$T552,Historic_capex_list!$X$9:$X$586))</f>
        <v>-4346304.5430083098</v>
      </c>
      <c r="AD552" s="109">
        <f t="shared" si="374"/>
        <v>-4346304.5420083096</v>
      </c>
      <c r="AE552" s="109">
        <f t="shared" si="375"/>
        <v>-5182473.22699505</v>
      </c>
      <c r="AF552" s="109">
        <f t="shared" si="376"/>
        <v>-4346304.5420083096</v>
      </c>
      <c r="AG552" s="109"/>
      <c r="AH552" s="109"/>
      <c r="AI552" s="109"/>
      <c r="AJ552" s="109"/>
      <c r="AK552" s="109"/>
      <c r="AL552" s="109"/>
      <c r="AM552" s="111">
        <f t="shared" si="377"/>
        <v>0</v>
      </c>
      <c r="AN552" s="111">
        <f t="shared" si="378"/>
        <v>0</v>
      </c>
      <c r="AO552" s="111">
        <f t="shared" si="379"/>
        <v>18.386545096593629</v>
      </c>
      <c r="AP552" s="111">
        <f t="shared" si="380"/>
        <v>0</v>
      </c>
      <c r="AQ552" s="112">
        <f t="shared" si="381"/>
        <v>0</v>
      </c>
      <c r="AR552" s="112">
        <f t="shared" si="382"/>
        <v>1</v>
      </c>
      <c r="AS552" s="113">
        <f t="shared" si="383"/>
        <v>2028</v>
      </c>
      <c r="AT552" s="109">
        <v>-836168.68398673984</v>
      </c>
      <c r="AU552" s="114">
        <v>1</v>
      </c>
      <c r="AV552" s="113">
        <v>2028</v>
      </c>
      <c r="AW552" s="112">
        <v>1</v>
      </c>
      <c r="AX552" s="109">
        <f t="shared" si="359"/>
        <v>-836168.68398673984</v>
      </c>
      <c r="AY552" s="109">
        <f t="shared" si="360"/>
        <v>0</v>
      </c>
      <c r="AZ552" s="109">
        <f t="shared" si="384"/>
        <v>-4346304.5420083096</v>
      </c>
      <c r="BA552" s="111">
        <f t="shared" si="385"/>
        <v>-3510135.8580215699</v>
      </c>
      <c r="BB552" s="117"/>
      <c r="BC552" s="115" t="str">
        <f t="shared" si="386"/>
        <v>Y</v>
      </c>
      <c r="BD552" s="115" t="str">
        <f t="shared" si="387"/>
        <v>Y</v>
      </c>
      <c r="BE552" s="115" t="str">
        <f t="shared" si="388"/>
        <v>Y</v>
      </c>
      <c r="BF552" s="109">
        <f t="shared" si="389"/>
        <v>-836168.68398673984</v>
      </c>
      <c r="BG552" s="111" t="s">
        <v>2499</v>
      </c>
      <c r="BH552" s="115" t="s">
        <v>1168</v>
      </c>
      <c r="BI552" s="116"/>
      <c r="BJ552" s="222">
        <v>1</v>
      </c>
      <c r="BK552" s="265">
        <f t="shared" si="390"/>
        <v>0</v>
      </c>
      <c r="BL552" s="265">
        <f t="shared" si="349"/>
        <v>0</v>
      </c>
      <c r="BM552" s="265">
        <f t="shared" si="391"/>
        <v>0</v>
      </c>
      <c r="BN552" s="265">
        <f t="shared" si="392"/>
        <v>836168.68498673989</v>
      </c>
      <c r="BO552" s="109"/>
      <c r="BP552" s="265">
        <f t="shared" si="350"/>
        <v>836168.68498673989</v>
      </c>
      <c r="BQ552" s="265">
        <v>836168.68498673989</v>
      </c>
      <c r="BR552" s="265" t="e">
        <f t="shared" si="351"/>
        <v>#REF!</v>
      </c>
      <c r="BS552" s="207">
        <v>94202.125460870026</v>
      </c>
      <c r="BT552" s="475">
        <v>0</v>
      </c>
      <c r="BU552" s="475">
        <v>-836168.68398673984</v>
      </c>
      <c r="BV552" s="475">
        <v>0</v>
      </c>
      <c r="BW552" s="483">
        <f t="shared" si="352"/>
        <v>0</v>
      </c>
      <c r="BX552" s="483">
        <f t="shared" si="353"/>
        <v>0</v>
      </c>
    </row>
    <row r="553" spans="1:76" ht="14.5">
      <c r="A553" s="99"/>
      <c r="B553" s="91" t="str">
        <f t="shared" si="339"/>
        <v>OSD</v>
      </c>
      <c r="C553" s="92"/>
      <c r="D553" s="451"/>
      <c r="E553" s="451"/>
      <c r="F553" s="409" t="s">
        <v>4386</v>
      </c>
      <c r="G553" s="384"/>
      <c r="H553" s="398">
        <v>1</v>
      </c>
      <c r="I553" s="151"/>
      <c r="J553" s="95"/>
      <c r="K553" s="191">
        <v>-300433.44839067</v>
      </c>
      <c r="L553" s="269">
        <v>1</v>
      </c>
      <c r="M553" s="267">
        <v>1</v>
      </c>
      <c r="N553" s="267">
        <f t="shared" si="340"/>
        <v>0</v>
      </c>
      <c r="O553" s="96">
        <f t="shared" si="371"/>
        <v>0</v>
      </c>
      <c r="P553" s="96">
        <f>(+K553*L553*M553*H553)</f>
        <v>-300433.44839067</v>
      </c>
      <c r="Q553" s="96">
        <f t="shared" si="373"/>
        <v>0</v>
      </c>
      <c r="R553" s="187"/>
      <c r="S553" s="187"/>
      <c r="T553" s="94" t="s">
        <v>2731</v>
      </c>
      <c r="U553" s="395">
        <f>COUNTIF(Aggregation_of_rev_to_allocate!$A$3:$A$137,$T553)</f>
        <v>1</v>
      </c>
      <c r="V553" s="100"/>
      <c r="W553" s="100"/>
      <c r="X553" s="109">
        <v>1E-3</v>
      </c>
      <c r="Y553" s="109">
        <v>0</v>
      </c>
      <c r="Z553" s="110">
        <v>1</v>
      </c>
      <c r="AA553" s="110">
        <v>1</v>
      </c>
      <c r="AB553" s="110">
        <v>0</v>
      </c>
      <c r="AC553" s="109">
        <f>IF(ISERROR((X553*SUMIF('Rev_for_allocation(Hard)'!$A$3:$A$249,$T553,'Rev_for_allocation(Hard)'!$I$3:$I$249)/SUMIF(Historic_capex_list!$T$9:$T$586,$T553,Historic_capex_list!$X$9:$X$586))=TRUE),0,X553*SUMIF('Rev_for_allocation(Hard)'!$A$3:$A$249,$T553,'Rev_for_allocation(Hard)'!$I$3:$I$249)/SUMIF(Historic_capex_list!$T$9:$T$586,$T553,Historic_capex_list!$X$9:$X$586))</f>
        <v>-8337939.6471873624</v>
      </c>
      <c r="AD553" s="109">
        <f t="shared" si="374"/>
        <v>-8337939.6461873623</v>
      </c>
      <c r="AE553" s="109">
        <f t="shared" si="375"/>
        <v>-8638373.0955780316</v>
      </c>
      <c r="AF553" s="109">
        <f t="shared" si="376"/>
        <v>-8337939.6461873623</v>
      </c>
      <c r="AG553" s="109"/>
      <c r="AH553" s="109"/>
      <c r="AI553" s="109"/>
      <c r="AJ553" s="109"/>
      <c r="AK553" s="109"/>
      <c r="AL553" s="109"/>
      <c r="AM553" s="111">
        <f t="shared" si="377"/>
        <v>0</v>
      </c>
      <c r="AN553" s="111">
        <f t="shared" si="378"/>
        <v>0</v>
      </c>
      <c r="AO553" s="111">
        <f t="shared" si="379"/>
        <v>19.652210612963149</v>
      </c>
      <c r="AP553" s="111">
        <f t="shared" si="380"/>
        <v>0</v>
      </c>
      <c r="AQ553" s="112">
        <f t="shared" si="381"/>
        <v>0</v>
      </c>
      <c r="AR553" s="112">
        <f t="shared" si="382"/>
        <v>1</v>
      </c>
      <c r="AS553" s="113">
        <f t="shared" si="383"/>
        <v>2028</v>
      </c>
      <c r="AT553" s="109">
        <v>-6200433.4483906738</v>
      </c>
      <c r="AU553" s="114">
        <v>1</v>
      </c>
      <c r="AV553" s="113">
        <v>2028</v>
      </c>
      <c r="AW553" s="112">
        <v>1</v>
      </c>
      <c r="AX553" s="109">
        <f t="shared" si="359"/>
        <v>-300433.44839067</v>
      </c>
      <c r="AY553" s="109">
        <f t="shared" si="360"/>
        <v>0</v>
      </c>
      <c r="AZ553" s="109">
        <f t="shared" si="384"/>
        <v>-8337939.6461873623</v>
      </c>
      <c r="BA553" s="111">
        <f t="shared" si="385"/>
        <v>-2137506.1977966884</v>
      </c>
      <c r="BB553" s="117"/>
      <c r="BC553" s="115" t="str">
        <f t="shared" si="386"/>
        <v>Y</v>
      </c>
      <c r="BD553" s="115" t="str">
        <f t="shared" si="387"/>
        <v>Y</v>
      </c>
      <c r="BE553" s="115" t="str">
        <f t="shared" si="388"/>
        <v>Y</v>
      </c>
      <c r="BF553" s="109">
        <f t="shared" si="389"/>
        <v>-300433.44839067</v>
      </c>
      <c r="BG553" s="111" t="s">
        <v>2499</v>
      </c>
      <c r="BH553" s="115" t="s">
        <v>1168</v>
      </c>
      <c r="BI553" s="116"/>
      <c r="BJ553" s="222">
        <v>1</v>
      </c>
      <c r="BK553" s="265">
        <f t="shared" si="390"/>
        <v>0</v>
      </c>
      <c r="BL553" s="265">
        <f t="shared" si="349"/>
        <v>0</v>
      </c>
      <c r="BM553" s="265">
        <f t="shared" si="391"/>
        <v>0</v>
      </c>
      <c r="BN553" s="265">
        <f t="shared" si="392"/>
        <v>300433.44939066999</v>
      </c>
      <c r="BO553" s="109"/>
      <c r="BP553" s="265">
        <f t="shared" si="350"/>
        <v>6200433.449390674</v>
      </c>
      <c r="BQ553" s="265">
        <v>6200433.449390674</v>
      </c>
      <c r="BR553" s="265" t="e">
        <f t="shared" si="351"/>
        <v>#REF!</v>
      </c>
      <c r="BS553" s="207">
        <v>698536.09708014596</v>
      </c>
      <c r="BT553" s="475">
        <v>0</v>
      </c>
      <c r="BU553" s="475">
        <v>-300433.44839067</v>
      </c>
      <c r="BV553" s="475">
        <v>0</v>
      </c>
      <c r="BW553" s="483">
        <f t="shared" si="352"/>
        <v>0</v>
      </c>
      <c r="BX553" s="483">
        <f t="shared" si="353"/>
        <v>0</v>
      </c>
    </row>
    <row r="554" spans="1:76" ht="14.5">
      <c r="A554" s="99"/>
      <c r="B554" s="91" t="str">
        <f t="shared" si="339"/>
        <v>OSD</v>
      </c>
      <c r="C554" s="92"/>
      <c r="D554" s="451"/>
      <c r="E554" s="451"/>
      <c r="F554" s="409" t="s">
        <v>4386</v>
      </c>
      <c r="G554" s="384"/>
      <c r="H554" s="398">
        <v>1</v>
      </c>
      <c r="I554" s="151"/>
      <c r="J554" s="95"/>
      <c r="K554" s="191">
        <v>-1145939.4199468594</v>
      </c>
      <c r="L554" s="269">
        <v>1</v>
      </c>
      <c r="M554" s="267">
        <v>1</v>
      </c>
      <c r="N554" s="267">
        <f t="shared" si="340"/>
        <v>0</v>
      </c>
      <c r="O554" s="96">
        <f t="shared" si="371"/>
        <v>0</v>
      </c>
      <c r="P554" s="96">
        <f t="shared" si="372"/>
        <v>-1145939.4199468594</v>
      </c>
      <c r="Q554" s="96">
        <f t="shared" si="373"/>
        <v>0</v>
      </c>
      <c r="R554" s="187"/>
      <c r="S554" s="187"/>
      <c r="T554" s="94" t="s">
        <v>2732</v>
      </c>
      <c r="U554" s="395">
        <f>COUNTIF(Aggregation_of_rev_to_allocate!$A$3:$A$137,$T554)</f>
        <v>1</v>
      </c>
      <c r="V554" s="100"/>
      <c r="W554" s="100"/>
      <c r="X554" s="109">
        <v>1E-3</v>
      </c>
      <c r="Y554" s="109">
        <v>0</v>
      </c>
      <c r="Z554" s="110">
        <v>1</v>
      </c>
      <c r="AA554" s="110">
        <v>1</v>
      </c>
      <c r="AB554" s="110">
        <v>0</v>
      </c>
      <c r="AC554" s="109">
        <f>IF(ISERROR((X554*SUMIF('Rev_for_allocation(Hard)'!$A$3:$A$249,$T554,'Rev_for_allocation(Hard)'!$I$3:$I$249)/SUMIF(Historic_capex_list!$T$9:$T$586,$T554,Historic_capex_list!$X$9:$X$586))=TRUE),0,X554*SUMIF('Rev_for_allocation(Hard)'!$A$3:$A$249,$T554,'Rev_for_allocation(Hard)'!$I$3:$I$249)/SUMIF(Historic_capex_list!$T$9:$T$586,$T554,Historic_capex_list!$X$9:$X$586))</f>
        <v>-4161189.4901844505</v>
      </c>
      <c r="AD554" s="109">
        <f t="shared" si="374"/>
        <v>-4161189.4891844504</v>
      </c>
      <c r="AE554" s="109">
        <f t="shared" si="375"/>
        <v>-5307128.9101313101</v>
      </c>
      <c r="AF554" s="109">
        <f t="shared" si="376"/>
        <v>-4161189.4891844504</v>
      </c>
      <c r="AG554" s="109"/>
      <c r="AH554" s="109"/>
      <c r="AI554" s="109"/>
      <c r="AJ554" s="109"/>
      <c r="AK554" s="109"/>
      <c r="AL554" s="109"/>
      <c r="AM554" s="111">
        <f t="shared" si="377"/>
        <v>0</v>
      </c>
      <c r="AN554" s="111">
        <f t="shared" si="378"/>
        <v>0</v>
      </c>
      <c r="AO554" s="111">
        <f t="shared" si="379"/>
        <v>17.840754503326156</v>
      </c>
      <c r="AP554" s="111">
        <f t="shared" si="380"/>
        <v>0</v>
      </c>
      <c r="AQ554" s="112">
        <f t="shared" si="381"/>
        <v>0</v>
      </c>
      <c r="AR554" s="112">
        <f t="shared" si="382"/>
        <v>1</v>
      </c>
      <c r="AS554" s="113">
        <f t="shared" si="383"/>
        <v>2028</v>
      </c>
      <c r="AT554" s="109">
        <v>-1145939.4199468594</v>
      </c>
      <c r="AU554" s="114">
        <v>1</v>
      </c>
      <c r="AV554" s="113">
        <v>2028</v>
      </c>
      <c r="AW554" s="112">
        <v>1</v>
      </c>
      <c r="AX554" s="109">
        <f t="shared" si="359"/>
        <v>-1145939.4199468594</v>
      </c>
      <c r="AY554" s="109">
        <f t="shared" si="360"/>
        <v>0</v>
      </c>
      <c r="AZ554" s="109">
        <f t="shared" si="384"/>
        <v>-4161189.4891844504</v>
      </c>
      <c r="BA554" s="111">
        <f t="shared" si="385"/>
        <v>-3015250.0692375908</v>
      </c>
      <c r="BB554" s="117"/>
      <c r="BC554" s="115" t="str">
        <f t="shared" si="386"/>
        <v>Y</v>
      </c>
      <c r="BD554" s="115" t="str">
        <f t="shared" si="387"/>
        <v>Y</v>
      </c>
      <c r="BE554" s="115" t="str">
        <f t="shared" si="388"/>
        <v>Y</v>
      </c>
      <c r="BF554" s="109">
        <f t="shared" si="389"/>
        <v>-1145939.4199468594</v>
      </c>
      <c r="BG554" s="111" t="s">
        <v>2499</v>
      </c>
      <c r="BH554" s="115" t="s">
        <v>1168</v>
      </c>
      <c r="BI554" s="116"/>
      <c r="BJ554" s="222">
        <v>1</v>
      </c>
      <c r="BK554" s="265">
        <f t="shared" si="390"/>
        <v>0</v>
      </c>
      <c r="BL554" s="265">
        <f t="shared" si="349"/>
        <v>0</v>
      </c>
      <c r="BM554" s="265">
        <f t="shared" si="391"/>
        <v>0</v>
      </c>
      <c r="BN554" s="265">
        <f t="shared" si="392"/>
        <v>1145939.4209468593</v>
      </c>
      <c r="BO554" s="109"/>
      <c r="BP554" s="265">
        <f t="shared" si="350"/>
        <v>1145939.4209468593</v>
      </c>
      <c r="BQ554" s="265">
        <v>1145939.4209468593</v>
      </c>
      <c r="BR554" s="265" t="e">
        <f t="shared" si="351"/>
        <v>#REF!</v>
      </c>
      <c r="BS554" s="207">
        <v>129100.65999936924</v>
      </c>
      <c r="BT554" s="475">
        <v>0</v>
      </c>
      <c r="BU554" s="475">
        <v>-1145939.4199468594</v>
      </c>
      <c r="BV554" s="475">
        <v>0</v>
      </c>
      <c r="BW554" s="483">
        <f t="shared" si="352"/>
        <v>0</v>
      </c>
      <c r="BX554" s="483">
        <f t="shared" si="353"/>
        <v>0</v>
      </c>
    </row>
    <row r="555" spans="1:76" ht="14.5">
      <c r="A555" s="99"/>
      <c r="B555" s="91" t="str">
        <f t="shared" si="339"/>
        <v>OSD</v>
      </c>
      <c r="C555" s="92"/>
      <c r="D555" s="451"/>
      <c r="E555" s="451"/>
      <c r="F555" s="409" t="s">
        <v>4386</v>
      </c>
      <c r="G555" s="384"/>
      <c r="H555" s="398">
        <v>1</v>
      </c>
      <c r="I555" s="151"/>
      <c r="J555" s="95"/>
      <c r="K555" s="191">
        <v>-298839.39051963616</v>
      </c>
      <c r="L555" s="269">
        <v>1</v>
      </c>
      <c r="M555" s="267">
        <v>1</v>
      </c>
      <c r="N555" s="267">
        <f t="shared" si="340"/>
        <v>0</v>
      </c>
      <c r="O555" s="96">
        <f t="shared" si="371"/>
        <v>0</v>
      </c>
      <c r="P555" s="96">
        <f t="shared" si="372"/>
        <v>-298839.39051963616</v>
      </c>
      <c r="Q555" s="96">
        <f t="shared" si="373"/>
        <v>0</v>
      </c>
      <c r="R555" s="187"/>
      <c r="S555" s="187"/>
      <c r="T555" s="94" t="s">
        <v>2733</v>
      </c>
      <c r="U555" s="395">
        <f>COUNTIF(Aggregation_of_rev_to_allocate!$A$3:$A$137,$T555)</f>
        <v>1</v>
      </c>
      <c r="V555" s="100"/>
      <c r="W555" s="100"/>
      <c r="X555" s="109">
        <v>1E-3</v>
      </c>
      <c r="Y555" s="109">
        <v>0</v>
      </c>
      <c r="Z555" s="110">
        <v>1</v>
      </c>
      <c r="AA555" s="110">
        <v>1</v>
      </c>
      <c r="AB555" s="110">
        <v>0</v>
      </c>
      <c r="AC555" s="109">
        <f>IF(ISERROR((X555*SUMIF('Rev_for_allocation(Hard)'!$A$3:$A$249,$T555,'Rev_for_allocation(Hard)'!$I$3:$I$249)/SUMIF(Historic_capex_list!$T$9:$T$586,$T555,Historic_capex_list!$X$9:$X$586))=TRUE),0,X555*SUMIF('Rev_for_allocation(Hard)'!$A$3:$A$249,$T555,'Rev_for_allocation(Hard)'!$I$3:$I$249)/SUMIF(Historic_capex_list!$T$9:$T$586,$T555,Historic_capex_list!$X$9:$X$586))</f>
        <v>-961451.81447063806</v>
      </c>
      <c r="AD555" s="109">
        <f t="shared" si="374"/>
        <v>-961451.81347063801</v>
      </c>
      <c r="AE555" s="109">
        <f t="shared" si="375"/>
        <v>-1260291.2049902743</v>
      </c>
      <c r="AF555" s="109">
        <f t="shared" si="376"/>
        <v>-961451.81347063801</v>
      </c>
      <c r="AG555" s="109"/>
      <c r="AH555" s="109"/>
      <c r="AI555" s="109"/>
      <c r="AJ555" s="109"/>
      <c r="AK555" s="109"/>
      <c r="AL555" s="109"/>
      <c r="AM555" s="111">
        <f t="shared" si="377"/>
        <v>0</v>
      </c>
      <c r="AN555" s="111">
        <f t="shared" si="378"/>
        <v>0</v>
      </c>
      <c r="AO555" s="111">
        <f t="shared" si="379"/>
        <v>17.628806823880499</v>
      </c>
      <c r="AP555" s="111">
        <f t="shared" si="380"/>
        <v>0</v>
      </c>
      <c r="AQ555" s="112">
        <f t="shared" si="381"/>
        <v>0</v>
      </c>
      <c r="AR555" s="112">
        <f t="shared" si="382"/>
        <v>1</v>
      </c>
      <c r="AS555" s="113">
        <f t="shared" si="383"/>
        <v>2028</v>
      </c>
      <c r="AT555" s="109">
        <v>-298839.39051963616</v>
      </c>
      <c r="AU555" s="114">
        <v>1</v>
      </c>
      <c r="AV555" s="113">
        <v>2028</v>
      </c>
      <c r="AW555" s="112">
        <v>1</v>
      </c>
      <c r="AX555" s="109">
        <f t="shared" si="359"/>
        <v>-298839.39051963616</v>
      </c>
      <c r="AY555" s="109">
        <f t="shared" si="360"/>
        <v>0</v>
      </c>
      <c r="AZ555" s="109">
        <f t="shared" si="384"/>
        <v>-961451.81347063801</v>
      </c>
      <c r="BA555" s="111">
        <f t="shared" si="385"/>
        <v>-662612.42295100191</v>
      </c>
      <c r="BB555" s="117"/>
      <c r="BC555" s="115" t="str">
        <f t="shared" si="386"/>
        <v>Y</v>
      </c>
      <c r="BD555" s="115" t="str">
        <f t="shared" si="387"/>
        <v>Y</v>
      </c>
      <c r="BE555" s="115" t="str">
        <f t="shared" si="388"/>
        <v>Y</v>
      </c>
      <c r="BF555" s="109">
        <f t="shared" si="389"/>
        <v>-298839.39051963616</v>
      </c>
      <c r="BG555" s="111" t="s">
        <v>2499</v>
      </c>
      <c r="BH555" s="115" t="s">
        <v>1168</v>
      </c>
      <c r="BI555" s="116"/>
      <c r="BJ555" s="222">
        <v>1</v>
      </c>
      <c r="BK555" s="265">
        <f t="shared" si="390"/>
        <v>0</v>
      </c>
      <c r="BL555" s="265">
        <f t="shared" si="349"/>
        <v>0</v>
      </c>
      <c r="BM555" s="265">
        <f t="shared" si="391"/>
        <v>0</v>
      </c>
      <c r="BN555" s="265">
        <f t="shared" si="392"/>
        <v>298839.39151963615</v>
      </c>
      <c r="BO555" s="109"/>
      <c r="BP555" s="265">
        <f t="shared" si="350"/>
        <v>298839.39151963615</v>
      </c>
      <c r="BQ555" s="265">
        <v>298839.39151963615</v>
      </c>
      <c r="BR555" s="265" t="e">
        <f t="shared" si="351"/>
        <v>#REF!</v>
      </c>
      <c r="BS555" s="207">
        <v>33667.017622202926</v>
      </c>
      <c r="BT555" s="475">
        <v>0</v>
      </c>
      <c r="BU555" s="475">
        <v>-298839.39051963616</v>
      </c>
      <c r="BV555" s="475">
        <v>0</v>
      </c>
      <c r="BW555" s="483">
        <f t="shared" si="352"/>
        <v>0</v>
      </c>
      <c r="BX555" s="483">
        <f t="shared" si="353"/>
        <v>0</v>
      </c>
    </row>
    <row r="556" spans="1:76" ht="14.5">
      <c r="A556" s="99"/>
      <c r="B556" s="91" t="str">
        <f t="shared" si="339"/>
        <v>OSD</v>
      </c>
      <c r="C556" s="92"/>
      <c r="D556" s="451"/>
      <c r="E556" s="451"/>
      <c r="F556" s="409" t="s">
        <v>4386</v>
      </c>
      <c r="G556" s="384"/>
      <c r="H556" s="398">
        <v>1</v>
      </c>
      <c r="I556" s="151"/>
      <c r="J556" s="95"/>
      <c r="K556" s="191">
        <v>0</v>
      </c>
      <c r="L556" s="269">
        <v>1</v>
      </c>
      <c r="M556" s="267">
        <v>1</v>
      </c>
      <c r="N556" s="267">
        <f t="shared" si="340"/>
        <v>0</v>
      </c>
      <c r="O556" s="96">
        <f t="shared" si="371"/>
        <v>0</v>
      </c>
      <c r="P556" s="96">
        <f t="shared" si="372"/>
        <v>0</v>
      </c>
      <c r="Q556" s="96">
        <f t="shared" si="373"/>
        <v>0</v>
      </c>
      <c r="R556" s="187"/>
      <c r="S556" s="187"/>
      <c r="T556" s="94" t="s">
        <v>2739</v>
      </c>
      <c r="U556" s="395">
        <f>COUNTIF(Aggregation_of_rev_to_allocate!$A$3:$A$137,$T556)</f>
        <v>1</v>
      </c>
      <c r="V556" s="100"/>
      <c r="W556" s="100"/>
      <c r="X556" s="109">
        <v>1E-3</v>
      </c>
      <c r="Y556" s="109">
        <v>0</v>
      </c>
      <c r="Z556" s="110">
        <v>1</v>
      </c>
      <c r="AA556" s="110">
        <v>1</v>
      </c>
      <c r="AB556" s="110">
        <v>0</v>
      </c>
      <c r="AC556" s="109">
        <f>IF(ISERROR((X556*SUMIF('Rev_for_allocation(Hard)'!$A$3:$A$249,$T556,'Rev_for_allocation(Hard)'!$I$3:$I$249)/SUMIF(Historic_capex_list!$T$9:$T$586,$T556,Historic_capex_list!$X$9:$X$586))=TRUE),0,X556*SUMIF('Rev_for_allocation(Hard)'!$A$3:$A$249,$T556,'Rev_for_allocation(Hard)'!$I$3:$I$249)/SUMIF(Historic_capex_list!$T$9:$T$586,$T556,Historic_capex_list!$X$9:$X$586))</f>
        <v>-17822.808152303893</v>
      </c>
      <c r="AD556" s="109">
        <f t="shared" si="374"/>
        <v>-17822.807152303893</v>
      </c>
      <c r="AE556" s="109">
        <f t="shared" si="375"/>
        <v>-17822.808152303893</v>
      </c>
      <c r="AF556" s="109">
        <f t="shared" si="376"/>
        <v>-17822.807152303893</v>
      </c>
      <c r="AG556" s="109"/>
      <c r="AH556" s="109"/>
      <c r="AI556" s="109"/>
      <c r="AJ556" s="109"/>
      <c r="AK556" s="109"/>
      <c r="AL556" s="109"/>
      <c r="AM556" s="111">
        <f t="shared" si="377"/>
        <v>0</v>
      </c>
      <c r="AN556" s="111">
        <f t="shared" si="378"/>
        <v>0</v>
      </c>
      <c r="AO556" s="111">
        <f t="shared" si="379"/>
        <v>20</v>
      </c>
      <c r="AP556" s="111">
        <f t="shared" si="380"/>
        <v>0</v>
      </c>
      <c r="AQ556" s="112">
        <f t="shared" si="381"/>
        <v>0</v>
      </c>
      <c r="AR556" s="112">
        <f t="shared" si="382"/>
        <v>1</v>
      </c>
      <c r="AS556" s="113">
        <f t="shared" si="383"/>
        <v>2028</v>
      </c>
      <c r="AT556" s="109">
        <v>0</v>
      </c>
      <c r="AU556" s="114">
        <v>1</v>
      </c>
      <c r="AV556" s="113">
        <v>2028</v>
      </c>
      <c r="AW556" s="112">
        <v>1</v>
      </c>
      <c r="AX556" s="109">
        <f t="shared" si="359"/>
        <v>0</v>
      </c>
      <c r="AY556" s="109">
        <f t="shared" si="360"/>
        <v>0</v>
      </c>
      <c r="AZ556" s="109">
        <f t="shared" si="384"/>
        <v>-17822.807152303893</v>
      </c>
      <c r="BA556" s="111">
        <f t="shared" si="385"/>
        <v>-17822.807152303893</v>
      </c>
      <c r="BB556" s="117"/>
      <c r="BC556" s="115" t="str">
        <f t="shared" si="386"/>
        <v>Y</v>
      </c>
      <c r="BD556" s="115" t="str">
        <f t="shared" si="387"/>
        <v>Y</v>
      </c>
      <c r="BE556" s="115" t="str">
        <f t="shared" si="388"/>
        <v>Y</v>
      </c>
      <c r="BF556" s="109">
        <f t="shared" si="389"/>
        <v>0</v>
      </c>
      <c r="BG556" s="111" t="s">
        <v>2499</v>
      </c>
      <c r="BH556" s="115" t="s">
        <v>1168</v>
      </c>
      <c r="BI556" s="116"/>
      <c r="BJ556" s="222">
        <v>1</v>
      </c>
      <c r="BK556" s="265">
        <f t="shared" si="390"/>
        <v>0</v>
      </c>
      <c r="BL556" s="265">
        <f t="shared" si="349"/>
        <v>0</v>
      </c>
      <c r="BM556" s="265">
        <f t="shared" si="391"/>
        <v>0</v>
      </c>
      <c r="BN556" s="265">
        <f t="shared" si="392"/>
        <v>1E-3</v>
      </c>
      <c r="BO556" s="109"/>
      <c r="BP556" s="265">
        <f t="shared" si="350"/>
        <v>1E-3</v>
      </c>
      <c r="BQ556" s="265">
        <v>1E-3</v>
      </c>
      <c r="BR556" s="265" t="e">
        <f t="shared" si="351"/>
        <v>#REF!</v>
      </c>
      <c r="BS556" s="207">
        <v>1.1265923629077774E-4</v>
      </c>
      <c r="BT556" s="475">
        <v>0</v>
      </c>
      <c r="BU556" s="475">
        <v>0</v>
      </c>
      <c r="BV556" s="475">
        <v>0</v>
      </c>
      <c r="BW556" s="483">
        <f t="shared" si="352"/>
        <v>0</v>
      </c>
      <c r="BX556" s="483">
        <f t="shared" si="353"/>
        <v>0</v>
      </c>
    </row>
    <row r="557" spans="1:76" ht="14.5">
      <c r="A557" s="99"/>
      <c r="B557" s="91" t="str">
        <f t="shared" si="339"/>
        <v>OSL</v>
      </c>
      <c r="C557" s="92"/>
      <c r="D557" s="451"/>
      <c r="E557" s="451"/>
      <c r="F557" s="409" t="s">
        <v>4386</v>
      </c>
      <c r="G557" s="384"/>
      <c r="H557" s="398">
        <v>1</v>
      </c>
      <c r="I557" s="151"/>
      <c r="J557" s="95"/>
      <c r="K557" s="191">
        <v>0</v>
      </c>
      <c r="L557" s="269">
        <v>1</v>
      </c>
      <c r="M557" s="267">
        <v>1</v>
      </c>
      <c r="N557" s="267">
        <f t="shared" si="340"/>
        <v>0</v>
      </c>
      <c r="O557" s="96">
        <f t="shared" si="371"/>
        <v>0</v>
      </c>
      <c r="P557" s="96">
        <f t="shared" si="372"/>
        <v>0</v>
      </c>
      <c r="Q557" s="96">
        <f t="shared" si="373"/>
        <v>0</v>
      </c>
      <c r="R557" s="187"/>
      <c r="S557" s="187"/>
      <c r="T557" s="94" t="s">
        <v>2629</v>
      </c>
      <c r="U557" s="395">
        <f>COUNTIF(Aggregation_of_rev_to_allocate!$A$3:$A$137,$T557)</f>
        <v>1</v>
      </c>
      <c r="V557" s="100"/>
      <c r="W557" s="100"/>
      <c r="X557" s="109">
        <v>1E-3</v>
      </c>
      <c r="Y557" s="109">
        <v>0</v>
      </c>
      <c r="Z557" s="110">
        <v>1</v>
      </c>
      <c r="AA557" s="110">
        <v>1</v>
      </c>
      <c r="AB557" s="110">
        <v>0</v>
      </c>
      <c r="AC557" s="109">
        <f>IF(ISERROR((X557*SUMIF('Rev_for_allocation(Hard)'!$A$3:$A$249,$T557,'Rev_for_allocation(Hard)'!$I$3:$I$249)/SUMIF(Historic_capex_list!$T$9:$T$586,$T557,Historic_capex_list!$X$9:$X$586))=TRUE),0,X557*SUMIF('Rev_for_allocation(Hard)'!$A$3:$A$249,$T557,'Rev_for_allocation(Hard)'!$I$3:$I$249)/SUMIF(Historic_capex_list!$T$9:$T$586,$T557,Historic_capex_list!$X$9:$X$586))</f>
        <v>-1.3720149679871309E-2</v>
      </c>
      <c r="AD557" s="109">
        <f t="shared" si="374"/>
        <v>-1.2720149679871309E-2</v>
      </c>
      <c r="AE557" s="109">
        <f t="shared" si="375"/>
        <v>-1.3720149679871309E-2</v>
      </c>
      <c r="AF557" s="109">
        <f t="shared" si="376"/>
        <v>-1.2720149679871309E-2</v>
      </c>
      <c r="AG557" s="109"/>
      <c r="AH557" s="109"/>
      <c r="AI557" s="109"/>
      <c r="AJ557" s="109"/>
      <c r="AK557" s="109"/>
      <c r="AL557" s="109"/>
      <c r="AM557" s="111">
        <f t="shared" si="377"/>
        <v>0</v>
      </c>
      <c r="AN557" s="111">
        <f t="shared" si="378"/>
        <v>0</v>
      </c>
      <c r="AO557" s="111">
        <f t="shared" si="379"/>
        <v>20</v>
      </c>
      <c r="AP557" s="111">
        <f t="shared" si="380"/>
        <v>0</v>
      </c>
      <c r="AQ557" s="112">
        <f t="shared" si="381"/>
        <v>0</v>
      </c>
      <c r="AR557" s="112">
        <f t="shared" si="382"/>
        <v>1</v>
      </c>
      <c r="AS557" s="113">
        <f t="shared" si="383"/>
        <v>2028</v>
      </c>
      <c r="AT557" s="109">
        <v>0</v>
      </c>
      <c r="AU557" s="114">
        <v>1</v>
      </c>
      <c r="AV557" s="113">
        <v>2028</v>
      </c>
      <c r="AW557" s="112">
        <v>1</v>
      </c>
      <c r="AX557" s="109">
        <f t="shared" si="359"/>
        <v>0</v>
      </c>
      <c r="AY557" s="109">
        <f t="shared" si="360"/>
        <v>0</v>
      </c>
      <c r="AZ557" s="109">
        <f t="shared" si="384"/>
        <v>-1.2720149679871309E-2</v>
      </c>
      <c r="BA557" s="111">
        <f t="shared" si="385"/>
        <v>-1.2720149679871309E-2</v>
      </c>
      <c r="BB557" s="117"/>
      <c r="BC557" s="115" t="str">
        <f t="shared" si="386"/>
        <v>Y</v>
      </c>
      <c r="BD557" s="115" t="str">
        <f t="shared" si="387"/>
        <v>Y</v>
      </c>
      <c r="BE557" s="115" t="str">
        <f t="shared" si="388"/>
        <v>Y</v>
      </c>
      <c r="BF557" s="109">
        <f t="shared" si="389"/>
        <v>0</v>
      </c>
      <c r="BG557" s="111" t="s">
        <v>2499</v>
      </c>
      <c r="BH557" s="115" t="s">
        <v>1168</v>
      </c>
      <c r="BI557" s="116"/>
      <c r="BJ557" s="222">
        <v>1</v>
      </c>
      <c r="BK557" s="265">
        <f t="shared" si="390"/>
        <v>0</v>
      </c>
      <c r="BL557" s="265">
        <f t="shared" si="349"/>
        <v>0</v>
      </c>
      <c r="BM557" s="265">
        <f t="shared" si="391"/>
        <v>0</v>
      </c>
      <c r="BN557" s="265">
        <f t="shared" si="392"/>
        <v>1E-3</v>
      </c>
      <c r="BO557" s="109"/>
      <c r="BP557" s="265">
        <f t="shared" si="350"/>
        <v>1E-3</v>
      </c>
      <c r="BQ557" s="265">
        <v>1E-3</v>
      </c>
      <c r="BR557" s="265" t="e">
        <f t="shared" si="351"/>
        <v>#REF!</v>
      </c>
      <c r="BS557" s="207">
        <v>1.1265923629077774E-4</v>
      </c>
      <c r="BT557" s="475">
        <v>0</v>
      </c>
      <c r="BU557" s="475">
        <v>0</v>
      </c>
      <c r="BV557" s="475">
        <v>0</v>
      </c>
      <c r="BW557" s="483">
        <f t="shared" si="352"/>
        <v>0</v>
      </c>
      <c r="BX557" s="483">
        <f t="shared" si="353"/>
        <v>0</v>
      </c>
    </row>
    <row r="558" spans="1:76" ht="14.5">
      <c r="A558" s="99"/>
      <c r="B558" s="91" t="str">
        <f t="shared" si="339"/>
        <v>OSL</v>
      </c>
      <c r="C558" s="92"/>
      <c r="D558" s="451"/>
      <c r="E558" s="451"/>
      <c r="F558" s="409" t="s">
        <v>4386</v>
      </c>
      <c r="G558" s="384"/>
      <c r="H558" s="398">
        <v>1</v>
      </c>
      <c r="I558" s="151"/>
      <c r="J558" s="95"/>
      <c r="K558" s="191">
        <v>-0.39899999687622767</v>
      </c>
      <c r="L558" s="269">
        <v>1</v>
      </c>
      <c r="M558" s="267">
        <v>1</v>
      </c>
      <c r="N558" s="267">
        <f t="shared" si="340"/>
        <v>0</v>
      </c>
      <c r="O558" s="96">
        <f t="shared" si="371"/>
        <v>0</v>
      </c>
      <c r="P558" s="96">
        <f t="shared" si="372"/>
        <v>-0.39899999687622767</v>
      </c>
      <c r="Q558" s="96">
        <f t="shared" si="373"/>
        <v>0</v>
      </c>
      <c r="R558" s="187"/>
      <c r="S558" s="187"/>
      <c r="T558" s="94" t="s">
        <v>2646</v>
      </c>
      <c r="U558" s="395">
        <f>COUNTIF(Aggregation_of_rev_to_allocate!$A$3:$A$137,$T558)</f>
        <v>0</v>
      </c>
      <c r="V558" s="100"/>
      <c r="W558" s="100"/>
      <c r="X558" s="109">
        <v>1E-3</v>
      </c>
      <c r="Y558" s="109">
        <v>0</v>
      </c>
      <c r="Z558" s="110">
        <v>1</v>
      </c>
      <c r="AA558" s="110">
        <v>1</v>
      </c>
      <c r="AB558" s="110">
        <v>0</v>
      </c>
      <c r="AC558" s="109">
        <f>IF(ISERROR((X558*SUMIF('Rev_for_allocation(Hard)'!$A$3:$A$249,$T558,'Rev_for_allocation(Hard)'!$I$3:$I$249)/SUMIF(Historic_capex_list!$T$9:$T$586,$T558,Historic_capex_list!$X$9:$X$586))=TRUE),0,X558*SUMIF('Rev_for_allocation(Hard)'!$A$3:$A$249,$T558,'Rev_for_allocation(Hard)'!$I$3:$I$249)/SUMIF(Historic_capex_list!$T$9:$T$586,$T558,Historic_capex_list!$X$9:$X$586))</f>
        <v>-128146.00000000001</v>
      </c>
      <c r="AD558" s="109">
        <f t="shared" si="374"/>
        <v>-128145.99900000001</v>
      </c>
      <c r="AE558" s="109">
        <f t="shared" si="375"/>
        <v>-128146.39899999689</v>
      </c>
      <c r="AF558" s="109">
        <f t="shared" si="376"/>
        <v>-128145.99900000001</v>
      </c>
      <c r="AG558" s="109"/>
      <c r="AH558" s="109"/>
      <c r="AI558" s="109"/>
      <c r="AJ558" s="109"/>
      <c r="AK558" s="109"/>
      <c r="AL558" s="109"/>
      <c r="AM558" s="111">
        <f t="shared" si="377"/>
        <v>0</v>
      </c>
      <c r="AN558" s="111">
        <f t="shared" si="378"/>
        <v>0</v>
      </c>
      <c r="AO558" s="111">
        <f t="shared" si="379"/>
        <v>19.999968863737102</v>
      </c>
      <c r="AP558" s="111">
        <f t="shared" si="380"/>
        <v>0</v>
      </c>
      <c r="AQ558" s="112">
        <f t="shared" si="381"/>
        <v>0</v>
      </c>
      <c r="AR558" s="112">
        <f t="shared" si="382"/>
        <v>1</v>
      </c>
      <c r="AS558" s="113">
        <f t="shared" si="383"/>
        <v>2028</v>
      </c>
      <c r="AT558" s="109">
        <v>-0.39899999687622767</v>
      </c>
      <c r="AU558" s="114">
        <v>1</v>
      </c>
      <c r="AV558" s="113">
        <v>2028</v>
      </c>
      <c r="AW558" s="112">
        <v>1</v>
      </c>
      <c r="AX558" s="109">
        <f t="shared" si="359"/>
        <v>-0.39899999687622767</v>
      </c>
      <c r="AY558" s="109">
        <f t="shared" si="360"/>
        <v>0</v>
      </c>
      <c r="AZ558" s="109">
        <f t="shared" si="384"/>
        <v>-128145.99900000001</v>
      </c>
      <c r="BA558" s="111">
        <f t="shared" si="385"/>
        <v>-128145.60000000313</v>
      </c>
      <c r="BB558" s="117"/>
      <c r="BC558" s="115" t="str">
        <f t="shared" si="386"/>
        <v>Y</v>
      </c>
      <c r="BD558" s="115" t="str">
        <f t="shared" si="387"/>
        <v>Y</v>
      </c>
      <c r="BE558" s="115" t="str">
        <f t="shared" si="388"/>
        <v>Y</v>
      </c>
      <c r="BF558" s="109">
        <f t="shared" si="389"/>
        <v>-0.39899999687622767</v>
      </c>
      <c r="BG558" s="111" t="s">
        <v>2499</v>
      </c>
      <c r="BH558" s="115" t="s">
        <v>1168</v>
      </c>
      <c r="BI558" s="116"/>
      <c r="BJ558" s="222">
        <v>1</v>
      </c>
      <c r="BK558" s="265">
        <f t="shared" si="390"/>
        <v>0</v>
      </c>
      <c r="BL558" s="265">
        <f t="shared" si="349"/>
        <v>0</v>
      </c>
      <c r="BM558" s="265">
        <f t="shared" si="391"/>
        <v>0</v>
      </c>
      <c r="BN558" s="265">
        <f t="shared" si="392"/>
        <v>0.39999999687622767</v>
      </c>
      <c r="BO558" s="109"/>
      <c r="BP558" s="265">
        <f t="shared" si="350"/>
        <v>0.39999999687622767</v>
      </c>
      <c r="BQ558" s="265">
        <v>0.39999999687622767</v>
      </c>
      <c r="BR558" s="265" t="e">
        <f t="shared" si="351"/>
        <v>#REF!</v>
      </c>
      <c r="BS558" s="207">
        <v>4.5063694164389288E-2</v>
      </c>
      <c r="BT558" s="475">
        <v>0</v>
      </c>
      <c r="BU558" s="475">
        <v>-0.39899999687622767</v>
      </c>
      <c r="BV558" s="475">
        <v>0</v>
      </c>
      <c r="BW558" s="483">
        <f t="shared" si="352"/>
        <v>0</v>
      </c>
      <c r="BX558" s="483">
        <f t="shared" si="353"/>
        <v>0</v>
      </c>
    </row>
    <row r="559" spans="1:76" ht="14.5">
      <c r="A559" s="99"/>
      <c r="B559" s="91" t="str">
        <f t="shared" si="339"/>
        <v>OSL</v>
      </c>
      <c r="C559" s="92"/>
      <c r="D559" s="451"/>
      <c r="E559" s="451"/>
      <c r="F559" s="409" t="s">
        <v>4386</v>
      </c>
      <c r="G559" s="384"/>
      <c r="H559" s="398">
        <v>1</v>
      </c>
      <c r="I559" s="151"/>
      <c r="J559" s="95"/>
      <c r="K559" s="191">
        <v>-384996.34697735263</v>
      </c>
      <c r="L559" s="269">
        <v>1</v>
      </c>
      <c r="M559" s="267">
        <v>1</v>
      </c>
      <c r="N559" s="267">
        <f t="shared" si="340"/>
        <v>0</v>
      </c>
      <c r="O559" s="96">
        <f t="shared" si="371"/>
        <v>0</v>
      </c>
      <c r="P559" s="96">
        <f t="shared" si="372"/>
        <v>-384996.34697735263</v>
      </c>
      <c r="Q559" s="96">
        <f t="shared" si="373"/>
        <v>0</v>
      </c>
      <c r="R559" s="187"/>
      <c r="S559" s="187"/>
      <c r="T559" s="94" t="s">
        <v>2642</v>
      </c>
      <c r="U559" s="395">
        <f>COUNTIF(Aggregation_of_rev_to_allocate!$A$3:$A$137,$T559)</f>
        <v>1</v>
      </c>
      <c r="V559" s="100"/>
      <c r="W559" s="100"/>
      <c r="X559" s="109">
        <v>1E-3</v>
      </c>
      <c r="Y559" s="109">
        <v>0</v>
      </c>
      <c r="Z559" s="110">
        <v>1</v>
      </c>
      <c r="AA559" s="110">
        <v>1</v>
      </c>
      <c r="AB559" s="110">
        <v>0</v>
      </c>
      <c r="AC559" s="109">
        <f>IF(ISERROR((X559*SUMIF('Rev_for_allocation(Hard)'!$A$3:$A$249,$T559,'Rev_for_allocation(Hard)'!$I$3:$I$249)/SUMIF(Historic_capex_list!$T$9:$T$586,$T559,Historic_capex_list!$X$9:$X$586))=TRUE),0,X559*SUMIF('Rev_for_allocation(Hard)'!$A$3:$A$249,$T559,'Rev_for_allocation(Hard)'!$I$3:$I$249)/SUMIF(Historic_capex_list!$T$9:$T$586,$T559,Historic_capex_list!$X$9:$X$586))</f>
        <v>0</v>
      </c>
      <c r="AD559" s="109">
        <f t="shared" si="374"/>
        <v>1E-3</v>
      </c>
      <c r="AE559" s="109">
        <f t="shared" si="375"/>
        <v>1E-3</v>
      </c>
      <c r="AF559" s="109">
        <f t="shared" si="376"/>
        <v>1E-3</v>
      </c>
      <c r="AG559" s="109"/>
      <c r="AH559" s="109"/>
      <c r="AI559" s="109"/>
      <c r="AJ559" s="109"/>
      <c r="AK559" s="109"/>
      <c r="AL559" s="109"/>
      <c r="AM559" s="111">
        <f t="shared" si="377"/>
        <v>0</v>
      </c>
      <c r="AN559" s="111">
        <f t="shared" si="378"/>
        <v>0</v>
      </c>
      <c r="AO559" s="111" t="str">
        <f t="shared" si="379"/>
        <v>Use deduct 3yrs</v>
      </c>
      <c r="AP559" s="111">
        <f t="shared" si="380"/>
        <v>0</v>
      </c>
      <c r="AQ559" s="112">
        <f t="shared" si="381"/>
        <v>0</v>
      </c>
      <c r="AR559" s="112">
        <f t="shared" si="382"/>
        <v>1</v>
      </c>
      <c r="AS559" s="113">
        <f t="shared" si="383"/>
        <v>2028</v>
      </c>
      <c r="AT559" s="109">
        <v>-384996.34697735263</v>
      </c>
      <c r="AU559" s="114">
        <v>1</v>
      </c>
      <c r="AV559" s="113">
        <v>2028</v>
      </c>
      <c r="AW559" s="112">
        <v>1</v>
      </c>
      <c r="AX559" s="109">
        <f t="shared" si="359"/>
        <v>-384996.34697735263</v>
      </c>
      <c r="AY559" s="109">
        <f t="shared" si="360"/>
        <v>0</v>
      </c>
      <c r="AZ559" s="109">
        <f t="shared" si="384"/>
        <v>1E-3</v>
      </c>
      <c r="BA559" s="111">
        <f t="shared" si="385"/>
        <v>384996.34797735262</v>
      </c>
      <c r="BB559" s="117"/>
      <c r="BC559" s="115" t="str">
        <f t="shared" si="386"/>
        <v>Y</v>
      </c>
      <c r="BD559" s="115" t="str">
        <f t="shared" si="387"/>
        <v>Y</v>
      </c>
      <c r="BE559" s="115" t="str">
        <f t="shared" si="388"/>
        <v>Y</v>
      </c>
      <c r="BF559" s="109">
        <f t="shared" si="389"/>
        <v>-384996.34697735263</v>
      </c>
      <c r="BG559" s="111" t="s">
        <v>2499</v>
      </c>
      <c r="BH559" s="115" t="s">
        <v>1168</v>
      </c>
      <c r="BI559" s="116"/>
      <c r="BJ559" s="222">
        <v>1</v>
      </c>
      <c r="BK559" s="265">
        <f t="shared" si="390"/>
        <v>0</v>
      </c>
      <c r="BL559" s="265">
        <f t="shared" si="349"/>
        <v>0</v>
      </c>
      <c r="BM559" s="265">
        <f t="shared" si="391"/>
        <v>0</v>
      </c>
      <c r="BN559" s="265">
        <f t="shared" si="392"/>
        <v>384996.34797735262</v>
      </c>
      <c r="BO559" s="109"/>
      <c r="BP559" s="265">
        <f t="shared" si="350"/>
        <v>384996.34797735262</v>
      </c>
      <c r="BQ559" s="265">
        <v>384996.34797735262</v>
      </c>
      <c r="BR559" s="265" t="e">
        <f t="shared" si="351"/>
        <v>#REF!</v>
      </c>
      <c r="BS559" s="207">
        <v>43373.394537867054</v>
      </c>
      <c r="BT559" s="475">
        <v>0</v>
      </c>
      <c r="BU559" s="475">
        <v>-384996.34697735263</v>
      </c>
      <c r="BV559" s="475">
        <v>0</v>
      </c>
      <c r="BW559" s="483">
        <f t="shared" si="352"/>
        <v>0</v>
      </c>
      <c r="BX559" s="483">
        <f t="shared" si="353"/>
        <v>0</v>
      </c>
    </row>
    <row r="560" spans="1:76" ht="14.5">
      <c r="A560" s="99"/>
      <c r="B560" s="91" t="str">
        <f t="shared" si="339"/>
        <v>OSL</v>
      </c>
      <c r="C560" s="92"/>
      <c r="D560" s="451"/>
      <c r="E560" s="451"/>
      <c r="F560" s="409" t="s">
        <v>4386</v>
      </c>
      <c r="G560" s="384"/>
      <c r="H560" s="398">
        <v>1</v>
      </c>
      <c r="I560" s="151"/>
      <c r="J560" s="95"/>
      <c r="K560" s="191">
        <v>-1931877.6078314297</v>
      </c>
      <c r="L560" s="269">
        <v>1</v>
      </c>
      <c r="M560" s="267">
        <v>1</v>
      </c>
      <c r="N560" s="267">
        <f t="shared" si="340"/>
        <v>0</v>
      </c>
      <c r="O560" s="96">
        <f t="shared" si="371"/>
        <v>0</v>
      </c>
      <c r="P560" s="96">
        <f t="shared" si="372"/>
        <v>-1931877.6078314297</v>
      </c>
      <c r="Q560" s="96">
        <f t="shared" si="373"/>
        <v>0</v>
      </c>
      <c r="R560" s="187"/>
      <c r="S560" s="187"/>
      <c r="T560" s="94" t="s">
        <v>2662</v>
      </c>
      <c r="U560" s="395">
        <f>COUNTIF(Aggregation_of_rev_to_allocate!$A$3:$A$137,$T560)</f>
        <v>1</v>
      </c>
      <c r="V560" s="100"/>
      <c r="W560" s="100"/>
      <c r="X560" s="109">
        <v>1E-3</v>
      </c>
      <c r="Y560" s="109">
        <v>0</v>
      </c>
      <c r="Z560" s="110">
        <v>1</v>
      </c>
      <c r="AA560" s="110">
        <v>1</v>
      </c>
      <c r="AB560" s="110">
        <v>0</v>
      </c>
      <c r="AC560" s="109">
        <f>IF(ISERROR((X560*SUMIF('Rev_for_allocation(Hard)'!$A$3:$A$249,$T560,'Rev_for_allocation(Hard)'!$I$3:$I$249)/SUMIF(Historic_capex_list!$T$9:$T$586,$T560,Historic_capex_list!$X$9:$X$586))=TRUE),0,X560*SUMIF('Rev_for_allocation(Hard)'!$A$3:$A$249,$T560,'Rev_for_allocation(Hard)'!$I$3:$I$249)/SUMIF(Historic_capex_list!$T$9:$T$586,$T560,Historic_capex_list!$X$9:$X$586))</f>
        <v>-16345490.996653847</v>
      </c>
      <c r="AD560" s="109">
        <f t="shared" si="374"/>
        <v>-16345490.995653847</v>
      </c>
      <c r="AE560" s="109">
        <f t="shared" si="375"/>
        <v>-18277368.604485277</v>
      </c>
      <c r="AF560" s="109">
        <f t="shared" si="376"/>
        <v>-16345490.995653847</v>
      </c>
      <c r="AG560" s="109"/>
      <c r="AH560" s="109"/>
      <c r="AI560" s="109"/>
      <c r="AJ560" s="109"/>
      <c r="AK560" s="109"/>
      <c r="AL560" s="109"/>
      <c r="AM560" s="111">
        <f t="shared" si="377"/>
        <v>0</v>
      </c>
      <c r="AN560" s="111">
        <f t="shared" si="378"/>
        <v>0</v>
      </c>
      <c r="AO560" s="111">
        <f t="shared" si="379"/>
        <v>18.943022023773519</v>
      </c>
      <c r="AP560" s="111">
        <f t="shared" si="380"/>
        <v>0</v>
      </c>
      <c r="AQ560" s="112">
        <f t="shared" si="381"/>
        <v>0</v>
      </c>
      <c r="AR560" s="112">
        <f t="shared" si="382"/>
        <v>1</v>
      </c>
      <c r="AS560" s="113">
        <f t="shared" si="383"/>
        <v>2028</v>
      </c>
      <c r="AT560" s="109">
        <v>-1931877.6078314297</v>
      </c>
      <c r="AU560" s="114">
        <v>1</v>
      </c>
      <c r="AV560" s="113">
        <v>2028</v>
      </c>
      <c r="AW560" s="112">
        <v>1</v>
      </c>
      <c r="AX560" s="109">
        <f t="shared" si="359"/>
        <v>-1931877.6078314297</v>
      </c>
      <c r="AY560" s="109">
        <f t="shared" si="360"/>
        <v>0</v>
      </c>
      <c r="AZ560" s="109">
        <f t="shared" si="384"/>
        <v>-16345490.995653847</v>
      </c>
      <c r="BA560" s="111">
        <f t="shared" si="385"/>
        <v>-14413613.387822418</v>
      </c>
      <c r="BB560" s="117"/>
      <c r="BC560" s="115" t="str">
        <f t="shared" si="386"/>
        <v>Y</v>
      </c>
      <c r="BD560" s="115" t="str">
        <f t="shared" si="387"/>
        <v>Y</v>
      </c>
      <c r="BE560" s="115" t="str">
        <f t="shared" si="388"/>
        <v>Y</v>
      </c>
      <c r="BF560" s="109">
        <f t="shared" si="389"/>
        <v>-1931877.6078314297</v>
      </c>
      <c r="BG560" s="111" t="s">
        <v>2499</v>
      </c>
      <c r="BH560" s="115" t="s">
        <v>1168</v>
      </c>
      <c r="BI560" s="116"/>
      <c r="BJ560" s="222">
        <v>1</v>
      </c>
      <c r="BK560" s="265">
        <f t="shared" si="390"/>
        <v>0</v>
      </c>
      <c r="BL560" s="265">
        <f t="shared" si="349"/>
        <v>0</v>
      </c>
      <c r="BM560" s="265">
        <f t="shared" si="391"/>
        <v>0</v>
      </c>
      <c r="BN560" s="265">
        <f t="shared" si="392"/>
        <v>1931877.6088314296</v>
      </c>
      <c r="BO560" s="109"/>
      <c r="BP560" s="265">
        <f t="shared" si="350"/>
        <v>1931877.6088314296</v>
      </c>
      <c r="BQ560" s="265">
        <v>1931877.6088314296</v>
      </c>
      <c r="BR560" s="265" t="e">
        <f t="shared" si="351"/>
        <v>#REF!</v>
      </c>
      <c r="BS560" s="207">
        <v>217643.8560182027</v>
      </c>
      <c r="BT560" s="475">
        <v>0</v>
      </c>
      <c r="BU560" s="475">
        <v>-1931877.6078314297</v>
      </c>
      <c r="BV560" s="475">
        <v>0</v>
      </c>
      <c r="BW560" s="483">
        <f t="shared" si="352"/>
        <v>0</v>
      </c>
      <c r="BX560" s="483">
        <f t="shared" si="353"/>
        <v>0</v>
      </c>
    </row>
    <row r="561" spans="1:76" ht="14.5">
      <c r="A561" s="99"/>
      <c r="B561" s="91" t="str">
        <f t="shared" si="339"/>
        <v>STW</v>
      </c>
      <c r="C561" s="92"/>
      <c r="D561" s="451"/>
      <c r="E561" s="451"/>
      <c r="F561" s="409" t="s">
        <v>4386</v>
      </c>
      <c r="G561" s="384"/>
      <c r="H561" s="398">
        <v>1</v>
      </c>
      <c r="I561" s="151"/>
      <c r="J561" s="95"/>
      <c r="K561" s="191">
        <v>-29843.46126244979</v>
      </c>
      <c r="L561" s="269">
        <v>1</v>
      </c>
      <c r="M561" s="267">
        <v>1</v>
      </c>
      <c r="N561" s="267">
        <f t="shared" si="340"/>
        <v>0</v>
      </c>
      <c r="O561" s="96">
        <f t="shared" si="371"/>
        <v>0</v>
      </c>
      <c r="P561" s="96">
        <f t="shared" si="372"/>
        <v>-29843.46126244979</v>
      </c>
      <c r="Q561" s="96">
        <f t="shared" si="373"/>
        <v>0</v>
      </c>
      <c r="R561" s="187"/>
      <c r="S561" s="187"/>
      <c r="T561" s="94" t="s">
        <v>5414</v>
      </c>
      <c r="U561" s="395">
        <f>COUNTIF(Aggregation_of_rev_to_allocate!$A$3:$A$137,$T561)</f>
        <v>0</v>
      </c>
      <c r="V561" s="100"/>
      <c r="W561" s="100"/>
      <c r="X561" s="109">
        <v>1E-3</v>
      </c>
      <c r="Y561" s="109">
        <v>0</v>
      </c>
      <c r="Z561" s="110">
        <v>1</v>
      </c>
      <c r="AA561" s="110">
        <v>1</v>
      </c>
      <c r="AB561" s="110">
        <v>0</v>
      </c>
      <c r="AC561" s="109">
        <f>IF(ISERROR((X561*SUMIF('Rev_for_allocation(Hard)'!$A$3:$A$249,$T561,'Rev_for_allocation(Hard)'!$I$3:$I$249)/SUMIF(Historic_capex_list!$T$9:$T$586,$T561,Historic_capex_list!$X$9:$X$586))=TRUE),0,X561*SUMIF('Rev_for_allocation(Hard)'!$A$3:$A$249,$T561,'Rev_for_allocation(Hard)'!$I$3:$I$249)/SUMIF(Historic_capex_list!$T$9:$T$586,$T561,Historic_capex_list!$X$9:$X$586))</f>
        <v>0</v>
      </c>
      <c r="AD561" s="109">
        <f t="shared" si="374"/>
        <v>1E-3</v>
      </c>
      <c r="AE561" s="109">
        <f t="shared" si="375"/>
        <v>1E-3</v>
      </c>
      <c r="AF561" s="109">
        <f t="shared" si="376"/>
        <v>1E-3</v>
      </c>
      <c r="AG561" s="109"/>
      <c r="AH561" s="109"/>
      <c r="AI561" s="109"/>
      <c r="AJ561" s="109"/>
      <c r="AK561" s="109"/>
      <c r="AL561" s="109"/>
      <c r="AM561" s="111">
        <f t="shared" si="377"/>
        <v>0</v>
      </c>
      <c r="AN561" s="111">
        <f t="shared" si="378"/>
        <v>0</v>
      </c>
      <c r="AO561" s="111" t="str">
        <f t="shared" si="379"/>
        <v>Use deduct 3yrs</v>
      </c>
      <c r="AP561" s="111">
        <f t="shared" si="380"/>
        <v>0</v>
      </c>
      <c r="AQ561" s="112">
        <f t="shared" si="381"/>
        <v>0</v>
      </c>
      <c r="AR561" s="112">
        <f t="shared" si="382"/>
        <v>1</v>
      </c>
      <c r="AS561" s="113">
        <f t="shared" si="383"/>
        <v>2028</v>
      </c>
      <c r="AT561" s="109">
        <v>-29843.46126244979</v>
      </c>
      <c r="AU561" s="114">
        <v>1</v>
      </c>
      <c r="AV561" s="113">
        <v>2028</v>
      </c>
      <c r="AW561" s="112">
        <v>1</v>
      </c>
      <c r="AX561" s="109">
        <f t="shared" si="359"/>
        <v>-29843.46126244979</v>
      </c>
      <c r="AY561" s="109">
        <f t="shared" si="360"/>
        <v>0</v>
      </c>
      <c r="AZ561" s="109">
        <f t="shared" si="384"/>
        <v>1E-3</v>
      </c>
      <c r="BA561" s="111">
        <f t="shared" si="385"/>
        <v>29843.46226244979</v>
      </c>
      <c r="BB561" s="117"/>
      <c r="BC561" s="115" t="str">
        <f t="shared" si="386"/>
        <v>Y</v>
      </c>
      <c r="BD561" s="115" t="str">
        <f t="shared" si="387"/>
        <v>Y</v>
      </c>
      <c r="BE561" s="115" t="str">
        <f t="shared" si="388"/>
        <v>Y</v>
      </c>
      <c r="BF561" s="109">
        <f t="shared" si="389"/>
        <v>-29843.46126244979</v>
      </c>
      <c r="BG561" s="111" t="s">
        <v>2499</v>
      </c>
      <c r="BH561" s="115" t="s">
        <v>1168</v>
      </c>
      <c r="BI561" s="116"/>
      <c r="BJ561" s="222">
        <v>1</v>
      </c>
      <c r="BK561" s="265">
        <f t="shared" si="390"/>
        <v>0</v>
      </c>
      <c r="BL561" s="265">
        <f t="shared" si="349"/>
        <v>0</v>
      </c>
      <c r="BM561" s="265">
        <f t="shared" si="391"/>
        <v>0</v>
      </c>
      <c r="BN561" s="265">
        <f t="shared" si="392"/>
        <v>29843.46226244979</v>
      </c>
      <c r="BO561" s="109"/>
      <c r="BP561" s="265">
        <f t="shared" si="350"/>
        <v>29843.46226244979</v>
      </c>
      <c r="BQ561" s="265">
        <v>29843.46226244979</v>
      </c>
      <c r="BR561" s="265" t="e">
        <f t="shared" si="351"/>
        <v>#REF!</v>
      </c>
      <c r="BS561" s="207">
        <v>3362.1416667602389</v>
      </c>
      <c r="BT561" s="475">
        <v>0</v>
      </c>
      <c r="BU561" s="475">
        <v>-29843.46126244979</v>
      </c>
      <c r="BV561" s="475">
        <v>0</v>
      </c>
      <c r="BW561" s="483">
        <f t="shared" si="352"/>
        <v>0</v>
      </c>
      <c r="BX561" s="483">
        <f t="shared" si="353"/>
        <v>0</v>
      </c>
    </row>
    <row r="562" spans="1:76" ht="14.5">
      <c r="A562" s="99"/>
      <c r="B562" s="91" t="str">
        <f t="shared" si="339"/>
        <v>STW</v>
      </c>
      <c r="C562" s="92"/>
      <c r="D562" s="451"/>
      <c r="E562" s="451"/>
      <c r="F562" s="409" t="s">
        <v>4386</v>
      </c>
      <c r="G562" s="384"/>
      <c r="H562" s="398">
        <v>1</v>
      </c>
      <c r="I562" s="151"/>
      <c r="J562" s="95"/>
      <c r="K562" s="191">
        <v>24825</v>
      </c>
      <c r="L562" s="269">
        <v>1</v>
      </c>
      <c r="M562" s="267">
        <v>1</v>
      </c>
      <c r="N562" s="267">
        <f t="shared" si="340"/>
        <v>0</v>
      </c>
      <c r="O562" s="96">
        <f t="shared" si="371"/>
        <v>0</v>
      </c>
      <c r="P562" s="96">
        <f t="shared" si="372"/>
        <v>24825</v>
      </c>
      <c r="Q562" s="96">
        <f t="shared" si="373"/>
        <v>0</v>
      </c>
      <c r="R562" s="187"/>
      <c r="S562" s="187"/>
      <c r="T562" s="94" t="s">
        <v>5415</v>
      </c>
      <c r="U562" s="395">
        <f>COUNTIF(Aggregation_of_rev_to_allocate!$A$3:$A$137,$T562)</f>
        <v>0</v>
      </c>
      <c r="V562" s="100"/>
      <c r="W562" s="100"/>
      <c r="X562" s="109">
        <v>1E-3</v>
      </c>
      <c r="Y562" s="109">
        <v>0</v>
      </c>
      <c r="Z562" s="110">
        <v>1</v>
      </c>
      <c r="AA562" s="110">
        <v>1</v>
      </c>
      <c r="AB562" s="110">
        <v>0</v>
      </c>
      <c r="AC562" s="109">
        <f>IF(ISERROR((X562*SUMIF('Rev_for_allocation(Hard)'!$A$3:$A$249,$T562,'Rev_for_allocation(Hard)'!$I$3:$I$249)/SUMIF(Historic_capex_list!$T$9:$T$586,$T562,Historic_capex_list!$X$9:$X$586))=TRUE),0,X562*SUMIF('Rev_for_allocation(Hard)'!$A$3:$A$249,$T562,'Rev_for_allocation(Hard)'!$I$3:$I$249)/SUMIF(Historic_capex_list!$T$9:$T$586,$T562,Historic_capex_list!$X$9:$X$586))</f>
        <v>0</v>
      </c>
      <c r="AD562" s="109">
        <f t="shared" si="374"/>
        <v>1E-3</v>
      </c>
      <c r="AE562" s="109">
        <f t="shared" si="375"/>
        <v>1E-3</v>
      </c>
      <c r="AF562" s="109">
        <f t="shared" si="376"/>
        <v>1E-3</v>
      </c>
      <c r="AG562" s="109"/>
      <c r="AH562" s="109"/>
      <c r="AI562" s="109"/>
      <c r="AJ562" s="109"/>
      <c r="AK562" s="109"/>
      <c r="AL562" s="109"/>
      <c r="AM562" s="111">
        <f t="shared" si="377"/>
        <v>0</v>
      </c>
      <c r="AN562" s="111">
        <f t="shared" si="378"/>
        <v>0</v>
      </c>
      <c r="AO562" s="111" t="str">
        <f t="shared" si="379"/>
        <v>Use deduct 3yrs</v>
      </c>
      <c r="AP562" s="111">
        <f t="shared" si="380"/>
        <v>0</v>
      </c>
      <c r="AQ562" s="112">
        <f t="shared" si="381"/>
        <v>0</v>
      </c>
      <c r="AR562" s="112">
        <f t="shared" si="382"/>
        <v>1</v>
      </c>
      <c r="AS562" s="113">
        <f t="shared" si="383"/>
        <v>2028</v>
      </c>
      <c r="AT562" s="109">
        <v>-271562.60878207412</v>
      </c>
      <c r="AU562" s="114">
        <v>1</v>
      </c>
      <c r="AV562" s="113">
        <v>2028</v>
      </c>
      <c r="AW562" s="112">
        <v>1</v>
      </c>
      <c r="AX562" s="109">
        <f t="shared" si="359"/>
        <v>24825</v>
      </c>
      <c r="AY562" s="109">
        <f t="shared" si="360"/>
        <v>0</v>
      </c>
      <c r="AZ562" s="109">
        <f t="shared" si="384"/>
        <v>24825</v>
      </c>
      <c r="BA562" s="111">
        <f t="shared" si="385"/>
        <v>296387.60878207412</v>
      </c>
      <c r="BB562" s="117"/>
      <c r="BC562" s="115" t="str">
        <f t="shared" si="386"/>
        <v>N</v>
      </c>
      <c r="BD562" s="115" t="str">
        <f t="shared" si="387"/>
        <v>Y</v>
      </c>
      <c r="BE562" s="115" t="str">
        <f t="shared" si="388"/>
        <v>N</v>
      </c>
      <c r="BF562" s="109" t="str">
        <f t="shared" si="389"/>
        <v/>
      </c>
      <c r="BG562" s="111" t="s">
        <v>2499</v>
      </c>
      <c r="BH562" s="115" t="s">
        <v>1168</v>
      </c>
      <c r="BI562" s="116"/>
      <c r="BJ562" s="222">
        <v>1</v>
      </c>
      <c r="BK562" s="265">
        <f t="shared" si="390"/>
        <v>0</v>
      </c>
      <c r="BL562" s="265">
        <f t="shared" si="349"/>
        <v>0</v>
      </c>
      <c r="BM562" s="265">
        <f t="shared" si="391"/>
        <v>0</v>
      </c>
      <c r="BN562" s="265">
        <f t="shared" si="392"/>
        <v>-24824.999</v>
      </c>
      <c r="BO562" s="109"/>
      <c r="BP562" s="265">
        <f t="shared" si="350"/>
        <v>271562.60978207411</v>
      </c>
      <c r="BQ562" s="265">
        <v>271562.60978207411</v>
      </c>
      <c r="BR562" s="265" t="e">
        <f t="shared" si="351"/>
        <v>#REF!</v>
      </c>
      <c r="BS562" s="207">
        <v>30594.036223178955</v>
      </c>
      <c r="BT562" s="475">
        <v>0</v>
      </c>
      <c r="BU562" s="475">
        <v>24825</v>
      </c>
      <c r="BV562" s="475">
        <v>0</v>
      </c>
      <c r="BW562" s="483">
        <f t="shared" si="352"/>
        <v>0</v>
      </c>
      <c r="BX562" s="483">
        <f t="shared" si="353"/>
        <v>0</v>
      </c>
    </row>
    <row r="563" spans="1:76" ht="14.5">
      <c r="A563" s="99"/>
      <c r="B563" s="91" t="str">
        <f t="shared" si="339"/>
        <v>STW</v>
      </c>
      <c r="C563" s="92"/>
      <c r="D563" s="451"/>
      <c r="E563" s="451"/>
      <c r="F563" s="409" t="s">
        <v>4386</v>
      </c>
      <c r="G563" s="384"/>
      <c r="H563" s="398">
        <v>1</v>
      </c>
      <c r="I563" s="151"/>
      <c r="J563" s="95"/>
      <c r="K563" s="191">
        <v>-7252569.8539217655</v>
      </c>
      <c r="L563" s="269">
        <v>1</v>
      </c>
      <c r="M563" s="267">
        <v>1</v>
      </c>
      <c r="N563" s="267">
        <f t="shared" si="340"/>
        <v>0</v>
      </c>
      <c r="O563" s="96">
        <f t="shared" si="371"/>
        <v>0</v>
      </c>
      <c r="P563" s="96">
        <f t="shared" si="372"/>
        <v>-7252569.8539217655</v>
      </c>
      <c r="Q563" s="96">
        <f t="shared" si="373"/>
        <v>0</v>
      </c>
      <c r="R563" s="187"/>
      <c r="S563" s="187"/>
      <c r="T563" s="94" t="s">
        <v>5416</v>
      </c>
      <c r="U563" s="395">
        <f>COUNTIF(Aggregation_of_rev_to_allocate!$A$3:$A$137,$T563)</f>
        <v>0</v>
      </c>
      <c r="V563" s="100"/>
      <c r="W563" s="100"/>
      <c r="X563" s="109">
        <v>1E-3</v>
      </c>
      <c r="Y563" s="109">
        <v>0</v>
      </c>
      <c r="Z563" s="110">
        <v>1</v>
      </c>
      <c r="AA563" s="110">
        <v>1</v>
      </c>
      <c r="AB563" s="110">
        <v>0</v>
      </c>
      <c r="AC563" s="109">
        <f>IF(ISERROR((X563*SUMIF('Rev_for_allocation(Hard)'!$A$3:$A$249,$T563,'Rev_for_allocation(Hard)'!$I$3:$I$249)/SUMIF(Historic_capex_list!$T$9:$T$586,$T563,Historic_capex_list!$X$9:$X$586))=TRUE),0,X563*SUMIF('Rev_for_allocation(Hard)'!$A$3:$A$249,$T563,'Rev_for_allocation(Hard)'!$I$3:$I$249)/SUMIF(Historic_capex_list!$T$9:$T$586,$T563,Historic_capex_list!$X$9:$X$586))</f>
        <v>0</v>
      </c>
      <c r="AD563" s="109">
        <f t="shared" si="374"/>
        <v>1E-3</v>
      </c>
      <c r="AE563" s="109">
        <f t="shared" si="375"/>
        <v>1E-3</v>
      </c>
      <c r="AF563" s="109">
        <f t="shared" si="376"/>
        <v>1E-3</v>
      </c>
      <c r="AG563" s="109"/>
      <c r="AH563" s="109"/>
      <c r="AI563" s="109"/>
      <c r="AJ563" s="109"/>
      <c r="AK563" s="109"/>
      <c r="AL563" s="109"/>
      <c r="AM563" s="111">
        <f t="shared" si="377"/>
        <v>0</v>
      </c>
      <c r="AN563" s="111">
        <f t="shared" si="378"/>
        <v>0</v>
      </c>
      <c r="AO563" s="111" t="str">
        <f t="shared" si="379"/>
        <v>Use deduct 3yrs</v>
      </c>
      <c r="AP563" s="111">
        <f t="shared" si="380"/>
        <v>0</v>
      </c>
      <c r="AQ563" s="112">
        <f t="shared" si="381"/>
        <v>0</v>
      </c>
      <c r="AR563" s="112">
        <f t="shared" si="382"/>
        <v>1</v>
      </c>
      <c r="AS563" s="113">
        <f t="shared" si="383"/>
        <v>2028</v>
      </c>
      <c r="AT563" s="109">
        <v>-7252569.8539217655</v>
      </c>
      <c r="AU563" s="114">
        <v>1</v>
      </c>
      <c r="AV563" s="113">
        <v>2028</v>
      </c>
      <c r="AW563" s="112">
        <v>1</v>
      </c>
      <c r="AX563" s="109">
        <f t="shared" si="359"/>
        <v>-7252569.8539217655</v>
      </c>
      <c r="AY563" s="109">
        <f t="shared" si="360"/>
        <v>0</v>
      </c>
      <c r="AZ563" s="109">
        <f t="shared" si="384"/>
        <v>1E-3</v>
      </c>
      <c r="BA563" s="111">
        <f t="shared" si="385"/>
        <v>7252569.8549217656</v>
      </c>
      <c r="BB563" s="117"/>
      <c r="BC563" s="115" t="str">
        <f t="shared" si="386"/>
        <v>Y</v>
      </c>
      <c r="BD563" s="115" t="str">
        <f t="shared" si="387"/>
        <v>Y</v>
      </c>
      <c r="BE563" s="115" t="str">
        <f t="shared" si="388"/>
        <v>Y</v>
      </c>
      <c r="BF563" s="109">
        <f t="shared" si="389"/>
        <v>-7252569.8539217655</v>
      </c>
      <c r="BG563" s="111" t="s">
        <v>2499</v>
      </c>
      <c r="BH563" s="115" t="s">
        <v>1168</v>
      </c>
      <c r="BI563" s="116"/>
      <c r="BJ563" s="222">
        <v>1</v>
      </c>
      <c r="BK563" s="265">
        <f t="shared" si="390"/>
        <v>0</v>
      </c>
      <c r="BL563" s="265">
        <f t="shared" si="349"/>
        <v>0</v>
      </c>
      <c r="BM563" s="265">
        <f t="shared" si="391"/>
        <v>0</v>
      </c>
      <c r="BN563" s="265">
        <f t="shared" si="392"/>
        <v>7252569.8549217656</v>
      </c>
      <c r="BO563" s="109"/>
      <c r="BP563" s="265">
        <f t="shared" si="350"/>
        <v>7252569.8549217656</v>
      </c>
      <c r="BQ563" s="265">
        <v>7252569.8549217656</v>
      </c>
      <c r="BR563" s="265" t="e">
        <f t="shared" si="351"/>
        <v>#REF!</v>
      </c>
      <c r="BS563" s="207">
        <v>817068.98100100271</v>
      </c>
      <c r="BT563" s="475">
        <v>0</v>
      </c>
      <c r="BU563" s="475">
        <v>-7252569.8539217655</v>
      </c>
      <c r="BV563" s="475">
        <v>0</v>
      </c>
      <c r="BW563" s="483">
        <f t="shared" si="352"/>
        <v>0</v>
      </c>
      <c r="BX563" s="483">
        <f t="shared" si="353"/>
        <v>0</v>
      </c>
    </row>
    <row r="564" spans="1:76" ht="14.5">
      <c r="A564" s="99"/>
      <c r="B564" s="91" t="str">
        <f t="shared" si="339"/>
        <v>STW</v>
      </c>
      <c r="C564" s="92"/>
      <c r="D564" s="451"/>
      <c r="E564" s="451"/>
      <c r="F564" s="409" t="s">
        <v>4386</v>
      </c>
      <c r="G564" s="384"/>
      <c r="H564" s="398">
        <v>1</v>
      </c>
      <c r="I564" s="151"/>
      <c r="J564" s="95"/>
      <c r="K564" s="191">
        <v>-1107608.5040558134</v>
      </c>
      <c r="L564" s="269">
        <v>1</v>
      </c>
      <c r="M564" s="267">
        <v>1</v>
      </c>
      <c r="N564" s="267">
        <f t="shared" si="340"/>
        <v>0</v>
      </c>
      <c r="O564" s="96">
        <f t="shared" si="371"/>
        <v>0</v>
      </c>
      <c r="P564" s="96">
        <f t="shared" si="372"/>
        <v>-1107608.5040558134</v>
      </c>
      <c r="Q564" s="96">
        <f t="shared" si="373"/>
        <v>0</v>
      </c>
      <c r="R564" s="187"/>
      <c r="S564" s="187"/>
      <c r="T564" s="94" t="s">
        <v>5417</v>
      </c>
      <c r="U564" s="395">
        <f>COUNTIF(Aggregation_of_rev_to_allocate!$A$3:$A$137,$T564)</f>
        <v>0</v>
      </c>
      <c r="V564" s="100"/>
      <c r="W564" s="100"/>
      <c r="X564" s="109">
        <v>1E-3</v>
      </c>
      <c r="Y564" s="109">
        <v>0</v>
      </c>
      <c r="Z564" s="110">
        <v>1</v>
      </c>
      <c r="AA564" s="110">
        <v>1</v>
      </c>
      <c r="AB564" s="110">
        <v>0</v>
      </c>
      <c r="AC564" s="109">
        <f>IF(ISERROR((X564*SUMIF('Rev_for_allocation(Hard)'!$A$3:$A$249,$T564,'Rev_for_allocation(Hard)'!$I$3:$I$249)/SUMIF(Historic_capex_list!$T$9:$T$586,$T564,Historic_capex_list!$X$9:$X$586))=TRUE),0,X564*SUMIF('Rev_for_allocation(Hard)'!$A$3:$A$249,$T564,'Rev_for_allocation(Hard)'!$I$3:$I$249)/SUMIF(Historic_capex_list!$T$9:$T$586,$T564,Historic_capex_list!$X$9:$X$586))</f>
        <v>0</v>
      </c>
      <c r="AD564" s="109">
        <f t="shared" si="374"/>
        <v>1E-3</v>
      </c>
      <c r="AE564" s="109">
        <f t="shared" si="375"/>
        <v>1E-3</v>
      </c>
      <c r="AF564" s="109">
        <f t="shared" si="376"/>
        <v>1E-3</v>
      </c>
      <c r="AG564" s="109"/>
      <c r="AH564" s="109"/>
      <c r="AI564" s="109"/>
      <c r="AJ564" s="109"/>
      <c r="AK564" s="109"/>
      <c r="AL564" s="109"/>
      <c r="AM564" s="111">
        <f t="shared" si="377"/>
        <v>0</v>
      </c>
      <c r="AN564" s="111">
        <f t="shared" si="378"/>
        <v>0</v>
      </c>
      <c r="AO564" s="111" t="str">
        <f t="shared" si="379"/>
        <v>Use deduct 3yrs</v>
      </c>
      <c r="AP564" s="111">
        <f t="shared" si="380"/>
        <v>0</v>
      </c>
      <c r="AQ564" s="112">
        <f t="shared" si="381"/>
        <v>0</v>
      </c>
      <c r="AR564" s="112">
        <f t="shared" si="382"/>
        <v>1</v>
      </c>
      <c r="AS564" s="113">
        <f t="shared" si="383"/>
        <v>2028</v>
      </c>
      <c r="AT564" s="109">
        <v>-1107608.5040558134</v>
      </c>
      <c r="AU564" s="114">
        <v>1</v>
      </c>
      <c r="AV564" s="113">
        <v>2028</v>
      </c>
      <c r="AW564" s="112">
        <v>1</v>
      </c>
      <c r="AX564" s="109">
        <f t="shared" si="359"/>
        <v>-1107608.5040558134</v>
      </c>
      <c r="AY564" s="109">
        <f t="shared" si="360"/>
        <v>0</v>
      </c>
      <c r="AZ564" s="109">
        <f t="shared" si="384"/>
        <v>1E-3</v>
      </c>
      <c r="BA564" s="111">
        <f t="shared" si="385"/>
        <v>1107608.5050558134</v>
      </c>
      <c r="BB564" s="117"/>
      <c r="BC564" s="115" t="str">
        <f t="shared" si="386"/>
        <v>Y</v>
      </c>
      <c r="BD564" s="115" t="str">
        <f t="shared" si="387"/>
        <v>Y</v>
      </c>
      <c r="BE564" s="115" t="str">
        <f t="shared" si="388"/>
        <v>Y</v>
      </c>
      <c r="BF564" s="109">
        <f t="shared" si="389"/>
        <v>-1107608.5040558134</v>
      </c>
      <c r="BG564" s="111" t="s">
        <v>2499</v>
      </c>
      <c r="BH564" s="115" t="s">
        <v>1168</v>
      </c>
      <c r="BI564" s="116"/>
      <c r="BJ564" s="222">
        <v>1</v>
      </c>
      <c r="BK564" s="265">
        <f t="shared" si="390"/>
        <v>0</v>
      </c>
      <c r="BL564" s="265">
        <f t="shared" si="349"/>
        <v>0</v>
      </c>
      <c r="BM564" s="265">
        <f t="shared" si="391"/>
        <v>0</v>
      </c>
      <c r="BN564" s="265">
        <f t="shared" si="392"/>
        <v>1107608.5050558134</v>
      </c>
      <c r="BO564" s="109"/>
      <c r="BP564" s="265">
        <f t="shared" si="350"/>
        <v>1107608.5050558134</v>
      </c>
      <c r="BQ564" s="265">
        <v>1107608.5050558134</v>
      </c>
      <c r="BR564" s="265" t="e">
        <f t="shared" si="351"/>
        <v>#REF!</v>
      </c>
      <c r="BS564" s="207">
        <v>124782.32828875796</v>
      </c>
      <c r="BT564" s="475">
        <v>0</v>
      </c>
      <c r="BU564" s="475">
        <v>-1107608.5040558134</v>
      </c>
      <c r="BV564" s="475">
        <v>0</v>
      </c>
      <c r="BW564" s="483">
        <f t="shared" si="352"/>
        <v>0</v>
      </c>
      <c r="BX564" s="483">
        <f t="shared" si="353"/>
        <v>0</v>
      </c>
    </row>
    <row r="565" spans="1:76" ht="14.5">
      <c r="A565" s="99"/>
      <c r="B565" s="91" t="str">
        <f t="shared" si="339"/>
        <v>STW</v>
      </c>
      <c r="C565" s="92"/>
      <c r="D565" s="451"/>
      <c r="E565" s="451"/>
      <c r="F565" s="409" t="s">
        <v>4386</v>
      </c>
      <c r="G565" s="384"/>
      <c r="H565" s="398">
        <v>1</v>
      </c>
      <c r="I565" s="151"/>
      <c r="J565" s="95"/>
      <c r="K565" s="191">
        <v>-3157879.18370623</v>
      </c>
      <c r="L565" s="269">
        <v>1</v>
      </c>
      <c r="M565" s="267">
        <v>1</v>
      </c>
      <c r="N565" s="267">
        <f t="shared" si="340"/>
        <v>0</v>
      </c>
      <c r="O565" s="96">
        <f t="shared" si="371"/>
        <v>0</v>
      </c>
      <c r="P565" s="96">
        <f t="shared" si="372"/>
        <v>-3157879.18370623</v>
      </c>
      <c r="Q565" s="96">
        <f t="shared" si="373"/>
        <v>0</v>
      </c>
      <c r="R565" s="187"/>
      <c r="S565" s="187"/>
      <c r="T565" s="94" t="s">
        <v>5418</v>
      </c>
      <c r="U565" s="395">
        <f>COUNTIF(Aggregation_of_rev_to_allocate!$A$3:$A$137,$T565)</f>
        <v>0</v>
      </c>
      <c r="V565" s="100"/>
      <c r="W565" s="100"/>
      <c r="X565" s="109">
        <v>1E-3</v>
      </c>
      <c r="Y565" s="109">
        <v>0</v>
      </c>
      <c r="Z565" s="110">
        <v>1</v>
      </c>
      <c r="AA565" s="110">
        <v>1</v>
      </c>
      <c r="AB565" s="110">
        <v>0</v>
      </c>
      <c r="AC565" s="109">
        <f>IF(ISERROR((X565*SUMIF('Rev_for_allocation(Hard)'!$A$3:$A$249,$T565,'Rev_for_allocation(Hard)'!$I$3:$I$249)/SUMIF(Historic_capex_list!$T$9:$T$586,$T565,Historic_capex_list!$X$9:$X$586))=TRUE),0,X565*SUMIF('Rev_for_allocation(Hard)'!$A$3:$A$249,$T565,'Rev_for_allocation(Hard)'!$I$3:$I$249)/SUMIF(Historic_capex_list!$T$9:$T$586,$T565,Historic_capex_list!$X$9:$X$586))</f>
        <v>0</v>
      </c>
      <c r="AD565" s="109">
        <f t="shared" si="374"/>
        <v>1E-3</v>
      </c>
      <c r="AE565" s="109">
        <f t="shared" si="375"/>
        <v>1E-3</v>
      </c>
      <c r="AF565" s="109">
        <f t="shared" si="376"/>
        <v>1E-3</v>
      </c>
      <c r="AG565" s="109"/>
      <c r="AH565" s="109"/>
      <c r="AI565" s="109"/>
      <c r="AJ565" s="109"/>
      <c r="AK565" s="109"/>
      <c r="AL565" s="109"/>
      <c r="AM565" s="111">
        <f t="shared" si="377"/>
        <v>0</v>
      </c>
      <c r="AN565" s="111">
        <f t="shared" si="378"/>
        <v>0</v>
      </c>
      <c r="AO565" s="111" t="str">
        <f t="shared" si="379"/>
        <v>Use deduct 3yrs</v>
      </c>
      <c r="AP565" s="111">
        <f t="shared" si="380"/>
        <v>0</v>
      </c>
      <c r="AQ565" s="112">
        <f t="shared" si="381"/>
        <v>0</v>
      </c>
      <c r="AR565" s="112">
        <f t="shared" si="382"/>
        <v>1</v>
      </c>
      <c r="AS565" s="113">
        <f t="shared" si="383"/>
        <v>2028</v>
      </c>
      <c r="AT565" s="109">
        <v>-3757879.1837062291</v>
      </c>
      <c r="AU565" s="114">
        <v>1</v>
      </c>
      <c r="AV565" s="113">
        <v>2028</v>
      </c>
      <c r="AW565" s="112">
        <v>1</v>
      </c>
      <c r="AX565" s="109">
        <f t="shared" si="359"/>
        <v>-3157879.18370623</v>
      </c>
      <c r="AY565" s="109">
        <f t="shared" si="360"/>
        <v>0</v>
      </c>
      <c r="AZ565" s="109">
        <f t="shared" si="384"/>
        <v>1E-3</v>
      </c>
      <c r="BA565" s="111">
        <f t="shared" si="385"/>
        <v>3757879.1847062293</v>
      </c>
      <c r="BB565" s="117"/>
      <c r="BC565" s="115" t="str">
        <f t="shared" si="386"/>
        <v>Y</v>
      </c>
      <c r="BD565" s="115" t="str">
        <f t="shared" si="387"/>
        <v>Y</v>
      </c>
      <c r="BE565" s="115" t="str">
        <f t="shared" si="388"/>
        <v>Y</v>
      </c>
      <c r="BF565" s="109">
        <f t="shared" si="389"/>
        <v>-3157879.18370623</v>
      </c>
      <c r="BG565" s="111" t="s">
        <v>2499</v>
      </c>
      <c r="BH565" s="115" t="s">
        <v>1168</v>
      </c>
      <c r="BI565" s="116"/>
      <c r="BJ565" s="222">
        <v>1</v>
      </c>
      <c r="BK565" s="265">
        <f t="shared" si="390"/>
        <v>0</v>
      </c>
      <c r="BL565" s="265">
        <f t="shared" si="349"/>
        <v>0</v>
      </c>
      <c r="BM565" s="265">
        <f t="shared" si="391"/>
        <v>0</v>
      </c>
      <c r="BN565" s="265">
        <f t="shared" si="392"/>
        <v>3157879.1847062302</v>
      </c>
      <c r="BO565" s="109"/>
      <c r="BP565" s="265">
        <f t="shared" si="350"/>
        <v>3757879.1847062293</v>
      </c>
      <c r="BQ565" s="265">
        <v>3757879.1847062293</v>
      </c>
      <c r="BR565" s="265" t="e">
        <f t="shared" si="351"/>
        <v>#REF!</v>
      </c>
      <c r="BS565" s="207">
        <v>423359.79902201425</v>
      </c>
      <c r="BT565" s="475">
        <v>0</v>
      </c>
      <c r="BU565" s="475">
        <v>-3157879.18370623</v>
      </c>
      <c r="BV565" s="475">
        <v>0</v>
      </c>
      <c r="BW565" s="483">
        <f t="shared" si="352"/>
        <v>0</v>
      </c>
      <c r="BX565" s="483">
        <f t="shared" si="353"/>
        <v>0</v>
      </c>
    </row>
    <row r="566" spans="1:76" ht="14.5">
      <c r="A566" s="99"/>
      <c r="B566" s="91" t="str">
        <f t="shared" si="339"/>
        <v>STW</v>
      </c>
      <c r="C566" s="92"/>
      <c r="D566" s="451"/>
      <c r="E566" s="451"/>
      <c r="F566" s="409" t="s">
        <v>4386</v>
      </c>
      <c r="G566" s="384"/>
      <c r="H566" s="398">
        <v>1</v>
      </c>
      <c r="I566" s="151"/>
      <c r="J566" s="95"/>
      <c r="K566" s="191">
        <v>0</v>
      </c>
      <c r="L566" s="269">
        <v>1</v>
      </c>
      <c r="M566" s="267">
        <v>1</v>
      </c>
      <c r="N566" s="267">
        <f t="shared" si="340"/>
        <v>0</v>
      </c>
      <c r="O566" s="96">
        <f t="shared" si="371"/>
        <v>0</v>
      </c>
      <c r="P566" s="96">
        <f t="shared" si="372"/>
        <v>0</v>
      </c>
      <c r="Q566" s="96">
        <f t="shared" si="373"/>
        <v>0</v>
      </c>
      <c r="R566" s="187"/>
      <c r="S566" s="187"/>
      <c r="T566" s="94" t="s">
        <v>5393</v>
      </c>
      <c r="U566" s="395">
        <f>COUNTIF(Aggregation_of_rev_to_allocate!$A$3:$A$137,$T566)</f>
        <v>0</v>
      </c>
      <c r="V566" s="100"/>
      <c r="W566" s="100"/>
      <c r="X566" s="109">
        <v>1E-3</v>
      </c>
      <c r="Y566" s="109">
        <v>0</v>
      </c>
      <c r="Z566" s="110">
        <v>1</v>
      </c>
      <c r="AA566" s="110">
        <v>1</v>
      </c>
      <c r="AB566" s="110">
        <v>0</v>
      </c>
      <c r="AC566" s="109">
        <f>IF(ISERROR((X566*SUMIF('Rev_for_allocation(Hard)'!$A$3:$A$249,$T566,'Rev_for_allocation(Hard)'!$I$3:$I$249)/SUMIF(Historic_capex_list!$T$9:$T$586,$T566,Historic_capex_list!$X$9:$X$586))=TRUE),0,X566*SUMIF('Rev_for_allocation(Hard)'!$A$3:$A$249,$T566,'Rev_for_allocation(Hard)'!$I$3:$I$249)/SUMIF(Historic_capex_list!$T$9:$T$586,$T566,Historic_capex_list!$X$9:$X$586))</f>
        <v>0</v>
      </c>
      <c r="AD566" s="109">
        <f t="shared" si="374"/>
        <v>1E-3</v>
      </c>
      <c r="AE566" s="109">
        <f t="shared" si="375"/>
        <v>1E-3</v>
      </c>
      <c r="AF566" s="109">
        <f t="shared" si="376"/>
        <v>1E-3</v>
      </c>
      <c r="AG566" s="109"/>
      <c r="AH566" s="109"/>
      <c r="AI566" s="109"/>
      <c r="AJ566" s="109"/>
      <c r="AK566" s="109"/>
      <c r="AL566" s="109"/>
      <c r="AM566" s="111">
        <f t="shared" si="377"/>
        <v>0</v>
      </c>
      <c r="AN566" s="111">
        <f t="shared" si="378"/>
        <v>0</v>
      </c>
      <c r="AO566" s="111" t="str">
        <f t="shared" si="379"/>
        <v>Use deduct 3yrs</v>
      </c>
      <c r="AP566" s="111">
        <f t="shared" si="380"/>
        <v>0</v>
      </c>
      <c r="AQ566" s="112">
        <f t="shared" si="381"/>
        <v>0</v>
      </c>
      <c r="AR566" s="112">
        <f t="shared" si="382"/>
        <v>1</v>
      </c>
      <c r="AS566" s="113">
        <f t="shared" si="383"/>
        <v>2028</v>
      </c>
      <c r="AT566" s="109">
        <v>0</v>
      </c>
      <c r="AU566" s="114">
        <v>1</v>
      </c>
      <c r="AV566" s="113">
        <v>2028</v>
      </c>
      <c r="AW566" s="112">
        <v>1</v>
      </c>
      <c r="AX566" s="109">
        <f t="shared" si="359"/>
        <v>0</v>
      </c>
      <c r="AY566" s="109">
        <f t="shared" si="360"/>
        <v>0</v>
      </c>
      <c r="AZ566" s="109">
        <f t="shared" si="384"/>
        <v>1E-3</v>
      </c>
      <c r="BA566" s="111">
        <f t="shared" si="385"/>
        <v>1E-3</v>
      </c>
      <c r="BB566" s="117"/>
      <c r="BC566" s="115" t="str">
        <f t="shared" si="386"/>
        <v>Y</v>
      </c>
      <c r="BD566" s="115" t="str">
        <f t="shared" si="387"/>
        <v>Y</v>
      </c>
      <c r="BE566" s="115" t="str">
        <f t="shared" si="388"/>
        <v>Y</v>
      </c>
      <c r="BF566" s="109">
        <f t="shared" si="389"/>
        <v>0</v>
      </c>
      <c r="BG566" s="111" t="s">
        <v>2499</v>
      </c>
      <c r="BH566" s="115" t="s">
        <v>1168</v>
      </c>
      <c r="BI566" s="116"/>
      <c r="BJ566" s="222">
        <v>1</v>
      </c>
      <c r="BK566" s="265">
        <f t="shared" si="390"/>
        <v>0</v>
      </c>
      <c r="BL566" s="265">
        <f t="shared" si="349"/>
        <v>0</v>
      </c>
      <c r="BM566" s="265">
        <f t="shared" si="391"/>
        <v>0</v>
      </c>
      <c r="BN566" s="265">
        <f t="shared" si="392"/>
        <v>1E-3</v>
      </c>
      <c r="BO566" s="109"/>
      <c r="BP566" s="265">
        <f t="shared" si="350"/>
        <v>1E-3</v>
      </c>
      <c r="BQ566" s="265">
        <v>1E-3</v>
      </c>
      <c r="BR566" s="265" t="e">
        <f t="shared" si="351"/>
        <v>#REF!</v>
      </c>
      <c r="BS566" s="207">
        <v>1.1265923629077774E-4</v>
      </c>
      <c r="BT566" s="475">
        <v>0</v>
      </c>
      <c r="BU566" s="475">
        <v>0</v>
      </c>
      <c r="BV566" s="475">
        <v>0</v>
      </c>
      <c r="BW566" s="483">
        <f t="shared" si="352"/>
        <v>0</v>
      </c>
      <c r="BX566" s="483">
        <f t="shared" si="353"/>
        <v>0</v>
      </c>
    </row>
    <row r="567" spans="1:76" ht="14.5">
      <c r="A567" s="99"/>
      <c r="B567" s="91" t="str">
        <f t="shared" si="339"/>
        <v>STW</v>
      </c>
      <c r="C567" s="92"/>
      <c r="D567" s="451"/>
      <c r="E567" s="451"/>
      <c r="F567" s="409" t="s">
        <v>4386</v>
      </c>
      <c r="G567" s="384"/>
      <c r="H567" s="398">
        <v>1</v>
      </c>
      <c r="I567" s="151"/>
      <c r="J567" s="95"/>
      <c r="K567" s="191">
        <v>-379290.75336851279</v>
      </c>
      <c r="L567" s="269">
        <v>1</v>
      </c>
      <c r="M567" s="267">
        <v>1</v>
      </c>
      <c r="N567" s="267">
        <f t="shared" si="340"/>
        <v>0</v>
      </c>
      <c r="O567" s="96">
        <f t="shared" si="371"/>
        <v>0</v>
      </c>
      <c r="P567" s="96">
        <f t="shared" si="372"/>
        <v>-379290.75336851279</v>
      </c>
      <c r="Q567" s="96">
        <f t="shared" si="373"/>
        <v>0</v>
      </c>
      <c r="R567" s="187"/>
      <c r="S567" s="187"/>
      <c r="T567" s="94" t="s">
        <v>5419</v>
      </c>
      <c r="U567" s="395">
        <f>COUNTIF(Aggregation_of_rev_to_allocate!$A$3:$A$137,$T567)</f>
        <v>0</v>
      </c>
      <c r="V567" s="100"/>
      <c r="W567" s="100"/>
      <c r="X567" s="109">
        <v>1E-3</v>
      </c>
      <c r="Y567" s="109">
        <v>0</v>
      </c>
      <c r="Z567" s="110">
        <v>1</v>
      </c>
      <c r="AA567" s="110">
        <v>1</v>
      </c>
      <c r="AB567" s="110">
        <v>0</v>
      </c>
      <c r="AC567" s="109">
        <f>IF(ISERROR((X567*SUMIF('Rev_for_allocation(Hard)'!$A$3:$A$249,$T567,'Rev_for_allocation(Hard)'!$I$3:$I$249)/SUMIF(Historic_capex_list!$T$9:$T$586,$T567,Historic_capex_list!$X$9:$X$586))=TRUE),0,X567*SUMIF('Rev_for_allocation(Hard)'!$A$3:$A$249,$T567,'Rev_for_allocation(Hard)'!$I$3:$I$249)/SUMIF(Historic_capex_list!$T$9:$T$586,$T567,Historic_capex_list!$X$9:$X$586))</f>
        <v>0</v>
      </c>
      <c r="AD567" s="109">
        <f t="shared" si="374"/>
        <v>1E-3</v>
      </c>
      <c r="AE567" s="109">
        <f t="shared" si="375"/>
        <v>1E-3</v>
      </c>
      <c r="AF567" s="109">
        <f t="shared" si="376"/>
        <v>1E-3</v>
      </c>
      <c r="AG567" s="109"/>
      <c r="AH567" s="109"/>
      <c r="AI567" s="109"/>
      <c r="AJ567" s="109"/>
      <c r="AK567" s="109"/>
      <c r="AL567" s="109"/>
      <c r="AM567" s="111">
        <f t="shared" si="377"/>
        <v>0</v>
      </c>
      <c r="AN567" s="111">
        <f t="shared" si="378"/>
        <v>0</v>
      </c>
      <c r="AO567" s="111" t="str">
        <f t="shared" si="379"/>
        <v>Use deduct 3yrs</v>
      </c>
      <c r="AP567" s="111">
        <f t="shared" si="380"/>
        <v>0</v>
      </c>
      <c r="AQ567" s="112">
        <f t="shared" si="381"/>
        <v>0</v>
      </c>
      <c r="AR567" s="112">
        <f t="shared" si="382"/>
        <v>1</v>
      </c>
      <c r="AS567" s="113">
        <f t="shared" si="383"/>
        <v>2028</v>
      </c>
      <c r="AT567" s="109">
        <v>-379290.75336851279</v>
      </c>
      <c r="AU567" s="114">
        <v>1</v>
      </c>
      <c r="AV567" s="113">
        <v>2028</v>
      </c>
      <c r="AW567" s="112">
        <v>1</v>
      </c>
      <c r="AX567" s="109">
        <f t="shared" si="359"/>
        <v>-379290.75336851279</v>
      </c>
      <c r="AY567" s="109">
        <f t="shared" si="360"/>
        <v>0</v>
      </c>
      <c r="AZ567" s="109">
        <f t="shared" si="384"/>
        <v>1E-3</v>
      </c>
      <c r="BA567" s="111">
        <f t="shared" si="385"/>
        <v>379290.75436851277</v>
      </c>
      <c r="BB567" s="117"/>
      <c r="BC567" s="115" t="str">
        <f t="shared" si="386"/>
        <v>Y</v>
      </c>
      <c r="BD567" s="115" t="str">
        <f t="shared" si="387"/>
        <v>Y</v>
      </c>
      <c r="BE567" s="115" t="str">
        <f t="shared" si="388"/>
        <v>Y</v>
      </c>
      <c r="BF567" s="109">
        <f t="shared" si="389"/>
        <v>-379290.75336851279</v>
      </c>
      <c r="BG567" s="111" t="s">
        <v>2499</v>
      </c>
      <c r="BH567" s="115" t="s">
        <v>1168</v>
      </c>
      <c r="BI567" s="116"/>
      <c r="BJ567" s="222">
        <v>1</v>
      </c>
      <c r="BK567" s="265">
        <f t="shared" si="390"/>
        <v>0</v>
      </c>
      <c r="BL567" s="265">
        <f t="shared" si="349"/>
        <v>0</v>
      </c>
      <c r="BM567" s="265">
        <f t="shared" si="391"/>
        <v>0</v>
      </c>
      <c r="BN567" s="265">
        <f t="shared" si="392"/>
        <v>379290.75436851277</v>
      </c>
      <c r="BO567" s="109"/>
      <c r="BP567" s="265">
        <f t="shared" si="350"/>
        <v>379290.75436851277</v>
      </c>
      <c r="BQ567" s="265">
        <v>379290.75436851277</v>
      </c>
      <c r="BR567" s="265" t="e">
        <f t="shared" si="351"/>
        <v>#REF!</v>
      </c>
      <c r="BS567" s="207">
        <v>42730.606719309617</v>
      </c>
      <c r="BT567" s="475">
        <v>0</v>
      </c>
      <c r="BU567" s="475">
        <v>-379290.75336851279</v>
      </c>
      <c r="BV567" s="475">
        <v>0</v>
      </c>
      <c r="BW567" s="483">
        <f t="shared" si="352"/>
        <v>0</v>
      </c>
      <c r="BX567" s="483">
        <f t="shared" si="353"/>
        <v>0</v>
      </c>
    </row>
    <row r="568" spans="1:76" ht="14.5">
      <c r="A568" s="99"/>
      <c r="B568" s="91" t="str">
        <f t="shared" si="339"/>
        <v>STW</v>
      </c>
      <c r="C568" s="92"/>
      <c r="D568" s="451"/>
      <c r="E568" s="451"/>
      <c r="F568" s="409" t="s">
        <v>4386</v>
      </c>
      <c r="G568" s="384"/>
      <c r="H568" s="398">
        <v>1</v>
      </c>
      <c r="I568" s="151"/>
      <c r="J568" s="95"/>
      <c r="K568" s="191">
        <v>-25834293.292543728</v>
      </c>
      <c r="L568" s="269">
        <v>1</v>
      </c>
      <c r="M568" s="267">
        <v>1</v>
      </c>
      <c r="N568" s="267">
        <f t="shared" si="340"/>
        <v>0</v>
      </c>
      <c r="O568" s="96">
        <f t="shared" si="371"/>
        <v>0</v>
      </c>
      <c r="P568" s="96">
        <f t="shared" si="372"/>
        <v>-25834293.292543728</v>
      </c>
      <c r="Q568" s="96">
        <f t="shared" si="373"/>
        <v>0</v>
      </c>
      <c r="R568" s="187"/>
      <c r="S568" s="187"/>
      <c r="T568" s="94" t="s">
        <v>5420</v>
      </c>
      <c r="U568" s="395">
        <f>COUNTIF(Aggregation_of_rev_to_allocate!$A$3:$A$137,$T568)</f>
        <v>0</v>
      </c>
      <c r="V568" s="100"/>
      <c r="W568" s="100"/>
      <c r="X568" s="109">
        <v>1E-3</v>
      </c>
      <c r="Y568" s="109">
        <v>0</v>
      </c>
      <c r="Z568" s="110">
        <v>1</v>
      </c>
      <c r="AA568" s="110">
        <v>1</v>
      </c>
      <c r="AB568" s="110">
        <v>0</v>
      </c>
      <c r="AC568" s="109">
        <f>IF(ISERROR((X568*SUMIF('Rev_for_allocation(Hard)'!$A$3:$A$249,$T568,'Rev_for_allocation(Hard)'!$I$3:$I$249)/SUMIF(Historic_capex_list!$T$9:$T$586,$T568,Historic_capex_list!$X$9:$X$586))=TRUE),0,X568*SUMIF('Rev_for_allocation(Hard)'!$A$3:$A$249,$T568,'Rev_for_allocation(Hard)'!$I$3:$I$249)/SUMIF(Historic_capex_list!$T$9:$T$586,$T568,Historic_capex_list!$X$9:$X$586))</f>
        <v>0</v>
      </c>
      <c r="AD568" s="109">
        <f t="shared" si="374"/>
        <v>1E-3</v>
      </c>
      <c r="AE568" s="109">
        <f t="shared" si="375"/>
        <v>1E-3</v>
      </c>
      <c r="AF568" s="109">
        <f t="shared" si="376"/>
        <v>1E-3</v>
      </c>
      <c r="AG568" s="109"/>
      <c r="AH568" s="109"/>
      <c r="AI568" s="109"/>
      <c r="AJ568" s="109"/>
      <c r="AK568" s="109"/>
      <c r="AL568" s="109"/>
      <c r="AM568" s="111">
        <f t="shared" si="377"/>
        <v>0</v>
      </c>
      <c r="AN568" s="111">
        <f t="shared" si="378"/>
        <v>0</v>
      </c>
      <c r="AO568" s="111" t="str">
        <f t="shared" si="379"/>
        <v>Use deduct 3yrs</v>
      </c>
      <c r="AP568" s="111">
        <f t="shared" si="380"/>
        <v>0</v>
      </c>
      <c r="AQ568" s="112">
        <f t="shared" si="381"/>
        <v>0</v>
      </c>
      <c r="AR568" s="112">
        <f t="shared" si="382"/>
        <v>1</v>
      </c>
      <c r="AS568" s="113">
        <f t="shared" si="383"/>
        <v>2028</v>
      </c>
      <c r="AT568" s="109">
        <v>-25834293.292543728</v>
      </c>
      <c r="AU568" s="114">
        <v>1</v>
      </c>
      <c r="AV568" s="113">
        <v>2028</v>
      </c>
      <c r="AW568" s="112">
        <v>1</v>
      </c>
      <c r="AX568" s="109">
        <f t="shared" si="359"/>
        <v>-25834293.292543728</v>
      </c>
      <c r="AY568" s="109">
        <f t="shared" si="360"/>
        <v>0</v>
      </c>
      <c r="AZ568" s="109">
        <f t="shared" si="384"/>
        <v>1E-3</v>
      </c>
      <c r="BA568" s="111">
        <f t="shared" si="385"/>
        <v>25834293.293543726</v>
      </c>
      <c r="BB568" s="117"/>
      <c r="BC568" s="115" t="str">
        <f t="shared" si="386"/>
        <v>Y</v>
      </c>
      <c r="BD568" s="115" t="str">
        <f t="shared" si="387"/>
        <v>Y</v>
      </c>
      <c r="BE568" s="115" t="str">
        <f t="shared" si="388"/>
        <v>Y</v>
      </c>
      <c r="BF568" s="109">
        <f t="shared" si="389"/>
        <v>-25834293.292543728</v>
      </c>
      <c r="BG568" s="111" t="s">
        <v>2499</v>
      </c>
      <c r="BH568" s="115" t="s">
        <v>1168</v>
      </c>
      <c r="BI568" s="116"/>
      <c r="BJ568" s="222">
        <v>1</v>
      </c>
      <c r="BK568" s="265">
        <f t="shared" si="390"/>
        <v>0</v>
      </c>
      <c r="BL568" s="265">
        <f t="shared" si="349"/>
        <v>0</v>
      </c>
      <c r="BM568" s="265">
        <f t="shared" si="391"/>
        <v>0</v>
      </c>
      <c r="BN568" s="265">
        <f t="shared" si="392"/>
        <v>25834293.293543726</v>
      </c>
      <c r="BO568" s="109"/>
      <c r="BP568" s="265">
        <f t="shared" si="350"/>
        <v>25834293.293543726</v>
      </c>
      <c r="BQ568" s="265">
        <v>25834293.293543726</v>
      </c>
      <c r="BR568" s="265" t="e">
        <f t="shared" si="351"/>
        <v>#REF!</v>
      </c>
      <c r="BS568" s="207">
        <v>2910471.7525625969</v>
      </c>
      <c r="BT568" s="475">
        <v>0</v>
      </c>
      <c r="BU568" s="475">
        <v>-25834293.292543728</v>
      </c>
      <c r="BV568" s="475">
        <v>0</v>
      </c>
      <c r="BW568" s="483">
        <f t="shared" si="352"/>
        <v>0</v>
      </c>
      <c r="BX568" s="483">
        <f t="shared" si="353"/>
        <v>0</v>
      </c>
    </row>
    <row r="569" spans="1:76" ht="14.5">
      <c r="A569" s="99"/>
      <c r="B569" s="91" t="str">
        <f t="shared" si="339"/>
        <v>STW</v>
      </c>
      <c r="C569" s="92"/>
      <c r="D569" s="451"/>
      <c r="E569" s="451"/>
      <c r="F569" s="409" t="s">
        <v>4386</v>
      </c>
      <c r="G569" s="384"/>
      <c r="H569" s="398">
        <v>1</v>
      </c>
      <c r="I569" s="151"/>
      <c r="J569" s="95"/>
      <c r="K569" s="191">
        <v>-1402573.888936921</v>
      </c>
      <c r="L569" s="269">
        <v>1</v>
      </c>
      <c r="M569" s="267">
        <v>1</v>
      </c>
      <c r="N569" s="267">
        <f t="shared" si="340"/>
        <v>0</v>
      </c>
      <c r="O569" s="96">
        <f t="shared" si="371"/>
        <v>0</v>
      </c>
      <c r="P569" s="96">
        <f t="shared" si="372"/>
        <v>-1402573.888936921</v>
      </c>
      <c r="Q569" s="96">
        <f t="shared" si="373"/>
        <v>0</v>
      </c>
      <c r="R569" s="187"/>
      <c r="S569" s="187"/>
      <c r="T569" s="94" t="s">
        <v>5421</v>
      </c>
      <c r="U569" s="395">
        <f>COUNTIF(Aggregation_of_rev_to_allocate!$A$3:$A$137,$T569)</f>
        <v>0</v>
      </c>
      <c r="V569" s="100"/>
      <c r="W569" s="100"/>
      <c r="X569" s="109">
        <v>1E-3</v>
      </c>
      <c r="Y569" s="109">
        <v>0</v>
      </c>
      <c r="Z569" s="110">
        <v>1</v>
      </c>
      <c r="AA569" s="110">
        <v>1</v>
      </c>
      <c r="AB569" s="110">
        <v>0</v>
      </c>
      <c r="AC569" s="109">
        <f>IF(ISERROR((X569*SUMIF('Rev_for_allocation(Hard)'!$A$3:$A$249,$T569,'Rev_for_allocation(Hard)'!$I$3:$I$249)/SUMIF(Historic_capex_list!$T$9:$T$586,$T569,Historic_capex_list!$X$9:$X$586))=TRUE),0,X569*SUMIF('Rev_for_allocation(Hard)'!$A$3:$A$249,$T569,'Rev_for_allocation(Hard)'!$I$3:$I$249)/SUMIF(Historic_capex_list!$T$9:$T$586,$T569,Historic_capex_list!$X$9:$X$586))</f>
        <v>0</v>
      </c>
      <c r="AD569" s="109">
        <f t="shared" si="374"/>
        <v>1E-3</v>
      </c>
      <c r="AE569" s="109">
        <f t="shared" si="375"/>
        <v>1E-3</v>
      </c>
      <c r="AF569" s="109">
        <f t="shared" si="376"/>
        <v>1E-3</v>
      </c>
      <c r="AG569" s="109"/>
      <c r="AH569" s="109"/>
      <c r="AI569" s="109"/>
      <c r="AJ569" s="109"/>
      <c r="AK569" s="109"/>
      <c r="AL569" s="109"/>
      <c r="AM569" s="111">
        <f t="shared" si="377"/>
        <v>0</v>
      </c>
      <c r="AN569" s="111">
        <f t="shared" si="378"/>
        <v>0</v>
      </c>
      <c r="AO569" s="111" t="str">
        <f t="shared" si="379"/>
        <v>Use deduct 3yrs</v>
      </c>
      <c r="AP569" s="111">
        <f t="shared" si="380"/>
        <v>0</v>
      </c>
      <c r="AQ569" s="112">
        <f t="shared" si="381"/>
        <v>0</v>
      </c>
      <c r="AR569" s="112">
        <f t="shared" si="382"/>
        <v>1</v>
      </c>
      <c r="AS569" s="113">
        <f t="shared" si="383"/>
        <v>2028</v>
      </c>
      <c r="AT569" s="109">
        <v>-1402573.888936921</v>
      </c>
      <c r="AU569" s="114">
        <v>1</v>
      </c>
      <c r="AV569" s="113">
        <v>2028</v>
      </c>
      <c r="AW569" s="112">
        <v>1</v>
      </c>
      <c r="AX569" s="109">
        <f t="shared" si="359"/>
        <v>-1402573.888936921</v>
      </c>
      <c r="AY569" s="109">
        <f t="shared" si="360"/>
        <v>0</v>
      </c>
      <c r="AZ569" s="109">
        <f t="shared" si="384"/>
        <v>1E-3</v>
      </c>
      <c r="BA569" s="111">
        <f t="shared" si="385"/>
        <v>1402573.889936921</v>
      </c>
      <c r="BB569" s="117"/>
      <c r="BC569" s="115" t="str">
        <f t="shared" si="386"/>
        <v>Y</v>
      </c>
      <c r="BD569" s="115" t="str">
        <f t="shared" si="387"/>
        <v>Y</v>
      </c>
      <c r="BE569" s="115" t="str">
        <f t="shared" si="388"/>
        <v>Y</v>
      </c>
      <c r="BF569" s="109">
        <f t="shared" si="389"/>
        <v>-1402573.888936921</v>
      </c>
      <c r="BG569" s="111" t="s">
        <v>2499</v>
      </c>
      <c r="BH569" s="115" t="s">
        <v>1168</v>
      </c>
      <c r="BI569" s="116"/>
      <c r="BJ569" s="222">
        <v>1</v>
      </c>
      <c r="BK569" s="265">
        <f t="shared" si="390"/>
        <v>0</v>
      </c>
      <c r="BL569" s="265">
        <f t="shared" si="349"/>
        <v>0</v>
      </c>
      <c r="BM569" s="265">
        <f t="shared" si="391"/>
        <v>0</v>
      </c>
      <c r="BN569" s="265">
        <f t="shared" si="392"/>
        <v>1402573.889936921</v>
      </c>
      <c r="BO569" s="109"/>
      <c r="BP569" s="265">
        <f t="shared" si="350"/>
        <v>1402573.889936921</v>
      </c>
      <c r="BQ569" s="265">
        <v>1402573.889936921</v>
      </c>
      <c r="BR569" s="265" t="e">
        <f t="shared" si="351"/>
        <v>#REF!</v>
      </c>
      <c r="BS569" s="207">
        <v>158012.90328167885</v>
      </c>
      <c r="BT569" s="475">
        <v>0</v>
      </c>
      <c r="BU569" s="475">
        <v>-1402573.888936921</v>
      </c>
      <c r="BV569" s="475">
        <v>0</v>
      </c>
      <c r="BW569" s="483">
        <f t="shared" si="352"/>
        <v>0</v>
      </c>
      <c r="BX569" s="483">
        <f t="shared" si="353"/>
        <v>0</v>
      </c>
    </row>
    <row r="570" spans="1:76" ht="14.5">
      <c r="A570" s="99"/>
      <c r="B570" s="91" t="str">
        <f t="shared" ref="B570:B586" si="393">LEFT(T570,3)</f>
        <v>STW</v>
      </c>
      <c r="C570" s="92"/>
      <c r="D570" s="451"/>
      <c r="E570" s="451"/>
      <c r="F570" s="409" t="s">
        <v>4386</v>
      </c>
      <c r="G570" s="384"/>
      <c r="H570" s="398">
        <v>1</v>
      </c>
      <c r="I570" s="151"/>
      <c r="J570" s="95"/>
      <c r="K570" s="191">
        <v>-773492.13477328804</v>
      </c>
      <c r="L570" s="269">
        <v>1</v>
      </c>
      <c r="M570" s="267">
        <v>1</v>
      </c>
      <c r="N570" s="267">
        <f t="shared" ref="N570:N586" si="394">100%-M570</f>
        <v>0</v>
      </c>
      <c r="O570" s="96">
        <f t="shared" si="371"/>
        <v>0</v>
      </c>
      <c r="P570" s="96">
        <f t="shared" si="372"/>
        <v>-773492.13477328804</v>
      </c>
      <c r="Q570" s="96">
        <f t="shared" si="373"/>
        <v>0</v>
      </c>
      <c r="R570" s="187"/>
      <c r="S570" s="187"/>
      <c r="T570" s="94" t="s">
        <v>5422</v>
      </c>
      <c r="U570" s="395">
        <f>COUNTIF(Aggregation_of_rev_to_allocate!$A$3:$A$137,$T570)</f>
        <v>0</v>
      </c>
      <c r="V570" s="100"/>
      <c r="W570" s="100"/>
      <c r="X570" s="109">
        <v>1E-3</v>
      </c>
      <c r="Y570" s="109">
        <v>0</v>
      </c>
      <c r="Z570" s="110">
        <v>1</v>
      </c>
      <c r="AA570" s="110">
        <v>1</v>
      </c>
      <c r="AB570" s="110">
        <v>0</v>
      </c>
      <c r="AC570" s="109">
        <f>IF(ISERROR((X570*SUMIF('Rev_for_allocation(Hard)'!$A$3:$A$249,$T570,'Rev_for_allocation(Hard)'!$I$3:$I$249)/SUMIF(Historic_capex_list!$T$9:$T$586,$T570,Historic_capex_list!$X$9:$X$586))=TRUE),0,X570*SUMIF('Rev_for_allocation(Hard)'!$A$3:$A$249,$T570,'Rev_for_allocation(Hard)'!$I$3:$I$249)/SUMIF(Historic_capex_list!$T$9:$T$586,$T570,Historic_capex_list!$X$9:$X$586))</f>
        <v>0</v>
      </c>
      <c r="AD570" s="109">
        <f t="shared" si="374"/>
        <v>1E-3</v>
      </c>
      <c r="AE570" s="109">
        <f t="shared" si="375"/>
        <v>1E-3</v>
      </c>
      <c r="AF570" s="109">
        <f t="shared" si="376"/>
        <v>1E-3</v>
      </c>
      <c r="AG570" s="109"/>
      <c r="AH570" s="109"/>
      <c r="AI570" s="109"/>
      <c r="AJ570" s="109"/>
      <c r="AK570" s="109"/>
      <c r="AL570" s="109"/>
      <c r="AM570" s="111">
        <f t="shared" si="377"/>
        <v>0</v>
      </c>
      <c r="AN570" s="111">
        <f t="shared" si="378"/>
        <v>0</v>
      </c>
      <c r="AO570" s="111" t="str">
        <f t="shared" si="379"/>
        <v>Use deduct 3yrs</v>
      </c>
      <c r="AP570" s="111">
        <f t="shared" si="380"/>
        <v>0</v>
      </c>
      <c r="AQ570" s="112">
        <f t="shared" si="381"/>
        <v>0</v>
      </c>
      <c r="AR570" s="112">
        <f t="shared" si="382"/>
        <v>1</v>
      </c>
      <c r="AS570" s="113">
        <f t="shared" si="383"/>
        <v>2028</v>
      </c>
      <c r="AT570" s="109">
        <v>-173492.13477328757</v>
      </c>
      <c r="AU570" s="114">
        <v>1</v>
      </c>
      <c r="AV570" s="113">
        <v>2028</v>
      </c>
      <c r="AW570" s="112">
        <v>1</v>
      </c>
      <c r="AX570" s="109">
        <f t="shared" si="359"/>
        <v>-773492.13477328804</v>
      </c>
      <c r="AY570" s="109">
        <f t="shared" si="360"/>
        <v>0</v>
      </c>
      <c r="AZ570" s="109">
        <f t="shared" si="384"/>
        <v>1E-3</v>
      </c>
      <c r="BA570" s="111">
        <f t="shared" si="385"/>
        <v>173492.13577328756</v>
      </c>
      <c r="BB570" s="117"/>
      <c r="BC570" s="115" t="str">
        <f t="shared" si="386"/>
        <v>Y</v>
      </c>
      <c r="BD570" s="115" t="str">
        <f t="shared" si="387"/>
        <v>Y</v>
      </c>
      <c r="BE570" s="115" t="str">
        <f t="shared" si="388"/>
        <v>Y</v>
      </c>
      <c r="BF570" s="109">
        <f t="shared" si="389"/>
        <v>-773492.13477328804</v>
      </c>
      <c r="BG570" s="111" t="s">
        <v>2499</v>
      </c>
      <c r="BH570" s="115" t="s">
        <v>1168</v>
      </c>
      <c r="BI570" s="116"/>
      <c r="BJ570" s="222">
        <v>1</v>
      </c>
      <c r="BK570" s="265">
        <f t="shared" si="390"/>
        <v>0</v>
      </c>
      <c r="BL570" s="265">
        <f t="shared" si="349"/>
        <v>0</v>
      </c>
      <c r="BM570" s="265">
        <f t="shared" si="391"/>
        <v>0</v>
      </c>
      <c r="BN570" s="265">
        <f t="shared" si="392"/>
        <v>773492.13577328809</v>
      </c>
      <c r="BO570" s="109"/>
      <c r="BP570" s="265">
        <f t="shared" si="350"/>
        <v>173492.13577328756</v>
      </c>
      <c r="BQ570" s="265">
        <v>173492.13577328756</v>
      </c>
      <c r="BR570" s="265" t="e">
        <f t="shared" si="351"/>
        <v>#REF!</v>
      </c>
      <c r="BS570" s="207">
        <v>19545.491518674495</v>
      </c>
      <c r="BT570" s="475">
        <v>0</v>
      </c>
      <c r="BU570" s="475">
        <v>-773492.13477328804</v>
      </c>
      <c r="BV570" s="475">
        <v>0</v>
      </c>
      <c r="BW570" s="483">
        <f t="shared" si="352"/>
        <v>0</v>
      </c>
      <c r="BX570" s="483">
        <f t="shared" si="353"/>
        <v>0</v>
      </c>
    </row>
    <row r="571" spans="1:76" ht="14.5">
      <c r="A571" s="99"/>
      <c r="B571" s="91" t="str">
        <f t="shared" si="393"/>
        <v>TRA</v>
      </c>
      <c r="C571" s="92"/>
      <c r="D571" s="451"/>
      <c r="E571" s="451"/>
      <c r="F571" s="409" t="s">
        <v>4386</v>
      </c>
      <c r="G571" s="384"/>
      <c r="H571" s="398">
        <v>1</v>
      </c>
      <c r="I571" s="151"/>
      <c r="J571" s="95"/>
      <c r="K571" s="191">
        <v>-14374798.92870611</v>
      </c>
      <c r="L571" s="269">
        <v>1</v>
      </c>
      <c r="M571" s="267">
        <v>1</v>
      </c>
      <c r="N571" s="267">
        <f t="shared" si="394"/>
        <v>0</v>
      </c>
      <c r="O571" s="96">
        <f t="shared" si="371"/>
        <v>0</v>
      </c>
      <c r="P571" s="96">
        <f t="shared" si="372"/>
        <v>-14374798.92870611</v>
      </c>
      <c r="Q571" s="96">
        <f t="shared" si="373"/>
        <v>0</v>
      </c>
      <c r="R571" s="187"/>
      <c r="S571" s="187"/>
      <c r="T571" s="94" t="s">
        <v>2778</v>
      </c>
      <c r="U571" s="395">
        <f>COUNTIF(Aggregation_of_rev_to_allocate!$A$3:$A$137,$T571)</f>
        <v>1</v>
      </c>
      <c r="V571" s="100"/>
      <c r="W571" s="100"/>
      <c r="X571" s="109">
        <v>1E-3</v>
      </c>
      <c r="Y571" s="109">
        <v>0</v>
      </c>
      <c r="Z571" s="110">
        <v>1</v>
      </c>
      <c r="AA571" s="110">
        <v>1</v>
      </c>
      <c r="AB571" s="110">
        <v>0</v>
      </c>
      <c r="AC571" s="109">
        <f>IF(ISERROR((X571*SUMIF('Rev_for_allocation(Hard)'!$A$3:$A$249,$T571,'Rev_for_allocation(Hard)'!$I$3:$I$249)/SUMIF(Historic_capex_list!$T$9:$T$586,$T571,Historic_capex_list!$X$9:$X$586))=TRUE),0,X571*SUMIF('Rev_for_allocation(Hard)'!$A$3:$A$249,$T571,'Rev_for_allocation(Hard)'!$I$3:$I$249)/SUMIF(Historic_capex_list!$T$9:$T$586,$T571,Historic_capex_list!$X$9:$X$586))</f>
        <v>-25906229.418501295</v>
      </c>
      <c r="AD571" s="109">
        <f t="shared" si="374"/>
        <v>-25906229.417501297</v>
      </c>
      <c r="AE571" s="109">
        <f t="shared" si="375"/>
        <v>-40281028.347207405</v>
      </c>
      <c r="AF571" s="109">
        <f t="shared" si="376"/>
        <v>-25906229.417501297</v>
      </c>
      <c r="AG571" s="109"/>
      <c r="AH571" s="109"/>
      <c r="AI571" s="109"/>
      <c r="AJ571" s="109"/>
      <c r="AK571" s="109"/>
      <c r="AL571" s="109"/>
      <c r="AM571" s="111">
        <f t="shared" si="377"/>
        <v>0</v>
      </c>
      <c r="AN571" s="111">
        <f t="shared" si="378"/>
        <v>0</v>
      </c>
      <c r="AO571" s="111">
        <f t="shared" si="379"/>
        <v>16.431372405689171</v>
      </c>
      <c r="AP571" s="111">
        <f t="shared" si="380"/>
        <v>0</v>
      </c>
      <c r="AQ571" s="112">
        <f t="shared" si="381"/>
        <v>0</v>
      </c>
      <c r="AR571" s="112">
        <f t="shared" si="382"/>
        <v>1</v>
      </c>
      <c r="AS571" s="113">
        <f t="shared" si="383"/>
        <v>2028</v>
      </c>
      <c r="AT571" s="109">
        <v>-14374798.92870611</v>
      </c>
      <c r="AU571" s="114">
        <v>1</v>
      </c>
      <c r="AV571" s="113">
        <v>2028</v>
      </c>
      <c r="AW571" s="112">
        <v>1</v>
      </c>
      <c r="AX571" s="109">
        <f t="shared" si="359"/>
        <v>-14374798.92870611</v>
      </c>
      <c r="AY571" s="109">
        <f t="shared" si="360"/>
        <v>0</v>
      </c>
      <c r="AZ571" s="109">
        <f t="shared" si="384"/>
        <v>-25906229.417501297</v>
      </c>
      <c r="BA571" s="111">
        <f t="shared" si="385"/>
        <v>-11531430.488795187</v>
      </c>
      <c r="BB571" s="117"/>
      <c r="BC571" s="115" t="str">
        <f t="shared" si="386"/>
        <v>Y</v>
      </c>
      <c r="BD571" s="115" t="str">
        <f t="shared" si="387"/>
        <v>Y</v>
      </c>
      <c r="BE571" s="115" t="str">
        <f t="shared" si="388"/>
        <v>Y</v>
      </c>
      <c r="BF571" s="109">
        <f t="shared" si="389"/>
        <v>-14374798.92870611</v>
      </c>
      <c r="BG571" s="111" t="s">
        <v>2499</v>
      </c>
      <c r="BH571" s="115" t="s">
        <v>1168</v>
      </c>
      <c r="BI571" s="116"/>
      <c r="BJ571" s="222">
        <v>1</v>
      </c>
      <c r="BK571" s="265">
        <f t="shared" si="390"/>
        <v>0</v>
      </c>
      <c r="BL571" s="265">
        <f t="shared" ref="BL571:BL586" si="395">+Q571-AY571</f>
        <v>0</v>
      </c>
      <c r="BM571" s="265">
        <f t="shared" si="391"/>
        <v>0</v>
      </c>
      <c r="BN571" s="265">
        <f t="shared" si="392"/>
        <v>14374798.92970611</v>
      </c>
      <c r="BO571" s="109"/>
      <c r="BP571" s="265">
        <f t="shared" ref="BP571:BP586" si="396">+X571+Y571-AT571</f>
        <v>14374798.92970611</v>
      </c>
      <c r="BQ571" s="265">
        <v>14374798.92970611</v>
      </c>
      <c r="BR571" s="265" t="e">
        <f t="shared" ref="BR571:BR586" si="397">+BQ571*$BR$7</f>
        <v>#REF!</v>
      </c>
      <c r="BS571" s="207">
        <v>1619453.8692541795</v>
      </c>
      <c r="BT571" s="475">
        <v>0</v>
      </c>
      <c r="BU571" s="475">
        <v>-14374798.92870611</v>
      </c>
      <c r="BV571" s="475">
        <v>0</v>
      </c>
      <c r="BW571" s="483">
        <f t="shared" si="352"/>
        <v>0</v>
      </c>
      <c r="BX571" s="483">
        <f t="shared" si="353"/>
        <v>0</v>
      </c>
    </row>
    <row r="572" spans="1:76" ht="14.5">
      <c r="A572" s="99"/>
      <c r="B572" s="91" t="str">
        <f t="shared" si="393"/>
        <v xml:space="preserve">CI </v>
      </c>
      <c r="C572" s="92"/>
      <c r="D572" s="451"/>
      <c r="E572" s="451"/>
      <c r="F572" s="409" t="s">
        <v>4386</v>
      </c>
      <c r="G572" s="384"/>
      <c r="H572" s="398">
        <v>1</v>
      </c>
      <c r="I572" s="151"/>
      <c r="J572" s="95"/>
      <c r="K572" s="191">
        <v>-5900000</v>
      </c>
      <c r="L572" s="269">
        <v>1</v>
      </c>
      <c r="M572" s="267">
        <v>1</v>
      </c>
      <c r="N572" s="267">
        <f t="shared" si="394"/>
        <v>0</v>
      </c>
      <c r="O572" s="96">
        <f t="shared" si="371"/>
        <v>0</v>
      </c>
      <c r="P572" s="96">
        <f t="shared" si="372"/>
        <v>-5900000</v>
      </c>
      <c r="Q572" s="96">
        <f t="shared" si="373"/>
        <v>0</v>
      </c>
      <c r="R572" s="187"/>
      <c r="S572" s="187"/>
      <c r="T572" s="94" t="s">
        <v>2859</v>
      </c>
      <c r="U572" s="395">
        <f>COUNTIF(Aggregation_of_rev_to_allocate!$A$3:$A$137,$T572)</f>
        <v>1</v>
      </c>
      <c r="V572" s="100"/>
      <c r="W572" s="100"/>
      <c r="X572" s="109">
        <v>1E-3</v>
      </c>
      <c r="Y572" s="109">
        <v>0</v>
      </c>
      <c r="Z572" s="110">
        <v>1</v>
      </c>
      <c r="AA572" s="110">
        <v>1</v>
      </c>
      <c r="AB572" s="110">
        <v>0</v>
      </c>
      <c r="AC572" s="109">
        <f>IF(ISERROR((X572*SUMIF('Rev_for_allocation(Hard)'!$A$3:$A$249,$T572,'Rev_for_allocation(Hard)'!$I$3:$I$249)/SUMIF(Historic_capex_list!$T$9:$T$586,$T572,Historic_capex_list!$X$9:$X$586))=TRUE),0,X572*SUMIF('Rev_for_allocation(Hard)'!$A$3:$A$249,$T572,'Rev_for_allocation(Hard)'!$I$3:$I$249)/SUMIF(Historic_capex_list!$T$9:$T$586,$T572,Historic_capex_list!$X$9:$X$586))</f>
        <v>7.4729425307822244E-12</v>
      </c>
      <c r="AD572" s="109">
        <f t="shared" si="374"/>
        <v>1.0000000074729426E-3</v>
      </c>
      <c r="AE572" s="109">
        <f t="shared" si="375"/>
        <v>1.0000000074729426E-3</v>
      </c>
      <c r="AF572" s="109">
        <f t="shared" si="376"/>
        <v>1.0000000074729426E-3</v>
      </c>
      <c r="AG572" s="109"/>
      <c r="AH572" s="109"/>
      <c r="AI572" s="109"/>
      <c r="AJ572" s="109"/>
      <c r="AK572" s="109"/>
      <c r="AL572" s="109"/>
      <c r="AM572" s="111">
        <f t="shared" si="377"/>
        <v>0</v>
      </c>
      <c r="AN572" s="111">
        <f t="shared" si="378"/>
        <v>0</v>
      </c>
      <c r="AO572" s="111" t="str">
        <f t="shared" si="379"/>
        <v>Use deduct 3yrs</v>
      </c>
      <c r="AP572" s="111">
        <f t="shared" si="380"/>
        <v>0</v>
      </c>
      <c r="AQ572" s="112">
        <f t="shared" si="381"/>
        <v>0</v>
      </c>
      <c r="AR572" s="112">
        <f t="shared" si="382"/>
        <v>1</v>
      </c>
      <c r="AS572" s="113">
        <f t="shared" si="383"/>
        <v>2028</v>
      </c>
      <c r="AT572" s="109">
        <v>0</v>
      </c>
      <c r="AU572" s="114">
        <v>1</v>
      </c>
      <c r="AV572" s="113">
        <v>2028</v>
      </c>
      <c r="AW572" s="112">
        <v>1</v>
      </c>
      <c r="AX572" s="109">
        <f t="shared" si="359"/>
        <v>-5900000</v>
      </c>
      <c r="AY572" s="109">
        <f t="shared" si="360"/>
        <v>0</v>
      </c>
      <c r="AZ572" s="109">
        <f t="shared" si="384"/>
        <v>1.0000000074729426E-3</v>
      </c>
      <c r="BA572" s="111">
        <f t="shared" si="385"/>
        <v>1.0000000074729426E-3</v>
      </c>
      <c r="BB572" s="117"/>
      <c r="BC572" s="115" t="str">
        <f t="shared" si="386"/>
        <v>Y</v>
      </c>
      <c r="BD572" s="115" t="str">
        <f t="shared" si="387"/>
        <v>Y</v>
      </c>
      <c r="BE572" s="115" t="str">
        <f t="shared" si="388"/>
        <v>Y</v>
      </c>
      <c r="BF572" s="109">
        <f t="shared" si="389"/>
        <v>-5900000</v>
      </c>
      <c r="BG572" s="111" t="s">
        <v>2499</v>
      </c>
      <c r="BH572" s="115" t="s">
        <v>1168</v>
      </c>
      <c r="BI572" s="116"/>
      <c r="BJ572" s="222">
        <v>1</v>
      </c>
      <c r="BK572" s="265">
        <f t="shared" si="390"/>
        <v>0</v>
      </c>
      <c r="BL572" s="265">
        <f t="shared" si="395"/>
        <v>0</v>
      </c>
      <c r="BM572" s="265">
        <f t="shared" si="391"/>
        <v>0</v>
      </c>
      <c r="BN572" s="265">
        <f t="shared" si="392"/>
        <v>5900000.0010000002</v>
      </c>
      <c r="BO572" s="109"/>
      <c r="BP572" s="265">
        <f t="shared" si="396"/>
        <v>1E-3</v>
      </c>
      <c r="BQ572" s="265">
        <v>1E-3</v>
      </c>
      <c r="BR572" s="265" t="e">
        <f t="shared" si="397"/>
        <v>#REF!</v>
      </c>
      <c r="BS572" s="207">
        <v>1.1265923629077774E-4</v>
      </c>
      <c r="BT572" s="475">
        <v>0</v>
      </c>
      <c r="BU572" s="475">
        <v>-5900000</v>
      </c>
      <c r="BV572" s="475">
        <v>0</v>
      </c>
      <c r="BW572" s="483">
        <f t="shared" si="352"/>
        <v>0</v>
      </c>
      <c r="BX572" s="483">
        <f t="shared" si="353"/>
        <v>0</v>
      </c>
    </row>
    <row r="573" spans="1:76" ht="14.5">
      <c r="A573" s="99"/>
      <c r="B573" s="91" t="str">
        <f t="shared" si="393"/>
        <v>STW</v>
      </c>
      <c r="C573" s="92"/>
      <c r="D573" s="451"/>
      <c r="E573" s="451"/>
      <c r="F573" s="409" t="s">
        <v>4386</v>
      </c>
      <c r="G573" s="384"/>
      <c r="H573" s="398">
        <v>1</v>
      </c>
      <c r="I573" s="151"/>
      <c r="J573" s="95"/>
      <c r="K573" s="191">
        <v>-42529</v>
      </c>
      <c r="L573" s="269">
        <v>1</v>
      </c>
      <c r="M573" s="267">
        <v>1</v>
      </c>
      <c r="N573" s="267">
        <f t="shared" si="394"/>
        <v>0</v>
      </c>
      <c r="O573" s="96">
        <f t="shared" si="371"/>
        <v>0</v>
      </c>
      <c r="P573" s="96">
        <f t="shared" si="372"/>
        <v>-42529</v>
      </c>
      <c r="Q573" s="96">
        <f t="shared" si="373"/>
        <v>0</v>
      </c>
      <c r="R573" s="187"/>
      <c r="S573" s="187"/>
      <c r="T573" s="94" t="s">
        <v>5411</v>
      </c>
      <c r="U573" s="395">
        <f>COUNTIF(Aggregation_of_rev_to_allocate!$A$3:$A$137,$T573)</f>
        <v>0</v>
      </c>
      <c r="V573" s="100"/>
      <c r="W573" s="100"/>
      <c r="X573" s="109">
        <v>1E-3</v>
      </c>
      <c r="Y573" s="109">
        <v>0</v>
      </c>
      <c r="Z573" s="110">
        <v>1</v>
      </c>
      <c r="AA573" s="110">
        <v>1</v>
      </c>
      <c r="AB573" s="110">
        <v>0</v>
      </c>
      <c r="AC573" s="109">
        <f>IF(ISERROR((X573*SUMIF('Rev_for_allocation(Hard)'!$A$3:$A$249,$T573,'Rev_for_allocation(Hard)'!$I$3:$I$249)/SUMIF(Historic_capex_list!$T$9:$T$586,$T573,Historic_capex_list!$X$9:$X$586))=TRUE),0,X573*SUMIF('Rev_for_allocation(Hard)'!$A$3:$A$249,$T573,'Rev_for_allocation(Hard)'!$I$3:$I$249)/SUMIF(Historic_capex_list!$T$9:$T$586,$T573,Historic_capex_list!$X$9:$X$586))</f>
        <v>0</v>
      </c>
      <c r="AD573" s="109">
        <f t="shared" si="374"/>
        <v>1E-3</v>
      </c>
      <c r="AE573" s="109">
        <f t="shared" si="375"/>
        <v>1E-3</v>
      </c>
      <c r="AF573" s="109">
        <f t="shared" si="376"/>
        <v>1E-3</v>
      </c>
      <c r="AG573" s="109"/>
      <c r="AH573" s="109"/>
      <c r="AI573" s="109"/>
      <c r="AJ573" s="109"/>
      <c r="AK573" s="109"/>
      <c r="AL573" s="109"/>
      <c r="AM573" s="111">
        <f t="shared" si="377"/>
        <v>0</v>
      </c>
      <c r="AN573" s="111">
        <f t="shared" si="378"/>
        <v>0</v>
      </c>
      <c r="AO573" s="111" t="str">
        <f t="shared" si="379"/>
        <v>Use deduct 3yrs</v>
      </c>
      <c r="AP573" s="111">
        <f t="shared" si="380"/>
        <v>0</v>
      </c>
      <c r="AQ573" s="112">
        <f t="shared" si="381"/>
        <v>0</v>
      </c>
      <c r="AR573" s="112">
        <f t="shared" si="382"/>
        <v>1</v>
      </c>
      <c r="AS573" s="113">
        <f t="shared" si="383"/>
        <v>2028</v>
      </c>
      <c r="AT573" s="109">
        <v>0</v>
      </c>
      <c r="AU573" s="114">
        <v>1</v>
      </c>
      <c r="AV573" s="113">
        <v>2028</v>
      </c>
      <c r="AW573" s="112">
        <v>1</v>
      </c>
      <c r="AX573" s="109">
        <f t="shared" si="359"/>
        <v>-42529</v>
      </c>
      <c r="AY573" s="109">
        <f t="shared" si="360"/>
        <v>0</v>
      </c>
      <c r="AZ573" s="109">
        <f t="shared" si="384"/>
        <v>1E-3</v>
      </c>
      <c r="BA573" s="111">
        <f t="shared" si="385"/>
        <v>1E-3</v>
      </c>
      <c r="BB573" s="117"/>
      <c r="BC573" s="115" t="str">
        <f t="shared" si="386"/>
        <v>Y</v>
      </c>
      <c r="BD573" s="115" t="str">
        <f t="shared" si="387"/>
        <v>Y</v>
      </c>
      <c r="BE573" s="115" t="str">
        <f t="shared" si="388"/>
        <v>Y</v>
      </c>
      <c r="BF573" s="109">
        <f t="shared" si="389"/>
        <v>-42529</v>
      </c>
      <c r="BG573" s="111" t="s">
        <v>2499</v>
      </c>
      <c r="BH573" s="115" t="s">
        <v>1168</v>
      </c>
      <c r="BI573" s="116"/>
      <c r="BJ573" s="222">
        <v>1</v>
      </c>
      <c r="BK573" s="265">
        <f t="shared" si="390"/>
        <v>0</v>
      </c>
      <c r="BL573" s="265">
        <f t="shared" si="395"/>
        <v>0</v>
      </c>
      <c r="BM573" s="265">
        <f t="shared" si="391"/>
        <v>0</v>
      </c>
      <c r="BN573" s="265">
        <f t="shared" si="392"/>
        <v>42529.000999999997</v>
      </c>
      <c r="BO573" s="109"/>
      <c r="BP573" s="265">
        <f t="shared" si="396"/>
        <v>1E-3</v>
      </c>
      <c r="BQ573" s="265">
        <v>1E-3</v>
      </c>
      <c r="BR573" s="265" t="e">
        <f t="shared" si="397"/>
        <v>#REF!</v>
      </c>
      <c r="BS573" s="207">
        <v>1.1265923629077774E-4</v>
      </c>
      <c r="BT573" s="475">
        <v>0</v>
      </c>
      <c r="BU573" s="475">
        <v>-42529</v>
      </c>
      <c r="BV573" s="475">
        <v>0</v>
      </c>
      <c r="BW573" s="483">
        <f t="shared" si="352"/>
        <v>0</v>
      </c>
      <c r="BX573" s="483">
        <f t="shared" si="353"/>
        <v>0</v>
      </c>
    </row>
    <row r="574" spans="1:76" ht="14.5">
      <c r="A574" s="99"/>
      <c r="B574" s="91" t="str">
        <f t="shared" si="393"/>
        <v>STW</v>
      </c>
      <c r="C574" s="92"/>
      <c r="D574" s="451"/>
      <c r="E574" s="451"/>
      <c r="F574" s="409" t="s">
        <v>4386</v>
      </c>
      <c r="G574" s="384"/>
      <c r="H574" s="398">
        <v>1</v>
      </c>
      <c r="I574" s="151"/>
      <c r="J574" s="95"/>
      <c r="K574" s="191">
        <v>-67436</v>
      </c>
      <c r="L574" s="269">
        <v>1</v>
      </c>
      <c r="M574" s="267">
        <v>1</v>
      </c>
      <c r="N574" s="267">
        <f t="shared" si="394"/>
        <v>0</v>
      </c>
      <c r="O574" s="96">
        <f t="shared" si="371"/>
        <v>0</v>
      </c>
      <c r="P574" s="96">
        <f t="shared" si="372"/>
        <v>-67436</v>
      </c>
      <c r="Q574" s="96">
        <f t="shared" si="373"/>
        <v>0</v>
      </c>
      <c r="R574" s="187"/>
      <c r="S574" s="187"/>
      <c r="T574" s="94" t="s">
        <v>5407</v>
      </c>
      <c r="U574" s="395">
        <f>COUNTIF(Aggregation_of_rev_to_allocate!$A$3:$A$137,$T574)</f>
        <v>0</v>
      </c>
      <c r="V574" s="100"/>
      <c r="W574" s="100"/>
      <c r="X574" s="109">
        <v>1E-3</v>
      </c>
      <c r="Y574" s="109">
        <v>0</v>
      </c>
      <c r="Z574" s="110">
        <v>1</v>
      </c>
      <c r="AA574" s="110">
        <v>1</v>
      </c>
      <c r="AB574" s="110">
        <v>0</v>
      </c>
      <c r="AC574" s="109">
        <f>IF(ISERROR((X574*SUMIF('Rev_for_allocation(Hard)'!$A$3:$A$249,$T574,'Rev_for_allocation(Hard)'!$I$3:$I$249)/SUMIF(Historic_capex_list!$T$9:$T$586,$T574,Historic_capex_list!$X$9:$X$586))=TRUE),0,X574*SUMIF('Rev_for_allocation(Hard)'!$A$3:$A$249,$T574,'Rev_for_allocation(Hard)'!$I$3:$I$249)/SUMIF(Historic_capex_list!$T$9:$T$586,$T574,Historic_capex_list!$X$9:$X$586))</f>
        <v>0</v>
      </c>
      <c r="AD574" s="109">
        <f t="shared" si="374"/>
        <v>1E-3</v>
      </c>
      <c r="AE574" s="109">
        <f t="shared" si="375"/>
        <v>1E-3</v>
      </c>
      <c r="AF574" s="109">
        <f t="shared" si="376"/>
        <v>1E-3</v>
      </c>
      <c r="AG574" s="109"/>
      <c r="AH574" s="109"/>
      <c r="AI574" s="109"/>
      <c r="AJ574" s="109"/>
      <c r="AK574" s="109"/>
      <c r="AL574" s="109"/>
      <c r="AM574" s="111">
        <f t="shared" si="377"/>
        <v>0</v>
      </c>
      <c r="AN574" s="111">
        <f t="shared" si="378"/>
        <v>0</v>
      </c>
      <c r="AO574" s="111" t="str">
        <f t="shared" si="379"/>
        <v>Use deduct 3yrs</v>
      </c>
      <c r="AP574" s="111">
        <f t="shared" si="380"/>
        <v>0</v>
      </c>
      <c r="AQ574" s="112">
        <f t="shared" si="381"/>
        <v>0</v>
      </c>
      <c r="AR574" s="112">
        <f t="shared" si="382"/>
        <v>1</v>
      </c>
      <c r="AS574" s="113">
        <f t="shared" si="383"/>
        <v>2028</v>
      </c>
      <c r="AT574" s="109">
        <v>0</v>
      </c>
      <c r="AU574" s="114">
        <v>1</v>
      </c>
      <c r="AV574" s="113">
        <v>2028</v>
      </c>
      <c r="AW574" s="112">
        <v>1</v>
      </c>
      <c r="AX574" s="109">
        <f t="shared" si="359"/>
        <v>-67436</v>
      </c>
      <c r="AY574" s="109">
        <f t="shared" si="360"/>
        <v>0</v>
      </c>
      <c r="AZ574" s="109">
        <f t="shared" si="384"/>
        <v>1E-3</v>
      </c>
      <c r="BA574" s="111">
        <f t="shared" si="385"/>
        <v>1E-3</v>
      </c>
      <c r="BB574" s="117"/>
      <c r="BC574" s="115" t="str">
        <f t="shared" si="386"/>
        <v>Y</v>
      </c>
      <c r="BD574" s="115" t="str">
        <f t="shared" si="387"/>
        <v>Y</v>
      </c>
      <c r="BE574" s="115" t="str">
        <f t="shared" si="388"/>
        <v>Y</v>
      </c>
      <c r="BF574" s="109">
        <f t="shared" si="389"/>
        <v>-67436</v>
      </c>
      <c r="BG574" s="111" t="s">
        <v>2499</v>
      </c>
      <c r="BH574" s="115" t="s">
        <v>1168</v>
      </c>
      <c r="BI574" s="116"/>
      <c r="BJ574" s="222">
        <v>1</v>
      </c>
      <c r="BK574" s="265">
        <f t="shared" si="390"/>
        <v>0</v>
      </c>
      <c r="BL574" s="265">
        <f t="shared" si="395"/>
        <v>0</v>
      </c>
      <c r="BM574" s="265">
        <f t="shared" si="391"/>
        <v>0</v>
      </c>
      <c r="BN574" s="265">
        <f t="shared" si="392"/>
        <v>67436.001000000004</v>
      </c>
      <c r="BO574" s="109"/>
      <c r="BP574" s="265">
        <f t="shared" si="396"/>
        <v>1E-3</v>
      </c>
      <c r="BQ574" s="265">
        <v>1E-3</v>
      </c>
      <c r="BR574" s="265" t="e">
        <f t="shared" si="397"/>
        <v>#REF!</v>
      </c>
      <c r="BS574" s="207">
        <v>1.1265923629077774E-4</v>
      </c>
      <c r="BT574" s="475">
        <v>0</v>
      </c>
      <c r="BU574" s="475">
        <v>-67436</v>
      </c>
      <c r="BV574" s="475">
        <v>0</v>
      </c>
      <c r="BW574" s="483">
        <f t="shared" si="352"/>
        <v>0</v>
      </c>
      <c r="BX574" s="483">
        <f t="shared" si="353"/>
        <v>0</v>
      </c>
    </row>
    <row r="575" spans="1:76" ht="14.5">
      <c r="A575" s="99"/>
      <c r="B575" s="91" t="str">
        <f t="shared" si="393"/>
        <v>STW</v>
      </c>
      <c r="C575" s="92"/>
      <c r="D575" s="451"/>
      <c r="E575" s="451"/>
      <c r="F575" s="409" t="s">
        <v>4386</v>
      </c>
      <c r="G575" s="384"/>
      <c r="H575" s="398">
        <v>1</v>
      </c>
      <c r="I575" s="151"/>
      <c r="J575" s="95"/>
      <c r="K575" s="191">
        <v>-186423</v>
      </c>
      <c r="L575" s="269">
        <v>1</v>
      </c>
      <c r="M575" s="267">
        <v>1</v>
      </c>
      <c r="N575" s="267">
        <f t="shared" si="394"/>
        <v>0</v>
      </c>
      <c r="O575" s="96">
        <f t="shared" si="371"/>
        <v>0</v>
      </c>
      <c r="P575" s="96">
        <f t="shared" si="372"/>
        <v>-186423</v>
      </c>
      <c r="Q575" s="96">
        <f t="shared" si="373"/>
        <v>0</v>
      </c>
      <c r="R575" s="187"/>
      <c r="S575" s="187"/>
      <c r="T575" s="94" t="s">
        <v>5423</v>
      </c>
      <c r="U575" s="395">
        <f>COUNTIF(Aggregation_of_rev_to_allocate!$A$3:$A$137,$T575)</f>
        <v>0</v>
      </c>
      <c r="V575" s="100"/>
      <c r="W575" s="100"/>
      <c r="X575" s="109">
        <v>1E-3</v>
      </c>
      <c r="Y575" s="109">
        <v>0</v>
      </c>
      <c r="Z575" s="110">
        <v>1</v>
      </c>
      <c r="AA575" s="110">
        <v>1</v>
      </c>
      <c r="AB575" s="110">
        <v>0</v>
      </c>
      <c r="AC575" s="109">
        <f>IF(ISERROR((X575*SUMIF('Rev_for_allocation(Hard)'!$A$3:$A$249,$T575,'Rev_for_allocation(Hard)'!$I$3:$I$249)/SUMIF(Historic_capex_list!$T$9:$T$586,$T575,Historic_capex_list!$X$9:$X$586))=TRUE),0,X575*SUMIF('Rev_for_allocation(Hard)'!$A$3:$A$249,$T575,'Rev_for_allocation(Hard)'!$I$3:$I$249)/SUMIF(Historic_capex_list!$T$9:$T$586,$T575,Historic_capex_list!$X$9:$X$586))</f>
        <v>0</v>
      </c>
      <c r="AD575" s="109">
        <f t="shared" si="374"/>
        <v>1E-3</v>
      </c>
      <c r="AE575" s="109">
        <f t="shared" si="375"/>
        <v>1E-3</v>
      </c>
      <c r="AF575" s="109">
        <f t="shared" si="376"/>
        <v>1E-3</v>
      </c>
      <c r="AG575" s="109"/>
      <c r="AH575" s="109"/>
      <c r="AI575" s="109"/>
      <c r="AJ575" s="109"/>
      <c r="AK575" s="109"/>
      <c r="AL575" s="109"/>
      <c r="AM575" s="111">
        <f t="shared" si="377"/>
        <v>0</v>
      </c>
      <c r="AN575" s="111">
        <f t="shared" si="378"/>
        <v>0</v>
      </c>
      <c r="AO575" s="111" t="str">
        <f t="shared" si="379"/>
        <v>Use deduct 3yrs</v>
      </c>
      <c r="AP575" s="111">
        <f t="shared" si="380"/>
        <v>0</v>
      </c>
      <c r="AQ575" s="112">
        <f t="shared" si="381"/>
        <v>0</v>
      </c>
      <c r="AR575" s="112">
        <f t="shared" si="382"/>
        <v>1</v>
      </c>
      <c r="AS575" s="113">
        <f t="shared" si="383"/>
        <v>2028</v>
      </c>
      <c r="AT575" s="109">
        <v>0</v>
      </c>
      <c r="AU575" s="114">
        <v>1</v>
      </c>
      <c r="AV575" s="113">
        <v>2028</v>
      </c>
      <c r="AW575" s="112">
        <v>1</v>
      </c>
      <c r="AX575" s="109">
        <f t="shared" si="359"/>
        <v>-186423</v>
      </c>
      <c r="AY575" s="109">
        <f t="shared" si="360"/>
        <v>0</v>
      </c>
      <c r="AZ575" s="109">
        <f t="shared" si="384"/>
        <v>1E-3</v>
      </c>
      <c r="BA575" s="111">
        <f t="shared" si="385"/>
        <v>1E-3</v>
      </c>
      <c r="BB575" s="117"/>
      <c r="BC575" s="115" t="str">
        <f t="shared" si="386"/>
        <v>Y</v>
      </c>
      <c r="BD575" s="115" t="str">
        <f t="shared" si="387"/>
        <v>Y</v>
      </c>
      <c r="BE575" s="115" t="str">
        <f t="shared" si="388"/>
        <v>Y</v>
      </c>
      <c r="BF575" s="109">
        <f t="shared" si="389"/>
        <v>-186423</v>
      </c>
      <c r="BG575" s="111" t="s">
        <v>2499</v>
      </c>
      <c r="BH575" s="115" t="s">
        <v>1168</v>
      </c>
      <c r="BI575" s="116"/>
      <c r="BJ575" s="222">
        <v>1</v>
      </c>
      <c r="BK575" s="265">
        <f t="shared" si="390"/>
        <v>0</v>
      </c>
      <c r="BL575" s="265">
        <f t="shared" si="395"/>
        <v>0</v>
      </c>
      <c r="BM575" s="265">
        <f t="shared" si="391"/>
        <v>0</v>
      </c>
      <c r="BN575" s="265">
        <f t="shared" si="392"/>
        <v>186423.00099999999</v>
      </c>
      <c r="BO575" s="109"/>
      <c r="BP575" s="265">
        <f t="shared" si="396"/>
        <v>1E-3</v>
      </c>
      <c r="BQ575" s="265">
        <v>1E-3</v>
      </c>
      <c r="BR575" s="265" t="e">
        <f t="shared" si="397"/>
        <v>#REF!</v>
      </c>
      <c r="BS575" s="207">
        <v>1.1265923629077774E-4</v>
      </c>
      <c r="BT575" s="475">
        <v>0</v>
      </c>
      <c r="BU575" s="475">
        <v>-186423</v>
      </c>
      <c r="BV575" s="475">
        <v>0</v>
      </c>
      <c r="BW575" s="483">
        <f t="shared" ref="BW575:BW593" si="398">P575-BU575</f>
        <v>0</v>
      </c>
      <c r="BX575" s="483">
        <f t="shared" ref="BX575:BX593" si="399">Q575-BV575</f>
        <v>0</v>
      </c>
    </row>
    <row r="576" spans="1:76" ht="14.5">
      <c r="A576" s="99"/>
      <c r="B576" s="91" t="str">
        <f t="shared" si="393"/>
        <v>STW</v>
      </c>
      <c r="C576" s="92"/>
      <c r="D576" s="451"/>
      <c r="E576" s="451"/>
      <c r="F576" s="409" t="s">
        <v>4386</v>
      </c>
      <c r="G576" s="384"/>
      <c r="H576" s="398">
        <v>1</v>
      </c>
      <c r="I576" s="151"/>
      <c r="J576" s="95"/>
      <c r="K576" s="191">
        <v>-4200000</v>
      </c>
      <c r="L576" s="269">
        <v>1</v>
      </c>
      <c r="M576" s="267">
        <v>1</v>
      </c>
      <c r="N576" s="267">
        <f t="shared" si="394"/>
        <v>0</v>
      </c>
      <c r="O576" s="96">
        <f t="shared" si="371"/>
        <v>0</v>
      </c>
      <c r="P576" s="96">
        <f t="shared" si="372"/>
        <v>-4200000</v>
      </c>
      <c r="Q576" s="96">
        <f t="shared" si="373"/>
        <v>0</v>
      </c>
      <c r="R576" s="187"/>
      <c r="S576" s="187"/>
      <c r="T576" s="94" t="s">
        <v>5419</v>
      </c>
      <c r="U576" s="395">
        <f>COUNTIF(Aggregation_of_rev_to_allocate!$A$3:$A$137,$T576)</f>
        <v>0</v>
      </c>
      <c r="V576" s="100"/>
      <c r="W576" s="100"/>
      <c r="X576" s="109">
        <v>1E-3</v>
      </c>
      <c r="Y576" s="109">
        <v>0</v>
      </c>
      <c r="Z576" s="110">
        <v>1</v>
      </c>
      <c r="AA576" s="110">
        <v>1</v>
      </c>
      <c r="AB576" s="110">
        <v>0</v>
      </c>
      <c r="AC576" s="109">
        <f>IF(ISERROR((X576*SUMIF('Rev_for_allocation(Hard)'!$A$3:$A$249,$T576,'Rev_for_allocation(Hard)'!$I$3:$I$249)/SUMIF(Historic_capex_list!$T$9:$T$586,$T576,Historic_capex_list!$X$9:$X$586))=TRUE),0,X576*SUMIF('Rev_for_allocation(Hard)'!$A$3:$A$249,$T576,'Rev_for_allocation(Hard)'!$I$3:$I$249)/SUMIF(Historic_capex_list!$T$9:$T$586,$T576,Historic_capex_list!$X$9:$X$586))</f>
        <v>0</v>
      </c>
      <c r="AD576" s="109">
        <f t="shared" si="374"/>
        <v>1E-3</v>
      </c>
      <c r="AE576" s="109">
        <f t="shared" si="375"/>
        <v>1E-3</v>
      </c>
      <c r="AF576" s="109">
        <f t="shared" si="376"/>
        <v>1E-3</v>
      </c>
      <c r="AG576" s="109"/>
      <c r="AH576" s="109"/>
      <c r="AI576" s="109"/>
      <c r="AJ576" s="109"/>
      <c r="AK576" s="109"/>
      <c r="AL576" s="109"/>
      <c r="AM576" s="111">
        <f t="shared" si="377"/>
        <v>0</v>
      </c>
      <c r="AN576" s="111">
        <f t="shared" si="378"/>
        <v>0</v>
      </c>
      <c r="AO576" s="111" t="str">
        <f t="shared" si="379"/>
        <v>Use deduct 3yrs</v>
      </c>
      <c r="AP576" s="111">
        <f t="shared" si="380"/>
        <v>0</v>
      </c>
      <c r="AQ576" s="112">
        <f t="shared" si="381"/>
        <v>0</v>
      </c>
      <c r="AR576" s="112">
        <f t="shared" si="382"/>
        <v>1</v>
      </c>
      <c r="AS576" s="113">
        <f t="shared" si="383"/>
        <v>2028</v>
      </c>
      <c r="AT576" s="109">
        <v>0</v>
      </c>
      <c r="AU576" s="114">
        <v>1</v>
      </c>
      <c r="AV576" s="113">
        <v>2028</v>
      </c>
      <c r="AW576" s="112">
        <v>1</v>
      </c>
      <c r="AX576" s="109">
        <f t="shared" si="359"/>
        <v>-4200000</v>
      </c>
      <c r="AY576" s="109">
        <f t="shared" si="360"/>
        <v>0</v>
      </c>
      <c r="AZ576" s="109">
        <f t="shared" si="384"/>
        <v>1E-3</v>
      </c>
      <c r="BA576" s="111">
        <f t="shared" si="385"/>
        <v>1E-3</v>
      </c>
      <c r="BB576" s="117"/>
      <c r="BC576" s="115" t="str">
        <f t="shared" si="386"/>
        <v>Y</v>
      </c>
      <c r="BD576" s="115" t="str">
        <f t="shared" si="387"/>
        <v>Y</v>
      </c>
      <c r="BE576" s="115" t="str">
        <f t="shared" si="388"/>
        <v>Y</v>
      </c>
      <c r="BF576" s="109">
        <f t="shared" si="389"/>
        <v>-4200000</v>
      </c>
      <c r="BG576" s="111" t="s">
        <v>2499</v>
      </c>
      <c r="BH576" s="115" t="s">
        <v>1168</v>
      </c>
      <c r="BI576" s="116"/>
      <c r="BJ576" s="222">
        <v>1</v>
      </c>
      <c r="BK576" s="265">
        <f t="shared" si="390"/>
        <v>0</v>
      </c>
      <c r="BL576" s="265">
        <f t="shared" si="395"/>
        <v>0</v>
      </c>
      <c r="BM576" s="265">
        <f t="shared" si="391"/>
        <v>0</v>
      </c>
      <c r="BN576" s="265">
        <f t="shared" si="392"/>
        <v>4200000.0010000002</v>
      </c>
      <c r="BO576" s="109"/>
      <c r="BP576" s="265">
        <f t="shared" si="396"/>
        <v>1E-3</v>
      </c>
      <c r="BQ576" s="265">
        <v>1E-3</v>
      </c>
      <c r="BR576" s="265" t="e">
        <f t="shared" si="397"/>
        <v>#REF!</v>
      </c>
      <c r="BS576" s="207">
        <v>1.1265923629077774E-4</v>
      </c>
      <c r="BT576" s="475">
        <v>0</v>
      </c>
      <c r="BU576" s="475">
        <v>-4200000</v>
      </c>
      <c r="BV576" s="475">
        <v>0</v>
      </c>
      <c r="BW576" s="483">
        <f t="shared" si="398"/>
        <v>0</v>
      </c>
      <c r="BX576" s="483">
        <f t="shared" si="399"/>
        <v>0</v>
      </c>
    </row>
    <row r="577" spans="1:76" ht="14.5">
      <c r="A577" s="99"/>
      <c r="B577" s="91" t="str">
        <f t="shared" si="393"/>
        <v>STW</v>
      </c>
      <c r="C577" s="92"/>
      <c r="D577" s="451"/>
      <c r="E577" s="451"/>
      <c r="F577" s="409" t="s">
        <v>4386</v>
      </c>
      <c r="G577" s="384"/>
      <c r="H577" s="398">
        <v>1</v>
      </c>
      <c r="I577" s="151"/>
      <c r="J577" s="95"/>
      <c r="K577" s="191">
        <v>4200000</v>
      </c>
      <c r="L577" s="269">
        <v>1</v>
      </c>
      <c r="M577" s="267">
        <v>1</v>
      </c>
      <c r="N577" s="267">
        <f t="shared" si="394"/>
        <v>0</v>
      </c>
      <c r="O577" s="96">
        <f t="shared" si="371"/>
        <v>0</v>
      </c>
      <c r="P577" s="96">
        <f t="shared" si="372"/>
        <v>4200000</v>
      </c>
      <c r="Q577" s="96">
        <f t="shared" si="373"/>
        <v>0</v>
      </c>
      <c r="R577" s="187"/>
      <c r="S577" s="187"/>
      <c r="T577" s="94" t="s">
        <v>5420</v>
      </c>
      <c r="U577" s="395">
        <f>COUNTIF(Aggregation_of_rev_to_allocate!$A$3:$A$137,$T577)</f>
        <v>0</v>
      </c>
      <c r="V577" s="100"/>
      <c r="W577" s="100"/>
      <c r="X577" s="109">
        <v>1E-3</v>
      </c>
      <c r="Y577" s="109">
        <v>0</v>
      </c>
      <c r="Z577" s="110">
        <v>1</v>
      </c>
      <c r="AA577" s="110">
        <v>1</v>
      </c>
      <c r="AB577" s="110">
        <v>0</v>
      </c>
      <c r="AC577" s="109">
        <f>IF(ISERROR((X577*SUMIF('Rev_for_allocation(Hard)'!$A$3:$A$249,$T577,'Rev_for_allocation(Hard)'!$I$3:$I$249)/SUMIF(Historic_capex_list!$T$9:$T$586,$T577,Historic_capex_list!$X$9:$X$586))=TRUE),0,X577*SUMIF('Rev_for_allocation(Hard)'!$A$3:$A$249,$T577,'Rev_for_allocation(Hard)'!$I$3:$I$249)/SUMIF(Historic_capex_list!$T$9:$T$586,$T577,Historic_capex_list!$X$9:$X$586))</f>
        <v>0</v>
      </c>
      <c r="AD577" s="109">
        <f t="shared" si="374"/>
        <v>1E-3</v>
      </c>
      <c r="AE577" s="109">
        <f t="shared" si="375"/>
        <v>1E-3</v>
      </c>
      <c r="AF577" s="109">
        <f t="shared" si="376"/>
        <v>1E-3</v>
      </c>
      <c r="AG577" s="109"/>
      <c r="AH577" s="109"/>
      <c r="AI577" s="109"/>
      <c r="AJ577" s="109"/>
      <c r="AK577" s="109"/>
      <c r="AL577" s="109"/>
      <c r="AM577" s="111">
        <f t="shared" si="377"/>
        <v>0</v>
      </c>
      <c r="AN577" s="111">
        <f t="shared" si="378"/>
        <v>0</v>
      </c>
      <c r="AO577" s="111" t="str">
        <f t="shared" si="379"/>
        <v>Use deduct 3yrs</v>
      </c>
      <c r="AP577" s="111">
        <f t="shared" si="380"/>
        <v>0</v>
      </c>
      <c r="AQ577" s="112">
        <f t="shared" si="381"/>
        <v>0</v>
      </c>
      <c r="AR577" s="112">
        <f t="shared" si="382"/>
        <v>1</v>
      </c>
      <c r="AS577" s="113">
        <f t="shared" si="383"/>
        <v>2028</v>
      </c>
      <c r="AT577" s="109">
        <v>0</v>
      </c>
      <c r="AU577" s="114">
        <v>1</v>
      </c>
      <c r="AV577" s="113">
        <v>2028</v>
      </c>
      <c r="AW577" s="112">
        <v>1</v>
      </c>
      <c r="AX577" s="109">
        <f t="shared" si="359"/>
        <v>4200000</v>
      </c>
      <c r="AY577" s="109">
        <f t="shared" si="360"/>
        <v>0</v>
      </c>
      <c r="AZ577" s="109">
        <f t="shared" si="384"/>
        <v>4200000</v>
      </c>
      <c r="BA577" s="111">
        <f t="shared" si="385"/>
        <v>4200000</v>
      </c>
      <c r="BB577" s="117"/>
      <c r="BC577" s="115" t="str">
        <f t="shared" si="386"/>
        <v>N</v>
      </c>
      <c r="BD577" s="115" t="str">
        <f t="shared" si="387"/>
        <v>Y</v>
      </c>
      <c r="BE577" s="115" t="str">
        <f t="shared" si="388"/>
        <v>N</v>
      </c>
      <c r="BF577" s="109" t="str">
        <f t="shared" si="389"/>
        <v/>
      </c>
      <c r="BG577" s="111" t="s">
        <v>2499</v>
      </c>
      <c r="BH577" s="115" t="s">
        <v>1168</v>
      </c>
      <c r="BI577" s="116"/>
      <c r="BJ577" s="222">
        <v>1</v>
      </c>
      <c r="BK577" s="265">
        <f t="shared" si="390"/>
        <v>0</v>
      </c>
      <c r="BL577" s="265">
        <f t="shared" si="395"/>
        <v>0</v>
      </c>
      <c r="BM577" s="265">
        <f t="shared" si="391"/>
        <v>0</v>
      </c>
      <c r="BN577" s="265">
        <f t="shared" si="392"/>
        <v>-4199999.9989999998</v>
      </c>
      <c r="BO577" s="109"/>
      <c r="BP577" s="265">
        <f t="shared" si="396"/>
        <v>1E-3</v>
      </c>
      <c r="BQ577" s="265">
        <v>1E-3</v>
      </c>
      <c r="BR577" s="265" t="e">
        <f t="shared" si="397"/>
        <v>#REF!</v>
      </c>
      <c r="BS577" s="207">
        <v>1.1265923629077774E-4</v>
      </c>
      <c r="BT577" s="475">
        <v>0</v>
      </c>
      <c r="BU577" s="475">
        <v>4200000</v>
      </c>
      <c r="BV577" s="475">
        <v>0</v>
      </c>
      <c r="BW577" s="483">
        <f t="shared" si="398"/>
        <v>0</v>
      </c>
      <c r="BX577" s="483">
        <f t="shared" si="399"/>
        <v>0</v>
      </c>
    </row>
    <row r="578" spans="1:76" ht="14.5">
      <c r="A578" s="99"/>
      <c r="B578" s="91" t="str">
        <f t="shared" si="393"/>
        <v>STW</v>
      </c>
      <c r="C578" s="92"/>
      <c r="D578" s="451"/>
      <c r="E578" s="451"/>
      <c r="F578" s="409" t="s">
        <v>4386</v>
      </c>
      <c r="G578" s="384"/>
      <c r="H578" s="398">
        <v>1</v>
      </c>
      <c r="I578" s="151"/>
      <c r="J578" s="95"/>
      <c r="K578" s="191">
        <v>250000</v>
      </c>
      <c r="L578" s="269">
        <v>1</v>
      </c>
      <c r="M578" s="267">
        <v>1</v>
      </c>
      <c r="N578" s="267">
        <f t="shared" si="394"/>
        <v>0</v>
      </c>
      <c r="O578" s="96">
        <f t="shared" si="371"/>
        <v>0</v>
      </c>
      <c r="P578" s="96">
        <f t="shared" si="372"/>
        <v>250000</v>
      </c>
      <c r="Q578" s="96">
        <f t="shared" si="373"/>
        <v>0</v>
      </c>
      <c r="R578" s="187"/>
      <c r="S578" s="187"/>
      <c r="T578" s="94" t="s">
        <v>5412</v>
      </c>
      <c r="U578" s="395">
        <f>COUNTIF(Aggregation_of_rev_to_allocate!$A$3:$A$137,$T578)</f>
        <v>0</v>
      </c>
      <c r="V578" s="100"/>
      <c r="W578" s="100"/>
      <c r="X578" s="109">
        <v>1E-3</v>
      </c>
      <c r="Y578" s="109">
        <v>0</v>
      </c>
      <c r="Z578" s="110">
        <v>1</v>
      </c>
      <c r="AA578" s="110">
        <v>1</v>
      </c>
      <c r="AB578" s="110">
        <v>0</v>
      </c>
      <c r="AC578" s="109">
        <f>IF(ISERROR((X578*SUMIF('Rev_for_allocation(Hard)'!$A$3:$A$249,$T578,'Rev_for_allocation(Hard)'!$I$3:$I$249)/SUMIF(Historic_capex_list!$T$9:$T$586,$T578,Historic_capex_list!$X$9:$X$586))=TRUE),0,X578*SUMIF('Rev_for_allocation(Hard)'!$A$3:$A$249,$T578,'Rev_for_allocation(Hard)'!$I$3:$I$249)/SUMIF(Historic_capex_list!$T$9:$T$586,$T578,Historic_capex_list!$X$9:$X$586))</f>
        <v>0</v>
      </c>
      <c r="AD578" s="109">
        <f t="shared" si="374"/>
        <v>1E-3</v>
      </c>
      <c r="AE578" s="109">
        <f t="shared" si="375"/>
        <v>1E-3</v>
      </c>
      <c r="AF578" s="109">
        <f t="shared" si="376"/>
        <v>1E-3</v>
      </c>
      <c r="AG578" s="109"/>
      <c r="AH578" s="109"/>
      <c r="AI578" s="109"/>
      <c r="AJ578" s="109"/>
      <c r="AK578" s="109"/>
      <c r="AL578" s="109"/>
      <c r="AM578" s="111">
        <f t="shared" si="377"/>
        <v>0</v>
      </c>
      <c r="AN578" s="111">
        <f t="shared" si="378"/>
        <v>0</v>
      </c>
      <c r="AO578" s="111" t="str">
        <f t="shared" si="379"/>
        <v>Use deduct 3yrs</v>
      </c>
      <c r="AP578" s="111">
        <f t="shared" si="380"/>
        <v>0</v>
      </c>
      <c r="AQ578" s="112">
        <f t="shared" si="381"/>
        <v>0</v>
      </c>
      <c r="AR578" s="112">
        <f t="shared" si="382"/>
        <v>1</v>
      </c>
      <c r="AS578" s="113">
        <f t="shared" si="383"/>
        <v>2028</v>
      </c>
      <c r="AT578" s="109">
        <v>0</v>
      </c>
      <c r="AU578" s="114">
        <v>1</v>
      </c>
      <c r="AV578" s="113">
        <v>2028</v>
      </c>
      <c r="AW578" s="112">
        <v>1</v>
      </c>
      <c r="AX578" s="109">
        <f t="shared" si="359"/>
        <v>250000</v>
      </c>
      <c r="AY578" s="109">
        <f t="shared" si="360"/>
        <v>0</v>
      </c>
      <c r="AZ578" s="109">
        <f t="shared" si="384"/>
        <v>250000</v>
      </c>
      <c r="BA578" s="111">
        <f t="shared" si="385"/>
        <v>250000</v>
      </c>
      <c r="BB578" s="117"/>
      <c r="BC578" s="115" t="str">
        <f t="shared" si="386"/>
        <v>N</v>
      </c>
      <c r="BD578" s="115" t="str">
        <f t="shared" si="387"/>
        <v>Y</v>
      </c>
      <c r="BE578" s="115" t="str">
        <f t="shared" si="388"/>
        <v>N</v>
      </c>
      <c r="BF578" s="109" t="str">
        <f t="shared" si="389"/>
        <v/>
      </c>
      <c r="BG578" s="111" t="s">
        <v>2499</v>
      </c>
      <c r="BH578" s="115" t="s">
        <v>1168</v>
      </c>
      <c r="BI578" s="116"/>
      <c r="BJ578" s="222">
        <v>1</v>
      </c>
      <c r="BK578" s="265">
        <f t="shared" si="390"/>
        <v>0</v>
      </c>
      <c r="BL578" s="265">
        <f t="shared" si="395"/>
        <v>0</v>
      </c>
      <c r="BM578" s="265">
        <f t="shared" si="391"/>
        <v>0</v>
      </c>
      <c r="BN578" s="265">
        <f t="shared" si="392"/>
        <v>-249999.99900000001</v>
      </c>
      <c r="BO578" s="109"/>
      <c r="BP578" s="265">
        <f t="shared" si="396"/>
        <v>1E-3</v>
      </c>
      <c r="BQ578" s="265">
        <v>1E-3</v>
      </c>
      <c r="BR578" s="265" t="e">
        <f t="shared" si="397"/>
        <v>#REF!</v>
      </c>
      <c r="BS578" s="207">
        <v>1.1265923629077774E-4</v>
      </c>
      <c r="BT578" s="475">
        <v>0</v>
      </c>
      <c r="BU578" s="475">
        <v>250000</v>
      </c>
      <c r="BV578" s="475">
        <v>0</v>
      </c>
      <c r="BW578" s="483">
        <f t="shared" si="398"/>
        <v>0</v>
      </c>
      <c r="BX578" s="483">
        <f t="shared" si="399"/>
        <v>0</v>
      </c>
    </row>
    <row r="579" spans="1:76" ht="14.5">
      <c r="A579" s="99"/>
      <c r="B579" s="91" t="str">
        <f t="shared" si="393"/>
        <v>STW</v>
      </c>
      <c r="C579" s="92"/>
      <c r="D579" s="451"/>
      <c r="E579" s="451"/>
      <c r="F579" s="409" t="s">
        <v>4386</v>
      </c>
      <c r="G579" s="384"/>
      <c r="H579" s="398">
        <v>1</v>
      </c>
      <c r="I579" s="151"/>
      <c r="J579" s="95"/>
      <c r="K579" s="191">
        <v>-250000</v>
      </c>
      <c r="L579" s="269">
        <v>1</v>
      </c>
      <c r="M579" s="267">
        <v>1</v>
      </c>
      <c r="N579" s="267">
        <f t="shared" si="394"/>
        <v>0</v>
      </c>
      <c r="O579" s="96">
        <f t="shared" si="371"/>
        <v>0</v>
      </c>
      <c r="P579" s="96">
        <f t="shared" si="372"/>
        <v>-250000</v>
      </c>
      <c r="Q579" s="96">
        <f t="shared" si="373"/>
        <v>0</v>
      </c>
      <c r="R579" s="187"/>
      <c r="S579" s="187"/>
      <c r="T579" s="94" t="s">
        <v>5401</v>
      </c>
      <c r="U579" s="395">
        <f>COUNTIF(Aggregation_of_rev_to_allocate!$A$3:$A$137,$T579)</f>
        <v>0</v>
      </c>
      <c r="V579" s="100"/>
      <c r="W579" s="100"/>
      <c r="X579" s="109">
        <v>1E-3</v>
      </c>
      <c r="Y579" s="109">
        <v>0</v>
      </c>
      <c r="Z579" s="110">
        <v>1</v>
      </c>
      <c r="AA579" s="110">
        <v>1</v>
      </c>
      <c r="AB579" s="110">
        <v>0</v>
      </c>
      <c r="AC579" s="109">
        <f>IF(ISERROR((X579*SUMIF('Rev_for_allocation(Hard)'!$A$3:$A$249,$T579,'Rev_for_allocation(Hard)'!$I$3:$I$249)/SUMIF(Historic_capex_list!$T$9:$T$586,$T579,Historic_capex_list!$X$9:$X$586))=TRUE),0,X579*SUMIF('Rev_for_allocation(Hard)'!$A$3:$A$249,$T579,'Rev_for_allocation(Hard)'!$I$3:$I$249)/SUMIF(Historic_capex_list!$T$9:$T$586,$T579,Historic_capex_list!$X$9:$X$586))</f>
        <v>0</v>
      </c>
      <c r="AD579" s="109">
        <f t="shared" si="374"/>
        <v>1E-3</v>
      </c>
      <c r="AE579" s="109">
        <f t="shared" si="375"/>
        <v>1E-3</v>
      </c>
      <c r="AF579" s="109">
        <f t="shared" si="376"/>
        <v>1E-3</v>
      </c>
      <c r="AG579" s="109"/>
      <c r="AH579" s="109"/>
      <c r="AI579" s="109"/>
      <c r="AJ579" s="109"/>
      <c r="AK579" s="109"/>
      <c r="AL579" s="109"/>
      <c r="AM579" s="111">
        <f t="shared" si="377"/>
        <v>0</v>
      </c>
      <c r="AN579" s="111">
        <f t="shared" si="378"/>
        <v>0</v>
      </c>
      <c r="AO579" s="111" t="str">
        <f t="shared" si="379"/>
        <v>Use deduct 3yrs</v>
      </c>
      <c r="AP579" s="111">
        <f t="shared" si="380"/>
        <v>0</v>
      </c>
      <c r="AQ579" s="112">
        <f t="shared" si="381"/>
        <v>0</v>
      </c>
      <c r="AR579" s="112">
        <f t="shared" si="382"/>
        <v>1</v>
      </c>
      <c r="AS579" s="113">
        <f t="shared" si="383"/>
        <v>2028</v>
      </c>
      <c r="AT579" s="109">
        <v>0</v>
      </c>
      <c r="AU579" s="114">
        <v>1</v>
      </c>
      <c r="AV579" s="113">
        <v>2028</v>
      </c>
      <c r="AW579" s="112">
        <v>1</v>
      </c>
      <c r="AX579" s="109">
        <f t="shared" si="359"/>
        <v>-250000</v>
      </c>
      <c r="AY579" s="109">
        <f t="shared" si="360"/>
        <v>0</v>
      </c>
      <c r="AZ579" s="109">
        <f t="shared" si="384"/>
        <v>1E-3</v>
      </c>
      <c r="BA579" s="111">
        <f t="shared" si="385"/>
        <v>1E-3</v>
      </c>
      <c r="BB579" s="117"/>
      <c r="BC579" s="115" t="str">
        <f t="shared" si="386"/>
        <v>Y</v>
      </c>
      <c r="BD579" s="115" t="str">
        <f t="shared" si="387"/>
        <v>Y</v>
      </c>
      <c r="BE579" s="115" t="str">
        <f t="shared" si="388"/>
        <v>Y</v>
      </c>
      <c r="BF579" s="109">
        <f t="shared" si="389"/>
        <v>-250000</v>
      </c>
      <c r="BG579" s="111" t="s">
        <v>2499</v>
      </c>
      <c r="BH579" s="115" t="s">
        <v>1168</v>
      </c>
      <c r="BI579" s="116"/>
      <c r="BJ579" s="222">
        <v>1</v>
      </c>
      <c r="BK579" s="265">
        <f t="shared" si="390"/>
        <v>0</v>
      </c>
      <c r="BL579" s="265">
        <f t="shared" si="395"/>
        <v>0</v>
      </c>
      <c r="BM579" s="265">
        <f t="shared" si="391"/>
        <v>0</v>
      </c>
      <c r="BN579" s="265">
        <f t="shared" si="392"/>
        <v>250000.00099999999</v>
      </c>
      <c r="BO579" s="109"/>
      <c r="BP579" s="265">
        <f t="shared" si="396"/>
        <v>1E-3</v>
      </c>
      <c r="BQ579" s="265">
        <v>1E-3</v>
      </c>
      <c r="BR579" s="265" t="e">
        <f t="shared" si="397"/>
        <v>#REF!</v>
      </c>
      <c r="BS579" s="207">
        <v>1.1265923629077774E-4</v>
      </c>
      <c r="BT579" s="475">
        <v>0</v>
      </c>
      <c r="BU579" s="475">
        <v>-250000</v>
      </c>
      <c r="BV579" s="475">
        <v>0</v>
      </c>
      <c r="BW579" s="483">
        <f t="shared" si="398"/>
        <v>0</v>
      </c>
      <c r="BX579" s="483">
        <f t="shared" si="399"/>
        <v>0</v>
      </c>
    </row>
    <row r="580" spans="1:76" ht="14.5">
      <c r="A580" s="99"/>
      <c r="B580" s="91" t="str">
        <f>LEFT(T580,3)</f>
        <v>TRA</v>
      </c>
      <c r="C580" s="92"/>
      <c r="D580" s="451"/>
      <c r="E580" s="451"/>
      <c r="F580" s="409" t="s">
        <v>4386</v>
      </c>
      <c r="G580" s="384"/>
      <c r="H580" s="398">
        <v>1</v>
      </c>
      <c r="I580" s="151"/>
      <c r="J580" s="95"/>
      <c r="K580" s="191">
        <v>1665595</v>
      </c>
      <c r="L580" s="269">
        <v>1</v>
      </c>
      <c r="M580" s="267">
        <v>1</v>
      </c>
      <c r="N580" s="267">
        <f>100%-M580</f>
        <v>0</v>
      </c>
      <c r="O580" s="96">
        <f>(K580*(100%-H580))+(K580*H580*(100%-L580))</f>
        <v>0</v>
      </c>
      <c r="P580" s="96">
        <f>(+K580*L580*M580*H580)</f>
        <v>1665595</v>
      </c>
      <c r="Q580" s="96">
        <f>+K580*L580*N580*H580</f>
        <v>0</v>
      </c>
      <c r="R580" s="187"/>
      <c r="S580" s="187"/>
      <c r="T580" s="94" t="s">
        <v>2778</v>
      </c>
      <c r="U580" s="395">
        <f>COUNTIF(Aggregation_of_rev_to_allocate!$A$3:$A$137,$T580)</f>
        <v>1</v>
      </c>
      <c r="V580" s="100"/>
      <c r="W580" s="100"/>
      <c r="X580" s="109">
        <v>1E-3</v>
      </c>
      <c r="Y580" s="109">
        <v>0</v>
      </c>
      <c r="Z580" s="110">
        <v>1</v>
      </c>
      <c r="AA580" s="110">
        <v>1</v>
      </c>
      <c r="AB580" s="110">
        <v>0</v>
      </c>
      <c r="AC580" s="109">
        <f>IF(ISERROR((X580*SUMIF('Rev_for_allocation(Hard)'!$A$3:$A$249,$T580,'Rev_for_allocation(Hard)'!$I$3:$I$249)/SUMIF(Historic_capex_list!$T$9:$T$586,$T580,Historic_capex_list!$X$9:$X$586))=TRUE),0,X580*SUMIF('Rev_for_allocation(Hard)'!$A$3:$A$249,$T580,'Rev_for_allocation(Hard)'!$I$3:$I$249)/SUMIF(Historic_capex_list!$T$9:$T$586,$T580,Historic_capex_list!$X$9:$X$586))</f>
        <v>-25906229.418501295</v>
      </c>
      <c r="AD580" s="109">
        <f>+AC580+X580</f>
        <v>-25906229.417501297</v>
      </c>
      <c r="AE580" s="109">
        <f>IF(AD580&lt;0,+Q580+P580+AC580,+AD580)</f>
        <v>-24240634.418501295</v>
      </c>
      <c r="AF580" s="109">
        <f>+Y580+AD580</f>
        <v>-25906229.417501297</v>
      </c>
      <c r="AG580" s="109"/>
      <c r="AH580" s="109"/>
      <c r="AI580" s="109"/>
      <c r="AJ580" s="109"/>
      <c r="AK580" s="109"/>
      <c r="AL580" s="109"/>
      <c r="AM580" s="111">
        <f>AB580/(1-AB580)*10</f>
        <v>0</v>
      </c>
      <c r="AN580" s="111">
        <f>IF(AM580=0,0,IF(AD580&lt;0,AM580-10,AM580-3))</f>
        <v>0</v>
      </c>
      <c r="AO580" s="111">
        <f>IF(-AC580&gt;AE580,((AE580+Y580+AC580)/(AE580+Y580))*(AM580+10),"Use deduct 3yrs")</f>
        <v>20.6871086668956</v>
      </c>
      <c r="AP580" s="111">
        <f>IF(AO580&lt;=10,0,AN580)</f>
        <v>0</v>
      </c>
      <c r="AQ580" s="112">
        <f>IF(AN580&lt;=0,0,(AP580/(AP580+10)))</f>
        <v>0</v>
      </c>
      <c r="AR580" s="112">
        <f>IF(O580=0,1,1-AQ580)</f>
        <v>1</v>
      </c>
      <c r="AS580" s="113">
        <f>ROUND(IF(+$AS$7+AP580&lt;+$AS$7,+$AS$7,+$AS$7+AP580),0)</f>
        <v>2028</v>
      </c>
      <c r="AT580" s="109">
        <v>-14374798.92870611</v>
      </c>
      <c r="AU580" s="114">
        <v>1</v>
      </c>
      <c r="AV580" s="113">
        <v>2028</v>
      </c>
      <c r="AW580" s="112">
        <v>1</v>
      </c>
      <c r="AX580" s="109">
        <f t="shared" si="359"/>
        <v>1665595</v>
      </c>
      <c r="AY580" s="109">
        <f t="shared" si="360"/>
        <v>0</v>
      </c>
      <c r="AZ580" s="109">
        <f>IF(K580&lt;1,+AF580,+AY580+AX580)</f>
        <v>1665595</v>
      </c>
      <c r="BA580" s="111">
        <f>+AZ580-AT580</f>
        <v>16040393.92870611</v>
      </c>
      <c r="BB580" s="117"/>
      <c r="BC580" s="115" t="str">
        <f>IF(P580&lt;=BC$7,"Y","N")</f>
        <v>N</v>
      </c>
      <c r="BD580" s="115" t="str">
        <f>IF(Q580&lt;=BD$7,"Y","N")</f>
        <v>Y</v>
      </c>
      <c r="BE580" s="115" t="str">
        <f>IF(AND(BC580="Y",Q580=0),"Y","N")</f>
        <v>N</v>
      </c>
      <c r="BF580" s="109" t="str">
        <f>IF(BE580="Y",+P580,"")</f>
        <v/>
      </c>
      <c r="BG580" s="111" t="s">
        <v>2499</v>
      </c>
      <c r="BH580" s="115" t="s">
        <v>1168</v>
      </c>
      <c r="BI580" s="116"/>
      <c r="BJ580" s="222">
        <v>1</v>
      </c>
      <c r="BK580" s="265">
        <f>+AY580-Q580</f>
        <v>0</v>
      </c>
      <c r="BL580" s="265">
        <f>+Q580-AY580</f>
        <v>0</v>
      </c>
      <c r="BM580" s="265">
        <f>+K580-O580-P580-Q580</f>
        <v>0</v>
      </c>
      <c r="BN580" s="265">
        <f>+X580-P580</f>
        <v>-1665594.9990000001</v>
      </c>
      <c r="BO580" s="109"/>
      <c r="BP580" s="265">
        <f>+X580+Y580-AT580</f>
        <v>14374798.92970611</v>
      </c>
      <c r="BQ580" s="265">
        <v>14374798.92970611</v>
      </c>
      <c r="BR580" s="265" t="e">
        <f>+BQ580*$BR$7</f>
        <v>#REF!</v>
      </c>
      <c r="BS580" s="207">
        <v>1619453.8692541795</v>
      </c>
      <c r="BT580" s="475">
        <v>0</v>
      </c>
      <c r="BU580" s="475">
        <v>-14374798.92870611</v>
      </c>
      <c r="BV580" s="475">
        <v>0</v>
      </c>
      <c r="BW580" s="483">
        <f t="shared" si="398"/>
        <v>16040393.92870611</v>
      </c>
      <c r="BX580" s="483">
        <f t="shared" si="399"/>
        <v>0</v>
      </c>
    </row>
    <row r="581" spans="1:76" ht="14.5">
      <c r="A581" s="99"/>
      <c r="B581" s="91" t="str">
        <f>LEFT(T581,3)</f>
        <v>TRA</v>
      </c>
      <c r="C581" s="92"/>
      <c r="D581" s="451"/>
      <c r="E581" s="451"/>
      <c r="F581" s="409" t="s">
        <v>4386</v>
      </c>
      <c r="G581" s="384"/>
      <c r="H581" s="398">
        <v>1</v>
      </c>
      <c r="I581" s="151"/>
      <c r="J581" s="95"/>
      <c r="K581" s="191">
        <v>-1665595</v>
      </c>
      <c r="L581" s="269">
        <v>1</v>
      </c>
      <c r="M581" s="267">
        <v>1</v>
      </c>
      <c r="N581" s="267">
        <f>100%-M581</f>
        <v>0</v>
      </c>
      <c r="O581" s="96">
        <f>(K581*(100%-H581))+(K581*H581*(100%-L581))</f>
        <v>0</v>
      </c>
      <c r="P581" s="96">
        <f>(+K581*L581*M581*H581)</f>
        <v>-1665595</v>
      </c>
      <c r="Q581" s="96">
        <f>+K581*L581*N581*H581</f>
        <v>0</v>
      </c>
      <c r="R581" s="187"/>
      <c r="S581" s="187"/>
      <c r="T581" s="94" t="s">
        <v>2789</v>
      </c>
      <c r="U581" s="395">
        <f>COUNTIF(Aggregation_of_rev_to_allocate!$A$3:$A$137,$T581)</f>
        <v>0</v>
      </c>
      <c r="V581" s="100"/>
      <c r="W581" s="100"/>
      <c r="X581" s="109">
        <v>1E-3</v>
      </c>
      <c r="Y581" s="109">
        <v>0</v>
      </c>
      <c r="Z581" s="110">
        <v>1</v>
      </c>
      <c r="AA581" s="110">
        <v>1</v>
      </c>
      <c r="AB581" s="110">
        <v>0</v>
      </c>
      <c r="AC581" s="109">
        <f>IF(ISERROR((X581*SUMIF('Rev_for_allocation(Hard)'!$A$3:$A$249,$T581,'Rev_for_allocation(Hard)'!$I$3:$I$249)/SUMIF(Historic_capex_list!$T$9:$T$586,$T581,Historic_capex_list!$X$9:$X$586))=TRUE),0,X581*SUMIF('Rev_for_allocation(Hard)'!$A$3:$A$249,$T581,'Rev_for_allocation(Hard)'!$I$3:$I$249)/SUMIF(Historic_capex_list!$T$9:$T$586,$T581,Historic_capex_list!$X$9:$X$586))</f>
        <v>0</v>
      </c>
      <c r="AD581" s="109">
        <f>+AC581+X581</f>
        <v>1E-3</v>
      </c>
      <c r="AE581" s="109">
        <f>IF(AD581&lt;0,+Q581+P581+AC581,+AD581)</f>
        <v>1E-3</v>
      </c>
      <c r="AF581" s="109">
        <f>+Y581+AD581</f>
        <v>1E-3</v>
      </c>
      <c r="AG581" s="109"/>
      <c r="AH581" s="109"/>
      <c r="AI581" s="109"/>
      <c r="AJ581" s="109"/>
      <c r="AK581" s="109"/>
      <c r="AL581" s="109"/>
      <c r="AM581" s="111">
        <f>AB581/(1-AB581)*10</f>
        <v>0</v>
      </c>
      <c r="AN581" s="111">
        <f>IF(AM581=0,0,IF(AD581&lt;0,AM581-10,AM581-3))</f>
        <v>0</v>
      </c>
      <c r="AO581" s="111" t="str">
        <f>IF(-AC581&gt;AE581,((AE581+Y581+AC581)/(AE581+Y581))*(AM581+10),"Use deduct 3yrs")</f>
        <v>Use deduct 3yrs</v>
      </c>
      <c r="AP581" s="111">
        <f>IF(AO581&lt;=10,0,AN581)</f>
        <v>0</v>
      </c>
      <c r="AQ581" s="112">
        <f>IF(AN581&lt;=0,0,(AP581/(AP581+10)))</f>
        <v>0</v>
      </c>
      <c r="AR581" s="112">
        <f>IF(O581=0,1,1-AQ581)</f>
        <v>1</v>
      </c>
      <c r="AS581" s="113">
        <f>ROUND(IF(+$AS$7+AP581&lt;+$AS$7,+$AS$7,+$AS$7+AP581),0)</f>
        <v>2028</v>
      </c>
      <c r="AT581" s="109">
        <v>-14374798.92870611</v>
      </c>
      <c r="AU581" s="114">
        <v>1</v>
      </c>
      <c r="AV581" s="113">
        <v>2028</v>
      </c>
      <c r="AW581" s="112">
        <v>1</v>
      </c>
      <c r="AX581" s="109">
        <f t="shared" si="359"/>
        <v>-1665595</v>
      </c>
      <c r="AY581" s="109">
        <f t="shared" si="360"/>
        <v>0</v>
      </c>
      <c r="AZ581" s="109">
        <f>IF(K581&lt;1,+AF581,+AY581+AX581)</f>
        <v>1E-3</v>
      </c>
      <c r="BA581" s="111">
        <f>+AZ581-AT581</f>
        <v>14374798.92970611</v>
      </c>
      <c r="BB581" s="117"/>
      <c r="BC581" s="115" t="str">
        <f>IF(P581&lt;=BC$7,"Y","N")</f>
        <v>Y</v>
      </c>
      <c r="BD581" s="115" t="str">
        <f>IF(Q581&lt;=BD$7,"Y","N")</f>
        <v>Y</v>
      </c>
      <c r="BE581" s="115" t="str">
        <f>IF(AND(BC581="Y",Q581=0),"Y","N")</f>
        <v>Y</v>
      </c>
      <c r="BF581" s="109">
        <f>IF(BE581="Y",+P581,"")</f>
        <v>-1665595</v>
      </c>
      <c r="BG581" s="111" t="s">
        <v>2499</v>
      </c>
      <c r="BH581" s="115" t="s">
        <v>1168</v>
      </c>
      <c r="BI581" s="116"/>
      <c r="BJ581" s="222">
        <v>1</v>
      </c>
      <c r="BK581" s="265">
        <f>+AY581-Q581</f>
        <v>0</v>
      </c>
      <c r="BL581" s="265">
        <f>+Q581-AY581</f>
        <v>0</v>
      </c>
      <c r="BM581" s="265">
        <f>+K581-O581-P581-Q581</f>
        <v>0</v>
      </c>
      <c r="BN581" s="265">
        <f>+X581-P581</f>
        <v>1665595.0009999999</v>
      </c>
      <c r="BO581" s="109"/>
      <c r="BP581" s="265">
        <f>+X581+Y581-AT581</f>
        <v>14374798.92970611</v>
      </c>
      <c r="BQ581" s="265">
        <v>14374798.92970611</v>
      </c>
      <c r="BR581" s="265" t="e">
        <f>+BQ581*$BR$7</f>
        <v>#REF!</v>
      </c>
      <c r="BS581" s="207">
        <v>1619453.8692541795</v>
      </c>
      <c r="BT581" s="475">
        <v>0</v>
      </c>
      <c r="BU581" s="475">
        <v>-14374798.92870611</v>
      </c>
      <c r="BV581" s="475">
        <v>0</v>
      </c>
      <c r="BW581" s="483">
        <f t="shared" si="398"/>
        <v>12709203.92870611</v>
      </c>
      <c r="BX581" s="483">
        <f t="shared" si="399"/>
        <v>0</v>
      </c>
    </row>
    <row r="582" spans="1:76" ht="14.5">
      <c r="A582" s="99"/>
      <c r="B582" s="91" t="str">
        <f t="shared" si="393"/>
        <v/>
      </c>
      <c r="C582" s="92"/>
      <c r="D582" s="451"/>
      <c r="E582" s="451"/>
      <c r="F582" s="409"/>
      <c r="G582" s="384"/>
      <c r="H582" s="398">
        <v>1</v>
      </c>
      <c r="I582" s="151"/>
      <c r="J582" s="95"/>
      <c r="K582" s="191">
        <v>0</v>
      </c>
      <c r="L582" s="269">
        <v>1</v>
      </c>
      <c r="M582" s="267">
        <v>1</v>
      </c>
      <c r="N582" s="267">
        <f t="shared" si="394"/>
        <v>0</v>
      </c>
      <c r="O582" s="96">
        <f t="shared" si="371"/>
        <v>0</v>
      </c>
      <c r="P582" s="96">
        <f t="shared" si="372"/>
        <v>0</v>
      </c>
      <c r="Q582" s="96">
        <f t="shared" si="373"/>
        <v>0</v>
      </c>
      <c r="R582" s="187"/>
      <c r="S582" s="187"/>
      <c r="T582" s="94"/>
      <c r="U582" s="395">
        <f>COUNTIF(Aggregation_of_rev_to_allocate!$A$3:$A$137,$T582)</f>
        <v>0</v>
      </c>
      <c r="V582" s="100"/>
      <c r="W582" s="100"/>
      <c r="X582" s="109">
        <v>1E-3</v>
      </c>
      <c r="Y582" s="109">
        <v>0</v>
      </c>
      <c r="Z582" s="110">
        <v>1</v>
      </c>
      <c r="AA582" s="110">
        <v>1</v>
      </c>
      <c r="AB582" s="110">
        <v>0</v>
      </c>
      <c r="AC582" s="109">
        <f>IF(ISERROR((X582*SUMIF('Rev_for_allocation(Hard)'!$A$3:$A$249,$T582,'Rev_for_allocation(Hard)'!$I$3:$I$249)/SUMIF(Historic_capex_list!$T$9:$T$586,$T582,Historic_capex_list!$X$9:$X$586))=TRUE),0,X582*SUMIF('Rev_for_allocation(Hard)'!$A$3:$A$249,$T582,'Rev_for_allocation(Hard)'!$I$3:$I$249)/SUMIF(Historic_capex_list!$T$9:$T$586,$T582,Historic_capex_list!$X$9:$X$586))</f>
        <v>0</v>
      </c>
      <c r="AD582" s="109">
        <f t="shared" si="374"/>
        <v>1E-3</v>
      </c>
      <c r="AE582" s="109">
        <f t="shared" si="375"/>
        <v>1E-3</v>
      </c>
      <c r="AF582" s="109">
        <f t="shared" si="376"/>
        <v>1E-3</v>
      </c>
      <c r="AG582" s="109"/>
      <c r="AH582" s="109"/>
      <c r="AI582" s="109"/>
      <c r="AJ582" s="109"/>
      <c r="AK582" s="109"/>
      <c r="AL582" s="109"/>
      <c r="AM582" s="111">
        <f t="shared" si="377"/>
        <v>0</v>
      </c>
      <c r="AN582" s="111">
        <f t="shared" si="378"/>
        <v>0</v>
      </c>
      <c r="AO582" s="111" t="str">
        <f t="shared" si="379"/>
        <v>Use deduct 3yrs</v>
      </c>
      <c r="AP582" s="111">
        <f t="shared" si="380"/>
        <v>0</v>
      </c>
      <c r="AQ582" s="112">
        <f t="shared" si="381"/>
        <v>0</v>
      </c>
      <c r="AR582" s="112">
        <f t="shared" si="382"/>
        <v>1</v>
      </c>
      <c r="AS582" s="113">
        <f t="shared" si="383"/>
        <v>2028</v>
      </c>
      <c r="AT582" s="109">
        <v>0</v>
      </c>
      <c r="AU582" s="114">
        <v>1</v>
      </c>
      <c r="AV582" s="113">
        <v>2028</v>
      </c>
      <c r="AW582" s="112">
        <v>1</v>
      </c>
      <c r="AX582" s="109">
        <f t="shared" si="359"/>
        <v>0</v>
      </c>
      <c r="AY582" s="109">
        <f t="shared" si="360"/>
        <v>0</v>
      </c>
      <c r="AZ582" s="109">
        <f t="shared" si="384"/>
        <v>1E-3</v>
      </c>
      <c r="BA582" s="111">
        <f t="shared" si="385"/>
        <v>1E-3</v>
      </c>
      <c r="BB582" s="117"/>
      <c r="BC582" s="115" t="str">
        <f t="shared" si="386"/>
        <v>Y</v>
      </c>
      <c r="BD582" s="115" t="str">
        <f t="shared" si="387"/>
        <v>Y</v>
      </c>
      <c r="BE582" s="115" t="str">
        <f t="shared" si="388"/>
        <v>Y</v>
      </c>
      <c r="BF582" s="109">
        <f t="shared" si="389"/>
        <v>0</v>
      </c>
      <c r="BG582" s="111" t="s">
        <v>2499</v>
      </c>
      <c r="BH582" s="115" t="s">
        <v>1168</v>
      </c>
      <c r="BI582" s="116"/>
      <c r="BJ582" s="222">
        <v>1</v>
      </c>
      <c r="BK582" s="265">
        <f t="shared" si="390"/>
        <v>0</v>
      </c>
      <c r="BL582" s="265">
        <f t="shared" si="395"/>
        <v>0</v>
      </c>
      <c r="BM582" s="265">
        <f t="shared" si="391"/>
        <v>0</v>
      </c>
      <c r="BN582" s="265">
        <f t="shared" si="392"/>
        <v>1E-3</v>
      </c>
      <c r="BO582" s="109"/>
      <c r="BP582" s="265">
        <f t="shared" si="396"/>
        <v>1E-3</v>
      </c>
      <c r="BQ582" s="265">
        <v>1E-3</v>
      </c>
      <c r="BR582" s="265" t="e">
        <f t="shared" si="397"/>
        <v>#REF!</v>
      </c>
      <c r="BS582" s="207">
        <v>1.1265923629077774E-4</v>
      </c>
      <c r="BT582" s="475">
        <v>0</v>
      </c>
      <c r="BU582" s="475">
        <v>0</v>
      </c>
      <c r="BV582" s="475">
        <v>0</v>
      </c>
      <c r="BW582" s="483">
        <f t="shared" si="398"/>
        <v>0</v>
      </c>
      <c r="BX582" s="483">
        <f t="shared" si="399"/>
        <v>0</v>
      </c>
    </row>
    <row r="583" spans="1:76" ht="14.5">
      <c r="A583" s="99"/>
      <c r="B583" s="91" t="str">
        <f t="shared" si="393"/>
        <v/>
      </c>
      <c r="C583" s="92"/>
      <c r="D583" s="451"/>
      <c r="E583" s="451"/>
      <c r="F583" s="409"/>
      <c r="G583" s="384"/>
      <c r="H583" s="398">
        <v>1</v>
      </c>
      <c r="I583" s="151"/>
      <c r="J583" s="95"/>
      <c r="K583" s="191">
        <v>0</v>
      </c>
      <c r="L583" s="269">
        <v>1</v>
      </c>
      <c r="M583" s="267">
        <v>1</v>
      </c>
      <c r="N583" s="267">
        <f t="shared" si="394"/>
        <v>0</v>
      </c>
      <c r="O583" s="96">
        <f t="shared" si="371"/>
        <v>0</v>
      </c>
      <c r="P583" s="96">
        <f t="shared" si="372"/>
        <v>0</v>
      </c>
      <c r="Q583" s="96">
        <f t="shared" si="373"/>
        <v>0</v>
      </c>
      <c r="R583" s="187"/>
      <c r="S583" s="187"/>
      <c r="T583" s="94"/>
      <c r="U583" s="395">
        <f>COUNTIF(Aggregation_of_rev_to_allocate!$A$3:$A$137,$T583)</f>
        <v>0</v>
      </c>
      <c r="V583" s="100"/>
      <c r="W583" s="100"/>
      <c r="X583" s="109">
        <v>1E-3</v>
      </c>
      <c r="Y583" s="109">
        <v>0</v>
      </c>
      <c r="Z583" s="110">
        <v>1</v>
      </c>
      <c r="AA583" s="110">
        <v>1</v>
      </c>
      <c r="AB583" s="110">
        <v>0</v>
      </c>
      <c r="AC583" s="109">
        <f>IF(ISERROR((X583*SUMIF('Rev_for_allocation(Hard)'!$A$3:$A$249,$T583,'Rev_for_allocation(Hard)'!$I$3:$I$249)/SUMIF(Historic_capex_list!$T$9:$T$586,$T583,Historic_capex_list!$X$9:$X$586))=TRUE),0,X583*SUMIF('Rev_for_allocation(Hard)'!$A$3:$A$249,$T583,'Rev_for_allocation(Hard)'!$I$3:$I$249)/SUMIF(Historic_capex_list!$T$9:$T$586,$T583,Historic_capex_list!$X$9:$X$586))</f>
        <v>0</v>
      </c>
      <c r="AD583" s="109">
        <f t="shared" si="374"/>
        <v>1E-3</v>
      </c>
      <c r="AE583" s="109">
        <f t="shared" si="375"/>
        <v>1E-3</v>
      </c>
      <c r="AF583" s="109">
        <f t="shared" si="376"/>
        <v>1E-3</v>
      </c>
      <c r="AG583" s="109"/>
      <c r="AH583" s="109"/>
      <c r="AI583" s="109"/>
      <c r="AJ583" s="109"/>
      <c r="AK583" s="109"/>
      <c r="AL583" s="109"/>
      <c r="AM583" s="111">
        <f t="shared" si="377"/>
        <v>0</v>
      </c>
      <c r="AN583" s="111">
        <f t="shared" si="378"/>
        <v>0</v>
      </c>
      <c r="AO583" s="111" t="str">
        <f t="shared" si="379"/>
        <v>Use deduct 3yrs</v>
      </c>
      <c r="AP583" s="111">
        <f t="shared" si="380"/>
        <v>0</v>
      </c>
      <c r="AQ583" s="112">
        <f t="shared" si="381"/>
        <v>0</v>
      </c>
      <c r="AR583" s="112">
        <f t="shared" si="382"/>
        <v>1</v>
      </c>
      <c r="AS583" s="113">
        <f t="shared" si="383"/>
        <v>2028</v>
      </c>
      <c r="AT583" s="109">
        <v>0</v>
      </c>
      <c r="AU583" s="114">
        <v>1</v>
      </c>
      <c r="AV583" s="113">
        <v>2028</v>
      </c>
      <c r="AW583" s="112">
        <v>1</v>
      </c>
      <c r="AX583" s="109">
        <f t="shared" si="359"/>
        <v>0</v>
      </c>
      <c r="AY583" s="109">
        <f t="shared" si="360"/>
        <v>0</v>
      </c>
      <c r="AZ583" s="109">
        <f t="shared" si="384"/>
        <v>1E-3</v>
      </c>
      <c r="BA583" s="111">
        <f t="shared" si="385"/>
        <v>1E-3</v>
      </c>
      <c r="BB583" s="117"/>
      <c r="BC583" s="115" t="str">
        <f t="shared" si="386"/>
        <v>Y</v>
      </c>
      <c r="BD583" s="115" t="str">
        <f t="shared" si="387"/>
        <v>Y</v>
      </c>
      <c r="BE583" s="115" t="str">
        <f t="shared" si="388"/>
        <v>Y</v>
      </c>
      <c r="BF583" s="109">
        <f t="shared" si="389"/>
        <v>0</v>
      </c>
      <c r="BG583" s="111" t="s">
        <v>2499</v>
      </c>
      <c r="BH583" s="115" t="s">
        <v>1168</v>
      </c>
      <c r="BI583" s="116"/>
      <c r="BJ583" s="222">
        <v>1</v>
      </c>
      <c r="BK583" s="265">
        <f t="shared" si="390"/>
        <v>0</v>
      </c>
      <c r="BL583" s="265">
        <f t="shared" si="395"/>
        <v>0</v>
      </c>
      <c r="BM583" s="265">
        <f t="shared" si="391"/>
        <v>0</v>
      </c>
      <c r="BN583" s="265">
        <f t="shared" si="392"/>
        <v>1E-3</v>
      </c>
      <c r="BO583" s="109"/>
      <c r="BP583" s="265">
        <f t="shared" si="396"/>
        <v>1E-3</v>
      </c>
      <c r="BQ583" s="265">
        <v>1E-3</v>
      </c>
      <c r="BR583" s="265" t="e">
        <f t="shared" si="397"/>
        <v>#REF!</v>
      </c>
      <c r="BS583" s="207">
        <v>1.1265923629077774E-4</v>
      </c>
      <c r="BT583" s="475">
        <v>0</v>
      </c>
      <c r="BU583" s="475">
        <v>0</v>
      </c>
      <c r="BV583" s="475">
        <v>0</v>
      </c>
      <c r="BW583" s="483">
        <f t="shared" si="398"/>
        <v>0</v>
      </c>
      <c r="BX583" s="483">
        <f t="shared" si="399"/>
        <v>0</v>
      </c>
    </row>
    <row r="584" spans="1:76" ht="14.5">
      <c r="A584" s="99"/>
      <c r="B584" s="91" t="str">
        <f t="shared" si="393"/>
        <v/>
      </c>
      <c r="C584" s="92"/>
      <c r="D584" s="451"/>
      <c r="E584" s="451"/>
      <c r="F584" s="409"/>
      <c r="G584" s="384"/>
      <c r="H584" s="398">
        <v>1</v>
      </c>
      <c r="I584" s="151"/>
      <c r="J584" s="95"/>
      <c r="K584" s="191">
        <v>0</v>
      </c>
      <c r="L584" s="269">
        <v>1</v>
      </c>
      <c r="M584" s="267">
        <v>1</v>
      </c>
      <c r="N584" s="267">
        <f t="shared" si="394"/>
        <v>0</v>
      </c>
      <c r="O584" s="96">
        <f t="shared" si="371"/>
        <v>0</v>
      </c>
      <c r="P584" s="96">
        <f t="shared" si="372"/>
        <v>0</v>
      </c>
      <c r="Q584" s="96">
        <f t="shared" si="373"/>
        <v>0</v>
      </c>
      <c r="R584" s="187"/>
      <c r="S584" s="187"/>
      <c r="T584" s="94"/>
      <c r="U584" s="395">
        <f>COUNTIF(Aggregation_of_rev_to_allocate!$A$3:$A$137,$T584)</f>
        <v>0</v>
      </c>
      <c r="V584" s="100"/>
      <c r="W584" s="100"/>
      <c r="X584" s="109">
        <v>1E-3</v>
      </c>
      <c r="Y584" s="109">
        <v>0</v>
      </c>
      <c r="Z584" s="110">
        <v>1</v>
      </c>
      <c r="AA584" s="110">
        <v>1</v>
      </c>
      <c r="AB584" s="110">
        <v>0</v>
      </c>
      <c r="AC584" s="109">
        <f>IF(ISERROR((X584*SUMIF('Rev_for_allocation(Hard)'!$A$3:$A$249,$T584,'Rev_for_allocation(Hard)'!$I$3:$I$249)/SUMIF(Historic_capex_list!$T$9:$T$586,$T584,Historic_capex_list!$X$9:$X$586))=TRUE),0,X584*SUMIF('Rev_for_allocation(Hard)'!$A$3:$A$249,$T584,'Rev_for_allocation(Hard)'!$I$3:$I$249)/SUMIF(Historic_capex_list!$T$9:$T$586,$T584,Historic_capex_list!$X$9:$X$586))</f>
        <v>0</v>
      </c>
      <c r="AD584" s="109">
        <f t="shared" si="374"/>
        <v>1E-3</v>
      </c>
      <c r="AE584" s="109">
        <f t="shared" si="375"/>
        <v>1E-3</v>
      </c>
      <c r="AF584" s="109">
        <f t="shared" si="376"/>
        <v>1E-3</v>
      </c>
      <c r="AG584" s="109"/>
      <c r="AH584" s="109"/>
      <c r="AI584" s="109"/>
      <c r="AJ584" s="109"/>
      <c r="AK584" s="109"/>
      <c r="AL584" s="109"/>
      <c r="AM584" s="111">
        <f t="shared" si="377"/>
        <v>0</v>
      </c>
      <c r="AN584" s="111">
        <f t="shared" si="378"/>
        <v>0</v>
      </c>
      <c r="AO584" s="111" t="str">
        <f t="shared" si="379"/>
        <v>Use deduct 3yrs</v>
      </c>
      <c r="AP584" s="111">
        <f t="shared" si="380"/>
        <v>0</v>
      </c>
      <c r="AQ584" s="112">
        <f t="shared" si="381"/>
        <v>0</v>
      </c>
      <c r="AR584" s="112">
        <f t="shared" si="382"/>
        <v>1</v>
      </c>
      <c r="AS584" s="113">
        <f t="shared" si="383"/>
        <v>2028</v>
      </c>
      <c r="AT584" s="109">
        <v>0</v>
      </c>
      <c r="AU584" s="114">
        <v>1</v>
      </c>
      <c r="AV584" s="113">
        <v>2028</v>
      </c>
      <c r="AW584" s="112">
        <v>1</v>
      </c>
      <c r="AX584" s="109">
        <f t="shared" si="359"/>
        <v>0</v>
      </c>
      <c r="AY584" s="109">
        <f t="shared" si="360"/>
        <v>0</v>
      </c>
      <c r="AZ584" s="109">
        <f t="shared" si="384"/>
        <v>1E-3</v>
      </c>
      <c r="BA584" s="111">
        <f t="shared" si="385"/>
        <v>1E-3</v>
      </c>
      <c r="BB584" s="117"/>
      <c r="BC584" s="115" t="str">
        <f t="shared" si="386"/>
        <v>Y</v>
      </c>
      <c r="BD584" s="115" t="str">
        <f t="shared" si="387"/>
        <v>Y</v>
      </c>
      <c r="BE584" s="115" t="str">
        <f t="shared" si="388"/>
        <v>Y</v>
      </c>
      <c r="BF584" s="109">
        <f t="shared" si="389"/>
        <v>0</v>
      </c>
      <c r="BG584" s="111" t="s">
        <v>2499</v>
      </c>
      <c r="BH584" s="115" t="s">
        <v>1168</v>
      </c>
      <c r="BI584" s="116"/>
      <c r="BJ584" s="222">
        <v>1</v>
      </c>
      <c r="BK584" s="265">
        <f t="shared" si="390"/>
        <v>0</v>
      </c>
      <c r="BL584" s="265">
        <f t="shared" si="395"/>
        <v>0</v>
      </c>
      <c r="BM584" s="265">
        <f t="shared" si="391"/>
        <v>0</v>
      </c>
      <c r="BN584" s="265">
        <f t="shared" si="392"/>
        <v>1E-3</v>
      </c>
      <c r="BO584" s="109"/>
      <c r="BP584" s="265">
        <f t="shared" si="396"/>
        <v>1E-3</v>
      </c>
      <c r="BQ584" s="265">
        <v>1E-3</v>
      </c>
      <c r="BR584" s="265" t="e">
        <f t="shared" si="397"/>
        <v>#REF!</v>
      </c>
      <c r="BS584" s="207">
        <v>1.1265923629077774E-4</v>
      </c>
      <c r="BT584" s="475">
        <v>0</v>
      </c>
      <c r="BU584" s="475">
        <v>0</v>
      </c>
      <c r="BV584" s="475">
        <v>0</v>
      </c>
      <c r="BW584" s="483">
        <f t="shared" si="398"/>
        <v>0</v>
      </c>
      <c r="BX584" s="483">
        <f t="shared" si="399"/>
        <v>0</v>
      </c>
    </row>
    <row r="585" spans="1:76" ht="14.5">
      <c r="A585" s="99"/>
      <c r="B585" s="91" t="str">
        <f t="shared" si="393"/>
        <v/>
      </c>
      <c r="C585" s="92"/>
      <c r="D585" s="451"/>
      <c r="E585" s="451"/>
      <c r="F585" s="409"/>
      <c r="G585" s="384"/>
      <c r="H585" s="398">
        <v>1</v>
      </c>
      <c r="I585" s="151"/>
      <c r="J585" s="95"/>
      <c r="K585" s="191">
        <v>0</v>
      </c>
      <c r="L585" s="269">
        <v>1</v>
      </c>
      <c r="M585" s="267">
        <v>1</v>
      </c>
      <c r="N585" s="267">
        <f t="shared" si="394"/>
        <v>0</v>
      </c>
      <c r="O585" s="96">
        <f t="shared" si="371"/>
        <v>0</v>
      </c>
      <c r="P585" s="96">
        <f t="shared" si="372"/>
        <v>0</v>
      </c>
      <c r="Q585" s="96">
        <f t="shared" si="373"/>
        <v>0</v>
      </c>
      <c r="R585" s="187"/>
      <c r="S585" s="187"/>
      <c r="T585" s="94"/>
      <c r="U585" s="395">
        <f>COUNTIF(Aggregation_of_rev_to_allocate!$A$3:$A$137,$T585)</f>
        <v>0</v>
      </c>
      <c r="V585" s="100"/>
      <c r="W585" s="100"/>
      <c r="X585" s="109">
        <v>1E-3</v>
      </c>
      <c r="Y585" s="109">
        <v>0</v>
      </c>
      <c r="Z585" s="110">
        <v>1</v>
      </c>
      <c r="AA585" s="110">
        <v>1</v>
      </c>
      <c r="AB585" s="110">
        <v>0</v>
      </c>
      <c r="AC585" s="109">
        <f>IF(ISERROR((X585*SUMIF('Rev_for_allocation(Hard)'!$A$3:$A$249,$T585,'Rev_for_allocation(Hard)'!$I$3:$I$249)/SUMIF(Historic_capex_list!$T$9:$T$586,$T585,Historic_capex_list!$X$9:$X$586))=TRUE),0,X585*SUMIF('Rev_for_allocation(Hard)'!$A$3:$A$249,$T585,'Rev_for_allocation(Hard)'!$I$3:$I$249)/SUMIF(Historic_capex_list!$T$9:$T$586,$T585,Historic_capex_list!$X$9:$X$586))</f>
        <v>0</v>
      </c>
      <c r="AD585" s="109">
        <f t="shared" si="374"/>
        <v>1E-3</v>
      </c>
      <c r="AE585" s="109">
        <f t="shared" si="375"/>
        <v>1E-3</v>
      </c>
      <c r="AF585" s="109">
        <f t="shared" si="376"/>
        <v>1E-3</v>
      </c>
      <c r="AG585" s="109"/>
      <c r="AH585" s="109"/>
      <c r="AI585" s="109"/>
      <c r="AJ585" s="109"/>
      <c r="AK585" s="109"/>
      <c r="AL585" s="109"/>
      <c r="AM585" s="111">
        <f t="shared" si="377"/>
        <v>0</v>
      </c>
      <c r="AN585" s="111">
        <f t="shared" si="378"/>
        <v>0</v>
      </c>
      <c r="AO585" s="111" t="str">
        <f t="shared" si="379"/>
        <v>Use deduct 3yrs</v>
      </c>
      <c r="AP585" s="111">
        <f t="shared" si="380"/>
        <v>0</v>
      </c>
      <c r="AQ585" s="112">
        <f t="shared" si="381"/>
        <v>0</v>
      </c>
      <c r="AR585" s="112">
        <f t="shared" si="382"/>
        <v>1</v>
      </c>
      <c r="AS585" s="113">
        <f t="shared" si="383"/>
        <v>2028</v>
      </c>
      <c r="AT585" s="109">
        <v>0</v>
      </c>
      <c r="AU585" s="114">
        <v>1</v>
      </c>
      <c r="AV585" s="113">
        <v>2028</v>
      </c>
      <c r="AW585" s="112">
        <v>1</v>
      </c>
      <c r="AX585" s="109">
        <f t="shared" si="359"/>
        <v>0</v>
      </c>
      <c r="AY585" s="109">
        <f t="shared" si="360"/>
        <v>0</v>
      </c>
      <c r="AZ585" s="109">
        <f t="shared" si="384"/>
        <v>1E-3</v>
      </c>
      <c r="BA585" s="111">
        <f t="shared" si="385"/>
        <v>1E-3</v>
      </c>
      <c r="BB585" s="117"/>
      <c r="BC585" s="115" t="str">
        <f t="shared" si="386"/>
        <v>Y</v>
      </c>
      <c r="BD585" s="115" t="str">
        <f t="shared" si="387"/>
        <v>Y</v>
      </c>
      <c r="BE585" s="115" t="str">
        <f t="shared" si="388"/>
        <v>Y</v>
      </c>
      <c r="BF585" s="109">
        <f t="shared" si="389"/>
        <v>0</v>
      </c>
      <c r="BG585" s="111" t="s">
        <v>2499</v>
      </c>
      <c r="BH585" s="115" t="s">
        <v>1168</v>
      </c>
      <c r="BI585" s="116"/>
      <c r="BJ585" s="222">
        <v>1</v>
      </c>
      <c r="BK585" s="265">
        <f t="shared" si="390"/>
        <v>0</v>
      </c>
      <c r="BL585" s="265">
        <f t="shared" si="395"/>
        <v>0</v>
      </c>
      <c r="BM585" s="265">
        <f t="shared" si="391"/>
        <v>0</v>
      </c>
      <c r="BN585" s="265">
        <f t="shared" si="392"/>
        <v>1E-3</v>
      </c>
      <c r="BO585" s="109"/>
      <c r="BP585" s="265">
        <f t="shared" si="396"/>
        <v>1E-3</v>
      </c>
      <c r="BQ585" s="265">
        <v>1E-3</v>
      </c>
      <c r="BR585" s="265" t="e">
        <f t="shared" si="397"/>
        <v>#REF!</v>
      </c>
      <c r="BS585" s="207">
        <v>1.1265923629077774E-4</v>
      </c>
      <c r="BT585" s="475">
        <v>0</v>
      </c>
      <c r="BU585" s="475">
        <v>0</v>
      </c>
      <c r="BV585" s="475">
        <v>0</v>
      </c>
      <c r="BW585" s="483">
        <f t="shared" si="398"/>
        <v>0</v>
      </c>
      <c r="BX585" s="483">
        <f t="shared" si="399"/>
        <v>0</v>
      </c>
    </row>
    <row r="586" spans="1:76" ht="14.5">
      <c r="A586" s="99"/>
      <c r="B586" s="91" t="str">
        <f t="shared" si="393"/>
        <v/>
      </c>
      <c r="C586" s="92"/>
      <c r="D586" s="451"/>
      <c r="E586" s="451"/>
      <c r="F586" s="409"/>
      <c r="G586" s="384"/>
      <c r="H586" s="398">
        <v>1</v>
      </c>
      <c r="I586" s="151"/>
      <c r="J586" s="95"/>
      <c r="K586" s="191">
        <v>0</v>
      </c>
      <c r="L586" s="269">
        <v>1</v>
      </c>
      <c r="M586" s="267">
        <v>1</v>
      </c>
      <c r="N586" s="267">
        <f t="shared" si="394"/>
        <v>0</v>
      </c>
      <c r="O586" s="96">
        <f t="shared" si="371"/>
        <v>0</v>
      </c>
      <c r="P586" s="96">
        <f t="shared" si="372"/>
        <v>0</v>
      </c>
      <c r="Q586" s="96">
        <f t="shared" si="373"/>
        <v>0</v>
      </c>
      <c r="R586" s="187"/>
      <c r="S586" s="187"/>
      <c r="T586" s="94"/>
      <c r="U586" s="395">
        <f>COUNTIF(Aggregation_of_rev_to_allocate!$A$3:$A$137,$T586)</f>
        <v>0</v>
      </c>
      <c r="V586" s="100"/>
      <c r="W586" s="100"/>
      <c r="X586" s="109">
        <v>1E-3</v>
      </c>
      <c r="Y586" s="109">
        <v>0</v>
      </c>
      <c r="Z586" s="110">
        <v>1</v>
      </c>
      <c r="AA586" s="110">
        <v>1</v>
      </c>
      <c r="AB586" s="110">
        <v>0</v>
      </c>
      <c r="AC586" s="109">
        <f>IF(ISERROR((X586*SUMIF('Rev_for_allocation(Hard)'!$A$3:$A$249,$T586,'Rev_for_allocation(Hard)'!$I$3:$I$249)/SUMIF(Historic_capex_list!$T$9:$T$586,$T586,Historic_capex_list!$X$9:$X$586))=TRUE),0,X586*SUMIF('Rev_for_allocation(Hard)'!$A$3:$A$249,$T586,'Rev_for_allocation(Hard)'!$I$3:$I$249)/SUMIF(Historic_capex_list!$T$9:$T$586,$T586,Historic_capex_list!$X$9:$X$586))</f>
        <v>0</v>
      </c>
      <c r="AD586" s="109">
        <f t="shared" si="374"/>
        <v>1E-3</v>
      </c>
      <c r="AE586" s="109">
        <f t="shared" si="375"/>
        <v>1E-3</v>
      </c>
      <c r="AF586" s="109">
        <f t="shared" si="376"/>
        <v>1E-3</v>
      </c>
      <c r="AG586" s="109"/>
      <c r="AH586" s="109"/>
      <c r="AI586" s="109"/>
      <c r="AJ586" s="109"/>
      <c r="AK586" s="109"/>
      <c r="AL586" s="109"/>
      <c r="AM586" s="111">
        <f t="shared" si="377"/>
        <v>0</v>
      </c>
      <c r="AN586" s="111">
        <f t="shared" si="378"/>
        <v>0</v>
      </c>
      <c r="AO586" s="111" t="str">
        <f t="shared" si="379"/>
        <v>Use deduct 3yrs</v>
      </c>
      <c r="AP586" s="111">
        <f t="shared" si="380"/>
        <v>0</v>
      </c>
      <c r="AQ586" s="112">
        <f t="shared" si="381"/>
        <v>0</v>
      </c>
      <c r="AR586" s="112">
        <f t="shared" si="382"/>
        <v>1</v>
      </c>
      <c r="AS586" s="113">
        <f t="shared" si="383"/>
        <v>2028</v>
      </c>
      <c r="AT586" s="109">
        <v>0</v>
      </c>
      <c r="AU586" s="114">
        <v>1</v>
      </c>
      <c r="AV586" s="113">
        <v>2028</v>
      </c>
      <c r="AW586" s="112">
        <v>1</v>
      </c>
      <c r="AX586" s="109">
        <f t="shared" si="359"/>
        <v>0</v>
      </c>
      <c r="AY586" s="109">
        <f t="shared" si="360"/>
        <v>0</v>
      </c>
      <c r="AZ586" s="109">
        <f t="shared" si="384"/>
        <v>1E-3</v>
      </c>
      <c r="BA586" s="111">
        <f t="shared" si="385"/>
        <v>1E-3</v>
      </c>
      <c r="BB586" s="117"/>
      <c r="BC586" s="115" t="str">
        <f t="shared" si="386"/>
        <v>Y</v>
      </c>
      <c r="BD586" s="115" t="str">
        <f t="shared" si="387"/>
        <v>Y</v>
      </c>
      <c r="BE586" s="115" t="str">
        <f t="shared" si="388"/>
        <v>Y</v>
      </c>
      <c r="BF586" s="109">
        <f t="shared" si="389"/>
        <v>0</v>
      </c>
      <c r="BG586" s="111" t="s">
        <v>2499</v>
      </c>
      <c r="BH586" s="115" t="s">
        <v>1168</v>
      </c>
      <c r="BI586" s="116"/>
      <c r="BJ586" s="222">
        <v>1</v>
      </c>
      <c r="BK586" s="265">
        <f t="shared" si="390"/>
        <v>0</v>
      </c>
      <c r="BL586" s="265">
        <f t="shared" si="395"/>
        <v>0</v>
      </c>
      <c r="BM586" s="265">
        <f t="shared" si="391"/>
        <v>0</v>
      </c>
      <c r="BN586" s="265">
        <f t="shared" si="392"/>
        <v>1E-3</v>
      </c>
      <c r="BO586" s="109"/>
      <c r="BP586" s="265">
        <f t="shared" si="396"/>
        <v>1E-3</v>
      </c>
      <c r="BQ586" s="265">
        <v>1E-3</v>
      </c>
      <c r="BR586" s="265" t="e">
        <f t="shared" si="397"/>
        <v>#REF!</v>
      </c>
      <c r="BS586" s="207">
        <v>1.1265923629077774E-4</v>
      </c>
      <c r="BT586" s="475">
        <v>0</v>
      </c>
      <c r="BU586" s="475">
        <v>0</v>
      </c>
      <c r="BV586" s="475">
        <v>0</v>
      </c>
      <c r="BW586" s="483">
        <f t="shared" si="398"/>
        <v>0</v>
      </c>
      <c r="BX586" s="483">
        <f t="shared" si="399"/>
        <v>0</v>
      </c>
    </row>
    <row r="587" spans="1:76" ht="14.5">
      <c r="A587" s="99"/>
      <c r="B587" s="91"/>
      <c r="C587" s="92"/>
      <c r="D587" s="102"/>
      <c r="E587" s="170"/>
      <c r="F587" s="385"/>
      <c r="G587" s="385"/>
      <c r="H587" s="399"/>
      <c r="I587" s="402"/>
      <c r="J587" s="101"/>
      <c r="K587" s="172">
        <v>2849983194.4814339</v>
      </c>
      <c r="L587" s="101"/>
      <c r="M587" s="173"/>
      <c r="N587" s="174"/>
      <c r="O587" s="172">
        <f>SUBTOTAL(9,O9:O586)</f>
        <v>2308028039.6503053</v>
      </c>
      <c r="P587" s="172">
        <f>SUBTOTAL(9,P9:P586)</f>
        <v>361222872.4610045</v>
      </c>
      <c r="Q587" s="172">
        <f>SUBTOTAL(9,Q9:Q586)</f>
        <v>66624583.892124124</v>
      </c>
      <c r="R587" s="101"/>
      <c r="S587" s="101"/>
      <c r="T587" s="101"/>
      <c r="U587" s="101"/>
      <c r="V587" s="100"/>
      <c r="W587" s="100"/>
      <c r="X587" s="250">
        <f>SUBTOTAL(9,X9:X586)</f>
        <v>499971786.30920041</v>
      </c>
      <c r="Y587" s="250">
        <f>SUBTOTAL(9,Y9:Y586)</f>
        <v>193441173.14362279</v>
      </c>
      <c r="Z587" s="251"/>
      <c r="AA587" s="252"/>
      <c r="AB587" s="252"/>
      <c r="AC587" s="253">
        <f t="shared" ref="AC587:AM587" si="400">SUBTOTAL(9,AC9:AC586)</f>
        <v>-363331704.66205299</v>
      </c>
      <c r="AD587" s="253">
        <f t="shared" si="400"/>
        <v>136640081.64714894</v>
      </c>
      <c r="AE587" s="253">
        <f t="shared" si="400"/>
        <v>90412110.954622418</v>
      </c>
      <c r="AF587" s="253">
        <f t="shared" si="400"/>
        <v>330081254.79077113</v>
      </c>
      <c r="AG587" s="253">
        <f t="shared" si="400"/>
        <v>0</v>
      </c>
      <c r="AH587" s="253">
        <f t="shared" si="400"/>
        <v>-65356477.025310367</v>
      </c>
      <c r="AI587" s="253">
        <f t="shared" si="400"/>
        <v>0</v>
      </c>
      <c r="AJ587" s="253">
        <f t="shared" si="400"/>
        <v>512622975.09635842</v>
      </c>
      <c r="AK587" s="253">
        <f t="shared" si="400"/>
        <v>-65356477.025310367</v>
      </c>
      <c r="AL587" s="253">
        <f t="shared" si="400"/>
        <v>0</v>
      </c>
      <c r="AM587" s="253">
        <f t="shared" si="400"/>
        <v>4988.4668208608018</v>
      </c>
      <c r="AN587" s="253"/>
      <c r="AO587" s="253"/>
      <c r="AP587" s="253"/>
      <c r="AQ587" s="254">
        <f>SUBTOTAL(9,AQ9:AQ586)</f>
        <v>120.94611798764979</v>
      </c>
      <c r="AR587" s="254">
        <f>SUBTOTAL(9,AR9:AR586)</f>
        <v>444.05388201234967</v>
      </c>
      <c r="AS587" s="252"/>
      <c r="AT587" s="253">
        <f>SUBTOTAL(9,AT9:AT586)</f>
        <v>449210209.94255173</v>
      </c>
      <c r="AU587" s="252"/>
      <c r="AV587" s="252"/>
      <c r="AW587" s="254">
        <f>SUBTOTAL(9,AW9:AW586)</f>
        <v>334.61485738723093</v>
      </c>
      <c r="AX587" s="253">
        <f>SUBTOTAL(9,AX9:AX586)</f>
        <v>368077319.08015299</v>
      </c>
      <c r="AY587" s="253">
        <f>SUBTOTAL(9,AY9:AY586)</f>
        <v>109882488.3285924</v>
      </c>
      <c r="AZ587" s="253">
        <f>SUBTOTAL(9,AZ9:AZ586)</f>
        <v>419819382.68756938</v>
      </c>
      <c r="BA587" s="253">
        <f>SUBTOTAL(9,BA9:BA586)</f>
        <v>-29390827.254981402</v>
      </c>
      <c r="BB587" s="255"/>
      <c r="BC587" s="252"/>
      <c r="BD587" s="252"/>
      <c r="BE587" s="256">
        <f>COUNTIF($BE$9:$BE$586,"Y")</f>
        <v>72</v>
      </c>
      <c r="BF587" s="253">
        <f>SUBTOTAL(9,BF9:BF586)</f>
        <v>-98075905.123757288</v>
      </c>
      <c r="BG587" s="253">
        <f>SUBTOTAL(9,BG9:BG586)</f>
        <v>0</v>
      </c>
      <c r="BH587" s="256">
        <f>COUNTIF($BE$9:$BE$586,"Y")</f>
        <v>72</v>
      </c>
      <c r="BI587" s="257"/>
      <c r="BJ587" s="254">
        <f t="shared" ref="BJ587:BS587" si="401">SUBTOTAL(9,BJ9:BJ586)</f>
        <v>365.59016117006115</v>
      </c>
      <c r="BK587" s="253">
        <f t="shared" si="401"/>
        <v>46372270.541117609</v>
      </c>
      <c r="BL587" s="253">
        <f t="shared" si="401"/>
        <v>-46372270.541117609</v>
      </c>
      <c r="BM587" s="253">
        <f t="shared" si="401"/>
        <v>-422729.99999999529</v>
      </c>
      <c r="BN587" s="253">
        <f t="shared" si="401"/>
        <v>143759168.01074645</v>
      </c>
      <c r="BO587" s="253">
        <f t="shared" si="401"/>
        <v>0</v>
      </c>
      <c r="BP587" s="253">
        <f t="shared" si="401"/>
        <v>244202749.51027337</v>
      </c>
      <c r="BQ587" s="253">
        <f t="shared" si="401"/>
        <v>244202749.51027337</v>
      </c>
      <c r="BR587" s="253" t="e">
        <f t="shared" si="401"/>
        <v>#REF!</v>
      </c>
      <c r="BS587" s="253">
        <f t="shared" si="401"/>
        <v>27511695.259935547</v>
      </c>
      <c r="BT587" s="476">
        <v>1986225265.2583263</v>
      </c>
      <c r="BU587" s="476">
        <v>378929266.8856895</v>
      </c>
      <c r="BV587" s="476">
        <v>110804297.14543831</v>
      </c>
      <c r="BW587" s="483">
        <f t="shared" si="398"/>
        <v>-17706394.424685001</v>
      </c>
      <c r="BX587" s="483">
        <f t="shared" si="399"/>
        <v>-44179713.25331419</v>
      </c>
    </row>
    <row r="588" spans="1:76" ht="14.5">
      <c r="A588" s="99"/>
      <c r="B588" s="91"/>
      <c r="C588" s="92"/>
      <c r="D588" s="102"/>
      <c r="E588" s="170"/>
      <c r="F588" s="386"/>
      <c r="G588" s="386"/>
      <c r="H588" s="399"/>
      <c r="I588" s="402"/>
      <c r="J588" s="101"/>
      <c r="K588" s="172">
        <v>2849983194.4814339</v>
      </c>
      <c r="L588" s="101"/>
      <c r="M588" s="173"/>
      <c r="N588" s="174"/>
      <c r="O588" s="172">
        <f>SUM(O9:O586)</f>
        <v>2308028039.6503053</v>
      </c>
      <c r="P588" s="172">
        <f>SUM(P9:P586)</f>
        <v>361222872.4610045</v>
      </c>
      <c r="Q588" s="172">
        <f>SUM(Q9:Q586)</f>
        <v>66624583.892124124</v>
      </c>
      <c r="R588" s="101"/>
      <c r="S588" s="101"/>
      <c r="T588" s="101"/>
      <c r="U588" s="101"/>
      <c r="V588" s="100"/>
      <c r="W588" s="100"/>
      <c r="X588" s="172">
        <f>SUM(X9:X586)</f>
        <v>499971786.30920041</v>
      </c>
      <c r="Y588" s="250">
        <f>SUM(Y9:Y586)</f>
        <v>193441173.14362279</v>
      </c>
      <c r="Z588" s="101"/>
      <c r="AA588" s="119"/>
      <c r="AB588" s="119"/>
      <c r="AC588" s="118">
        <f t="shared" ref="AC588:AM588" si="402">SUM(AC9:AC586)</f>
        <v>-363331704.66205299</v>
      </c>
      <c r="AD588" s="118">
        <f t="shared" si="402"/>
        <v>136640081.64714894</v>
      </c>
      <c r="AE588" s="118">
        <f t="shared" si="402"/>
        <v>90412110.954622418</v>
      </c>
      <c r="AF588" s="118">
        <f t="shared" si="402"/>
        <v>330081254.79077113</v>
      </c>
      <c r="AG588" s="118">
        <f t="shared" si="402"/>
        <v>0</v>
      </c>
      <c r="AH588" s="118">
        <f t="shared" si="402"/>
        <v>-65356477.025310367</v>
      </c>
      <c r="AI588" s="118">
        <f t="shared" si="402"/>
        <v>0</v>
      </c>
      <c r="AJ588" s="118">
        <f t="shared" si="402"/>
        <v>512622975.09635842</v>
      </c>
      <c r="AK588" s="118">
        <f t="shared" si="402"/>
        <v>-65356477.025310367</v>
      </c>
      <c r="AL588" s="118">
        <f t="shared" si="402"/>
        <v>0</v>
      </c>
      <c r="AM588" s="118">
        <f t="shared" si="402"/>
        <v>4988.4668208608018</v>
      </c>
      <c r="AN588" s="118"/>
      <c r="AO588" s="118"/>
      <c r="AP588" s="118"/>
      <c r="AQ588" s="220">
        <f>SUM(AQ9:AQ586)</f>
        <v>120.94611798764979</v>
      </c>
      <c r="AR588" s="220">
        <f>SUM(AR9:AR586)</f>
        <v>444.05388201234967</v>
      </c>
      <c r="AS588" s="119"/>
      <c r="AT588" s="118">
        <f>SUM(AT9:AT586)</f>
        <v>449210209.94255173</v>
      </c>
      <c r="AU588" s="119"/>
      <c r="AV588" s="119"/>
      <c r="AW588" s="220">
        <f>SUM(AW9:AW586)</f>
        <v>334.61485738723093</v>
      </c>
      <c r="AX588" s="118">
        <f>SUM(AX9:AX586)</f>
        <v>368077319.08015299</v>
      </c>
      <c r="AY588" s="118">
        <f>SUM(AY9:AY586)</f>
        <v>109882488.3285924</v>
      </c>
      <c r="AZ588" s="118">
        <f>SUM(AZ9:AZ586)</f>
        <v>419819382.68756938</v>
      </c>
      <c r="BA588" s="118">
        <f>SUM(BA9:BA586)</f>
        <v>-29390827.254981402</v>
      </c>
      <c r="BB588" s="120"/>
      <c r="BC588" s="119"/>
      <c r="BD588" s="119"/>
      <c r="BE588" s="121"/>
      <c r="BF588" s="118">
        <f>SUM(BF9:BF586)</f>
        <v>-98075905.123757288</v>
      </c>
      <c r="BG588" s="118">
        <f>SUM(BG9:BG586)</f>
        <v>0</v>
      </c>
      <c r="BH588" s="121"/>
      <c r="BI588" s="104"/>
      <c r="BJ588" s="220">
        <f t="shared" ref="BJ588:BS588" si="403">SUM(BJ9:BJ586)</f>
        <v>365.59016117006115</v>
      </c>
      <c r="BK588" s="118">
        <f t="shared" si="403"/>
        <v>46372270.541117609</v>
      </c>
      <c r="BL588" s="118">
        <f t="shared" si="403"/>
        <v>-46372270.541117609</v>
      </c>
      <c r="BM588" s="118">
        <f t="shared" si="403"/>
        <v>-422729.99999999529</v>
      </c>
      <c r="BN588" s="118">
        <f t="shared" si="403"/>
        <v>143759168.01074645</v>
      </c>
      <c r="BO588" s="118">
        <f t="shared" si="403"/>
        <v>0</v>
      </c>
      <c r="BP588" s="118">
        <f t="shared" si="403"/>
        <v>244202749.51027337</v>
      </c>
      <c r="BQ588" s="118">
        <f t="shared" si="403"/>
        <v>244202749.51027337</v>
      </c>
      <c r="BR588" s="118" t="e">
        <f t="shared" si="403"/>
        <v>#REF!</v>
      </c>
      <c r="BS588" s="118">
        <f t="shared" si="403"/>
        <v>27511695.259935547</v>
      </c>
      <c r="BT588" s="476">
        <v>1986225265.2583263</v>
      </c>
      <c r="BU588" s="476">
        <v>378929266.8856895</v>
      </c>
      <c r="BV588" s="476">
        <v>110804297.14543831</v>
      </c>
      <c r="BW588" s="483">
        <f t="shared" si="398"/>
        <v>-17706394.424685001</v>
      </c>
      <c r="BX588" s="483">
        <f t="shared" si="399"/>
        <v>-44179713.25331419</v>
      </c>
    </row>
    <row r="589" spans="1:76" ht="14.5">
      <c r="A589" s="99"/>
      <c r="B589" s="91"/>
      <c r="C589" s="92"/>
      <c r="D589" s="102"/>
      <c r="E589" s="170"/>
      <c r="F589" s="386"/>
      <c r="G589" s="386"/>
      <c r="H589" s="399"/>
      <c r="I589" s="402"/>
      <c r="J589" s="101"/>
      <c r="K589" s="172">
        <v>2849983194.4814315</v>
      </c>
      <c r="L589" s="101"/>
      <c r="M589" s="173"/>
      <c r="N589" s="174"/>
      <c r="O589" s="175"/>
      <c r="P589" s="175"/>
      <c r="Q589" s="175">
        <f>+P588+Q588-AT588</f>
        <v>-21362753.58942312</v>
      </c>
      <c r="R589" s="175"/>
      <c r="S589" s="175"/>
      <c r="T589" s="175"/>
      <c r="U589" s="175"/>
      <c r="V589" s="100"/>
      <c r="W589" s="100"/>
      <c r="X589" s="101">
        <f>+Q587+P587</f>
        <v>427847456.35312861</v>
      </c>
      <c r="Y589" s="250"/>
      <c r="Z589" s="101"/>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19"/>
      <c r="BE589" s="119"/>
      <c r="BF589" s="119">
        <f>COUNTIF(BF9:BF586,"&gt;1")</f>
        <v>9</v>
      </c>
      <c r="BG589" s="119"/>
      <c r="BH589" s="119"/>
      <c r="BI589" s="104"/>
      <c r="BT589" s="477"/>
      <c r="BU589" s="477"/>
      <c r="BV589" s="477">
        <v>4706774.2349452972</v>
      </c>
      <c r="BW589" s="483">
        <f t="shared" si="398"/>
        <v>0</v>
      </c>
      <c r="BX589" s="483">
        <f t="shared" si="399"/>
        <v>-26069527.824368417</v>
      </c>
    </row>
    <row r="590" spans="1:76" ht="14.5">
      <c r="A590" s="99"/>
      <c r="B590" s="91"/>
      <c r="C590" s="92"/>
      <c r="D590" s="102"/>
      <c r="E590" s="170"/>
      <c r="F590" s="386"/>
      <c r="G590" s="386"/>
      <c r="H590" s="399"/>
      <c r="I590" s="402"/>
      <c r="J590" s="102" t="s">
        <v>2493</v>
      </c>
      <c r="K590" s="172">
        <v>0</v>
      </c>
      <c r="L590" s="102"/>
      <c r="M590" s="171"/>
      <c r="N590" s="177"/>
      <c r="O590" s="175"/>
      <c r="P590" s="175"/>
      <c r="Q590" s="175" t="s">
        <v>2496</v>
      </c>
      <c r="R590" s="175"/>
      <c r="S590" s="175"/>
      <c r="T590" s="175"/>
      <c r="U590" s="175"/>
      <c r="V590" s="100"/>
      <c r="W590" s="100"/>
      <c r="X590" s="178"/>
      <c r="Y590" s="178"/>
      <c r="Z590" s="102"/>
      <c r="AA590" s="122"/>
      <c r="AB590" s="122"/>
      <c r="AC590" s="119">
        <f>+AC588-'Rev_for_allocation(Hard)'!K151</f>
        <v>-363331704.66205299</v>
      </c>
      <c r="AD590" s="119">
        <f>+AD588-AC588-X588</f>
        <v>1.5497207641601563E-6</v>
      </c>
      <c r="AE590" s="119">
        <f>+AE588-AD588-Z588</f>
        <v>-46227970.692526519</v>
      </c>
      <c r="AF590" s="119">
        <f>+AF588-Y588-AD588</f>
        <v>-5.9604644775390625E-7</v>
      </c>
      <c r="AG590" s="119"/>
      <c r="AH590" s="119"/>
      <c r="AI590" s="119">
        <f>SUMIF($AE$9:$AE$506,"&lt;0",AE9:AE506)</f>
        <v>-83666636.764881298</v>
      </c>
      <c r="AJ590" s="119">
        <f>+AJ588-AK588</f>
        <v>577979452.12166882</v>
      </c>
      <c r="AK590" s="119"/>
      <c r="AL590" s="119"/>
      <c r="AM590" s="122"/>
      <c r="AN590" s="122"/>
      <c r="AO590" s="122"/>
      <c r="AP590" s="122"/>
      <c r="AQ590" s="122"/>
      <c r="AR590" s="122"/>
      <c r="AS590" s="122"/>
      <c r="AT590" s="119">
        <v>485026790.15995574</v>
      </c>
      <c r="AU590" s="122"/>
      <c r="AV590" s="122"/>
      <c r="AW590" s="122"/>
      <c r="AX590" s="122"/>
      <c r="AY590" s="122"/>
      <c r="AZ590" s="122"/>
      <c r="BA590" s="122"/>
      <c r="BB590" s="122"/>
      <c r="BC590" s="122"/>
      <c r="BD590" s="122"/>
      <c r="BE590" s="104"/>
      <c r="BF590" s="123">
        <f>+BF587-P587</f>
        <v>-459298777.5847618</v>
      </c>
      <c r="BG590" s="104"/>
      <c r="BH590" s="104"/>
      <c r="BI590" s="104"/>
      <c r="BT590" s="477"/>
      <c r="BU590" s="477"/>
      <c r="BV590" s="477" t="s">
        <v>2496</v>
      </c>
      <c r="BW590" s="483">
        <f t="shared" si="398"/>
        <v>0</v>
      </c>
      <c r="BX590" s="483" t="e">
        <f t="shared" si="399"/>
        <v>#VALUE!</v>
      </c>
    </row>
    <row r="591" spans="1:76" ht="14.5">
      <c r="A591" s="99"/>
      <c r="B591" s="91"/>
      <c r="C591" s="92"/>
      <c r="D591" s="102"/>
      <c r="E591" s="170"/>
      <c r="F591" s="386"/>
      <c r="G591" s="386"/>
      <c r="H591" s="399"/>
      <c r="I591" s="402"/>
      <c r="J591" s="102"/>
      <c r="K591" s="176"/>
      <c r="L591" s="102"/>
      <c r="M591" s="171"/>
      <c r="N591" s="177"/>
      <c r="O591" s="179"/>
      <c r="P591" s="179"/>
      <c r="Q591" s="179"/>
      <c r="R591" s="180"/>
      <c r="S591" s="180"/>
      <c r="T591" s="102"/>
      <c r="U591" s="102"/>
      <c r="V591" s="100"/>
      <c r="W591" s="100"/>
      <c r="X591" s="102"/>
      <c r="Y591" s="102"/>
      <c r="Z591" s="102"/>
      <c r="AA591" s="122"/>
      <c r="AB591" s="122"/>
      <c r="AC591" s="122"/>
      <c r="AD591" s="122"/>
      <c r="AE591" s="122"/>
      <c r="AF591" s="122"/>
      <c r="AG591" s="122"/>
      <c r="AH591" s="122"/>
      <c r="AI591" s="122"/>
      <c r="AJ591" s="119">
        <v>576991275.43562388</v>
      </c>
      <c r="AK591" s="122"/>
      <c r="AL591" s="122"/>
      <c r="AM591" s="122"/>
      <c r="AN591" s="122"/>
      <c r="AO591" s="122"/>
      <c r="AP591" s="122"/>
      <c r="AQ591" s="122"/>
      <c r="AR591" s="122"/>
      <c r="AS591" s="122"/>
      <c r="AT591" s="122" t="s">
        <v>4382</v>
      </c>
      <c r="AU591" s="122"/>
      <c r="AV591" s="122"/>
      <c r="AW591" s="122"/>
      <c r="AX591" s="122"/>
      <c r="AY591" s="122"/>
      <c r="AZ591" s="122"/>
      <c r="BA591" s="122"/>
      <c r="BB591" s="122"/>
      <c r="BC591" s="122"/>
      <c r="BD591" s="107"/>
      <c r="BE591" s="104"/>
      <c r="BF591" s="104"/>
      <c r="BG591" s="104"/>
      <c r="BH591" s="104"/>
      <c r="BI591" s="104"/>
      <c r="BW591" s="483">
        <f t="shared" si="398"/>
        <v>0</v>
      </c>
      <c r="BX591" s="483">
        <f t="shared" si="399"/>
        <v>0</v>
      </c>
    </row>
    <row r="592" spans="1:76" ht="14.5">
      <c r="A592" s="99"/>
      <c r="B592" s="91"/>
      <c r="C592" s="92"/>
      <c r="D592" s="102"/>
      <c r="E592" s="170"/>
      <c r="F592" s="386"/>
      <c r="G592" s="386"/>
      <c r="H592" s="399"/>
      <c r="I592" s="402"/>
      <c r="J592" s="102"/>
      <c r="K592" s="180">
        <v>58181381.530000001</v>
      </c>
      <c r="L592" s="102"/>
      <c r="M592" s="171"/>
      <c r="N592" s="177"/>
      <c r="O592" s="179"/>
      <c r="P592" s="179"/>
      <c r="Q592" s="179">
        <f>COUNTIF($P$9:$P$488,"&lt;25000")</f>
        <v>114</v>
      </c>
      <c r="R592" s="102"/>
      <c r="S592" s="102"/>
      <c r="T592" s="102"/>
      <c r="U592" s="102"/>
      <c r="V592" s="100"/>
      <c r="W592" s="100"/>
      <c r="X592" s="102"/>
      <c r="Y592" s="102"/>
      <c r="Z592" s="102"/>
      <c r="AA592" s="122"/>
      <c r="AB592" s="122"/>
      <c r="AC592" s="122"/>
      <c r="AD592" s="122"/>
      <c r="AE592" s="122"/>
      <c r="AF592" s="122"/>
      <c r="AG592" s="122"/>
      <c r="AH592" s="122"/>
      <c r="AI592" s="122"/>
      <c r="AJ592" s="122"/>
      <c r="AK592" s="122"/>
      <c r="AL592" s="122"/>
      <c r="AM592" s="122"/>
      <c r="AN592" s="122"/>
      <c r="AO592" s="122"/>
      <c r="AP592" s="122"/>
      <c r="AQ592" s="122"/>
      <c r="AR592" s="122"/>
      <c r="AS592" s="122"/>
      <c r="AT592" s="119">
        <f>+AT590-AT588</f>
        <v>35816580.217404008</v>
      </c>
      <c r="AU592" s="122"/>
      <c r="AV592" s="122"/>
      <c r="AW592" s="122"/>
      <c r="AX592" s="122"/>
      <c r="AY592" s="122"/>
      <c r="AZ592" s="122"/>
      <c r="BA592" s="122"/>
      <c r="BB592" s="122"/>
      <c r="BC592" s="122"/>
      <c r="BD592" s="107"/>
      <c r="BE592" s="104"/>
      <c r="BF592" s="104"/>
      <c r="BG592" s="104"/>
      <c r="BH592" s="104"/>
      <c r="BI592" s="104"/>
      <c r="BV592" s="472">
        <v>129</v>
      </c>
      <c r="BW592" s="483">
        <f t="shared" si="398"/>
        <v>0</v>
      </c>
      <c r="BX592" s="483">
        <f t="shared" si="399"/>
        <v>-15</v>
      </c>
    </row>
    <row r="593" spans="1:76" ht="14.5">
      <c r="A593" s="99"/>
      <c r="B593" s="91"/>
      <c r="C593" s="92"/>
      <c r="D593" s="99"/>
      <c r="E593" s="181"/>
      <c r="F593" s="387" t="s">
        <v>2499</v>
      </c>
      <c r="G593" s="387" t="s">
        <v>2499</v>
      </c>
      <c r="H593" s="400"/>
      <c r="I593" s="401"/>
      <c r="J593" s="99"/>
      <c r="K593" s="180"/>
      <c r="L593" s="99"/>
      <c r="M593" s="182"/>
      <c r="N593" s="177"/>
      <c r="O593" s="179"/>
      <c r="P593" s="179"/>
      <c r="Q593" s="179"/>
      <c r="R593" s="99"/>
      <c r="S593" s="99"/>
      <c r="T593" s="99"/>
      <c r="U593" s="99"/>
      <c r="V593" s="100"/>
      <c r="W593" s="100"/>
      <c r="X593" s="99"/>
      <c r="Y593" s="99"/>
      <c r="Z593" s="99"/>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7"/>
      <c r="BE593" s="104"/>
      <c r="BF593" s="104"/>
      <c r="BG593" s="104"/>
      <c r="BH593" s="104"/>
      <c r="BI593" s="104"/>
      <c r="BW593" s="483">
        <f t="shared" si="398"/>
        <v>0</v>
      </c>
      <c r="BX593" s="483">
        <f t="shared" si="399"/>
        <v>0</v>
      </c>
    </row>
    <row r="594" spans="1:76" ht="14.5">
      <c r="A594" s="99"/>
      <c r="B594" s="91"/>
      <c r="C594" s="92"/>
      <c r="D594" s="99"/>
      <c r="E594" s="99"/>
      <c r="F594" s="388"/>
      <c r="G594" s="388"/>
      <c r="H594" s="401"/>
      <c r="I594" s="401"/>
      <c r="J594" s="99"/>
      <c r="K594" s="99"/>
      <c r="L594" s="180"/>
      <c r="M594" s="99"/>
      <c r="N594" s="182"/>
      <c r="O594" s="177"/>
      <c r="P594" s="179">
        <f>SUBTOTAL(9,P17:P488)</f>
        <v>428667110.78102088</v>
      </c>
      <c r="Q594" s="179"/>
      <c r="R594" s="179"/>
      <c r="S594" s="179"/>
      <c r="T594" s="99"/>
      <c r="U594" s="99"/>
      <c r="V594" s="100"/>
      <c r="W594" s="100"/>
      <c r="X594" s="99"/>
      <c r="Y594" s="99"/>
      <c r="Z594" s="99"/>
      <c r="AA594" s="190"/>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7"/>
      <c r="BF594" s="104"/>
      <c r="BG594" s="104"/>
      <c r="BH594" s="104"/>
      <c r="BI594" s="104"/>
      <c r="BT594" s="478"/>
    </row>
    <row r="595" spans="1:76" ht="14.5">
      <c r="A595" s="99"/>
      <c r="B595" s="91"/>
      <c r="C595" s="92"/>
      <c r="D595" s="99"/>
      <c r="E595" s="99"/>
      <c r="F595" s="388"/>
      <c r="G595" s="388"/>
      <c r="H595" s="401"/>
      <c r="I595" s="401"/>
      <c r="J595" s="99"/>
      <c r="K595" s="99"/>
      <c r="L595" s="183"/>
      <c r="M595" s="99"/>
      <c r="N595" s="182"/>
      <c r="O595" s="177"/>
      <c r="P595" s="179">
        <f>SUBTOTAL(9,P30:P501)</f>
        <v>428932508.11795384</v>
      </c>
      <c r="Q595" s="179">
        <f>SUBTOTAL(9,Q30:Q501)</f>
        <v>51851481.683162697</v>
      </c>
      <c r="R595" s="179"/>
      <c r="S595" s="179"/>
      <c r="T595" s="99"/>
      <c r="U595" s="99"/>
      <c r="V595" s="100"/>
      <c r="W595" s="100"/>
      <c r="X595" s="99"/>
      <c r="Y595" s="99"/>
      <c r="Z595" s="99"/>
      <c r="AA595" s="190"/>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7"/>
      <c r="BF595" s="104"/>
      <c r="BG595" s="104"/>
      <c r="BH595" s="104"/>
      <c r="BI595" s="104"/>
      <c r="BT595" s="478"/>
    </row>
    <row r="596" spans="1:76" ht="14.5">
      <c r="A596" s="99"/>
      <c r="B596" s="91"/>
      <c r="C596" s="92"/>
      <c r="D596" s="99"/>
      <c r="E596" s="99"/>
      <c r="F596" s="389" t="s">
        <v>2509</v>
      </c>
      <c r="G596" s="389"/>
      <c r="H596" s="402" t="s">
        <v>2510</v>
      </c>
      <c r="I596" s="401"/>
      <c r="J596" s="181"/>
      <c r="K596" s="181"/>
      <c r="L596" s="184" t="s">
        <v>2622</v>
      </c>
      <c r="M596" s="183">
        <v>3511636086.6714883</v>
      </c>
      <c r="N596" s="99"/>
      <c r="O596" s="179">
        <v>2627916219.7193232</v>
      </c>
      <c r="P596" s="179">
        <v>654900731.9848628</v>
      </c>
      <c r="Q596" s="179">
        <v>228819134.96730319</v>
      </c>
      <c r="R596" s="99"/>
      <c r="S596" s="99"/>
      <c r="T596" s="99"/>
      <c r="U596" s="99"/>
      <c r="V596" s="100"/>
      <c r="W596" s="100"/>
      <c r="X596" s="99"/>
      <c r="Y596" s="99"/>
      <c r="Z596" s="99"/>
      <c r="AA596" s="104"/>
      <c r="AB596" s="104"/>
      <c r="AC596" s="104"/>
      <c r="AD596" s="104"/>
      <c r="AE596" s="104"/>
      <c r="AF596" s="104"/>
      <c r="AG596" s="104"/>
      <c r="AH596" s="104"/>
      <c r="AI596" s="104"/>
      <c r="AJ596" s="104"/>
      <c r="AK596" s="118">
        <f t="shared" ref="AK596:AL620" si="404">SUMIF($T$9:$T$586,$AG596,AK$9:AK$586)</f>
        <v>0</v>
      </c>
      <c r="AL596" s="118">
        <f t="shared" si="404"/>
        <v>0</v>
      </c>
      <c r="AM596" s="104"/>
      <c r="AN596" s="104"/>
      <c r="AO596" s="104"/>
      <c r="AP596" s="104"/>
      <c r="AQ596" s="104"/>
      <c r="AR596" s="104"/>
      <c r="AS596" s="104"/>
      <c r="AT596" s="104"/>
      <c r="AU596" s="104"/>
      <c r="AV596" s="104"/>
      <c r="AW596" s="104"/>
      <c r="AX596" s="104"/>
      <c r="AY596" s="104"/>
      <c r="AZ596" s="104"/>
      <c r="BA596" s="104"/>
      <c r="BB596" s="104"/>
      <c r="BC596" s="104"/>
      <c r="BD596" s="107"/>
      <c r="BE596" s="104"/>
      <c r="BF596" s="104"/>
      <c r="BG596" s="104"/>
      <c r="BH596" s="104"/>
      <c r="BI596" s="104"/>
      <c r="BT596" s="472">
        <v>2627916219.7193232</v>
      </c>
      <c r="BU596" s="472">
        <v>654900731.9848628</v>
      </c>
      <c r="BV596" s="472">
        <v>228819134.96730319</v>
      </c>
    </row>
    <row r="597" spans="1:76" ht="14.5">
      <c r="A597" s="99"/>
      <c r="B597" s="91" t="s">
        <v>2628</v>
      </c>
      <c r="C597" s="91" t="s">
        <v>2508</v>
      </c>
      <c r="D597" s="99"/>
      <c r="E597" s="99"/>
      <c r="F597" s="390">
        <f t="shared" ref="F597:F643" si="405">SUMIFS($P$9:$P$506,$B$9:$B$506,$B597,$A$9:$A$506,$C597)</f>
        <v>14524963.545584075</v>
      </c>
      <c r="G597" s="390"/>
      <c r="H597" s="390">
        <f>SUMIFS($Q$9:$Q$506,$B$9:$B$506,$B597,$A$9:$A$506,$C597)</f>
        <v>5894384.2032508971</v>
      </c>
      <c r="I597" s="401"/>
      <c r="J597" s="181"/>
      <c r="K597" s="181"/>
      <c r="L597" s="99"/>
      <c r="M597" s="192">
        <f>M596-K587</f>
        <v>661652892.19005442</v>
      </c>
      <c r="N597" s="99"/>
      <c r="O597" s="179">
        <f>O596-O587</f>
        <v>319888180.06901789</v>
      </c>
      <c r="P597" s="179">
        <f>P596-P587</f>
        <v>293677859.52385831</v>
      </c>
      <c r="Q597" s="179">
        <f>Q596-Q587</f>
        <v>162194551.07517907</v>
      </c>
      <c r="R597" s="99"/>
      <c r="S597" s="99"/>
      <c r="T597" s="99"/>
      <c r="U597" s="99"/>
      <c r="V597" s="100"/>
      <c r="W597" s="100"/>
      <c r="X597" s="99"/>
      <c r="Y597" s="99"/>
      <c r="Z597" s="99"/>
      <c r="AA597" s="104"/>
      <c r="AB597" s="104"/>
      <c r="AC597" s="104"/>
      <c r="AD597" s="104"/>
      <c r="AE597" s="104"/>
      <c r="AF597" s="104"/>
      <c r="AG597" s="104" t="s">
        <v>2714</v>
      </c>
      <c r="AH597" s="104"/>
      <c r="AI597" s="104"/>
      <c r="AJ597" s="104"/>
      <c r="AK597" s="118">
        <f t="shared" si="404"/>
        <v>0</v>
      </c>
      <c r="AL597" s="118">
        <f t="shared" si="404"/>
        <v>0</v>
      </c>
      <c r="AM597" s="104"/>
      <c r="AN597" s="104"/>
      <c r="AO597" s="104"/>
      <c r="AP597" s="104"/>
      <c r="AQ597" s="104"/>
      <c r="AR597" s="104"/>
      <c r="AS597" s="104"/>
      <c r="AT597" s="104"/>
      <c r="AU597" s="104"/>
      <c r="AV597" s="104"/>
      <c r="AW597" s="104"/>
      <c r="AX597" s="104"/>
      <c r="AY597" s="104"/>
      <c r="AZ597" s="104"/>
      <c r="BA597" s="104"/>
      <c r="BB597" s="104"/>
      <c r="BC597" s="104"/>
      <c r="BD597" s="107"/>
      <c r="BE597" s="104"/>
      <c r="BF597" s="104"/>
      <c r="BG597" s="104"/>
      <c r="BH597" s="104"/>
      <c r="BI597" s="104"/>
      <c r="BT597" s="472">
        <v>641690954.46099687</v>
      </c>
      <c r="BU597" s="472">
        <v>275971465.09917331</v>
      </c>
      <c r="BV597" s="472">
        <v>118014837.82186487</v>
      </c>
    </row>
    <row r="598" spans="1:76" ht="14.5">
      <c r="A598" s="99"/>
      <c r="B598" s="91" t="s">
        <v>2628</v>
      </c>
      <c r="C598" s="91" t="s">
        <v>2505</v>
      </c>
      <c r="D598" s="99"/>
      <c r="E598" s="99"/>
      <c r="F598" s="390">
        <f t="shared" si="405"/>
        <v>0</v>
      </c>
      <c r="G598" s="390"/>
      <c r="H598" s="390">
        <f t="shared" ref="H598:H644" si="406">SUMIFS($Q$9:$Q$506,$B$9:$B$506,$B598,$A$9:$A$506,$C598)</f>
        <v>0</v>
      </c>
      <c r="I598" s="401"/>
      <c r="J598" s="181"/>
      <c r="K598" s="181"/>
      <c r="L598" s="185" t="s">
        <v>4915</v>
      </c>
      <c r="M598" s="183"/>
      <c r="N598" s="99"/>
      <c r="O598" s="182"/>
      <c r="P598" s="177"/>
      <c r="Q598" s="179"/>
      <c r="R598" s="179"/>
      <c r="S598" s="179"/>
      <c r="T598" s="99"/>
      <c r="U598" s="99"/>
      <c r="V598" s="100"/>
      <c r="W598" s="100"/>
      <c r="X598" s="99"/>
      <c r="Y598" s="99"/>
      <c r="Z598" s="99"/>
      <c r="AA598" s="104"/>
      <c r="AB598" s="104"/>
      <c r="AC598" s="104"/>
      <c r="AD598" s="104"/>
      <c r="AE598" s="104"/>
      <c r="AF598" s="104"/>
      <c r="AG598" s="104" t="s">
        <v>2727</v>
      </c>
      <c r="AH598" s="104"/>
      <c r="AI598" s="104"/>
      <c r="AJ598" s="104"/>
      <c r="AK598" s="118">
        <f t="shared" si="404"/>
        <v>0</v>
      </c>
      <c r="AL598" s="118">
        <f t="shared" si="404"/>
        <v>0</v>
      </c>
      <c r="AM598" s="104"/>
      <c r="AN598" s="104"/>
      <c r="AO598" s="104"/>
      <c r="AP598" s="104"/>
      <c r="AQ598" s="104"/>
      <c r="AR598" s="104"/>
      <c r="AS598" s="104"/>
      <c r="AT598" s="104"/>
      <c r="AU598" s="104"/>
      <c r="AV598" s="104"/>
      <c r="AW598" s="104"/>
      <c r="AX598" s="104"/>
      <c r="AY598" s="104"/>
      <c r="AZ598" s="104"/>
      <c r="BA598" s="104"/>
      <c r="BB598" s="104"/>
      <c r="BC598" s="104"/>
      <c r="BD598" s="107"/>
      <c r="BE598" s="104"/>
      <c r="BF598" s="104"/>
      <c r="BG598" s="104"/>
      <c r="BH598" s="104"/>
      <c r="BI598" s="104"/>
      <c r="BT598" s="479"/>
      <c r="BU598" s="478"/>
    </row>
    <row r="599" spans="1:76" ht="14.5">
      <c r="A599" s="99"/>
      <c r="B599" s="91" t="s">
        <v>2628</v>
      </c>
      <c r="C599" s="91" t="s">
        <v>2504</v>
      </c>
      <c r="D599" s="99"/>
      <c r="E599" s="99"/>
      <c r="F599" s="390">
        <f t="shared" si="405"/>
        <v>9768704.3206342384</v>
      </c>
      <c r="G599" s="390"/>
      <c r="H599" s="390">
        <f t="shared" si="406"/>
        <v>0</v>
      </c>
      <c r="I599" s="401"/>
      <c r="J599" s="181"/>
      <c r="K599" s="181"/>
      <c r="L599" s="99"/>
      <c r="M599" s="183"/>
      <c r="N599" s="99"/>
      <c r="O599" s="182"/>
      <c r="P599" s="175">
        <f t="shared" ref="P599:Q604" si="407">SUMIF($B$9:$B$586,$S599,P$9:P$586)</f>
        <v>175810798.22828531</v>
      </c>
      <c r="Q599" s="175">
        <f t="shared" si="407"/>
        <v>23457874.686909437</v>
      </c>
      <c r="R599" s="179"/>
      <c r="S599" s="216" t="s">
        <v>2628</v>
      </c>
      <c r="T599" s="175">
        <f>SUMIF($B$520:$B$579,$S599,$P$520:$P$581)</f>
        <v>-7105806.1892380081</v>
      </c>
      <c r="U599" s="216"/>
      <c r="V599" s="100"/>
      <c r="W599" s="100"/>
      <c r="X599" s="99"/>
      <c r="Y599" s="99"/>
      <c r="Z599" s="99"/>
      <c r="AA599" s="104"/>
      <c r="AB599" s="218">
        <f>+AC599-'Rev_for_allocation(Hard)'!H254</f>
        <v>1651942.1606650241</v>
      </c>
      <c r="AC599" s="218">
        <f t="shared" ref="AC599:AD604" si="408">SUMIF($B$9:$B$586,$S599,AC$9:AC$586)</f>
        <v>-10694829.224069588</v>
      </c>
      <c r="AD599" s="218">
        <f t="shared" si="408"/>
        <v>175855117.3481718</v>
      </c>
      <c r="AE599" s="218"/>
      <c r="AF599" s="104"/>
      <c r="AG599" s="104" t="s">
        <v>2728</v>
      </c>
      <c r="AH599" s="104"/>
      <c r="AI599" s="104"/>
      <c r="AJ599" s="104"/>
      <c r="AK599" s="118">
        <f t="shared" si="404"/>
        <v>0</v>
      </c>
      <c r="AL599" s="118">
        <f t="shared" si="404"/>
        <v>0</v>
      </c>
      <c r="AM599" s="104"/>
      <c r="AN599" s="104"/>
      <c r="AO599" s="104"/>
      <c r="AP599" s="104"/>
      <c r="AQ599" s="104"/>
      <c r="AR599" s="104"/>
      <c r="AS599" s="104"/>
      <c r="AT599" s="104"/>
      <c r="AU599" s="104"/>
      <c r="AV599" s="104"/>
      <c r="AW599" s="104"/>
      <c r="AX599" s="104"/>
      <c r="AY599" s="104"/>
      <c r="AZ599" s="104"/>
      <c r="BA599" s="104"/>
      <c r="BB599" s="104"/>
      <c r="BC599" s="104"/>
      <c r="BD599" s="107"/>
      <c r="BE599" s="104"/>
      <c r="BF599" s="104"/>
      <c r="BG599" s="104"/>
      <c r="BH599" s="104"/>
      <c r="BI599" s="104"/>
      <c r="BT599" s="479"/>
      <c r="BU599" s="477">
        <v>177009951.53689903</v>
      </c>
      <c r="BV599" s="477">
        <v>23439213.699237276</v>
      </c>
    </row>
    <row r="600" spans="1:76" ht="14.5">
      <c r="A600" s="99"/>
      <c r="B600" s="91" t="s">
        <v>2628</v>
      </c>
      <c r="C600" s="91" t="s">
        <v>2507</v>
      </c>
      <c r="D600" s="99"/>
      <c r="E600" s="99"/>
      <c r="F600" s="390">
        <f t="shared" si="405"/>
        <v>41642958.10543672</v>
      </c>
      <c r="G600" s="390"/>
      <c r="H600" s="390">
        <f t="shared" si="406"/>
        <v>3967489.7353342888</v>
      </c>
      <c r="I600" s="401"/>
      <c r="J600" s="181"/>
      <c r="K600" s="181"/>
      <c r="L600" s="99"/>
      <c r="M600" s="183"/>
      <c r="N600" s="99"/>
      <c r="O600" s="182"/>
      <c r="P600" s="175">
        <f t="shared" si="407"/>
        <v>-20459974.400349818</v>
      </c>
      <c r="Q600" s="175">
        <f t="shared" si="407"/>
        <v>2312262.5703116208</v>
      </c>
      <c r="R600" s="179"/>
      <c r="S600" s="216" t="s">
        <v>2266</v>
      </c>
      <c r="T600" s="175">
        <f>SUMIF($B$520:$B$579,$S600,$P$520:$P$579)</f>
        <v>-26278649.041005209</v>
      </c>
      <c r="U600" s="216"/>
      <c r="V600" s="100"/>
      <c r="W600" s="100"/>
      <c r="X600" s="99"/>
      <c r="Y600" s="99"/>
      <c r="Z600" s="99"/>
      <c r="AA600" s="104"/>
      <c r="AB600" s="218">
        <f>+AC600-'Rev_for_allocation(Hard)'!H255</f>
        <v>314678.2932177186</v>
      </c>
      <c r="AC600" s="218">
        <f t="shared" si="408"/>
        <v>-61255603.54000695</v>
      </c>
      <c r="AD600" s="218">
        <f t="shared" si="408"/>
        <v>-56444094.536991797</v>
      </c>
      <c r="AE600" s="218"/>
      <c r="AF600" s="104"/>
      <c r="AG600" s="104" t="s">
        <v>2729</v>
      </c>
      <c r="AH600" s="104"/>
      <c r="AI600" s="104"/>
      <c r="AJ600" s="104"/>
      <c r="AK600" s="118">
        <f t="shared" si="404"/>
        <v>0</v>
      </c>
      <c r="AL600" s="118">
        <f t="shared" si="404"/>
        <v>0</v>
      </c>
      <c r="AM600" s="104"/>
      <c r="AN600" s="104"/>
      <c r="AO600" s="104"/>
      <c r="AP600" s="104"/>
      <c r="AQ600" s="104"/>
      <c r="AR600" s="104"/>
      <c r="AS600" s="104"/>
      <c r="AT600" s="104"/>
      <c r="AU600" s="104"/>
      <c r="AV600" s="104"/>
      <c r="AW600" s="104"/>
      <c r="AX600" s="104"/>
      <c r="AY600" s="104"/>
      <c r="AZ600" s="104"/>
      <c r="BA600" s="104"/>
      <c r="BB600" s="104"/>
      <c r="BC600" s="104"/>
      <c r="BD600" s="107"/>
      <c r="BE600" s="104"/>
      <c r="BF600" s="104"/>
      <c r="BG600" s="104"/>
      <c r="BH600" s="104"/>
      <c r="BI600" s="104"/>
      <c r="BT600" s="479"/>
      <c r="BU600" s="477">
        <v>-20459974.400349818</v>
      </c>
      <c r="BV600" s="477">
        <v>2312262.5703116208</v>
      </c>
    </row>
    <row r="601" spans="1:76" ht="14.5">
      <c r="A601" s="99"/>
      <c r="B601" s="91" t="s">
        <v>2628</v>
      </c>
      <c r="C601" s="91" t="s">
        <v>2502</v>
      </c>
      <c r="D601" s="99"/>
      <c r="E601" s="99"/>
      <c r="F601" s="390">
        <f t="shared" si="405"/>
        <v>71247612.371891737</v>
      </c>
      <c r="G601" s="390"/>
      <c r="H601" s="390">
        <f t="shared" si="406"/>
        <v>407198.02169621346</v>
      </c>
      <c r="I601" s="401"/>
      <c r="J601" s="181"/>
      <c r="K601" s="181"/>
      <c r="L601" s="99"/>
      <c r="M601" s="183"/>
      <c r="N601" s="99"/>
      <c r="O601" s="182"/>
      <c r="P601" s="175">
        <f t="shared" si="407"/>
        <v>88977432.142649323</v>
      </c>
      <c r="Q601" s="175">
        <f t="shared" si="407"/>
        <v>11313225.29765551</v>
      </c>
      <c r="R601" s="179"/>
      <c r="S601" s="216" t="s">
        <v>465</v>
      </c>
      <c r="T601" s="175">
        <f>SUMIF($B$520:$B$579,$S601,$P$520:$P$579)</f>
        <v>-2318673.9486914729</v>
      </c>
      <c r="U601" s="216"/>
      <c r="V601" s="100"/>
      <c r="W601" s="100"/>
      <c r="X601" s="99"/>
      <c r="Y601" s="99"/>
      <c r="Z601" s="99"/>
      <c r="AA601" s="104"/>
      <c r="AB601" s="218">
        <f>+AC601-'Rev_for_allocation(Hard)'!H256</f>
        <v>3546623.3383249342</v>
      </c>
      <c r="AC601" s="218">
        <f t="shared" si="408"/>
        <v>-132180025.96895644</v>
      </c>
      <c r="AD601" s="218">
        <f t="shared" si="408"/>
        <v>-32488993.31586688</v>
      </c>
      <c r="AE601" s="218"/>
      <c r="AF601" s="104"/>
      <c r="AG601" s="104" t="s">
        <v>2730</v>
      </c>
      <c r="AH601" s="104"/>
      <c r="AI601" s="104"/>
      <c r="AJ601" s="104"/>
      <c r="AK601" s="118">
        <f t="shared" si="404"/>
        <v>0</v>
      </c>
      <c r="AL601" s="118">
        <f t="shared" si="404"/>
        <v>0</v>
      </c>
      <c r="AM601" s="104"/>
      <c r="AN601" s="104"/>
      <c r="AO601" s="104"/>
      <c r="AP601" s="104"/>
      <c r="AQ601" s="104"/>
      <c r="AR601" s="104"/>
      <c r="AS601" s="104"/>
      <c r="AT601" s="104"/>
      <c r="AU601" s="104"/>
      <c r="AV601" s="104"/>
      <c r="AW601" s="104"/>
      <c r="AX601" s="104"/>
      <c r="AY601" s="104"/>
      <c r="AZ601" s="104"/>
      <c r="BA601" s="104"/>
      <c r="BB601" s="104"/>
      <c r="BC601" s="104"/>
      <c r="BD601" s="107"/>
      <c r="BE601" s="104"/>
      <c r="BF601" s="104"/>
      <c r="BG601" s="104"/>
      <c r="BH601" s="104"/>
      <c r="BI601" s="104"/>
      <c r="BT601" s="479"/>
      <c r="BU601" s="477">
        <v>88978590.656797096</v>
      </c>
      <c r="BV601" s="477">
        <v>11313225.29765551</v>
      </c>
    </row>
    <row r="602" spans="1:76" ht="14.5">
      <c r="A602" s="99"/>
      <c r="B602" s="91" t="s">
        <v>2628</v>
      </c>
      <c r="C602" s="91" t="s">
        <v>2506</v>
      </c>
      <c r="D602" s="99"/>
      <c r="E602" s="99"/>
      <c r="F602" s="390">
        <f t="shared" si="405"/>
        <v>11311188.528920248</v>
      </c>
      <c r="G602" s="390"/>
      <c r="H602" s="390">
        <f t="shared" si="406"/>
        <v>10578639.097507218</v>
      </c>
      <c r="I602" s="401"/>
      <c r="J602" s="181"/>
      <c r="K602" s="181"/>
      <c r="L602" s="99"/>
      <c r="M602" s="183"/>
      <c r="N602" s="99"/>
      <c r="O602" s="182"/>
      <c r="P602" s="175">
        <f t="shared" si="407"/>
        <v>22174439.876989812</v>
      </c>
      <c r="Q602" s="175">
        <f t="shared" si="407"/>
        <v>6334762.2325534867</v>
      </c>
      <c r="R602" s="179"/>
      <c r="S602" s="216" t="s">
        <v>460</v>
      </c>
      <c r="T602" s="175">
        <f>SUMIF($B$520:$B$579,$S602,$P$520:$P$579)</f>
        <v>-4.1179000597882517E-4</v>
      </c>
      <c r="U602" s="216"/>
      <c r="V602" s="100"/>
      <c r="W602" s="100"/>
      <c r="X602" s="99"/>
      <c r="Y602" s="99"/>
      <c r="Z602" s="99"/>
      <c r="AA602" s="104"/>
      <c r="AB602" s="218">
        <f>+AC602-'Rev_for_allocation(Hard)'!H257</f>
        <v>0.54732608795166016</v>
      </c>
      <c r="AC602" s="218">
        <f t="shared" si="408"/>
        <v>-15881760.839727588</v>
      </c>
      <c r="AD602" s="218">
        <f t="shared" si="408"/>
        <v>26460753.763738606</v>
      </c>
      <c r="AE602" s="218"/>
      <c r="AF602" s="104"/>
      <c r="AG602" s="104" t="s">
        <v>2731</v>
      </c>
      <c r="AH602" s="104"/>
      <c r="AI602" s="104"/>
      <c r="AJ602" s="104"/>
      <c r="AK602" s="118">
        <f t="shared" si="404"/>
        <v>0</v>
      </c>
      <c r="AL602" s="118">
        <f t="shared" si="404"/>
        <v>0</v>
      </c>
      <c r="AM602" s="104"/>
      <c r="AN602" s="104"/>
      <c r="AO602" s="104"/>
      <c r="AP602" s="104"/>
      <c r="AQ602" s="104"/>
      <c r="AR602" s="104"/>
      <c r="AS602" s="104"/>
      <c r="AT602" s="104"/>
      <c r="AU602" s="104"/>
      <c r="AV602" s="104"/>
      <c r="AW602" s="104"/>
      <c r="AX602" s="104"/>
      <c r="AY602" s="104"/>
      <c r="AZ602" s="104"/>
      <c r="BA602" s="104"/>
      <c r="BB602" s="104"/>
      <c r="BC602" s="104"/>
      <c r="BD602" s="107"/>
      <c r="BE602" s="104"/>
      <c r="BF602" s="104"/>
      <c r="BG602" s="104"/>
      <c r="BH602" s="104"/>
      <c r="BI602" s="104"/>
      <c r="BT602" s="479"/>
      <c r="BU602" s="477">
        <v>41231110.148504145</v>
      </c>
      <c r="BV602" s="477">
        <v>52795638.663904145</v>
      </c>
    </row>
    <row r="603" spans="1:76" ht="14.5">
      <c r="A603" s="99"/>
      <c r="B603" s="91" t="s">
        <v>2628</v>
      </c>
      <c r="C603" s="91" t="s">
        <v>2503</v>
      </c>
      <c r="D603" s="99"/>
      <c r="E603" s="99"/>
      <c r="F603" s="390">
        <f t="shared" si="405"/>
        <v>34411307.677519299</v>
      </c>
      <c r="G603" s="390"/>
      <c r="H603" s="390">
        <f t="shared" si="406"/>
        <v>2508475.0141208251</v>
      </c>
      <c r="I603" s="401"/>
      <c r="J603" s="181"/>
      <c r="K603" s="181"/>
      <c r="L603" s="99"/>
      <c r="M603" s="183"/>
      <c r="N603" s="99"/>
      <c r="O603" s="182"/>
      <c r="P603" s="175">
        <f t="shared" si="407"/>
        <v>51850519.827559143</v>
      </c>
      <c r="Q603" s="175">
        <f t="shared" si="407"/>
        <v>12439793.577931799</v>
      </c>
      <c r="R603" s="179"/>
      <c r="S603" s="216" t="s">
        <v>461</v>
      </c>
      <c r="T603" s="175">
        <f>SUMIF($B$520:$B$579,$S603,$P$520:$P$579)</f>
        <v>-14374798.931614164</v>
      </c>
      <c r="U603" s="216"/>
      <c r="V603" s="100"/>
      <c r="W603" s="100"/>
      <c r="X603" s="99"/>
      <c r="Y603" s="99"/>
      <c r="Z603" s="99"/>
      <c r="AA603" s="104"/>
      <c r="AB603" s="218">
        <f>+AC603-'Rev_for_allocation(Hard)'!H258</f>
        <v>0</v>
      </c>
      <c r="AC603" s="218">
        <f t="shared" si="408"/>
        <v>-143319485.0892922</v>
      </c>
      <c r="AD603" s="218">
        <f t="shared" si="408"/>
        <v>-55324917.289657958</v>
      </c>
      <c r="AE603" s="218"/>
      <c r="AF603" s="104"/>
      <c r="AG603" s="104" t="s">
        <v>2732</v>
      </c>
      <c r="AH603" s="104"/>
      <c r="AI603" s="104"/>
      <c r="AJ603" s="104"/>
      <c r="AK603" s="118">
        <f t="shared" si="404"/>
        <v>0</v>
      </c>
      <c r="AL603" s="118">
        <f t="shared" si="404"/>
        <v>0</v>
      </c>
      <c r="AM603" s="104"/>
      <c r="AN603" s="104"/>
      <c r="AO603" s="104"/>
      <c r="AP603" s="104"/>
      <c r="AQ603" s="104"/>
      <c r="AR603" s="104"/>
      <c r="AS603" s="104"/>
      <c r="AT603" s="104"/>
      <c r="AU603" s="104"/>
      <c r="AV603" s="104"/>
      <c r="AW603" s="104"/>
      <c r="AX603" s="104"/>
      <c r="AY603" s="104"/>
      <c r="AZ603" s="104"/>
      <c r="BA603" s="104"/>
      <c r="BB603" s="104"/>
      <c r="BC603" s="104"/>
      <c r="BD603" s="107"/>
      <c r="BE603" s="104"/>
      <c r="BF603" s="104"/>
      <c r="BG603" s="104"/>
      <c r="BH603" s="104"/>
      <c r="BI603" s="104"/>
      <c r="BT603" s="479"/>
      <c r="BU603" s="477">
        <v>54112229.400096625</v>
      </c>
      <c r="BV603" s="477">
        <v>12632995.075501196</v>
      </c>
    </row>
    <row r="604" spans="1:76" ht="14.5">
      <c r="A604" s="99"/>
      <c r="B604" s="91" t="s">
        <v>2628</v>
      </c>
      <c r="C604" s="91" t="s">
        <v>2259</v>
      </c>
      <c r="D604" s="99"/>
      <c r="E604" s="99"/>
      <c r="F604" s="390">
        <f t="shared" si="405"/>
        <v>0</v>
      </c>
      <c r="G604" s="390"/>
      <c r="H604" s="390">
        <f t="shared" si="406"/>
        <v>0</v>
      </c>
      <c r="I604" s="401"/>
      <c r="J604" s="181"/>
      <c r="K604" s="181"/>
      <c r="L604" s="99"/>
      <c r="M604" s="183"/>
      <c r="N604" s="99"/>
      <c r="O604" s="182"/>
      <c r="P604" s="175">
        <f t="shared" si="407"/>
        <v>37869272.490858607</v>
      </c>
      <c r="Q604" s="175">
        <f t="shared" si="407"/>
        <v>7753988.0371130211</v>
      </c>
      <c r="R604" s="179"/>
      <c r="S604" s="216" t="s">
        <v>466</v>
      </c>
      <c r="T604" s="175">
        <f>SUMIF($B$520:$B$579,$S604,$P$520:$P$579)</f>
        <v>-41886557.502572648</v>
      </c>
      <c r="U604" s="216"/>
      <c r="V604" s="100"/>
      <c r="W604" s="100"/>
      <c r="X604" s="99"/>
      <c r="Y604" s="99"/>
      <c r="Z604" s="99"/>
      <c r="AA604" s="104"/>
      <c r="AB604" s="218">
        <f>+AC604-'Rev_for_allocation(Hard)'!H259</f>
        <v>78245223.67329134</v>
      </c>
      <c r="AC604" s="218">
        <f t="shared" si="408"/>
        <v>0</v>
      </c>
      <c r="AD604" s="218">
        <f t="shared" si="408"/>
        <v>78582215.670755431</v>
      </c>
      <c r="AE604" s="218"/>
      <c r="AF604" s="104"/>
      <c r="AG604" s="104" t="s">
        <v>2733</v>
      </c>
      <c r="AH604" s="104"/>
      <c r="AI604" s="104"/>
      <c r="AJ604" s="104"/>
      <c r="AK604" s="118">
        <f t="shared" si="404"/>
        <v>0</v>
      </c>
      <c r="AL604" s="118">
        <f t="shared" si="404"/>
        <v>0</v>
      </c>
      <c r="AM604" s="104"/>
      <c r="AN604" s="104"/>
      <c r="AO604" s="104"/>
      <c r="AP604" s="104"/>
      <c r="AQ604" s="104"/>
      <c r="AR604" s="104"/>
      <c r="AS604" s="104"/>
      <c r="AT604" s="104"/>
      <c r="AU604" s="104"/>
      <c r="AV604" s="104"/>
      <c r="AW604" s="104"/>
      <c r="AX604" s="104"/>
      <c r="AY604" s="104"/>
      <c r="AZ604" s="104"/>
      <c r="BA604" s="104"/>
      <c r="BB604" s="104"/>
      <c r="BC604" s="104"/>
      <c r="BD604" s="107"/>
      <c r="BE604" s="104"/>
      <c r="BF604" s="104"/>
      <c r="BG604" s="104"/>
      <c r="BH604" s="104"/>
      <c r="BI604" s="104"/>
      <c r="BT604" s="479"/>
      <c r="BU604" s="477">
        <v>38057359.543742962</v>
      </c>
      <c r="BV604" s="477">
        <v>8310961.8388284752</v>
      </c>
    </row>
    <row r="605" spans="1:76" ht="15" thickBot="1">
      <c r="A605" s="99"/>
      <c r="B605" s="91" t="s">
        <v>2266</v>
      </c>
      <c r="C605" s="91" t="s">
        <v>2508</v>
      </c>
      <c r="D605" s="99"/>
      <c r="E605" s="99"/>
      <c r="F605" s="390">
        <f t="shared" si="405"/>
        <v>0</v>
      </c>
      <c r="G605" s="390"/>
      <c r="H605" s="390">
        <f t="shared" si="406"/>
        <v>0</v>
      </c>
      <c r="I605" s="401"/>
      <c r="J605" s="181"/>
      <c r="K605" s="181"/>
      <c r="L605" s="99"/>
      <c r="M605" s="183"/>
      <c r="N605" s="99"/>
      <c r="O605" s="182"/>
      <c r="P605" s="217">
        <f>SUM(P599:P604)</f>
        <v>356222488.16599238</v>
      </c>
      <c r="Q605" s="217">
        <f>SUM(Q599:Q604)</f>
        <v>63611906.402474873</v>
      </c>
      <c r="R605" s="179"/>
      <c r="S605" s="179"/>
      <c r="T605" s="217">
        <f>SUM(T599:T604)</f>
        <v>-91964485.613533288</v>
      </c>
      <c r="U605" s="99"/>
      <c r="V605" s="100"/>
      <c r="W605" s="100"/>
      <c r="X605" s="99"/>
      <c r="Y605" s="99"/>
      <c r="Z605" s="99"/>
      <c r="AA605" s="104"/>
      <c r="AB605" s="219">
        <f>SUM(AB599:AB604)</f>
        <v>83758468.012825102</v>
      </c>
      <c r="AC605" s="219">
        <f>SUM(AC599:AC604)</f>
        <v>-363331704.66205275</v>
      </c>
      <c r="AD605" s="219">
        <f>SUM(AD599:AD604)</f>
        <v>136640081.64014918</v>
      </c>
      <c r="AE605" s="118"/>
      <c r="AF605" s="104"/>
      <c r="AG605" s="104" t="s">
        <v>2739</v>
      </c>
      <c r="AH605" s="104"/>
      <c r="AI605" s="104"/>
      <c r="AJ605" s="104"/>
      <c r="AK605" s="118">
        <f t="shared" si="404"/>
        <v>0</v>
      </c>
      <c r="AL605" s="118">
        <f t="shared" si="404"/>
        <v>0</v>
      </c>
      <c r="AM605" s="104"/>
      <c r="AN605" s="104"/>
      <c r="AO605" s="104"/>
      <c r="AP605" s="104"/>
      <c r="AQ605" s="104"/>
      <c r="AR605" s="104"/>
      <c r="AS605" s="104"/>
      <c r="AT605" s="104"/>
      <c r="AU605" s="104"/>
      <c r="AV605" s="104"/>
      <c r="AW605" s="104"/>
      <c r="AX605" s="104"/>
      <c r="AY605" s="104"/>
      <c r="AZ605" s="104"/>
      <c r="BA605" s="104"/>
      <c r="BB605" s="104"/>
      <c r="BC605" s="104"/>
      <c r="BD605" s="107"/>
      <c r="BE605" s="104"/>
      <c r="BF605" s="104"/>
      <c r="BG605" s="104"/>
      <c r="BH605" s="104"/>
      <c r="BI605" s="104"/>
      <c r="BT605" s="479"/>
      <c r="BU605" s="480">
        <v>378929266.88569003</v>
      </c>
      <c r="BV605" s="480">
        <v>110804297.14543822</v>
      </c>
    </row>
    <row r="606" spans="1:76" ht="14.5">
      <c r="A606" s="99"/>
      <c r="B606" s="91" t="s">
        <v>2266</v>
      </c>
      <c r="C606" s="91" t="s">
        <v>2505</v>
      </c>
      <c r="D606" s="99"/>
      <c r="E606" s="99"/>
      <c r="F606" s="390">
        <f t="shared" si="405"/>
        <v>0</v>
      </c>
      <c r="G606" s="390"/>
      <c r="H606" s="390">
        <f t="shared" si="406"/>
        <v>0</v>
      </c>
      <c r="I606" s="401"/>
      <c r="J606" s="181"/>
      <c r="K606" s="181"/>
      <c r="L606" s="99"/>
      <c r="M606" s="183"/>
      <c r="N606" s="99"/>
      <c r="O606" s="182"/>
      <c r="P606" s="179"/>
      <c r="Q606" s="179"/>
      <c r="R606" s="179"/>
      <c r="S606" s="179"/>
      <c r="T606" s="99"/>
      <c r="U606" s="99"/>
      <c r="V606" s="100"/>
      <c r="W606" s="100"/>
      <c r="X606" s="99"/>
      <c r="Y606" s="99"/>
      <c r="Z606" s="99"/>
      <c r="AA606" s="104"/>
      <c r="AB606" s="104"/>
      <c r="AC606" s="104"/>
      <c r="AD606" s="104"/>
      <c r="AE606" s="104"/>
      <c r="AF606" s="104"/>
      <c r="AG606" s="104" t="s">
        <v>2629</v>
      </c>
      <c r="AH606" s="104"/>
      <c r="AI606" s="104"/>
      <c r="AJ606" s="104"/>
      <c r="AK606" s="118">
        <f t="shared" si="404"/>
        <v>-65356477.025310367</v>
      </c>
      <c r="AL606" s="118">
        <f t="shared" si="404"/>
        <v>0</v>
      </c>
      <c r="AM606" s="104"/>
      <c r="AN606" s="104"/>
      <c r="AO606" s="104"/>
      <c r="AP606" s="104"/>
      <c r="AQ606" s="104"/>
      <c r="AR606" s="104"/>
      <c r="AS606" s="104"/>
      <c r="AT606" s="104"/>
      <c r="AU606" s="104"/>
      <c r="AV606" s="104"/>
      <c r="AW606" s="104"/>
      <c r="AX606" s="104"/>
      <c r="AY606" s="104"/>
      <c r="AZ606" s="104"/>
      <c r="BA606" s="104"/>
      <c r="BB606" s="104"/>
      <c r="BC606" s="104"/>
      <c r="BD606" s="107"/>
      <c r="BE606" s="104"/>
      <c r="BF606" s="104"/>
      <c r="BG606" s="104"/>
      <c r="BH606" s="104"/>
      <c r="BI606" s="104"/>
      <c r="BT606" s="479"/>
    </row>
    <row r="607" spans="1:76" ht="14.5">
      <c r="A607" s="99"/>
      <c r="B607" s="91" t="s">
        <v>2266</v>
      </c>
      <c r="C607" s="91" t="s">
        <v>2504</v>
      </c>
      <c r="D607" s="99"/>
      <c r="E607" s="99"/>
      <c r="F607" s="390">
        <f t="shared" si="405"/>
        <v>5561527.0255920356</v>
      </c>
      <c r="G607" s="390"/>
      <c r="H607" s="390">
        <f t="shared" si="406"/>
        <v>2214902.3813366927</v>
      </c>
      <c r="I607" s="401"/>
      <c r="J607" s="181"/>
      <c r="K607" s="181"/>
      <c r="L607" s="99"/>
      <c r="M607" s="183"/>
      <c r="N607" s="99"/>
      <c r="O607" s="182"/>
      <c r="P607" s="179"/>
      <c r="Q607" s="179"/>
      <c r="R607" s="179"/>
      <c r="S607" s="179"/>
      <c r="T607" s="99"/>
      <c r="U607" s="99"/>
      <c r="V607" s="100"/>
      <c r="W607" s="100"/>
      <c r="X607" s="99"/>
      <c r="Y607" s="99"/>
      <c r="Z607" s="99"/>
      <c r="AA607" s="104"/>
      <c r="AB607" s="104"/>
      <c r="AC607" s="218">
        <f>+AC599-'Rev_for_allocation(Hard)'!K145</f>
        <v>-10694829.224069588</v>
      </c>
      <c r="AD607" s="104"/>
      <c r="AE607" s="104"/>
      <c r="AF607" s="104"/>
      <c r="AG607" s="104" t="s">
        <v>2646</v>
      </c>
      <c r="AH607" s="104"/>
      <c r="AI607" s="104"/>
      <c r="AJ607" s="104"/>
      <c r="AK607" s="118">
        <f t="shared" si="404"/>
        <v>0</v>
      </c>
      <c r="AL607" s="118">
        <f t="shared" si="404"/>
        <v>0</v>
      </c>
      <c r="AM607" s="104"/>
      <c r="AN607" s="104"/>
      <c r="AO607" s="104"/>
      <c r="AP607" s="104"/>
      <c r="AQ607" s="104"/>
      <c r="AR607" s="104"/>
      <c r="AS607" s="104"/>
      <c r="AT607" s="104"/>
      <c r="AU607" s="104"/>
      <c r="AV607" s="104"/>
      <c r="AW607" s="104"/>
      <c r="AX607" s="104"/>
      <c r="AY607" s="104"/>
      <c r="AZ607" s="104"/>
      <c r="BA607" s="104"/>
      <c r="BB607" s="104"/>
      <c r="BC607" s="104"/>
      <c r="BD607" s="107"/>
      <c r="BE607" s="104"/>
      <c r="BF607" s="104"/>
      <c r="BG607" s="104"/>
      <c r="BH607" s="104"/>
      <c r="BI607" s="104"/>
      <c r="BT607" s="479"/>
    </row>
    <row r="608" spans="1:76" ht="14.5">
      <c r="A608" s="99"/>
      <c r="B608" s="91" t="s">
        <v>2266</v>
      </c>
      <c r="C608" s="91" t="s">
        <v>2507</v>
      </c>
      <c r="D608" s="99"/>
      <c r="E608" s="99"/>
      <c r="F608" s="390">
        <f t="shared" si="405"/>
        <v>0</v>
      </c>
      <c r="G608" s="390"/>
      <c r="H608" s="390">
        <f t="shared" si="406"/>
        <v>0</v>
      </c>
      <c r="I608" s="401"/>
      <c r="J608" s="181"/>
      <c r="K608" s="181"/>
      <c r="L608" s="99"/>
      <c r="M608" s="183"/>
      <c r="N608" s="99"/>
      <c r="O608" s="182"/>
      <c r="P608" s="179"/>
      <c r="Q608" s="179"/>
      <c r="R608" s="179"/>
      <c r="S608" s="179"/>
      <c r="T608" s="99"/>
      <c r="U608" s="99"/>
      <c r="V608" s="99"/>
      <c r="W608" s="99"/>
      <c r="X608" s="99"/>
      <c r="Y608" s="99"/>
      <c r="Z608" s="99"/>
      <c r="AA608" s="104"/>
      <c r="AB608" s="104"/>
      <c r="AC608" s="218">
        <f>+AC600-'Rev_for_allocation(Hard)'!K146</f>
        <v>-61255603.54000695</v>
      </c>
      <c r="AD608" s="104"/>
      <c r="AE608" s="104"/>
      <c r="AF608" s="104"/>
      <c r="AG608" s="104" t="s">
        <v>2656</v>
      </c>
      <c r="AH608" s="104"/>
      <c r="AI608" s="104"/>
      <c r="AJ608" s="104"/>
      <c r="AK608" s="118">
        <f t="shared" si="404"/>
        <v>0</v>
      </c>
      <c r="AL608" s="118">
        <f t="shared" si="404"/>
        <v>0</v>
      </c>
      <c r="AM608" s="104"/>
      <c r="AN608" s="104"/>
      <c r="AO608" s="104"/>
      <c r="AP608" s="104"/>
      <c r="AQ608" s="104"/>
      <c r="AR608" s="104"/>
      <c r="AS608" s="104"/>
      <c r="AT608" s="104"/>
      <c r="AU608" s="104"/>
      <c r="AV608" s="104"/>
      <c r="AW608" s="104"/>
      <c r="AX608" s="104"/>
      <c r="AY608" s="104"/>
      <c r="AZ608" s="104"/>
      <c r="BA608" s="104"/>
      <c r="BB608" s="104"/>
      <c r="BC608" s="104"/>
      <c r="BD608" s="107"/>
      <c r="BE608" s="104"/>
      <c r="BF608" s="104"/>
      <c r="BG608" s="104"/>
      <c r="BH608" s="104"/>
      <c r="BI608" s="104"/>
      <c r="BT608" s="479"/>
    </row>
    <row r="609" spans="1:73" ht="14.5">
      <c r="A609" s="99"/>
      <c r="B609" s="91" t="s">
        <v>2266</v>
      </c>
      <c r="C609" s="91" t="s">
        <v>2502</v>
      </c>
      <c r="D609" s="99"/>
      <c r="E609" s="99"/>
      <c r="F609" s="390">
        <f t="shared" si="405"/>
        <v>257147.61506335437</v>
      </c>
      <c r="G609" s="390"/>
      <c r="H609" s="390">
        <f t="shared" si="406"/>
        <v>97360.188974927893</v>
      </c>
      <c r="I609" s="401"/>
      <c r="J609" s="181"/>
      <c r="K609" s="181"/>
      <c r="L609" s="99"/>
      <c r="M609" s="183"/>
      <c r="N609" s="99"/>
      <c r="O609" s="182"/>
      <c r="P609" s="179"/>
      <c r="Q609" s="179"/>
      <c r="R609" s="179"/>
      <c r="S609" s="179"/>
      <c r="T609" s="99"/>
      <c r="U609" s="99"/>
      <c r="V609" s="99"/>
      <c r="W609" s="99"/>
      <c r="X609" s="99"/>
      <c r="Y609" s="99"/>
      <c r="Z609" s="99"/>
      <c r="AA609" s="104"/>
      <c r="AB609" s="104"/>
      <c r="AC609" s="218">
        <f>+AC601-'Rev_for_allocation(Hard)'!K147</f>
        <v>-132180025.96895644</v>
      </c>
      <c r="AD609" s="104"/>
      <c r="AE609" s="104"/>
      <c r="AF609" s="104"/>
      <c r="AG609" s="104" t="s">
        <v>2662</v>
      </c>
      <c r="AH609" s="104"/>
      <c r="AI609" s="104"/>
      <c r="AJ609" s="104"/>
      <c r="AK609" s="118">
        <f t="shared" si="404"/>
        <v>0</v>
      </c>
      <c r="AL609" s="118">
        <f t="shared" si="404"/>
        <v>0</v>
      </c>
      <c r="AM609" s="104"/>
      <c r="AN609" s="104"/>
      <c r="AO609" s="104"/>
      <c r="AP609" s="104"/>
      <c r="AQ609" s="104"/>
      <c r="AR609" s="104"/>
      <c r="AS609" s="104"/>
      <c r="AT609" s="104"/>
      <c r="AU609" s="104"/>
      <c r="AV609" s="104"/>
      <c r="AW609" s="104"/>
      <c r="AX609" s="104"/>
      <c r="AY609" s="104"/>
      <c r="AZ609" s="104"/>
      <c r="BA609" s="104"/>
      <c r="BB609" s="104"/>
      <c r="BC609" s="104"/>
      <c r="BD609" s="107"/>
      <c r="BE609" s="104"/>
      <c r="BF609" s="104"/>
      <c r="BG609" s="104"/>
      <c r="BH609" s="104"/>
      <c r="BI609" s="104"/>
      <c r="BT609" s="479"/>
    </row>
    <row r="610" spans="1:73" ht="14.5">
      <c r="A610" s="99"/>
      <c r="B610" s="91" t="s">
        <v>2266</v>
      </c>
      <c r="C610" s="91" t="s">
        <v>2506</v>
      </c>
      <c r="D610" s="99"/>
      <c r="E610" s="99"/>
      <c r="F610" s="390">
        <f t="shared" si="405"/>
        <v>0</v>
      </c>
      <c r="G610" s="390"/>
      <c r="H610" s="390">
        <f t="shared" si="406"/>
        <v>0</v>
      </c>
      <c r="I610" s="401"/>
      <c r="J610" s="181"/>
      <c r="K610" s="181"/>
      <c r="L610" s="99"/>
      <c r="M610" s="183"/>
      <c r="N610" s="99"/>
      <c r="O610" s="182"/>
      <c r="P610" s="179"/>
      <c r="Q610" s="179"/>
      <c r="R610" s="179"/>
      <c r="S610" s="179"/>
      <c r="T610" s="99"/>
      <c r="U610" s="99"/>
      <c r="V610" s="99"/>
      <c r="W610" s="99"/>
      <c r="X610" s="99"/>
      <c r="Y610" s="99"/>
      <c r="Z610" s="99"/>
      <c r="AA610" s="104"/>
      <c r="AB610" s="104"/>
      <c r="AC610" s="218">
        <f>+AC602-'Rev_for_allocation(Hard)'!K148</f>
        <v>-15881760.839727588</v>
      </c>
      <c r="AD610" s="104"/>
      <c r="AE610" s="104"/>
      <c r="AF610" s="104"/>
      <c r="AG610" s="104" t="s">
        <v>2322</v>
      </c>
      <c r="AH610" s="104"/>
      <c r="AI610" s="104"/>
      <c r="AJ610" s="104"/>
      <c r="AK610" s="118">
        <f t="shared" si="404"/>
        <v>0</v>
      </c>
      <c r="AL610" s="118">
        <f t="shared" si="404"/>
        <v>0</v>
      </c>
      <c r="AM610" s="104"/>
      <c r="AN610" s="104"/>
      <c r="AO610" s="104"/>
      <c r="AP610" s="104"/>
      <c r="AQ610" s="104"/>
      <c r="AR610" s="104"/>
      <c r="AS610" s="104"/>
      <c r="AT610" s="104"/>
      <c r="AU610" s="104"/>
      <c r="AV610" s="104"/>
      <c r="AW610" s="104"/>
      <c r="AX610" s="104"/>
      <c r="AY610" s="104"/>
      <c r="AZ610" s="104"/>
      <c r="BA610" s="104"/>
      <c r="BB610" s="104"/>
      <c r="BC610" s="104"/>
      <c r="BD610" s="107"/>
      <c r="BE610" s="104"/>
      <c r="BF610" s="104"/>
      <c r="BG610" s="104"/>
      <c r="BH610" s="104"/>
      <c r="BI610" s="104"/>
      <c r="BT610" s="479"/>
    </row>
    <row r="611" spans="1:73" ht="14.5">
      <c r="A611" s="99"/>
      <c r="B611" s="91" t="s">
        <v>2266</v>
      </c>
      <c r="C611" s="91" t="s">
        <v>2503</v>
      </c>
      <c r="D611" s="99"/>
      <c r="E611" s="99"/>
      <c r="F611" s="390">
        <f t="shared" si="405"/>
        <v>0</v>
      </c>
      <c r="G611" s="390"/>
      <c r="H611" s="390">
        <f t="shared" si="406"/>
        <v>0</v>
      </c>
      <c r="I611" s="401"/>
      <c r="J611" s="181"/>
      <c r="K611" s="181"/>
      <c r="L611" s="99"/>
      <c r="M611" s="183"/>
      <c r="N611" s="99"/>
      <c r="O611" s="182"/>
      <c r="P611" s="177"/>
      <c r="Q611" s="179"/>
      <c r="R611" s="179"/>
      <c r="S611" s="179"/>
      <c r="T611" s="99"/>
      <c r="U611" s="99"/>
      <c r="V611" s="99"/>
      <c r="W611" s="99"/>
      <c r="X611" s="99"/>
      <c r="Y611" s="99"/>
      <c r="Z611" s="99"/>
      <c r="AA611" s="104"/>
      <c r="AB611" s="104"/>
      <c r="AC611" s="218">
        <f>+AC603-'Rev_for_allocation(Hard)'!K149</f>
        <v>-143319485.0892922</v>
      </c>
      <c r="AD611" s="104"/>
      <c r="AE611" s="104"/>
      <c r="AF611" s="104"/>
      <c r="AG611" s="104" t="s">
        <v>2333</v>
      </c>
      <c r="AH611" s="104"/>
      <c r="AI611" s="104"/>
      <c r="AJ611" s="104"/>
      <c r="AK611" s="118">
        <f t="shared" si="404"/>
        <v>0</v>
      </c>
      <c r="AL611" s="118">
        <f t="shared" si="404"/>
        <v>0</v>
      </c>
      <c r="AM611" s="104"/>
      <c r="AN611" s="104"/>
      <c r="AO611" s="104"/>
      <c r="AP611" s="104"/>
      <c r="AQ611" s="104"/>
      <c r="AR611" s="104"/>
      <c r="AS611" s="104"/>
      <c r="AT611" s="104"/>
      <c r="AU611" s="104"/>
      <c r="AV611" s="104"/>
      <c r="AW611" s="104"/>
      <c r="AX611" s="104"/>
      <c r="AY611" s="104"/>
      <c r="AZ611" s="104"/>
      <c r="BA611" s="104"/>
      <c r="BB611" s="104"/>
      <c r="BC611" s="104"/>
      <c r="BD611" s="107"/>
      <c r="BE611" s="104"/>
      <c r="BF611" s="104"/>
      <c r="BG611" s="104"/>
      <c r="BH611" s="104"/>
      <c r="BI611" s="104"/>
      <c r="BT611" s="479"/>
      <c r="BU611" s="478"/>
    </row>
    <row r="612" spans="1:73" ht="14.5">
      <c r="A612" s="99"/>
      <c r="B612" s="91" t="s">
        <v>2266</v>
      </c>
      <c r="C612" s="91" t="s">
        <v>2259</v>
      </c>
      <c r="D612" s="99"/>
      <c r="E612" s="99"/>
      <c r="F612" s="390">
        <f t="shared" si="405"/>
        <v>0</v>
      </c>
      <c r="G612" s="390"/>
      <c r="H612" s="390">
        <f t="shared" si="406"/>
        <v>0</v>
      </c>
      <c r="I612" s="401"/>
      <c r="J612" s="181"/>
      <c r="K612" s="181"/>
      <c r="L612" s="99"/>
      <c r="M612" s="183"/>
      <c r="N612" s="99"/>
      <c r="O612" s="182"/>
      <c r="P612" s="177"/>
      <c r="Q612" s="179"/>
      <c r="R612" s="179"/>
      <c r="S612" s="179"/>
      <c r="T612" s="99"/>
      <c r="U612" s="99"/>
      <c r="V612" s="99"/>
      <c r="W612" s="99"/>
      <c r="X612" s="99"/>
      <c r="Y612" s="99"/>
      <c r="Z612" s="99"/>
      <c r="AA612" s="104"/>
      <c r="AB612" s="104"/>
      <c r="AC612" s="218">
        <f>+AC604-'Rev_for_allocation(Hard)'!K150</f>
        <v>0</v>
      </c>
      <c r="AD612" s="104"/>
      <c r="AE612" s="104"/>
      <c r="AF612" s="104"/>
      <c r="AG612" s="104" t="s">
        <v>2330</v>
      </c>
      <c r="AH612" s="104"/>
      <c r="AI612" s="104"/>
      <c r="AJ612" s="104"/>
      <c r="AK612" s="118">
        <f t="shared" si="404"/>
        <v>0</v>
      </c>
      <c r="AL612" s="118">
        <f t="shared" si="404"/>
        <v>0</v>
      </c>
      <c r="AM612" s="104"/>
      <c r="AN612" s="104"/>
      <c r="AO612" s="104"/>
      <c r="AP612" s="104"/>
      <c r="AQ612" s="104"/>
      <c r="AR612" s="104"/>
      <c r="AS612" s="104"/>
      <c r="AT612" s="104"/>
      <c r="AU612" s="104"/>
      <c r="AV612" s="104"/>
      <c r="AW612" s="104"/>
      <c r="AX612" s="104"/>
      <c r="AY612" s="104"/>
      <c r="AZ612" s="104"/>
      <c r="BA612" s="104"/>
      <c r="BB612" s="104"/>
      <c r="BC612" s="104"/>
      <c r="BD612" s="107"/>
      <c r="BE612" s="104"/>
      <c r="BF612" s="104"/>
      <c r="BG612" s="104"/>
      <c r="BH612" s="104"/>
      <c r="BI612" s="104"/>
      <c r="BT612" s="479"/>
      <c r="BU612" s="478"/>
    </row>
    <row r="613" spans="1:73" ht="15" thickBot="1">
      <c r="A613" s="99"/>
      <c r="B613" s="91" t="s">
        <v>465</v>
      </c>
      <c r="C613" s="91" t="s">
        <v>2508</v>
      </c>
      <c r="D613" s="99"/>
      <c r="E613" s="99"/>
      <c r="F613" s="390">
        <f t="shared" si="405"/>
        <v>0</v>
      </c>
      <c r="G613" s="390"/>
      <c r="H613" s="390">
        <f t="shared" si="406"/>
        <v>0</v>
      </c>
      <c r="I613" s="401"/>
      <c r="J613" s="181"/>
      <c r="K613" s="181"/>
      <c r="L613" s="99"/>
      <c r="M613" s="183"/>
      <c r="N613" s="99"/>
      <c r="O613" s="182"/>
      <c r="P613" s="177"/>
      <c r="Q613" s="179"/>
      <c r="R613" s="179"/>
      <c r="S613" s="179"/>
      <c r="T613" s="99"/>
      <c r="U613" s="99"/>
      <c r="V613" s="99"/>
      <c r="W613" s="99"/>
      <c r="X613" s="99"/>
      <c r="Y613" s="99"/>
      <c r="Z613" s="99"/>
      <c r="AA613" s="104"/>
      <c r="AB613" s="104"/>
      <c r="AC613" s="219">
        <f>SUM(AC607:AC612)</f>
        <v>-363331704.66205275</v>
      </c>
      <c r="AD613" s="104"/>
      <c r="AE613" s="104"/>
      <c r="AF613" s="104"/>
      <c r="AG613" s="104" t="s">
        <v>2390</v>
      </c>
      <c r="AH613" s="104"/>
      <c r="AI613" s="104"/>
      <c r="AJ613" s="104"/>
      <c r="AK613" s="118">
        <f t="shared" si="404"/>
        <v>0</v>
      </c>
      <c r="AL613" s="118">
        <f t="shared" si="404"/>
        <v>0</v>
      </c>
      <c r="AM613" s="104"/>
      <c r="AN613" s="104"/>
      <c r="AO613" s="104"/>
      <c r="AP613" s="104"/>
      <c r="AQ613" s="104"/>
      <c r="AR613" s="104"/>
      <c r="AS613" s="104"/>
      <c r="AT613" s="104"/>
      <c r="AU613" s="104"/>
      <c r="AV613" s="104"/>
      <c r="AW613" s="104"/>
      <c r="AX613" s="104"/>
      <c r="AY613" s="104"/>
      <c r="AZ613" s="104"/>
      <c r="BA613" s="104"/>
      <c r="BB613" s="104"/>
      <c r="BC613" s="104"/>
      <c r="BD613" s="107"/>
      <c r="BE613" s="104"/>
      <c r="BF613" s="104"/>
      <c r="BG613" s="104"/>
      <c r="BH613" s="104"/>
      <c r="BI613" s="104"/>
      <c r="BT613" s="479"/>
      <c r="BU613" s="478"/>
    </row>
    <row r="614" spans="1:73" ht="14.5">
      <c r="A614" s="99"/>
      <c r="B614" s="91" t="s">
        <v>465</v>
      </c>
      <c r="C614" s="91" t="s">
        <v>2505</v>
      </c>
      <c r="D614" s="99"/>
      <c r="E614" s="99"/>
      <c r="F614" s="390">
        <f t="shared" si="405"/>
        <v>0</v>
      </c>
      <c r="G614" s="390"/>
      <c r="H614" s="390">
        <f t="shared" si="406"/>
        <v>0</v>
      </c>
      <c r="I614" s="401"/>
      <c r="J614" s="181"/>
      <c r="K614" s="181"/>
      <c r="L614" s="99"/>
      <c r="M614" s="183"/>
      <c r="N614" s="99"/>
      <c r="O614" s="182"/>
      <c r="P614" s="177"/>
      <c r="Q614" s="179"/>
      <c r="R614" s="179"/>
      <c r="S614" s="179"/>
      <c r="T614" s="99"/>
      <c r="U614" s="99"/>
      <c r="V614" s="99"/>
      <c r="W614" s="99"/>
      <c r="X614" s="99"/>
      <c r="Y614" s="99"/>
      <c r="Z614" s="99"/>
      <c r="AA614" s="104"/>
      <c r="AB614" s="104"/>
      <c r="AC614" s="104"/>
      <c r="AD614" s="104"/>
      <c r="AE614" s="104"/>
      <c r="AF614" s="104"/>
      <c r="AG614" s="104" t="s">
        <v>2565</v>
      </c>
      <c r="AH614" s="104"/>
      <c r="AI614" s="104"/>
      <c r="AJ614" s="104"/>
      <c r="AK614" s="118">
        <f t="shared" si="404"/>
        <v>0</v>
      </c>
      <c r="AL614" s="118">
        <f t="shared" si="404"/>
        <v>0</v>
      </c>
      <c r="AM614" s="104"/>
      <c r="AN614" s="104"/>
      <c r="AO614" s="104"/>
      <c r="AP614" s="104"/>
      <c r="AQ614" s="104"/>
      <c r="AR614" s="104"/>
      <c r="AS614" s="104"/>
      <c r="AT614" s="104"/>
      <c r="AU614" s="104"/>
      <c r="AV614" s="104"/>
      <c r="AW614" s="104"/>
      <c r="AX614" s="104"/>
      <c r="AY614" s="104"/>
      <c r="AZ614" s="104"/>
      <c r="BA614" s="104"/>
      <c r="BB614" s="104"/>
      <c r="BC614" s="104"/>
      <c r="BD614" s="107"/>
      <c r="BE614" s="104"/>
      <c r="BF614" s="104"/>
      <c r="BG614" s="104"/>
      <c r="BH614" s="104"/>
      <c r="BI614" s="104"/>
      <c r="BT614" s="479"/>
      <c r="BU614" s="478"/>
    </row>
    <row r="615" spans="1:73" ht="14.5">
      <c r="A615" s="99"/>
      <c r="B615" s="91" t="s">
        <v>465</v>
      </c>
      <c r="C615" s="91" t="s">
        <v>2504</v>
      </c>
      <c r="D615" s="99"/>
      <c r="E615" s="99"/>
      <c r="F615" s="390">
        <f t="shared" si="405"/>
        <v>0</v>
      </c>
      <c r="G615" s="390"/>
      <c r="H615" s="390">
        <f t="shared" si="406"/>
        <v>0</v>
      </c>
      <c r="I615" s="401"/>
      <c r="J615" s="181"/>
      <c r="K615" s="181"/>
      <c r="L615" s="99"/>
      <c r="M615" s="183"/>
      <c r="N615" s="99"/>
      <c r="O615" s="182"/>
      <c r="P615" s="177"/>
      <c r="Q615" s="179"/>
      <c r="R615" s="179"/>
      <c r="S615" s="179"/>
      <c r="T615" s="99"/>
      <c r="U615" s="99"/>
      <c r="V615" s="99"/>
      <c r="W615" s="99"/>
      <c r="X615" s="99"/>
      <c r="Y615" s="99"/>
      <c r="Z615" s="99"/>
      <c r="AA615" s="104"/>
      <c r="AB615" s="104"/>
      <c r="AC615" s="104"/>
      <c r="AD615" s="104"/>
      <c r="AE615" s="104"/>
      <c r="AF615" s="104"/>
      <c r="AG615" s="104" t="s">
        <v>2564</v>
      </c>
      <c r="AH615" s="104"/>
      <c r="AI615" s="104"/>
      <c r="AJ615" s="104"/>
      <c r="AK615" s="118">
        <f t="shared" si="404"/>
        <v>0</v>
      </c>
      <c r="AL615" s="118">
        <f t="shared" si="404"/>
        <v>0</v>
      </c>
      <c r="AM615" s="104"/>
      <c r="AN615" s="104"/>
      <c r="AO615" s="104"/>
      <c r="AP615" s="104"/>
      <c r="AQ615" s="104"/>
      <c r="AR615" s="104"/>
      <c r="AS615" s="104"/>
      <c r="AT615" s="104"/>
      <c r="AU615" s="104"/>
      <c r="AV615" s="104"/>
      <c r="AW615" s="104"/>
      <c r="AX615" s="104"/>
      <c r="AY615" s="104"/>
      <c r="AZ615" s="104"/>
      <c r="BA615" s="104"/>
      <c r="BB615" s="104"/>
      <c r="BC615" s="104"/>
      <c r="BD615" s="107"/>
      <c r="BE615" s="104"/>
      <c r="BF615" s="104"/>
      <c r="BG615" s="104"/>
      <c r="BH615" s="104"/>
      <c r="BI615" s="104"/>
      <c r="BT615" s="479"/>
      <c r="BU615" s="478"/>
    </row>
    <row r="616" spans="1:73" ht="14.5">
      <c r="A616" s="99"/>
      <c r="B616" s="91" t="s">
        <v>465</v>
      </c>
      <c r="C616" s="91" t="s">
        <v>2507</v>
      </c>
      <c r="D616" s="99"/>
      <c r="E616" s="99"/>
      <c r="F616" s="390">
        <f t="shared" si="405"/>
        <v>58407404.546223812</v>
      </c>
      <c r="G616" s="390"/>
      <c r="H616" s="390">
        <f t="shared" si="406"/>
        <v>10739502.973077912</v>
      </c>
      <c r="I616" s="401"/>
      <c r="J616" s="181"/>
      <c r="K616" s="181"/>
      <c r="L616" s="99"/>
      <c r="M616" s="183"/>
      <c r="N616" s="99"/>
      <c r="O616" s="182"/>
      <c r="P616" s="177"/>
      <c r="Q616" s="179"/>
      <c r="R616" s="179"/>
      <c r="S616" s="179"/>
      <c r="T616" s="99"/>
      <c r="U616" s="99"/>
      <c r="V616" s="99"/>
      <c r="W616" s="99"/>
      <c r="X616" s="99"/>
      <c r="Y616" s="99"/>
      <c r="Z616" s="99"/>
      <c r="AA616" s="104"/>
      <c r="AB616" s="104"/>
      <c r="AC616" s="104"/>
      <c r="AD616" s="104"/>
      <c r="AE616" s="104"/>
      <c r="AF616" s="104"/>
      <c r="AG616" s="104" t="s">
        <v>2556</v>
      </c>
      <c r="AH616" s="104"/>
      <c r="AI616" s="104"/>
      <c r="AJ616" s="104"/>
      <c r="AK616" s="118">
        <f t="shared" si="404"/>
        <v>0</v>
      </c>
      <c r="AL616" s="118">
        <f t="shared" si="404"/>
        <v>0</v>
      </c>
      <c r="AM616" s="104"/>
      <c r="AN616" s="104"/>
      <c r="AO616" s="104"/>
      <c r="AP616" s="104"/>
      <c r="AQ616" s="104"/>
      <c r="AR616" s="104"/>
      <c r="AS616" s="104"/>
      <c r="AT616" s="104"/>
      <c r="AU616" s="104"/>
      <c r="AV616" s="104"/>
      <c r="AW616" s="104"/>
      <c r="AX616" s="104"/>
      <c r="AY616" s="104"/>
      <c r="AZ616" s="104"/>
      <c r="BA616" s="104"/>
      <c r="BB616" s="104"/>
      <c r="BC616" s="104"/>
      <c r="BD616" s="107"/>
      <c r="BE616" s="104"/>
      <c r="BF616" s="104"/>
      <c r="BG616" s="104"/>
      <c r="BH616" s="104"/>
      <c r="BI616" s="104"/>
      <c r="BT616" s="479"/>
      <c r="BU616" s="478"/>
    </row>
    <row r="617" spans="1:73" ht="14.5">
      <c r="A617" s="99"/>
      <c r="B617" s="91" t="s">
        <v>465</v>
      </c>
      <c r="C617" s="91" t="s">
        <v>2502</v>
      </c>
      <c r="D617" s="99"/>
      <c r="E617" s="99"/>
      <c r="F617" s="390">
        <f t="shared" si="405"/>
        <v>32888701.545116939</v>
      </c>
      <c r="G617" s="390"/>
      <c r="H617" s="390">
        <f t="shared" si="406"/>
        <v>573722.32457759802</v>
      </c>
      <c r="I617" s="401"/>
      <c r="J617" s="181"/>
      <c r="K617" s="181"/>
      <c r="L617" s="99"/>
      <c r="M617" s="183"/>
      <c r="N617" s="99"/>
      <c r="O617" s="182"/>
      <c r="P617" s="177"/>
      <c r="Q617" s="179"/>
      <c r="R617" s="179"/>
      <c r="S617" s="179"/>
      <c r="T617" s="99"/>
      <c r="U617" s="99"/>
      <c r="V617" s="99"/>
      <c r="W617" s="99"/>
      <c r="X617" s="99"/>
      <c r="Y617" s="99"/>
      <c r="Z617" s="99"/>
      <c r="AA617" s="104"/>
      <c r="AB617" s="104"/>
      <c r="AC617" s="104"/>
      <c r="AD617" s="104"/>
      <c r="AE617" s="104"/>
      <c r="AF617" s="104"/>
      <c r="AG617" s="104" t="s">
        <v>2557</v>
      </c>
      <c r="AH617" s="104"/>
      <c r="AI617" s="104"/>
      <c r="AJ617" s="104"/>
      <c r="AK617" s="118">
        <f t="shared" si="404"/>
        <v>0</v>
      </c>
      <c r="AL617" s="118">
        <f t="shared" si="404"/>
        <v>0</v>
      </c>
      <c r="AM617" s="104"/>
      <c r="AN617" s="104"/>
      <c r="AO617" s="104"/>
      <c r="AP617" s="104"/>
      <c r="AQ617" s="104"/>
      <c r="AR617" s="104"/>
      <c r="AS617" s="104"/>
      <c r="AT617" s="104"/>
      <c r="AU617" s="104"/>
      <c r="AV617" s="104"/>
      <c r="AW617" s="104"/>
      <c r="AX617" s="104"/>
      <c r="AY617" s="104"/>
      <c r="AZ617" s="104"/>
      <c r="BA617" s="104"/>
      <c r="BB617" s="104"/>
      <c r="BC617" s="104"/>
      <c r="BD617" s="107"/>
      <c r="BE617" s="104"/>
      <c r="BF617" s="104"/>
      <c r="BG617" s="104"/>
      <c r="BH617" s="104"/>
      <c r="BI617" s="104"/>
      <c r="BT617" s="479"/>
      <c r="BU617" s="478"/>
    </row>
    <row r="618" spans="1:73" ht="14.5">
      <c r="A618" s="99"/>
      <c r="B618" s="91" t="s">
        <v>465</v>
      </c>
      <c r="C618" s="91" t="s">
        <v>2506</v>
      </c>
      <c r="D618" s="99"/>
      <c r="E618" s="99"/>
      <c r="F618" s="390">
        <f t="shared" si="405"/>
        <v>0</v>
      </c>
      <c r="G618" s="390"/>
      <c r="H618" s="390">
        <f t="shared" si="406"/>
        <v>0</v>
      </c>
      <c r="I618" s="401"/>
      <c r="J618" s="181"/>
      <c r="K618" s="181"/>
      <c r="L618" s="99"/>
      <c r="M618" s="183"/>
      <c r="N618" s="99"/>
      <c r="O618" s="182"/>
      <c r="P618" s="177"/>
      <c r="Q618" s="179"/>
      <c r="R618" s="179"/>
      <c r="S618" s="179"/>
      <c r="T618" s="99"/>
      <c r="U618" s="99"/>
      <c r="V618" s="99"/>
      <c r="W618" s="99"/>
      <c r="X618" s="99"/>
      <c r="Y618" s="99"/>
      <c r="Z618" s="99"/>
      <c r="AA618" s="104"/>
      <c r="AB618" s="104"/>
      <c r="AC618" s="104"/>
      <c r="AD618" s="104"/>
      <c r="AE618" s="104"/>
      <c r="AF618" s="104"/>
      <c r="AG618" s="104" t="s">
        <v>2323</v>
      </c>
      <c r="AH618" s="104"/>
      <c r="AI618" s="104"/>
      <c r="AJ618" s="104"/>
      <c r="AK618" s="118">
        <f t="shared" si="404"/>
        <v>0</v>
      </c>
      <c r="AL618" s="118">
        <f t="shared" si="404"/>
        <v>0</v>
      </c>
      <c r="AM618" s="104"/>
      <c r="AN618" s="104"/>
      <c r="AO618" s="104"/>
      <c r="AP618" s="104"/>
      <c r="AQ618" s="104"/>
      <c r="AR618" s="104"/>
      <c r="AS618" s="104"/>
      <c r="AT618" s="104"/>
      <c r="AU618" s="104"/>
      <c r="AV618" s="104"/>
      <c r="AW618" s="104"/>
      <c r="AX618" s="104"/>
      <c r="AY618" s="104"/>
      <c r="AZ618" s="104"/>
      <c r="BA618" s="104"/>
      <c r="BB618" s="104"/>
      <c r="BC618" s="104"/>
      <c r="BD618" s="107"/>
      <c r="BE618" s="104"/>
      <c r="BF618" s="104"/>
      <c r="BG618" s="104"/>
      <c r="BH618" s="104"/>
      <c r="BI618" s="104"/>
      <c r="BT618" s="479"/>
      <c r="BU618" s="478"/>
    </row>
    <row r="619" spans="1:73" ht="14.5">
      <c r="A619" s="99"/>
      <c r="B619" s="91" t="s">
        <v>465</v>
      </c>
      <c r="C619" s="91" t="s">
        <v>2503</v>
      </c>
      <c r="D619" s="99"/>
      <c r="E619" s="99"/>
      <c r="F619" s="390">
        <f t="shared" si="405"/>
        <v>0</v>
      </c>
      <c r="G619" s="390"/>
      <c r="H619" s="390">
        <f t="shared" si="406"/>
        <v>0</v>
      </c>
      <c r="I619" s="401"/>
      <c r="J619" s="181"/>
      <c r="K619" s="181"/>
      <c r="L619" s="99"/>
      <c r="M619" s="183"/>
      <c r="N619" s="99"/>
      <c r="O619" s="182"/>
      <c r="P619" s="177"/>
      <c r="Q619" s="179"/>
      <c r="R619" s="179"/>
      <c r="S619" s="179"/>
      <c r="T619" s="99"/>
      <c r="U619" s="99"/>
      <c r="V619" s="99"/>
      <c r="W619" s="99"/>
      <c r="X619" s="99"/>
      <c r="Y619" s="99"/>
      <c r="Z619" s="99"/>
      <c r="AA619" s="104"/>
      <c r="AB619" s="104"/>
      <c r="AC619" s="104"/>
      <c r="AD619" s="104"/>
      <c r="AE619" s="104"/>
      <c r="AF619" s="104"/>
      <c r="AG619" s="104" t="s">
        <v>2313</v>
      </c>
      <c r="AH619" s="104"/>
      <c r="AI619" s="104"/>
      <c r="AJ619" s="104"/>
      <c r="AK619" s="118">
        <f t="shared" si="404"/>
        <v>0</v>
      </c>
      <c r="AL619" s="118">
        <f t="shared" si="404"/>
        <v>0</v>
      </c>
      <c r="AM619" s="104"/>
      <c r="AN619" s="104"/>
      <c r="AO619" s="104"/>
      <c r="AP619" s="104"/>
      <c r="AQ619" s="104"/>
      <c r="AR619" s="104"/>
      <c r="AS619" s="104"/>
      <c r="AT619" s="104"/>
      <c r="AU619" s="104"/>
      <c r="AV619" s="104"/>
      <c r="AW619" s="104"/>
      <c r="AX619" s="104"/>
      <c r="AY619" s="104"/>
      <c r="AZ619" s="104"/>
      <c r="BA619" s="104"/>
      <c r="BB619" s="104"/>
      <c r="BC619" s="104"/>
      <c r="BD619" s="107"/>
      <c r="BE619" s="104"/>
      <c r="BF619" s="104"/>
      <c r="BG619" s="104"/>
      <c r="BH619" s="104"/>
      <c r="BI619" s="104"/>
      <c r="BT619" s="479"/>
      <c r="BU619" s="478"/>
    </row>
    <row r="620" spans="1:73" ht="14.5">
      <c r="A620" s="99"/>
      <c r="B620" s="91" t="s">
        <v>465</v>
      </c>
      <c r="C620" s="91" t="s">
        <v>2259</v>
      </c>
      <c r="D620" s="99"/>
      <c r="E620" s="99"/>
      <c r="F620" s="390">
        <f t="shared" si="405"/>
        <v>0</v>
      </c>
      <c r="G620" s="390"/>
      <c r="H620" s="390">
        <f t="shared" si="406"/>
        <v>0</v>
      </c>
      <c r="I620" s="401"/>
      <c r="J620" s="181"/>
      <c r="K620" s="181"/>
      <c r="L620" s="99"/>
      <c r="M620" s="183"/>
      <c r="N620" s="99"/>
      <c r="O620" s="182"/>
      <c r="P620" s="177"/>
      <c r="Q620" s="179"/>
      <c r="R620" s="179"/>
      <c r="S620" s="179"/>
      <c r="T620" s="99"/>
      <c r="U620" s="99"/>
      <c r="V620" s="99"/>
      <c r="W620" s="99"/>
      <c r="X620" s="99"/>
      <c r="Y620" s="99"/>
      <c r="Z620" s="99"/>
      <c r="AA620" s="104"/>
      <c r="AB620" s="104"/>
      <c r="AC620" s="104"/>
      <c r="AD620" s="104"/>
      <c r="AE620" s="104"/>
      <c r="AF620" s="104"/>
      <c r="AG620" s="104" t="s">
        <v>2778</v>
      </c>
      <c r="AH620" s="104"/>
      <c r="AI620" s="104"/>
      <c r="AJ620" s="104"/>
      <c r="AK620" s="118">
        <f t="shared" si="404"/>
        <v>0</v>
      </c>
      <c r="AL620" s="118">
        <f t="shared" si="404"/>
        <v>0</v>
      </c>
      <c r="AM620" s="104"/>
      <c r="AN620" s="104"/>
      <c r="AO620" s="104"/>
      <c r="AP620" s="104"/>
      <c r="AQ620" s="104"/>
      <c r="AR620" s="104"/>
      <c r="AS620" s="104"/>
      <c r="AT620" s="104"/>
      <c r="AU620" s="104"/>
      <c r="AV620" s="104"/>
      <c r="AW620" s="104"/>
      <c r="AX620" s="104"/>
      <c r="AY620" s="104"/>
      <c r="AZ620" s="104"/>
      <c r="BA620" s="104"/>
      <c r="BB620" s="104"/>
      <c r="BC620" s="104"/>
      <c r="BD620" s="107"/>
      <c r="BE620" s="104"/>
      <c r="BF620" s="104"/>
      <c r="BG620" s="104"/>
      <c r="BH620" s="104"/>
      <c r="BI620" s="104"/>
      <c r="BT620" s="479"/>
      <c r="BU620" s="478"/>
    </row>
    <row r="621" spans="1:73" ht="15" thickBot="1">
      <c r="A621" s="99"/>
      <c r="B621" s="91" t="s">
        <v>460</v>
      </c>
      <c r="C621" s="91" t="s">
        <v>2508</v>
      </c>
      <c r="D621" s="99"/>
      <c r="E621" s="99"/>
      <c r="F621" s="390">
        <f t="shared" si="405"/>
        <v>0</v>
      </c>
      <c r="G621" s="390"/>
      <c r="H621" s="390">
        <f t="shared" si="406"/>
        <v>0</v>
      </c>
      <c r="I621" s="401"/>
      <c r="J621" s="181"/>
      <c r="K621" s="181"/>
      <c r="L621" s="99"/>
      <c r="M621" s="183"/>
      <c r="N621" s="99"/>
      <c r="O621" s="182"/>
      <c r="P621" s="177"/>
      <c r="Q621" s="179"/>
      <c r="R621" s="179"/>
      <c r="S621" s="179"/>
      <c r="T621" s="99"/>
      <c r="U621" s="99"/>
      <c r="V621" s="99"/>
      <c r="W621" s="99"/>
      <c r="X621" s="99"/>
      <c r="Y621" s="99"/>
      <c r="Z621" s="99"/>
      <c r="AA621" s="104"/>
      <c r="AB621" s="104"/>
      <c r="AC621" s="104"/>
      <c r="AD621" s="104"/>
      <c r="AE621" s="104"/>
      <c r="AF621" s="104"/>
      <c r="AG621" s="104"/>
      <c r="AH621" s="104"/>
      <c r="AI621" s="104"/>
      <c r="AJ621" s="104"/>
      <c r="AK621" s="333">
        <f>SUM(AK596:AK620)</f>
        <v>-65356477.025310367</v>
      </c>
      <c r="AL621" s="333">
        <f>SUM(AL596:AL620)</f>
        <v>0</v>
      </c>
      <c r="AM621" s="104"/>
      <c r="AN621" s="104"/>
      <c r="AO621" s="104"/>
      <c r="AP621" s="104"/>
      <c r="AQ621" s="104"/>
      <c r="AR621" s="104"/>
      <c r="AS621" s="104"/>
      <c r="AT621" s="104"/>
      <c r="AU621" s="104"/>
      <c r="AV621" s="104"/>
      <c r="AW621" s="104"/>
      <c r="AX621" s="104"/>
      <c r="AY621" s="104"/>
      <c r="AZ621" s="104"/>
      <c r="BA621" s="104"/>
      <c r="BB621" s="104"/>
      <c r="BC621" s="104"/>
      <c r="BD621" s="107"/>
      <c r="BE621" s="104"/>
      <c r="BF621" s="104"/>
      <c r="BG621" s="104"/>
      <c r="BH621" s="104"/>
      <c r="BI621" s="104"/>
      <c r="BT621" s="479"/>
      <c r="BU621" s="478"/>
    </row>
    <row r="622" spans="1:73" ht="14.5">
      <c r="A622" s="99"/>
      <c r="B622" s="91" t="s">
        <v>460</v>
      </c>
      <c r="C622" s="91" t="s">
        <v>2505</v>
      </c>
      <c r="D622" s="99"/>
      <c r="E622" s="99"/>
      <c r="F622" s="390">
        <f t="shared" si="405"/>
        <v>0</v>
      </c>
      <c r="G622" s="390"/>
      <c r="H622" s="390">
        <f t="shared" si="406"/>
        <v>0</v>
      </c>
      <c r="I622" s="401"/>
      <c r="J622" s="181"/>
      <c r="K622" s="181"/>
      <c r="L622" s="99"/>
      <c r="M622" s="183"/>
      <c r="N622" s="99"/>
      <c r="O622" s="182"/>
      <c r="P622" s="177"/>
      <c r="Q622" s="179"/>
      <c r="R622" s="179"/>
      <c r="S622" s="179"/>
      <c r="T622" s="99"/>
      <c r="U622" s="99"/>
      <c r="V622" s="99"/>
      <c r="W622" s="99"/>
      <c r="X622" s="99"/>
      <c r="Y622" s="99"/>
      <c r="Z622" s="99"/>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V622" s="104"/>
      <c r="AW622" s="104"/>
      <c r="AX622" s="104"/>
      <c r="AY622" s="104"/>
      <c r="AZ622" s="104"/>
      <c r="BA622" s="104"/>
      <c r="BB622" s="104"/>
      <c r="BC622" s="104"/>
      <c r="BD622" s="107"/>
      <c r="BE622" s="104"/>
      <c r="BF622" s="104"/>
      <c r="BG622" s="104"/>
      <c r="BH622" s="104"/>
      <c r="BI622" s="104"/>
      <c r="BT622" s="479"/>
      <c r="BU622" s="478"/>
    </row>
    <row r="623" spans="1:73" ht="14.5">
      <c r="A623" s="99"/>
      <c r="B623" s="91" t="s">
        <v>460</v>
      </c>
      <c r="C623" s="91" t="s">
        <v>2504</v>
      </c>
      <c r="D623" s="99"/>
      <c r="E623" s="99"/>
      <c r="F623" s="390">
        <f t="shared" si="405"/>
        <v>0</v>
      </c>
      <c r="G623" s="390"/>
      <c r="H623" s="390">
        <f t="shared" si="406"/>
        <v>0</v>
      </c>
      <c r="I623" s="401"/>
      <c r="J623" s="181"/>
      <c r="K623" s="181"/>
      <c r="L623" s="99"/>
      <c r="M623" s="183"/>
      <c r="N623" s="99"/>
      <c r="O623" s="182"/>
      <c r="P623" s="177"/>
      <c r="Q623" s="179"/>
      <c r="R623" s="179"/>
      <c r="S623" s="179"/>
      <c r="T623" s="99"/>
      <c r="U623" s="99"/>
      <c r="V623" s="99"/>
      <c r="W623" s="99"/>
      <c r="X623" s="99"/>
      <c r="Y623" s="99"/>
      <c r="Z623" s="99"/>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V623" s="104"/>
      <c r="AW623" s="104"/>
      <c r="AX623" s="104"/>
      <c r="AY623" s="104"/>
      <c r="AZ623" s="104"/>
      <c r="BA623" s="104"/>
      <c r="BB623" s="104"/>
      <c r="BC623" s="104"/>
      <c r="BD623" s="107"/>
      <c r="BE623" s="104"/>
      <c r="BF623" s="104"/>
      <c r="BG623" s="104"/>
      <c r="BH623" s="104"/>
      <c r="BI623" s="104"/>
      <c r="BT623" s="479"/>
      <c r="BU623" s="478"/>
    </row>
    <row r="624" spans="1:73" ht="14.5">
      <c r="A624" s="99"/>
      <c r="B624" s="91" t="s">
        <v>460</v>
      </c>
      <c r="C624" s="91" t="s">
        <v>2507</v>
      </c>
      <c r="D624" s="99"/>
      <c r="E624" s="99"/>
      <c r="F624" s="390">
        <f t="shared" si="405"/>
        <v>0</v>
      </c>
      <c r="G624" s="390"/>
      <c r="H624" s="390">
        <f t="shared" si="406"/>
        <v>0</v>
      </c>
      <c r="I624" s="401"/>
      <c r="J624" s="181"/>
      <c r="K624" s="181"/>
      <c r="L624" s="99"/>
      <c r="M624" s="183"/>
      <c r="N624" s="99"/>
      <c r="O624" s="182"/>
      <c r="P624" s="177"/>
      <c r="Q624" s="179"/>
      <c r="R624" s="179"/>
      <c r="S624" s="179"/>
      <c r="T624" s="99"/>
      <c r="U624" s="99"/>
      <c r="V624" s="99"/>
      <c r="W624" s="99"/>
      <c r="X624" s="99"/>
      <c r="Y624" s="99"/>
      <c r="Z624" s="99"/>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V624" s="104"/>
      <c r="AW624" s="104"/>
      <c r="AX624" s="104"/>
      <c r="AY624" s="104"/>
      <c r="AZ624" s="104"/>
      <c r="BA624" s="104"/>
      <c r="BB624" s="104"/>
      <c r="BC624" s="104"/>
      <c r="BD624" s="107"/>
      <c r="BE624" s="104"/>
      <c r="BF624" s="104"/>
      <c r="BG624" s="104"/>
      <c r="BH624" s="104"/>
      <c r="BI624" s="104"/>
      <c r="BT624" s="479"/>
      <c r="BU624" s="478"/>
    </row>
    <row r="625" spans="1:73" ht="14.5">
      <c r="A625" s="99"/>
      <c r="B625" s="91" t="s">
        <v>460</v>
      </c>
      <c r="C625" s="91" t="s">
        <v>2502</v>
      </c>
      <c r="D625" s="99"/>
      <c r="E625" s="99"/>
      <c r="F625" s="390">
        <f t="shared" si="405"/>
        <v>0</v>
      </c>
      <c r="G625" s="390"/>
      <c r="H625" s="390">
        <f t="shared" si="406"/>
        <v>0</v>
      </c>
      <c r="I625" s="401"/>
      <c r="J625" s="181"/>
      <c r="K625" s="181"/>
      <c r="L625" s="99"/>
      <c r="M625" s="183"/>
      <c r="N625" s="99"/>
      <c r="O625" s="182"/>
      <c r="P625" s="177"/>
      <c r="Q625" s="179"/>
      <c r="R625" s="179"/>
      <c r="S625" s="179"/>
      <c r="T625" s="99"/>
      <c r="U625" s="99"/>
      <c r="V625" s="99"/>
      <c r="W625" s="99"/>
      <c r="X625" s="99"/>
      <c r="Y625" s="99"/>
      <c r="Z625" s="99"/>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V625" s="104"/>
      <c r="AW625" s="104"/>
      <c r="AX625" s="104"/>
      <c r="AY625" s="104"/>
      <c r="AZ625" s="104"/>
      <c r="BA625" s="104"/>
      <c r="BB625" s="104"/>
      <c r="BC625" s="104"/>
      <c r="BD625" s="107"/>
      <c r="BE625" s="104"/>
      <c r="BF625" s="104"/>
      <c r="BG625" s="104"/>
      <c r="BH625" s="104"/>
      <c r="BI625" s="104"/>
      <c r="BT625" s="479"/>
      <c r="BU625" s="478"/>
    </row>
    <row r="626" spans="1:73" ht="14.5">
      <c r="A626" s="99"/>
      <c r="B626" s="91" t="s">
        <v>460</v>
      </c>
      <c r="C626" s="91" t="s">
        <v>2506</v>
      </c>
      <c r="D626" s="99"/>
      <c r="E626" s="99"/>
      <c r="F626" s="390">
        <f t="shared" si="405"/>
        <v>0</v>
      </c>
      <c r="G626" s="390"/>
      <c r="H626" s="390">
        <f t="shared" si="406"/>
        <v>0</v>
      </c>
      <c r="I626" s="401"/>
      <c r="J626" s="181"/>
      <c r="K626" s="181"/>
      <c r="L626" s="99"/>
      <c r="M626" s="183"/>
      <c r="N626" s="99"/>
      <c r="O626" s="182"/>
      <c r="P626" s="177"/>
      <c r="Q626" s="179"/>
      <c r="R626" s="179"/>
      <c r="S626" s="179"/>
      <c r="T626" s="99"/>
      <c r="U626" s="99"/>
      <c r="V626" s="99"/>
      <c r="W626" s="99"/>
      <c r="X626" s="99"/>
      <c r="Y626" s="99"/>
      <c r="Z626" s="99"/>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V626" s="104"/>
      <c r="AW626" s="104"/>
      <c r="AX626" s="104"/>
      <c r="AY626" s="104"/>
      <c r="AZ626" s="104"/>
      <c r="BA626" s="104"/>
      <c r="BB626" s="104"/>
      <c r="BC626" s="104"/>
      <c r="BD626" s="107"/>
      <c r="BE626" s="104"/>
      <c r="BF626" s="104"/>
      <c r="BG626" s="104"/>
      <c r="BH626" s="104"/>
      <c r="BI626" s="104"/>
      <c r="BT626" s="479"/>
      <c r="BU626" s="478"/>
    </row>
    <row r="627" spans="1:73" ht="14.5">
      <c r="A627" s="99"/>
      <c r="B627" s="91" t="s">
        <v>460</v>
      </c>
      <c r="C627" s="91" t="s">
        <v>2503</v>
      </c>
      <c r="D627" s="99"/>
      <c r="E627" s="99"/>
      <c r="F627" s="390">
        <f t="shared" si="405"/>
        <v>0</v>
      </c>
      <c r="G627" s="390"/>
      <c r="H627" s="390">
        <f t="shared" si="406"/>
        <v>0</v>
      </c>
      <c r="I627" s="401"/>
      <c r="J627" s="181"/>
      <c r="K627" s="181"/>
      <c r="L627" s="99"/>
      <c r="M627" s="183"/>
      <c r="N627" s="99"/>
      <c r="O627" s="182"/>
      <c r="P627" s="177"/>
      <c r="Q627" s="179"/>
      <c r="R627" s="179"/>
      <c r="S627" s="179"/>
      <c r="T627" s="99"/>
      <c r="U627" s="99"/>
      <c r="V627" s="99"/>
      <c r="W627" s="99"/>
      <c r="X627" s="99"/>
      <c r="Y627" s="99"/>
      <c r="Z627" s="99"/>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V627" s="104"/>
      <c r="AW627" s="104"/>
      <c r="AX627" s="104"/>
      <c r="AY627" s="104"/>
      <c r="AZ627" s="104"/>
      <c r="BA627" s="104"/>
      <c r="BB627" s="104"/>
      <c r="BC627" s="104"/>
      <c r="BD627" s="107"/>
      <c r="BE627" s="104"/>
      <c r="BF627" s="104"/>
      <c r="BG627" s="104"/>
      <c r="BH627" s="104"/>
      <c r="BI627" s="104"/>
      <c r="BT627" s="479"/>
      <c r="BU627" s="478"/>
    </row>
    <row r="628" spans="1:73" ht="14.5">
      <c r="A628" s="99"/>
      <c r="B628" s="91" t="s">
        <v>460</v>
      </c>
      <c r="C628" s="91" t="s">
        <v>2259</v>
      </c>
      <c r="D628" s="99"/>
      <c r="E628" s="99"/>
      <c r="F628" s="390">
        <f t="shared" si="405"/>
        <v>1888279.5663506775</v>
      </c>
      <c r="G628" s="390"/>
      <c r="H628" s="390">
        <f t="shared" si="406"/>
        <v>-5043281.0517640468</v>
      </c>
      <c r="I628" s="401"/>
      <c r="J628" s="181"/>
      <c r="K628" s="181"/>
      <c r="L628" s="99"/>
      <c r="M628" s="183"/>
      <c r="N628" s="99"/>
      <c r="O628" s="182"/>
      <c r="P628" s="177"/>
      <c r="Q628" s="179"/>
      <c r="R628" s="179"/>
      <c r="S628" s="179"/>
      <c r="T628" s="99"/>
      <c r="U628" s="99"/>
      <c r="V628" s="99"/>
      <c r="W628" s="99"/>
      <c r="X628" s="99"/>
      <c r="Y628" s="99"/>
      <c r="Z628" s="99"/>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V628" s="104"/>
      <c r="AW628" s="104"/>
      <c r="AX628" s="104"/>
      <c r="AY628" s="104"/>
      <c r="AZ628" s="104"/>
      <c r="BA628" s="104"/>
      <c r="BB628" s="104"/>
      <c r="BC628" s="104"/>
      <c r="BD628" s="107"/>
      <c r="BE628" s="104"/>
      <c r="BF628" s="104"/>
      <c r="BG628" s="104"/>
      <c r="BH628" s="104"/>
      <c r="BI628" s="104"/>
      <c r="BT628" s="479"/>
      <c r="BU628" s="478"/>
    </row>
    <row r="629" spans="1:73" ht="14.5">
      <c r="A629" s="99"/>
      <c r="B629" s="91" t="s">
        <v>466</v>
      </c>
      <c r="C629" s="91" t="s">
        <v>2508</v>
      </c>
      <c r="D629" s="99"/>
      <c r="E629" s="99"/>
      <c r="F629" s="390">
        <f t="shared" si="405"/>
        <v>0</v>
      </c>
      <c r="G629" s="390"/>
      <c r="H629" s="390">
        <f t="shared" si="406"/>
        <v>0</v>
      </c>
      <c r="I629" s="401"/>
      <c r="J629" s="181"/>
      <c r="K629" s="181"/>
      <c r="L629" s="99"/>
      <c r="M629" s="183"/>
      <c r="N629" s="99"/>
      <c r="O629" s="182"/>
      <c r="P629" s="177"/>
      <c r="Q629" s="179"/>
      <c r="R629" s="179"/>
      <c r="S629" s="179"/>
      <c r="T629" s="99"/>
      <c r="U629" s="99"/>
      <c r="V629" s="99"/>
      <c r="W629" s="99"/>
      <c r="X629" s="99"/>
      <c r="Y629" s="99"/>
      <c r="Z629" s="99"/>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V629" s="104"/>
      <c r="AW629" s="104"/>
      <c r="AX629" s="104"/>
      <c r="AY629" s="104"/>
      <c r="AZ629" s="104"/>
      <c r="BA629" s="104"/>
      <c r="BB629" s="104"/>
      <c r="BC629" s="104"/>
      <c r="BD629" s="107"/>
      <c r="BE629" s="104"/>
      <c r="BF629" s="104"/>
      <c r="BG629" s="104"/>
      <c r="BH629" s="104"/>
      <c r="BI629" s="104"/>
      <c r="BT629" s="479"/>
      <c r="BU629" s="478"/>
    </row>
    <row r="630" spans="1:73" ht="14.5">
      <c r="A630" s="99"/>
      <c r="B630" s="91" t="s">
        <v>466</v>
      </c>
      <c r="C630" s="91" t="s">
        <v>2505</v>
      </c>
      <c r="D630" s="99"/>
      <c r="E630" s="99"/>
      <c r="F630" s="390">
        <f t="shared" si="405"/>
        <v>0</v>
      </c>
      <c r="G630" s="390"/>
      <c r="H630" s="390">
        <f t="shared" si="406"/>
        <v>0</v>
      </c>
      <c r="I630" s="401"/>
      <c r="J630" s="181"/>
      <c r="K630" s="181"/>
      <c r="L630" s="99"/>
      <c r="M630" s="183"/>
      <c r="N630" s="99"/>
      <c r="O630" s="182"/>
      <c r="P630" s="177"/>
      <c r="Q630" s="179"/>
      <c r="R630" s="179"/>
      <c r="S630" s="179"/>
      <c r="T630" s="99"/>
      <c r="U630" s="99"/>
      <c r="V630" s="99"/>
      <c r="W630" s="99"/>
      <c r="X630" s="99"/>
      <c r="Y630" s="99"/>
      <c r="Z630" s="99"/>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V630" s="104"/>
      <c r="AW630" s="104"/>
      <c r="AX630" s="104"/>
      <c r="AY630" s="104"/>
      <c r="AZ630" s="104"/>
      <c r="BA630" s="104"/>
      <c r="BB630" s="104"/>
      <c r="BC630" s="104"/>
      <c r="BD630" s="107"/>
      <c r="BE630" s="104"/>
      <c r="BF630" s="104"/>
      <c r="BG630" s="104"/>
      <c r="BH630" s="104"/>
      <c r="BI630" s="104"/>
      <c r="BT630" s="479"/>
      <c r="BU630" s="478"/>
    </row>
    <row r="631" spans="1:73" ht="14.5">
      <c r="A631" s="99"/>
      <c r="B631" s="91" t="s">
        <v>466</v>
      </c>
      <c r="C631" s="91" t="s">
        <v>2504</v>
      </c>
      <c r="D631" s="99"/>
      <c r="E631" s="99"/>
      <c r="F631" s="390">
        <f t="shared" si="405"/>
        <v>0</v>
      </c>
      <c r="G631" s="390"/>
      <c r="H631" s="390">
        <f t="shared" si="406"/>
        <v>0</v>
      </c>
      <c r="I631" s="401"/>
      <c r="J631" s="181"/>
      <c r="K631" s="181"/>
      <c r="L631" s="99"/>
      <c r="M631" s="183"/>
      <c r="N631" s="99"/>
      <c r="O631" s="182"/>
      <c r="P631" s="177"/>
      <c r="Q631" s="179"/>
      <c r="R631" s="179"/>
      <c r="S631" s="179"/>
      <c r="T631" s="99"/>
      <c r="U631" s="99"/>
      <c r="V631" s="99"/>
      <c r="W631" s="99"/>
      <c r="X631" s="99"/>
      <c r="Y631" s="99"/>
      <c r="Z631" s="99"/>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V631" s="104"/>
      <c r="AW631" s="104"/>
      <c r="AX631" s="104"/>
      <c r="AY631" s="104"/>
      <c r="AZ631" s="104"/>
      <c r="BA631" s="104"/>
      <c r="BB631" s="104"/>
      <c r="BC631" s="104"/>
      <c r="BD631" s="107"/>
      <c r="BE631" s="104"/>
      <c r="BF631" s="104"/>
      <c r="BG631" s="104"/>
      <c r="BH631" s="104"/>
      <c r="BI631" s="104"/>
      <c r="BT631" s="479"/>
      <c r="BU631" s="478"/>
    </row>
    <row r="632" spans="1:73" ht="14.5">
      <c r="A632" s="99"/>
      <c r="B632" s="91" t="s">
        <v>466</v>
      </c>
      <c r="C632" s="91" t="s">
        <v>2507</v>
      </c>
      <c r="D632" s="99"/>
      <c r="E632" s="99"/>
      <c r="F632" s="390">
        <f t="shared" si="405"/>
        <v>0</v>
      </c>
      <c r="G632" s="390"/>
      <c r="H632" s="390">
        <f t="shared" si="406"/>
        <v>0</v>
      </c>
      <c r="I632" s="401"/>
      <c r="J632" s="181"/>
      <c r="K632" s="181"/>
      <c r="L632" s="99"/>
      <c r="M632" s="183"/>
      <c r="N632" s="99"/>
      <c r="O632" s="182"/>
      <c r="P632" s="177"/>
      <c r="Q632" s="179"/>
      <c r="R632" s="179"/>
      <c r="S632" s="179"/>
      <c r="T632" s="99"/>
      <c r="U632" s="99"/>
      <c r="V632" s="99"/>
      <c r="W632" s="99"/>
      <c r="X632" s="99"/>
      <c r="Y632" s="99"/>
      <c r="Z632" s="99"/>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V632" s="104"/>
      <c r="AW632" s="104"/>
      <c r="AX632" s="104"/>
      <c r="AY632" s="104"/>
      <c r="AZ632" s="104"/>
      <c r="BA632" s="104"/>
      <c r="BB632" s="104"/>
      <c r="BC632" s="104"/>
      <c r="BD632" s="107"/>
      <c r="BE632" s="104"/>
      <c r="BF632" s="104"/>
      <c r="BG632" s="104"/>
      <c r="BH632" s="104"/>
      <c r="BI632" s="104"/>
      <c r="BT632" s="479"/>
      <c r="BU632" s="478"/>
    </row>
    <row r="633" spans="1:73" ht="14.5">
      <c r="A633" s="99"/>
      <c r="B633" s="91" t="s">
        <v>466</v>
      </c>
      <c r="C633" s="91" t="s">
        <v>2502</v>
      </c>
      <c r="D633" s="99"/>
      <c r="E633" s="99"/>
      <c r="F633" s="390">
        <f t="shared" si="405"/>
        <v>0</v>
      </c>
      <c r="G633" s="390"/>
      <c r="H633" s="390">
        <f t="shared" si="406"/>
        <v>0</v>
      </c>
      <c r="I633" s="401"/>
      <c r="J633" s="181"/>
      <c r="K633" s="181"/>
      <c r="L633" s="99"/>
      <c r="M633" s="183"/>
      <c r="N633" s="99"/>
      <c r="O633" s="182"/>
      <c r="P633" s="177"/>
      <c r="Q633" s="179"/>
      <c r="R633" s="179"/>
      <c r="S633" s="179"/>
      <c r="T633" s="99"/>
      <c r="U633" s="99"/>
      <c r="V633" s="99"/>
      <c r="W633" s="99"/>
      <c r="X633" s="99"/>
      <c r="Y633" s="99"/>
      <c r="Z633" s="99"/>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V633" s="104"/>
      <c r="AW633" s="104"/>
      <c r="AX633" s="104"/>
      <c r="AY633" s="104"/>
      <c r="AZ633" s="104"/>
      <c r="BA633" s="104"/>
      <c r="BB633" s="104"/>
      <c r="BC633" s="104"/>
      <c r="BD633" s="107"/>
      <c r="BE633" s="104"/>
      <c r="BF633" s="104"/>
      <c r="BG633" s="104"/>
      <c r="BH633" s="104"/>
      <c r="BI633" s="104"/>
      <c r="BT633" s="479"/>
      <c r="BU633" s="478"/>
    </row>
    <row r="634" spans="1:73" ht="14.5">
      <c r="A634" s="99"/>
      <c r="B634" s="91" t="s">
        <v>466</v>
      </c>
      <c r="C634" s="91" t="s">
        <v>2506</v>
      </c>
      <c r="D634" s="99"/>
      <c r="E634" s="99"/>
      <c r="F634" s="390">
        <f t="shared" si="405"/>
        <v>0</v>
      </c>
      <c r="G634" s="390"/>
      <c r="H634" s="390">
        <f t="shared" si="406"/>
        <v>0</v>
      </c>
      <c r="I634" s="401"/>
      <c r="J634" s="181"/>
      <c r="K634" s="181"/>
      <c r="L634" s="99"/>
      <c r="M634" s="183"/>
      <c r="N634" s="99"/>
      <c r="O634" s="182"/>
      <c r="P634" s="177"/>
      <c r="Q634" s="179"/>
      <c r="R634" s="179"/>
      <c r="S634" s="179"/>
      <c r="T634" s="99"/>
      <c r="U634" s="99"/>
      <c r="V634" s="99"/>
      <c r="W634" s="99"/>
      <c r="X634" s="99"/>
      <c r="Y634" s="99"/>
      <c r="Z634" s="99"/>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V634" s="104"/>
      <c r="AW634" s="104"/>
      <c r="AX634" s="104"/>
      <c r="AY634" s="104"/>
      <c r="AZ634" s="104"/>
      <c r="BA634" s="104"/>
      <c r="BB634" s="104"/>
      <c r="BC634" s="104"/>
      <c r="BD634" s="107"/>
      <c r="BE634" s="104"/>
      <c r="BF634" s="104"/>
      <c r="BG634" s="104"/>
      <c r="BH634" s="104"/>
      <c r="BI634" s="104"/>
      <c r="BT634" s="479"/>
      <c r="BU634" s="478"/>
    </row>
    <row r="635" spans="1:73" ht="14.5">
      <c r="A635" s="99"/>
      <c r="B635" s="91" t="s">
        <v>466</v>
      </c>
      <c r="C635" s="91" t="s">
        <v>2503</v>
      </c>
      <c r="D635" s="99"/>
      <c r="E635" s="99"/>
      <c r="F635" s="390">
        <f t="shared" si="405"/>
        <v>0</v>
      </c>
      <c r="G635" s="390"/>
      <c r="H635" s="390">
        <f t="shared" si="406"/>
        <v>0</v>
      </c>
      <c r="I635" s="401"/>
      <c r="J635" s="181"/>
      <c r="K635" s="181"/>
      <c r="L635" s="99"/>
      <c r="M635" s="183"/>
      <c r="N635" s="99"/>
      <c r="O635" s="182"/>
      <c r="P635" s="177"/>
      <c r="Q635" s="179"/>
      <c r="R635" s="179"/>
      <c r="S635" s="179"/>
      <c r="T635" s="99"/>
      <c r="U635" s="99"/>
      <c r="V635" s="99"/>
      <c r="W635" s="99"/>
      <c r="X635" s="99"/>
      <c r="Y635" s="99"/>
      <c r="Z635" s="99"/>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V635" s="104"/>
      <c r="AW635" s="104"/>
      <c r="AX635" s="104"/>
      <c r="AY635" s="104"/>
      <c r="AZ635" s="104"/>
      <c r="BA635" s="104"/>
      <c r="BB635" s="104"/>
      <c r="BC635" s="104"/>
      <c r="BD635" s="107"/>
      <c r="BE635" s="104"/>
      <c r="BF635" s="104"/>
      <c r="BG635" s="104"/>
      <c r="BH635" s="104"/>
      <c r="BI635" s="104"/>
      <c r="BT635" s="479"/>
      <c r="BU635" s="478"/>
    </row>
    <row r="636" spans="1:73" ht="14.5">
      <c r="A636" s="99"/>
      <c r="B636" s="91" t="s">
        <v>466</v>
      </c>
      <c r="C636" s="91" t="s">
        <v>2259</v>
      </c>
      <c r="D636" s="99"/>
      <c r="E636" s="99"/>
      <c r="F636" s="390">
        <f t="shared" si="405"/>
        <v>63896363.201403484</v>
      </c>
      <c r="G636" s="390"/>
      <c r="H636" s="390">
        <f t="shared" si="406"/>
        <v>7406944.4747018348</v>
      </c>
      <c r="I636" s="401"/>
      <c r="J636" s="181"/>
      <c r="K636" s="181"/>
      <c r="L636" s="99"/>
      <c r="M636" s="183"/>
      <c r="N636" s="99"/>
      <c r="O636" s="182"/>
      <c r="P636" s="177"/>
      <c r="Q636" s="179"/>
      <c r="R636" s="179"/>
      <c r="S636" s="179"/>
      <c r="T636" s="99"/>
      <c r="U636" s="99"/>
      <c r="V636" s="99"/>
      <c r="W636" s="99"/>
      <c r="X636" s="99"/>
      <c r="Y636" s="99"/>
      <c r="Z636" s="99"/>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V636" s="104"/>
      <c r="AW636" s="104"/>
      <c r="AX636" s="104"/>
      <c r="AY636" s="104"/>
      <c r="AZ636" s="104"/>
      <c r="BA636" s="104"/>
      <c r="BB636" s="104"/>
      <c r="BC636" s="104"/>
      <c r="BD636" s="107"/>
      <c r="BE636" s="104"/>
      <c r="BF636" s="104"/>
      <c r="BG636" s="104"/>
      <c r="BH636" s="104"/>
      <c r="BI636" s="104"/>
      <c r="BT636" s="479"/>
      <c r="BU636" s="478"/>
    </row>
    <row r="637" spans="1:73" ht="14.5">
      <c r="A637" s="99"/>
      <c r="B637" s="91" t="s">
        <v>461</v>
      </c>
      <c r="C637" s="91" t="s">
        <v>2508</v>
      </c>
      <c r="D637" s="99"/>
      <c r="E637" s="99"/>
      <c r="F637" s="390">
        <f t="shared" si="405"/>
        <v>0</v>
      </c>
      <c r="G637" s="390"/>
      <c r="H637" s="390">
        <f t="shared" si="406"/>
        <v>0</v>
      </c>
      <c r="I637" s="401"/>
      <c r="J637" s="181"/>
      <c r="K637" s="181"/>
      <c r="L637" s="99"/>
      <c r="M637" s="183"/>
      <c r="N637" s="99"/>
      <c r="O637" s="182"/>
      <c r="P637" s="177"/>
      <c r="Q637" s="179"/>
      <c r="R637" s="179"/>
      <c r="S637" s="179"/>
      <c r="T637" s="99"/>
      <c r="U637" s="99"/>
      <c r="V637" s="99"/>
      <c r="W637" s="99"/>
      <c r="X637" s="99"/>
      <c r="Y637" s="99"/>
      <c r="Z637" s="99"/>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V637" s="104"/>
      <c r="AW637" s="104"/>
      <c r="AX637" s="104"/>
      <c r="AY637" s="104"/>
      <c r="AZ637" s="104"/>
      <c r="BA637" s="104"/>
      <c r="BB637" s="104"/>
      <c r="BC637" s="104"/>
      <c r="BD637" s="107"/>
      <c r="BE637" s="104"/>
      <c r="BF637" s="104"/>
      <c r="BG637" s="104"/>
      <c r="BH637" s="104"/>
      <c r="BI637" s="104"/>
      <c r="BT637" s="479"/>
      <c r="BU637" s="478"/>
    </row>
    <row r="638" spans="1:73" ht="14.5">
      <c r="A638" s="99"/>
      <c r="B638" s="91" t="s">
        <v>461</v>
      </c>
      <c r="C638" s="91" t="s">
        <v>2505</v>
      </c>
      <c r="D638" s="99"/>
      <c r="E638" s="99"/>
      <c r="F638" s="390">
        <f t="shared" si="405"/>
        <v>0</v>
      </c>
      <c r="G638" s="390"/>
      <c r="H638" s="390">
        <f t="shared" si="406"/>
        <v>0</v>
      </c>
      <c r="I638" s="401"/>
      <c r="J638" s="181"/>
      <c r="K638" s="181"/>
      <c r="L638" s="99"/>
      <c r="M638" s="183"/>
      <c r="N638" s="99"/>
      <c r="O638" s="182"/>
      <c r="P638" s="177"/>
      <c r="Q638" s="179"/>
      <c r="R638" s="179"/>
      <c r="S638" s="179"/>
      <c r="T638" s="99"/>
      <c r="U638" s="99"/>
      <c r="V638" s="99"/>
      <c r="W638" s="99"/>
      <c r="X638" s="99"/>
      <c r="Y638" s="99"/>
      <c r="Z638" s="99"/>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V638" s="104"/>
      <c r="AW638" s="104"/>
      <c r="AX638" s="104"/>
      <c r="AY638" s="104"/>
      <c r="AZ638" s="104"/>
      <c r="BA638" s="104"/>
      <c r="BB638" s="104"/>
      <c r="BC638" s="104"/>
      <c r="BD638" s="107"/>
      <c r="BE638" s="104"/>
      <c r="BF638" s="104"/>
      <c r="BG638" s="104"/>
      <c r="BH638" s="104"/>
      <c r="BI638" s="104"/>
      <c r="BT638" s="479"/>
      <c r="BU638" s="478"/>
    </row>
    <row r="639" spans="1:73" ht="14.5">
      <c r="A639" s="99"/>
      <c r="B639" s="91" t="s">
        <v>461</v>
      </c>
      <c r="C639" s="91" t="s">
        <v>2504</v>
      </c>
      <c r="D639" s="99"/>
      <c r="E639" s="99"/>
      <c r="F639" s="390">
        <f t="shared" si="405"/>
        <v>0</v>
      </c>
      <c r="G639" s="390"/>
      <c r="H639" s="390">
        <f t="shared" si="406"/>
        <v>0</v>
      </c>
      <c r="I639" s="401"/>
      <c r="J639" s="181"/>
      <c r="K639" s="181"/>
      <c r="L639" s="99"/>
      <c r="M639" s="183"/>
      <c r="N639" s="99"/>
      <c r="O639" s="182"/>
      <c r="P639" s="177"/>
      <c r="Q639" s="179"/>
      <c r="R639" s="179"/>
      <c r="S639" s="179"/>
      <c r="T639" s="99"/>
      <c r="U639" s="99"/>
      <c r="V639" s="99"/>
      <c r="W639" s="99"/>
      <c r="X639" s="99"/>
      <c r="Y639" s="99"/>
      <c r="Z639" s="99"/>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V639" s="104"/>
      <c r="AW639" s="104"/>
      <c r="AX639" s="104"/>
      <c r="AY639" s="104"/>
      <c r="AZ639" s="104"/>
      <c r="BA639" s="104"/>
      <c r="BB639" s="104"/>
      <c r="BC639" s="104"/>
      <c r="BD639" s="107"/>
      <c r="BE639" s="104"/>
      <c r="BF639" s="104"/>
      <c r="BG639" s="104"/>
      <c r="BH639" s="104"/>
      <c r="BI639" s="104"/>
      <c r="BT639" s="479"/>
      <c r="BU639" s="478"/>
    </row>
    <row r="640" spans="1:73" ht="14.5">
      <c r="A640" s="99"/>
      <c r="B640" s="91" t="s">
        <v>461</v>
      </c>
      <c r="C640" s="91" t="s">
        <v>2507</v>
      </c>
      <c r="D640" s="99"/>
      <c r="E640" s="99"/>
      <c r="F640" s="390">
        <f t="shared" si="405"/>
        <v>0</v>
      </c>
      <c r="G640" s="390"/>
      <c r="H640" s="390">
        <f t="shared" si="406"/>
        <v>0</v>
      </c>
      <c r="I640" s="401"/>
      <c r="J640" s="181"/>
      <c r="K640" s="181"/>
      <c r="L640" s="99"/>
      <c r="M640" s="183"/>
      <c r="N640" s="99"/>
      <c r="O640" s="182"/>
      <c r="P640" s="177"/>
      <c r="Q640" s="179"/>
      <c r="R640" s="179"/>
      <c r="S640" s="179"/>
      <c r="T640" s="99"/>
      <c r="U640" s="99"/>
      <c r="V640" s="99"/>
      <c r="W640" s="99"/>
      <c r="X640" s="99"/>
      <c r="Y640" s="99"/>
      <c r="Z640" s="99"/>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V640" s="104"/>
      <c r="AW640" s="104"/>
      <c r="AX640" s="104"/>
      <c r="AY640" s="104"/>
      <c r="AZ640" s="104"/>
      <c r="BA640" s="104"/>
      <c r="BB640" s="104"/>
      <c r="BC640" s="104"/>
      <c r="BD640" s="107"/>
      <c r="BE640" s="104"/>
      <c r="BF640" s="104"/>
      <c r="BG640" s="104"/>
      <c r="BH640" s="104"/>
      <c r="BI640" s="104"/>
      <c r="BT640" s="479"/>
      <c r="BU640" s="478"/>
    </row>
    <row r="641" spans="1:73" ht="14.5">
      <c r="A641" s="99"/>
      <c r="B641" s="91" t="s">
        <v>461</v>
      </c>
      <c r="C641" s="91" t="s">
        <v>2502</v>
      </c>
      <c r="D641" s="99"/>
      <c r="E641" s="99"/>
      <c r="F641" s="390">
        <f t="shared" si="405"/>
        <v>0</v>
      </c>
      <c r="G641" s="390"/>
      <c r="H641" s="390">
        <f t="shared" si="406"/>
        <v>0</v>
      </c>
      <c r="I641" s="401"/>
      <c r="J641" s="181"/>
      <c r="K641" s="181"/>
      <c r="L641" s="99"/>
      <c r="M641" s="183"/>
      <c r="N641" s="99"/>
      <c r="O641" s="182"/>
      <c r="P641" s="177"/>
      <c r="Q641" s="179"/>
      <c r="R641" s="179"/>
      <c r="S641" s="179"/>
      <c r="T641" s="99"/>
      <c r="U641" s="99"/>
      <c r="V641" s="99"/>
      <c r="W641" s="99"/>
      <c r="X641" s="99"/>
      <c r="Y641" s="99"/>
      <c r="Z641" s="99"/>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104"/>
      <c r="AW641" s="104"/>
      <c r="AX641" s="104"/>
      <c r="AY641" s="104"/>
      <c r="AZ641" s="104"/>
      <c r="BA641" s="104"/>
      <c r="BB641" s="104"/>
      <c r="BC641" s="104"/>
      <c r="BD641" s="107"/>
      <c r="BE641" s="104"/>
      <c r="BF641" s="104"/>
      <c r="BG641" s="104"/>
      <c r="BH641" s="104"/>
      <c r="BI641" s="104"/>
      <c r="BT641" s="479"/>
      <c r="BU641" s="478"/>
    </row>
    <row r="642" spans="1:73" ht="14.5">
      <c r="A642" s="99"/>
      <c r="B642" s="91" t="s">
        <v>461</v>
      </c>
      <c r="C642" s="91" t="s">
        <v>2506</v>
      </c>
      <c r="D642" s="99"/>
      <c r="E642" s="99"/>
      <c r="F642" s="390">
        <f t="shared" si="405"/>
        <v>0</v>
      </c>
      <c r="G642" s="390"/>
      <c r="H642" s="390">
        <f t="shared" si="406"/>
        <v>0</v>
      </c>
      <c r="I642" s="401"/>
      <c r="J642" s="181"/>
      <c r="K642" s="181"/>
      <c r="L642" s="99"/>
      <c r="M642" s="183"/>
      <c r="N642" s="99"/>
      <c r="O642" s="182"/>
      <c r="P642" s="177"/>
      <c r="Q642" s="179"/>
      <c r="R642" s="179"/>
      <c r="S642" s="179"/>
      <c r="T642" s="99"/>
      <c r="U642" s="99"/>
      <c r="V642" s="99"/>
      <c r="W642" s="99"/>
      <c r="X642" s="99"/>
      <c r="Y642" s="99"/>
      <c r="Z642" s="99"/>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104"/>
      <c r="AW642" s="104"/>
      <c r="AX642" s="104"/>
      <c r="AY642" s="104"/>
      <c r="AZ642" s="104"/>
      <c r="BA642" s="104"/>
      <c r="BB642" s="104"/>
      <c r="BC642" s="104"/>
      <c r="BD642" s="107"/>
      <c r="BE642" s="104"/>
      <c r="BF642" s="104"/>
      <c r="BG642" s="104"/>
      <c r="BH642" s="104"/>
      <c r="BI642" s="104"/>
      <c r="BT642" s="479"/>
      <c r="BU642" s="478"/>
    </row>
    <row r="643" spans="1:73" ht="14.5">
      <c r="A643" s="99"/>
      <c r="B643" s="91" t="s">
        <v>461</v>
      </c>
      <c r="C643" s="91" t="s">
        <v>2503</v>
      </c>
      <c r="D643" s="99"/>
      <c r="E643" s="99"/>
      <c r="F643" s="390">
        <f t="shared" si="405"/>
        <v>0</v>
      </c>
      <c r="G643" s="390"/>
      <c r="H643" s="390">
        <f t="shared" si="406"/>
        <v>0</v>
      </c>
      <c r="I643" s="401"/>
      <c r="J643" s="181"/>
      <c r="K643" s="181"/>
      <c r="L643" s="99"/>
      <c r="M643" s="183"/>
      <c r="N643" s="99"/>
      <c r="O643" s="182"/>
      <c r="P643" s="177"/>
      <c r="Q643" s="179"/>
      <c r="R643" s="179"/>
      <c r="S643" s="179"/>
      <c r="T643" s="99"/>
      <c r="U643" s="99"/>
      <c r="V643" s="99"/>
      <c r="W643" s="99"/>
      <c r="X643" s="99"/>
      <c r="Y643" s="99"/>
      <c r="Z643" s="99"/>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104"/>
      <c r="AW643" s="104"/>
      <c r="AX643" s="104"/>
      <c r="AY643" s="104"/>
      <c r="AZ643" s="104"/>
      <c r="BA643" s="104"/>
      <c r="BB643" s="104"/>
      <c r="BC643" s="104"/>
      <c r="BD643" s="107"/>
      <c r="BE643" s="104"/>
      <c r="BF643" s="104"/>
      <c r="BG643" s="104"/>
      <c r="BH643" s="104"/>
      <c r="BI643" s="104"/>
      <c r="BT643" s="479"/>
      <c r="BU643" s="478"/>
    </row>
    <row r="644" spans="1:73" ht="14.5">
      <c r="A644" s="99"/>
      <c r="B644" s="91" t="s">
        <v>461</v>
      </c>
      <c r="C644" s="91" t="s">
        <v>2259</v>
      </c>
      <c r="D644" s="99"/>
      <c r="E644" s="99"/>
      <c r="F644" s="390">
        <f>SUMIFS($P$9:$P$488,$B$9:$B$488,$B644,$A$9:$A$488,$C644)</f>
        <v>24490602.699878801</v>
      </c>
      <c r="G644" s="390"/>
      <c r="H644" s="390">
        <f t="shared" si="406"/>
        <v>11554080.89501472</v>
      </c>
      <c r="I644" s="401"/>
      <c r="J644" s="181"/>
      <c r="K644" s="181"/>
      <c r="L644" s="99"/>
      <c r="M644" s="183"/>
      <c r="N644" s="99"/>
      <c r="O644" s="182"/>
      <c r="P644" s="177"/>
      <c r="Q644" s="179"/>
      <c r="R644" s="179"/>
      <c r="S644" s="179"/>
      <c r="T644" s="99"/>
      <c r="U644" s="99"/>
      <c r="V644" s="99"/>
      <c r="W644" s="99"/>
      <c r="X644" s="99"/>
      <c r="Y644" s="99"/>
      <c r="Z644" s="99"/>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04"/>
      <c r="AY644" s="104"/>
      <c r="AZ644" s="104"/>
      <c r="BA644" s="104"/>
      <c r="BB644" s="104"/>
      <c r="BC644" s="104"/>
      <c r="BD644" s="107"/>
      <c r="BE644" s="104"/>
      <c r="BF644" s="104"/>
      <c r="BG644" s="104"/>
      <c r="BH644" s="104"/>
      <c r="BI644" s="104"/>
      <c r="BT644" s="479"/>
      <c r="BU644" s="478"/>
    </row>
    <row r="645" spans="1:73" ht="14.5">
      <c r="A645" s="99"/>
      <c r="B645" s="91"/>
      <c r="C645" s="91"/>
      <c r="D645" s="99"/>
      <c r="E645" s="99"/>
      <c r="F645" s="390"/>
      <c r="G645" s="390"/>
      <c r="H645" s="403"/>
      <c r="I645" s="401"/>
      <c r="J645" s="181"/>
      <c r="K645" s="181"/>
      <c r="L645" s="99"/>
      <c r="M645" s="183"/>
      <c r="N645" s="99"/>
      <c r="O645" s="182"/>
      <c r="P645" s="177"/>
      <c r="Q645" s="179"/>
      <c r="R645" s="179"/>
      <c r="S645" s="179"/>
      <c r="T645" s="99"/>
      <c r="U645" s="99"/>
      <c r="V645" s="99"/>
      <c r="W645" s="99"/>
      <c r="X645" s="99"/>
      <c r="Y645" s="99"/>
      <c r="Z645" s="99"/>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04"/>
      <c r="AY645" s="104"/>
      <c r="AZ645" s="104"/>
      <c r="BA645" s="104"/>
      <c r="BB645" s="104"/>
      <c r="BC645" s="104"/>
      <c r="BD645" s="107"/>
      <c r="BE645" s="104"/>
      <c r="BF645" s="104"/>
      <c r="BG645" s="104"/>
      <c r="BH645" s="104"/>
      <c r="BI645" s="104"/>
      <c r="BT645" s="479"/>
      <c r="BU645" s="478"/>
    </row>
    <row r="646" spans="1:73" ht="14.5">
      <c r="A646" s="99"/>
      <c r="B646" s="91"/>
      <c r="C646" s="91"/>
      <c r="D646" s="99"/>
      <c r="E646" s="99"/>
      <c r="F646" s="391">
        <f>SUM(F597:F644)</f>
        <v>370296760.74961549</v>
      </c>
      <c r="G646" s="391"/>
      <c r="H646" s="391">
        <f>SUM(H597:H644)</f>
        <v>50899418.257829078</v>
      </c>
      <c r="I646" s="401"/>
      <c r="J646" s="181"/>
      <c r="K646" s="181"/>
      <c r="L646" s="99"/>
      <c r="M646" s="183"/>
      <c r="N646" s="99"/>
      <c r="O646" s="182"/>
      <c r="P646" s="96">
        <f>SUBTOTAL(9,P9:P586)</f>
        <v>361222872.4610045</v>
      </c>
      <c r="Q646" s="96">
        <f>SUBTOTAL(9,Q9:Q586)</f>
        <v>66624583.892124124</v>
      </c>
      <c r="R646" s="179"/>
      <c r="S646" s="179"/>
      <c r="T646" s="99"/>
      <c r="U646" s="99"/>
      <c r="V646" s="99"/>
      <c r="W646" s="99"/>
      <c r="X646" s="99"/>
      <c r="Y646" s="99"/>
      <c r="Z646" s="99"/>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V646" s="104"/>
      <c r="AW646" s="104"/>
      <c r="AX646" s="104"/>
      <c r="AY646" s="104"/>
      <c r="AZ646" s="104"/>
      <c r="BA646" s="104"/>
      <c r="BB646" s="104"/>
      <c r="BC646" s="104"/>
      <c r="BD646" s="107"/>
      <c r="BE646" s="104"/>
      <c r="BF646" s="104"/>
      <c r="BG646" s="104"/>
      <c r="BH646" s="104"/>
      <c r="BI646" s="104"/>
      <c r="BT646" s="479"/>
      <c r="BU646" s="478"/>
    </row>
    <row r="647" spans="1:73" ht="14.5">
      <c r="A647" s="99"/>
      <c r="B647" s="91"/>
      <c r="C647" s="91"/>
      <c r="D647" s="99"/>
      <c r="E647" s="99"/>
      <c r="F647" s="392"/>
      <c r="G647" s="392"/>
      <c r="H647" s="404"/>
      <c r="I647" s="401"/>
      <c r="J647" s="181"/>
      <c r="K647" s="181"/>
      <c r="L647" s="99"/>
      <c r="M647" s="183"/>
      <c r="N647" s="99"/>
      <c r="O647" s="182"/>
      <c r="P647" s="177"/>
      <c r="Q647" s="179"/>
      <c r="R647" s="179"/>
      <c r="S647" s="179"/>
      <c r="T647" s="99"/>
      <c r="U647" s="99"/>
      <c r="V647" s="99"/>
      <c r="W647" s="99"/>
      <c r="X647" s="99"/>
      <c r="Y647" s="99"/>
      <c r="Z647" s="99"/>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V647" s="104"/>
      <c r="AW647" s="104"/>
      <c r="AX647" s="104"/>
      <c r="AY647" s="104"/>
      <c r="AZ647" s="104"/>
      <c r="BA647" s="104"/>
      <c r="BB647" s="104"/>
      <c r="BC647" s="104"/>
      <c r="BD647" s="107"/>
      <c r="BE647" s="104"/>
      <c r="BF647" s="104"/>
      <c r="BG647" s="104"/>
      <c r="BH647" s="104"/>
      <c r="BI647" s="104"/>
      <c r="BT647" s="479"/>
      <c r="BU647" s="478"/>
    </row>
    <row r="648" spans="1:73" ht="14.5">
      <c r="A648" s="99"/>
      <c r="B648" s="91"/>
      <c r="C648" s="91" t="s">
        <v>2508</v>
      </c>
      <c r="D648" s="99"/>
      <c r="E648" s="99"/>
      <c r="F648" s="393">
        <f>SUMIF($C$597:$C$644,$C648,F$597:F$644)</f>
        <v>14524963.545584075</v>
      </c>
      <c r="G648" s="393"/>
      <c r="H648" s="393">
        <f>SUMIF($C$597:$C$644,$C648,H$597:H$644)</f>
        <v>5894384.2032508971</v>
      </c>
      <c r="I648" s="401"/>
      <c r="J648" s="181"/>
      <c r="K648" s="181"/>
      <c r="L648" s="99"/>
      <c r="M648" s="183"/>
      <c r="N648" s="99"/>
      <c r="O648" s="182"/>
      <c r="P648" s="177"/>
      <c r="Q648" s="179"/>
      <c r="R648" s="179"/>
      <c r="S648" s="179"/>
      <c r="T648" s="99"/>
      <c r="U648" s="99"/>
      <c r="V648" s="99"/>
      <c r="W648" s="99"/>
      <c r="X648" s="99"/>
      <c r="Y648" s="99"/>
      <c r="Z648" s="99"/>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7"/>
      <c r="BE648" s="104"/>
      <c r="BF648" s="104"/>
      <c r="BG648" s="104"/>
      <c r="BH648" s="104"/>
      <c r="BI648" s="104"/>
      <c r="BT648" s="479"/>
      <c r="BU648" s="478"/>
    </row>
    <row r="649" spans="1:73" ht="14.5">
      <c r="A649" s="99"/>
      <c r="B649" s="91"/>
      <c r="C649" s="91" t="s">
        <v>2505</v>
      </c>
      <c r="D649" s="99"/>
      <c r="E649" s="99"/>
      <c r="F649" s="393">
        <f t="shared" ref="F649:F655" si="409">SUMIF($C$597:$C$644,$C649,F$597:F$644)</f>
        <v>0</v>
      </c>
      <c r="G649" s="393"/>
      <c r="H649" s="393">
        <f t="shared" ref="H649:H655" si="410">SUMIF($C$597:$C$644,$C649,H$597:H$644)</f>
        <v>0</v>
      </c>
      <c r="I649" s="401"/>
      <c r="J649" s="181"/>
      <c r="K649" s="181"/>
      <c r="L649" s="99"/>
      <c r="M649" s="183"/>
      <c r="N649" s="99"/>
      <c r="O649" s="182"/>
      <c r="P649" s="177"/>
      <c r="Q649" s="179"/>
      <c r="R649" s="179"/>
      <c r="S649" s="179"/>
      <c r="T649" s="99"/>
      <c r="U649" s="99"/>
      <c r="V649" s="99"/>
      <c r="W649" s="99"/>
      <c r="X649" s="99"/>
      <c r="Y649" s="99"/>
      <c r="Z649" s="99"/>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7"/>
      <c r="BE649" s="104"/>
      <c r="BF649" s="104"/>
      <c r="BG649" s="104"/>
      <c r="BH649" s="104"/>
      <c r="BI649" s="104"/>
      <c r="BT649" s="479"/>
      <c r="BU649" s="478"/>
    </row>
    <row r="650" spans="1:73" ht="14.5">
      <c r="A650" s="99"/>
      <c r="B650" s="91"/>
      <c r="C650" s="91" t="s">
        <v>2504</v>
      </c>
      <c r="D650" s="99"/>
      <c r="E650" s="99"/>
      <c r="F650" s="393">
        <f t="shared" si="409"/>
        <v>15330231.346226275</v>
      </c>
      <c r="G650" s="393"/>
      <c r="H650" s="393">
        <f t="shared" si="410"/>
        <v>2214902.3813366927</v>
      </c>
      <c r="I650" s="401"/>
      <c r="J650" s="181"/>
      <c r="K650" s="181"/>
      <c r="L650" s="99"/>
      <c r="M650" s="183"/>
      <c r="N650" s="99"/>
      <c r="O650" s="182"/>
      <c r="P650" s="177"/>
      <c r="Q650" s="179"/>
      <c r="R650" s="179"/>
      <c r="S650" s="179"/>
      <c r="T650" s="99"/>
      <c r="U650" s="99"/>
      <c r="V650" s="99"/>
      <c r="W650" s="99"/>
      <c r="X650" s="99"/>
      <c r="Y650" s="99"/>
      <c r="Z650" s="99"/>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7"/>
      <c r="BE650" s="104"/>
      <c r="BF650" s="104"/>
      <c r="BG650" s="104"/>
      <c r="BH650" s="104"/>
      <c r="BI650" s="104"/>
      <c r="BT650" s="479"/>
      <c r="BU650" s="478"/>
    </row>
    <row r="651" spans="1:73" ht="14.5">
      <c r="A651" s="99"/>
      <c r="B651" s="91"/>
      <c r="C651" s="91" t="s">
        <v>2507</v>
      </c>
      <c r="D651" s="99"/>
      <c r="E651" s="99"/>
      <c r="F651" s="393">
        <f t="shared" si="409"/>
        <v>100050362.65166053</v>
      </c>
      <c r="G651" s="393"/>
      <c r="H651" s="393">
        <f t="shared" si="410"/>
        <v>14706992.7084122</v>
      </c>
      <c r="I651" s="401"/>
      <c r="J651" s="181"/>
      <c r="K651" s="181"/>
      <c r="L651" s="99"/>
      <c r="M651" s="183"/>
      <c r="N651" s="99"/>
      <c r="O651" s="182"/>
      <c r="P651" s="174">
        <f>(K191+K192)*H191</f>
        <v>94809582.920000002</v>
      </c>
      <c r="Q651" s="174">
        <f>+Q192+Q191+P192+P191</f>
        <v>-5869325.0000000019</v>
      </c>
      <c r="R651" s="179"/>
      <c r="S651" s="179"/>
      <c r="T651" s="99"/>
      <c r="U651" s="99"/>
      <c r="V651" s="99"/>
      <c r="W651" s="99"/>
      <c r="X651" s="99"/>
      <c r="Y651" s="99"/>
      <c r="Z651" s="99"/>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7"/>
      <c r="BE651" s="104"/>
      <c r="BF651" s="104"/>
      <c r="BG651" s="104"/>
      <c r="BH651" s="104"/>
      <c r="BI651" s="104"/>
      <c r="BT651" s="479"/>
      <c r="BU651" s="478"/>
    </row>
    <row r="652" spans="1:73" ht="14.5">
      <c r="A652" s="99"/>
      <c r="B652" s="91"/>
      <c r="C652" s="91" t="s">
        <v>2502</v>
      </c>
      <c r="D652" s="99"/>
      <c r="E652" s="99"/>
      <c r="F652" s="393">
        <f t="shared" si="409"/>
        <v>104393461.53207204</v>
      </c>
      <c r="G652" s="393"/>
      <c r="H652" s="393">
        <f t="shared" si="410"/>
        <v>1078280.5352487394</v>
      </c>
      <c r="I652" s="401"/>
      <c r="J652" s="181"/>
      <c r="K652" s="181"/>
      <c r="L652" s="99"/>
      <c r="M652" s="183"/>
      <c r="N652" s="99"/>
      <c r="O652" s="695" t="s">
        <v>5369</v>
      </c>
      <c r="P652" s="174">
        <v>28973844.080591854</v>
      </c>
      <c r="Q652" s="174"/>
      <c r="R652" s="179"/>
      <c r="S652" s="179"/>
      <c r="T652" s="99"/>
      <c r="U652" s="99"/>
      <c r="V652" s="99"/>
      <c r="W652" s="99"/>
      <c r="X652" s="99"/>
      <c r="Y652" s="99"/>
      <c r="Z652" s="99"/>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7"/>
      <c r="BE652" s="104"/>
      <c r="BF652" s="104"/>
      <c r="BG652" s="104"/>
      <c r="BH652" s="104"/>
      <c r="BI652" s="104"/>
      <c r="BT652" s="479"/>
      <c r="BU652" s="478"/>
    </row>
    <row r="653" spans="1:73" ht="14.5">
      <c r="A653" s="99"/>
      <c r="B653" s="91"/>
      <c r="C653" s="91" t="s">
        <v>2506</v>
      </c>
      <c r="D653" s="99"/>
      <c r="E653" s="99"/>
      <c r="F653" s="393">
        <f t="shared" si="409"/>
        <v>11311188.528920248</v>
      </c>
      <c r="G653" s="393"/>
      <c r="H653" s="393">
        <f t="shared" si="410"/>
        <v>10578639.097507218</v>
      </c>
      <c r="I653" s="401"/>
      <c r="J653" s="181"/>
      <c r="K653" s="181"/>
      <c r="L653" s="99"/>
      <c r="M653" s="183"/>
      <c r="N653" s="99"/>
      <c r="O653" s="695" t="s">
        <v>5370</v>
      </c>
      <c r="P653" s="174">
        <v>71705064.316724479</v>
      </c>
      <c r="Q653" s="174"/>
      <c r="R653" s="179"/>
      <c r="S653" s="179"/>
      <c r="T653" s="99"/>
      <c r="U653" s="99"/>
      <c r="V653" s="99"/>
      <c r="W653" s="99"/>
      <c r="X653" s="99"/>
      <c r="Y653" s="99"/>
      <c r="Z653" s="99"/>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V653" s="104"/>
      <c r="AW653" s="104"/>
      <c r="AX653" s="104"/>
      <c r="AY653" s="104"/>
      <c r="AZ653" s="104"/>
      <c r="BA653" s="104"/>
      <c r="BB653" s="104"/>
      <c r="BC653" s="104"/>
      <c r="BD653" s="107"/>
      <c r="BE653" s="104"/>
      <c r="BF653" s="104"/>
      <c r="BG653" s="104"/>
      <c r="BH653" s="104"/>
      <c r="BI653" s="104"/>
      <c r="BT653" s="479"/>
      <c r="BU653" s="478"/>
    </row>
    <row r="654" spans="1:73" ht="14.5">
      <c r="A654" s="99"/>
      <c r="B654" s="91"/>
      <c r="C654" s="91" t="s">
        <v>2503</v>
      </c>
      <c r="D654" s="99"/>
      <c r="E654" s="99"/>
      <c r="F654" s="393">
        <f t="shared" si="409"/>
        <v>34411307.677519299</v>
      </c>
      <c r="G654" s="393"/>
      <c r="H654" s="393">
        <f t="shared" si="410"/>
        <v>2508475.0141208251</v>
      </c>
      <c r="I654" s="401"/>
      <c r="J654" s="181"/>
      <c r="K654" s="181"/>
      <c r="L654" s="99"/>
      <c r="M654" s="183"/>
      <c r="N654" s="99"/>
      <c r="O654" s="695"/>
      <c r="P654" s="174">
        <f>+P653+P652</f>
        <v>100678908.39731634</v>
      </c>
      <c r="Q654" s="174"/>
      <c r="R654" s="179"/>
      <c r="S654" s="179"/>
      <c r="T654" s="99"/>
      <c r="U654" s="99"/>
      <c r="V654" s="99"/>
      <c r="W654" s="99"/>
      <c r="X654" s="99"/>
      <c r="Y654" s="99"/>
      <c r="Z654" s="99"/>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7"/>
      <c r="BE654" s="104"/>
      <c r="BF654" s="104"/>
      <c r="BG654" s="104"/>
      <c r="BH654" s="104"/>
      <c r="BI654" s="104"/>
      <c r="BT654" s="479"/>
      <c r="BU654" s="478"/>
    </row>
    <row r="655" spans="1:73" ht="14.5">
      <c r="A655" s="99"/>
      <c r="B655" s="91"/>
      <c r="C655" s="92" t="s">
        <v>2259</v>
      </c>
      <c r="D655" s="99"/>
      <c r="E655" s="99"/>
      <c r="F655" s="393">
        <f t="shared" si="409"/>
        <v>90275245.467632964</v>
      </c>
      <c r="G655" s="393"/>
      <c r="H655" s="393">
        <f t="shared" si="410"/>
        <v>13917744.317952508</v>
      </c>
      <c r="I655" s="401"/>
      <c r="J655" s="181"/>
      <c r="K655" s="181"/>
      <c r="L655" s="99"/>
      <c r="M655" s="183"/>
      <c r="N655" s="99"/>
      <c r="O655" s="695"/>
      <c r="P655" s="174">
        <f>+P651-P654</f>
        <v>-5869325.4773163348</v>
      </c>
      <c r="Q655" s="174"/>
      <c r="R655" s="179"/>
      <c r="S655" s="179"/>
      <c r="T655" s="99"/>
      <c r="U655" s="99"/>
      <c r="V655" s="99"/>
      <c r="W655" s="99"/>
      <c r="X655" s="99"/>
      <c r="Y655" s="99"/>
      <c r="Z655" s="99"/>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V655" s="104"/>
      <c r="AW655" s="104"/>
      <c r="AX655" s="104"/>
      <c r="AY655" s="104"/>
      <c r="AZ655" s="104"/>
      <c r="BA655" s="104"/>
      <c r="BB655" s="104"/>
      <c r="BC655" s="104"/>
      <c r="BD655" s="107"/>
      <c r="BE655" s="104"/>
      <c r="BF655" s="104"/>
      <c r="BG655" s="104"/>
      <c r="BH655" s="104"/>
      <c r="BI655" s="104"/>
      <c r="BT655" s="479"/>
      <c r="BU655" s="478"/>
    </row>
    <row r="656" spans="1:73" ht="14.5">
      <c r="A656" s="99"/>
      <c r="B656" s="91"/>
      <c r="C656" s="92"/>
      <c r="D656" s="99"/>
      <c r="E656" s="99"/>
      <c r="F656" s="169"/>
      <c r="G656" s="169"/>
      <c r="H656" s="401"/>
      <c r="I656" s="401"/>
      <c r="J656" s="181"/>
      <c r="K656" s="181"/>
      <c r="L656" s="99"/>
      <c r="M656" s="183"/>
      <c r="N656" s="99"/>
      <c r="O656" s="182"/>
      <c r="P656" s="177"/>
      <c r="Q656" s="174"/>
      <c r="R656" s="179"/>
      <c r="S656" s="179"/>
      <c r="T656" s="99"/>
      <c r="U656" s="99"/>
      <c r="V656" s="99"/>
      <c r="W656" s="99"/>
      <c r="X656" s="99"/>
      <c r="Y656" s="99"/>
      <c r="Z656" s="99"/>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V656" s="104"/>
      <c r="AW656" s="104"/>
      <c r="AX656" s="104"/>
      <c r="AY656" s="104"/>
      <c r="AZ656" s="104"/>
      <c r="BA656" s="104"/>
      <c r="BB656" s="104"/>
      <c r="BC656" s="104"/>
      <c r="BD656" s="107"/>
      <c r="BE656" s="104"/>
      <c r="BF656" s="104"/>
      <c r="BG656" s="104"/>
      <c r="BH656" s="104"/>
      <c r="BI656" s="104"/>
      <c r="BT656" s="479"/>
      <c r="BU656" s="478"/>
    </row>
    <row r="657" spans="1:73" ht="14.5">
      <c r="A657" s="99"/>
      <c r="B657" s="91"/>
      <c r="C657" s="92"/>
      <c r="D657" s="99"/>
      <c r="E657" s="99"/>
      <c r="F657" s="391">
        <f>SUM(F648:F655)</f>
        <v>370296760.74961543</v>
      </c>
      <c r="G657" s="391"/>
      <c r="H657" s="391">
        <f>SUM(H648:H655)</f>
        <v>50899418.257829078</v>
      </c>
      <c r="I657" s="401"/>
      <c r="J657" s="181"/>
      <c r="K657" s="181"/>
      <c r="L657" s="99"/>
      <c r="M657" s="183"/>
      <c r="N657" s="99"/>
      <c r="O657" s="182"/>
      <c r="P657" s="177"/>
      <c r="Q657" s="179"/>
      <c r="R657" s="179"/>
      <c r="S657" s="179"/>
      <c r="T657" s="99"/>
      <c r="U657" s="99"/>
      <c r="V657" s="99"/>
      <c r="W657" s="99"/>
      <c r="X657" s="99"/>
      <c r="Y657" s="99"/>
      <c r="Z657" s="99"/>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V657" s="104"/>
      <c r="AW657" s="104"/>
      <c r="AX657" s="104"/>
      <c r="AY657" s="104"/>
      <c r="AZ657" s="104"/>
      <c r="BA657" s="104"/>
      <c r="BB657" s="104"/>
      <c r="BC657" s="104"/>
      <c r="BD657" s="107"/>
      <c r="BE657" s="104"/>
      <c r="BF657" s="104"/>
      <c r="BG657" s="104"/>
      <c r="BH657" s="104"/>
      <c r="BI657" s="104"/>
      <c r="BT657" s="479"/>
      <c r="BU657" s="478"/>
    </row>
    <row r="658" spans="1:73" ht="14.5">
      <c r="A658" s="99"/>
      <c r="B658" s="91"/>
      <c r="C658" s="92"/>
      <c r="D658" s="99"/>
      <c r="E658" s="99"/>
      <c r="F658" s="169"/>
      <c r="G658" s="169"/>
      <c r="H658" s="401"/>
      <c r="I658" s="401"/>
      <c r="J658" s="181"/>
      <c r="K658" s="181"/>
      <c r="L658" s="99"/>
      <c r="M658" s="183"/>
      <c r="N658" s="99"/>
      <c r="O658" s="182"/>
      <c r="P658" s="177"/>
      <c r="Q658" s="179"/>
      <c r="R658" s="179"/>
      <c r="S658" s="179"/>
      <c r="T658" s="99"/>
      <c r="U658" s="99"/>
      <c r="V658" s="99"/>
      <c r="W658" s="99"/>
      <c r="X658" s="99"/>
      <c r="Y658" s="99"/>
      <c r="Z658" s="99"/>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V658" s="104"/>
      <c r="AW658" s="104"/>
      <c r="AX658" s="104"/>
      <c r="AY658" s="104"/>
      <c r="AZ658" s="104"/>
      <c r="BA658" s="104"/>
      <c r="BB658" s="104"/>
      <c r="BC658" s="104"/>
      <c r="BD658" s="107"/>
      <c r="BE658" s="104"/>
      <c r="BF658" s="104"/>
      <c r="BG658" s="104"/>
      <c r="BH658" s="104"/>
      <c r="BI658" s="104"/>
      <c r="BT658" s="479"/>
      <c r="BU658" s="478"/>
    </row>
    <row r="659" spans="1:73">
      <c r="E659"/>
      <c r="F659" s="394"/>
      <c r="G659" s="394"/>
      <c r="H659" s="405"/>
      <c r="J659" s="49"/>
      <c r="K659"/>
      <c r="L659" s="85"/>
      <c r="M659"/>
      <c r="N659" s="83"/>
      <c r="O659" s="106"/>
      <c r="X659"/>
      <c r="Y659"/>
      <c r="BB659" s="124"/>
      <c r="BC659" s="6"/>
      <c r="BT659" s="478"/>
    </row>
    <row r="660" spans="1:73">
      <c r="E660"/>
      <c r="F660" s="394"/>
      <c r="G660" s="394"/>
      <c r="H660" s="405"/>
      <c r="J660" s="49"/>
      <c r="K660"/>
      <c r="L660" s="85"/>
      <c r="M660"/>
      <c r="N660" s="83"/>
      <c r="O660" s="106"/>
      <c r="X660"/>
      <c r="Y660"/>
      <c r="BB660" s="124"/>
      <c r="BC660" s="6"/>
      <c r="BT660" s="478"/>
    </row>
    <row r="662" spans="1:73">
      <c r="M662" s="704" t="s">
        <v>5387</v>
      </c>
    </row>
    <row r="663" spans="1:73">
      <c r="O663" s="124" t="s">
        <v>5389</v>
      </c>
      <c r="R663" s="124" t="s">
        <v>5388</v>
      </c>
      <c r="S663" s="124" t="s">
        <v>5389</v>
      </c>
      <c r="T663" s="124" t="s">
        <v>5390</v>
      </c>
      <c r="U663" s="124" t="s">
        <v>5391</v>
      </c>
    </row>
    <row r="664" spans="1:73" ht="14.5">
      <c r="F664" s="502" t="s">
        <v>5376</v>
      </c>
      <c r="I664" s="703">
        <v>-4481854</v>
      </c>
      <c r="K664" s="701">
        <v>2187575.8000000003</v>
      </c>
      <c r="M664" s="701">
        <f>+I664</f>
        <v>-4481854</v>
      </c>
      <c r="O664" s="705">
        <v>64817.039184482906</v>
      </c>
      <c r="P664" s="702">
        <v>540973.18235397874</v>
      </c>
      <c r="R664" s="702"/>
      <c r="T664" s="207"/>
    </row>
    <row r="665" spans="1:73" ht="14.5">
      <c r="F665" s="502" t="s">
        <v>5377</v>
      </c>
      <c r="I665" s="703">
        <v>251083</v>
      </c>
      <c r="K665" s="701">
        <v>0</v>
      </c>
      <c r="M665" s="701">
        <f>+K665+I665</f>
        <v>251083</v>
      </c>
      <c r="O665" s="705">
        <v>24026.337462933381</v>
      </c>
      <c r="P665" s="702">
        <v>-24026.337462933381</v>
      </c>
      <c r="R665" s="702">
        <v>-24026.337462933381</v>
      </c>
      <c r="S665" s="207">
        <f>-O665</f>
        <v>-24026.337462933381</v>
      </c>
      <c r="T665" s="207">
        <v>-47417</v>
      </c>
      <c r="U665" s="207">
        <f>+T665+S665</f>
        <v>-71443.337462933385</v>
      </c>
    </row>
    <row r="666" spans="1:73" ht="29">
      <c r="F666" s="502" t="s">
        <v>5378</v>
      </c>
      <c r="I666" s="703">
        <v>1671766</v>
      </c>
      <c r="K666" s="701">
        <v>0</v>
      </c>
      <c r="M666" s="701">
        <f>+K666+I666</f>
        <v>1671766</v>
      </c>
      <c r="O666" s="705">
        <v>32952.806880624907</v>
      </c>
      <c r="P666" s="702">
        <v>-32952.806880624907</v>
      </c>
      <c r="R666" s="702">
        <v>-32952.806880624907</v>
      </c>
      <c r="S666" s="207">
        <f>-O666</f>
        <v>-32952.806880624907</v>
      </c>
      <c r="T666" s="207">
        <v>-65034</v>
      </c>
      <c r="U666" s="207">
        <f t="shared" ref="U666:U676" si="411">+T666+S666</f>
        <v>-97986.806880624907</v>
      </c>
    </row>
    <row r="667" spans="1:73" ht="14.5">
      <c r="F667" s="502" t="s">
        <v>5376</v>
      </c>
      <c r="I667" s="703">
        <v>346349</v>
      </c>
      <c r="K667" s="701">
        <v>1433277.6500832478</v>
      </c>
      <c r="L667" s="124" t="s">
        <v>5385</v>
      </c>
      <c r="M667" s="701">
        <f>+K667+I667+K668+K664</f>
        <v>6592813.3596621193</v>
      </c>
      <c r="O667" s="705">
        <v>93993.883653000739</v>
      </c>
      <c r="P667" s="702">
        <v>302913.7732931294</v>
      </c>
      <c r="R667" s="702">
        <f>+P667+P668+P664</f>
        <v>1238454.9449099211</v>
      </c>
      <c r="S667" s="207">
        <f>-O667-O668-O664</f>
        <v>-491335.1854580504</v>
      </c>
      <c r="T667" s="207">
        <v>-2000626</v>
      </c>
      <c r="U667" s="207">
        <f t="shared" si="411"/>
        <v>-2491961.1854580506</v>
      </c>
    </row>
    <row r="668" spans="1:73" ht="14.5">
      <c r="F668" s="502" t="s">
        <v>5376</v>
      </c>
      <c r="I668" s="703">
        <v>0</v>
      </c>
      <c r="K668" s="701">
        <v>2625610.9095788714</v>
      </c>
      <c r="L668" s="124" t="s">
        <v>5386</v>
      </c>
      <c r="M668" s="701"/>
      <c r="O668" s="705">
        <v>332524.26262056676</v>
      </c>
      <c r="P668" s="702">
        <v>394567.989262813</v>
      </c>
      <c r="R668" s="702"/>
      <c r="T668" s="207"/>
      <c r="U668" s="207">
        <f t="shared" si="411"/>
        <v>0</v>
      </c>
    </row>
    <row r="669" spans="1:73" ht="14.5">
      <c r="F669" s="502" t="s">
        <v>5379</v>
      </c>
      <c r="I669" s="703">
        <v>70</v>
      </c>
      <c r="K669" s="701">
        <v>0</v>
      </c>
      <c r="M669" s="701">
        <f t="shared" ref="M669:M676" si="412">+K669+I669</f>
        <v>70</v>
      </c>
      <c r="O669" s="705">
        <v>936086.19332643272</v>
      </c>
      <c r="P669" s="702">
        <v>-936086.19332643272</v>
      </c>
      <c r="R669" s="702">
        <v>-936086.19332643272</v>
      </c>
      <c r="S669" s="207">
        <f t="shared" ref="S669:S676" si="413">-O669</f>
        <v>-936086.19332643272</v>
      </c>
      <c r="T669" s="207">
        <v>-855251</v>
      </c>
      <c r="U669" s="207">
        <f t="shared" si="411"/>
        <v>-1791337.1933264327</v>
      </c>
    </row>
    <row r="670" spans="1:73" ht="14.5">
      <c r="F670" s="502" t="s">
        <v>5380</v>
      </c>
      <c r="I670" s="703">
        <v>3707871.5043337489</v>
      </c>
      <c r="K670" s="701">
        <v>2480181.6082499996</v>
      </c>
      <c r="M670" s="701">
        <f t="shared" si="412"/>
        <v>6188053.112583749</v>
      </c>
      <c r="O670" s="705">
        <v>122313.31270267299</v>
      </c>
      <c r="P670" s="702">
        <v>767634.20555173862</v>
      </c>
      <c r="R670" s="702">
        <v>767634.20555173862</v>
      </c>
      <c r="S670" s="207">
        <f t="shared" si="413"/>
        <v>-122313.31270267299</v>
      </c>
      <c r="T670" s="207">
        <v>-456802</v>
      </c>
      <c r="U670" s="207">
        <f t="shared" si="411"/>
        <v>-579115.31270267302</v>
      </c>
    </row>
    <row r="671" spans="1:73" ht="14.5">
      <c r="F671" s="502" t="s">
        <v>5381</v>
      </c>
      <c r="I671" s="703">
        <v>0</v>
      </c>
      <c r="K671" s="701">
        <v>0</v>
      </c>
      <c r="M671" s="701">
        <f t="shared" si="412"/>
        <v>0</v>
      </c>
      <c r="O671" s="705">
        <v>617219.62380325247</v>
      </c>
      <c r="P671" s="702">
        <v>-617219.62380325247</v>
      </c>
      <c r="R671" s="702">
        <v>-617219.62380325247</v>
      </c>
      <c r="S671" s="207">
        <f t="shared" si="413"/>
        <v>-617219.62380325247</v>
      </c>
      <c r="T671" s="207">
        <v>-997492</v>
      </c>
      <c r="U671" s="207">
        <f t="shared" si="411"/>
        <v>-1614711.6238032524</v>
      </c>
    </row>
    <row r="672" spans="1:73" ht="14.5">
      <c r="F672" s="502"/>
      <c r="I672" s="703">
        <v>0</v>
      </c>
      <c r="K672" s="701">
        <v>0</v>
      </c>
      <c r="M672" s="701">
        <f t="shared" si="412"/>
        <v>0</v>
      </c>
      <c r="O672" s="705"/>
      <c r="P672" s="702"/>
      <c r="R672" s="702"/>
      <c r="S672" s="207">
        <f t="shared" si="413"/>
        <v>0</v>
      </c>
      <c r="T672" s="207"/>
      <c r="U672" s="207">
        <f t="shared" si="411"/>
        <v>0</v>
      </c>
    </row>
    <row r="673" spans="6:21" ht="14.5">
      <c r="F673" s="502"/>
      <c r="I673" s="703">
        <v>0</v>
      </c>
      <c r="K673" s="701">
        <v>0</v>
      </c>
      <c r="M673" s="701">
        <f t="shared" si="412"/>
        <v>0</v>
      </c>
      <c r="O673" s="705"/>
      <c r="P673" s="702"/>
      <c r="R673" s="702"/>
      <c r="S673" s="207">
        <f t="shared" si="413"/>
        <v>0</v>
      </c>
      <c r="T673" s="207"/>
      <c r="U673" s="207">
        <f t="shared" si="411"/>
        <v>0</v>
      </c>
    </row>
    <row r="674" spans="6:21" ht="14.5">
      <c r="F674" s="502" t="s">
        <v>5382</v>
      </c>
      <c r="I674" s="703">
        <v>0</v>
      </c>
      <c r="K674" s="701">
        <v>0</v>
      </c>
      <c r="M674" s="701">
        <f t="shared" si="412"/>
        <v>0</v>
      </c>
      <c r="O674" s="705">
        <v>153594.93560283733</v>
      </c>
      <c r="P674" s="702">
        <v>-153594.93560283733</v>
      </c>
      <c r="R674" s="702">
        <v>-153594.93560283733</v>
      </c>
      <c r="S674" s="207">
        <f t="shared" si="413"/>
        <v>-153594.93560283733</v>
      </c>
      <c r="T674" s="207">
        <v>-1158195</v>
      </c>
      <c r="U674" s="207">
        <f t="shared" si="411"/>
        <v>-1311789.9356028372</v>
      </c>
    </row>
    <row r="675" spans="6:21" ht="14.5">
      <c r="F675" s="502" t="s">
        <v>5383</v>
      </c>
      <c r="I675" s="703">
        <v>1472258</v>
      </c>
      <c r="K675" s="701">
        <v>166014</v>
      </c>
      <c r="M675" s="701">
        <f t="shared" si="412"/>
        <v>1638272</v>
      </c>
      <c r="O675" s="705">
        <v>53946.556782521722</v>
      </c>
      <c r="P675" s="702">
        <v>-32712.207945312421</v>
      </c>
      <c r="R675" s="702">
        <v>-32712.207945312421</v>
      </c>
      <c r="S675" s="207">
        <f t="shared" si="413"/>
        <v>-53946.556782521722</v>
      </c>
      <c r="T675" s="207">
        <v>-33218</v>
      </c>
      <c r="U675" s="207">
        <f t="shared" si="411"/>
        <v>-87164.556782521715</v>
      </c>
    </row>
    <row r="676" spans="6:21" ht="14.5">
      <c r="F676" s="502" t="s">
        <v>5384</v>
      </c>
      <c r="I676" s="703">
        <v>3100393</v>
      </c>
      <c r="K676" s="701">
        <v>0</v>
      </c>
      <c r="M676" s="701">
        <f t="shared" si="412"/>
        <v>3100393</v>
      </c>
      <c r="O676" s="705">
        <v>11999.62477951083</v>
      </c>
      <c r="P676" s="702">
        <v>-11999.62477951083</v>
      </c>
      <c r="R676" s="702">
        <v>-11999.62477951083</v>
      </c>
      <c r="S676" s="207">
        <f t="shared" si="413"/>
        <v>-11999.62477951083</v>
      </c>
      <c r="T676" s="207">
        <v>-40513</v>
      </c>
      <c r="U676" s="207">
        <f t="shared" si="411"/>
        <v>-52512.624779510828</v>
      </c>
    </row>
    <row r="677" spans="6:21">
      <c r="O677" s="705">
        <f>SUM(O664:O676)</f>
        <v>2443474.5767988367</v>
      </c>
      <c r="P677" s="705">
        <f>SUM(P664:P676)</f>
        <v>197497.42066075574</v>
      </c>
      <c r="Q677" s="705"/>
      <c r="R677" s="705">
        <f t="shared" ref="R677:U677" si="414">SUM(R664:R676)</f>
        <v>197497.42066075574</v>
      </c>
      <c r="S677" s="705">
        <f t="shared" si="414"/>
        <v>-2443474.5767988367</v>
      </c>
      <c r="T677" s="705">
        <f t="shared" si="414"/>
        <v>-5654548</v>
      </c>
      <c r="U677" s="705">
        <f t="shared" si="414"/>
        <v>-8098022.5767988367</v>
      </c>
    </row>
    <row r="884" spans="20:21">
      <c r="T884" t="s">
        <v>2727</v>
      </c>
      <c r="U884" t="s">
        <v>2499</v>
      </c>
    </row>
    <row r="885" spans="20:21">
      <c r="T885" t="s">
        <v>2728</v>
      </c>
      <c r="U885" t="s">
        <v>2499</v>
      </c>
    </row>
    <row r="886" spans="20:21">
      <c r="T886" t="s">
        <v>2729</v>
      </c>
      <c r="U886" t="s">
        <v>2499</v>
      </c>
    </row>
    <row r="887" spans="20:21">
      <c r="T887" t="s">
        <v>2730</v>
      </c>
      <c r="U887" t="s">
        <v>2499</v>
      </c>
    </row>
    <row r="888" spans="20:21">
      <c r="T888" t="s">
        <v>2731</v>
      </c>
      <c r="U888" t="s">
        <v>2499</v>
      </c>
    </row>
    <row r="889" spans="20:21">
      <c r="T889" t="s">
        <v>2732</v>
      </c>
      <c r="U889" t="s">
        <v>2499</v>
      </c>
    </row>
    <row r="890" spans="20:21">
      <c r="T890" t="s">
        <v>2733</v>
      </c>
      <c r="U890" t="s">
        <v>2499</v>
      </c>
    </row>
    <row r="891" spans="20:21">
      <c r="T891" t="s">
        <v>2739</v>
      </c>
      <c r="U891" t="s">
        <v>2499</v>
      </c>
    </row>
    <row r="892" spans="20:21">
      <c r="T892" t="s">
        <v>2629</v>
      </c>
      <c r="U892" t="s">
        <v>2499</v>
      </c>
    </row>
    <row r="893" spans="20:21">
      <c r="T893" t="s">
        <v>2646</v>
      </c>
      <c r="U893" t="s">
        <v>2499</v>
      </c>
    </row>
    <row r="894" spans="20:21">
      <c r="T894" t="s">
        <v>2656</v>
      </c>
      <c r="U894" t="s">
        <v>2499</v>
      </c>
    </row>
    <row r="895" spans="20:21">
      <c r="T895" t="s">
        <v>2662</v>
      </c>
      <c r="U895" t="s">
        <v>2499</v>
      </c>
    </row>
    <row r="896" spans="20:21">
      <c r="T896" t="s">
        <v>2322</v>
      </c>
      <c r="U896" t="s">
        <v>2499</v>
      </c>
    </row>
    <row r="897" spans="20:21">
      <c r="T897" t="s">
        <v>2333</v>
      </c>
      <c r="U897" t="s">
        <v>2499</v>
      </c>
    </row>
    <row r="898" spans="20:21">
      <c r="T898" t="s">
        <v>2330</v>
      </c>
      <c r="U898" t="s">
        <v>2499</v>
      </c>
    </row>
    <row r="899" spans="20:21">
      <c r="T899" t="s">
        <v>2390</v>
      </c>
      <c r="U899" t="s">
        <v>2499</v>
      </c>
    </row>
    <row r="900" spans="20:21">
      <c r="T900" t="s">
        <v>2565</v>
      </c>
      <c r="U900" t="s">
        <v>2499</v>
      </c>
    </row>
    <row r="901" spans="20:21">
      <c r="T901" t="s">
        <v>2564</v>
      </c>
      <c r="U901" t="s">
        <v>2499</v>
      </c>
    </row>
    <row r="902" spans="20:21">
      <c r="T902" t="s">
        <v>2556</v>
      </c>
      <c r="U902" t="s">
        <v>2499</v>
      </c>
    </row>
    <row r="903" spans="20:21">
      <c r="T903" t="s">
        <v>2557</v>
      </c>
      <c r="U903" t="s">
        <v>2499</v>
      </c>
    </row>
    <row r="904" spans="20:21">
      <c r="T904" t="s">
        <v>2323</v>
      </c>
      <c r="U904" t="s">
        <v>2499</v>
      </c>
    </row>
    <row r="905" spans="20:21">
      <c r="T905" t="s">
        <v>2313</v>
      </c>
      <c r="U905" t="s">
        <v>2499</v>
      </c>
    </row>
    <row r="906" spans="20:21">
      <c r="T906" t="s">
        <v>2778</v>
      </c>
      <c r="U906" t="s">
        <v>2499</v>
      </c>
    </row>
  </sheetData>
  <autoFilter ref="A8:BY644" xr:uid="{5E99D8ED-73D3-4DBB-B3D8-65A009446687}"/>
  <sortState xmlns:xlrd2="http://schemas.microsoft.com/office/spreadsheetml/2017/richdata2" ref="A9:BX506">
    <sortCondition ref="B9:B506"/>
    <sortCondition ref="F9:F506"/>
  </sortState>
  <dataConsolidate/>
  <customSheetViews>
    <customSheetView guid="{A2EDE129-9A82-414C-9545-4AA6BCAEFA13}" filter="1" showAutoFilter="1" hiddenColumns="1" topLeftCell="BT1">
      <pane ySplit="1" topLeftCell="A2" activePane="bottomLeft" state="frozen"/>
      <selection pane="bottomLeft" activeCell="CA85" sqref="CA85"/>
      <pageMargins left="0.75" right="0.75" top="1" bottom="1" header="0.5" footer="0.5"/>
      <pageSetup paperSize="9" orientation="portrait" r:id="rId1"/>
      <headerFooter alignWithMargins="0"/>
      <autoFilter ref="B1:DB1" xr:uid="{A85C15DF-4F89-4A5C-9E88-73DBA41DBB19}">
        <filterColumn colId="78">
          <filters blank="1">
            <filter val="?"/>
            <filter val="NA"/>
            <filter val="Parks and Coastal?"/>
          </filters>
        </filterColumn>
      </autoFilter>
    </customSheetView>
    <customSheetView guid="{5F7BCE1B-36F3-447A-8DD9-E51BEFF3AFBA}" filter="1" showAutoFilter="1" hiddenColumns="1" topLeftCell="CI1">
      <pane ySplit="1" topLeftCell="A81" activePane="bottomLeft" state="frozen"/>
      <selection pane="bottomLeft" activeCell="CN247" sqref="CN247"/>
      <pageMargins left="0.75" right="0.75" top="1" bottom="1" header="0.5" footer="0.5"/>
      <pageSetup paperSize="9" orientation="portrait" r:id="rId2"/>
      <headerFooter alignWithMargins="0"/>
      <autoFilter ref="B1:DB1" xr:uid="{C97B6DF1-D5AB-49E9-891C-5E1BDE2AAF9B}">
        <filterColumn colId="0">
          <filters>
            <filter val="CSF"/>
            <filter val="LRF"/>
            <filter val="OSL"/>
            <filter val="STW"/>
            <filter val="TRN"/>
          </filters>
        </filterColumn>
        <filterColumn colId="1">
          <filters blank="1"/>
        </filterColumn>
      </autoFilter>
    </customSheetView>
    <customSheetView guid="{4CB5074A-E16B-4E31-B838-49EE3EE7DA0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BFB4608D-4945-446C-9A8C-C4729DADE1CC}" filter="1" showAutoFilter="1" hiddenColumns="1" topLeftCell="CI1">
      <pane ySplit="1" topLeftCell="A81" activePane="bottomLeft" state="frozen"/>
      <selection pane="bottomLeft" activeCell="CN247" sqref="CN247"/>
      <pageMargins left="0.75" right="0.75" top="1" bottom="1" header="0.5" footer="0.5"/>
      <pageSetup paperSize="9" orientation="portrait" r:id="rId3"/>
      <headerFooter alignWithMargins="0"/>
      <autoFilter ref="B1:DB1" xr:uid="{786694A9-16EB-4F9D-AB3C-106E5EA2E084}">
        <filterColumn colId="0">
          <filters>
            <filter val="CSF"/>
            <filter val="LRF"/>
            <filter val="OSL"/>
            <filter val="STW"/>
            <filter val="TRN"/>
          </filters>
        </filterColumn>
        <filterColumn colId="1">
          <filters blank="1"/>
        </filterColumn>
      </autoFilter>
    </customSheetView>
    <customSheetView guid="{1DB52CAD-403B-4256-97F4-977FD85A83D4}" showAutoFilter="1" hiddenColumns="1" showRuler="0" topLeftCell="BT1">
      <pane ySplit="1" topLeftCell="A2" activePane="bottomLeft" state="frozen"/>
      <selection pane="bottomLeft" activeCell="CA85" sqref="CA85"/>
      <pageMargins left="0.75" right="0.75" top="1" bottom="1" header="0.5" footer="0.5"/>
      <pageSetup paperSize="9" orientation="portrait" r:id="rId4"/>
      <headerFooter alignWithMargins="0"/>
      <autoFilter ref="B1:DB1" xr:uid="{21A47CBC-A8AC-4706-96D8-DB46831CA68B}"/>
    </customSheetView>
  </customSheetViews>
  <phoneticPr fontId="7" type="noConversion"/>
  <pageMargins left="0.19685039370078741" right="0.19685039370078741" top="0.78740157480314965" bottom="0.78740157480314965" header="0.31496062992125984" footer="0.31496062992125984"/>
  <pageSetup paperSize="8" scale="55" fitToHeight="0" orientation="landscape" r:id="rId5"/>
  <headerFooter>
    <oddHeader>&amp;L&amp;"Calibri,Regular"&amp;24Auckland Council Development Contributions Cost Allocation Model</oddHeader>
    <oddFooter>&amp;LPrint date: &amp;D&amp;CDocument: &amp;F / &amp;A&amp;RPage &amp;P of &amp;N</oddFooter>
  </headerFooter>
  <legacy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E67E0-29F0-4C14-BC4D-804A00428006}">
  <sheetPr codeName="Sheet14">
    <tabColor rgb="FFFFFF00"/>
  </sheetPr>
  <dimension ref="A1"/>
  <sheetViews>
    <sheetView workbookViewId="0">
      <selection activeCell="I35" sqref="I35"/>
    </sheetView>
  </sheetViews>
  <sheetFormatPr defaultRowHeight="1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DE748-69CC-4992-BAD1-273EB4DDA415}">
  <sheetPr codeName="Sheet17">
    <tabColor rgb="FFFFFF00"/>
  </sheetPr>
  <dimension ref="A1"/>
  <sheetViews>
    <sheetView workbookViewId="0">
      <selection activeCell="I35" sqref="I35"/>
    </sheetView>
  </sheetViews>
  <sheetFormatPr defaultRowHeight="1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833A-6694-413C-AAB9-D3E2CAC96E3C}">
  <sheetPr codeName="Sheet18">
    <tabColor rgb="FFFFFF00"/>
  </sheetPr>
  <dimension ref="A1"/>
  <sheetViews>
    <sheetView workbookViewId="0">
      <selection activeCell="I35" sqref="I35"/>
    </sheetView>
  </sheetViews>
  <sheetFormatPr defaultRowHeight="1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175E-42B0-4BA2-AB21-873218872363}">
  <sheetPr codeName="Sheet20"/>
  <dimension ref="A1:F310"/>
  <sheetViews>
    <sheetView workbookViewId="0">
      <selection activeCell="A254" sqref="A254"/>
    </sheetView>
  </sheetViews>
  <sheetFormatPr defaultColWidth="8.54296875" defaultRowHeight="12.5"/>
  <cols>
    <col min="1" max="1" width="17.453125" customWidth="1"/>
    <col min="2" max="2" width="35" customWidth="1"/>
    <col min="3" max="3" width="14.453125" customWidth="1"/>
    <col min="4" max="4" width="13.54296875" customWidth="1"/>
    <col min="5" max="6" width="12.453125" customWidth="1"/>
  </cols>
  <sheetData>
    <row r="1" spans="1:6" ht="14">
      <c r="B1" s="302" t="s">
        <v>4376</v>
      </c>
    </row>
    <row r="4" spans="1:6" ht="13">
      <c r="A4" s="328" t="s">
        <v>5450</v>
      </c>
      <c r="B4" s="304" t="s">
        <v>5449</v>
      </c>
      <c r="C4" s="305">
        <v>2016</v>
      </c>
      <c r="D4" s="305">
        <v>2017</v>
      </c>
      <c r="E4" s="305">
        <v>2018</v>
      </c>
      <c r="F4" s="305" t="s">
        <v>891</v>
      </c>
    </row>
    <row r="5" spans="1:6" ht="13">
      <c r="A5" s="36" t="s">
        <v>2629</v>
      </c>
      <c r="B5" s="36" t="s">
        <v>2629</v>
      </c>
      <c r="C5" s="303">
        <v>-23975900.219999991</v>
      </c>
      <c r="D5" s="303">
        <v>-29244087.25999999</v>
      </c>
      <c r="E5" s="303">
        <v>-33956080.529999994</v>
      </c>
      <c r="F5" s="303">
        <v>-87176068.009999976</v>
      </c>
    </row>
    <row r="6" spans="1:6" ht="13">
      <c r="A6" s="58" t="s">
        <v>2631</v>
      </c>
      <c r="B6" s="58" t="s">
        <v>2631</v>
      </c>
      <c r="C6" s="303">
        <v>-304408.50000000012</v>
      </c>
      <c r="D6" s="303">
        <v>-5155203.91</v>
      </c>
      <c r="E6" s="303">
        <v>-6474736.4900000002</v>
      </c>
      <c r="F6" s="303">
        <v>-11934348.9</v>
      </c>
    </row>
    <row r="7" spans="1:6" ht="13">
      <c r="A7" s="58" t="s">
        <v>2633</v>
      </c>
      <c r="B7" s="58" t="s">
        <v>2633</v>
      </c>
      <c r="C7" s="303">
        <v>-1921371.4</v>
      </c>
      <c r="D7" s="303">
        <v>-4455196.21</v>
      </c>
      <c r="E7" s="303">
        <v>-4867899.47</v>
      </c>
      <c r="F7" s="303">
        <v>-11244467.079999998</v>
      </c>
    </row>
    <row r="8" spans="1:6" ht="13">
      <c r="A8" s="58" t="s">
        <v>2634</v>
      </c>
      <c r="B8" s="58" t="s">
        <v>2634</v>
      </c>
      <c r="C8" s="303">
        <v>0</v>
      </c>
      <c r="D8" s="303">
        <v>-1553.4</v>
      </c>
      <c r="E8" s="303">
        <v>-334.9</v>
      </c>
      <c r="F8" s="303">
        <v>-1888.3000000000002</v>
      </c>
    </row>
    <row r="9" spans="1:6" ht="13">
      <c r="A9" s="58" t="s">
        <v>2636</v>
      </c>
      <c r="B9" s="58" t="s">
        <v>2636</v>
      </c>
      <c r="C9" s="303">
        <v>-149.66</v>
      </c>
      <c r="D9" s="303">
        <v>-360903</v>
      </c>
      <c r="E9" s="303">
        <v>-904240</v>
      </c>
      <c r="F9" s="303">
        <v>-1265292.6599999999</v>
      </c>
    </row>
    <row r="10" spans="1:6" ht="13">
      <c r="A10" s="58" t="s">
        <v>2638</v>
      </c>
      <c r="B10" s="58" t="s">
        <v>2638</v>
      </c>
      <c r="C10" s="303">
        <v>0</v>
      </c>
      <c r="D10" s="303">
        <v>0</v>
      </c>
      <c r="E10" s="303">
        <v>0</v>
      </c>
      <c r="F10" s="303">
        <v>0</v>
      </c>
    </row>
    <row r="11" spans="1:6" ht="13">
      <c r="A11" s="58" t="s">
        <v>2640</v>
      </c>
      <c r="B11" s="58" t="s">
        <v>2640</v>
      </c>
      <c r="C11" s="303">
        <v>-5730.09</v>
      </c>
      <c r="D11" s="303">
        <v>-2614</v>
      </c>
      <c r="E11" s="303">
        <v>0</v>
      </c>
      <c r="F11" s="303">
        <v>-8344.09</v>
      </c>
    </row>
    <row r="12" spans="1:6" ht="13">
      <c r="A12" s="58" t="s">
        <v>2642</v>
      </c>
      <c r="B12" s="58" t="s">
        <v>2642</v>
      </c>
      <c r="C12" s="303">
        <v>0</v>
      </c>
      <c r="D12" s="303">
        <v>0</v>
      </c>
      <c r="E12" s="303">
        <v>0</v>
      </c>
      <c r="F12" s="303">
        <v>0</v>
      </c>
    </row>
    <row r="13" spans="1:6" ht="13">
      <c r="A13" s="58" t="s">
        <v>2644</v>
      </c>
      <c r="B13" s="58" t="s">
        <v>2644</v>
      </c>
      <c r="C13" s="303">
        <v>0</v>
      </c>
      <c r="D13" s="303">
        <v>0</v>
      </c>
      <c r="E13" s="303">
        <v>0</v>
      </c>
      <c r="F13" s="303">
        <v>0</v>
      </c>
    </row>
    <row r="14" spans="1:6" ht="13">
      <c r="A14" s="58" t="s">
        <v>2646</v>
      </c>
      <c r="B14" s="58" t="s">
        <v>2646</v>
      </c>
      <c r="C14" s="303">
        <v>0</v>
      </c>
      <c r="D14" s="303">
        <v>0</v>
      </c>
      <c r="E14" s="303">
        <v>0</v>
      </c>
      <c r="F14" s="303">
        <v>0</v>
      </c>
    </row>
    <row r="15" spans="1:6" ht="13">
      <c r="A15" s="58" t="s">
        <v>2648</v>
      </c>
      <c r="B15" s="58" t="s">
        <v>2648</v>
      </c>
      <c r="C15" s="303">
        <v>0</v>
      </c>
      <c r="D15" s="303">
        <v>0</v>
      </c>
      <c r="E15" s="303">
        <v>0</v>
      </c>
      <c r="F15" s="303">
        <v>0</v>
      </c>
    </row>
    <row r="16" spans="1:6" ht="13">
      <c r="A16" s="58" t="s">
        <v>2650</v>
      </c>
      <c r="B16" s="58" t="s">
        <v>2650</v>
      </c>
      <c r="C16" s="303">
        <v>0</v>
      </c>
      <c r="D16" s="303">
        <v>0</v>
      </c>
      <c r="E16" s="303">
        <v>0</v>
      </c>
      <c r="F16" s="303">
        <v>0</v>
      </c>
    </row>
    <row r="17" spans="1:6" ht="13">
      <c r="A17" s="58" t="s">
        <v>2652</v>
      </c>
      <c r="B17" s="58" t="s">
        <v>2652</v>
      </c>
      <c r="C17" s="303">
        <v>0</v>
      </c>
      <c r="D17" s="303">
        <v>-13728</v>
      </c>
      <c r="E17" s="303">
        <v>0</v>
      </c>
      <c r="F17" s="303">
        <v>-13728</v>
      </c>
    </row>
    <row r="18" spans="1:6" ht="13">
      <c r="A18" s="58" t="s">
        <v>2654</v>
      </c>
      <c r="B18" s="58" t="s">
        <v>2654</v>
      </c>
      <c r="C18" s="303">
        <v>0</v>
      </c>
      <c r="D18" s="303">
        <v>-13033.099999999999</v>
      </c>
      <c r="E18" s="303">
        <v>-97033.600000000006</v>
      </c>
      <c r="F18" s="303">
        <v>-110066.70000000001</v>
      </c>
    </row>
    <row r="19" spans="1:6" ht="13">
      <c r="A19" s="58" t="s">
        <v>2656</v>
      </c>
      <c r="B19" s="58" t="s">
        <v>2656</v>
      </c>
      <c r="C19" s="303">
        <v>-1734672.0499999998</v>
      </c>
      <c r="D19" s="303">
        <v>71005.42</v>
      </c>
      <c r="E19" s="303">
        <v>-21047.93</v>
      </c>
      <c r="F19" s="303">
        <v>-1684714.5599999998</v>
      </c>
    </row>
    <row r="20" spans="1:6" ht="13">
      <c r="A20" s="58" t="s">
        <v>2658</v>
      </c>
      <c r="B20" s="58" t="s">
        <v>2658</v>
      </c>
      <c r="C20" s="303">
        <v>-1724963.47</v>
      </c>
      <c r="D20" s="303">
        <v>-1466439.57</v>
      </c>
      <c r="E20" s="303">
        <v>-1644135.0500000003</v>
      </c>
      <c r="F20" s="303">
        <v>-4835538.09</v>
      </c>
    </row>
    <row r="21" spans="1:6" ht="13">
      <c r="A21" s="58" t="s">
        <v>2660</v>
      </c>
      <c r="B21" s="58" t="s">
        <v>2660</v>
      </c>
      <c r="C21" s="303">
        <v>-6991902.5299999993</v>
      </c>
      <c r="D21" s="303">
        <v>-441070.04000000004</v>
      </c>
      <c r="E21" s="303">
        <v>-338460.02</v>
      </c>
      <c r="F21" s="303">
        <v>-7771432.5899999999</v>
      </c>
    </row>
    <row r="22" spans="1:6" ht="13">
      <c r="A22" s="58" t="s">
        <v>2662</v>
      </c>
      <c r="B22" s="58" t="s">
        <v>2662</v>
      </c>
      <c r="C22" s="303">
        <v>-8936461.5000000056</v>
      </c>
      <c r="D22" s="303">
        <v>-6037989.5400000019</v>
      </c>
      <c r="E22" s="303">
        <v>-156684.99</v>
      </c>
      <c r="F22" s="303">
        <v>-15131136.030000007</v>
      </c>
    </row>
    <row r="23" spans="1:6" ht="13">
      <c r="A23" s="58" t="s">
        <v>2664</v>
      </c>
      <c r="B23" s="58" t="s">
        <v>2664</v>
      </c>
      <c r="C23" s="303">
        <v>0</v>
      </c>
      <c r="D23" s="303">
        <v>-291524.04999999993</v>
      </c>
      <c r="E23" s="303">
        <v>-59228.259999999995</v>
      </c>
      <c r="F23" s="303">
        <v>-350752.30999999994</v>
      </c>
    </row>
    <row r="24" spans="1:6" ht="13">
      <c r="A24" s="58" t="s">
        <v>2666</v>
      </c>
      <c r="B24" s="58" t="s">
        <v>2666</v>
      </c>
      <c r="C24" s="303">
        <v>0</v>
      </c>
      <c r="D24" s="303">
        <v>0</v>
      </c>
      <c r="E24" s="303">
        <v>-578478.55000000005</v>
      </c>
      <c r="F24" s="303">
        <v>-578478.55000000005</v>
      </c>
    </row>
    <row r="25" spans="1:6" ht="13">
      <c r="A25" s="58" t="s">
        <v>2668</v>
      </c>
      <c r="B25" s="58" t="s">
        <v>2668</v>
      </c>
      <c r="C25" s="303">
        <v>-3304.9300000000003</v>
      </c>
      <c r="D25" s="303">
        <v>-30604.7</v>
      </c>
      <c r="E25" s="303">
        <v>-1450.7199999999998</v>
      </c>
      <c r="F25" s="303">
        <v>-35360.350000000006</v>
      </c>
    </row>
    <row r="26" spans="1:6" ht="13">
      <c r="A26" s="58" t="s">
        <v>2670</v>
      </c>
      <c r="B26" s="58" t="s">
        <v>2670</v>
      </c>
      <c r="C26" s="303">
        <v>-12449.449999999999</v>
      </c>
      <c r="D26" s="303">
        <v>-980.9899999999999</v>
      </c>
      <c r="E26" s="303">
        <v>-34617.950000000004</v>
      </c>
      <c r="F26" s="303">
        <v>-48048.39</v>
      </c>
    </row>
    <row r="27" spans="1:6" ht="13">
      <c r="A27" s="58" t="s">
        <v>2672</v>
      </c>
      <c r="B27" s="58" t="s">
        <v>2672</v>
      </c>
      <c r="C27" s="303">
        <v>0</v>
      </c>
      <c r="D27" s="303">
        <v>0</v>
      </c>
      <c r="E27" s="303">
        <v>0</v>
      </c>
      <c r="F27" s="303">
        <v>0</v>
      </c>
    </row>
    <row r="28" spans="1:6" ht="13">
      <c r="A28" s="58" t="s">
        <v>2674</v>
      </c>
      <c r="B28" s="58" t="s">
        <v>2674</v>
      </c>
      <c r="C28" s="303">
        <v>0</v>
      </c>
      <c r="D28" s="303">
        <v>0</v>
      </c>
      <c r="E28" s="303">
        <v>0</v>
      </c>
      <c r="F28" s="303">
        <v>0</v>
      </c>
    </row>
    <row r="29" spans="1:6" ht="13">
      <c r="A29" s="58" t="s">
        <v>2676</v>
      </c>
      <c r="B29" s="58" t="s">
        <v>2676</v>
      </c>
      <c r="C29" s="303">
        <v>0</v>
      </c>
      <c r="D29" s="303">
        <v>0</v>
      </c>
      <c r="E29" s="303">
        <v>0</v>
      </c>
      <c r="F29" s="303">
        <v>0</v>
      </c>
    </row>
    <row r="30" spans="1:6" ht="13">
      <c r="A30" s="58" t="s">
        <v>2678</v>
      </c>
      <c r="B30" s="58" t="s">
        <v>2678</v>
      </c>
      <c r="C30" s="303">
        <v>0</v>
      </c>
      <c r="D30" s="303">
        <v>0</v>
      </c>
      <c r="E30" s="303">
        <v>0</v>
      </c>
      <c r="F30" s="303">
        <v>0</v>
      </c>
    </row>
    <row r="31" spans="1:6" ht="13">
      <c r="A31" s="58" t="s">
        <v>2680</v>
      </c>
      <c r="B31" s="58" t="s">
        <v>2680</v>
      </c>
      <c r="C31" s="303">
        <v>0</v>
      </c>
      <c r="D31" s="303">
        <v>0</v>
      </c>
      <c r="E31" s="303">
        <v>0</v>
      </c>
      <c r="F31" s="303">
        <v>0</v>
      </c>
    </row>
    <row r="32" spans="1:6" ht="13">
      <c r="A32" s="58" t="s">
        <v>2682</v>
      </c>
      <c r="B32" s="58" t="s">
        <v>2682</v>
      </c>
      <c r="C32" s="303">
        <v>0</v>
      </c>
      <c r="D32" s="303">
        <v>0</v>
      </c>
      <c r="E32" s="303">
        <v>0</v>
      </c>
      <c r="F32" s="303">
        <v>0</v>
      </c>
    </row>
    <row r="33" spans="1:6" ht="13">
      <c r="A33" s="58" t="s">
        <v>2684</v>
      </c>
      <c r="B33" s="58" t="s">
        <v>2684</v>
      </c>
      <c r="C33" s="303">
        <v>0</v>
      </c>
      <c r="D33" s="303">
        <v>0</v>
      </c>
      <c r="E33" s="303">
        <v>0</v>
      </c>
      <c r="F33" s="303">
        <v>0</v>
      </c>
    </row>
    <row r="34" spans="1:6" ht="13">
      <c r="A34" s="58" t="s">
        <v>2686</v>
      </c>
      <c r="B34" s="58" t="s">
        <v>2686</v>
      </c>
      <c r="C34" s="303">
        <v>0</v>
      </c>
      <c r="D34" s="303">
        <v>0</v>
      </c>
      <c r="E34" s="303">
        <v>0</v>
      </c>
      <c r="F34" s="303">
        <v>0</v>
      </c>
    </row>
    <row r="35" spans="1:6" ht="13">
      <c r="A35" s="58" t="s">
        <v>2688</v>
      </c>
      <c r="B35" s="58" t="s">
        <v>2688</v>
      </c>
      <c r="C35" s="303">
        <v>0</v>
      </c>
      <c r="D35" s="303">
        <v>0</v>
      </c>
      <c r="E35" s="303">
        <v>0</v>
      </c>
      <c r="F35" s="303">
        <v>0</v>
      </c>
    </row>
    <row r="36" spans="1:6" ht="13">
      <c r="A36" s="58" t="s">
        <v>2690</v>
      </c>
      <c r="B36" s="58" t="s">
        <v>2690</v>
      </c>
      <c r="C36" s="303">
        <v>0</v>
      </c>
      <c r="D36" s="303">
        <v>0</v>
      </c>
      <c r="E36" s="303">
        <v>0</v>
      </c>
      <c r="F36" s="303">
        <v>0</v>
      </c>
    </row>
    <row r="37" spans="1:6" ht="13">
      <c r="A37" s="58" t="s">
        <v>2692</v>
      </c>
      <c r="B37" s="58" t="s">
        <v>2692</v>
      </c>
      <c r="C37" s="303">
        <v>0</v>
      </c>
      <c r="D37" s="303">
        <v>0</v>
      </c>
      <c r="E37" s="303">
        <v>0</v>
      </c>
      <c r="F37" s="303">
        <v>0</v>
      </c>
    </row>
    <row r="38" spans="1:6" ht="13">
      <c r="A38" s="58" t="s">
        <v>2694</v>
      </c>
      <c r="B38" s="58" t="s">
        <v>2694</v>
      </c>
      <c r="C38" s="303">
        <v>0</v>
      </c>
      <c r="D38" s="303">
        <v>0</v>
      </c>
      <c r="E38" s="303">
        <v>0</v>
      </c>
      <c r="F38" s="303">
        <v>0</v>
      </c>
    </row>
    <row r="39" spans="1:6" ht="13">
      <c r="A39" s="58" t="s">
        <v>2696</v>
      </c>
      <c r="B39" s="58" t="s">
        <v>2696</v>
      </c>
      <c r="C39" s="303">
        <v>0</v>
      </c>
      <c r="D39" s="303">
        <v>0</v>
      </c>
      <c r="E39" s="303">
        <v>0</v>
      </c>
      <c r="F39" s="303">
        <v>0</v>
      </c>
    </row>
    <row r="40" spans="1:6" ht="13">
      <c r="A40" s="58" t="s">
        <v>2698</v>
      </c>
      <c r="B40" s="58" t="s">
        <v>2698</v>
      </c>
      <c r="C40" s="303">
        <v>0</v>
      </c>
      <c r="D40" s="303">
        <v>0</v>
      </c>
      <c r="E40" s="303">
        <v>0</v>
      </c>
      <c r="F40" s="303">
        <v>0</v>
      </c>
    </row>
    <row r="41" spans="1:6" ht="13">
      <c r="A41" s="58" t="s">
        <v>2700</v>
      </c>
      <c r="B41" s="58" t="s">
        <v>2700</v>
      </c>
      <c r="C41" s="303">
        <v>0</v>
      </c>
      <c r="D41" s="303">
        <v>0</v>
      </c>
      <c r="E41" s="303">
        <v>0</v>
      </c>
      <c r="F41" s="303">
        <v>0</v>
      </c>
    </row>
    <row r="42" spans="1:6" ht="13">
      <c r="A42" s="58" t="s">
        <v>2702</v>
      </c>
      <c r="B42" s="58" t="s">
        <v>2702</v>
      </c>
      <c r="C42" s="303">
        <v>0</v>
      </c>
      <c r="D42" s="303">
        <v>0</v>
      </c>
      <c r="E42" s="303">
        <v>0</v>
      </c>
      <c r="F42" s="303">
        <v>0</v>
      </c>
    </row>
    <row r="43" spans="1:6" ht="13">
      <c r="A43" s="58" t="s">
        <v>2704</v>
      </c>
      <c r="B43" s="58" t="s">
        <v>2704</v>
      </c>
      <c r="C43" s="303">
        <v>0</v>
      </c>
      <c r="D43" s="303">
        <v>0</v>
      </c>
      <c r="E43" s="303">
        <v>0</v>
      </c>
      <c r="F43" s="303">
        <v>0</v>
      </c>
    </row>
    <row r="44" spans="1:6" ht="13">
      <c r="A44" s="58" t="s">
        <v>2706</v>
      </c>
      <c r="B44" s="58" t="s">
        <v>2706</v>
      </c>
      <c r="C44" s="303">
        <v>0</v>
      </c>
      <c r="D44" s="303">
        <v>0</v>
      </c>
      <c r="E44" s="303">
        <v>0</v>
      </c>
      <c r="F44" s="303">
        <v>0</v>
      </c>
    </row>
    <row r="45" spans="1:6" ht="13">
      <c r="A45" s="58" t="s">
        <v>2708</v>
      </c>
      <c r="B45" s="58" t="s">
        <v>2708</v>
      </c>
      <c r="C45" s="303">
        <v>0</v>
      </c>
      <c r="D45" s="303">
        <v>0</v>
      </c>
      <c r="E45" s="303">
        <v>0</v>
      </c>
      <c r="F45" s="303">
        <v>0</v>
      </c>
    </row>
    <row r="46" spans="1:6" ht="13">
      <c r="A46" s="58" t="s">
        <v>2710</v>
      </c>
      <c r="B46" s="58" t="s">
        <v>2710</v>
      </c>
      <c r="C46" s="303">
        <v>0</v>
      </c>
      <c r="D46" s="303">
        <v>0</v>
      </c>
      <c r="E46" s="303">
        <v>0</v>
      </c>
      <c r="F46" s="303">
        <v>0</v>
      </c>
    </row>
    <row r="47" spans="1:6" ht="13">
      <c r="A47" s="58" t="s">
        <v>2712</v>
      </c>
      <c r="B47" s="58" t="s">
        <v>2712</v>
      </c>
      <c r="C47" s="303">
        <v>0</v>
      </c>
      <c r="D47" s="303">
        <v>0</v>
      </c>
      <c r="E47" s="303">
        <v>0</v>
      </c>
      <c r="F47" s="303">
        <v>0</v>
      </c>
    </row>
    <row r="48" spans="1:6" ht="13">
      <c r="A48" s="58" t="s">
        <v>2714</v>
      </c>
      <c r="B48" s="58" t="s">
        <v>2714</v>
      </c>
      <c r="C48" s="303">
        <v>-2834550.3400000008</v>
      </c>
      <c r="D48" s="303">
        <v>-11677804.679999998</v>
      </c>
      <c r="E48" s="303">
        <v>-15899098.109999999</v>
      </c>
      <c r="F48" s="303">
        <v>-30411453.129999999</v>
      </c>
    </row>
    <row r="49" spans="1:6" ht="13">
      <c r="A49" s="58" t="s">
        <v>2715</v>
      </c>
      <c r="B49" s="58" t="s">
        <v>2715</v>
      </c>
      <c r="C49" s="303">
        <v>-24178</v>
      </c>
      <c r="D49" s="303">
        <v>-313873.2</v>
      </c>
      <c r="E49" s="303">
        <v>-294314</v>
      </c>
      <c r="F49" s="303">
        <v>-632365.19999999995</v>
      </c>
    </row>
    <row r="50" spans="1:6" ht="13">
      <c r="A50" s="58" t="s">
        <v>2716</v>
      </c>
      <c r="B50" s="58" t="s">
        <v>2716</v>
      </c>
      <c r="C50" s="303">
        <v>-285021.94999999995</v>
      </c>
      <c r="D50" s="303">
        <v>-512815.03000000032</v>
      </c>
      <c r="E50" s="303">
        <v>-299828.31000000006</v>
      </c>
      <c r="F50" s="303">
        <v>-1097665.2900000003</v>
      </c>
    </row>
    <row r="51" spans="1:6" ht="13">
      <c r="A51" s="58" t="s">
        <v>2717</v>
      </c>
      <c r="B51" s="58" t="s">
        <v>2717</v>
      </c>
      <c r="C51" s="303">
        <v>-387.2</v>
      </c>
      <c r="D51" s="303">
        <v>-4</v>
      </c>
      <c r="E51" s="303">
        <v>0</v>
      </c>
      <c r="F51" s="303">
        <v>-391.2</v>
      </c>
    </row>
    <row r="52" spans="1:6" ht="13">
      <c r="A52" s="58" t="s">
        <v>2718</v>
      </c>
      <c r="B52" s="58" t="s">
        <v>2718</v>
      </c>
      <c r="C52" s="303">
        <v>0</v>
      </c>
      <c r="D52" s="303">
        <v>0</v>
      </c>
      <c r="E52" s="303">
        <v>0</v>
      </c>
      <c r="F52" s="303">
        <v>0</v>
      </c>
    </row>
    <row r="53" spans="1:6" ht="13">
      <c r="A53" s="58" t="s">
        <v>2719</v>
      </c>
      <c r="B53" s="58" t="s">
        <v>2719</v>
      </c>
      <c r="C53" s="303">
        <v>0</v>
      </c>
      <c r="D53" s="303">
        <v>0</v>
      </c>
      <c r="E53" s="303">
        <v>0</v>
      </c>
      <c r="F53" s="303">
        <v>0</v>
      </c>
    </row>
    <row r="54" spans="1:6" ht="13">
      <c r="A54" s="58" t="s">
        <v>2720</v>
      </c>
      <c r="B54" s="58" t="s">
        <v>2720</v>
      </c>
      <c r="C54" s="303">
        <v>0</v>
      </c>
      <c r="D54" s="303">
        <v>0</v>
      </c>
      <c r="E54" s="303">
        <v>0</v>
      </c>
      <c r="F54" s="303">
        <v>0</v>
      </c>
    </row>
    <row r="55" spans="1:6" ht="13">
      <c r="A55" s="58" t="s">
        <v>2721</v>
      </c>
      <c r="B55" s="58" t="s">
        <v>2721</v>
      </c>
      <c r="C55" s="303">
        <v>0</v>
      </c>
      <c r="D55" s="303">
        <v>0</v>
      </c>
      <c r="E55" s="303">
        <v>0</v>
      </c>
      <c r="F55" s="303">
        <v>0</v>
      </c>
    </row>
    <row r="56" spans="1:6" ht="13">
      <c r="A56" s="58" t="s">
        <v>2722</v>
      </c>
      <c r="B56" s="58" t="s">
        <v>2722</v>
      </c>
      <c r="C56" s="303">
        <v>0</v>
      </c>
      <c r="D56" s="303">
        <v>0</v>
      </c>
      <c r="E56" s="303">
        <v>0</v>
      </c>
      <c r="F56" s="303">
        <v>0</v>
      </c>
    </row>
    <row r="57" spans="1:6" ht="13">
      <c r="A57" s="58" t="s">
        <v>2723</v>
      </c>
      <c r="B57" s="58" t="s">
        <v>2723</v>
      </c>
      <c r="C57" s="303">
        <v>0</v>
      </c>
      <c r="D57" s="303">
        <v>0</v>
      </c>
      <c r="E57" s="303">
        <v>0</v>
      </c>
      <c r="F57" s="303">
        <v>0</v>
      </c>
    </row>
    <row r="58" spans="1:6" ht="13">
      <c r="A58" s="58" t="s">
        <v>2724</v>
      </c>
      <c r="B58" s="58" t="s">
        <v>2724</v>
      </c>
      <c r="C58" s="303">
        <v>0</v>
      </c>
      <c r="D58" s="303">
        <v>0</v>
      </c>
      <c r="E58" s="303">
        <v>0</v>
      </c>
      <c r="F58" s="303">
        <v>0</v>
      </c>
    </row>
    <row r="59" spans="1:6" ht="13">
      <c r="A59" s="58" t="s">
        <v>2725</v>
      </c>
      <c r="B59" s="58" t="s">
        <v>2725</v>
      </c>
      <c r="C59" s="303">
        <v>0</v>
      </c>
      <c r="D59" s="303">
        <v>0</v>
      </c>
      <c r="E59" s="303">
        <v>0</v>
      </c>
      <c r="F59" s="303">
        <v>0</v>
      </c>
    </row>
    <row r="60" spans="1:6" ht="13">
      <c r="A60" s="58" t="s">
        <v>2726</v>
      </c>
      <c r="B60" s="58" t="s">
        <v>2726</v>
      </c>
      <c r="C60" s="303">
        <v>0</v>
      </c>
      <c r="D60" s="303">
        <v>0</v>
      </c>
      <c r="E60" s="303">
        <v>0</v>
      </c>
      <c r="F60" s="303">
        <v>0</v>
      </c>
    </row>
    <row r="61" spans="1:6" ht="13">
      <c r="A61" s="58" t="s">
        <v>2727</v>
      </c>
      <c r="B61" s="58" t="s">
        <v>2727</v>
      </c>
      <c r="C61" s="303">
        <v>-3340.87</v>
      </c>
      <c r="D61" s="303">
        <v>-12082.3</v>
      </c>
      <c r="E61" s="303">
        <v>-63945.599999999999</v>
      </c>
      <c r="F61" s="303">
        <v>-79368.76999999999</v>
      </c>
    </row>
    <row r="62" spans="1:6" ht="13">
      <c r="A62" s="58" t="s">
        <v>2728</v>
      </c>
      <c r="B62" s="58" t="s">
        <v>2728</v>
      </c>
      <c r="C62" s="303">
        <v>-199360.58</v>
      </c>
      <c r="D62" s="303">
        <v>-355257.18</v>
      </c>
      <c r="E62" s="303">
        <v>-317316</v>
      </c>
      <c r="F62" s="303">
        <v>-871933.76</v>
      </c>
    </row>
    <row r="63" spans="1:6" ht="13">
      <c r="A63" s="58" t="s">
        <v>2729</v>
      </c>
      <c r="B63" s="58" t="s">
        <v>2729</v>
      </c>
      <c r="C63" s="303">
        <v>-9059.52</v>
      </c>
      <c r="D63" s="303">
        <v>-89410.04</v>
      </c>
      <c r="E63" s="303">
        <v>-338258.25</v>
      </c>
      <c r="F63" s="303">
        <v>-436727.81</v>
      </c>
    </row>
    <row r="64" spans="1:6" ht="13">
      <c r="A64" s="58" t="s">
        <v>2730</v>
      </c>
      <c r="B64" s="58" t="s">
        <v>2730</v>
      </c>
      <c r="C64" s="303">
        <v>-2717873</v>
      </c>
      <c r="D64" s="303">
        <v>-717732.41999999993</v>
      </c>
      <c r="E64" s="303">
        <v>-120570.23</v>
      </c>
      <c r="F64" s="303">
        <v>-3556175.65</v>
      </c>
    </row>
    <row r="65" spans="1:6" ht="13">
      <c r="A65" s="58" t="s">
        <v>2731</v>
      </c>
      <c r="B65" s="58" t="s">
        <v>2731</v>
      </c>
      <c r="C65" s="303">
        <v>-4237551.87</v>
      </c>
      <c r="D65" s="303">
        <v>-1639957.0099999998</v>
      </c>
      <c r="E65" s="303">
        <v>-1301677.5399999998</v>
      </c>
      <c r="F65" s="303">
        <v>-7179186.4199999999</v>
      </c>
    </row>
    <row r="66" spans="1:6" ht="13">
      <c r="A66" s="58" t="s">
        <v>2732</v>
      </c>
      <c r="B66" s="58" t="s">
        <v>2732</v>
      </c>
      <c r="C66" s="303">
        <v>0</v>
      </c>
      <c r="D66" s="303">
        <v>-83034.299999999988</v>
      </c>
      <c r="E66" s="303">
        <v>-168705.60000000003</v>
      </c>
      <c r="F66" s="303">
        <v>-251739.90000000002</v>
      </c>
    </row>
    <row r="67" spans="1:6" ht="13">
      <c r="A67" s="58" t="s">
        <v>2733</v>
      </c>
      <c r="B67" s="58" t="s">
        <v>2733</v>
      </c>
      <c r="C67" s="303">
        <v>0</v>
      </c>
      <c r="D67" s="303">
        <v>-1618</v>
      </c>
      <c r="E67" s="303">
        <v>-24426.86</v>
      </c>
      <c r="F67" s="303">
        <v>-26044.86</v>
      </c>
    </row>
    <row r="68" spans="1:6" ht="13">
      <c r="A68" s="58" t="s">
        <v>2734</v>
      </c>
      <c r="B68" s="58" t="s">
        <v>2734</v>
      </c>
      <c r="C68" s="303">
        <v>0</v>
      </c>
      <c r="D68" s="303">
        <v>-2838.12</v>
      </c>
      <c r="E68" s="303">
        <v>-1088</v>
      </c>
      <c r="F68" s="303">
        <v>-3926.12</v>
      </c>
    </row>
    <row r="69" spans="1:6" ht="13">
      <c r="A69" s="58" t="s">
        <v>2735</v>
      </c>
      <c r="B69" s="58" t="s">
        <v>2735</v>
      </c>
      <c r="C69" s="303">
        <v>0</v>
      </c>
      <c r="D69" s="303">
        <v>0</v>
      </c>
      <c r="E69" s="303">
        <v>0</v>
      </c>
      <c r="F69" s="303">
        <v>0</v>
      </c>
    </row>
    <row r="70" spans="1:6" ht="13">
      <c r="A70" s="58" t="s">
        <v>2736</v>
      </c>
      <c r="B70" s="58" t="s">
        <v>2736</v>
      </c>
      <c r="C70" s="303">
        <v>0</v>
      </c>
      <c r="D70" s="303">
        <v>0</v>
      </c>
      <c r="E70" s="303">
        <v>0</v>
      </c>
      <c r="F70" s="303">
        <v>0</v>
      </c>
    </row>
    <row r="71" spans="1:6" ht="13">
      <c r="A71" s="58" t="s">
        <v>2737</v>
      </c>
      <c r="B71" s="58" t="s">
        <v>2737</v>
      </c>
      <c r="C71" s="303">
        <v>-10920</v>
      </c>
      <c r="D71" s="303">
        <v>0</v>
      </c>
      <c r="E71" s="303">
        <v>0</v>
      </c>
      <c r="F71" s="303">
        <v>-10920</v>
      </c>
    </row>
    <row r="72" spans="1:6" ht="13">
      <c r="A72" s="58" t="s">
        <v>2738</v>
      </c>
      <c r="B72" s="58" t="s">
        <v>2738</v>
      </c>
      <c r="C72" s="303">
        <v>-15405.22</v>
      </c>
      <c r="D72" s="303">
        <v>0</v>
      </c>
      <c r="E72" s="303">
        <v>0</v>
      </c>
      <c r="F72" s="303">
        <v>-15405.22</v>
      </c>
    </row>
    <row r="73" spans="1:6" ht="13">
      <c r="A73" s="58" t="s">
        <v>2739</v>
      </c>
      <c r="B73" s="58" t="s">
        <v>2739</v>
      </c>
      <c r="C73" s="303">
        <v>-583.48</v>
      </c>
      <c r="D73" s="303">
        <v>-163488.14000000001</v>
      </c>
      <c r="E73" s="303">
        <v>-1491520.1700000002</v>
      </c>
      <c r="F73" s="303">
        <v>-1655591.7900000003</v>
      </c>
    </row>
    <row r="74" spans="1:6" ht="13">
      <c r="A74" s="58" t="s">
        <v>2740</v>
      </c>
      <c r="B74" s="58" t="s">
        <v>2740</v>
      </c>
      <c r="C74" s="303">
        <v>0</v>
      </c>
      <c r="D74" s="303">
        <v>0</v>
      </c>
      <c r="E74" s="303">
        <v>0</v>
      </c>
      <c r="F74" s="303">
        <v>0</v>
      </c>
    </row>
    <row r="75" spans="1:6" ht="13">
      <c r="A75" s="58" t="s">
        <v>2741</v>
      </c>
      <c r="B75" s="58" t="s">
        <v>2741</v>
      </c>
      <c r="C75" s="303">
        <v>0</v>
      </c>
      <c r="D75" s="303">
        <v>0</v>
      </c>
      <c r="E75" s="303">
        <v>0</v>
      </c>
      <c r="F75" s="303">
        <v>0</v>
      </c>
    </row>
    <row r="76" spans="1:6" ht="13">
      <c r="A76" s="58" t="s">
        <v>2742</v>
      </c>
      <c r="B76" s="58" t="s">
        <v>2742</v>
      </c>
      <c r="C76" s="303">
        <v>0</v>
      </c>
      <c r="D76" s="303">
        <v>0</v>
      </c>
      <c r="E76" s="303">
        <v>0</v>
      </c>
      <c r="F76" s="303">
        <v>0</v>
      </c>
    </row>
    <row r="77" spans="1:6" ht="13">
      <c r="A77" s="58" t="s">
        <v>2743</v>
      </c>
      <c r="B77" s="58" t="s">
        <v>2743</v>
      </c>
      <c r="C77" s="303">
        <v>0</v>
      </c>
      <c r="D77" s="303">
        <v>0</v>
      </c>
      <c r="E77" s="303">
        <v>0</v>
      </c>
      <c r="F77" s="303">
        <v>0</v>
      </c>
    </row>
    <row r="78" spans="1:6" ht="13">
      <c r="A78" s="58" t="s">
        <v>2744</v>
      </c>
      <c r="B78" s="58" t="s">
        <v>2744</v>
      </c>
      <c r="C78" s="303">
        <v>0</v>
      </c>
      <c r="D78" s="303">
        <v>0</v>
      </c>
      <c r="E78" s="303">
        <v>0</v>
      </c>
      <c r="F78" s="303">
        <v>0</v>
      </c>
    </row>
    <row r="79" spans="1:6" ht="13">
      <c r="A79" s="58" t="s">
        <v>2745</v>
      </c>
      <c r="B79" s="58" t="s">
        <v>2745</v>
      </c>
      <c r="C79" s="303">
        <v>0</v>
      </c>
      <c r="D79" s="303">
        <v>0</v>
      </c>
      <c r="E79" s="303">
        <v>0</v>
      </c>
      <c r="F79" s="303">
        <v>0</v>
      </c>
    </row>
    <row r="80" spans="1:6" ht="13">
      <c r="A80" s="58" t="s">
        <v>2746</v>
      </c>
      <c r="B80" s="58" t="s">
        <v>2746</v>
      </c>
      <c r="C80" s="303">
        <v>0</v>
      </c>
      <c r="D80" s="303">
        <v>0</v>
      </c>
      <c r="E80" s="303">
        <v>0</v>
      </c>
      <c r="F80" s="303">
        <v>0</v>
      </c>
    </row>
    <row r="81" spans="1:6" ht="13">
      <c r="A81" s="58" t="s">
        <v>2747</v>
      </c>
      <c r="B81" s="58" t="s">
        <v>2747</v>
      </c>
      <c r="C81" s="303">
        <v>0</v>
      </c>
      <c r="D81" s="303">
        <v>0</v>
      </c>
      <c r="E81" s="303">
        <v>0</v>
      </c>
      <c r="F81" s="303">
        <v>0</v>
      </c>
    </row>
    <row r="82" spans="1:6" ht="13">
      <c r="A82" s="58" t="s">
        <v>2748</v>
      </c>
      <c r="B82" s="58" t="s">
        <v>2748</v>
      </c>
      <c r="C82" s="303">
        <v>0</v>
      </c>
      <c r="D82" s="303">
        <v>0</v>
      </c>
      <c r="E82" s="303">
        <v>0</v>
      </c>
      <c r="F82" s="303">
        <v>0</v>
      </c>
    </row>
    <row r="83" spans="1:6" ht="13">
      <c r="A83" s="58" t="s">
        <v>2749</v>
      </c>
      <c r="B83" s="58" t="s">
        <v>2749</v>
      </c>
      <c r="C83" s="303">
        <v>0</v>
      </c>
      <c r="D83" s="303">
        <v>0</v>
      </c>
      <c r="E83" s="303">
        <v>0</v>
      </c>
      <c r="F83" s="303">
        <v>0</v>
      </c>
    </row>
    <row r="84" spans="1:6" ht="13">
      <c r="A84" s="58" t="s">
        <v>2750</v>
      </c>
      <c r="B84" s="58" t="s">
        <v>2750</v>
      </c>
      <c r="C84" s="303">
        <v>0</v>
      </c>
      <c r="D84" s="303">
        <v>0</v>
      </c>
      <c r="E84" s="303">
        <v>0</v>
      </c>
      <c r="F84" s="303">
        <v>0</v>
      </c>
    </row>
    <row r="85" spans="1:6" ht="13">
      <c r="A85" s="58" t="s">
        <v>2751</v>
      </c>
      <c r="B85" s="58" t="s">
        <v>2751</v>
      </c>
      <c r="C85" s="303">
        <v>0</v>
      </c>
      <c r="D85" s="303">
        <v>0</v>
      </c>
      <c r="E85" s="303">
        <v>0</v>
      </c>
      <c r="F85" s="303">
        <v>0</v>
      </c>
    </row>
    <row r="86" spans="1:6" ht="13">
      <c r="A86" s="58" t="s">
        <v>2752</v>
      </c>
      <c r="B86" s="58" t="s">
        <v>2752</v>
      </c>
      <c r="C86" s="303">
        <v>0</v>
      </c>
      <c r="D86" s="303">
        <v>0</v>
      </c>
      <c r="E86" s="303">
        <v>0</v>
      </c>
      <c r="F86" s="303">
        <v>0</v>
      </c>
    </row>
    <row r="87" spans="1:6" ht="13">
      <c r="A87" s="58" t="s">
        <v>2753</v>
      </c>
      <c r="B87" s="58" t="s">
        <v>2753</v>
      </c>
      <c r="C87" s="303">
        <v>0</v>
      </c>
      <c r="D87" s="303">
        <v>0</v>
      </c>
      <c r="E87" s="303">
        <v>0</v>
      </c>
      <c r="F87" s="303">
        <v>0</v>
      </c>
    </row>
    <row r="88" spans="1:6" ht="13">
      <c r="A88" s="58" t="s">
        <v>2754</v>
      </c>
      <c r="B88" s="58" t="s">
        <v>2754</v>
      </c>
      <c r="C88" s="303">
        <v>0</v>
      </c>
      <c r="D88" s="303">
        <v>0</v>
      </c>
      <c r="E88" s="303">
        <v>0</v>
      </c>
      <c r="F88" s="303">
        <v>0</v>
      </c>
    </row>
    <row r="89" spans="1:6" ht="13">
      <c r="A89" s="58" t="s">
        <v>2755</v>
      </c>
      <c r="B89" s="58" t="s">
        <v>2755</v>
      </c>
      <c r="C89" s="303">
        <v>0</v>
      </c>
      <c r="D89" s="303">
        <v>0</v>
      </c>
      <c r="E89" s="303">
        <v>0</v>
      </c>
      <c r="F89" s="303">
        <v>0</v>
      </c>
    </row>
    <row r="90" spans="1:6" ht="13">
      <c r="A90" s="58" t="s">
        <v>2756</v>
      </c>
      <c r="B90" s="58" t="s">
        <v>2756</v>
      </c>
      <c r="C90" s="303">
        <v>0</v>
      </c>
      <c r="D90" s="303">
        <v>0</v>
      </c>
      <c r="E90" s="303">
        <v>0</v>
      </c>
      <c r="F90" s="303">
        <v>0</v>
      </c>
    </row>
    <row r="91" spans="1:6" ht="13">
      <c r="A91" s="58" t="s">
        <v>2311</v>
      </c>
      <c r="B91" s="58" t="s">
        <v>2311</v>
      </c>
      <c r="C91" s="303">
        <v>0</v>
      </c>
      <c r="D91" s="303">
        <v>0</v>
      </c>
      <c r="E91" s="303">
        <v>0</v>
      </c>
      <c r="F91" s="303">
        <v>0</v>
      </c>
    </row>
    <row r="92" spans="1:6" ht="13">
      <c r="A92" s="58" t="s">
        <v>2324</v>
      </c>
      <c r="B92" s="58" t="s">
        <v>2324</v>
      </c>
      <c r="C92" s="303">
        <v>-14321.399999999994</v>
      </c>
      <c r="D92" s="303">
        <v>84821.81</v>
      </c>
      <c r="E92" s="303">
        <v>-14136.71</v>
      </c>
      <c r="F92" s="303">
        <v>56363.700000000004</v>
      </c>
    </row>
    <row r="93" spans="1:6" ht="13">
      <c r="A93" s="58" t="s">
        <v>2314</v>
      </c>
      <c r="B93" s="58" t="s">
        <v>2314</v>
      </c>
      <c r="C93" s="303">
        <v>-18856.86</v>
      </c>
      <c r="D93" s="303">
        <v>-76223.320000000007</v>
      </c>
      <c r="E93" s="303">
        <v>-99152.84</v>
      </c>
      <c r="F93" s="303">
        <v>-194233.02000000002</v>
      </c>
    </row>
    <row r="94" spans="1:6" ht="13">
      <c r="A94" s="58" t="s">
        <v>2312</v>
      </c>
      <c r="B94" s="58" t="s">
        <v>2312</v>
      </c>
      <c r="C94" s="303">
        <v>0</v>
      </c>
      <c r="D94" s="303">
        <v>-296197.73</v>
      </c>
      <c r="E94" s="303">
        <v>0</v>
      </c>
      <c r="F94" s="303">
        <v>-296197.73</v>
      </c>
    </row>
    <row r="95" spans="1:6" ht="13">
      <c r="A95" s="58" t="s">
        <v>2310</v>
      </c>
      <c r="B95" s="58" t="s">
        <v>2310</v>
      </c>
      <c r="C95" s="303">
        <v>0</v>
      </c>
      <c r="D95" s="303">
        <v>-896673.60000000009</v>
      </c>
      <c r="E95" s="303">
        <v>9663.6</v>
      </c>
      <c r="F95" s="303">
        <v>-887010.00000000012</v>
      </c>
    </row>
    <row r="96" spans="1:6" ht="13">
      <c r="A96" s="58" t="s">
        <v>2325</v>
      </c>
      <c r="B96" s="58" t="s">
        <v>2325</v>
      </c>
      <c r="C96" s="303">
        <v>8069</v>
      </c>
      <c r="D96" s="303">
        <v>-583179</v>
      </c>
      <c r="E96" s="303">
        <v>-383903.62</v>
      </c>
      <c r="F96" s="303">
        <v>-959013.62</v>
      </c>
    </row>
    <row r="97" spans="1:6" ht="13">
      <c r="A97" s="58" t="s">
        <v>2323</v>
      </c>
      <c r="B97" s="58" t="s">
        <v>2323</v>
      </c>
      <c r="C97" s="303">
        <v>0</v>
      </c>
      <c r="D97" s="303">
        <v>-81407</v>
      </c>
      <c r="E97" s="303">
        <v>-2673582.0999999996</v>
      </c>
      <c r="F97" s="303">
        <v>-2754989.0999999996</v>
      </c>
    </row>
    <row r="98" spans="1:6" ht="13">
      <c r="A98" s="58" t="s">
        <v>2313</v>
      </c>
      <c r="B98" s="58" t="s">
        <v>2313</v>
      </c>
      <c r="C98" s="303">
        <v>0</v>
      </c>
      <c r="D98" s="303">
        <v>-4577.6000000000004</v>
      </c>
      <c r="E98" s="303">
        <v>-38797.599999999999</v>
      </c>
      <c r="F98" s="303">
        <v>-43375.199999999997</v>
      </c>
    </row>
    <row r="99" spans="1:6" ht="13">
      <c r="A99" s="58" t="s">
        <v>2309</v>
      </c>
      <c r="B99" s="58" t="s">
        <v>2309</v>
      </c>
      <c r="C99" s="303">
        <v>0</v>
      </c>
      <c r="D99" s="303">
        <v>-1675.96</v>
      </c>
      <c r="E99" s="303">
        <v>-2179.64</v>
      </c>
      <c r="F99" s="303">
        <v>-3855.6</v>
      </c>
    </row>
    <row r="100" spans="1:6" ht="13">
      <c r="A100" s="58" t="s">
        <v>2322</v>
      </c>
      <c r="B100" s="58" t="s">
        <v>2322</v>
      </c>
      <c r="C100" s="303">
        <v>-181473.37</v>
      </c>
      <c r="D100" s="303">
        <v>-240224.03</v>
      </c>
      <c r="E100" s="303">
        <v>-282076.26</v>
      </c>
      <c r="F100" s="303">
        <v>-703773.66</v>
      </c>
    </row>
    <row r="101" spans="1:6" ht="13">
      <c r="A101" s="58" t="s">
        <v>2332</v>
      </c>
      <c r="B101" s="58" t="s">
        <v>2332</v>
      </c>
      <c r="C101" s="303">
        <v>0</v>
      </c>
      <c r="D101" s="303">
        <v>-692259.4</v>
      </c>
      <c r="E101" s="303">
        <v>-148.51000000000002</v>
      </c>
      <c r="F101" s="303">
        <v>-692407.91</v>
      </c>
    </row>
    <row r="102" spans="1:6" ht="13">
      <c r="A102" s="58" t="s">
        <v>2333</v>
      </c>
      <c r="B102" s="58" t="s">
        <v>2333</v>
      </c>
      <c r="C102" s="303">
        <v>-120560.4</v>
      </c>
      <c r="D102" s="303">
        <v>-210238.07999999999</v>
      </c>
      <c r="E102" s="303">
        <v>-80278.600000000006</v>
      </c>
      <c r="F102" s="303">
        <v>-411077.07999999996</v>
      </c>
    </row>
    <row r="103" spans="1:6" ht="13">
      <c r="A103" s="58" t="s">
        <v>2331</v>
      </c>
      <c r="B103" s="58" t="s">
        <v>2331</v>
      </c>
      <c r="C103" s="303">
        <v>-6913</v>
      </c>
      <c r="D103" s="303">
        <v>-17490.28</v>
      </c>
      <c r="E103" s="303">
        <v>-3523.3999999999996</v>
      </c>
      <c r="F103" s="303">
        <v>-27926.68</v>
      </c>
    </row>
    <row r="104" spans="1:6" ht="13">
      <c r="A104" s="58" t="s">
        <v>2330</v>
      </c>
      <c r="B104" s="58" t="s">
        <v>2330</v>
      </c>
      <c r="C104" s="303">
        <v>-976395.45</v>
      </c>
      <c r="D104" s="303">
        <v>-2553540.4899999998</v>
      </c>
      <c r="E104" s="303">
        <v>-4273024.8999999994</v>
      </c>
      <c r="F104" s="303">
        <v>-7802960.8399999989</v>
      </c>
    </row>
    <row r="105" spans="1:6" ht="13">
      <c r="A105" s="58" t="s">
        <v>2334</v>
      </c>
      <c r="B105" s="58" t="s">
        <v>2334</v>
      </c>
      <c r="C105" s="303">
        <v>-2260</v>
      </c>
      <c r="D105" s="303">
        <v>-167532.49</v>
      </c>
      <c r="E105" s="303">
        <v>-2070488.8899999997</v>
      </c>
      <c r="F105" s="303">
        <v>-2240281.38</v>
      </c>
    </row>
    <row r="106" spans="1:6" ht="13">
      <c r="A106" s="58" t="s">
        <v>2329</v>
      </c>
      <c r="B106" s="58" t="s">
        <v>2329</v>
      </c>
      <c r="C106" s="303">
        <v>600961.66</v>
      </c>
      <c r="D106" s="303">
        <v>-211330</v>
      </c>
      <c r="E106" s="303">
        <v>-265188.28000000003</v>
      </c>
      <c r="F106" s="303">
        <v>124443.38</v>
      </c>
    </row>
    <row r="107" spans="1:6" ht="13">
      <c r="A107" s="58" t="s">
        <v>2388</v>
      </c>
      <c r="B107" s="58" t="s">
        <v>2388</v>
      </c>
      <c r="C107" s="303">
        <v>-21</v>
      </c>
      <c r="D107" s="303">
        <v>-75.400000000000006</v>
      </c>
      <c r="E107" s="303">
        <v>-51.2</v>
      </c>
      <c r="F107" s="303">
        <v>-147.60000000000002</v>
      </c>
    </row>
    <row r="108" spans="1:6" ht="13">
      <c r="A108" s="58" t="s">
        <v>2389</v>
      </c>
      <c r="B108" s="58" t="s">
        <v>2389</v>
      </c>
      <c r="C108" s="303">
        <v>-62686.409999999996</v>
      </c>
      <c r="D108" s="303">
        <v>-4874.54</v>
      </c>
      <c r="E108" s="303">
        <v>-2845.55</v>
      </c>
      <c r="F108" s="303">
        <v>-70406.5</v>
      </c>
    </row>
    <row r="109" spans="1:6" ht="13">
      <c r="A109" s="58" t="s">
        <v>2390</v>
      </c>
      <c r="B109" s="58" t="s">
        <v>2390</v>
      </c>
      <c r="C109" s="303">
        <v>0</v>
      </c>
      <c r="D109" s="303">
        <v>-416061.8</v>
      </c>
      <c r="E109" s="303">
        <v>-804789.02</v>
      </c>
      <c r="F109" s="303">
        <v>-1220850.82</v>
      </c>
    </row>
    <row r="110" spans="1:6" ht="13">
      <c r="A110" s="58" t="s">
        <v>2391</v>
      </c>
      <c r="B110" s="58" t="s">
        <v>2391</v>
      </c>
      <c r="C110" s="303">
        <v>0</v>
      </c>
      <c r="D110" s="303">
        <v>-39978.910000000003</v>
      </c>
      <c r="E110" s="303">
        <v>-10459.58</v>
      </c>
      <c r="F110" s="303">
        <v>-50438.490000000005</v>
      </c>
    </row>
    <row r="111" spans="1:6" ht="13">
      <c r="A111" s="58" t="s">
        <v>2392</v>
      </c>
      <c r="B111" s="58" t="s">
        <v>2392</v>
      </c>
      <c r="C111" s="303">
        <v>-80049.78</v>
      </c>
      <c r="D111" s="303">
        <v>-188065.37000000002</v>
      </c>
      <c r="E111" s="303">
        <v>-324378.78999999998</v>
      </c>
      <c r="F111" s="303">
        <v>-592493.93999999994</v>
      </c>
    </row>
    <row r="112" spans="1:6" ht="13">
      <c r="A112" s="58" t="s">
        <v>2387</v>
      </c>
      <c r="B112" s="58" t="s">
        <v>2387</v>
      </c>
      <c r="C112" s="303">
        <v>-266.40000000000003</v>
      </c>
      <c r="D112" s="303">
        <v>-3749.87</v>
      </c>
      <c r="E112" s="303">
        <v>-887.57999999999993</v>
      </c>
      <c r="F112" s="303">
        <v>-4903.8500000000004</v>
      </c>
    </row>
    <row r="113" spans="1:6" ht="13">
      <c r="A113" s="58" t="s">
        <v>2565</v>
      </c>
      <c r="B113" s="58" t="s">
        <v>2565</v>
      </c>
      <c r="C113" s="303">
        <v>-807045.51</v>
      </c>
      <c r="D113" s="303">
        <v>-2128980.5299999998</v>
      </c>
      <c r="E113" s="303">
        <v>-1777198.9199999997</v>
      </c>
      <c r="F113" s="303">
        <v>-4713224.96</v>
      </c>
    </row>
    <row r="114" spans="1:6" ht="13">
      <c r="A114" s="58" t="s">
        <v>2560</v>
      </c>
      <c r="B114" s="58" t="s">
        <v>2560</v>
      </c>
      <c r="C114" s="303">
        <v>-3108.52</v>
      </c>
      <c r="D114" s="303">
        <v>-1110.8</v>
      </c>
      <c r="E114" s="303">
        <v>-1183.08</v>
      </c>
      <c r="F114" s="303">
        <v>-5402.4</v>
      </c>
    </row>
    <row r="115" spans="1:6" ht="13">
      <c r="A115" s="58" t="s">
        <v>2561</v>
      </c>
      <c r="B115" s="58" t="s">
        <v>2561</v>
      </c>
      <c r="C115" s="303">
        <v>-5266.7999999999993</v>
      </c>
      <c r="D115" s="303">
        <v>-104225.04999999999</v>
      </c>
      <c r="E115" s="303">
        <v>-39915.469999999994</v>
      </c>
      <c r="F115" s="303">
        <v>-149407.31999999998</v>
      </c>
    </row>
    <row r="116" spans="1:6" ht="13">
      <c r="A116" s="58" t="s">
        <v>2562</v>
      </c>
      <c r="B116" s="58" t="s">
        <v>2562</v>
      </c>
      <c r="C116" s="303">
        <v>-455925.41000000003</v>
      </c>
      <c r="D116" s="303">
        <v>-687978.17999999993</v>
      </c>
      <c r="E116" s="303">
        <v>-293133.08</v>
      </c>
      <c r="F116" s="303">
        <v>-1437036.67</v>
      </c>
    </row>
    <row r="117" spans="1:6" ht="13">
      <c r="A117" s="58" t="s">
        <v>2563</v>
      </c>
      <c r="B117" s="58" t="s">
        <v>2563</v>
      </c>
      <c r="C117" s="303">
        <v>-41349.400000000009</v>
      </c>
      <c r="D117" s="303">
        <v>-131332.93</v>
      </c>
      <c r="E117" s="303">
        <v>-243881.5</v>
      </c>
      <c r="F117" s="303">
        <v>-416563.83</v>
      </c>
    </row>
    <row r="118" spans="1:6" ht="13">
      <c r="A118" s="58" t="s">
        <v>2558</v>
      </c>
      <c r="B118" s="58" t="s">
        <v>2558</v>
      </c>
      <c r="C118" s="303">
        <v>-12887.6</v>
      </c>
      <c r="D118" s="303">
        <v>-302035.59999999998</v>
      </c>
      <c r="E118" s="303">
        <v>-91768.299999999988</v>
      </c>
      <c r="F118" s="303">
        <v>-406691.49999999994</v>
      </c>
    </row>
    <row r="119" spans="1:6" ht="13">
      <c r="A119" s="58" t="s">
        <v>2564</v>
      </c>
      <c r="B119" s="58" t="s">
        <v>2564</v>
      </c>
      <c r="C119" s="303">
        <v>-247582.90000000005</v>
      </c>
      <c r="D119" s="303">
        <v>-297611.08</v>
      </c>
      <c r="E119" s="303">
        <v>-346921.41</v>
      </c>
      <c r="F119" s="303">
        <v>-892115.39000000013</v>
      </c>
    </row>
    <row r="120" spans="1:6" ht="13">
      <c r="A120" s="58" t="s">
        <v>2601</v>
      </c>
      <c r="B120" s="58" t="s">
        <v>2601</v>
      </c>
      <c r="C120" s="303">
        <v>0</v>
      </c>
      <c r="D120" s="303">
        <v>-8380.7999999999993</v>
      </c>
      <c r="E120" s="303">
        <v>-62401.09</v>
      </c>
      <c r="F120" s="303">
        <v>-70781.89</v>
      </c>
    </row>
    <row r="121" spans="1:6" ht="13">
      <c r="A121" s="58" t="s">
        <v>2602</v>
      </c>
      <c r="B121" s="58" t="s">
        <v>2602</v>
      </c>
      <c r="C121" s="303">
        <v>-2498.41</v>
      </c>
      <c r="D121" s="303">
        <v>0</v>
      </c>
      <c r="E121" s="303">
        <v>0</v>
      </c>
      <c r="F121" s="303">
        <v>-2498.41</v>
      </c>
    </row>
    <row r="122" spans="1:6" ht="13">
      <c r="A122" s="58" t="s">
        <v>2556</v>
      </c>
      <c r="B122" s="58" t="s">
        <v>2556</v>
      </c>
      <c r="C122" s="303">
        <v>0</v>
      </c>
      <c r="D122" s="303">
        <v>-2027563.51</v>
      </c>
      <c r="E122" s="303">
        <v>-5902441.75</v>
      </c>
      <c r="F122" s="303">
        <v>-7930005.2599999998</v>
      </c>
    </row>
    <row r="123" spans="1:6" ht="13">
      <c r="A123" s="58" t="s">
        <v>2557</v>
      </c>
      <c r="B123" s="58" t="s">
        <v>2557</v>
      </c>
      <c r="C123" s="303">
        <v>-14359285.110000001</v>
      </c>
      <c r="D123" s="303">
        <v>-15822010.340000004</v>
      </c>
      <c r="E123" s="303">
        <v>-14329387.25</v>
      </c>
      <c r="F123" s="303">
        <v>-44510682.700000003</v>
      </c>
    </row>
    <row r="124" spans="1:6" ht="13">
      <c r="A124" s="58" t="s">
        <v>2600</v>
      </c>
      <c r="B124" s="58" t="s">
        <v>2600</v>
      </c>
      <c r="C124" s="303">
        <v>0</v>
      </c>
      <c r="D124" s="303">
        <v>0</v>
      </c>
      <c r="E124" s="303">
        <v>0</v>
      </c>
      <c r="F124" s="303">
        <v>0</v>
      </c>
    </row>
    <row r="125" spans="1:6" ht="13">
      <c r="A125" s="58" t="s">
        <v>2598</v>
      </c>
      <c r="B125" s="58" t="s">
        <v>2598</v>
      </c>
      <c r="C125" s="303">
        <v>0</v>
      </c>
      <c r="D125" s="303">
        <v>0</v>
      </c>
      <c r="E125" s="303">
        <v>0</v>
      </c>
      <c r="F125" s="303">
        <v>0</v>
      </c>
    </row>
    <row r="126" spans="1:6" ht="13">
      <c r="A126" s="58" t="s">
        <v>2599</v>
      </c>
      <c r="B126" s="58" t="s">
        <v>2599</v>
      </c>
      <c r="C126" s="303">
        <v>0</v>
      </c>
      <c r="D126" s="303">
        <v>-186.8</v>
      </c>
      <c r="E126" s="303">
        <v>0</v>
      </c>
      <c r="F126" s="303">
        <v>-186.8</v>
      </c>
    </row>
    <row r="127" spans="1:6" ht="13">
      <c r="A127" s="58" t="s">
        <v>2757</v>
      </c>
      <c r="B127" s="58" t="s">
        <v>2757</v>
      </c>
      <c r="C127" s="303">
        <v>0</v>
      </c>
      <c r="D127" s="303">
        <v>0</v>
      </c>
      <c r="E127" s="303">
        <v>0</v>
      </c>
      <c r="F127" s="303">
        <v>0</v>
      </c>
    </row>
    <row r="128" spans="1:6" ht="13">
      <c r="A128" s="58" t="s">
        <v>2758</v>
      </c>
      <c r="B128" s="58" t="s">
        <v>2758</v>
      </c>
      <c r="C128" s="303">
        <v>0</v>
      </c>
      <c r="D128" s="303">
        <v>0</v>
      </c>
      <c r="E128" s="303">
        <v>0</v>
      </c>
      <c r="F128" s="303">
        <v>0</v>
      </c>
    </row>
    <row r="129" spans="1:6" ht="13">
      <c r="A129" s="58" t="s">
        <v>2759</v>
      </c>
      <c r="B129" s="58" t="s">
        <v>2759</v>
      </c>
      <c r="C129" s="303">
        <v>0</v>
      </c>
      <c r="D129" s="303">
        <v>0</v>
      </c>
      <c r="E129" s="303">
        <v>0</v>
      </c>
      <c r="F129" s="303">
        <v>0</v>
      </c>
    </row>
    <row r="130" spans="1:6" ht="13">
      <c r="A130" s="58" t="s">
        <v>2760</v>
      </c>
      <c r="B130" s="58" t="s">
        <v>2760</v>
      </c>
      <c r="C130" s="303">
        <v>0</v>
      </c>
      <c r="D130" s="303">
        <v>0</v>
      </c>
      <c r="E130" s="303">
        <v>0</v>
      </c>
      <c r="F130" s="303">
        <v>0</v>
      </c>
    </row>
    <row r="131" spans="1:6" ht="13">
      <c r="A131" s="58" t="s">
        <v>2761</v>
      </c>
      <c r="B131" s="58" t="s">
        <v>2761</v>
      </c>
      <c r="C131" s="303">
        <v>0</v>
      </c>
      <c r="D131" s="303">
        <v>0</v>
      </c>
      <c r="E131" s="303">
        <v>0</v>
      </c>
      <c r="F131" s="303">
        <v>0</v>
      </c>
    </row>
    <row r="132" spans="1:6" ht="13">
      <c r="A132" s="58" t="s">
        <v>2762</v>
      </c>
      <c r="B132" s="58" t="s">
        <v>2762</v>
      </c>
      <c r="C132" s="303">
        <v>0</v>
      </c>
      <c r="D132" s="303">
        <v>0</v>
      </c>
      <c r="E132" s="303">
        <v>0</v>
      </c>
      <c r="F132" s="303">
        <v>0</v>
      </c>
    </row>
    <row r="133" spans="1:6" ht="13">
      <c r="A133" s="58" t="s">
        <v>2763</v>
      </c>
      <c r="B133" s="58" t="s">
        <v>2763</v>
      </c>
      <c r="C133" s="303">
        <v>0</v>
      </c>
      <c r="D133" s="303">
        <v>0</v>
      </c>
      <c r="E133" s="303">
        <v>0</v>
      </c>
      <c r="F133" s="303">
        <v>0</v>
      </c>
    </row>
    <row r="134" spans="1:6" ht="13">
      <c r="A134" s="58" t="s">
        <v>2764</v>
      </c>
      <c r="B134" s="58" t="s">
        <v>2764</v>
      </c>
      <c r="C134" s="303">
        <v>0</v>
      </c>
      <c r="D134" s="303">
        <v>0</v>
      </c>
      <c r="E134" s="303">
        <v>0</v>
      </c>
      <c r="F134" s="303">
        <v>0</v>
      </c>
    </row>
    <row r="135" spans="1:6" ht="13">
      <c r="A135" s="58" t="s">
        <v>2766</v>
      </c>
      <c r="B135" s="58" t="s">
        <v>2766</v>
      </c>
      <c r="C135" s="303">
        <v>0</v>
      </c>
      <c r="D135" s="303">
        <v>0</v>
      </c>
      <c r="E135" s="303">
        <v>0</v>
      </c>
      <c r="F135" s="303">
        <v>0</v>
      </c>
    </row>
    <row r="136" spans="1:6" ht="13">
      <c r="A136" s="58" t="s">
        <v>2768</v>
      </c>
      <c r="B136" s="58" t="s">
        <v>2768</v>
      </c>
      <c r="C136" s="303">
        <v>0</v>
      </c>
      <c r="D136" s="303">
        <v>0</v>
      </c>
      <c r="E136" s="303">
        <v>0</v>
      </c>
      <c r="F136" s="303">
        <v>0</v>
      </c>
    </row>
    <row r="137" spans="1:6" ht="13">
      <c r="A137" s="58" t="s">
        <v>2770</v>
      </c>
      <c r="B137" s="58" t="s">
        <v>2770</v>
      </c>
      <c r="C137" s="303">
        <v>0</v>
      </c>
      <c r="D137" s="303">
        <v>0</v>
      </c>
      <c r="E137" s="303">
        <v>0</v>
      </c>
      <c r="F137" s="303">
        <v>0</v>
      </c>
    </row>
    <row r="138" spans="1:6" ht="13">
      <c r="A138" s="58" t="s">
        <v>2772</v>
      </c>
      <c r="B138" s="58" t="s">
        <v>2772</v>
      </c>
      <c r="C138" s="303">
        <v>0</v>
      </c>
      <c r="D138" s="303">
        <v>0</v>
      </c>
      <c r="E138" s="303">
        <v>0</v>
      </c>
      <c r="F138" s="303">
        <v>0</v>
      </c>
    </row>
    <row r="139" spans="1:6" ht="13">
      <c r="A139" s="58" t="s">
        <v>2774</v>
      </c>
      <c r="B139" s="58" t="s">
        <v>2774</v>
      </c>
      <c r="C139" s="303">
        <v>0</v>
      </c>
      <c r="D139" s="303">
        <v>0</v>
      </c>
      <c r="E139" s="303">
        <v>0</v>
      </c>
      <c r="F139" s="303">
        <v>0</v>
      </c>
    </row>
    <row r="140" spans="1:6" ht="13">
      <c r="A140" s="58" t="s">
        <v>2776</v>
      </c>
      <c r="B140" s="58" t="s">
        <v>2776</v>
      </c>
      <c r="C140" s="303">
        <v>0</v>
      </c>
      <c r="D140" s="303">
        <v>0</v>
      </c>
      <c r="E140" s="303">
        <v>0</v>
      </c>
      <c r="F140" s="303">
        <v>0</v>
      </c>
    </row>
    <row r="141" spans="1:6" ht="13">
      <c r="A141" s="58" t="s">
        <v>2778</v>
      </c>
      <c r="B141" s="58" t="s">
        <v>2778</v>
      </c>
      <c r="C141" s="303">
        <v>-26133635.869999997</v>
      </c>
      <c r="D141" s="303">
        <v>-36438014.819999993</v>
      </c>
      <c r="E141" s="303">
        <v>-39212106.799999997</v>
      </c>
      <c r="F141" s="303">
        <v>-101783757.48999998</v>
      </c>
    </row>
    <row r="142" spans="1:6" ht="13">
      <c r="A142" s="58" t="s">
        <v>2779</v>
      </c>
      <c r="B142" s="58" t="s">
        <v>2779</v>
      </c>
      <c r="C142" s="303">
        <v>-2158390.84</v>
      </c>
      <c r="D142" s="303">
        <v>-3355628.4599999995</v>
      </c>
      <c r="E142" s="303">
        <v>-4185566.0300000003</v>
      </c>
      <c r="F142" s="303">
        <v>-9699585.3299999982</v>
      </c>
    </row>
    <row r="143" spans="1:6" ht="13">
      <c r="A143" s="58" t="s">
        <v>2780</v>
      </c>
      <c r="B143" s="58" t="s">
        <v>2780</v>
      </c>
      <c r="C143" s="303">
        <v>-961177.79</v>
      </c>
      <c r="D143" s="303">
        <v>-1746270.5099999998</v>
      </c>
      <c r="E143" s="303">
        <v>-2708657.0999999996</v>
      </c>
      <c r="F143" s="303">
        <v>-5416105.3999999994</v>
      </c>
    </row>
    <row r="144" spans="1:6" ht="13">
      <c r="A144" s="58" t="s">
        <v>2781</v>
      </c>
      <c r="B144" s="58" t="s">
        <v>2781</v>
      </c>
      <c r="C144" s="303">
        <v>-1683152.1099999999</v>
      </c>
      <c r="D144" s="303">
        <v>-4859035.419999999</v>
      </c>
      <c r="E144" s="303">
        <v>-5793016.370000001</v>
      </c>
      <c r="F144" s="303">
        <v>-12335203.9</v>
      </c>
    </row>
    <row r="145" spans="1:6" ht="13">
      <c r="A145" s="58" t="s">
        <v>2782</v>
      </c>
      <c r="B145" s="58" t="s">
        <v>2782</v>
      </c>
      <c r="C145" s="303">
        <v>-5932093.71</v>
      </c>
      <c r="D145" s="303">
        <v>-5056089.6000000006</v>
      </c>
      <c r="E145" s="303">
        <v>-5369630.7199999997</v>
      </c>
      <c r="F145" s="303">
        <v>-16357814.030000001</v>
      </c>
    </row>
    <row r="146" spans="1:6" ht="13">
      <c r="A146" s="58" t="s">
        <v>2783</v>
      </c>
      <c r="B146" s="58" t="s">
        <v>2783</v>
      </c>
      <c r="C146" s="303">
        <v>0</v>
      </c>
      <c r="D146" s="303">
        <v>0</v>
      </c>
      <c r="E146" s="303">
        <v>0</v>
      </c>
      <c r="F146" s="303">
        <v>0</v>
      </c>
    </row>
    <row r="147" spans="1:6" ht="13">
      <c r="A147" s="58" t="s">
        <v>2784</v>
      </c>
      <c r="B147" s="58" t="s">
        <v>2784</v>
      </c>
      <c r="C147" s="303">
        <v>-1230.67</v>
      </c>
      <c r="D147" s="303">
        <v>-705.62999999999988</v>
      </c>
      <c r="E147" s="303">
        <v>-153.03</v>
      </c>
      <c r="F147" s="303">
        <v>-2089.33</v>
      </c>
    </row>
    <row r="148" spans="1:6" ht="13">
      <c r="A148" s="58" t="s">
        <v>2785</v>
      </c>
      <c r="B148" s="58" t="s">
        <v>2785</v>
      </c>
      <c r="C148" s="303">
        <v>0</v>
      </c>
      <c r="D148" s="303">
        <v>0</v>
      </c>
      <c r="E148" s="303">
        <v>0</v>
      </c>
      <c r="F148" s="303">
        <v>0</v>
      </c>
    </row>
    <row r="149" spans="1:6" ht="13">
      <c r="A149" s="58" t="s">
        <v>2786</v>
      </c>
      <c r="B149" s="58" t="s">
        <v>2786</v>
      </c>
      <c r="C149" s="303">
        <v>0</v>
      </c>
      <c r="D149" s="303">
        <v>0</v>
      </c>
      <c r="E149" s="303">
        <v>0</v>
      </c>
      <c r="F149" s="303">
        <v>0</v>
      </c>
    </row>
    <row r="150" spans="1:6" ht="13">
      <c r="A150" s="58" t="s">
        <v>2787</v>
      </c>
      <c r="B150" s="58" t="s">
        <v>2787</v>
      </c>
      <c r="C150" s="303">
        <v>0</v>
      </c>
      <c r="D150" s="303">
        <v>0</v>
      </c>
      <c r="E150" s="303">
        <v>0</v>
      </c>
      <c r="F150" s="303">
        <v>0</v>
      </c>
    </row>
    <row r="151" spans="1:6" ht="13">
      <c r="A151" s="58" t="s">
        <v>2788</v>
      </c>
      <c r="B151" s="58" t="s">
        <v>2788</v>
      </c>
      <c r="C151" s="303">
        <v>0</v>
      </c>
      <c r="D151" s="303">
        <v>0</v>
      </c>
      <c r="E151" s="303">
        <v>0</v>
      </c>
      <c r="F151" s="303">
        <v>0</v>
      </c>
    </row>
    <row r="152" spans="1:6" ht="13">
      <c r="A152" s="58" t="s">
        <v>2789</v>
      </c>
      <c r="B152" s="58" t="s">
        <v>2789</v>
      </c>
      <c r="C152" s="303">
        <v>0</v>
      </c>
      <c r="D152" s="303">
        <v>0</v>
      </c>
      <c r="E152" s="303">
        <v>0</v>
      </c>
      <c r="F152" s="303">
        <v>0</v>
      </c>
    </row>
    <row r="153" spans="1:6" ht="13">
      <c r="A153" s="58" t="s">
        <v>2790</v>
      </c>
      <c r="B153" s="58" t="s">
        <v>2790</v>
      </c>
      <c r="C153" s="303">
        <v>0</v>
      </c>
      <c r="D153" s="303">
        <v>0</v>
      </c>
      <c r="E153" s="303">
        <v>0</v>
      </c>
      <c r="F153" s="303">
        <v>0</v>
      </c>
    </row>
    <row r="154" spans="1:6" ht="13">
      <c r="A154" s="58" t="s">
        <v>2791</v>
      </c>
      <c r="B154" s="58" t="s">
        <v>2791</v>
      </c>
      <c r="C154" s="303">
        <v>0</v>
      </c>
      <c r="D154" s="303">
        <v>0</v>
      </c>
      <c r="E154" s="303">
        <v>0</v>
      </c>
      <c r="F154" s="303">
        <v>0</v>
      </c>
    </row>
    <row r="155" spans="1:6" ht="13">
      <c r="A155" s="58" t="s">
        <v>2792</v>
      </c>
      <c r="B155" s="58" t="s">
        <v>2792</v>
      </c>
      <c r="C155" s="303">
        <v>0</v>
      </c>
      <c r="D155" s="303">
        <v>0</v>
      </c>
      <c r="E155" s="303">
        <v>0</v>
      </c>
      <c r="F155" s="303">
        <v>0</v>
      </c>
    </row>
    <row r="156" spans="1:6" ht="13">
      <c r="A156" s="58" t="s">
        <v>2793</v>
      </c>
      <c r="B156" s="58" t="s">
        <v>2793</v>
      </c>
      <c r="C156" s="303">
        <v>0</v>
      </c>
      <c r="D156" s="303">
        <v>0</v>
      </c>
      <c r="E156" s="303">
        <v>0</v>
      </c>
      <c r="F156" s="303">
        <v>0</v>
      </c>
    </row>
    <row r="157" spans="1:6" ht="13">
      <c r="A157" s="58" t="s">
        <v>2794</v>
      </c>
      <c r="B157" s="58" t="s">
        <v>2794</v>
      </c>
      <c r="C157" s="303">
        <v>0</v>
      </c>
      <c r="D157" s="303">
        <v>0</v>
      </c>
      <c r="E157" s="303">
        <v>0</v>
      </c>
      <c r="F157" s="303">
        <v>0</v>
      </c>
    </row>
    <row r="158" spans="1:6" ht="13">
      <c r="A158" s="58" t="s">
        <v>2795</v>
      </c>
      <c r="B158" s="58" t="s">
        <v>2795</v>
      </c>
      <c r="C158" s="303">
        <v>0</v>
      </c>
      <c r="D158" s="303">
        <v>0</v>
      </c>
      <c r="E158" s="303">
        <v>0</v>
      </c>
      <c r="F158" s="303">
        <v>0</v>
      </c>
    </row>
    <row r="159" spans="1:6" ht="13">
      <c r="A159" s="58" t="s">
        <v>2796</v>
      </c>
      <c r="B159" s="58" t="s">
        <v>2796</v>
      </c>
      <c r="C159" s="303">
        <v>0</v>
      </c>
      <c r="D159" s="303">
        <v>0</v>
      </c>
      <c r="E159" s="303">
        <v>0</v>
      </c>
      <c r="F159" s="303">
        <v>0</v>
      </c>
    </row>
    <row r="160" spans="1:6" ht="13">
      <c r="A160" s="58" t="s">
        <v>2797</v>
      </c>
      <c r="B160" s="58" t="s">
        <v>2797</v>
      </c>
      <c r="C160" s="303">
        <v>0</v>
      </c>
      <c r="D160" s="303">
        <v>0</v>
      </c>
      <c r="E160" s="303">
        <v>0</v>
      </c>
      <c r="F160" s="303">
        <v>0</v>
      </c>
    </row>
    <row r="161" spans="1:6" ht="13">
      <c r="A161" s="58" t="s">
        <v>2798</v>
      </c>
      <c r="B161" s="58" t="s">
        <v>2798</v>
      </c>
      <c r="C161" s="303">
        <v>0</v>
      </c>
      <c r="D161" s="303">
        <v>0</v>
      </c>
      <c r="E161" s="303">
        <v>0</v>
      </c>
      <c r="F161" s="303">
        <v>0</v>
      </c>
    </row>
    <row r="162" spans="1:6" ht="13">
      <c r="A162" s="58" t="s">
        <v>2799</v>
      </c>
      <c r="B162" s="58" t="s">
        <v>2799</v>
      </c>
      <c r="C162" s="303">
        <v>0</v>
      </c>
      <c r="D162" s="303">
        <v>0</v>
      </c>
      <c r="E162" s="303">
        <v>0</v>
      </c>
      <c r="F162" s="303">
        <v>0</v>
      </c>
    </row>
    <row r="163" spans="1:6" ht="13">
      <c r="A163" s="58" t="s">
        <v>2800</v>
      </c>
      <c r="B163" s="58" t="s">
        <v>2800</v>
      </c>
      <c r="C163" s="303">
        <v>0</v>
      </c>
      <c r="D163" s="303">
        <v>0</v>
      </c>
      <c r="E163" s="303">
        <v>0</v>
      </c>
      <c r="F163" s="303">
        <v>0</v>
      </c>
    </row>
    <row r="164" spans="1:6" ht="13">
      <c r="A164" s="58" t="s">
        <v>2801</v>
      </c>
      <c r="B164" s="58" t="s">
        <v>2801</v>
      </c>
      <c r="C164" s="303">
        <v>0</v>
      </c>
      <c r="D164" s="303">
        <v>0</v>
      </c>
      <c r="E164" s="303">
        <v>0</v>
      </c>
      <c r="F164" s="303">
        <v>0</v>
      </c>
    </row>
    <row r="165" spans="1:6" ht="13">
      <c r="A165" s="58" t="s">
        <v>2802</v>
      </c>
      <c r="B165" s="58" t="s">
        <v>2802</v>
      </c>
      <c r="C165" s="303">
        <v>0</v>
      </c>
      <c r="D165" s="303">
        <v>0</v>
      </c>
      <c r="E165" s="303">
        <v>0</v>
      </c>
      <c r="F165" s="303">
        <v>0</v>
      </c>
    </row>
    <row r="166" spans="1:6" ht="13">
      <c r="A166" s="58" t="s">
        <v>2803</v>
      </c>
      <c r="B166" s="58" t="s">
        <v>2803</v>
      </c>
      <c r="C166" s="303">
        <v>0</v>
      </c>
      <c r="D166" s="303">
        <v>0</v>
      </c>
      <c r="E166" s="303">
        <v>0</v>
      </c>
      <c r="F166" s="303">
        <v>0</v>
      </c>
    </row>
    <row r="167" spans="1:6" ht="13">
      <c r="A167" s="58" t="s">
        <v>2804</v>
      </c>
      <c r="B167" s="58" t="s">
        <v>2804</v>
      </c>
      <c r="C167" s="303">
        <v>0</v>
      </c>
      <c r="D167" s="303">
        <v>0</v>
      </c>
      <c r="E167" s="303">
        <v>0</v>
      </c>
      <c r="F167" s="303">
        <v>0</v>
      </c>
    </row>
    <row r="168" spans="1:6" ht="13">
      <c r="A168" s="58" t="s">
        <v>2805</v>
      </c>
      <c r="B168" s="58" t="s">
        <v>2805</v>
      </c>
      <c r="C168" s="303">
        <v>0</v>
      </c>
      <c r="D168" s="303">
        <v>0</v>
      </c>
      <c r="E168" s="303">
        <v>0</v>
      </c>
      <c r="F168" s="303">
        <v>0</v>
      </c>
    </row>
    <row r="169" spans="1:6" ht="13">
      <c r="A169" s="58" t="s">
        <v>2806</v>
      </c>
      <c r="B169" s="58" t="s">
        <v>2806</v>
      </c>
      <c r="C169" s="303">
        <v>0</v>
      </c>
      <c r="D169" s="303">
        <v>0</v>
      </c>
      <c r="E169" s="303">
        <v>0</v>
      </c>
      <c r="F169" s="303">
        <v>0</v>
      </c>
    </row>
    <row r="170" spans="1:6" ht="13">
      <c r="A170" s="58" t="s">
        <v>2807</v>
      </c>
      <c r="B170" s="58" t="s">
        <v>2807</v>
      </c>
      <c r="C170" s="303">
        <v>0</v>
      </c>
      <c r="D170" s="303">
        <v>0</v>
      </c>
      <c r="E170" s="303">
        <v>0</v>
      </c>
      <c r="F170" s="303">
        <v>0</v>
      </c>
    </row>
    <row r="171" spans="1:6" ht="13">
      <c r="A171" s="58" t="s">
        <v>2808</v>
      </c>
      <c r="B171" s="58" t="s">
        <v>2808</v>
      </c>
      <c r="C171" s="303">
        <v>0</v>
      </c>
      <c r="D171" s="303">
        <v>0</v>
      </c>
      <c r="E171" s="303">
        <v>0</v>
      </c>
      <c r="F171" s="303">
        <v>0</v>
      </c>
    </row>
    <row r="172" spans="1:6" ht="13">
      <c r="A172" s="58" t="s">
        <v>2809</v>
      </c>
      <c r="B172" s="58" t="s">
        <v>2809</v>
      </c>
      <c r="C172" s="303">
        <v>0</v>
      </c>
      <c r="D172" s="303">
        <v>0</v>
      </c>
      <c r="E172" s="303">
        <v>0</v>
      </c>
      <c r="F172" s="303">
        <v>0</v>
      </c>
    </row>
    <row r="173" spans="1:6" ht="13">
      <c r="A173" s="58" t="s">
        <v>2810</v>
      </c>
      <c r="B173" s="58" t="s">
        <v>2810</v>
      </c>
      <c r="C173" s="303">
        <v>-8185121.2999999998</v>
      </c>
      <c r="D173" s="303">
        <v>-5533828.7999999998</v>
      </c>
      <c r="E173" s="303">
        <v>-3198463.09</v>
      </c>
      <c r="F173" s="303">
        <v>-16917413.189999998</v>
      </c>
    </row>
    <row r="174" spans="1:6" ht="13">
      <c r="A174" s="58" t="s">
        <v>2811</v>
      </c>
      <c r="B174" s="58" t="s">
        <v>2811</v>
      </c>
      <c r="C174" s="303">
        <v>0</v>
      </c>
      <c r="D174" s="303">
        <v>0</v>
      </c>
      <c r="E174" s="303">
        <v>0</v>
      </c>
      <c r="F174" s="303">
        <v>0</v>
      </c>
    </row>
    <row r="175" spans="1:6" ht="13">
      <c r="A175" s="58" t="s">
        <v>2812</v>
      </c>
      <c r="B175" s="58" t="s">
        <v>2812</v>
      </c>
      <c r="C175" s="303">
        <v>0</v>
      </c>
      <c r="D175" s="303">
        <v>0</v>
      </c>
      <c r="E175" s="303">
        <v>0</v>
      </c>
      <c r="F175" s="303">
        <v>0</v>
      </c>
    </row>
    <row r="176" spans="1:6" ht="13">
      <c r="A176" s="58" t="s">
        <v>2813</v>
      </c>
      <c r="B176" s="58" t="s">
        <v>2813</v>
      </c>
      <c r="C176" s="303">
        <v>0</v>
      </c>
      <c r="D176" s="303">
        <v>0</v>
      </c>
      <c r="E176" s="303">
        <v>0</v>
      </c>
      <c r="F176" s="303">
        <v>0</v>
      </c>
    </row>
    <row r="177" spans="1:6" ht="13">
      <c r="A177" s="58" t="s">
        <v>2814</v>
      </c>
      <c r="B177" s="58" t="s">
        <v>2814</v>
      </c>
      <c r="C177" s="303">
        <v>14</v>
      </c>
      <c r="D177" s="303">
        <v>0</v>
      </c>
      <c r="E177" s="303">
        <v>0</v>
      </c>
      <c r="F177" s="303">
        <v>14</v>
      </c>
    </row>
    <row r="178" spans="1:6" ht="13">
      <c r="A178" s="58" t="s">
        <v>2815</v>
      </c>
      <c r="B178" s="58" t="s">
        <v>2815</v>
      </c>
      <c r="C178" s="303">
        <v>0</v>
      </c>
      <c r="D178" s="303">
        <v>0</v>
      </c>
      <c r="E178" s="303">
        <v>0</v>
      </c>
      <c r="F178" s="303">
        <v>0</v>
      </c>
    </row>
    <row r="179" spans="1:6" ht="13">
      <c r="A179" s="58" t="s">
        <v>2816</v>
      </c>
      <c r="B179" s="58" t="s">
        <v>2816</v>
      </c>
      <c r="C179" s="303">
        <v>0</v>
      </c>
      <c r="D179" s="303">
        <v>0</v>
      </c>
      <c r="E179" s="303">
        <v>0</v>
      </c>
      <c r="F179" s="303">
        <v>0</v>
      </c>
    </row>
    <row r="180" spans="1:6" ht="13">
      <c r="A180" s="58" t="s">
        <v>2817</v>
      </c>
      <c r="B180" s="58" t="s">
        <v>2817</v>
      </c>
      <c r="C180" s="303">
        <v>0</v>
      </c>
      <c r="D180" s="303">
        <v>0</v>
      </c>
      <c r="E180" s="303">
        <v>0</v>
      </c>
      <c r="F180" s="303">
        <v>0</v>
      </c>
    </row>
    <row r="181" spans="1:6" ht="13">
      <c r="A181" s="58" t="s">
        <v>2818</v>
      </c>
      <c r="B181" s="58" t="s">
        <v>2818</v>
      </c>
      <c r="C181" s="303">
        <v>0</v>
      </c>
      <c r="D181" s="303">
        <v>0</v>
      </c>
      <c r="E181" s="303">
        <v>0</v>
      </c>
      <c r="F181" s="303">
        <v>0</v>
      </c>
    </row>
    <row r="182" spans="1:6" ht="13">
      <c r="A182" s="58" t="s">
        <v>2819</v>
      </c>
      <c r="B182" s="58" t="s">
        <v>2819</v>
      </c>
      <c r="C182" s="303">
        <v>0</v>
      </c>
      <c r="D182" s="303">
        <v>0</v>
      </c>
      <c r="E182" s="303">
        <v>0</v>
      </c>
      <c r="F182" s="303">
        <v>0</v>
      </c>
    </row>
    <row r="183" spans="1:6" ht="13">
      <c r="A183" s="58" t="s">
        <v>2820</v>
      </c>
      <c r="B183" s="58" t="s">
        <v>2820</v>
      </c>
      <c r="C183" s="303">
        <v>0</v>
      </c>
      <c r="D183" s="303">
        <v>0</v>
      </c>
      <c r="E183" s="303">
        <v>0</v>
      </c>
      <c r="F183" s="303">
        <v>0</v>
      </c>
    </row>
    <row r="184" spans="1:6" ht="13">
      <c r="A184" s="58" t="s">
        <v>2821</v>
      </c>
      <c r="B184" s="58" t="s">
        <v>2821</v>
      </c>
      <c r="C184" s="303">
        <v>0</v>
      </c>
      <c r="D184" s="303">
        <v>0</v>
      </c>
      <c r="E184" s="303">
        <v>0</v>
      </c>
      <c r="F184" s="303">
        <v>0</v>
      </c>
    </row>
    <row r="185" spans="1:6" ht="13">
      <c r="A185" s="58" t="s">
        <v>2822</v>
      </c>
      <c r="B185" s="58" t="s">
        <v>2822</v>
      </c>
      <c r="C185" s="303">
        <v>0</v>
      </c>
      <c r="D185" s="303">
        <v>0</v>
      </c>
      <c r="E185" s="303">
        <v>0</v>
      </c>
      <c r="F185" s="303">
        <v>0</v>
      </c>
    </row>
    <row r="186" spans="1:6" ht="13">
      <c r="A186" s="58" t="s">
        <v>2823</v>
      </c>
      <c r="B186" s="58" t="s">
        <v>2823</v>
      </c>
      <c r="C186" s="303">
        <v>0</v>
      </c>
      <c r="D186" s="303">
        <v>0</v>
      </c>
      <c r="E186" s="303">
        <v>0</v>
      </c>
      <c r="F186" s="303">
        <v>0</v>
      </c>
    </row>
    <row r="187" spans="1:6" ht="13">
      <c r="A187" s="58" t="s">
        <v>2824</v>
      </c>
      <c r="B187" s="58" t="s">
        <v>2824</v>
      </c>
      <c r="C187" s="303">
        <v>0</v>
      </c>
      <c r="D187" s="303">
        <v>0</v>
      </c>
      <c r="E187" s="303">
        <v>0</v>
      </c>
      <c r="F187" s="303">
        <v>0</v>
      </c>
    </row>
    <row r="188" spans="1:6" ht="13">
      <c r="A188" s="58" t="s">
        <v>2825</v>
      </c>
      <c r="B188" s="58" t="s">
        <v>2825</v>
      </c>
      <c r="C188" s="303">
        <v>0</v>
      </c>
      <c r="D188" s="303">
        <v>0</v>
      </c>
      <c r="E188" s="303">
        <v>0</v>
      </c>
      <c r="F188" s="303">
        <v>0</v>
      </c>
    </row>
    <row r="189" spans="1:6" ht="13">
      <c r="A189" s="58" t="s">
        <v>2826</v>
      </c>
      <c r="B189" s="58" t="s">
        <v>2826</v>
      </c>
      <c r="C189" s="303">
        <v>0</v>
      </c>
      <c r="D189" s="303">
        <v>0</v>
      </c>
      <c r="E189" s="303">
        <v>0</v>
      </c>
      <c r="F189" s="303">
        <v>0</v>
      </c>
    </row>
    <row r="190" spans="1:6" ht="13">
      <c r="A190" s="58" t="s">
        <v>2827</v>
      </c>
      <c r="B190" s="58" t="s">
        <v>2827</v>
      </c>
      <c r="C190" s="303">
        <v>0</v>
      </c>
      <c r="D190" s="303">
        <v>0</v>
      </c>
      <c r="E190" s="303">
        <v>0</v>
      </c>
      <c r="F190" s="303">
        <v>0</v>
      </c>
    </row>
    <row r="191" spans="1:6" ht="13">
      <c r="A191" s="58" t="s">
        <v>2828</v>
      </c>
      <c r="B191" s="58" t="s">
        <v>2828</v>
      </c>
      <c r="C191" s="303">
        <v>0</v>
      </c>
      <c r="D191" s="303">
        <v>0</v>
      </c>
      <c r="E191" s="303">
        <v>0</v>
      </c>
      <c r="F191" s="303">
        <v>0</v>
      </c>
    </row>
    <row r="192" spans="1:6" ht="13">
      <c r="A192" s="58" t="s">
        <v>2829</v>
      </c>
      <c r="B192" s="58" t="s">
        <v>2829</v>
      </c>
      <c r="C192" s="303">
        <v>0</v>
      </c>
      <c r="D192" s="303">
        <v>0</v>
      </c>
      <c r="E192" s="303">
        <v>0</v>
      </c>
      <c r="F192" s="303">
        <v>0</v>
      </c>
    </row>
    <row r="193" spans="1:6" ht="13">
      <c r="A193" s="58" t="s">
        <v>2830</v>
      </c>
      <c r="B193" s="58" t="s">
        <v>2830</v>
      </c>
      <c r="C193" s="303">
        <v>0</v>
      </c>
      <c r="D193" s="303">
        <v>0</v>
      </c>
      <c r="E193" s="303">
        <v>0</v>
      </c>
      <c r="F193" s="303">
        <v>0</v>
      </c>
    </row>
    <row r="194" spans="1:6" ht="13">
      <c r="A194" s="58" t="s">
        <v>2831</v>
      </c>
      <c r="B194" s="58" t="s">
        <v>2831</v>
      </c>
      <c r="C194" s="303">
        <v>0</v>
      </c>
      <c r="D194" s="303">
        <v>0</v>
      </c>
      <c r="E194" s="303">
        <v>0</v>
      </c>
      <c r="F194" s="303">
        <v>0</v>
      </c>
    </row>
    <row r="195" spans="1:6" ht="13">
      <c r="A195" s="58" t="s">
        <v>2832</v>
      </c>
      <c r="B195" s="58" t="s">
        <v>2832</v>
      </c>
      <c r="C195" s="303">
        <v>0</v>
      </c>
      <c r="D195" s="303">
        <v>0</v>
      </c>
      <c r="E195" s="303">
        <v>0</v>
      </c>
      <c r="F195" s="303">
        <v>0</v>
      </c>
    </row>
    <row r="196" spans="1:6" ht="13">
      <c r="A196" s="58" t="s">
        <v>2833</v>
      </c>
      <c r="B196" s="58" t="s">
        <v>2833</v>
      </c>
      <c r="C196" s="303">
        <v>0</v>
      </c>
      <c r="D196" s="303">
        <v>0</v>
      </c>
      <c r="E196" s="303">
        <v>0</v>
      </c>
      <c r="F196" s="303">
        <v>0</v>
      </c>
    </row>
    <row r="197" spans="1:6" ht="13">
      <c r="A197" s="58" t="s">
        <v>2834</v>
      </c>
      <c r="B197" s="58" t="s">
        <v>2834</v>
      </c>
      <c r="C197" s="303">
        <v>0</v>
      </c>
      <c r="D197" s="303">
        <v>0</v>
      </c>
      <c r="E197" s="303">
        <v>0</v>
      </c>
      <c r="F197" s="303">
        <v>0</v>
      </c>
    </row>
    <row r="198" spans="1:6" ht="13">
      <c r="A198" s="58" t="s">
        <v>2835</v>
      </c>
      <c r="B198" s="58" t="s">
        <v>2835</v>
      </c>
      <c r="C198" s="303">
        <v>0</v>
      </c>
      <c r="D198" s="303">
        <v>0</v>
      </c>
      <c r="E198" s="303">
        <v>0</v>
      </c>
      <c r="F198" s="303">
        <v>0</v>
      </c>
    </row>
    <row r="199" spans="1:6" ht="13">
      <c r="A199" s="58" t="s">
        <v>2836</v>
      </c>
      <c r="B199" s="58" t="s">
        <v>2836</v>
      </c>
      <c r="C199" s="303">
        <v>0</v>
      </c>
      <c r="D199" s="303">
        <v>0</v>
      </c>
      <c r="E199" s="303">
        <v>0</v>
      </c>
      <c r="F199" s="303">
        <v>0</v>
      </c>
    </row>
    <row r="200" spans="1:6" ht="13">
      <c r="A200" s="58" t="s">
        <v>2837</v>
      </c>
      <c r="B200" s="58" t="s">
        <v>2837</v>
      </c>
      <c r="C200" s="303">
        <v>0</v>
      </c>
      <c r="D200" s="303">
        <v>0</v>
      </c>
      <c r="E200" s="303">
        <v>0</v>
      </c>
      <c r="F200" s="303">
        <v>0</v>
      </c>
    </row>
    <row r="201" spans="1:6" ht="13">
      <c r="A201" s="58" t="s">
        <v>2838</v>
      </c>
      <c r="B201" s="58" t="s">
        <v>2838</v>
      </c>
      <c r="C201" s="303">
        <v>0</v>
      </c>
      <c r="D201" s="303">
        <v>0</v>
      </c>
      <c r="E201" s="303">
        <v>0</v>
      </c>
      <c r="F201" s="303">
        <v>0</v>
      </c>
    </row>
    <row r="202" spans="1:6" ht="13">
      <c r="A202" s="58" t="s">
        <v>2839</v>
      </c>
      <c r="B202" s="58" t="s">
        <v>2839</v>
      </c>
      <c r="C202" s="303">
        <v>0</v>
      </c>
      <c r="D202" s="303">
        <v>0</v>
      </c>
      <c r="E202" s="303">
        <v>0</v>
      </c>
      <c r="F202" s="303">
        <v>0</v>
      </c>
    </row>
    <row r="203" spans="1:6" ht="13">
      <c r="A203" s="58" t="s">
        <v>2840</v>
      </c>
      <c r="B203" s="58" t="s">
        <v>2840</v>
      </c>
      <c r="C203" s="303">
        <v>0</v>
      </c>
      <c r="D203" s="303">
        <v>0</v>
      </c>
      <c r="E203" s="303">
        <v>0</v>
      </c>
      <c r="F203" s="303">
        <v>0</v>
      </c>
    </row>
    <row r="204" spans="1:6" ht="13">
      <c r="A204" s="58" t="s">
        <v>2841</v>
      </c>
      <c r="B204" s="58" t="s">
        <v>2841</v>
      </c>
      <c r="C204" s="303">
        <v>0</v>
      </c>
      <c r="D204" s="303">
        <v>0</v>
      </c>
      <c r="E204" s="303">
        <v>0</v>
      </c>
      <c r="F204" s="303">
        <v>0</v>
      </c>
    </row>
    <row r="205" spans="1:6" ht="13">
      <c r="A205" s="58" t="s">
        <v>2842</v>
      </c>
      <c r="B205" s="58" t="s">
        <v>2842</v>
      </c>
      <c r="C205" s="303">
        <v>-2189368.58</v>
      </c>
      <c r="D205" s="303">
        <v>-4190599.2099999995</v>
      </c>
      <c r="E205" s="303">
        <v>-5722619.1499999985</v>
      </c>
      <c r="F205" s="303">
        <v>-12102586.939999998</v>
      </c>
    </row>
    <row r="206" spans="1:6" ht="13">
      <c r="A206" s="58" t="s">
        <v>2843</v>
      </c>
      <c r="B206" s="58" t="s">
        <v>2843</v>
      </c>
      <c r="C206" s="303">
        <v>-171975.41000000003</v>
      </c>
      <c r="D206" s="303">
        <v>-1577129.71</v>
      </c>
      <c r="E206" s="303">
        <v>-1426230.6</v>
      </c>
      <c r="F206" s="303">
        <v>-3175335.72</v>
      </c>
    </row>
    <row r="207" spans="1:6" ht="13">
      <c r="A207" s="58" t="s">
        <v>2844</v>
      </c>
      <c r="B207" s="58" t="s">
        <v>2844</v>
      </c>
      <c r="C207" s="303">
        <v>-2032448.8099999998</v>
      </c>
      <c r="D207" s="303">
        <v>-3571628.4099999997</v>
      </c>
      <c r="E207" s="303">
        <v>-2449501.8899999997</v>
      </c>
      <c r="F207" s="303">
        <v>-8053579.1099999994</v>
      </c>
    </row>
    <row r="208" spans="1:6" ht="13">
      <c r="A208" s="58" t="s">
        <v>2845</v>
      </c>
      <c r="B208" s="58" t="s">
        <v>2845</v>
      </c>
      <c r="C208" s="303">
        <v>0</v>
      </c>
      <c r="D208" s="303">
        <v>0</v>
      </c>
      <c r="E208" s="303">
        <v>-105980</v>
      </c>
      <c r="F208" s="303">
        <v>-105980</v>
      </c>
    </row>
    <row r="209" spans="1:6" ht="13">
      <c r="A209" s="58" t="s">
        <v>2846</v>
      </c>
      <c r="B209" s="58" t="s">
        <v>2846</v>
      </c>
      <c r="C209" s="303">
        <v>0</v>
      </c>
      <c r="D209" s="303">
        <v>0</v>
      </c>
      <c r="E209" s="303">
        <v>-1005.81</v>
      </c>
      <c r="F209" s="303">
        <v>-1005.81</v>
      </c>
    </row>
    <row r="210" spans="1:6" ht="13">
      <c r="A210" s="58" t="s">
        <v>2847</v>
      </c>
      <c r="B210" s="58" t="s">
        <v>2847</v>
      </c>
      <c r="C210" s="303">
        <v>0</v>
      </c>
      <c r="D210" s="303">
        <v>0</v>
      </c>
      <c r="E210" s="303">
        <v>0</v>
      </c>
      <c r="F210" s="303">
        <v>0</v>
      </c>
    </row>
    <row r="211" spans="1:6" ht="13">
      <c r="A211" s="58" t="s">
        <v>2848</v>
      </c>
      <c r="B211" s="58" t="s">
        <v>2848</v>
      </c>
      <c r="C211" s="303">
        <v>0</v>
      </c>
      <c r="D211" s="303">
        <v>0</v>
      </c>
      <c r="E211" s="303">
        <v>0</v>
      </c>
      <c r="F211" s="303">
        <v>0</v>
      </c>
    </row>
    <row r="212" spans="1:6" ht="13">
      <c r="A212" s="58" t="s">
        <v>2849</v>
      </c>
      <c r="B212" s="58" t="s">
        <v>2849</v>
      </c>
      <c r="C212" s="303">
        <v>0</v>
      </c>
      <c r="D212" s="303">
        <v>0</v>
      </c>
      <c r="E212" s="303">
        <v>0</v>
      </c>
      <c r="F212" s="303">
        <v>0</v>
      </c>
    </row>
    <row r="213" spans="1:6" ht="13">
      <c r="A213" s="58" t="s">
        <v>2850</v>
      </c>
      <c r="B213" s="58" t="s">
        <v>2850</v>
      </c>
      <c r="C213" s="303">
        <v>0</v>
      </c>
      <c r="D213" s="303">
        <v>0</v>
      </c>
      <c r="E213" s="303">
        <v>0</v>
      </c>
      <c r="F213" s="303">
        <v>0</v>
      </c>
    </row>
    <row r="214" spans="1:6" ht="13">
      <c r="A214" s="58" t="s">
        <v>2851</v>
      </c>
      <c r="B214" s="58" t="s">
        <v>2851</v>
      </c>
      <c r="C214" s="303">
        <v>0</v>
      </c>
      <c r="D214" s="303">
        <v>-21584.7</v>
      </c>
      <c r="E214" s="303">
        <v>-85703.4</v>
      </c>
      <c r="F214" s="303">
        <v>-107288.09999999999</v>
      </c>
    </row>
    <row r="215" spans="1:6" ht="13">
      <c r="A215" s="58" t="s">
        <v>2852</v>
      </c>
      <c r="B215" s="58" t="s">
        <v>2852</v>
      </c>
      <c r="C215" s="303">
        <v>0</v>
      </c>
      <c r="D215" s="303">
        <v>-1921.4000000000055</v>
      </c>
      <c r="E215" s="303">
        <v>-42298.499999999993</v>
      </c>
      <c r="F215" s="303">
        <v>-44219.9</v>
      </c>
    </row>
    <row r="216" spans="1:6" ht="13">
      <c r="A216" s="58" t="s">
        <v>2853</v>
      </c>
      <c r="B216" s="58" t="s">
        <v>2853</v>
      </c>
      <c r="C216" s="303">
        <v>0</v>
      </c>
      <c r="D216" s="303">
        <v>-214.20000000000002</v>
      </c>
      <c r="E216" s="303">
        <v>-341</v>
      </c>
      <c r="F216" s="303">
        <v>-555.20000000000005</v>
      </c>
    </row>
    <row r="217" spans="1:6" ht="13">
      <c r="A217" s="58" t="s">
        <v>2854</v>
      </c>
      <c r="B217" s="58" t="s">
        <v>2854</v>
      </c>
      <c r="C217" s="303">
        <v>0</v>
      </c>
      <c r="D217" s="303">
        <v>0</v>
      </c>
      <c r="E217" s="303">
        <v>0</v>
      </c>
      <c r="F217" s="303">
        <v>0</v>
      </c>
    </row>
    <row r="218" spans="1:6" ht="13">
      <c r="A218" s="58" t="s">
        <v>2855</v>
      </c>
      <c r="B218" s="58" t="s">
        <v>2855</v>
      </c>
      <c r="C218" s="303">
        <v>-26460</v>
      </c>
      <c r="D218" s="303">
        <v>-13482.599999999999</v>
      </c>
      <c r="E218" s="303">
        <v>0</v>
      </c>
      <c r="F218" s="303">
        <v>-39942.6</v>
      </c>
    </row>
    <row r="219" spans="1:6" ht="13">
      <c r="A219" s="58" t="s">
        <v>2856</v>
      </c>
      <c r="B219" s="58" t="s">
        <v>2856</v>
      </c>
      <c r="C219" s="303">
        <v>-363469.64999999997</v>
      </c>
      <c r="D219" s="303">
        <v>-254417.92000000001</v>
      </c>
      <c r="E219" s="303">
        <v>-278853.58999999997</v>
      </c>
      <c r="F219" s="303">
        <v>-896741.15999999992</v>
      </c>
    </row>
    <row r="220" spans="1:6" ht="13">
      <c r="A220" s="58" t="s">
        <v>2857</v>
      </c>
      <c r="B220" s="58" t="s">
        <v>2857</v>
      </c>
      <c r="C220" s="303">
        <v>-917.15000000000009</v>
      </c>
      <c r="D220" s="303">
        <v>-370456.75</v>
      </c>
      <c r="E220" s="303">
        <v>-1520412.24</v>
      </c>
      <c r="F220" s="303">
        <v>-1891786.1400000001</v>
      </c>
    </row>
    <row r="221" spans="1:6" ht="13">
      <c r="A221" s="58" t="s">
        <v>2858</v>
      </c>
      <c r="B221" s="58" t="s">
        <v>2858</v>
      </c>
      <c r="C221" s="303">
        <v>-341876.60000000021</v>
      </c>
      <c r="D221" s="303">
        <v>-516646.41000000003</v>
      </c>
      <c r="E221" s="303">
        <v>-330436.14</v>
      </c>
      <c r="F221" s="303">
        <v>-1188959.1500000004</v>
      </c>
    </row>
    <row r="222" spans="1:6" ht="13">
      <c r="A222" s="58" t="s">
        <v>2859</v>
      </c>
      <c r="B222" s="58" t="s">
        <v>2859</v>
      </c>
      <c r="C222" s="303">
        <v>-73003.030000000013</v>
      </c>
      <c r="D222" s="303">
        <v>-690492.43</v>
      </c>
      <c r="E222" s="303">
        <v>-2067103.3</v>
      </c>
      <c r="F222" s="303">
        <v>-2830598.7600000002</v>
      </c>
    </row>
    <row r="223" spans="1:6" ht="13">
      <c r="A223" s="58" t="s">
        <v>2860</v>
      </c>
      <c r="B223" s="58" t="s">
        <v>2860</v>
      </c>
      <c r="C223" s="303">
        <v>-1059831.7</v>
      </c>
      <c r="D223" s="303">
        <v>-1148216.6099999999</v>
      </c>
      <c r="E223" s="303">
        <v>-1726719.8800000001</v>
      </c>
      <c r="F223" s="303">
        <v>-3934768.1899999995</v>
      </c>
    </row>
    <row r="224" spans="1:6" ht="13">
      <c r="A224" s="58" t="s">
        <v>2861</v>
      </c>
      <c r="B224" s="58" t="s">
        <v>2861</v>
      </c>
      <c r="C224" s="303">
        <v>0</v>
      </c>
      <c r="D224" s="303">
        <v>-88.57</v>
      </c>
      <c r="E224" s="303">
        <v>-46.599999999999994</v>
      </c>
      <c r="F224" s="303">
        <v>-135.16999999999999</v>
      </c>
    </row>
    <row r="225" spans="1:6" ht="13">
      <c r="A225" s="58" t="s">
        <v>2862</v>
      </c>
      <c r="B225" s="58" t="s">
        <v>2862</v>
      </c>
      <c r="C225" s="303">
        <v>-26608.47</v>
      </c>
      <c r="D225" s="303">
        <v>-15439.840000000004</v>
      </c>
      <c r="E225" s="303">
        <v>-31308.000000000004</v>
      </c>
      <c r="F225" s="303">
        <v>-73356.310000000012</v>
      </c>
    </row>
    <row r="226" spans="1:6" ht="13">
      <c r="A226" s="58" t="s">
        <v>2863</v>
      </c>
      <c r="B226" s="58" t="s">
        <v>2863</v>
      </c>
      <c r="C226" s="303">
        <v>-12595.529999999999</v>
      </c>
      <c r="D226" s="303">
        <v>-183156.5</v>
      </c>
      <c r="E226" s="303">
        <v>-39056.799999999996</v>
      </c>
      <c r="F226" s="303">
        <v>-234808.83</v>
      </c>
    </row>
    <row r="227" spans="1:6" ht="13">
      <c r="A227" s="58" t="s">
        <v>2864</v>
      </c>
      <c r="B227" s="58" t="s">
        <v>2864</v>
      </c>
      <c r="C227" s="303">
        <v>0</v>
      </c>
      <c r="D227" s="303">
        <v>0</v>
      </c>
      <c r="E227" s="303">
        <v>0</v>
      </c>
      <c r="F227" s="303">
        <v>0</v>
      </c>
    </row>
    <row r="228" spans="1:6" ht="13">
      <c r="A228" s="58" t="s">
        <v>2865</v>
      </c>
      <c r="B228" s="58" t="s">
        <v>2865</v>
      </c>
      <c r="C228" s="303">
        <v>0</v>
      </c>
      <c r="D228" s="303">
        <v>-11849.999999999998</v>
      </c>
      <c r="E228" s="303">
        <v>0</v>
      </c>
      <c r="F228" s="303">
        <v>-11849.999999999998</v>
      </c>
    </row>
    <row r="229" spans="1:6" ht="13">
      <c r="A229" s="58" t="s">
        <v>2866</v>
      </c>
      <c r="B229" s="58" t="s">
        <v>2866</v>
      </c>
      <c r="C229" s="303">
        <v>-8180.87</v>
      </c>
      <c r="D229" s="303">
        <v>0</v>
      </c>
      <c r="E229" s="303">
        <v>0</v>
      </c>
      <c r="F229" s="303">
        <v>-8180.87</v>
      </c>
    </row>
    <row r="230" spans="1:6" ht="13">
      <c r="A230" s="58" t="s">
        <v>2867</v>
      </c>
      <c r="B230" s="58" t="s">
        <v>2867</v>
      </c>
      <c r="C230" s="303">
        <v>-1581.7299999999998</v>
      </c>
      <c r="D230" s="303">
        <v>-2259.0899999999997</v>
      </c>
      <c r="E230" s="303">
        <v>-6324.84</v>
      </c>
      <c r="F230" s="303">
        <v>-10165.66</v>
      </c>
    </row>
    <row r="231" spans="1:6" ht="13">
      <c r="A231" s="58" t="s">
        <v>2868</v>
      </c>
      <c r="B231" s="58" t="s">
        <v>2868</v>
      </c>
      <c r="C231" s="303">
        <v>0</v>
      </c>
      <c r="D231" s="303">
        <v>0</v>
      </c>
      <c r="E231" s="303">
        <v>0</v>
      </c>
      <c r="F231" s="303">
        <v>0</v>
      </c>
    </row>
    <row r="232" spans="1:6" ht="13">
      <c r="A232" s="58" t="s">
        <v>2869</v>
      </c>
      <c r="B232" s="58" t="s">
        <v>2869</v>
      </c>
      <c r="C232" s="303">
        <v>0</v>
      </c>
      <c r="D232" s="303">
        <v>0</v>
      </c>
      <c r="E232" s="303">
        <v>0</v>
      </c>
      <c r="F232" s="303">
        <v>0</v>
      </c>
    </row>
    <row r="233" spans="1:6" ht="13">
      <c r="A233" s="58" t="s">
        <v>2870</v>
      </c>
      <c r="B233" s="58" t="s">
        <v>2870</v>
      </c>
      <c r="C233" s="303">
        <v>0</v>
      </c>
      <c r="D233" s="303">
        <v>0</v>
      </c>
      <c r="E233" s="303">
        <v>0</v>
      </c>
      <c r="F233" s="303">
        <v>0</v>
      </c>
    </row>
    <row r="234" spans="1:6" ht="13">
      <c r="A234" s="58" t="s">
        <v>2871</v>
      </c>
      <c r="B234" s="58" t="s">
        <v>2871</v>
      </c>
      <c r="C234" s="303">
        <v>0</v>
      </c>
      <c r="D234" s="303">
        <v>0</v>
      </c>
      <c r="E234" s="303">
        <v>0</v>
      </c>
      <c r="F234" s="303">
        <v>0</v>
      </c>
    </row>
    <row r="235" spans="1:6" ht="13">
      <c r="A235" s="58" t="s">
        <v>2872</v>
      </c>
      <c r="B235" s="58" t="s">
        <v>2872</v>
      </c>
      <c r="C235" s="303">
        <v>0</v>
      </c>
      <c r="D235" s="303">
        <v>0</v>
      </c>
      <c r="E235" s="303">
        <v>0</v>
      </c>
      <c r="F235" s="303">
        <v>0</v>
      </c>
    </row>
    <row r="236" spans="1:6" ht="13">
      <c r="A236" s="58" t="s">
        <v>2873</v>
      </c>
      <c r="B236" s="58" t="s">
        <v>2873</v>
      </c>
      <c r="C236" s="303">
        <v>0</v>
      </c>
      <c r="D236" s="303">
        <v>0</v>
      </c>
      <c r="E236" s="303">
        <v>0</v>
      </c>
      <c r="F236" s="303">
        <v>0</v>
      </c>
    </row>
    <row r="237" spans="1:6" ht="13">
      <c r="A237" s="58" t="s">
        <v>2874</v>
      </c>
      <c r="B237" s="58" t="s">
        <v>2874</v>
      </c>
      <c r="C237" s="303">
        <v>0</v>
      </c>
      <c r="D237" s="303">
        <v>0</v>
      </c>
      <c r="E237" s="303">
        <v>0</v>
      </c>
      <c r="F237" s="303">
        <v>0</v>
      </c>
    </row>
    <row r="238" spans="1:6" ht="13">
      <c r="A238" s="58" t="s">
        <v>2875</v>
      </c>
      <c r="B238" s="58" t="s">
        <v>2875</v>
      </c>
      <c r="C238" s="303">
        <v>0</v>
      </c>
      <c r="D238" s="303">
        <v>0</v>
      </c>
      <c r="E238" s="303">
        <v>0</v>
      </c>
      <c r="F238" s="303">
        <v>0</v>
      </c>
    </row>
    <row r="239" spans="1:6" ht="13">
      <c r="A239" s="58" t="s">
        <v>2876</v>
      </c>
      <c r="B239" s="58" t="s">
        <v>2876</v>
      </c>
      <c r="C239" s="303">
        <v>0</v>
      </c>
      <c r="D239" s="303">
        <v>0</v>
      </c>
      <c r="E239" s="303">
        <v>0</v>
      </c>
      <c r="F239" s="303">
        <v>0</v>
      </c>
    </row>
    <row r="240" spans="1:6" ht="13">
      <c r="A240" s="58" t="s">
        <v>2877</v>
      </c>
      <c r="B240" s="58" t="s">
        <v>2877</v>
      </c>
      <c r="C240" s="303">
        <v>0</v>
      </c>
      <c r="D240" s="303">
        <v>0</v>
      </c>
      <c r="E240" s="303">
        <v>0</v>
      </c>
      <c r="F240" s="303">
        <v>0</v>
      </c>
    </row>
    <row r="241" spans="1:6" ht="13">
      <c r="A241" s="58" t="s">
        <v>2878</v>
      </c>
      <c r="B241" s="58" t="s">
        <v>2878</v>
      </c>
      <c r="C241" s="303">
        <v>0</v>
      </c>
      <c r="D241" s="303">
        <v>0</v>
      </c>
      <c r="E241" s="303">
        <v>0</v>
      </c>
      <c r="F241" s="303">
        <v>0</v>
      </c>
    </row>
    <row r="242" spans="1:6" ht="13">
      <c r="A242" s="58" t="s">
        <v>2879</v>
      </c>
      <c r="B242" s="58" t="s">
        <v>2879</v>
      </c>
      <c r="C242" s="303">
        <v>0</v>
      </c>
      <c r="D242" s="303">
        <v>0</v>
      </c>
      <c r="E242" s="303">
        <v>0</v>
      </c>
      <c r="F242" s="303">
        <v>0</v>
      </c>
    </row>
    <row r="243" spans="1:6" ht="13">
      <c r="A243" s="58" t="s">
        <v>2880</v>
      </c>
      <c r="B243" s="58" t="s">
        <v>2880</v>
      </c>
      <c r="C243" s="303">
        <v>0</v>
      </c>
      <c r="D243" s="303">
        <v>0</v>
      </c>
      <c r="E243" s="303">
        <v>0</v>
      </c>
      <c r="F243" s="303">
        <v>0</v>
      </c>
    </row>
    <row r="244" spans="1:6" ht="13">
      <c r="A244" s="58" t="s">
        <v>2881</v>
      </c>
      <c r="B244" s="58" t="s">
        <v>2881</v>
      </c>
      <c r="C244" s="303">
        <v>0</v>
      </c>
      <c r="D244" s="303">
        <v>0</v>
      </c>
      <c r="E244" s="303">
        <v>0</v>
      </c>
      <c r="F244" s="303">
        <v>0</v>
      </c>
    </row>
    <row r="245" spans="1:6" ht="13">
      <c r="A245" s="58" t="s">
        <v>2882</v>
      </c>
      <c r="B245" s="58" t="s">
        <v>2882</v>
      </c>
      <c r="C245" s="303">
        <v>0</v>
      </c>
      <c r="D245" s="303">
        <v>0</v>
      </c>
      <c r="E245" s="303">
        <v>0</v>
      </c>
      <c r="F245" s="303">
        <v>0</v>
      </c>
    </row>
    <row r="246" spans="1:6" ht="13">
      <c r="A246" s="58" t="s">
        <v>2883</v>
      </c>
      <c r="B246" s="58" t="s">
        <v>2883</v>
      </c>
      <c r="C246" s="303">
        <v>0</v>
      </c>
      <c r="D246" s="303">
        <v>0</v>
      </c>
      <c r="E246" s="303">
        <v>0</v>
      </c>
      <c r="F246" s="303">
        <v>0</v>
      </c>
    </row>
    <row r="247" spans="1:6" ht="13">
      <c r="A247" s="58" t="s">
        <v>2884</v>
      </c>
      <c r="B247" s="58" t="s">
        <v>2884</v>
      </c>
      <c r="C247" s="303">
        <v>0</v>
      </c>
      <c r="D247" s="303">
        <v>0</v>
      </c>
      <c r="E247" s="303">
        <v>0</v>
      </c>
      <c r="F247" s="303">
        <v>0</v>
      </c>
    </row>
    <row r="248" spans="1:6" ht="13">
      <c r="B248" s="58" t="s">
        <v>2960</v>
      </c>
      <c r="C248" s="308">
        <v>-13907.510000000002</v>
      </c>
      <c r="D248" s="308">
        <v>-28002.19</v>
      </c>
      <c r="E248" s="308">
        <v>-349638.63</v>
      </c>
      <c r="F248" s="303">
        <v>-391548.33</v>
      </c>
    </row>
    <row r="249" spans="1:6" ht="13">
      <c r="B249" s="309" t="s">
        <v>2856</v>
      </c>
      <c r="C249" s="303"/>
      <c r="D249" s="303"/>
      <c r="E249" s="303"/>
      <c r="F249" s="303"/>
    </row>
    <row r="250" spans="1:6" ht="13">
      <c r="B250" s="309" t="s">
        <v>2857</v>
      </c>
      <c r="C250" s="303"/>
      <c r="D250" s="303"/>
      <c r="E250" s="303"/>
      <c r="F250" s="303"/>
    </row>
    <row r="251" spans="1:6" ht="13">
      <c r="B251" s="264" t="s">
        <v>2852</v>
      </c>
      <c r="C251" s="303"/>
      <c r="D251" s="303"/>
      <c r="E251" s="303"/>
      <c r="F251" s="303"/>
    </row>
    <row r="252" spans="1:6" ht="13">
      <c r="B252" s="264" t="s">
        <v>2853</v>
      </c>
      <c r="C252" s="303"/>
      <c r="D252" s="303"/>
      <c r="E252" s="303"/>
      <c r="F252" s="303"/>
    </row>
    <row r="253" spans="1:6" ht="13">
      <c r="B253" s="264" t="s">
        <v>2854</v>
      </c>
      <c r="C253" s="303"/>
      <c r="D253" s="303"/>
      <c r="E253" s="303"/>
      <c r="F253" s="303"/>
    </row>
    <row r="254" spans="1:6" ht="13">
      <c r="B254" s="264" t="s">
        <v>2860</v>
      </c>
      <c r="C254" s="303"/>
      <c r="D254" s="303"/>
      <c r="E254" s="303"/>
      <c r="F254" s="303"/>
    </row>
    <row r="255" spans="1:6" ht="13">
      <c r="B255" s="157" t="s">
        <v>2862</v>
      </c>
      <c r="C255" s="303"/>
      <c r="D255" s="303"/>
      <c r="E255" s="303"/>
      <c r="F255" s="303"/>
    </row>
    <row r="256" spans="1:6" ht="13">
      <c r="B256" s="157" t="s">
        <v>2863</v>
      </c>
      <c r="C256" s="303"/>
      <c r="D256" s="303"/>
      <c r="E256" s="303"/>
      <c r="F256" s="303"/>
    </row>
    <row r="257" spans="2:6" ht="13">
      <c r="B257" s="157" t="s">
        <v>2864</v>
      </c>
      <c r="C257" s="303"/>
      <c r="D257" s="303"/>
      <c r="E257" s="303"/>
      <c r="F257" s="303"/>
    </row>
    <row r="258" spans="2:6" ht="13">
      <c r="B258" s="157" t="s">
        <v>2865</v>
      </c>
      <c r="C258" s="303"/>
      <c r="D258" s="303"/>
      <c r="E258" s="303"/>
      <c r="F258" s="303"/>
    </row>
    <row r="259" spans="2:6" ht="13">
      <c r="B259" s="157" t="s">
        <v>2866</v>
      </c>
      <c r="C259" s="303"/>
      <c r="D259" s="303"/>
      <c r="E259" s="303"/>
      <c r="F259" s="303"/>
    </row>
    <row r="260" spans="2:6" ht="13">
      <c r="B260" s="157" t="s">
        <v>2867</v>
      </c>
      <c r="C260" s="303"/>
      <c r="D260" s="303"/>
      <c r="E260" s="303"/>
      <c r="F260" s="303"/>
    </row>
    <row r="261" spans="2:6" ht="13">
      <c r="B261" s="58" t="s">
        <v>2961</v>
      </c>
      <c r="C261" s="303"/>
      <c r="D261" s="303"/>
      <c r="E261" s="303"/>
      <c r="F261" s="303">
        <v>0</v>
      </c>
    </row>
    <row r="262" spans="2:6" ht="13">
      <c r="B262" s="58" t="s">
        <v>4377</v>
      </c>
      <c r="C262" s="310">
        <v>-3130338.1800000006</v>
      </c>
      <c r="D262" s="310">
        <v>-2293767.4</v>
      </c>
      <c r="E262" s="310">
        <v>-2870145.57</v>
      </c>
      <c r="F262" s="303">
        <v>-8294251.1500000004</v>
      </c>
    </row>
    <row r="263" spans="2:6" ht="13">
      <c r="B263" s="58" t="s">
        <v>2963</v>
      </c>
      <c r="C263" s="311">
        <v>-1816927.9300000002</v>
      </c>
      <c r="D263" s="311">
        <v>-1694944.34</v>
      </c>
      <c r="E263" s="311">
        <v>-746722.41999999993</v>
      </c>
      <c r="F263" s="303">
        <v>-4258594.6900000004</v>
      </c>
    </row>
    <row r="264" spans="2:6" ht="13">
      <c r="B264" s="312" t="s">
        <v>2728</v>
      </c>
      <c r="C264" s="303"/>
      <c r="D264" s="303"/>
      <c r="E264" s="303"/>
      <c r="F264" s="303"/>
    </row>
    <row r="265" spans="2:6" ht="13">
      <c r="B265" s="312" t="s">
        <v>2729</v>
      </c>
      <c r="C265" s="303"/>
      <c r="D265" s="303"/>
      <c r="E265" s="303"/>
      <c r="F265" s="303"/>
    </row>
    <row r="266" spans="2:6" ht="13">
      <c r="B266" s="313" t="s">
        <v>2732</v>
      </c>
      <c r="C266" s="303"/>
      <c r="D266" s="303"/>
      <c r="E266" s="303"/>
      <c r="F266" s="303"/>
    </row>
    <row r="267" spans="2:6" ht="13">
      <c r="B267" s="313" t="s">
        <v>2733</v>
      </c>
      <c r="C267" s="303"/>
      <c r="D267" s="303"/>
      <c r="E267" s="303"/>
      <c r="F267" s="303"/>
    </row>
    <row r="268" spans="2:6" ht="13">
      <c r="B268" s="58" t="s">
        <v>4352</v>
      </c>
      <c r="C268" s="314">
        <v>0</v>
      </c>
      <c r="D268" s="314">
        <v>0</v>
      </c>
      <c r="E268" s="314">
        <v>0</v>
      </c>
      <c r="F268" s="303">
        <v>0</v>
      </c>
    </row>
    <row r="269" spans="2:6" ht="13">
      <c r="B269" s="58" t="s">
        <v>4353</v>
      </c>
      <c r="C269" s="307">
        <v>0</v>
      </c>
      <c r="D269" s="307">
        <v>0</v>
      </c>
      <c r="E269" s="307">
        <v>0</v>
      </c>
      <c r="F269" s="303">
        <v>0</v>
      </c>
    </row>
    <row r="270" spans="2:6" ht="13">
      <c r="B270" s="58" t="s">
        <v>4354</v>
      </c>
      <c r="C270" s="303">
        <v>0</v>
      </c>
      <c r="D270" s="303">
        <v>0</v>
      </c>
      <c r="E270" s="303">
        <v>0</v>
      </c>
      <c r="F270" s="303">
        <v>0</v>
      </c>
    </row>
    <row r="271" spans="2:6">
      <c r="B271" t="e">
        <v>#N/A</v>
      </c>
      <c r="C271" s="303">
        <v>0</v>
      </c>
      <c r="D271" s="303">
        <v>0</v>
      </c>
      <c r="E271" s="303">
        <v>0</v>
      </c>
      <c r="F271" s="303">
        <v>0</v>
      </c>
    </row>
    <row r="272" spans="2:6" ht="13">
      <c r="B272" s="58" t="s">
        <v>3900</v>
      </c>
      <c r="C272" s="303">
        <v>1987408.4800000002</v>
      </c>
      <c r="D272" s="303">
        <v>1234588.2799999975</v>
      </c>
      <c r="E272" s="303">
        <v>2095386.14</v>
      </c>
      <c r="F272" s="303">
        <v>5317382.8999999976</v>
      </c>
    </row>
    <row r="273" spans="2:6" ht="13">
      <c r="B273" s="58"/>
      <c r="C273" s="303">
        <v>0</v>
      </c>
      <c r="D273" s="303">
        <v>0</v>
      </c>
      <c r="E273" s="303">
        <v>0</v>
      </c>
      <c r="F273" s="303">
        <v>0</v>
      </c>
    </row>
    <row r="274" spans="2:6" ht="13">
      <c r="B274" s="58"/>
      <c r="C274" s="306"/>
      <c r="D274" s="306"/>
      <c r="E274" s="306"/>
      <c r="F274" s="306"/>
    </row>
    <row r="275" spans="2:6" ht="13">
      <c r="B275" s="727" t="s">
        <v>4355</v>
      </c>
      <c r="C275" s="728">
        <f>SUBTOTAL(9,C5:C274)</f>
        <v>-127076139.86000001</v>
      </c>
      <c r="D275" s="728">
        <f t="shared" ref="D275:F275" si="0">SUBTOTAL(9,D5:D274)</f>
        <v>-163467068.68999997</v>
      </c>
      <c r="E275" s="728">
        <f t="shared" si="0"/>
        <v>-182036293.81</v>
      </c>
      <c r="F275" s="728">
        <f t="shared" si="0"/>
        <v>-472579502.35999995</v>
      </c>
    </row>
    <row r="276" spans="2:6" ht="13">
      <c r="B276" s="58"/>
      <c r="C276" s="316"/>
      <c r="D276" s="316"/>
      <c r="E276" s="316"/>
      <c r="F276" s="316"/>
    </row>
    <row r="277" spans="2:6" ht="13.5" thickBot="1">
      <c r="B277" s="317" t="s">
        <v>4356</v>
      </c>
      <c r="C277" s="315">
        <f>SUM(C5:C274)</f>
        <v>-127076139.86000001</v>
      </c>
      <c r="D277" s="315">
        <f t="shared" ref="D277:F277" si="1">SUM(D5:D274)</f>
        <v>-163467068.68999997</v>
      </c>
      <c r="E277" s="315">
        <f t="shared" si="1"/>
        <v>-182036293.81</v>
      </c>
      <c r="F277" s="315">
        <f t="shared" si="1"/>
        <v>-472579502.35999995</v>
      </c>
    </row>
    <row r="278" spans="2:6" ht="13">
      <c r="B278" s="58"/>
      <c r="C278" s="303"/>
      <c r="D278" s="303"/>
      <c r="E278" s="303"/>
      <c r="F278" s="303">
        <f>+F277-SUM(C277:E277)</f>
        <v>0</v>
      </c>
    </row>
    <row r="279" spans="2:6" ht="13">
      <c r="B279" s="58"/>
      <c r="C279" s="306"/>
      <c r="D279" s="303"/>
      <c r="E279" s="306"/>
      <c r="F279" s="306"/>
    </row>
    <row r="280" spans="2:6" ht="13">
      <c r="B280" s="726" t="s">
        <v>5451</v>
      </c>
      <c r="C280" s="306"/>
      <c r="D280" s="303"/>
      <c r="E280" s="306"/>
      <c r="F280" s="306"/>
    </row>
    <row r="281" spans="2:6" ht="13">
      <c r="B281" s="58" t="s">
        <v>465</v>
      </c>
      <c r="C281" s="303">
        <v>-45611313.799999997</v>
      </c>
      <c r="D281" s="303">
        <v>-47443922.349999987</v>
      </c>
      <c r="E281" s="303">
        <v>-49134428.459999993</v>
      </c>
      <c r="F281" s="303">
        <v>-142189664.60999998</v>
      </c>
    </row>
    <row r="282" spans="2:6" ht="13">
      <c r="B282" s="58" t="s">
        <v>2266</v>
      </c>
      <c r="C282" s="303">
        <v>-15285498.140000004</v>
      </c>
      <c r="D282" s="303">
        <v>-19558626.159999996</v>
      </c>
      <c r="E282" s="303">
        <v>-23937616.660000004</v>
      </c>
      <c r="F282" s="303">
        <v>-58781740.959999986</v>
      </c>
    </row>
    <row r="283" spans="2:6" ht="13">
      <c r="B283" s="58" t="s">
        <v>2628</v>
      </c>
      <c r="C283" s="303">
        <v>-6322225.040000001</v>
      </c>
      <c r="D283" s="303">
        <v>-12597586.539999997</v>
      </c>
      <c r="E283" s="303">
        <v>-16183580.370000001</v>
      </c>
      <c r="F283" s="303">
        <v>-35103391.949999996</v>
      </c>
    </row>
    <row r="284" spans="2:6" ht="13">
      <c r="B284" s="58" t="s">
        <v>466</v>
      </c>
      <c r="C284" s="303">
        <v>-16789723.07</v>
      </c>
      <c r="D284" s="303">
        <v>-28111948.680000003</v>
      </c>
      <c r="E284" s="303">
        <v>-34408461.32</v>
      </c>
      <c r="F284" s="303">
        <v>-79310133.070000008</v>
      </c>
    </row>
    <row r="285" spans="2:6" ht="13">
      <c r="B285" s="58" t="s">
        <v>461</v>
      </c>
      <c r="C285" s="303">
        <v>-36869680.989999995</v>
      </c>
      <c r="D285" s="303">
        <v>-51455744.439999998</v>
      </c>
      <c r="E285" s="303">
        <v>-57269130.049999997</v>
      </c>
      <c r="F285" s="303">
        <v>-145594555.47999999</v>
      </c>
    </row>
    <row r="286" spans="2:6" ht="13">
      <c r="B286" s="58" t="s">
        <v>460</v>
      </c>
      <c r="C286" s="303">
        <v>-8185107.2999999998</v>
      </c>
      <c r="D286" s="303">
        <v>-5533828.7999999998</v>
      </c>
      <c r="E286" s="303">
        <v>-3198463.09</v>
      </c>
      <c r="F286" s="303">
        <v>-16917399.189999998</v>
      </c>
    </row>
    <row r="287" spans="2:6" ht="13.5" thickBot="1">
      <c r="B287" s="317" t="s">
        <v>891</v>
      </c>
      <c r="C287" s="315">
        <v>-129063548.34</v>
      </c>
      <c r="D287" s="315">
        <v>-164701656.97</v>
      </c>
      <c r="E287" s="315">
        <v>-184131679.95000002</v>
      </c>
      <c r="F287" s="315">
        <v>-477896885.25999993</v>
      </c>
    </row>
    <row r="288" spans="2:6" ht="13">
      <c r="B288" s="58"/>
      <c r="C288" s="303"/>
      <c r="D288" s="303"/>
      <c r="E288" s="303"/>
      <c r="F288" s="303"/>
    </row>
    <row r="289" spans="2:6" ht="13">
      <c r="B289" s="58"/>
      <c r="C289" s="303"/>
      <c r="D289" s="303"/>
      <c r="E289" s="303"/>
      <c r="F289" s="303"/>
    </row>
    <row r="290" spans="2:6" ht="13">
      <c r="B290" s="58"/>
      <c r="C290" s="303"/>
      <c r="D290" s="303"/>
      <c r="E290" s="303"/>
      <c r="F290" s="303"/>
    </row>
    <row r="291" spans="2:6" ht="13">
      <c r="B291" s="58"/>
      <c r="C291" s="303"/>
      <c r="D291" s="303"/>
      <c r="E291" s="303"/>
      <c r="F291" s="303"/>
    </row>
    <row r="292" spans="2:6" ht="13">
      <c r="B292" s="58"/>
      <c r="C292" s="303"/>
      <c r="D292" s="303"/>
      <c r="E292" s="303"/>
      <c r="F292" s="303"/>
    </row>
    <row r="293" spans="2:6" ht="13">
      <c r="B293" s="58"/>
    </row>
    <row r="294" spans="2:6" ht="13">
      <c r="B294" s="58"/>
    </row>
    <row r="295" spans="2:6" ht="13">
      <c r="B295" s="58"/>
    </row>
    <row r="296" spans="2:6" ht="13">
      <c r="B296" s="58"/>
    </row>
    <row r="297" spans="2:6" ht="13">
      <c r="B297" s="58"/>
    </row>
    <row r="298" spans="2:6" ht="13">
      <c r="B298" s="58"/>
    </row>
    <row r="299" spans="2:6" ht="13">
      <c r="B299" s="58"/>
    </row>
    <row r="300" spans="2:6" ht="13">
      <c r="B300" s="58"/>
    </row>
    <row r="301" spans="2:6" ht="13">
      <c r="B301" s="58"/>
    </row>
    <row r="302" spans="2:6" ht="13">
      <c r="B302" s="58"/>
    </row>
    <row r="303" spans="2:6" ht="13">
      <c r="B303" s="58"/>
    </row>
    <row r="304" spans="2:6" ht="13">
      <c r="B304" s="58"/>
    </row>
    <row r="305" spans="2:2" ht="13">
      <c r="B305" s="58"/>
    </row>
    <row r="306" spans="2:2" ht="13">
      <c r="B306" s="58"/>
    </row>
    <row r="307" spans="2:2" ht="13">
      <c r="B307" s="58"/>
    </row>
    <row r="308" spans="2:2" ht="13">
      <c r="B308" s="58"/>
    </row>
    <row r="309" spans="2:2" ht="13">
      <c r="B309" s="58"/>
    </row>
    <row r="310" spans="2:2" ht="13">
      <c r="B310" s="58"/>
    </row>
  </sheetData>
  <autoFilter ref="B4:F4" xr:uid="{4D53BEB1-FAAD-4C13-925B-6417D7D94952}"/>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Q249"/>
  <sheetViews>
    <sheetView topLeftCell="A204" zoomScaleNormal="100" workbookViewId="0">
      <selection activeCell="D207" sqref="D207:E233"/>
    </sheetView>
  </sheetViews>
  <sheetFormatPr defaultRowHeight="12.5"/>
  <cols>
    <col min="1" max="1" width="9.453125" style="155"/>
    <col min="2" max="2" width="12.54296875" style="342" customWidth="1"/>
    <col min="3" max="3" width="37.453125" style="342" customWidth="1"/>
    <col min="4" max="4" width="10.453125" style="342" customWidth="1"/>
    <col min="5" max="5" width="25.453125" style="342" bestFit="1" customWidth="1"/>
    <col min="7" max="7" width="12.54296875" customWidth="1"/>
    <col min="8" max="8" width="16.453125" customWidth="1"/>
    <col min="9" max="9" width="31.453125" customWidth="1"/>
    <col min="10" max="10" width="5.453125" customWidth="1"/>
    <col min="12" max="12" width="4.54296875" customWidth="1"/>
    <col min="14" max="14" width="9.453125" style="342"/>
    <col min="15" max="15" width="11.54296875" style="342" customWidth="1"/>
    <col min="16" max="16" width="9.453125" style="342"/>
    <col min="17" max="17" width="18.54296875" style="342" customWidth="1"/>
  </cols>
  <sheetData>
    <row r="1" spans="1:17">
      <c r="A1" s="152" t="s">
        <v>2886</v>
      </c>
      <c r="B1" s="152" t="s">
        <v>2885</v>
      </c>
      <c r="C1" s="152" t="s">
        <v>894</v>
      </c>
      <c r="D1" s="152" t="s">
        <v>1202</v>
      </c>
      <c r="E1" s="152" t="s">
        <v>2002</v>
      </c>
      <c r="G1" s="277" t="s">
        <v>3609</v>
      </c>
      <c r="H1" s="278"/>
      <c r="I1" s="152" t="s">
        <v>2002</v>
      </c>
      <c r="M1" s="152" t="s">
        <v>2886</v>
      </c>
      <c r="N1" s="152" t="s">
        <v>2885</v>
      </c>
      <c r="O1" s="152" t="s">
        <v>894</v>
      </c>
      <c r="P1" s="152" t="s">
        <v>1202</v>
      </c>
      <c r="Q1" s="152" t="s">
        <v>2002</v>
      </c>
    </row>
    <row r="2" spans="1:17" ht="13">
      <c r="A2" s="156" t="s">
        <v>853</v>
      </c>
      <c r="B2" s="343" t="s">
        <v>2629</v>
      </c>
      <c r="C2" s="343" t="s">
        <v>1220</v>
      </c>
      <c r="D2" s="343" t="s">
        <v>2630</v>
      </c>
      <c r="E2" s="343" t="s">
        <v>2248</v>
      </c>
      <c r="G2" s="36" t="s">
        <v>2629</v>
      </c>
      <c r="H2" s="36" t="s">
        <v>2630</v>
      </c>
      <c r="I2" s="36" t="s">
        <v>91</v>
      </c>
      <c r="K2" t="str">
        <f>IF(AND(A2=M2,G2=N2),"OK","CHECK")</f>
        <v>OK</v>
      </c>
      <c r="M2" s="298" t="s">
        <v>853</v>
      </c>
      <c r="N2" s="337" t="s">
        <v>2629</v>
      </c>
      <c r="O2" s="337" t="s">
        <v>1220</v>
      </c>
      <c r="P2" s="337" t="s">
        <v>2630</v>
      </c>
      <c r="Q2" s="337" t="s">
        <v>2248</v>
      </c>
    </row>
    <row r="3" spans="1:17" ht="13">
      <c r="A3" s="157" t="s">
        <v>2428</v>
      </c>
      <c r="B3" s="339" t="s">
        <v>2631</v>
      </c>
      <c r="C3" s="339" t="s">
        <v>1220</v>
      </c>
      <c r="D3" s="339" t="s">
        <v>2632</v>
      </c>
      <c r="E3" s="339" t="s">
        <v>2431</v>
      </c>
      <c r="G3" s="58" t="s">
        <v>2631</v>
      </c>
      <c r="H3" s="58" t="s">
        <v>2632</v>
      </c>
      <c r="I3" s="58"/>
      <c r="K3" t="str">
        <f t="shared" ref="K3:K66" si="0">IF(AND(A3=M3,G3=N3),"OK","CHECK")</f>
        <v>OK</v>
      </c>
      <c r="M3" s="299" t="s">
        <v>2428</v>
      </c>
      <c r="N3" s="338" t="s">
        <v>2631</v>
      </c>
      <c r="O3" s="338" t="s">
        <v>1220</v>
      </c>
      <c r="P3" s="338" t="s">
        <v>2632</v>
      </c>
      <c r="Q3" s="338" t="s">
        <v>2431</v>
      </c>
    </row>
    <row r="4" spans="1:17" ht="13">
      <c r="A4" s="157" t="s">
        <v>2429</v>
      </c>
      <c r="B4" s="339" t="s">
        <v>2633</v>
      </c>
      <c r="C4" s="339" t="s">
        <v>1220</v>
      </c>
      <c r="D4" s="339" t="s">
        <v>2888</v>
      </c>
      <c r="E4" s="339" t="s">
        <v>2432</v>
      </c>
      <c r="G4" s="58" t="s">
        <v>2633</v>
      </c>
      <c r="H4" s="58" t="s">
        <v>2888</v>
      </c>
      <c r="I4" s="58" t="s">
        <v>2432</v>
      </c>
      <c r="K4" t="str">
        <f t="shared" si="0"/>
        <v>OK</v>
      </c>
      <c r="M4" s="299" t="s">
        <v>2429</v>
      </c>
      <c r="N4" s="338" t="s">
        <v>2633</v>
      </c>
      <c r="O4" s="338" t="s">
        <v>1220</v>
      </c>
      <c r="P4" s="338" t="s">
        <v>2888</v>
      </c>
      <c r="Q4" s="338" t="s">
        <v>2432</v>
      </c>
    </row>
    <row r="5" spans="1:17" ht="13">
      <c r="A5" s="157" t="s">
        <v>2430</v>
      </c>
      <c r="B5" s="339" t="s">
        <v>2634</v>
      </c>
      <c r="C5" s="339" t="s">
        <v>1220</v>
      </c>
      <c r="D5" s="339" t="s">
        <v>2635</v>
      </c>
      <c r="E5" s="339" t="s">
        <v>1211</v>
      </c>
      <c r="G5" s="58" t="s">
        <v>2634</v>
      </c>
      <c r="H5" s="58" t="s">
        <v>2635</v>
      </c>
      <c r="I5" s="58"/>
      <c r="K5" t="str">
        <f t="shared" si="0"/>
        <v>OK</v>
      </c>
      <c r="M5" s="299" t="s">
        <v>2430</v>
      </c>
      <c r="N5" s="338" t="s">
        <v>2634</v>
      </c>
      <c r="O5" s="338" t="s">
        <v>1220</v>
      </c>
      <c r="P5" s="338" t="s">
        <v>2635</v>
      </c>
      <c r="Q5" s="338" t="s">
        <v>1211</v>
      </c>
    </row>
    <row r="6" spans="1:17" ht="13">
      <c r="A6" s="157" t="s">
        <v>2411</v>
      </c>
      <c r="B6" s="339" t="s">
        <v>2636</v>
      </c>
      <c r="C6" s="339" t="s">
        <v>1220</v>
      </c>
      <c r="D6" s="339" t="s">
        <v>2637</v>
      </c>
      <c r="E6" s="339" t="s">
        <v>2395</v>
      </c>
      <c r="G6" s="58" t="s">
        <v>2636</v>
      </c>
      <c r="H6" s="58" t="s">
        <v>2637</v>
      </c>
      <c r="I6" s="58" t="s">
        <v>2395</v>
      </c>
      <c r="K6" t="str">
        <f t="shared" si="0"/>
        <v>OK</v>
      </c>
      <c r="M6" s="299" t="s">
        <v>2411</v>
      </c>
      <c r="N6" s="338" t="s">
        <v>2636</v>
      </c>
      <c r="O6" s="338" t="s">
        <v>1220</v>
      </c>
      <c r="P6" s="338" t="s">
        <v>2637</v>
      </c>
      <c r="Q6" s="338" t="s">
        <v>2395</v>
      </c>
    </row>
    <row r="7" spans="1:17" ht="13">
      <c r="A7" s="157" t="s">
        <v>2412</v>
      </c>
      <c r="B7" s="339" t="s">
        <v>2638</v>
      </c>
      <c r="C7" s="339" t="s">
        <v>1220</v>
      </c>
      <c r="D7" s="339" t="s">
        <v>2639</v>
      </c>
      <c r="E7" s="339" t="s">
        <v>2887</v>
      </c>
      <c r="G7" s="58" t="s">
        <v>2638</v>
      </c>
      <c r="H7" s="58" t="s">
        <v>2639</v>
      </c>
      <c r="I7" s="58" t="s">
        <v>2566</v>
      </c>
      <c r="K7" t="str">
        <f t="shared" si="0"/>
        <v>OK</v>
      </c>
      <c r="M7" s="299" t="s">
        <v>2412</v>
      </c>
      <c r="N7" s="338" t="s">
        <v>2638</v>
      </c>
      <c r="O7" s="338" t="s">
        <v>1220</v>
      </c>
      <c r="P7" s="338" t="s">
        <v>2639</v>
      </c>
      <c r="Q7" s="338" t="s">
        <v>2887</v>
      </c>
    </row>
    <row r="8" spans="1:17" ht="13">
      <c r="A8" s="157" t="s">
        <v>2413</v>
      </c>
      <c r="B8" s="339" t="s">
        <v>2640</v>
      </c>
      <c r="C8" s="339" t="s">
        <v>1220</v>
      </c>
      <c r="D8" s="339" t="s">
        <v>2641</v>
      </c>
      <c r="E8" s="339" t="s">
        <v>3063</v>
      </c>
      <c r="G8" s="58" t="s">
        <v>2640</v>
      </c>
      <c r="H8" s="58" t="s">
        <v>2641</v>
      </c>
      <c r="I8" s="58" t="s">
        <v>4391</v>
      </c>
      <c r="K8" t="str">
        <f t="shared" si="0"/>
        <v>OK</v>
      </c>
      <c r="M8" s="299" t="s">
        <v>2413</v>
      </c>
      <c r="N8" s="338" t="s">
        <v>2640</v>
      </c>
      <c r="O8" s="338" t="s">
        <v>1220</v>
      </c>
      <c r="P8" s="338" t="s">
        <v>2641</v>
      </c>
      <c r="Q8" s="338" t="s">
        <v>2567</v>
      </c>
    </row>
    <row r="9" spans="1:17" ht="13">
      <c r="A9" s="157" t="s">
        <v>2414</v>
      </c>
      <c r="B9" s="339" t="s">
        <v>2640</v>
      </c>
      <c r="C9" s="343" t="s">
        <v>1220</v>
      </c>
      <c r="D9" s="343" t="s">
        <v>2643</v>
      </c>
      <c r="E9" s="343" t="s">
        <v>2394</v>
      </c>
      <c r="G9" s="58" t="s">
        <v>2642</v>
      </c>
      <c r="H9" s="36" t="s">
        <v>2643</v>
      </c>
      <c r="I9" s="36" t="s">
        <v>4392</v>
      </c>
      <c r="K9" t="str">
        <f t="shared" si="0"/>
        <v>OK</v>
      </c>
      <c r="M9" s="299" t="s">
        <v>2414</v>
      </c>
      <c r="N9" s="337" t="s">
        <v>2642</v>
      </c>
      <c r="O9" s="337" t="s">
        <v>1220</v>
      </c>
      <c r="P9" s="337" t="s">
        <v>2643</v>
      </c>
      <c r="Q9" s="337" t="s">
        <v>2568</v>
      </c>
    </row>
    <row r="10" spans="1:17" ht="13">
      <c r="A10" s="157" t="s">
        <v>2415</v>
      </c>
      <c r="B10" s="339" t="s">
        <v>2640</v>
      </c>
      <c r="C10" s="343" t="s">
        <v>1220</v>
      </c>
      <c r="D10" s="343" t="s">
        <v>2645</v>
      </c>
      <c r="E10" s="343"/>
      <c r="G10" s="58" t="s">
        <v>2644</v>
      </c>
      <c r="H10" s="36" t="s">
        <v>2645</v>
      </c>
      <c r="I10" s="36" t="s">
        <v>4393</v>
      </c>
      <c r="K10" t="str">
        <f t="shared" si="0"/>
        <v>OK</v>
      </c>
      <c r="M10" s="299" t="s">
        <v>2415</v>
      </c>
      <c r="N10" s="337" t="s">
        <v>2644</v>
      </c>
      <c r="O10" s="337" t="s">
        <v>1220</v>
      </c>
      <c r="P10" s="337" t="s">
        <v>2645</v>
      </c>
      <c r="Q10" s="337" t="s">
        <v>2569</v>
      </c>
    </row>
    <row r="11" spans="1:17" ht="13">
      <c r="A11" s="157" t="s">
        <v>2575</v>
      </c>
      <c r="B11" s="339" t="s">
        <v>2646</v>
      </c>
      <c r="C11" s="339" t="s">
        <v>1220</v>
      </c>
      <c r="D11" s="339" t="s">
        <v>2647</v>
      </c>
      <c r="E11" s="339" t="s">
        <v>2570</v>
      </c>
      <c r="G11" s="58" t="s">
        <v>2646</v>
      </c>
      <c r="H11" s="58" t="s">
        <v>2647</v>
      </c>
      <c r="I11" s="58" t="s">
        <v>2570</v>
      </c>
      <c r="K11" t="str">
        <f t="shared" si="0"/>
        <v>OK</v>
      </c>
      <c r="M11" s="299" t="s">
        <v>2575</v>
      </c>
      <c r="N11" s="338" t="s">
        <v>2646</v>
      </c>
      <c r="O11" s="338" t="s">
        <v>1220</v>
      </c>
      <c r="P11" s="338" t="s">
        <v>2647</v>
      </c>
      <c r="Q11" s="338" t="s">
        <v>2570</v>
      </c>
    </row>
    <row r="12" spans="1:17" ht="13">
      <c r="A12" s="157" t="s">
        <v>2576</v>
      </c>
      <c r="B12" s="339" t="s">
        <v>2648</v>
      </c>
      <c r="C12" s="339" t="s">
        <v>1220</v>
      </c>
      <c r="D12" s="339" t="s">
        <v>2649</v>
      </c>
      <c r="E12" s="339" t="s">
        <v>2571</v>
      </c>
      <c r="G12" s="58" t="s">
        <v>2648</v>
      </c>
      <c r="H12" s="58" t="s">
        <v>2649</v>
      </c>
      <c r="I12" s="58" t="s">
        <v>2571</v>
      </c>
      <c r="K12" t="str">
        <f t="shared" si="0"/>
        <v>OK</v>
      </c>
      <c r="M12" s="299" t="s">
        <v>2576</v>
      </c>
      <c r="N12" s="338" t="s">
        <v>2648</v>
      </c>
      <c r="O12" s="338" t="s">
        <v>1220</v>
      </c>
      <c r="P12" s="338" t="s">
        <v>2649</v>
      </c>
      <c r="Q12" s="338" t="s">
        <v>2571</v>
      </c>
    </row>
    <row r="13" spans="1:17" ht="13">
      <c r="A13" s="157" t="s">
        <v>2577</v>
      </c>
      <c r="B13" s="339" t="s">
        <v>2650</v>
      </c>
      <c r="C13" s="339" t="s">
        <v>1220</v>
      </c>
      <c r="D13" s="339" t="s">
        <v>2651</v>
      </c>
      <c r="E13" s="339" t="s">
        <v>2572</v>
      </c>
      <c r="G13" s="58" t="s">
        <v>2650</v>
      </c>
      <c r="H13" s="58" t="s">
        <v>2651</v>
      </c>
      <c r="I13" s="58" t="s">
        <v>2572</v>
      </c>
      <c r="K13" t="str">
        <f t="shared" si="0"/>
        <v>OK</v>
      </c>
      <c r="M13" s="299" t="s">
        <v>2577</v>
      </c>
      <c r="N13" s="338" t="s">
        <v>2650</v>
      </c>
      <c r="O13" s="338" t="s">
        <v>1220</v>
      </c>
      <c r="P13" s="338" t="s">
        <v>2651</v>
      </c>
      <c r="Q13" s="338" t="s">
        <v>2572</v>
      </c>
    </row>
    <row r="14" spans="1:17" ht="13">
      <c r="A14" s="157" t="s">
        <v>2578</v>
      </c>
      <c r="B14" s="339" t="s">
        <v>2652</v>
      </c>
      <c r="C14" s="339" t="s">
        <v>1220</v>
      </c>
      <c r="D14" s="339" t="s">
        <v>2653</v>
      </c>
      <c r="E14" s="339" t="s">
        <v>2573</v>
      </c>
      <c r="G14" s="58" t="s">
        <v>2652</v>
      </c>
      <c r="H14" s="58" t="s">
        <v>2653</v>
      </c>
      <c r="I14" s="58" t="s">
        <v>2573</v>
      </c>
      <c r="K14" t="str">
        <f t="shared" si="0"/>
        <v>OK</v>
      </c>
      <c r="M14" s="299" t="s">
        <v>2578</v>
      </c>
      <c r="N14" s="338" t="s">
        <v>2652</v>
      </c>
      <c r="O14" s="338" t="s">
        <v>1220</v>
      </c>
      <c r="P14" s="338" t="s">
        <v>2653</v>
      </c>
      <c r="Q14" s="338" t="s">
        <v>2573</v>
      </c>
    </row>
    <row r="15" spans="1:17" ht="13">
      <c r="A15" s="157" t="s">
        <v>2555</v>
      </c>
      <c r="B15" s="339" t="s">
        <v>2654</v>
      </c>
      <c r="C15" s="339" t="s">
        <v>1220</v>
      </c>
      <c r="D15" s="339" t="s">
        <v>2655</v>
      </c>
      <c r="E15" s="339" t="s">
        <v>2574</v>
      </c>
      <c r="G15" s="58" t="s">
        <v>2654</v>
      </c>
      <c r="H15" s="58" t="s">
        <v>2655</v>
      </c>
      <c r="I15" s="58" t="s">
        <v>2574</v>
      </c>
      <c r="K15" t="str">
        <f t="shared" si="0"/>
        <v>OK</v>
      </c>
      <c r="M15" s="299" t="s">
        <v>2555</v>
      </c>
      <c r="N15" s="338" t="s">
        <v>2654</v>
      </c>
      <c r="O15" s="338" t="s">
        <v>1220</v>
      </c>
      <c r="P15" s="338" t="s">
        <v>2655</v>
      </c>
      <c r="Q15" s="338" t="s">
        <v>2574</v>
      </c>
    </row>
    <row r="16" spans="1:17" ht="13">
      <c r="A16" s="157" t="s">
        <v>2416</v>
      </c>
      <c r="B16" s="339" t="s">
        <v>2656</v>
      </c>
      <c r="C16" s="339" t="s">
        <v>1220</v>
      </c>
      <c r="D16" s="339" t="s">
        <v>2657</v>
      </c>
      <c r="E16" s="339" t="s">
        <v>2425</v>
      </c>
      <c r="G16" s="58" t="s">
        <v>2656</v>
      </c>
      <c r="H16" s="58" t="s">
        <v>2657</v>
      </c>
      <c r="I16" s="58" t="s">
        <v>2425</v>
      </c>
      <c r="K16" t="str">
        <f t="shared" si="0"/>
        <v>OK</v>
      </c>
      <c r="M16" s="299" t="s">
        <v>2416</v>
      </c>
      <c r="N16" s="338" t="s">
        <v>2656</v>
      </c>
      <c r="O16" s="338" t="s">
        <v>1220</v>
      </c>
      <c r="P16" s="338" t="s">
        <v>2657</v>
      </c>
      <c r="Q16" s="338" t="s">
        <v>2425</v>
      </c>
    </row>
    <row r="17" spans="1:17" ht="13">
      <c r="A17" s="157" t="s">
        <v>2417</v>
      </c>
      <c r="B17" s="339" t="s">
        <v>2658</v>
      </c>
      <c r="C17" s="339" t="s">
        <v>1220</v>
      </c>
      <c r="D17" s="339" t="s">
        <v>2659</v>
      </c>
      <c r="E17" s="339" t="s">
        <v>2426</v>
      </c>
      <c r="G17" s="58" t="s">
        <v>2658</v>
      </c>
      <c r="H17" s="58" t="s">
        <v>2659</v>
      </c>
      <c r="I17" s="58" t="s">
        <v>2426</v>
      </c>
      <c r="K17" t="str">
        <f t="shared" si="0"/>
        <v>OK</v>
      </c>
      <c r="M17" s="299" t="s">
        <v>2417</v>
      </c>
      <c r="N17" s="338" t="s">
        <v>2658</v>
      </c>
      <c r="O17" s="338" t="s">
        <v>1220</v>
      </c>
      <c r="P17" s="338" t="s">
        <v>2659</v>
      </c>
      <c r="Q17" s="338" t="s">
        <v>2426</v>
      </c>
    </row>
    <row r="18" spans="1:17" ht="13">
      <c r="A18" s="157" t="s">
        <v>2418</v>
      </c>
      <c r="B18" s="339" t="s">
        <v>2660</v>
      </c>
      <c r="C18" s="339" t="s">
        <v>1220</v>
      </c>
      <c r="D18" s="339" t="s">
        <v>2661</v>
      </c>
      <c r="E18" s="339" t="s">
        <v>1207</v>
      </c>
      <c r="G18" s="58" t="s">
        <v>2660</v>
      </c>
      <c r="H18" s="58" t="s">
        <v>2661</v>
      </c>
      <c r="I18" s="58" t="s">
        <v>1207</v>
      </c>
      <c r="K18" t="str">
        <f t="shared" si="0"/>
        <v>OK</v>
      </c>
      <c r="M18" s="299" t="s">
        <v>2418</v>
      </c>
      <c r="N18" s="338" t="s">
        <v>2660</v>
      </c>
      <c r="O18" s="338" t="s">
        <v>1220</v>
      </c>
      <c r="P18" s="338" t="s">
        <v>2661</v>
      </c>
      <c r="Q18" s="338" t="s">
        <v>1207</v>
      </c>
    </row>
    <row r="19" spans="1:17" ht="13">
      <c r="A19" s="157" t="s">
        <v>2419</v>
      </c>
      <c r="B19" s="339" t="s">
        <v>2662</v>
      </c>
      <c r="C19" s="339" t="s">
        <v>1220</v>
      </c>
      <c r="D19" s="339" t="s">
        <v>2663</v>
      </c>
      <c r="E19" s="339" t="s">
        <v>1208</v>
      </c>
      <c r="G19" s="58" t="s">
        <v>2662</v>
      </c>
      <c r="H19" s="58" t="s">
        <v>2663</v>
      </c>
      <c r="I19" s="58" t="s">
        <v>1208</v>
      </c>
      <c r="K19" t="str">
        <f t="shared" si="0"/>
        <v>OK</v>
      </c>
      <c r="M19" s="299" t="s">
        <v>2419</v>
      </c>
      <c r="N19" s="338" t="s">
        <v>2662</v>
      </c>
      <c r="O19" s="338" t="s">
        <v>1220</v>
      </c>
      <c r="P19" s="338" t="s">
        <v>2663</v>
      </c>
      <c r="Q19" s="338" t="s">
        <v>1208</v>
      </c>
    </row>
    <row r="20" spans="1:17" ht="13">
      <c r="A20" s="157" t="s">
        <v>2420</v>
      </c>
      <c r="B20" s="339" t="s">
        <v>2664</v>
      </c>
      <c r="C20" s="339" t="s">
        <v>1220</v>
      </c>
      <c r="D20" s="339" t="s">
        <v>2665</v>
      </c>
      <c r="E20" s="339" t="s">
        <v>2582</v>
      </c>
      <c r="G20" s="58" t="s">
        <v>2664</v>
      </c>
      <c r="H20" s="58" t="s">
        <v>2665</v>
      </c>
      <c r="I20" s="58" t="s">
        <v>2582</v>
      </c>
      <c r="K20" t="str">
        <f t="shared" si="0"/>
        <v>OK</v>
      </c>
      <c r="M20" s="299" t="s">
        <v>2420</v>
      </c>
      <c r="N20" s="338" t="s">
        <v>2664</v>
      </c>
      <c r="O20" s="338" t="s">
        <v>1220</v>
      </c>
      <c r="P20" s="338" t="s">
        <v>2665</v>
      </c>
      <c r="Q20" s="338" t="s">
        <v>2582</v>
      </c>
    </row>
    <row r="21" spans="1:17" ht="13">
      <c r="A21" s="157" t="s">
        <v>2421</v>
      </c>
      <c r="B21" s="339" t="s">
        <v>2666</v>
      </c>
      <c r="C21" s="339" t="s">
        <v>1220</v>
      </c>
      <c r="D21" s="339" t="s">
        <v>2667</v>
      </c>
      <c r="E21" s="339" t="s">
        <v>2583</v>
      </c>
      <c r="G21" s="58" t="s">
        <v>2666</v>
      </c>
      <c r="H21" s="58" t="s">
        <v>2667</v>
      </c>
      <c r="I21" s="58" t="s">
        <v>2583</v>
      </c>
      <c r="K21" t="str">
        <f t="shared" si="0"/>
        <v>OK</v>
      </c>
      <c r="M21" s="299" t="s">
        <v>2421</v>
      </c>
      <c r="N21" s="338" t="s">
        <v>2666</v>
      </c>
      <c r="O21" s="338" t="s">
        <v>1220</v>
      </c>
      <c r="P21" s="338" t="s">
        <v>2667</v>
      </c>
      <c r="Q21" s="338" t="s">
        <v>2583</v>
      </c>
    </row>
    <row r="22" spans="1:17" ht="13">
      <c r="A22" s="157" t="s">
        <v>2422</v>
      </c>
      <c r="B22" s="339" t="s">
        <v>2668</v>
      </c>
      <c r="C22" s="339" t="s">
        <v>1220</v>
      </c>
      <c r="D22" s="339" t="s">
        <v>2669</v>
      </c>
      <c r="E22" s="339" t="s">
        <v>2584</v>
      </c>
      <c r="G22" s="58" t="s">
        <v>2668</v>
      </c>
      <c r="H22" s="58" t="s">
        <v>2669</v>
      </c>
      <c r="I22" s="58" t="s">
        <v>2584</v>
      </c>
      <c r="K22" t="str">
        <f t="shared" si="0"/>
        <v>OK</v>
      </c>
      <c r="M22" s="299" t="s">
        <v>2422</v>
      </c>
      <c r="N22" s="338" t="s">
        <v>2668</v>
      </c>
      <c r="O22" s="338" t="s">
        <v>1220</v>
      </c>
      <c r="P22" s="338" t="s">
        <v>2669</v>
      </c>
      <c r="Q22" s="338" t="s">
        <v>2584</v>
      </c>
    </row>
    <row r="23" spans="1:17" ht="13">
      <c r="A23" s="157" t="s">
        <v>2423</v>
      </c>
      <c r="B23" s="339" t="s">
        <v>2670</v>
      </c>
      <c r="C23" s="339" t="s">
        <v>1220</v>
      </c>
      <c r="D23" s="339" t="s">
        <v>2671</v>
      </c>
      <c r="E23" s="339" t="s">
        <v>2585</v>
      </c>
      <c r="G23" s="58" t="s">
        <v>2670</v>
      </c>
      <c r="H23" s="58" t="s">
        <v>2671</v>
      </c>
      <c r="I23" s="58" t="s">
        <v>2585</v>
      </c>
      <c r="K23" t="str">
        <f t="shared" si="0"/>
        <v>OK</v>
      </c>
      <c r="M23" s="299" t="s">
        <v>2423</v>
      </c>
      <c r="N23" s="338" t="s">
        <v>2670</v>
      </c>
      <c r="O23" s="338" t="s">
        <v>1220</v>
      </c>
      <c r="P23" s="338" t="s">
        <v>2671</v>
      </c>
      <c r="Q23" s="338" t="s">
        <v>2585</v>
      </c>
    </row>
    <row r="24" spans="1:17" ht="13">
      <c r="A24" s="157" t="s">
        <v>2424</v>
      </c>
      <c r="B24" s="339" t="s">
        <v>2672</v>
      </c>
      <c r="C24" s="339" t="s">
        <v>1220</v>
      </c>
      <c r="D24" s="339" t="s">
        <v>2673</v>
      </c>
      <c r="E24" s="339" t="s">
        <v>2586</v>
      </c>
      <c r="G24" s="58" t="s">
        <v>2672</v>
      </c>
      <c r="H24" s="58" t="s">
        <v>2673</v>
      </c>
      <c r="I24" s="58" t="s">
        <v>2586</v>
      </c>
      <c r="K24" t="str">
        <f t="shared" si="0"/>
        <v>OK</v>
      </c>
      <c r="M24" s="299" t="s">
        <v>2424</v>
      </c>
      <c r="N24" s="338" t="s">
        <v>2672</v>
      </c>
      <c r="O24" s="338" t="s">
        <v>1220</v>
      </c>
      <c r="P24" s="338" t="s">
        <v>2673</v>
      </c>
      <c r="Q24" s="338" t="s">
        <v>2586</v>
      </c>
    </row>
    <row r="25" spans="1:17" ht="13">
      <c r="A25" s="157" t="s">
        <v>2579</v>
      </c>
      <c r="B25" s="339" t="s">
        <v>2674</v>
      </c>
      <c r="C25" s="339" t="s">
        <v>1220</v>
      </c>
      <c r="D25" s="339" t="s">
        <v>2675</v>
      </c>
      <c r="E25" s="339" t="s">
        <v>2587</v>
      </c>
      <c r="G25" s="58" t="s">
        <v>2674</v>
      </c>
      <c r="H25" s="58" t="s">
        <v>2675</v>
      </c>
      <c r="I25" s="58" t="s">
        <v>2587</v>
      </c>
      <c r="K25" t="str">
        <f t="shared" si="0"/>
        <v>OK</v>
      </c>
      <c r="M25" s="299" t="s">
        <v>2579</v>
      </c>
      <c r="N25" s="338" t="s">
        <v>2674</v>
      </c>
      <c r="O25" s="338" t="s">
        <v>1220</v>
      </c>
      <c r="P25" s="338" t="s">
        <v>2675</v>
      </c>
      <c r="Q25" s="338" t="s">
        <v>2587</v>
      </c>
    </row>
    <row r="26" spans="1:17" ht="13">
      <c r="A26" s="157" t="s">
        <v>2580</v>
      </c>
      <c r="B26" s="339" t="s">
        <v>2676</v>
      </c>
      <c r="C26" s="339" t="s">
        <v>1220</v>
      </c>
      <c r="D26" s="339" t="s">
        <v>2677</v>
      </c>
      <c r="E26" s="339" t="s">
        <v>2588</v>
      </c>
      <c r="G26" s="58" t="s">
        <v>2676</v>
      </c>
      <c r="H26" s="58" t="s">
        <v>2677</v>
      </c>
      <c r="I26" s="58" t="s">
        <v>2588</v>
      </c>
      <c r="K26" t="str">
        <f t="shared" si="0"/>
        <v>OK</v>
      </c>
      <c r="M26" s="299" t="s">
        <v>2580</v>
      </c>
      <c r="N26" s="338" t="s">
        <v>2676</v>
      </c>
      <c r="O26" s="338" t="s">
        <v>1220</v>
      </c>
      <c r="P26" s="338" t="s">
        <v>2677</v>
      </c>
      <c r="Q26" s="338" t="s">
        <v>2588</v>
      </c>
    </row>
    <row r="27" spans="1:17" ht="13">
      <c r="A27" s="157" t="s">
        <v>2581</v>
      </c>
      <c r="B27" s="339" t="s">
        <v>2678</v>
      </c>
      <c r="C27" s="339" t="s">
        <v>1220</v>
      </c>
      <c r="D27" s="339" t="s">
        <v>2679</v>
      </c>
      <c r="E27" s="339" t="s">
        <v>2427</v>
      </c>
      <c r="G27" s="58" t="s">
        <v>2678</v>
      </c>
      <c r="H27" s="58" t="s">
        <v>2679</v>
      </c>
      <c r="I27" s="58" t="s">
        <v>2427</v>
      </c>
      <c r="K27" t="str">
        <f t="shared" si="0"/>
        <v>OK</v>
      </c>
      <c r="M27" s="299" t="s">
        <v>2581</v>
      </c>
      <c r="N27" s="338" t="s">
        <v>2678</v>
      </c>
      <c r="O27" s="338" t="s">
        <v>1220</v>
      </c>
      <c r="P27" s="338" t="s">
        <v>2679</v>
      </c>
      <c r="Q27" s="338" t="s">
        <v>2427</v>
      </c>
    </row>
    <row r="28" spans="1:17" ht="13">
      <c r="B28" s="339" t="s">
        <v>2680</v>
      </c>
      <c r="C28" s="339" t="s">
        <v>1220</v>
      </c>
      <c r="D28" s="339" t="s">
        <v>2681</v>
      </c>
      <c r="E28" s="339" t="s">
        <v>3054</v>
      </c>
      <c r="G28" s="58" t="s">
        <v>2680</v>
      </c>
      <c r="H28" s="58" t="s">
        <v>2681</v>
      </c>
      <c r="I28" s="58" t="s">
        <v>3054</v>
      </c>
      <c r="K28" t="str">
        <f t="shared" si="0"/>
        <v>OK</v>
      </c>
      <c r="M28" s="297"/>
      <c r="N28" s="338" t="s">
        <v>2680</v>
      </c>
      <c r="O28" s="338" t="s">
        <v>1220</v>
      </c>
      <c r="P28" s="338" t="s">
        <v>2681</v>
      </c>
      <c r="Q28" s="31" t="str">
        <f>VLOOKUP(N28,Funding_Area_Names!$G$2:$I$249,3,FALSE)</f>
        <v>Tamaki</v>
      </c>
    </row>
    <row r="29" spans="1:17" ht="13">
      <c r="B29" s="339" t="s">
        <v>2682</v>
      </c>
      <c r="C29" s="339" t="s">
        <v>1220</v>
      </c>
      <c r="D29" s="339" t="s">
        <v>2683</v>
      </c>
      <c r="E29" s="339"/>
      <c r="G29" s="58" t="s">
        <v>2682</v>
      </c>
      <c r="I29" s="58"/>
      <c r="K29" t="str">
        <f t="shared" si="0"/>
        <v>OK</v>
      </c>
      <c r="M29" s="297"/>
      <c r="N29" s="338" t="s">
        <v>2682</v>
      </c>
      <c r="O29" s="338" t="s">
        <v>1220</v>
      </c>
      <c r="P29" s="338" t="s">
        <v>2683</v>
      </c>
      <c r="Q29" s="338"/>
    </row>
    <row r="30" spans="1:17" ht="13">
      <c r="B30" s="339" t="s">
        <v>2684</v>
      </c>
      <c r="C30" s="339" t="s">
        <v>1220</v>
      </c>
      <c r="D30" s="339" t="s">
        <v>2685</v>
      </c>
      <c r="E30" s="339"/>
      <c r="G30" s="58" t="s">
        <v>2684</v>
      </c>
      <c r="I30" s="58"/>
      <c r="K30" t="str">
        <f t="shared" si="0"/>
        <v>OK</v>
      </c>
      <c r="M30" s="297"/>
      <c r="N30" s="338" t="s">
        <v>2684</v>
      </c>
      <c r="O30" s="338" t="s">
        <v>1220</v>
      </c>
      <c r="P30" s="338" t="s">
        <v>2685</v>
      </c>
      <c r="Q30" s="338"/>
    </row>
    <row r="31" spans="1:17" ht="13">
      <c r="B31" s="339" t="s">
        <v>2686</v>
      </c>
      <c r="C31" s="339" t="s">
        <v>1220</v>
      </c>
      <c r="D31" s="339" t="s">
        <v>2687</v>
      </c>
      <c r="E31" s="339"/>
      <c r="G31" s="58" t="s">
        <v>2686</v>
      </c>
      <c r="I31" s="58"/>
      <c r="K31" t="str">
        <f t="shared" si="0"/>
        <v>OK</v>
      </c>
      <c r="M31" s="297"/>
      <c r="N31" s="338" t="s">
        <v>2686</v>
      </c>
      <c r="O31" s="338" t="s">
        <v>1220</v>
      </c>
      <c r="P31" s="338" t="s">
        <v>2687</v>
      </c>
      <c r="Q31" s="338"/>
    </row>
    <row r="32" spans="1:17" ht="13">
      <c r="B32" s="339" t="s">
        <v>2688</v>
      </c>
      <c r="C32" s="339" t="s">
        <v>1220</v>
      </c>
      <c r="D32" s="339" t="s">
        <v>2689</v>
      </c>
      <c r="E32" s="339"/>
      <c r="G32" s="58" t="s">
        <v>2688</v>
      </c>
      <c r="I32" s="58"/>
      <c r="K32" t="str">
        <f t="shared" si="0"/>
        <v>OK</v>
      </c>
      <c r="M32" s="297"/>
      <c r="N32" s="338" t="s">
        <v>2688</v>
      </c>
      <c r="O32" s="338" t="s">
        <v>1220</v>
      </c>
      <c r="P32" s="338" t="s">
        <v>2689</v>
      </c>
      <c r="Q32" s="338"/>
    </row>
    <row r="33" spans="1:17" ht="13">
      <c r="B33" s="339" t="s">
        <v>2690</v>
      </c>
      <c r="C33" s="339" t="s">
        <v>1220</v>
      </c>
      <c r="D33" s="339" t="s">
        <v>2691</v>
      </c>
      <c r="E33" s="339"/>
      <c r="G33" s="58" t="s">
        <v>2690</v>
      </c>
      <c r="I33" s="58"/>
      <c r="K33" t="str">
        <f t="shared" si="0"/>
        <v>OK</v>
      </c>
      <c r="M33" s="297"/>
      <c r="N33" s="338" t="s">
        <v>2690</v>
      </c>
      <c r="O33" s="338" t="s">
        <v>1220</v>
      </c>
      <c r="P33" s="338" t="s">
        <v>2691</v>
      </c>
      <c r="Q33" s="338"/>
    </row>
    <row r="34" spans="1:17" ht="13">
      <c r="B34" s="339" t="s">
        <v>2692</v>
      </c>
      <c r="C34" s="339" t="s">
        <v>1220</v>
      </c>
      <c r="D34" s="339" t="s">
        <v>2693</v>
      </c>
      <c r="E34" s="339"/>
      <c r="G34" s="58" t="s">
        <v>2692</v>
      </c>
      <c r="I34" s="58"/>
      <c r="K34" t="str">
        <f t="shared" si="0"/>
        <v>OK</v>
      </c>
      <c r="M34" s="297"/>
      <c r="N34" s="338" t="s">
        <v>2692</v>
      </c>
      <c r="O34" s="338" t="s">
        <v>1220</v>
      </c>
      <c r="P34" s="338" t="s">
        <v>2693</v>
      </c>
      <c r="Q34" s="338"/>
    </row>
    <row r="35" spans="1:17" ht="13">
      <c r="B35" s="339" t="s">
        <v>2694</v>
      </c>
      <c r="C35" s="339" t="s">
        <v>1220</v>
      </c>
      <c r="D35" s="339" t="s">
        <v>2695</v>
      </c>
      <c r="E35" s="339"/>
      <c r="G35" s="58" t="s">
        <v>2694</v>
      </c>
      <c r="I35" s="58"/>
      <c r="K35" t="str">
        <f t="shared" si="0"/>
        <v>OK</v>
      </c>
      <c r="M35" s="297"/>
      <c r="N35" s="338" t="s">
        <v>2694</v>
      </c>
      <c r="O35" s="338" t="s">
        <v>1220</v>
      </c>
      <c r="P35" s="338" t="s">
        <v>2695</v>
      </c>
      <c r="Q35" s="338"/>
    </row>
    <row r="36" spans="1:17" ht="13">
      <c r="B36" s="339" t="s">
        <v>2696</v>
      </c>
      <c r="C36" s="339" t="s">
        <v>1220</v>
      </c>
      <c r="D36" s="339" t="s">
        <v>2697</v>
      </c>
      <c r="E36" s="339"/>
      <c r="G36" s="58" t="s">
        <v>2696</v>
      </c>
      <c r="I36" s="58"/>
      <c r="K36" t="str">
        <f t="shared" si="0"/>
        <v>OK</v>
      </c>
      <c r="M36" s="297"/>
      <c r="N36" s="338" t="s">
        <v>2696</v>
      </c>
      <c r="O36" s="338" t="s">
        <v>1220</v>
      </c>
      <c r="P36" s="338" t="s">
        <v>2697</v>
      </c>
      <c r="Q36" s="338"/>
    </row>
    <row r="37" spans="1:17" ht="13">
      <c r="B37" s="339" t="s">
        <v>2698</v>
      </c>
      <c r="C37" s="339" t="s">
        <v>1220</v>
      </c>
      <c r="D37" s="339" t="s">
        <v>2699</v>
      </c>
      <c r="E37" s="339"/>
      <c r="G37" s="58" t="s">
        <v>2698</v>
      </c>
      <c r="I37" s="58"/>
      <c r="K37" t="str">
        <f t="shared" si="0"/>
        <v>OK</v>
      </c>
      <c r="M37" s="297"/>
      <c r="N37" s="338" t="s">
        <v>2698</v>
      </c>
      <c r="O37" s="338" t="s">
        <v>1220</v>
      </c>
      <c r="P37" s="338" t="s">
        <v>2699</v>
      </c>
      <c r="Q37" s="338"/>
    </row>
    <row r="38" spans="1:17" ht="13">
      <c r="B38" s="339" t="s">
        <v>2700</v>
      </c>
      <c r="C38" s="339" t="s">
        <v>1220</v>
      </c>
      <c r="D38" s="339" t="s">
        <v>2701</v>
      </c>
      <c r="E38" s="339"/>
      <c r="G38" s="58" t="s">
        <v>2700</v>
      </c>
      <c r="I38" s="58"/>
      <c r="K38" t="str">
        <f t="shared" si="0"/>
        <v>OK</v>
      </c>
      <c r="M38" s="297"/>
      <c r="N38" s="338" t="s">
        <v>2700</v>
      </c>
      <c r="O38" s="338" t="s">
        <v>1220</v>
      </c>
      <c r="P38" s="338" t="s">
        <v>2701</v>
      </c>
      <c r="Q38" s="338"/>
    </row>
    <row r="39" spans="1:17" ht="13">
      <c r="B39" s="339" t="s">
        <v>2702</v>
      </c>
      <c r="C39" s="339" t="s">
        <v>1220</v>
      </c>
      <c r="D39" s="339" t="s">
        <v>2703</v>
      </c>
      <c r="E39" s="339"/>
      <c r="G39" s="58" t="s">
        <v>2702</v>
      </c>
      <c r="I39" s="58"/>
      <c r="K39" t="str">
        <f t="shared" si="0"/>
        <v>OK</v>
      </c>
      <c r="M39" s="297"/>
      <c r="N39" s="338" t="s">
        <v>2702</v>
      </c>
      <c r="O39" s="338" t="s">
        <v>1220</v>
      </c>
      <c r="P39" s="338" t="s">
        <v>2703</v>
      </c>
      <c r="Q39" s="338"/>
    </row>
    <row r="40" spans="1:17" ht="13">
      <c r="B40" s="339" t="s">
        <v>2704</v>
      </c>
      <c r="C40" s="339" t="s">
        <v>1220</v>
      </c>
      <c r="D40" s="339" t="s">
        <v>2705</v>
      </c>
      <c r="E40" s="339"/>
      <c r="G40" s="58" t="s">
        <v>2704</v>
      </c>
      <c r="I40" s="58"/>
      <c r="K40" t="str">
        <f t="shared" si="0"/>
        <v>OK</v>
      </c>
      <c r="M40" s="297"/>
      <c r="N40" s="338" t="s">
        <v>2704</v>
      </c>
      <c r="O40" s="338" t="s">
        <v>1220</v>
      </c>
      <c r="P40" s="338" t="s">
        <v>2705</v>
      </c>
      <c r="Q40" s="338"/>
    </row>
    <row r="41" spans="1:17" ht="13">
      <c r="B41" s="339" t="s">
        <v>2706</v>
      </c>
      <c r="C41" s="339" t="s">
        <v>1220</v>
      </c>
      <c r="D41" s="339" t="s">
        <v>2707</v>
      </c>
      <c r="E41" s="339"/>
      <c r="G41" s="58" t="s">
        <v>2706</v>
      </c>
      <c r="I41" s="58"/>
      <c r="K41" t="str">
        <f t="shared" si="0"/>
        <v>OK</v>
      </c>
      <c r="M41" s="297"/>
      <c r="N41" s="338" t="s">
        <v>2706</v>
      </c>
      <c r="O41" s="338" t="s">
        <v>1220</v>
      </c>
      <c r="P41" s="338" t="s">
        <v>2707</v>
      </c>
      <c r="Q41" s="338"/>
    </row>
    <row r="42" spans="1:17" ht="13">
      <c r="B42" s="339" t="s">
        <v>2708</v>
      </c>
      <c r="C42" s="339" t="s">
        <v>1220</v>
      </c>
      <c r="D42" s="339" t="s">
        <v>2709</v>
      </c>
      <c r="E42" s="339"/>
      <c r="G42" s="58" t="s">
        <v>2708</v>
      </c>
      <c r="I42" s="58"/>
      <c r="K42" t="str">
        <f t="shared" si="0"/>
        <v>OK</v>
      </c>
      <c r="M42" s="297"/>
      <c r="N42" s="338" t="s">
        <v>2708</v>
      </c>
      <c r="O42" s="338" t="s">
        <v>1220</v>
      </c>
      <c r="P42" s="338" t="s">
        <v>2709</v>
      </c>
      <c r="Q42" s="338"/>
    </row>
    <row r="43" spans="1:17" ht="13">
      <c r="B43" s="339" t="s">
        <v>2710</v>
      </c>
      <c r="C43" s="339" t="s">
        <v>1220</v>
      </c>
      <c r="D43" s="339" t="s">
        <v>2711</v>
      </c>
      <c r="E43" s="339"/>
      <c r="G43" s="58" t="s">
        <v>2710</v>
      </c>
      <c r="I43" s="58"/>
      <c r="K43" t="str">
        <f t="shared" si="0"/>
        <v>OK</v>
      </c>
      <c r="M43" s="297"/>
      <c r="N43" s="338" t="s">
        <v>2710</v>
      </c>
      <c r="O43" s="338" t="s">
        <v>1220</v>
      </c>
      <c r="P43" s="338" t="s">
        <v>2711</v>
      </c>
      <c r="Q43" s="338"/>
    </row>
    <row r="44" spans="1:17" ht="13">
      <c r="B44" s="339" t="s">
        <v>2712</v>
      </c>
      <c r="C44" s="339" t="s">
        <v>1220</v>
      </c>
      <c r="D44" s="339" t="s">
        <v>2713</v>
      </c>
      <c r="E44" s="339"/>
      <c r="G44" s="58" t="s">
        <v>2712</v>
      </c>
      <c r="I44" s="58"/>
      <c r="K44" t="str">
        <f t="shared" si="0"/>
        <v>OK</v>
      </c>
      <c r="M44" s="297"/>
      <c r="N44" s="338" t="s">
        <v>2712</v>
      </c>
      <c r="O44" s="338" t="s">
        <v>1220</v>
      </c>
      <c r="P44" s="338" t="s">
        <v>2713</v>
      </c>
      <c r="Q44" s="338"/>
    </row>
    <row r="45" spans="1:17" ht="13">
      <c r="B45" s="339"/>
      <c r="C45" s="339"/>
      <c r="D45" s="339"/>
      <c r="E45" s="339"/>
      <c r="K45" t="str">
        <f t="shared" si="0"/>
        <v>OK</v>
      </c>
      <c r="M45" s="297"/>
      <c r="N45" s="338"/>
      <c r="O45" s="338"/>
      <c r="P45" s="338"/>
      <c r="Q45" s="338"/>
    </row>
    <row r="46" spans="1:17" ht="13">
      <c r="A46" s="157" t="s">
        <v>2267</v>
      </c>
      <c r="B46" s="339" t="s">
        <v>2714</v>
      </c>
      <c r="C46" s="339" t="s">
        <v>2328</v>
      </c>
      <c r="D46" s="339" t="s">
        <v>2630</v>
      </c>
      <c r="E46" s="339" t="s">
        <v>2248</v>
      </c>
      <c r="G46" s="58" t="s">
        <v>2714</v>
      </c>
      <c r="H46" s="58" t="s">
        <v>2630</v>
      </c>
      <c r="I46" s="36" t="s">
        <v>91</v>
      </c>
      <c r="K46" t="str">
        <f t="shared" si="0"/>
        <v>OK</v>
      </c>
      <c r="M46" s="299" t="s">
        <v>2267</v>
      </c>
      <c r="N46" s="338" t="s">
        <v>2714</v>
      </c>
      <c r="O46" s="338" t="s">
        <v>2328</v>
      </c>
      <c r="P46" s="338" t="s">
        <v>2630</v>
      </c>
      <c r="Q46" s="338" t="s">
        <v>2248</v>
      </c>
    </row>
    <row r="47" spans="1:17" ht="13">
      <c r="A47" s="157" t="s">
        <v>2433</v>
      </c>
      <c r="B47" s="339" t="s">
        <v>2715</v>
      </c>
      <c r="C47" s="339" t="s">
        <v>2328</v>
      </c>
      <c r="D47" s="339" t="s">
        <v>2632</v>
      </c>
      <c r="E47" s="339" t="s">
        <v>2431</v>
      </c>
      <c r="G47" s="58" t="s">
        <v>2715</v>
      </c>
      <c r="H47" s="58" t="s">
        <v>2632</v>
      </c>
      <c r="I47" s="58"/>
      <c r="K47" t="str">
        <f t="shared" si="0"/>
        <v>OK</v>
      </c>
      <c r="M47" s="299" t="s">
        <v>2433</v>
      </c>
      <c r="N47" s="338" t="s">
        <v>2715</v>
      </c>
      <c r="O47" s="338" t="s">
        <v>2328</v>
      </c>
      <c r="P47" s="338" t="s">
        <v>2632</v>
      </c>
      <c r="Q47" s="338" t="s">
        <v>2431</v>
      </c>
    </row>
    <row r="48" spans="1:17" ht="13">
      <c r="A48" s="157" t="s">
        <v>2434</v>
      </c>
      <c r="B48" s="339" t="s">
        <v>2716</v>
      </c>
      <c r="C48" s="339" t="s">
        <v>2328</v>
      </c>
      <c r="D48" s="339" t="s">
        <v>2888</v>
      </c>
      <c r="E48" s="339" t="s">
        <v>2432</v>
      </c>
      <c r="G48" s="58" t="s">
        <v>2716</v>
      </c>
      <c r="H48" s="58" t="s">
        <v>2888</v>
      </c>
      <c r="I48" s="58"/>
      <c r="K48" t="str">
        <f t="shared" si="0"/>
        <v>OK</v>
      </c>
      <c r="M48" s="299" t="s">
        <v>2434</v>
      </c>
      <c r="N48" s="338" t="s">
        <v>2716</v>
      </c>
      <c r="O48" s="338" t="s">
        <v>2328</v>
      </c>
      <c r="P48" s="338" t="s">
        <v>2888</v>
      </c>
      <c r="Q48" s="338" t="s">
        <v>2432</v>
      </c>
    </row>
    <row r="49" spans="1:17" ht="13">
      <c r="A49" s="157" t="s">
        <v>2435</v>
      </c>
      <c r="B49" s="339" t="s">
        <v>2717</v>
      </c>
      <c r="C49" s="339" t="s">
        <v>2328</v>
      </c>
      <c r="D49" s="339" t="s">
        <v>2635</v>
      </c>
      <c r="E49" s="339" t="s">
        <v>1211</v>
      </c>
      <c r="G49" s="58" t="s">
        <v>2717</v>
      </c>
      <c r="H49" s="58" t="s">
        <v>2635</v>
      </c>
      <c r="I49" s="58"/>
      <c r="K49" t="str">
        <f t="shared" si="0"/>
        <v>OK</v>
      </c>
      <c r="M49" s="299" t="s">
        <v>2435</v>
      </c>
      <c r="N49" s="338" t="s">
        <v>2717</v>
      </c>
      <c r="O49" s="338" t="s">
        <v>2328</v>
      </c>
      <c r="P49" s="338" t="s">
        <v>2635</v>
      </c>
      <c r="Q49" s="338" t="s">
        <v>1211</v>
      </c>
    </row>
    <row r="50" spans="1:17" ht="13">
      <c r="A50" s="157" t="s">
        <v>2436</v>
      </c>
      <c r="B50" s="339" t="s">
        <v>2718</v>
      </c>
      <c r="C50" s="339" t="s">
        <v>2328</v>
      </c>
      <c r="D50" s="339" t="s">
        <v>2637</v>
      </c>
      <c r="E50" s="339" t="s">
        <v>2395</v>
      </c>
      <c r="G50" s="58" t="s">
        <v>2718</v>
      </c>
      <c r="H50" s="58" t="s">
        <v>2637</v>
      </c>
      <c r="I50" s="58" t="s">
        <v>2395</v>
      </c>
      <c r="K50" t="str">
        <f t="shared" si="0"/>
        <v>OK</v>
      </c>
      <c r="M50" s="299" t="s">
        <v>2436</v>
      </c>
      <c r="N50" s="338" t="s">
        <v>2718</v>
      </c>
      <c r="O50" s="338" t="s">
        <v>2328</v>
      </c>
      <c r="P50" s="338" t="s">
        <v>2637</v>
      </c>
      <c r="Q50" s="338" t="s">
        <v>2395</v>
      </c>
    </row>
    <row r="51" spans="1:17" ht="13">
      <c r="A51" s="157" t="s">
        <v>2437</v>
      </c>
      <c r="B51" s="339" t="s">
        <v>2719</v>
      </c>
      <c r="C51" s="339" t="s">
        <v>2328</v>
      </c>
      <c r="D51" s="339" t="s">
        <v>2639</v>
      </c>
      <c r="E51" s="339" t="s">
        <v>2887</v>
      </c>
      <c r="G51" s="58" t="s">
        <v>2719</v>
      </c>
      <c r="H51" s="58" t="s">
        <v>2639</v>
      </c>
      <c r="I51" s="58" t="s">
        <v>2566</v>
      </c>
      <c r="K51" t="str">
        <f t="shared" si="0"/>
        <v>OK</v>
      </c>
      <c r="M51" s="299" t="s">
        <v>2437</v>
      </c>
      <c r="N51" s="338" t="s">
        <v>2719</v>
      </c>
      <c r="O51" s="338" t="s">
        <v>2328</v>
      </c>
      <c r="P51" s="338" t="s">
        <v>2639</v>
      </c>
      <c r="Q51" s="338" t="s">
        <v>2887</v>
      </c>
    </row>
    <row r="52" spans="1:17" ht="13">
      <c r="A52" s="157" t="s">
        <v>2438</v>
      </c>
      <c r="B52" s="339" t="s">
        <v>2720</v>
      </c>
      <c r="C52" s="339" t="s">
        <v>2328</v>
      </c>
      <c r="D52" s="339" t="s">
        <v>2641</v>
      </c>
      <c r="E52" s="339" t="s">
        <v>3063</v>
      </c>
      <c r="G52" s="58" t="s">
        <v>2720</v>
      </c>
      <c r="H52" s="58" t="s">
        <v>2641</v>
      </c>
      <c r="I52" s="58" t="s">
        <v>4333</v>
      </c>
      <c r="K52" t="str">
        <f t="shared" si="0"/>
        <v>OK</v>
      </c>
      <c r="M52" s="299" t="s">
        <v>2438</v>
      </c>
      <c r="N52" s="338" t="s">
        <v>2720</v>
      </c>
      <c r="O52" s="338" t="s">
        <v>2328</v>
      </c>
      <c r="P52" s="338" t="s">
        <v>2641</v>
      </c>
      <c r="Q52" s="338" t="s">
        <v>2567</v>
      </c>
    </row>
    <row r="53" spans="1:17" ht="13">
      <c r="A53" s="157" t="s">
        <v>2409</v>
      </c>
      <c r="B53" s="339" t="s">
        <v>2720</v>
      </c>
      <c r="C53" s="339" t="s">
        <v>2328</v>
      </c>
      <c r="D53" s="339" t="s">
        <v>2643</v>
      </c>
      <c r="E53" s="343" t="s">
        <v>2394</v>
      </c>
      <c r="G53" s="58" t="s">
        <v>2721</v>
      </c>
      <c r="H53" s="58" t="s">
        <v>2643</v>
      </c>
      <c r="I53" s="36"/>
      <c r="K53" t="str">
        <f t="shared" si="0"/>
        <v>OK</v>
      </c>
      <c r="M53" s="299" t="s">
        <v>2409</v>
      </c>
      <c r="N53" s="338" t="s">
        <v>2721</v>
      </c>
      <c r="O53" s="338" t="s">
        <v>2328</v>
      </c>
      <c r="P53" s="338" t="s">
        <v>2643</v>
      </c>
      <c r="Q53" s="338" t="s">
        <v>2568</v>
      </c>
    </row>
    <row r="54" spans="1:17" ht="13">
      <c r="A54" s="157" t="s">
        <v>2439</v>
      </c>
      <c r="B54" s="339" t="s">
        <v>2720</v>
      </c>
      <c r="C54" s="339" t="s">
        <v>2328</v>
      </c>
      <c r="D54" s="339" t="s">
        <v>2645</v>
      </c>
      <c r="E54" s="343"/>
      <c r="G54" s="58" t="s">
        <v>2722</v>
      </c>
      <c r="H54" s="58" t="s">
        <v>2645</v>
      </c>
      <c r="I54" s="36"/>
      <c r="K54" t="str">
        <f t="shared" si="0"/>
        <v>OK</v>
      </c>
      <c r="M54" s="299" t="s">
        <v>2439</v>
      </c>
      <c r="N54" s="338" t="s">
        <v>2722</v>
      </c>
      <c r="O54" s="338" t="s">
        <v>2328</v>
      </c>
      <c r="P54" s="338" t="s">
        <v>2645</v>
      </c>
      <c r="Q54" s="338" t="s">
        <v>2569</v>
      </c>
    </row>
    <row r="55" spans="1:17" ht="13">
      <c r="A55" s="157" t="s">
        <v>2589</v>
      </c>
      <c r="B55" s="339" t="s">
        <v>2723</v>
      </c>
      <c r="C55" s="339" t="s">
        <v>2328</v>
      </c>
      <c r="D55" s="339" t="s">
        <v>2647</v>
      </c>
      <c r="E55" s="339" t="s">
        <v>2570</v>
      </c>
      <c r="G55" s="58" t="s">
        <v>2723</v>
      </c>
      <c r="H55" s="58" t="s">
        <v>2647</v>
      </c>
      <c r="I55" s="58" t="s">
        <v>2570</v>
      </c>
      <c r="K55" t="str">
        <f t="shared" si="0"/>
        <v>OK</v>
      </c>
      <c r="M55" s="299" t="s">
        <v>2589</v>
      </c>
      <c r="N55" s="338" t="s">
        <v>2723</v>
      </c>
      <c r="O55" s="338" t="s">
        <v>2328</v>
      </c>
      <c r="P55" s="338" t="s">
        <v>2647</v>
      </c>
      <c r="Q55" s="338" t="s">
        <v>2570</v>
      </c>
    </row>
    <row r="56" spans="1:17" ht="13">
      <c r="A56" s="157" t="s">
        <v>2590</v>
      </c>
      <c r="B56" s="339" t="s">
        <v>2724</v>
      </c>
      <c r="C56" s="339" t="s">
        <v>2328</v>
      </c>
      <c r="D56" s="339" t="s">
        <v>2649</v>
      </c>
      <c r="E56" s="339" t="s">
        <v>2571</v>
      </c>
      <c r="G56" s="58" t="s">
        <v>2724</v>
      </c>
      <c r="H56" s="58" t="s">
        <v>2649</v>
      </c>
      <c r="I56" s="58" t="s">
        <v>2571</v>
      </c>
      <c r="K56" t="str">
        <f t="shared" si="0"/>
        <v>OK</v>
      </c>
      <c r="M56" s="299" t="s">
        <v>2590</v>
      </c>
      <c r="N56" s="338" t="s">
        <v>2724</v>
      </c>
      <c r="O56" s="338" t="s">
        <v>2328</v>
      </c>
      <c r="P56" s="338" t="s">
        <v>2649</v>
      </c>
      <c r="Q56" s="338" t="s">
        <v>2571</v>
      </c>
    </row>
    <row r="57" spans="1:17" ht="13">
      <c r="A57" s="157" t="s">
        <v>2591</v>
      </c>
      <c r="B57" s="339" t="s">
        <v>2725</v>
      </c>
      <c r="C57" s="339" t="s">
        <v>2328</v>
      </c>
      <c r="D57" s="339" t="s">
        <v>2651</v>
      </c>
      <c r="E57" s="339" t="s">
        <v>2572</v>
      </c>
      <c r="G57" s="58" t="s">
        <v>2725</v>
      </c>
      <c r="H57" s="58" t="s">
        <v>2651</v>
      </c>
      <c r="I57" s="58" t="s">
        <v>2572</v>
      </c>
      <c r="K57" t="str">
        <f t="shared" si="0"/>
        <v>OK</v>
      </c>
      <c r="M57" s="299" t="s">
        <v>2591</v>
      </c>
      <c r="N57" s="338" t="s">
        <v>2725</v>
      </c>
      <c r="O57" s="338" t="s">
        <v>2328</v>
      </c>
      <c r="P57" s="338" t="s">
        <v>2651</v>
      </c>
      <c r="Q57" s="338" t="s">
        <v>2572</v>
      </c>
    </row>
    <row r="58" spans="1:17" ht="13">
      <c r="A58" s="157" t="s">
        <v>2592</v>
      </c>
      <c r="B58" s="339" t="s">
        <v>2726</v>
      </c>
      <c r="C58" s="339" t="s">
        <v>2328</v>
      </c>
      <c r="D58" s="339" t="s">
        <v>2653</v>
      </c>
      <c r="E58" s="339" t="s">
        <v>2573</v>
      </c>
      <c r="G58" s="58" t="s">
        <v>2726</v>
      </c>
      <c r="H58" s="58" t="s">
        <v>2653</v>
      </c>
      <c r="I58" s="58" t="s">
        <v>2573</v>
      </c>
      <c r="K58" t="str">
        <f t="shared" si="0"/>
        <v>OK</v>
      </c>
      <c r="M58" s="299" t="s">
        <v>2592</v>
      </c>
      <c r="N58" s="338" t="s">
        <v>2726</v>
      </c>
      <c r="O58" s="338" t="s">
        <v>2328</v>
      </c>
      <c r="P58" s="338" t="s">
        <v>2653</v>
      </c>
      <c r="Q58" s="338" t="s">
        <v>2573</v>
      </c>
    </row>
    <row r="59" spans="1:17" ht="13">
      <c r="A59" s="157" t="s">
        <v>2547</v>
      </c>
      <c r="B59" s="339" t="s">
        <v>2727</v>
      </c>
      <c r="C59" s="339" t="s">
        <v>2328</v>
      </c>
      <c r="D59" s="339" t="s">
        <v>2655</v>
      </c>
      <c r="E59" s="339" t="s">
        <v>2574</v>
      </c>
      <c r="G59" s="58" t="s">
        <v>2727</v>
      </c>
      <c r="H59" s="58" t="s">
        <v>2655</v>
      </c>
      <c r="I59" s="58" t="s">
        <v>2574</v>
      </c>
      <c r="K59" t="str">
        <f t="shared" si="0"/>
        <v>OK</v>
      </c>
      <c r="M59" s="299" t="s">
        <v>2547</v>
      </c>
      <c r="N59" s="338" t="s">
        <v>2727</v>
      </c>
      <c r="O59" s="338" t="s">
        <v>2328</v>
      </c>
      <c r="P59" s="338" t="s">
        <v>2655</v>
      </c>
      <c r="Q59" s="338" t="s">
        <v>2574</v>
      </c>
    </row>
    <row r="60" spans="1:17" ht="13">
      <c r="A60" s="157" t="s">
        <v>2440</v>
      </c>
      <c r="B60" s="339" t="s">
        <v>2728</v>
      </c>
      <c r="C60" s="339" t="s">
        <v>2328</v>
      </c>
      <c r="D60" s="339" t="s">
        <v>2657</v>
      </c>
      <c r="E60" s="339" t="s">
        <v>2425</v>
      </c>
      <c r="G60" s="58" t="s">
        <v>2728</v>
      </c>
      <c r="H60" s="58" t="s">
        <v>2657</v>
      </c>
      <c r="I60" s="58" t="s">
        <v>2425</v>
      </c>
      <c r="K60" t="str">
        <f t="shared" si="0"/>
        <v>OK</v>
      </c>
      <c r="M60" s="299" t="s">
        <v>2440</v>
      </c>
      <c r="N60" s="338" t="s">
        <v>2728</v>
      </c>
      <c r="O60" s="338" t="s">
        <v>2328</v>
      </c>
      <c r="P60" s="338" t="s">
        <v>2657</v>
      </c>
      <c r="Q60" s="338" t="s">
        <v>2425</v>
      </c>
    </row>
    <row r="61" spans="1:17" ht="13">
      <c r="A61" s="157" t="s">
        <v>2441</v>
      </c>
      <c r="B61" s="339" t="s">
        <v>2729</v>
      </c>
      <c r="C61" s="339" t="s">
        <v>2328</v>
      </c>
      <c r="D61" s="339" t="s">
        <v>2659</v>
      </c>
      <c r="E61" s="339" t="s">
        <v>2426</v>
      </c>
      <c r="G61" s="58" t="s">
        <v>2729</v>
      </c>
      <c r="H61" s="58" t="s">
        <v>2659</v>
      </c>
      <c r="I61" s="58" t="s">
        <v>2426</v>
      </c>
      <c r="K61" t="str">
        <f t="shared" si="0"/>
        <v>OK</v>
      </c>
      <c r="M61" s="299" t="s">
        <v>2441</v>
      </c>
      <c r="N61" s="338" t="s">
        <v>2729</v>
      </c>
      <c r="O61" s="338" t="s">
        <v>2328</v>
      </c>
      <c r="P61" s="338" t="s">
        <v>2659</v>
      </c>
      <c r="Q61" s="338" t="s">
        <v>2426</v>
      </c>
    </row>
    <row r="62" spans="1:17" ht="13">
      <c r="A62" s="157" t="s">
        <v>2442</v>
      </c>
      <c r="B62" s="339" t="s">
        <v>2730</v>
      </c>
      <c r="C62" s="339" t="s">
        <v>2328</v>
      </c>
      <c r="D62" s="339" t="s">
        <v>2661</v>
      </c>
      <c r="E62" s="339" t="s">
        <v>1207</v>
      </c>
      <c r="G62" s="58" t="s">
        <v>2730</v>
      </c>
      <c r="H62" s="58" t="s">
        <v>2661</v>
      </c>
      <c r="I62" s="58" t="s">
        <v>1207</v>
      </c>
      <c r="K62" t="str">
        <f t="shared" si="0"/>
        <v>OK</v>
      </c>
      <c r="M62" s="299" t="s">
        <v>2442</v>
      </c>
      <c r="N62" s="338" t="s">
        <v>2730</v>
      </c>
      <c r="O62" s="338" t="s">
        <v>2328</v>
      </c>
      <c r="P62" s="338" t="s">
        <v>2661</v>
      </c>
      <c r="Q62" s="338" t="s">
        <v>1207</v>
      </c>
    </row>
    <row r="63" spans="1:17" ht="13">
      <c r="A63" s="157" t="s">
        <v>2408</v>
      </c>
      <c r="B63" s="339" t="s">
        <v>2731</v>
      </c>
      <c r="C63" s="339" t="s">
        <v>2328</v>
      </c>
      <c r="D63" s="339" t="s">
        <v>2663</v>
      </c>
      <c r="E63" s="339" t="s">
        <v>1208</v>
      </c>
      <c r="G63" s="58" t="s">
        <v>2731</v>
      </c>
      <c r="H63" s="58" t="s">
        <v>2663</v>
      </c>
      <c r="I63" s="58" t="s">
        <v>1208</v>
      </c>
      <c r="K63" t="str">
        <f t="shared" si="0"/>
        <v>OK</v>
      </c>
      <c r="M63" s="299" t="s">
        <v>2408</v>
      </c>
      <c r="N63" s="338" t="s">
        <v>2731</v>
      </c>
      <c r="O63" s="338" t="s">
        <v>2328</v>
      </c>
      <c r="P63" s="338" t="s">
        <v>2663</v>
      </c>
      <c r="Q63" s="338" t="s">
        <v>1208</v>
      </c>
    </row>
    <row r="64" spans="1:17" ht="13">
      <c r="A64" s="157" t="s">
        <v>2410</v>
      </c>
      <c r="B64" s="339" t="s">
        <v>2732</v>
      </c>
      <c r="C64" s="339" t="s">
        <v>2328</v>
      </c>
      <c r="D64" s="339" t="s">
        <v>2665</v>
      </c>
      <c r="E64" s="339" t="s">
        <v>2582</v>
      </c>
      <c r="G64" s="58" t="s">
        <v>2732</v>
      </c>
      <c r="H64" s="58" t="s">
        <v>2665</v>
      </c>
      <c r="I64" s="58" t="s">
        <v>2582</v>
      </c>
      <c r="K64" t="str">
        <f t="shared" si="0"/>
        <v>OK</v>
      </c>
      <c r="M64" s="299" t="s">
        <v>2410</v>
      </c>
      <c r="N64" s="338" t="s">
        <v>2732</v>
      </c>
      <c r="O64" s="338" t="s">
        <v>2328</v>
      </c>
      <c r="P64" s="338" t="s">
        <v>2665</v>
      </c>
      <c r="Q64" s="338" t="s">
        <v>2582</v>
      </c>
    </row>
    <row r="65" spans="1:17" ht="13">
      <c r="A65" s="157" t="s">
        <v>2443</v>
      </c>
      <c r="B65" s="339" t="s">
        <v>2733</v>
      </c>
      <c r="C65" s="339" t="s">
        <v>2328</v>
      </c>
      <c r="D65" s="339" t="s">
        <v>2667</v>
      </c>
      <c r="E65" s="339" t="s">
        <v>2583</v>
      </c>
      <c r="G65" s="58" t="s">
        <v>2733</v>
      </c>
      <c r="H65" s="58" t="s">
        <v>2667</v>
      </c>
      <c r="I65" s="58" t="s">
        <v>2583</v>
      </c>
      <c r="K65" t="str">
        <f t="shared" si="0"/>
        <v>OK</v>
      </c>
      <c r="M65" s="299" t="s">
        <v>2443</v>
      </c>
      <c r="N65" s="338" t="s">
        <v>2733</v>
      </c>
      <c r="O65" s="338" t="s">
        <v>2328</v>
      </c>
      <c r="P65" s="338" t="s">
        <v>2667</v>
      </c>
      <c r="Q65" s="338" t="s">
        <v>2583</v>
      </c>
    </row>
    <row r="66" spans="1:17" ht="13">
      <c r="A66" s="157" t="s">
        <v>2444</v>
      </c>
      <c r="B66" s="339" t="s">
        <v>2734</v>
      </c>
      <c r="C66" s="339" t="s">
        <v>2328</v>
      </c>
      <c r="D66" s="339" t="s">
        <v>2669</v>
      </c>
      <c r="E66" s="339" t="s">
        <v>2584</v>
      </c>
      <c r="G66" s="58" t="s">
        <v>2734</v>
      </c>
      <c r="H66" s="58" t="s">
        <v>2669</v>
      </c>
      <c r="I66" s="58" t="s">
        <v>2584</v>
      </c>
      <c r="K66" t="str">
        <f t="shared" si="0"/>
        <v>OK</v>
      </c>
      <c r="M66" s="299" t="s">
        <v>2444</v>
      </c>
      <c r="N66" s="338" t="s">
        <v>2734</v>
      </c>
      <c r="O66" s="338" t="s">
        <v>2328</v>
      </c>
      <c r="P66" s="338" t="s">
        <v>2669</v>
      </c>
      <c r="Q66" s="338" t="s">
        <v>2584</v>
      </c>
    </row>
    <row r="67" spans="1:17" ht="13">
      <c r="A67" s="157" t="s">
        <v>2445</v>
      </c>
      <c r="B67" s="339" t="s">
        <v>2735</v>
      </c>
      <c r="C67" s="339" t="s">
        <v>2328</v>
      </c>
      <c r="D67" s="339" t="s">
        <v>2671</v>
      </c>
      <c r="E67" s="339" t="s">
        <v>2585</v>
      </c>
      <c r="G67" s="58" t="s">
        <v>2735</v>
      </c>
      <c r="H67" s="58" t="s">
        <v>2671</v>
      </c>
      <c r="I67" s="58" t="s">
        <v>2585</v>
      </c>
      <c r="K67" t="str">
        <f t="shared" ref="K67:K130" si="1">IF(AND(A67=M67,G67=N67),"OK","CHECK")</f>
        <v>OK</v>
      </c>
      <c r="M67" s="299" t="s">
        <v>2445</v>
      </c>
      <c r="N67" s="338" t="s">
        <v>2735</v>
      </c>
      <c r="O67" s="338" t="s">
        <v>2328</v>
      </c>
      <c r="P67" s="338" t="s">
        <v>2671</v>
      </c>
      <c r="Q67" s="338" t="s">
        <v>2585</v>
      </c>
    </row>
    <row r="68" spans="1:17" ht="13">
      <c r="A68" s="157" t="s">
        <v>2446</v>
      </c>
      <c r="B68" s="339" t="s">
        <v>2736</v>
      </c>
      <c r="C68" s="339" t="s">
        <v>2328</v>
      </c>
      <c r="D68" s="339" t="s">
        <v>2673</v>
      </c>
      <c r="E68" s="339" t="s">
        <v>2586</v>
      </c>
      <c r="G68" s="58" t="s">
        <v>2736</v>
      </c>
      <c r="H68" s="58" t="s">
        <v>2673</v>
      </c>
      <c r="I68" s="58" t="s">
        <v>2586</v>
      </c>
      <c r="K68" t="str">
        <f t="shared" si="1"/>
        <v>OK</v>
      </c>
      <c r="M68" s="299" t="s">
        <v>2446</v>
      </c>
      <c r="N68" s="338" t="s">
        <v>2736</v>
      </c>
      <c r="O68" s="338" t="s">
        <v>2328</v>
      </c>
      <c r="P68" s="338" t="s">
        <v>2673</v>
      </c>
      <c r="Q68" s="338" t="s">
        <v>2586</v>
      </c>
    </row>
    <row r="69" spans="1:17" ht="13">
      <c r="A69" s="157" t="s">
        <v>2593</v>
      </c>
      <c r="B69" s="339" t="s">
        <v>2737</v>
      </c>
      <c r="C69" s="339" t="s">
        <v>2328</v>
      </c>
      <c r="D69" s="339" t="s">
        <v>2675</v>
      </c>
      <c r="E69" s="339" t="s">
        <v>2587</v>
      </c>
      <c r="G69" s="58" t="s">
        <v>2737</v>
      </c>
      <c r="H69" s="58" t="s">
        <v>2675</v>
      </c>
      <c r="I69" s="58" t="s">
        <v>2587</v>
      </c>
      <c r="K69" t="str">
        <f t="shared" si="1"/>
        <v>OK</v>
      </c>
      <c r="M69" s="299" t="s">
        <v>2593</v>
      </c>
      <c r="N69" s="338" t="s">
        <v>2737</v>
      </c>
      <c r="O69" s="338" t="s">
        <v>2328</v>
      </c>
      <c r="P69" s="338" t="s">
        <v>2675</v>
      </c>
      <c r="Q69" s="338" t="s">
        <v>2587</v>
      </c>
    </row>
    <row r="70" spans="1:17" ht="13">
      <c r="A70" s="157" t="s">
        <v>2594</v>
      </c>
      <c r="B70" s="339" t="s">
        <v>2738</v>
      </c>
      <c r="C70" s="339" t="s">
        <v>2328</v>
      </c>
      <c r="D70" s="339" t="s">
        <v>2677</v>
      </c>
      <c r="E70" s="339" t="s">
        <v>2588</v>
      </c>
      <c r="G70" s="58" t="s">
        <v>2738</v>
      </c>
      <c r="H70" s="58" t="s">
        <v>2677</v>
      </c>
      <c r="I70" s="58" t="s">
        <v>2588</v>
      </c>
      <c r="K70" t="str">
        <f t="shared" si="1"/>
        <v>OK</v>
      </c>
      <c r="M70" s="299" t="s">
        <v>2594</v>
      </c>
      <c r="N70" s="338" t="s">
        <v>2738</v>
      </c>
      <c r="O70" s="338" t="s">
        <v>2328</v>
      </c>
      <c r="P70" s="338" t="s">
        <v>2677</v>
      </c>
      <c r="Q70" s="338" t="s">
        <v>2588</v>
      </c>
    </row>
    <row r="71" spans="1:17" ht="13">
      <c r="A71" s="157" t="s">
        <v>2554</v>
      </c>
      <c r="B71" s="339" t="s">
        <v>2739</v>
      </c>
      <c r="C71" s="339" t="s">
        <v>2328</v>
      </c>
      <c r="D71" s="339" t="s">
        <v>2679</v>
      </c>
      <c r="E71" s="339" t="s">
        <v>2427</v>
      </c>
      <c r="G71" s="58" t="s">
        <v>2739</v>
      </c>
      <c r="H71" s="58" t="s">
        <v>2679</v>
      </c>
      <c r="I71" s="58" t="s">
        <v>2427</v>
      </c>
      <c r="K71" t="str">
        <f t="shared" si="1"/>
        <v>OK</v>
      </c>
      <c r="M71" s="299" t="s">
        <v>2554</v>
      </c>
      <c r="N71" s="338" t="s">
        <v>2739</v>
      </c>
      <c r="O71" s="338" t="s">
        <v>2328</v>
      </c>
      <c r="P71" s="338" t="s">
        <v>2679</v>
      </c>
      <c r="Q71" s="338" t="s">
        <v>2427</v>
      </c>
    </row>
    <row r="72" spans="1:17" ht="13">
      <c r="A72" s="157"/>
      <c r="B72" s="339" t="s">
        <v>2740</v>
      </c>
      <c r="C72" s="339" t="s">
        <v>2328</v>
      </c>
      <c r="D72" s="339" t="s">
        <v>2681</v>
      </c>
      <c r="E72" s="339" t="s">
        <v>3054</v>
      </c>
      <c r="G72" s="58" t="s">
        <v>2740</v>
      </c>
      <c r="H72" s="58" t="s">
        <v>2681</v>
      </c>
      <c r="I72" s="58" t="s">
        <v>3054</v>
      </c>
      <c r="K72" t="str">
        <f t="shared" si="1"/>
        <v>OK</v>
      </c>
      <c r="M72" s="299"/>
      <c r="N72" s="338" t="s">
        <v>2740</v>
      </c>
      <c r="O72" s="338" t="s">
        <v>2328</v>
      </c>
      <c r="P72" s="338" t="s">
        <v>2681</v>
      </c>
      <c r="Q72" s="339" t="s">
        <v>3054</v>
      </c>
    </row>
    <row r="73" spans="1:17" ht="13">
      <c r="A73" s="157"/>
      <c r="B73" s="339" t="s">
        <v>2741</v>
      </c>
      <c r="C73" s="339" t="s">
        <v>2328</v>
      </c>
      <c r="D73" s="339" t="s">
        <v>2683</v>
      </c>
      <c r="E73" s="339"/>
      <c r="G73" s="58" t="s">
        <v>2741</v>
      </c>
      <c r="K73" t="str">
        <f t="shared" si="1"/>
        <v>OK</v>
      </c>
      <c r="M73" s="299"/>
      <c r="N73" s="338" t="s">
        <v>2741</v>
      </c>
      <c r="O73" s="338" t="s">
        <v>2328</v>
      </c>
      <c r="P73" s="338" t="s">
        <v>2683</v>
      </c>
      <c r="Q73" s="338"/>
    </row>
    <row r="74" spans="1:17" ht="13">
      <c r="A74" s="157"/>
      <c r="B74" s="339" t="s">
        <v>2742</v>
      </c>
      <c r="C74" s="339" t="s">
        <v>2328</v>
      </c>
      <c r="D74" s="339" t="s">
        <v>2685</v>
      </c>
      <c r="E74" s="339"/>
      <c r="G74" s="58" t="s">
        <v>2742</v>
      </c>
      <c r="K74" t="str">
        <f t="shared" si="1"/>
        <v>OK</v>
      </c>
      <c r="M74" s="299"/>
      <c r="N74" s="338" t="s">
        <v>2742</v>
      </c>
      <c r="O74" s="338" t="s">
        <v>2328</v>
      </c>
      <c r="P74" s="338" t="s">
        <v>2685</v>
      </c>
      <c r="Q74" s="338"/>
    </row>
    <row r="75" spans="1:17" ht="13">
      <c r="A75" s="157"/>
      <c r="B75" s="339" t="s">
        <v>2743</v>
      </c>
      <c r="C75" s="339" t="s">
        <v>2328</v>
      </c>
      <c r="D75" s="339" t="s">
        <v>2687</v>
      </c>
      <c r="E75" s="339"/>
      <c r="G75" s="58" t="s">
        <v>2743</v>
      </c>
      <c r="K75" t="str">
        <f t="shared" si="1"/>
        <v>OK</v>
      </c>
      <c r="M75" s="299"/>
      <c r="N75" s="338" t="s">
        <v>2743</v>
      </c>
      <c r="O75" s="338" t="s">
        <v>2328</v>
      </c>
      <c r="P75" s="338" t="s">
        <v>2687</v>
      </c>
      <c r="Q75" s="338"/>
    </row>
    <row r="76" spans="1:17" ht="13">
      <c r="A76" s="157"/>
      <c r="B76" s="339" t="s">
        <v>2744</v>
      </c>
      <c r="C76" s="339" t="s">
        <v>2328</v>
      </c>
      <c r="D76" s="339" t="s">
        <v>2689</v>
      </c>
      <c r="E76" s="339"/>
      <c r="G76" s="58" t="s">
        <v>2744</v>
      </c>
      <c r="K76" t="str">
        <f t="shared" si="1"/>
        <v>OK</v>
      </c>
      <c r="M76" s="299"/>
      <c r="N76" s="338" t="s">
        <v>2744</v>
      </c>
      <c r="O76" s="338" t="s">
        <v>2328</v>
      </c>
      <c r="P76" s="338" t="s">
        <v>2689</v>
      </c>
      <c r="Q76" s="338"/>
    </row>
    <row r="77" spans="1:17" ht="13">
      <c r="A77" s="157"/>
      <c r="B77" s="339" t="s">
        <v>2745</v>
      </c>
      <c r="C77" s="339" t="s">
        <v>2328</v>
      </c>
      <c r="D77" s="339" t="s">
        <v>2691</v>
      </c>
      <c r="E77" s="339"/>
      <c r="G77" s="58" t="s">
        <v>2745</v>
      </c>
      <c r="K77" t="str">
        <f t="shared" si="1"/>
        <v>OK</v>
      </c>
      <c r="M77" s="299"/>
      <c r="N77" s="338" t="s">
        <v>2745</v>
      </c>
      <c r="O77" s="338" t="s">
        <v>2328</v>
      </c>
      <c r="P77" s="338" t="s">
        <v>2691</v>
      </c>
      <c r="Q77" s="338"/>
    </row>
    <row r="78" spans="1:17" ht="13">
      <c r="A78" s="157"/>
      <c r="B78" s="339" t="s">
        <v>2746</v>
      </c>
      <c r="C78" s="339" t="s">
        <v>2328</v>
      </c>
      <c r="D78" s="339" t="s">
        <v>2693</v>
      </c>
      <c r="E78" s="339"/>
      <c r="G78" s="58" t="s">
        <v>2746</v>
      </c>
      <c r="K78" t="str">
        <f t="shared" si="1"/>
        <v>OK</v>
      </c>
      <c r="M78" s="299"/>
      <c r="N78" s="338" t="s">
        <v>2746</v>
      </c>
      <c r="O78" s="338" t="s">
        <v>2328</v>
      </c>
      <c r="P78" s="338" t="s">
        <v>2693</v>
      </c>
      <c r="Q78" s="338"/>
    </row>
    <row r="79" spans="1:17" ht="13">
      <c r="B79" s="339" t="s">
        <v>2747</v>
      </c>
      <c r="C79" s="339" t="s">
        <v>2328</v>
      </c>
      <c r="D79" s="339" t="s">
        <v>2695</v>
      </c>
      <c r="E79" s="339"/>
      <c r="G79" s="58" t="s">
        <v>2747</v>
      </c>
      <c r="K79" t="str">
        <f t="shared" si="1"/>
        <v>OK</v>
      </c>
      <c r="M79" s="297"/>
      <c r="N79" s="338" t="s">
        <v>2747</v>
      </c>
      <c r="O79" s="338" t="s">
        <v>2328</v>
      </c>
      <c r="P79" s="338" t="s">
        <v>2695</v>
      </c>
      <c r="Q79" s="338"/>
    </row>
    <row r="80" spans="1:17" ht="13">
      <c r="B80" s="339" t="s">
        <v>2748</v>
      </c>
      <c r="C80" s="339" t="s">
        <v>2328</v>
      </c>
      <c r="D80" s="339" t="s">
        <v>2697</v>
      </c>
      <c r="E80" s="339"/>
      <c r="G80" s="58" t="s">
        <v>2748</v>
      </c>
      <c r="K80" t="str">
        <f t="shared" si="1"/>
        <v>OK</v>
      </c>
      <c r="M80" s="297"/>
      <c r="N80" s="338" t="s">
        <v>2748</v>
      </c>
      <c r="O80" s="338" t="s">
        <v>2328</v>
      </c>
      <c r="P80" s="338" t="s">
        <v>2697</v>
      </c>
      <c r="Q80" s="338"/>
    </row>
    <row r="81" spans="1:17" ht="13">
      <c r="B81" s="339" t="s">
        <v>2749</v>
      </c>
      <c r="C81" s="339" t="s">
        <v>2328</v>
      </c>
      <c r="D81" s="339" t="s">
        <v>2699</v>
      </c>
      <c r="E81" s="339"/>
      <c r="G81" s="58" t="s">
        <v>2749</v>
      </c>
      <c r="K81" t="str">
        <f t="shared" si="1"/>
        <v>OK</v>
      </c>
      <c r="M81" s="297"/>
      <c r="N81" s="338" t="s">
        <v>2749</v>
      </c>
      <c r="O81" s="338" t="s">
        <v>2328</v>
      </c>
      <c r="P81" s="338" t="s">
        <v>2699</v>
      </c>
      <c r="Q81" s="338"/>
    </row>
    <row r="82" spans="1:17" ht="13">
      <c r="B82" s="339" t="s">
        <v>2750</v>
      </c>
      <c r="C82" s="339" t="s">
        <v>2328</v>
      </c>
      <c r="D82" s="339" t="s">
        <v>2701</v>
      </c>
      <c r="E82" s="339"/>
      <c r="G82" s="58" t="s">
        <v>2750</v>
      </c>
      <c r="K82" t="str">
        <f t="shared" si="1"/>
        <v>OK</v>
      </c>
      <c r="M82" s="297"/>
      <c r="N82" s="338" t="s">
        <v>2750</v>
      </c>
      <c r="O82" s="338" t="s">
        <v>2328</v>
      </c>
      <c r="P82" s="338" t="s">
        <v>2701</v>
      </c>
      <c r="Q82" s="338"/>
    </row>
    <row r="83" spans="1:17" ht="13">
      <c r="B83" s="339" t="s">
        <v>2751</v>
      </c>
      <c r="C83" s="339" t="s">
        <v>2328</v>
      </c>
      <c r="D83" s="339" t="s">
        <v>2703</v>
      </c>
      <c r="E83" s="339"/>
      <c r="G83" s="58" t="s">
        <v>2751</v>
      </c>
      <c r="K83" t="str">
        <f t="shared" si="1"/>
        <v>OK</v>
      </c>
      <c r="M83" s="297"/>
      <c r="N83" s="338" t="s">
        <v>2751</v>
      </c>
      <c r="O83" s="338" t="s">
        <v>2328</v>
      </c>
      <c r="P83" s="338" t="s">
        <v>2703</v>
      </c>
      <c r="Q83" s="338"/>
    </row>
    <row r="84" spans="1:17" ht="13">
      <c r="B84" s="339" t="s">
        <v>2752</v>
      </c>
      <c r="C84" s="339" t="s">
        <v>2328</v>
      </c>
      <c r="D84" s="339" t="s">
        <v>2705</v>
      </c>
      <c r="E84" s="339"/>
      <c r="G84" s="58" t="s">
        <v>2752</v>
      </c>
      <c r="K84" t="str">
        <f t="shared" si="1"/>
        <v>OK</v>
      </c>
      <c r="M84" s="297"/>
      <c r="N84" s="338" t="s">
        <v>2752</v>
      </c>
      <c r="O84" s="338" t="s">
        <v>2328</v>
      </c>
      <c r="P84" s="338" t="s">
        <v>2705</v>
      </c>
      <c r="Q84" s="338"/>
    </row>
    <row r="85" spans="1:17" ht="13">
      <c r="B85" s="339" t="s">
        <v>2753</v>
      </c>
      <c r="C85" s="339" t="s">
        <v>2328</v>
      </c>
      <c r="D85" s="339" t="s">
        <v>2707</v>
      </c>
      <c r="E85" s="339"/>
      <c r="G85" s="58" t="s">
        <v>2753</v>
      </c>
      <c r="K85" t="str">
        <f t="shared" si="1"/>
        <v>OK</v>
      </c>
      <c r="M85" s="297"/>
      <c r="N85" s="338" t="s">
        <v>2753</v>
      </c>
      <c r="O85" s="338" t="s">
        <v>2328</v>
      </c>
      <c r="P85" s="338" t="s">
        <v>2707</v>
      </c>
      <c r="Q85" s="338"/>
    </row>
    <row r="86" spans="1:17" ht="13">
      <c r="B86" s="339" t="s">
        <v>2754</v>
      </c>
      <c r="C86" s="339" t="s">
        <v>2328</v>
      </c>
      <c r="D86" s="339" t="s">
        <v>2709</v>
      </c>
      <c r="E86" s="339"/>
      <c r="G86" s="58" t="s">
        <v>2754</v>
      </c>
      <c r="K86" t="str">
        <f t="shared" si="1"/>
        <v>OK</v>
      </c>
      <c r="M86" s="297"/>
      <c r="N86" s="338" t="s">
        <v>2754</v>
      </c>
      <c r="O86" s="338" t="s">
        <v>2328</v>
      </c>
      <c r="P86" s="338" t="s">
        <v>2709</v>
      </c>
      <c r="Q86" s="338"/>
    </row>
    <row r="87" spans="1:17" ht="13">
      <c r="B87" s="339" t="s">
        <v>2755</v>
      </c>
      <c r="C87" s="339" t="s">
        <v>2328</v>
      </c>
      <c r="D87" s="339" t="s">
        <v>2711</v>
      </c>
      <c r="E87" s="339"/>
      <c r="G87" s="58" t="s">
        <v>2755</v>
      </c>
      <c r="K87" t="str">
        <f t="shared" si="1"/>
        <v>OK</v>
      </c>
      <c r="M87" s="297"/>
      <c r="N87" s="338" t="s">
        <v>2755</v>
      </c>
      <c r="O87" s="338" t="s">
        <v>2328</v>
      </c>
      <c r="P87" s="338" t="s">
        <v>2711</v>
      </c>
      <c r="Q87" s="338"/>
    </row>
    <row r="88" spans="1:17" ht="13">
      <c r="B88" s="339" t="s">
        <v>2756</v>
      </c>
      <c r="C88" s="339" t="s">
        <v>2328</v>
      </c>
      <c r="D88" s="339" t="s">
        <v>2713</v>
      </c>
      <c r="E88" s="339"/>
      <c r="G88" s="58" t="s">
        <v>2756</v>
      </c>
      <c r="K88" t="str">
        <f t="shared" si="1"/>
        <v>OK</v>
      </c>
      <c r="M88" s="297"/>
      <c r="N88" s="338" t="s">
        <v>2756</v>
      </c>
      <c r="O88" s="338" t="s">
        <v>2328</v>
      </c>
      <c r="P88" s="338" t="s">
        <v>2713</v>
      </c>
      <c r="Q88" s="338"/>
    </row>
    <row r="89" spans="1:17" ht="13">
      <c r="B89" s="339"/>
      <c r="C89" s="339"/>
      <c r="D89" s="339"/>
      <c r="E89" s="339"/>
      <c r="K89" t="str">
        <f t="shared" si="1"/>
        <v>OK</v>
      </c>
      <c r="M89" s="297"/>
      <c r="N89" s="338"/>
      <c r="O89" s="338"/>
      <c r="P89" s="338"/>
      <c r="Q89" s="338"/>
    </row>
    <row r="90" spans="1:17" ht="13">
      <c r="A90" s="157" t="s">
        <v>2311</v>
      </c>
      <c r="B90" s="339" t="s">
        <v>2311</v>
      </c>
      <c r="C90" s="339" t="s">
        <v>963</v>
      </c>
      <c r="D90" s="339" t="s">
        <v>2630</v>
      </c>
      <c r="E90" s="339" t="s">
        <v>2405</v>
      </c>
      <c r="G90" s="58" t="s">
        <v>5405</v>
      </c>
      <c r="H90" s="58" t="s">
        <v>2630</v>
      </c>
      <c r="I90" s="124" t="s">
        <v>2405</v>
      </c>
      <c r="K90" t="str">
        <f t="shared" si="1"/>
        <v>CHECK</v>
      </c>
      <c r="M90" s="299" t="s">
        <v>2311</v>
      </c>
      <c r="N90" s="338" t="s">
        <v>2311</v>
      </c>
      <c r="O90" s="338" t="s">
        <v>963</v>
      </c>
      <c r="P90" s="338" t="s">
        <v>2630</v>
      </c>
      <c r="Q90" s="338" t="s">
        <v>2405</v>
      </c>
    </row>
    <row r="91" spans="1:17" ht="13">
      <c r="A91" s="157" t="s">
        <v>2324</v>
      </c>
      <c r="B91" s="339" t="s">
        <v>2324</v>
      </c>
      <c r="C91" s="339" t="s">
        <v>963</v>
      </c>
      <c r="D91" s="339" t="s">
        <v>2632</v>
      </c>
      <c r="E91" s="339" t="s">
        <v>2603</v>
      </c>
      <c r="G91" s="58" t="s">
        <v>5400</v>
      </c>
      <c r="H91" s="58" t="s">
        <v>2632</v>
      </c>
      <c r="I91" s="124" t="s">
        <v>2603</v>
      </c>
      <c r="K91" t="str">
        <f t="shared" si="1"/>
        <v>CHECK</v>
      </c>
      <c r="M91" s="299" t="s">
        <v>2324</v>
      </c>
      <c r="N91" s="338" t="s">
        <v>2324</v>
      </c>
      <c r="O91" s="338" t="s">
        <v>963</v>
      </c>
      <c r="P91" s="338" t="s">
        <v>2632</v>
      </c>
      <c r="Q91" s="338" t="s">
        <v>2603</v>
      </c>
    </row>
    <row r="92" spans="1:17" ht="13">
      <c r="A92" s="157" t="s">
        <v>2314</v>
      </c>
      <c r="B92" s="339" t="s">
        <v>2314</v>
      </c>
      <c r="C92" s="339" t="s">
        <v>963</v>
      </c>
      <c r="D92" s="339" t="s">
        <v>2888</v>
      </c>
      <c r="E92" s="339" t="s">
        <v>2396</v>
      </c>
      <c r="G92" s="58" t="s">
        <v>5395</v>
      </c>
      <c r="H92" s="58" t="s">
        <v>2888</v>
      </c>
      <c r="I92" s="124" t="s">
        <v>2396</v>
      </c>
      <c r="K92" t="str">
        <f t="shared" si="1"/>
        <v>CHECK</v>
      </c>
      <c r="M92" s="299" t="s">
        <v>2314</v>
      </c>
      <c r="N92" s="338" t="s">
        <v>2314</v>
      </c>
      <c r="O92" s="338" t="s">
        <v>963</v>
      </c>
      <c r="P92" s="338" t="s">
        <v>2888</v>
      </c>
      <c r="Q92" s="338" t="s">
        <v>2396</v>
      </c>
    </row>
    <row r="93" spans="1:17" ht="13">
      <c r="A93" s="157" t="s">
        <v>2312</v>
      </c>
      <c r="B93" s="339" t="s">
        <v>2312</v>
      </c>
      <c r="C93" s="339" t="s">
        <v>963</v>
      </c>
      <c r="D93" s="339" t="s">
        <v>2635</v>
      </c>
      <c r="E93" s="339" t="s">
        <v>2604</v>
      </c>
      <c r="G93" s="58" t="s">
        <v>5406</v>
      </c>
      <c r="H93" s="58" t="s">
        <v>2635</v>
      </c>
      <c r="I93" s="124" t="s">
        <v>2604</v>
      </c>
      <c r="K93" t="str">
        <f t="shared" si="1"/>
        <v>CHECK</v>
      </c>
      <c r="M93" s="299" t="s">
        <v>2312</v>
      </c>
      <c r="N93" s="338" t="s">
        <v>2312</v>
      </c>
      <c r="O93" s="338" t="s">
        <v>963</v>
      </c>
      <c r="P93" s="338" t="s">
        <v>2635</v>
      </c>
      <c r="Q93" s="338" t="s">
        <v>2604</v>
      </c>
    </row>
    <row r="94" spans="1:17" ht="13">
      <c r="A94" s="157" t="s">
        <v>2310</v>
      </c>
      <c r="B94" s="339" t="s">
        <v>2310</v>
      </c>
      <c r="C94" s="339" t="s">
        <v>963</v>
      </c>
      <c r="D94" s="339" t="s">
        <v>2637</v>
      </c>
      <c r="E94" s="339" t="s">
        <v>2605</v>
      </c>
      <c r="G94" s="58" t="s">
        <v>5408</v>
      </c>
      <c r="H94" s="58" t="s">
        <v>2637</v>
      </c>
      <c r="I94" s="124" t="s">
        <v>2605</v>
      </c>
      <c r="K94" t="str">
        <f t="shared" si="1"/>
        <v>CHECK</v>
      </c>
      <c r="M94" s="299" t="s">
        <v>2310</v>
      </c>
      <c r="N94" s="338" t="s">
        <v>2310</v>
      </c>
      <c r="O94" s="338" t="s">
        <v>963</v>
      </c>
      <c r="P94" s="338" t="s">
        <v>2637</v>
      </c>
      <c r="Q94" s="338" t="s">
        <v>2605</v>
      </c>
    </row>
    <row r="95" spans="1:17" ht="13">
      <c r="A95" s="157" t="s">
        <v>2325</v>
      </c>
      <c r="B95" s="339" t="s">
        <v>2325</v>
      </c>
      <c r="C95" s="339" t="s">
        <v>963</v>
      </c>
      <c r="D95" s="339" t="s">
        <v>2639</v>
      </c>
      <c r="E95" s="339" t="s">
        <v>2606</v>
      </c>
      <c r="G95" s="58" t="s">
        <v>5409</v>
      </c>
      <c r="H95" s="58" t="s">
        <v>2639</v>
      </c>
      <c r="I95" s="124" t="s">
        <v>2606</v>
      </c>
      <c r="K95" t="str">
        <f t="shared" si="1"/>
        <v>CHECK</v>
      </c>
      <c r="M95" s="299" t="s">
        <v>2325</v>
      </c>
      <c r="N95" s="338" t="s">
        <v>2325</v>
      </c>
      <c r="O95" s="338" t="s">
        <v>963</v>
      </c>
      <c r="P95" s="338" t="s">
        <v>2639</v>
      </c>
      <c r="Q95" s="338" t="s">
        <v>2606</v>
      </c>
    </row>
    <row r="96" spans="1:17" ht="13">
      <c r="A96" s="157" t="s">
        <v>2323</v>
      </c>
      <c r="B96" s="339" t="s">
        <v>2323</v>
      </c>
      <c r="C96" s="339" t="s">
        <v>963</v>
      </c>
      <c r="D96" s="339" t="s">
        <v>2641</v>
      </c>
      <c r="E96" s="339" t="s">
        <v>2607</v>
      </c>
      <c r="G96" s="58" t="s">
        <v>5421</v>
      </c>
      <c r="H96" s="58" t="s">
        <v>2641</v>
      </c>
      <c r="I96" s="124" t="s">
        <v>2607</v>
      </c>
      <c r="K96" t="str">
        <f t="shared" si="1"/>
        <v>CHECK</v>
      </c>
      <c r="M96" s="299" t="s">
        <v>2323</v>
      </c>
      <c r="N96" s="338" t="s">
        <v>2323</v>
      </c>
      <c r="O96" s="338" t="s">
        <v>963</v>
      </c>
      <c r="P96" s="338" t="s">
        <v>2641</v>
      </c>
      <c r="Q96" s="338" t="s">
        <v>2607</v>
      </c>
    </row>
    <row r="97" spans="1:17" ht="13">
      <c r="A97" s="157" t="s">
        <v>2313</v>
      </c>
      <c r="B97" s="339" t="s">
        <v>2313</v>
      </c>
      <c r="C97" s="339" t="s">
        <v>963</v>
      </c>
      <c r="D97" s="339" t="s">
        <v>2643</v>
      </c>
      <c r="E97" s="339" t="s">
        <v>2608</v>
      </c>
      <c r="G97" s="58" t="s">
        <v>5422</v>
      </c>
      <c r="H97" s="58" t="s">
        <v>2643</v>
      </c>
      <c r="I97" s="124" t="s">
        <v>2608</v>
      </c>
      <c r="K97" t="str">
        <f t="shared" si="1"/>
        <v>CHECK</v>
      </c>
      <c r="M97" s="299" t="s">
        <v>2313</v>
      </c>
      <c r="N97" s="338" t="s">
        <v>2313</v>
      </c>
      <c r="O97" s="338" t="s">
        <v>963</v>
      </c>
      <c r="P97" s="338" t="s">
        <v>2643</v>
      </c>
      <c r="Q97" s="338" t="s">
        <v>2608</v>
      </c>
    </row>
    <row r="98" spans="1:17" ht="13">
      <c r="A98" s="157" t="s">
        <v>2309</v>
      </c>
      <c r="B98" s="339" t="s">
        <v>2309</v>
      </c>
      <c r="C98" s="339" t="s">
        <v>963</v>
      </c>
      <c r="D98" s="339" t="s">
        <v>2645</v>
      </c>
      <c r="E98" s="339" t="s">
        <v>2393</v>
      </c>
      <c r="G98" s="58" t="s">
        <v>5411</v>
      </c>
      <c r="H98" s="58" t="s">
        <v>2645</v>
      </c>
      <c r="I98" s="124" t="s">
        <v>2393</v>
      </c>
      <c r="K98" t="str">
        <f t="shared" si="1"/>
        <v>CHECK</v>
      </c>
      <c r="M98" s="299" t="s">
        <v>2309</v>
      </c>
      <c r="N98" s="338" t="s">
        <v>2309</v>
      </c>
      <c r="O98" s="338" t="s">
        <v>963</v>
      </c>
      <c r="P98" s="338" t="s">
        <v>2645</v>
      </c>
      <c r="Q98" s="338" t="s">
        <v>2393</v>
      </c>
    </row>
    <row r="99" spans="1:17" ht="13">
      <c r="A99" s="157" t="s">
        <v>2322</v>
      </c>
      <c r="B99" s="339" t="s">
        <v>2322</v>
      </c>
      <c r="C99" s="339" t="s">
        <v>963</v>
      </c>
      <c r="D99" s="339" t="s">
        <v>2647</v>
      </c>
      <c r="E99" s="339" t="s">
        <v>2270</v>
      </c>
      <c r="G99" s="58" t="s">
        <v>5414</v>
      </c>
      <c r="H99" s="58" t="s">
        <v>2647</v>
      </c>
      <c r="I99" s="124" t="s">
        <v>2270</v>
      </c>
      <c r="K99" t="str">
        <f t="shared" si="1"/>
        <v>CHECK</v>
      </c>
      <c r="M99" s="299" t="s">
        <v>2322</v>
      </c>
      <c r="N99" s="338" t="s">
        <v>2322</v>
      </c>
      <c r="O99" s="338" t="s">
        <v>963</v>
      </c>
      <c r="P99" s="338" t="s">
        <v>2647</v>
      </c>
      <c r="Q99" s="338" t="s">
        <v>2270</v>
      </c>
    </row>
    <row r="100" spans="1:17" ht="13">
      <c r="A100" s="157" t="s">
        <v>2332</v>
      </c>
      <c r="B100" s="339" t="s">
        <v>2332</v>
      </c>
      <c r="C100" s="339" t="s">
        <v>963</v>
      </c>
      <c r="D100" s="339" t="s">
        <v>2649</v>
      </c>
      <c r="E100" s="339" t="s">
        <v>2609</v>
      </c>
      <c r="G100" s="58" t="s">
        <v>5403</v>
      </c>
      <c r="H100" s="58" t="s">
        <v>2649</v>
      </c>
      <c r="I100" s="124" t="s">
        <v>2609</v>
      </c>
      <c r="K100" t="str">
        <f t="shared" si="1"/>
        <v>CHECK</v>
      </c>
      <c r="M100" s="299" t="s">
        <v>2332</v>
      </c>
      <c r="N100" s="338" t="s">
        <v>2332</v>
      </c>
      <c r="O100" s="338" t="s">
        <v>963</v>
      </c>
      <c r="P100" s="338" t="s">
        <v>2649</v>
      </c>
      <c r="Q100" s="338" t="s">
        <v>2609</v>
      </c>
    </row>
    <row r="101" spans="1:17" ht="13">
      <c r="A101" s="157" t="s">
        <v>2333</v>
      </c>
      <c r="B101" s="339" t="s">
        <v>2333</v>
      </c>
      <c r="C101" s="339" t="s">
        <v>963</v>
      </c>
      <c r="D101" s="339" t="s">
        <v>2651</v>
      </c>
      <c r="E101" s="339" t="s">
        <v>2394</v>
      </c>
      <c r="G101" s="58" t="s">
        <v>5415</v>
      </c>
      <c r="H101" s="58" t="s">
        <v>2651</v>
      </c>
      <c r="I101" s="124" t="s">
        <v>2394</v>
      </c>
      <c r="K101" t="str">
        <f t="shared" si="1"/>
        <v>CHECK</v>
      </c>
      <c r="M101" s="299" t="s">
        <v>2333</v>
      </c>
      <c r="N101" s="338" t="s">
        <v>2333</v>
      </c>
      <c r="O101" s="338" t="s">
        <v>963</v>
      </c>
      <c r="P101" s="338" t="s">
        <v>2651</v>
      </c>
      <c r="Q101" s="338" t="s">
        <v>2394</v>
      </c>
    </row>
    <row r="102" spans="1:17" ht="13">
      <c r="A102" s="157" t="s">
        <v>2331</v>
      </c>
      <c r="B102" s="339" t="s">
        <v>2331</v>
      </c>
      <c r="C102" s="339" t="s">
        <v>963</v>
      </c>
      <c r="D102" s="339" t="s">
        <v>2653</v>
      </c>
      <c r="E102" s="339" t="s">
        <v>2397</v>
      </c>
      <c r="G102" s="58" t="s">
        <v>5407</v>
      </c>
      <c r="H102" s="58" t="s">
        <v>2653</v>
      </c>
      <c r="I102" s="124" t="s">
        <v>2397</v>
      </c>
      <c r="K102" t="str">
        <f t="shared" si="1"/>
        <v>CHECK</v>
      </c>
      <c r="M102" s="299" t="s">
        <v>2331</v>
      </c>
      <c r="N102" s="338" t="s">
        <v>2331</v>
      </c>
      <c r="O102" s="338" t="s">
        <v>963</v>
      </c>
      <c r="P102" s="338" t="s">
        <v>2653</v>
      </c>
      <c r="Q102" s="338" t="s">
        <v>2397</v>
      </c>
    </row>
    <row r="103" spans="1:17" ht="13">
      <c r="A103" s="157" t="s">
        <v>2330</v>
      </c>
      <c r="B103" s="339" t="s">
        <v>2330</v>
      </c>
      <c r="C103" s="339" t="s">
        <v>963</v>
      </c>
      <c r="D103" s="339" t="s">
        <v>2655</v>
      </c>
      <c r="E103" s="339" t="s">
        <v>2401</v>
      </c>
      <c r="G103" s="58" t="s">
        <v>5416</v>
      </c>
      <c r="H103" s="58" t="s">
        <v>2655</v>
      </c>
      <c r="I103" s="124" t="s">
        <v>2401</v>
      </c>
      <c r="K103" t="str">
        <f t="shared" si="1"/>
        <v>CHECK</v>
      </c>
      <c r="M103" s="299" t="s">
        <v>2330</v>
      </c>
      <c r="N103" s="338" t="s">
        <v>2330</v>
      </c>
      <c r="O103" s="338" t="s">
        <v>963</v>
      </c>
      <c r="P103" s="338" t="s">
        <v>2655</v>
      </c>
      <c r="Q103" s="338" t="s">
        <v>2401</v>
      </c>
    </row>
    <row r="104" spans="1:17" ht="13">
      <c r="A104" s="157" t="s">
        <v>2334</v>
      </c>
      <c r="B104" s="339" t="s">
        <v>2334</v>
      </c>
      <c r="C104" s="339" t="s">
        <v>963</v>
      </c>
      <c r="D104" s="339" t="s">
        <v>2657</v>
      </c>
      <c r="E104" s="339" t="s">
        <v>2400</v>
      </c>
      <c r="G104" s="58" t="s">
        <v>5412</v>
      </c>
      <c r="H104" s="58" t="s">
        <v>2657</v>
      </c>
      <c r="I104" s="124" t="s">
        <v>2400</v>
      </c>
      <c r="K104" t="str">
        <f t="shared" si="1"/>
        <v>CHECK</v>
      </c>
      <c r="M104" s="299" t="s">
        <v>2334</v>
      </c>
      <c r="N104" s="338" t="s">
        <v>2334</v>
      </c>
      <c r="O104" s="338" t="s">
        <v>963</v>
      </c>
      <c r="P104" s="338" t="s">
        <v>2657</v>
      </c>
      <c r="Q104" s="338" t="s">
        <v>2400</v>
      </c>
    </row>
    <row r="105" spans="1:17" ht="13">
      <c r="A105" s="157" t="s">
        <v>2329</v>
      </c>
      <c r="B105" s="339" t="s">
        <v>2329</v>
      </c>
      <c r="C105" s="339" t="s">
        <v>963</v>
      </c>
      <c r="D105" s="339" t="s">
        <v>2659</v>
      </c>
      <c r="E105" s="339" t="s">
        <v>2402</v>
      </c>
      <c r="G105" s="58" t="s">
        <v>5398</v>
      </c>
      <c r="H105" s="58" t="s">
        <v>2659</v>
      </c>
      <c r="I105" s="124" t="s">
        <v>2402</v>
      </c>
      <c r="K105" t="str">
        <f t="shared" si="1"/>
        <v>CHECK</v>
      </c>
      <c r="M105" s="299" t="s">
        <v>2329</v>
      </c>
      <c r="N105" s="338" t="s">
        <v>2329</v>
      </c>
      <c r="O105" s="338" t="s">
        <v>963</v>
      </c>
      <c r="P105" s="338" t="s">
        <v>2659</v>
      </c>
      <c r="Q105" s="338" t="s">
        <v>2402</v>
      </c>
    </row>
    <row r="106" spans="1:17" ht="13">
      <c r="A106" s="157" t="s">
        <v>2388</v>
      </c>
      <c r="B106" s="339" t="s">
        <v>2388</v>
      </c>
      <c r="C106" s="339" t="s">
        <v>963</v>
      </c>
      <c r="D106" s="339" t="s">
        <v>2661</v>
      </c>
      <c r="E106" s="339" t="s">
        <v>2403</v>
      </c>
      <c r="G106" s="58" t="s">
        <v>5399</v>
      </c>
      <c r="H106" s="58" t="s">
        <v>2661</v>
      </c>
      <c r="I106" s="124" t="s">
        <v>2403</v>
      </c>
      <c r="K106" t="str">
        <f t="shared" si="1"/>
        <v>CHECK</v>
      </c>
      <c r="M106" s="299" t="s">
        <v>2388</v>
      </c>
      <c r="N106" s="338" t="s">
        <v>2388</v>
      </c>
      <c r="O106" s="338" t="s">
        <v>963</v>
      </c>
      <c r="P106" s="338" t="s">
        <v>2661</v>
      </c>
      <c r="Q106" s="338" t="s">
        <v>2403</v>
      </c>
    </row>
    <row r="107" spans="1:17" ht="13">
      <c r="A107" s="157" t="s">
        <v>2389</v>
      </c>
      <c r="B107" s="339" t="s">
        <v>2389</v>
      </c>
      <c r="C107" s="339" t="s">
        <v>963</v>
      </c>
      <c r="D107" s="339" t="s">
        <v>2663</v>
      </c>
      <c r="E107" s="339" t="s">
        <v>2610</v>
      </c>
      <c r="G107" s="58" t="s">
        <v>5402</v>
      </c>
      <c r="H107" s="58" t="s">
        <v>2663</v>
      </c>
      <c r="I107" s="124" t="s">
        <v>2610</v>
      </c>
      <c r="K107" t="str">
        <f t="shared" si="1"/>
        <v>CHECK</v>
      </c>
      <c r="M107" s="299" t="s">
        <v>2389</v>
      </c>
      <c r="N107" s="338" t="s">
        <v>2389</v>
      </c>
      <c r="O107" s="338" t="s">
        <v>963</v>
      </c>
      <c r="P107" s="338" t="s">
        <v>2663</v>
      </c>
      <c r="Q107" s="338" t="s">
        <v>2610</v>
      </c>
    </row>
    <row r="108" spans="1:17" ht="13">
      <c r="A108" s="157" t="s">
        <v>2390</v>
      </c>
      <c r="B108" s="339" t="s">
        <v>2390</v>
      </c>
      <c r="C108" s="339" t="s">
        <v>963</v>
      </c>
      <c r="D108" s="339" t="s">
        <v>2665</v>
      </c>
      <c r="E108" s="339" t="s">
        <v>2611</v>
      </c>
      <c r="G108" s="58" t="s">
        <v>5417</v>
      </c>
      <c r="H108" s="58" t="s">
        <v>2665</v>
      </c>
      <c r="I108" s="124" t="s">
        <v>2611</v>
      </c>
      <c r="K108" t="str">
        <f t="shared" si="1"/>
        <v>CHECK</v>
      </c>
      <c r="M108" s="299" t="s">
        <v>2390</v>
      </c>
      <c r="N108" s="338" t="s">
        <v>2390</v>
      </c>
      <c r="O108" s="338" t="s">
        <v>963</v>
      </c>
      <c r="P108" s="338" t="s">
        <v>2665</v>
      </c>
      <c r="Q108" s="338" t="s">
        <v>2611</v>
      </c>
    </row>
    <row r="109" spans="1:17" ht="13">
      <c r="A109" s="157" t="s">
        <v>2391</v>
      </c>
      <c r="B109" s="339" t="s">
        <v>2391</v>
      </c>
      <c r="C109" s="339" t="s">
        <v>963</v>
      </c>
      <c r="D109" s="339" t="s">
        <v>2667</v>
      </c>
      <c r="E109" s="339" t="s">
        <v>2612</v>
      </c>
      <c r="G109" s="58" t="s">
        <v>5427</v>
      </c>
      <c r="H109" s="58" t="s">
        <v>2667</v>
      </c>
      <c r="I109" s="124" t="s">
        <v>2612</v>
      </c>
      <c r="K109" t="str">
        <f t="shared" si="1"/>
        <v>CHECK</v>
      </c>
      <c r="M109" s="299" t="s">
        <v>2391</v>
      </c>
      <c r="N109" s="338" t="s">
        <v>2391</v>
      </c>
      <c r="O109" s="338" t="s">
        <v>963</v>
      </c>
      <c r="P109" s="338" t="s">
        <v>2667</v>
      </c>
      <c r="Q109" s="338" t="s">
        <v>2612</v>
      </c>
    </row>
    <row r="110" spans="1:17" ht="13">
      <c r="A110" s="157" t="s">
        <v>2392</v>
      </c>
      <c r="B110" s="339" t="s">
        <v>2392</v>
      </c>
      <c r="C110" s="339" t="s">
        <v>963</v>
      </c>
      <c r="D110" s="339" t="s">
        <v>2669</v>
      </c>
      <c r="E110" s="339" t="s">
        <v>2613</v>
      </c>
      <c r="G110" s="58" t="s">
        <v>5396</v>
      </c>
      <c r="H110" s="58" t="s">
        <v>2669</v>
      </c>
      <c r="I110" s="124" t="s">
        <v>2613</v>
      </c>
      <c r="K110" t="str">
        <f t="shared" si="1"/>
        <v>CHECK</v>
      </c>
      <c r="M110" s="299" t="s">
        <v>2392</v>
      </c>
      <c r="N110" s="338" t="s">
        <v>2392</v>
      </c>
      <c r="O110" s="338" t="s">
        <v>963</v>
      </c>
      <c r="P110" s="338" t="s">
        <v>2669</v>
      </c>
      <c r="Q110" s="338" t="s">
        <v>2613</v>
      </c>
    </row>
    <row r="111" spans="1:17" ht="13">
      <c r="A111" s="157" t="s">
        <v>2387</v>
      </c>
      <c r="B111" s="339" t="s">
        <v>2387</v>
      </c>
      <c r="C111" s="339" t="s">
        <v>963</v>
      </c>
      <c r="D111" s="339" t="s">
        <v>2671</v>
      </c>
      <c r="E111" s="339" t="s">
        <v>2404</v>
      </c>
      <c r="G111" s="58" t="s">
        <v>5413</v>
      </c>
      <c r="H111" s="58" t="s">
        <v>2671</v>
      </c>
      <c r="I111" s="124" t="s">
        <v>2404</v>
      </c>
      <c r="K111" t="str">
        <f t="shared" si="1"/>
        <v>CHECK</v>
      </c>
      <c r="M111" s="299" t="s">
        <v>2387</v>
      </c>
      <c r="N111" s="338" t="s">
        <v>2387</v>
      </c>
      <c r="O111" s="338" t="s">
        <v>963</v>
      </c>
      <c r="P111" s="338" t="s">
        <v>2671</v>
      </c>
      <c r="Q111" s="338" t="s">
        <v>2404</v>
      </c>
    </row>
    <row r="112" spans="1:17" ht="13">
      <c r="A112" s="157" t="s">
        <v>2565</v>
      </c>
      <c r="B112" s="339" t="s">
        <v>2565</v>
      </c>
      <c r="C112" s="339" t="s">
        <v>963</v>
      </c>
      <c r="D112" s="339" t="s">
        <v>2673</v>
      </c>
      <c r="E112" s="339" t="s">
        <v>2614</v>
      </c>
      <c r="G112" s="58" t="s">
        <v>5418</v>
      </c>
      <c r="H112" s="58" t="s">
        <v>2673</v>
      </c>
      <c r="I112" s="124" t="s">
        <v>2614</v>
      </c>
      <c r="K112" t="str">
        <f t="shared" si="1"/>
        <v>CHECK</v>
      </c>
      <c r="M112" s="299" t="s">
        <v>2565</v>
      </c>
      <c r="N112" s="338" t="s">
        <v>2565</v>
      </c>
      <c r="O112" s="338" t="s">
        <v>963</v>
      </c>
      <c r="P112" s="338" t="s">
        <v>2673</v>
      </c>
      <c r="Q112" s="338" t="s">
        <v>2614</v>
      </c>
    </row>
    <row r="113" spans="1:17" ht="13">
      <c r="A113" s="157" t="s">
        <v>2560</v>
      </c>
      <c r="B113" s="339" t="s">
        <v>2560</v>
      </c>
      <c r="C113" s="339" t="s">
        <v>963</v>
      </c>
      <c r="D113" s="339" t="s">
        <v>2675</v>
      </c>
      <c r="E113" s="339" t="s">
        <v>2326</v>
      </c>
      <c r="G113" s="58" t="s">
        <v>5410</v>
      </c>
      <c r="H113" s="58" t="s">
        <v>2675</v>
      </c>
      <c r="I113" s="124" t="s">
        <v>2326</v>
      </c>
      <c r="K113" t="str">
        <f t="shared" si="1"/>
        <v>CHECK</v>
      </c>
      <c r="M113" s="299" t="s">
        <v>2560</v>
      </c>
      <c r="N113" s="338" t="s">
        <v>2560</v>
      </c>
      <c r="O113" s="338" t="s">
        <v>963</v>
      </c>
      <c r="P113" s="338" t="s">
        <v>2675</v>
      </c>
      <c r="Q113" s="338" t="s">
        <v>2326</v>
      </c>
    </row>
    <row r="114" spans="1:17" ht="13">
      <c r="A114" s="157" t="s">
        <v>2561</v>
      </c>
      <c r="B114" s="339" t="s">
        <v>2561</v>
      </c>
      <c r="C114" s="339" t="s">
        <v>963</v>
      </c>
      <c r="D114" s="339" t="s">
        <v>2677</v>
      </c>
      <c r="E114" s="339" t="s">
        <v>1247</v>
      </c>
      <c r="G114" s="58" t="s">
        <v>5404</v>
      </c>
      <c r="H114" s="58" t="s">
        <v>2677</v>
      </c>
      <c r="I114" s="124" t="s">
        <v>1247</v>
      </c>
      <c r="K114" t="str">
        <f t="shared" si="1"/>
        <v>CHECK</v>
      </c>
      <c r="M114" s="299" t="s">
        <v>2561</v>
      </c>
      <c r="N114" s="338" t="s">
        <v>2561</v>
      </c>
      <c r="O114" s="338" t="s">
        <v>963</v>
      </c>
      <c r="P114" s="338" t="s">
        <v>2677</v>
      </c>
      <c r="Q114" s="338" t="s">
        <v>1247</v>
      </c>
    </row>
    <row r="115" spans="1:17" ht="13">
      <c r="A115" s="157" t="s">
        <v>2562</v>
      </c>
      <c r="B115" s="339" t="s">
        <v>2562</v>
      </c>
      <c r="C115" s="339" t="s">
        <v>963</v>
      </c>
      <c r="D115" s="339" t="s">
        <v>2679</v>
      </c>
      <c r="E115" s="339" t="s">
        <v>2617</v>
      </c>
      <c r="G115" s="58" t="s">
        <v>5401</v>
      </c>
      <c r="H115" s="58" t="s">
        <v>2679</v>
      </c>
      <c r="I115" s="124" t="s">
        <v>2617</v>
      </c>
      <c r="K115" t="str">
        <f t="shared" si="1"/>
        <v>CHECK</v>
      </c>
      <c r="M115" s="299" t="s">
        <v>2562</v>
      </c>
      <c r="N115" s="338" t="s">
        <v>2562</v>
      </c>
      <c r="O115" s="338" t="s">
        <v>963</v>
      </c>
      <c r="P115" s="338" t="s">
        <v>2679</v>
      </c>
      <c r="Q115" s="338" t="s">
        <v>2617</v>
      </c>
    </row>
    <row r="116" spans="1:17" ht="13">
      <c r="A116" s="157" t="s">
        <v>2563</v>
      </c>
      <c r="B116" s="339" t="s">
        <v>2563</v>
      </c>
      <c r="C116" s="339" t="s">
        <v>963</v>
      </c>
      <c r="D116" s="339" t="s">
        <v>2681</v>
      </c>
      <c r="E116" s="339" t="s">
        <v>2398</v>
      </c>
      <c r="G116" s="58" t="s">
        <v>5394</v>
      </c>
      <c r="H116" s="58" t="s">
        <v>2681</v>
      </c>
      <c r="I116" s="124" t="s">
        <v>2398</v>
      </c>
      <c r="K116" t="str">
        <f t="shared" si="1"/>
        <v>CHECK</v>
      </c>
      <c r="M116" s="299" t="s">
        <v>2563</v>
      </c>
      <c r="N116" s="338" t="s">
        <v>2563</v>
      </c>
      <c r="O116" s="338" t="s">
        <v>963</v>
      </c>
      <c r="P116" s="338" t="s">
        <v>2681</v>
      </c>
      <c r="Q116" s="338" t="s">
        <v>2398</v>
      </c>
    </row>
    <row r="117" spans="1:17" ht="13">
      <c r="A117" s="157" t="s">
        <v>2558</v>
      </c>
      <c r="B117" s="339" t="s">
        <v>2558</v>
      </c>
      <c r="C117" s="339" t="s">
        <v>963</v>
      </c>
      <c r="D117" s="339" t="s">
        <v>2683</v>
      </c>
      <c r="E117" s="339"/>
      <c r="G117" s="58" t="s">
        <v>5428</v>
      </c>
      <c r="H117" s="58" t="s">
        <v>2683</v>
      </c>
      <c r="I117" s="124" t="s">
        <v>2889</v>
      </c>
      <c r="K117" t="str">
        <f t="shared" si="1"/>
        <v>CHECK</v>
      </c>
      <c r="M117" s="299" t="s">
        <v>2558</v>
      </c>
      <c r="N117" s="338" t="s">
        <v>2558</v>
      </c>
      <c r="O117" s="338" t="s">
        <v>963</v>
      </c>
      <c r="P117" s="338" t="s">
        <v>2683</v>
      </c>
      <c r="Q117" s="338" t="s">
        <v>2889</v>
      </c>
    </row>
    <row r="118" spans="1:17" ht="13">
      <c r="A118" s="157" t="s">
        <v>2564</v>
      </c>
      <c r="B118" s="339" t="s">
        <v>2564</v>
      </c>
      <c r="C118" s="339" t="s">
        <v>963</v>
      </c>
      <c r="D118" s="339" t="s">
        <v>2685</v>
      </c>
      <c r="E118" s="339" t="s">
        <v>2399</v>
      </c>
      <c r="G118" s="58" t="s">
        <v>5393</v>
      </c>
      <c r="H118" s="58" t="s">
        <v>2685</v>
      </c>
      <c r="I118" s="124" t="s">
        <v>2399</v>
      </c>
      <c r="K118" t="str">
        <f t="shared" si="1"/>
        <v>CHECK</v>
      </c>
      <c r="M118" s="299" t="s">
        <v>2564</v>
      </c>
      <c r="N118" s="338" t="s">
        <v>2564</v>
      </c>
      <c r="O118" s="338" t="s">
        <v>963</v>
      </c>
      <c r="P118" s="338" t="s">
        <v>2685</v>
      </c>
      <c r="Q118" s="338" t="s">
        <v>2399</v>
      </c>
    </row>
    <row r="119" spans="1:17" ht="13">
      <c r="A119" s="157" t="s">
        <v>2601</v>
      </c>
      <c r="B119" s="339" t="s">
        <v>2601</v>
      </c>
      <c r="C119" s="339" t="s">
        <v>963</v>
      </c>
      <c r="D119" s="339" t="s">
        <v>2687</v>
      </c>
      <c r="E119" s="339" t="s">
        <v>2619</v>
      </c>
      <c r="G119" s="58" t="s">
        <v>5397</v>
      </c>
      <c r="H119" s="58" t="s">
        <v>2687</v>
      </c>
      <c r="I119" s="124" t="s">
        <v>2619</v>
      </c>
      <c r="K119" t="str">
        <f t="shared" si="1"/>
        <v>CHECK</v>
      </c>
      <c r="M119" s="299" t="s">
        <v>2601</v>
      </c>
      <c r="N119" s="338" t="s">
        <v>2601</v>
      </c>
      <c r="O119" s="338" t="s">
        <v>963</v>
      </c>
      <c r="P119" s="338" t="s">
        <v>2687</v>
      </c>
      <c r="Q119" s="338" t="s">
        <v>2619</v>
      </c>
    </row>
    <row r="120" spans="1:17" ht="13">
      <c r="A120" s="157" t="s">
        <v>2602</v>
      </c>
      <c r="B120" s="339" t="s">
        <v>2602</v>
      </c>
      <c r="C120" s="339" t="s">
        <v>963</v>
      </c>
      <c r="D120" s="339" t="s">
        <v>2689</v>
      </c>
      <c r="E120" s="339" t="s">
        <v>2395</v>
      </c>
      <c r="G120" s="58" t="s">
        <v>5429</v>
      </c>
      <c r="H120" s="58" t="s">
        <v>2689</v>
      </c>
      <c r="I120" s="124" t="s">
        <v>2395</v>
      </c>
      <c r="K120" t="str">
        <f t="shared" si="1"/>
        <v>CHECK</v>
      </c>
      <c r="M120" s="299" t="s">
        <v>2602</v>
      </c>
      <c r="N120" s="338" t="s">
        <v>2602</v>
      </c>
      <c r="O120" s="338" t="s">
        <v>963</v>
      </c>
      <c r="P120" s="338" t="s">
        <v>2689</v>
      </c>
      <c r="Q120" s="338" t="s">
        <v>2395</v>
      </c>
    </row>
    <row r="121" spans="1:17" ht="13">
      <c r="A121" s="157" t="s">
        <v>2556</v>
      </c>
      <c r="B121" s="339" t="s">
        <v>2556</v>
      </c>
      <c r="C121" s="339" t="s">
        <v>963</v>
      </c>
      <c r="D121" s="339" t="s">
        <v>2691</v>
      </c>
      <c r="E121" s="339" t="s">
        <v>2620</v>
      </c>
      <c r="G121" s="58" t="s">
        <v>5419</v>
      </c>
      <c r="H121" s="58" t="s">
        <v>2691</v>
      </c>
      <c r="I121" s="124" t="s">
        <v>2620</v>
      </c>
      <c r="K121" t="str">
        <f t="shared" si="1"/>
        <v>CHECK</v>
      </c>
      <c r="M121" s="299" t="s">
        <v>2556</v>
      </c>
      <c r="N121" s="338" t="s">
        <v>2556</v>
      </c>
      <c r="O121" s="338" t="s">
        <v>963</v>
      </c>
      <c r="P121" s="338" t="s">
        <v>2691</v>
      </c>
      <c r="Q121" s="338" t="s">
        <v>2620</v>
      </c>
    </row>
    <row r="122" spans="1:17" ht="13">
      <c r="A122" s="157" t="s">
        <v>2557</v>
      </c>
      <c r="B122" s="339" t="s">
        <v>2557</v>
      </c>
      <c r="C122" s="339" t="s">
        <v>963</v>
      </c>
      <c r="D122" s="339" t="s">
        <v>2693</v>
      </c>
      <c r="E122" s="339" t="s">
        <v>2406</v>
      </c>
      <c r="G122" s="58" t="s">
        <v>5420</v>
      </c>
      <c r="H122" s="58" t="s">
        <v>2693</v>
      </c>
      <c r="I122" s="124" t="s">
        <v>2406</v>
      </c>
      <c r="K122" t="str">
        <f t="shared" si="1"/>
        <v>CHECK</v>
      </c>
      <c r="M122" s="299" t="s">
        <v>2557</v>
      </c>
      <c r="N122" s="338" t="s">
        <v>2557</v>
      </c>
      <c r="O122" s="338" t="s">
        <v>963</v>
      </c>
      <c r="P122" s="338" t="s">
        <v>2693</v>
      </c>
      <c r="Q122" s="338" t="s">
        <v>2406</v>
      </c>
    </row>
    <row r="123" spans="1:17" ht="13">
      <c r="A123" s="157" t="s">
        <v>2600</v>
      </c>
      <c r="B123" s="339" t="s">
        <v>2600</v>
      </c>
      <c r="C123" s="339" t="s">
        <v>963</v>
      </c>
      <c r="D123" s="339" t="s">
        <v>2695</v>
      </c>
      <c r="E123" s="339" t="s">
        <v>2618</v>
      </c>
      <c r="G123" s="58" t="s">
        <v>5424</v>
      </c>
      <c r="H123" s="58" t="s">
        <v>2695</v>
      </c>
      <c r="I123" s="124" t="s">
        <v>2618</v>
      </c>
      <c r="K123" t="str">
        <f t="shared" si="1"/>
        <v>CHECK</v>
      </c>
      <c r="M123" s="299" t="s">
        <v>2600</v>
      </c>
      <c r="N123" s="338" t="s">
        <v>2600</v>
      </c>
      <c r="O123" s="338" t="s">
        <v>963</v>
      </c>
      <c r="P123" s="338" t="s">
        <v>2695</v>
      </c>
      <c r="Q123" s="338" t="s">
        <v>2618</v>
      </c>
    </row>
    <row r="124" spans="1:17" ht="13">
      <c r="A124" s="157" t="s">
        <v>2598</v>
      </c>
      <c r="B124" s="339" t="s">
        <v>2598</v>
      </c>
      <c r="C124" s="339" t="s">
        <v>963</v>
      </c>
      <c r="D124" s="339" t="s">
        <v>2697</v>
      </c>
      <c r="E124" s="339" t="s">
        <v>2615</v>
      </c>
      <c r="G124" s="58" t="s">
        <v>5430</v>
      </c>
      <c r="H124" s="58" t="s">
        <v>2697</v>
      </c>
      <c r="I124" s="124" t="s">
        <v>2615</v>
      </c>
      <c r="K124" t="str">
        <f t="shared" si="1"/>
        <v>CHECK</v>
      </c>
      <c r="M124" s="299" t="s">
        <v>2598</v>
      </c>
      <c r="N124" s="338" t="s">
        <v>2598</v>
      </c>
      <c r="O124" s="338" t="s">
        <v>963</v>
      </c>
      <c r="P124" s="338" t="s">
        <v>2697</v>
      </c>
      <c r="Q124" s="338" t="s">
        <v>2615</v>
      </c>
    </row>
    <row r="125" spans="1:17" ht="13">
      <c r="A125" s="157" t="s">
        <v>2599</v>
      </c>
      <c r="B125" s="339" t="s">
        <v>2599</v>
      </c>
      <c r="C125" s="339" t="s">
        <v>963</v>
      </c>
      <c r="D125" s="339" t="s">
        <v>2699</v>
      </c>
      <c r="E125" s="339" t="s">
        <v>2616</v>
      </c>
      <c r="G125" s="58" t="s">
        <v>5431</v>
      </c>
      <c r="H125" s="58" t="s">
        <v>2699</v>
      </c>
      <c r="I125" s="124" t="s">
        <v>2616</v>
      </c>
      <c r="K125" t="str">
        <f t="shared" si="1"/>
        <v>CHECK</v>
      </c>
      <c r="M125" s="299" t="s">
        <v>2599</v>
      </c>
      <c r="N125" s="338" t="s">
        <v>2599</v>
      </c>
      <c r="O125" s="338" t="s">
        <v>963</v>
      </c>
      <c r="P125" s="338" t="s">
        <v>2699</v>
      </c>
      <c r="Q125" s="338" t="s">
        <v>2616</v>
      </c>
    </row>
    <row r="126" spans="1:17" ht="13">
      <c r="A126" s="157" t="s">
        <v>2757</v>
      </c>
      <c r="B126" s="339" t="s">
        <v>2757</v>
      </c>
      <c r="C126" s="339" t="s">
        <v>963</v>
      </c>
      <c r="D126" s="339" t="s">
        <v>2701</v>
      </c>
      <c r="E126" s="339" t="s">
        <v>3051</v>
      </c>
      <c r="G126" s="58" t="s">
        <v>5426</v>
      </c>
      <c r="H126" s="58" t="s">
        <v>2701</v>
      </c>
      <c r="I126" s="124" t="s">
        <v>3051</v>
      </c>
      <c r="K126" t="str">
        <f t="shared" si="1"/>
        <v>CHECK</v>
      </c>
      <c r="M126" s="299" t="s">
        <v>2757</v>
      </c>
      <c r="N126" s="338" t="s">
        <v>2757</v>
      </c>
      <c r="O126" s="338" t="s">
        <v>963</v>
      </c>
      <c r="P126" s="338" t="s">
        <v>2701</v>
      </c>
      <c r="Q126" s="340" t="s">
        <v>3051</v>
      </c>
    </row>
    <row r="127" spans="1:17" ht="13">
      <c r="A127" s="157" t="s">
        <v>2758</v>
      </c>
      <c r="B127" s="339" t="s">
        <v>2758</v>
      </c>
      <c r="C127" s="339" t="s">
        <v>963</v>
      </c>
      <c r="D127" s="339" t="s">
        <v>2703</v>
      </c>
      <c r="E127" s="339" t="s">
        <v>3055</v>
      </c>
      <c r="G127" s="58" t="s">
        <v>5432</v>
      </c>
      <c r="H127" s="58" t="s">
        <v>2703</v>
      </c>
      <c r="I127" s="124" t="s">
        <v>3055</v>
      </c>
      <c r="K127" t="str">
        <f t="shared" si="1"/>
        <v>CHECK</v>
      </c>
      <c r="M127" s="299" t="s">
        <v>2758</v>
      </c>
      <c r="N127" s="338" t="s">
        <v>2758</v>
      </c>
      <c r="O127" s="338" t="s">
        <v>963</v>
      </c>
      <c r="P127" s="338" t="s">
        <v>2703</v>
      </c>
      <c r="Q127" s="340" t="s">
        <v>3055</v>
      </c>
    </row>
    <row r="128" spans="1:17" ht="13">
      <c r="A128" s="157" t="s">
        <v>2759</v>
      </c>
      <c r="B128" s="339" t="s">
        <v>2759</v>
      </c>
      <c r="C128" s="339" t="s">
        <v>963</v>
      </c>
      <c r="D128" s="339" t="s">
        <v>2705</v>
      </c>
      <c r="E128" s="339" t="s">
        <v>3052</v>
      </c>
      <c r="G128" s="58" t="s">
        <v>5433</v>
      </c>
      <c r="H128" s="58" t="s">
        <v>2705</v>
      </c>
      <c r="I128" s="124" t="s">
        <v>3052</v>
      </c>
      <c r="K128" t="str">
        <f t="shared" si="1"/>
        <v>CHECK</v>
      </c>
      <c r="M128" s="299" t="s">
        <v>2759</v>
      </c>
      <c r="N128" s="338" t="s">
        <v>2759</v>
      </c>
      <c r="O128" s="338" t="s">
        <v>963</v>
      </c>
      <c r="P128" s="338" t="s">
        <v>2705</v>
      </c>
      <c r="Q128" s="340" t="s">
        <v>3052</v>
      </c>
    </row>
    <row r="129" spans="1:17" ht="13">
      <c r="A129" s="157" t="s">
        <v>2760</v>
      </c>
      <c r="B129" s="339" t="s">
        <v>2760</v>
      </c>
      <c r="C129" s="339" t="s">
        <v>963</v>
      </c>
      <c r="D129" s="339" t="s">
        <v>2707</v>
      </c>
      <c r="E129" s="339" t="s">
        <v>2572</v>
      </c>
      <c r="G129" s="58" t="s">
        <v>5434</v>
      </c>
      <c r="H129" s="58" t="s">
        <v>2707</v>
      </c>
      <c r="I129" s="124" t="s">
        <v>4334</v>
      </c>
      <c r="K129" t="str">
        <f t="shared" si="1"/>
        <v>CHECK</v>
      </c>
      <c r="M129" s="299" t="s">
        <v>2760</v>
      </c>
      <c r="N129" s="338" t="s">
        <v>2760</v>
      </c>
      <c r="O129" s="338" t="s">
        <v>963</v>
      </c>
      <c r="P129" s="338" t="s">
        <v>2707</v>
      </c>
      <c r="Q129" s="340" t="s">
        <v>4334</v>
      </c>
    </row>
    <row r="130" spans="1:17" ht="13">
      <c r="A130" s="157"/>
      <c r="B130" s="339" t="s">
        <v>2761</v>
      </c>
      <c r="C130" s="339" t="s">
        <v>963</v>
      </c>
      <c r="D130" s="339" t="s">
        <v>2709</v>
      </c>
      <c r="E130" s="339"/>
      <c r="G130" s="58" t="s">
        <v>5425</v>
      </c>
      <c r="H130" s="58" t="s">
        <v>2709</v>
      </c>
      <c r="I130" s="58" t="s">
        <v>4339</v>
      </c>
      <c r="K130" t="str">
        <f t="shared" si="1"/>
        <v>CHECK</v>
      </c>
      <c r="M130" s="299" t="s">
        <v>2761</v>
      </c>
      <c r="N130" s="338" t="s">
        <v>2761</v>
      </c>
      <c r="O130" s="338" t="s">
        <v>963</v>
      </c>
      <c r="P130" s="338" t="s">
        <v>2709</v>
      </c>
      <c r="Q130" s="31" t="e">
        <f>VLOOKUP(N130,Funding_Area_Names!$G$2:$I$249,3,FALSE)</f>
        <v>#N/A</v>
      </c>
    </row>
    <row r="131" spans="1:17" ht="13">
      <c r="A131" s="157"/>
      <c r="B131" s="339" t="s">
        <v>2762</v>
      </c>
      <c r="C131" s="339" t="s">
        <v>963</v>
      </c>
      <c r="D131" s="339" t="s">
        <v>2711</v>
      </c>
      <c r="E131" s="339"/>
      <c r="G131" s="58" t="s">
        <v>5423</v>
      </c>
      <c r="H131" s="58" t="s">
        <v>2711</v>
      </c>
      <c r="I131" s="58" t="s">
        <v>4388</v>
      </c>
      <c r="K131" t="str">
        <f t="shared" ref="K131:K194" si="2">IF(AND(A131=M131,G131=N131),"OK","CHECK")</f>
        <v>CHECK</v>
      </c>
      <c r="M131" s="299" t="s">
        <v>2762</v>
      </c>
      <c r="N131" s="338" t="s">
        <v>2762</v>
      </c>
      <c r="O131" s="338" t="s">
        <v>963</v>
      </c>
      <c r="P131" s="338" t="s">
        <v>2711</v>
      </c>
      <c r="Q131" s="31" t="e">
        <f>VLOOKUP(N131,Funding_Area_Names!$G$2:$I$249,3,FALSE)</f>
        <v>#N/A</v>
      </c>
    </row>
    <row r="132" spans="1:17" ht="13">
      <c r="A132" s="157"/>
      <c r="B132" s="339" t="s">
        <v>2763</v>
      </c>
      <c r="C132" s="339" t="s">
        <v>963</v>
      </c>
      <c r="D132" s="339" t="s">
        <v>2713</v>
      </c>
      <c r="E132" s="339"/>
      <c r="G132" s="58" t="s">
        <v>5435</v>
      </c>
      <c r="H132" s="58" t="s">
        <v>2713</v>
      </c>
      <c r="K132" t="str">
        <f t="shared" si="2"/>
        <v>CHECK</v>
      </c>
      <c r="M132" s="299"/>
      <c r="N132" s="338" t="s">
        <v>2763</v>
      </c>
      <c r="O132" s="338" t="s">
        <v>963</v>
      </c>
      <c r="P132" s="338" t="s">
        <v>2713</v>
      </c>
      <c r="Q132" s="338"/>
    </row>
    <row r="133" spans="1:17" ht="13">
      <c r="A133" s="157"/>
      <c r="B133" s="339" t="s">
        <v>2764</v>
      </c>
      <c r="C133" s="339" t="s">
        <v>963</v>
      </c>
      <c r="D133" s="339" t="s">
        <v>2765</v>
      </c>
      <c r="E133" s="339"/>
      <c r="G133" s="58" t="s">
        <v>5436</v>
      </c>
      <c r="H133" s="58" t="s">
        <v>2765</v>
      </c>
      <c r="K133" t="str">
        <f t="shared" si="2"/>
        <v>CHECK</v>
      </c>
      <c r="M133" s="299"/>
      <c r="N133" s="338" t="s">
        <v>2764</v>
      </c>
      <c r="O133" s="338" t="s">
        <v>963</v>
      </c>
      <c r="P133" s="338" t="s">
        <v>2765</v>
      </c>
      <c r="Q133" s="338"/>
    </row>
    <row r="134" spans="1:17" ht="13">
      <c r="A134" s="157"/>
      <c r="B134" s="339" t="s">
        <v>2766</v>
      </c>
      <c r="C134" s="339" t="s">
        <v>963</v>
      </c>
      <c r="D134" s="339" t="s">
        <v>2767</v>
      </c>
      <c r="E134" s="339"/>
      <c r="G134" s="58" t="s">
        <v>5437</v>
      </c>
      <c r="H134" s="58" t="s">
        <v>2767</v>
      </c>
      <c r="K134" t="str">
        <f t="shared" si="2"/>
        <v>CHECK</v>
      </c>
      <c r="M134" s="299"/>
      <c r="N134" s="338" t="s">
        <v>2766</v>
      </c>
      <c r="O134" s="338" t="s">
        <v>963</v>
      </c>
      <c r="P134" s="338" t="s">
        <v>2767</v>
      </c>
      <c r="Q134" s="338"/>
    </row>
    <row r="135" spans="1:17" ht="13">
      <c r="A135" s="157"/>
      <c r="B135" s="339" t="s">
        <v>2768</v>
      </c>
      <c r="C135" s="339" t="s">
        <v>963</v>
      </c>
      <c r="D135" s="339" t="s">
        <v>2769</v>
      </c>
      <c r="E135" s="339"/>
      <c r="G135" s="58" t="s">
        <v>5438</v>
      </c>
      <c r="H135" s="58" t="s">
        <v>2769</v>
      </c>
      <c r="K135" t="str">
        <f t="shared" si="2"/>
        <v>CHECK</v>
      </c>
      <c r="M135" s="299"/>
      <c r="N135" s="338" t="s">
        <v>2768</v>
      </c>
      <c r="O135" s="338" t="s">
        <v>963</v>
      </c>
      <c r="P135" s="338" t="s">
        <v>2769</v>
      </c>
      <c r="Q135" s="338"/>
    </row>
    <row r="136" spans="1:17" ht="13">
      <c r="A136" s="157"/>
      <c r="B136" s="339" t="s">
        <v>2770</v>
      </c>
      <c r="C136" s="339" t="s">
        <v>963</v>
      </c>
      <c r="D136" s="339" t="s">
        <v>2771</v>
      </c>
      <c r="E136" s="339"/>
      <c r="G136" s="58" t="s">
        <v>5439</v>
      </c>
      <c r="H136" s="58" t="s">
        <v>2771</v>
      </c>
      <c r="K136" t="str">
        <f t="shared" si="2"/>
        <v>CHECK</v>
      </c>
      <c r="M136" s="299"/>
      <c r="N136" s="338" t="s">
        <v>2770</v>
      </c>
      <c r="O136" s="338" t="s">
        <v>963</v>
      </c>
      <c r="P136" s="338" t="s">
        <v>2771</v>
      </c>
      <c r="Q136" s="338"/>
    </row>
    <row r="137" spans="1:17" ht="13">
      <c r="A137" s="157"/>
      <c r="B137" s="339" t="s">
        <v>2772</v>
      </c>
      <c r="C137" s="339" t="s">
        <v>963</v>
      </c>
      <c r="D137" s="339" t="s">
        <v>2773</v>
      </c>
      <c r="E137" s="339"/>
      <c r="G137" s="58" t="s">
        <v>5440</v>
      </c>
      <c r="H137" s="58" t="s">
        <v>2773</v>
      </c>
      <c r="K137" t="str">
        <f t="shared" si="2"/>
        <v>CHECK</v>
      </c>
      <c r="M137" s="299"/>
      <c r="N137" s="338" t="s">
        <v>2772</v>
      </c>
      <c r="O137" s="338" t="s">
        <v>963</v>
      </c>
      <c r="P137" s="338" t="s">
        <v>2773</v>
      </c>
      <c r="Q137" s="338"/>
    </row>
    <row r="138" spans="1:17" ht="13">
      <c r="A138" s="157"/>
      <c r="B138" s="339" t="s">
        <v>2774</v>
      </c>
      <c r="C138" s="339" t="s">
        <v>963</v>
      </c>
      <c r="D138" s="339" t="s">
        <v>2775</v>
      </c>
      <c r="E138" s="339"/>
      <c r="G138" s="58" t="s">
        <v>5441</v>
      </c>
      <c r="H138" s="58" t="s">
        <v>2775</v>
      </c>
      <c r="K138" t="str">
        <f t="shared" si="2"/>
        <v>CHECK</v>
      </c>
      <c r="M138" s="299"/>
      <c r="N138" s="338" t="s">
        <v>2774</v>
      </c>
      <c r="O138" s="338" t="s">
        <v>963</v>
      </c>
      <c r="P138" s="338" t="s">
        <v>2775</v>
      </c>
      <c r="Q138" s="338"/>
    </row>
    <row r="139" spans="1:17" ht="13">
      <c r="A139" s="157"/>
      <c r="B139" s="339" t="s">
        <v>2776</v>
      </c>
      <c r="C139" s="339" t="s">
        <v>963</v>
      </c>
      <c r="D139" s="339" t="s">
        <v>2777</v>
      </c>
      <c r="E139" s="339"/>
      <c r="G139" s="58" t="s">
        <v>5442</v>
      </c>
      <c r="H139" s="58" t="s">
        <v>2777</v>
      </c>
      <c r="K139" t="str">
        <f t="shared" si="2"/>
        <v>CHECK</v>
      </c>
      <c r="M139" s="299"/>
      <c r="N139" s="338" t="s">
        <v>2776</v>
      </c>
      <c r="O139" s="338" t="s">
        <v>963</v>
      </c>
      <c r="P139" s="338" t="s">
        <v>2777</v>
      </c>
      <c r="Q139" s="338"/>
    </row>
    <row r="140" spans="1:17" ht="13">
      <c r="B140" s="339"/>
      <c r="C140" s="339"/>
      <c r="D140" s="339"/>
      <c r="E140" s="339"/>
      <c r="F140" s="154"/>
      <c r="G140" s="36"/>
      <c r="H140" s="36"/>
      <c r="K140" t="str">
        <f t="shared" si="2"/>
        <v>OK</v>
      </c>
      <c r="M140" s="297"/>
      <c r="N140" s="338"/>
      <c r="O140" s="338"/>
      <c r="P140" s="338"/>
      <c r="Q140" s="338"/>
    </row>
    <row r="141" spans="1:17" ht="13">
      <c r="A141" s="158" t="s">
        <v>943</v>
      </c>
      <c r="B141" s="339" t="s">
        <v>2778</v>
      </c>
      <c r="C141" s="339" t="s">
        <v>896</v>
      </c>
      <c r="D141" s="339" t="s">
        <v>2630</v>
      </c>
      <c r="E141" s="344" t="s">
        <v>91</v>
      </c>
      <c r="F141" s="153"/>
      <c r="G141" s="58" t="s">
        <v>2778</v>
      </c>
      <c r="H141" s="280" t="s">
        <v>2630</v>
      </c>
      <c r="I141" s="31" t="s">
        <v>91</v>
      </c>
      <c r="K141" t="str">
        <f t="shared" si="2"/>
        <v>OK</v>
      </c>
      <c r="M141" s="300" t="s">
        <v>943</v>
      </c>
      <c r="N141" s="338" t="s">
        <v>2778</v>
      </c>
      <c r="O141" s="338" t="s">
        <v>896</v>
      </c>
      <c r="P141" s="338" t="s">
        <v>2630</v>
      </c>
      <c r="Q141" s="31" t="str">
        <f>VLOOKUP(N141,Funding_Area_Names!$G$2:$I$249,3,FALSE)</f>
        <v>Auckland wide</v>
      </c>
    </row>
    <row r="142" spans="1:17" ht="13">
      <c r="A142" s="158" t="s">
        <v>2335</v>
      </c>
      <c r="B142" s="339" t="s">
        <v>2779</v>
      </c>
      <c r="C142" s="339" t="s">
        <v>896</v>
      </c>
      <c r="D142" s="339" t="s">
        <v>2632</v>
      </c>
      <c r="E142" s="344" t="s">
        <v>1206</v>
      </c>
      <c r="F142" s="153"/>
      <c r="G142" s="58" t="s">
        <v>2779</v>
      </c>
      <c r="H142" s="280" t="s">
        <v>2632</v>
      </c>
      <c r="I142" s="31" t="s">
        <v>1206</v>
      </c>
      <c r="K142" t="str">
        <f t="shared" si="2"/>
        <v>OK</v>
      </c>
      <c r="M142" s="300" t="s">
        <v>2335</v>
      </c>
      <c r="N142" s="338" t="s">
        <v>2779</v>
      </c>
      <c r="O142" s="338" t="s">
        <v>896</v>
      </c>
      <c r="P142" s="338" t="s">
        <v>2632</v>
      </c>
      <c r="Q142" s="31" t="str">
        <f>VLOOKUP(N142,Funding_Area_Names!$G$2:$I$249,3,FALSE)</f>
        <v>North</v>
      </c>
    </row>
    <row r="143" spans="1:17" ht="13">
      <c r="A143" s="158" t="s">
        <v>2336</v>
      </c>
      <c r="B143" s="339" t="s">
        <v>2780</v>
      </c>
      <c r="C143" s="339" t="s">
        <v>896</v>
      </c>
      <c r="D143" s="339" t="s">
        <v>2888</v>
      </c>
      <c r="E143" s="344" t="s">
        <v>1208</v>
      </c>
      <c r="F143" s="154"/>
      <c r="G143" s="58" t="s">
        <v>2780</v>
      </c>
      <c r="H143" s="280" t="s">
        <v>2888</v>
      </c>
      <c r="I143" s="31" t="s">
        <v>1208</v>
      </c>
      <c r="K143" t="str">
        <f t="shared" si="2"/>
        <v>OK</v>
      </c>
      <c r="M143" s="300" t="s">
        <v>2336</v>
      </c>
      <c r="N143" s="338" t="s">
        <v>2780</v>
      </c>
      <c r="O143" s="338" t="s">
        <v>896</v>
      </c>
      <c r="P143" s="338" t="s">
        <v>2888</v>
      </c>
      <c r="Q143" s="31" t="str">
        <f>VLOOKUP(N143,Funding_Area_Names!$G$2:$I$249,3,FALSE)</f>
        <v>Central</v>
      </c>
    </row>
    <row r="144" spans="1:17" ht="13">
      <c r="A144" s="158" t="s">
        <v>2337</v>
      </c>
      <c r="B144" s="339" t="s">
        <v>2781</v>
      </c>
      <c r="C144" s="339" t="s">
        <v>896</v>
      </c>
      <c r="D144" s="339" t="s">
        <v>2635</v>
      </c>
      <c r="E144" s="344" t="s">
        <v>1207</v>
      </c>
      <c r="F144" s="154"/>
      <c r="G144" s="58" t="s">
        <v>2781</v>
      </c>
      <c r="H144" s="280" t="s">
        <v>2635</v>
      </c>
      <c r="I144" s="31" t="s">
        <v>1207</v>
      </c>
      <c r="K144" t="str">
        <f t="shared" si="2"/>
        <v>OK</v>
      </c>
      <c r="M144" s="300" t="s">
        <v>2337</v>
      </c>
      <c r="N144" s="338" t="s">
        <v>2781</v>
      </c>
      <c r="O144" s="338" t="s">
        <v>896</v>
      </c>
      <c r="P144" s="338" t="s">
        <v>2635</v>
      </c>
      <c r="Q144" s="31" t="str">
        <f>VLOOKUP(N144,Funding_Area_Names!$G$2:$I$249,3,FALSE)</f>
        <v>West</v>
      </c>
    </row>
    <row r="145" spans="1:17" ht="13">
      <c r="A145" s="158" t="s">
        <v>2338</v>
      </c>
      <c r="B145" s="339" t="s">
        <v>2782</v>
      </c>
      <c r="C145" s="339" t="s">
        <v>896</v>
      </c>
      <c r="D145" s="339" t="s">
        <v>2637</v>
      </c>
      <c r="E145" s="344" t="s">
        <v>1209</v>
      </c>
      <c r="F145" s="154"/>
      <c r="G145" s="58" t="s">
        <v>2782</v>
      </c>
      <c r="H145" s="280" t="s">
        <v>2637</v>
      </c>
      <c r="I145" s="31" t="s">
        <v>1209</v>
      </c>
      <c r="K145" t="str">
        <f t="shared" si="2"/>
        <v>OK</v>
      </c>
      <c r="M145" s="300" t="s">
        <v>2338</v>
      </c>
      <c r="N145" s="338" t="s">
        <v>2782</v>
      </c>
      <c r="O145" s="338" t="s">
        <v>896</v>
      </c>
      <c r="P145" s="338" t="s">
        <v>2637</v>
      </c>
      <c r="Q145" s="31" t="str">
        <f>VLOOKUP(N145,Funding_Area_Names!$G$2:$I$249,3,FALSE)</f>
        <v>South</v>
      </c>
    </row>
    <row r="146" spans="1:17" ht="13">
      <c r="B146" s="339" t="s">
        <v>2783</v>
      </c>
      <c r="C146" s="339" t="s">
        <v>896</v>
      </c>
      <c r="D146" s="339" t="s">
        <v>2639</v>
      </c>
      <c r="E146" s="339" t="s">
        <v>2943</v>
      </c>
      <c r="F146" s="154"/>
      <c r="G146" s="58" t="s">
        <v>2783</v>
      </c>
      <c r="H146" s="280" t="s">
        <v>2639</v>
      </c>
      <c r="I146" s="58" t="s">
        <v>2943</v>
      </c>
      <c r="K146" t="str">
        <f t="shared" si="2"/>
        <v>OK</v>
      </c>
      <c r="M146" s="297"/>
      <c r="N146" s="338" t="s">
        <v>2783</v>
      </c>
      <c r="O146" s="338" t="s">
        <v>896</v>
      </c>
      <c r="P146" s="338" t="s">
        <v>2639</v>
      </c>
      <c r="Q146" s="31" t="str">
        <f>VLOOKUP(N146,Funding_Area_Names!$G$2:$I$249,3,FALSE)</f>
        <v>Drury South</v>
      </c>
    </row>
    <row r="147" spans="1:17" ht="13">
      <c r="A147" s="158" t="s">
        <v>944</v>
      </c>
      <c r="B147" s="339" t="s">
        <v>2784</v>
      </c>
      <c r="C147" s="339" t="s">
        <v>896</v>
      </c>
      <c r="D147" s="339" t="s">
        <v>2641</v>
      </c>
      <c r="E147" s="344" t="s">
        <v>1210</v>
      </c>
      <c r="F147" s="154"/>
      <c r="G147" s="58" t="s">
        <v>2784</v>
      </c>
      <c r="H147" s="58" t="s">
        <v>2641</v>
      </c>
      <c r="I147" s="58" t="s">
        <v>1210</v>
      </c>
      <c r="K147" t="str">
        <f t="shared" si="2"/>
        <v>OK</v>
      </c>
      <c r="M147" s="300" t="s">
        <v>944</v>
      </c>
      <c r="N147" s="338" t="s">
        <v>2784</v>
      </c>
      <c r="O147" s="338" t="s">
        <v>896</v>
      </c>
      <c r="P147" s="338" t="s">
        <v>2641</v>
      </c>
      <c r="Q147" s="31" t="str">
        <f>VLOOKUP(N147,Funding_Area_Names!$G$2:$I$249,3,FALSE)</f>
        <v>HGI</v>
      </c>
    </row>
    <row r="148" spans="1:17" ht="13">
      <c r="B148" s="339" t="s">
        <v>2785</v>
      </c>
      <c r="C148" s="339" t="s">
        <v>896</v>
      </c>
      <c r="D148" s="339" t="s">
        <v>2643</v>
      </c>
      <c r="E148" s="339" t="s">
        <v>3048</v>
      </c>
      <c r="G148" s="58" t="s">
        <v>2785</v>
      </c>
      <c r="H148" s="58" t="s">
        <v>2643</v>
      </c>
      <c r="I148" s="58" t="s">
        <v>4335</v>
      </c>
      <c r="K148" t="str">
        <f t="shared" si="2"/>
        <v>OK</v>
      </c>
      <c r="M148" s="297"/>
      <c r="N148" s="338" t="s">
        <v>2785</v>
      </c>
      <c r="O148" s="338" t="s">
        <v>896</v>
      </c>
      <c r="P148" s="338" t="s">
        <v>2643</v>
      </c>
      <c r="Q148" s="31" t="str">
        <f>VLOOKUP(N148,Funding_Area_Names!$G$2:$I$249,3,FALSE)</f>
        <v>Auckland Wide Less Parallel</v>
      </c>
    </row>
    <row r="149" spans="1:17" ht="13">
      <c r="B149" s="339" t="s">
        <v>2786</v>
      </c>
      <c r="C149" s="339" t="s">
        <v>896</v>
      </c>
      <c r="D149" s="339" t="s">
        <v>2645</v>
      </c>
      <c r="E149" s="339" t="s">
        <v>3053</v>
      </c>
      <c r="G149" s="58" t="s">
        <v>2786</v>
      </c>
      <c r="H149" s="280" t="s">
        <v>2645</v>
      </c>
      <c r="I149" s="58" t="s">
        <v>4338</v>
      </c>
      <c r="K149" t="str">
        <f t="shared" si="2"/>
        <v>OK</v>
      </c>
      <c r="M149" s="297"/>
      <c r="N149" s="338" t="s">
        <v>2786</v>
      </c>
      <c r="O149" s="338" t="s">
        <v>896</v>
      </c>
      <c r="P149" s="338" t="s">
        <v>2645</v>
      </c>
      <c r="Q149" s="31" t="str">
        <f>VLOOKUP(N149,Funding_Area_Names!$G$2:$I$249,3,FALSE)</f>
        <v>NorthWest</v>
      </c>
    </row>
    <row r="150" spans="1:17" ht="13">
      <c r="B150" s="339" t="s">
        <v>2787</v>
      </c>
      <c r="C150" s="339" t="s">
        <v>896</v>
      </c>
      <c r="D150" s="339" t="s">
        <v>2647</v>
      </c>
      <c r="E150" s="339" t="s">
        <v>3055</v>
      </c>
      <c r="G150" s="58" t="s">
        <v>2787</v>
      </c>
      <c r="H150" s="58" t="s">
        <v>2647</v>
      </c>
      <c r="I150" s="58" t="s">
        <v>4336</v>
      </c>
      <c r="K150" t="str">
        <f t="shared" si="2"/>
        <v>OK</v>
      </c>
      <c r="M150" s="297"/>
      <c r="N150" s="338" t="s">
        <v>2787</v>
      </c>
      <c r="O150" s="338" t="s">
        <v>896</v>
      </c>
      <c r="P150" s="338" t="s">
        <v>2647</v>
      </c>
      <c r="Q150" s="31" t="str">
        <f>VLOOKUP(N150,Funding_Area_Names!$G$2:$I$249,3,FALSE)</f>
        <v>Dairyflat / Wainui / Silverdale</v>
      </c>
    </row>
    <row r="151" spans="1:17" ht="13">
      <c r="B151" s="339" t="s">
        <v>2788</v>
      </c>
      <c r="C151" s="339" t="s">
        <v>896</v>
      </c>
      <c r="D151" s="339" t="s">
        <v>2649</v>
      </c>
      <c r="E151" s="339" t="s">
        <v>3056</v>
      </c>
      <c r="G151" s="58" t="s">
        <v>2788</v>
      </c>
      <c r="H151" s="280" t="s">
        <v>2649</v>
      </c>
      <c r="I151" s="58" t="s">
        <v>3056</v>
      </c>
      <c r="K151" t="str">
        <f t="shared" si="2"/>
        <v>OK</v>
      </c>
      <c r="M151" s="297"/>
      <c r="N151" s="338" t="s">
        <v>2788</v>
      </c>
      <c r="O151" s="338" t="s">
        <v>896</v>
      </c>
      <c r="P151" s="338" t="s">
        <v>2649</v>
      </c>
      <c r="Q151" s="31" t="str">
        <f>VLOOKUP(N151,Funding_Area_Names!$G$2:$I$249,3,FALSE)</f>
        <v>Greater Tamaki</v>
      </c>
    </row>
    <row r="152" spans="1:17" ht="13">
      <c r="B152" s="339" t="s">
        <v>2789</v>
      </c>
      <c r="C152" s="339" t="s">
        <v>896</v>
      </c>
      <c r="D152" s="339" t="s">
        <v>2651</v>
      </c>
      <c r="E152" s="339" t="s">
        <v>3049</v>
      </c>
      <c r="G152" s="58" t="s">
        <v>2789</v>
      </c>
      <c r="H152" s="280" t="s">
        <v>2651</v>
      </c>
      <c r="I152" s="58" t="s">
        <v>3049</v>
      </c>
      <c r="K152" t="str">
        <f t="shared" si="2"/>
        <v>OK</v>
      </c>
      <c r="M152" s="300"/>
      <c r="N152" s="338" t="s">
        <v>2789</v>
      </c>
      <c r="O152" s="338" t="s">
        <v>896</v>
      </c>
      <c r="P152" s="338" t="s">
        <v>2651</v>
      </c>
      <c r="Q152" s="31" t="str">
        <f>VLOOKUP(N152,Funding_Area_Names!$G$2:$I$249,3,FALSE)</f>
        <v>Albany</v>
      </c>
    </row>
    <row r="153" spans="1:17" ht="13">
      <c r="B153" s="339" t="s">
        <v>2790</v>
      </c>
      <c r="C153" s="339" t="s">
        <v>896</v>
      </c>
      <c r="D153" s="339" t="s">
        <v>2653</v>
      </c>
      <c r="G153" s="58" t="s">
        <v>2790</v>
      </c>
      <c r="H153" s="280" t="s">
        <v>2653</v>
      </c>
      <c r="I153" t="s">
        <v>4396</v>
      </c>
      <c r="K153" t="str">
        <f t="shared" si="2"/>
        <v>OK</v>
      </c>
      <c r="M153" s="300"/>
      <c r="N153" s="338" t="s">
        <v>2790</v>
      </c>
      <c r="O153" s="338" t="s">
        <v>896</v>
      </c>
      <c r="P153" s="338" t="s">
        <v>2653</v>
      </c>
      <c r="Q153" t="s">
        <v>4396</v>
      </c>
    </row>
    <row r="154" spans="1:17" ht="13">
      <c r="A154" s="158" t="s">
        <v>2208</v>
      </c>
      <c r="B154" s="339" t="s">
        <v>2791</v>
      </c>
      <c r="C154" s="339" t="s">
        <v>896</v>
      </c>
      <c r="D154" s="339" t="s">
        <v>2655</v>
      </c>
      <c r="E154" s="344"/>
      <c r="G154" s="58" t="s">
        <v>2791</v>
      </c>
      <c r="H154" s="58" t="s">
        <v>2655</v>
      </c>
      <c r="I154" t="s">
        <v>2586</v>
      </c>
      <c r="K154" t="str">
        <f t="shared" si="2"/>
        <v>OK</v>
      </c>
      <c r="M154" s="300" t="s">
        <v>2208</v>
      </c>
      <c r="N154" s="338" t="s">
        <v>2791</v>
      </c>
      <c r="O154" s="338" t="s">
        <v>896</v>
      </c>
      <c r="P154" s="338" t="s">
        <v>2655</v>
      </c>
      <c r="Q154" t="s">
        <v>2586</v>
      </c>
    </row>
    <row r="155" spans="1:17" ht="13">
      <c r="B155" s="339" t="s">
        <v>2792</v>
      </c>
      <c r="C155" s="339" t="s">
        <v>896</v>
      </c>
      <c r="D155" s="339" t="s">
        <v>2657</v>
      </c>
      <c r="E155" s="339"/>
      <c r="G155" s="58" t="s">
        <v>2792</v>
      </c>
      <c r="H155" s="280" t="s">
        <v>2657</v>
      </c>
      <c r="I155" t="s">
        <v>4397</v>
      </c>
      <c r="K155" t="str">
        <f t="shared" si="2"/>
        <v>OK</v>
      </c>
      <c r="M155" s="297"/>
      <c r="N155" s="338" t="s">
        <v>2792</v>
      </c>
      <c r="O155" s="338" t="s">
        <v>896</v>
      </c>
      <c r="P155" s="338" t="s">
        <v>2657</v>
      </c>
      <c r="Q155" t="s">
        <v>4397</v>
      </c>
    </row>
    <row r="156" spans="1:17" ht="13">
      <c r="B156" s="339" t="s">
        <v>2793</v>
      </c>
      <c r="C156" s="339" t="s">
        <v>896</v>
      </c>
      <c r="D156" s="339" t="s">
        <v>2659</v>
      </c>
      <c r="E156" s="339"/>
      <c r="G156" s="58" t="s">
        <v>2793</v>
      </c>
      <c r="H156" s="280" t="s">
        <v>2659</v>
      </c>
      <c r="K156" t="str">
        <f t="shared" si="2"/>
        <v>OK</v>
      </c>
      <c r="M156" s="297"/>
      <c r="N156" s="338" t="s">
        <v>2793</v>
      </c>
      <c r="O156" s="338" t="s">
        <v>896</v>
      </c>
      <c r="P156" s="338" t="s">
        <v>2659</v>
      </c>
      <c r="Q156" s="338"/>
    </row>
    <row r="157" spans="1:17" ht="13">
      <c r="B157" s="339" t="s">
        <v>2794</v>
      </c>
      <c r="C157" s="339" t="s">
        <v>896</v>
      </c>
      <c r="D157" s="339" t="s">
        <v>2661</v>
      </c>
      <c r="E157" s="339"/>
      <c r="G157" s="58" t="s">
        <v>2794</v>
      </c>
      <c r="H157" s="280" t="s">
        <v>2661</v>
      </c>
      <c r="K157" t="str">
        <f t="shared" si="2"/>
        <v>OK</v>
      </c>
      <c r="M157" s="297"/>
      <c r="N157" s="338" t="s">
        <v>2794</v>
      </c>
      <c r="O157" s="338" t="s">
        <v>896</v>
      </c>
      <c r="P157" s="338" t="s">
        <v>2661</v>
      </c>
      <c r="Q157" s="338"/>
    </row>
    <row r="158" spans="1:17" ht="13">
      <c r="B158" s="339" t="s">
        <v>2795</v>
      </c>
      <c r="C158" s="339" t="s">
        <v>896</v>
      </c>
      <c r="D158" s="339" t="s">
        <v>2663</v>
      </c>
      <c r="E158" s="339"/>
      <c r="G158" s="58" t="s">
        <v>2795</v>
      </c>
      <c r="H158" s="58" t="s">
        <v>2663</v>
      </c>
      <c r="K158" t="str">
        <f t="shared" si="2"/>
        <v>OK</v>
      </c>
      <c r="M158" s="297"/>
      <c r="N158" s="338" t="s">
        <v>2795</v>
      </c>
      <c r="O158" s="338" t="s">
        <v>896</v>
      </c>
      <c r="P158" s="338" t="s">
        <v>2663</v>
      </c>
      <c r="Q158" s="338"/>
    </row>
    <row r="159" spans="1:17" ht="13">
      <c r="B159" s="339" t="s">
        <v>2796</v>
      </c>
      <c r="C159" s="339" t="s">
        <v>896</v>
      </c>
      <c r="D159" s="339" t="s">
        <v>2665</v>
      </c>
      <c r="E159" s="339"/>
      <c r="G159" s="58" t="s">
        <v>2796</v>
      </c>
      <c r="H159" s="280" t="s">
        <v>2665</v>
      </c>
      <c r="K159" t="str">
        <f t="shared" si="2"/>
        <v>OK</v>
      </c>
      <c r="M159" s="297"/>
      <c r="N159" s="338" t="s">
        <v>2796</v>
      </c>
      <c r="O159" s="338" t="s">
        <v>896</v>
      </c>
      <c r="P159" s="338" t="s">
        <v>2665</v>
      </c>
      <c r="Q159" s="338"/>
    </row>
    <row r="160" spans="1:17" ht="13">
      <c r="B160" s="339" t="s">
        <v>2797</v>
      </c>
      <c r="C160" s="339" t="s">
        <v>896</v>
      </c>
      <c r="D160" s="339" t="s">
        <v>2667</v>
      </c>
      <c r="E160" s="339"/>
      <c r="G160" s="58" t="s">
        <v>2797</v>
      </c>
      <c r="H160" s="280" t="s">
        <v>2667</v>
      </c>
      <c r="K160" t="str">
        <f t="shared" si="2"/>
        <v>OK</v>
      </c>
      <c r="M160" s="297"/>
      <c r="N160" s="338" t="s">
        <v>2797</v>
      </c>
      <c r="O160" s="338" t="s">
        <v>896</v>
      </c>
      <c r="P160" s="338" t="s">
        <v>2667</v>
      </c>
      <c r="Q160" s="338"/>
    </row>
    <row r="161" spans="1:17" ht="13">
      <c r="B161" s="339" t="s">
        <v>2798</v>
      </c>
      <c r="C161" s="339" t="s">
        <v>896</v>
      </c>
      <c r="D161" s="339" t="s">
        <v>2669</v>
      </c>
      <c r="E161" s="339"/>
      <c r="G161" s="58" t="s">
        <v>2798</v>
      </c>
      <c r="H161" s="280" t="s">
        <v>2669</v>
      </c>
      <c r="K161" t="str">
        <f t="shared" si="2"/>
        <v>OK</v>
      </c>
      <c r="M161" s="297"/>
      <c r="N161" s="338" t="s">
        <v>2798</v>
      </c>
      <c r="O161" s="338" t="s">
        <v>896</v>
      </c>
      <c r="P161" s="338" t="s">
        <v>2669</v>
      </c>
      <c r="Q161" s="338"/>
    </row>
    <row r="162" spans="1:17" ht="13">
      <c r="B162" s="339" t="s">
        <v>2799</v>
      </c>
      <c r="C162" s="339" t="s">
        <v>896</v>
      </c>
      <c r="D162" s="339" t="s">
        <v>2671</v>
      </c>
      <c r="E162" s="339"/>
      <c r="G162" s="58" t="s">
        <v>2799</v>
      </c>
      <c r="H162" s="58" t="s">
        <v>2671</v>
      </c>
      <c r="K162" t="str">
        <f t="shared" si="2"/>
        <v>OK</v>
      </c>
      <c r="M162" s="297"/>
      <c r="N162" s="338" t="s">
        <v>2799</v>
      </c>
      <c r="O162" s="338" t="s">
        <v>896</v>
      </c>
      <c r="P162" s="338" t="s">
        <v>2671</v>
      </c>
      <c r="Q162" s="338"/>
    </row>
    <row r="163" spans="1:17" ht="13">
      <c r="B163" s="339" t="s">
        <v>2800</v>
      </c>
      <c r="C163" s="339" t="s">
        <v>896</v>
      </c>
      <c r="D163" s="339" t="s">
        <v>2673</v>
      </c>
      <c r="E163" s="339"/>
      <c r="G163" s="58" t="s">
        <v>2800</v>
      </c>
      <c r="H163" s="280" t="s">
        <v>2673</v>
      </c>
      <c r="K163" t="str">
        <f t="shared" si="2"/>
        <v>OK</v>
      </c>
      <c r="M163" s="297"/>
      <c r="N163" s="338" t="s">
        <v>2800</v>
      </c>
      <c r="O163" s="338" t="s">
        <v>896</v>
      </c>
      <c r="P163" s="338" t="s">
        <v>2673</v>
      </c>
      <c r="Q163" s="338"/>
    </row>
    <row r="164" spans="1:17" ht="13">
      <c r="B164" s="339" t="s">
        <v>2801</v>
      </c>
      <c r="C164" s="339" t="s">
        <v>896</v>
      </c>
      <c r="D164" s="339" t="s">
        <v>2675</v>
      </c>
      <c r="E164" s="339"/>
      <c r="G164" s="58" t="s">
        <v>2801</v>
      </c>
      <c r="H164" s="280" t="s">
        <v>2675</v>
      </c>
      <c r="K164" t="str">
        <f t="shared" si="2"/>
        <v>OK</v>
      </c>
      <c r="M164" s="297"/>
      <c r="N164" s="338" t="s">
        <v>2801</v>
      </c>
      <c r="O164" s="338" t="s">
        <v>896</v>
      </c>
      <c r="P164" s="338" t="s">
        <v>2675</v>
      </c>
      <c r="Q164" s="338"/>
    </row>
    <row r="165" spans="1:17" ht="13">
      <c r="B165" s="339" t="s">
        <v>2802</v>
      </c>
      <c r="C165" s="339" t="s">
        <v>896</v>
      </c>
      <c r="D165" s="339" t="s">
        <v>2677</v>
      </c>
      <c r="E165" s="339"/>
      <c r="G165" s="58" t="s">
        <v>2802</v>
      </c>
      <c r="H165" s="280" t="s">
        <v>2677</v>
      </c>
      <c r="K165" t="str">
        <f t="shared" si="2"/>
        <v>OK</v>
      </c>
      <c r="M165" s="297"/>
      <c r="N165" s="338" t="s">
        <v>2802</v>
      </c>
      <c r="O165" s="338" t="s">
        <v>896</v>
      </c>
      <c r="P165" s="338" t="s">
        <v>2677</v>
      </c>
      <c r="Q165" s="338"/>
    </row>
    <row r="166" spans="1:17" ht="13">
      <c r="B166" s="339" t="s">
        <v>2803</v>
      </c>
      <c r="C166" s="339" t="s">
        <v>896</v>
      </c>
      <c r="D166" s="339" t="s">
        <v>2679</v>
      </c>
      <c r="E166" s="339"/>
      <c r="G166" s="58" t="s">
        <v>2803</v>
      </c>
      <c r="H166" s="58" t="s">
        <v>2679</v>
      </c>
      <c r="K166" t="str">
        <f t="shared" si="2"/>
        <v>OK</v>
      </c>
      <c r="M166" s="297"/>
      <c r="N166" s="338" t="s">
        <v>2803</v>
      </c>
      <c r="O166" s="338" t="s">
        <v>896</v>
      </c>
      <c r="P166" s="338" t="s">
        <v>2679</v>
      </c>
      <c r="Q166" s="338"/>
    </row>
    <row r="167" spans="1:17" ht="13">
      <c r="B167" s="339" t="s">
        <v>2804</v>
      </c>
      <c r="C167" s="339" t="s">
        <v>896</v>
      </c>
      <c r="D167" s="339" t="s">
        <v>2681</v>
      </c>
      <c r="E167" s="339"/>
      <c r="G167" s="58" t="s">
        <v>2804</v>
      </c>
      <c r="H167" s="280" t="s">
        <v>2681</v>
      </c>
      <c r="K167" t="str">
        <f t="shared" si="2"/>
        <v>OK</v>
      </c>
      <c r="M167" s="297"/>
      <c r="N167" s="338" t="s">
        <v>2804</v>
      </c>
      <c r="O167" s="338" t="s">
        <v>896</v>
      </c>
      <c r="P167" s="338" t="s">
        <v>2681</v>
      </c>
      <c r="Q167" s="338"/>
    </row>
    <row r="168" spans="1:17" ht="13">
      <c r="B168" s="339" t="s">
        <v>2805</v>
      </c>
      <c r="C168" s="339" t="s">
        <v>896</v>
      </c>
      <c r="D168" s="339" t="s">
        <v>2683</v>
      </c>
      <c r="E168" s="339"/>
      <c r="G168" s="58" t="s">
        <v>2805</v>
      </c>
      <c r="H168" s="280" t="s">
        <v>2683</v>
      </c>
      <c r="K168" t="str">
        <f t="shared" si="2"/>
        <v>OK</v>
      </c>
      <c r="M168" s="297"/>
      <c r="N168" s="338" t="s">
        <v>2805</v>
      </c>
      <c r="O168" s="338" t="s">
        <v>896</v>
      </c>
      <c r="P168" s="338" t="s">
        <v>2683</v>
      </c>
      <c r="Q168" s="338"/>
    </row>
    <row r="169" spans="1:17" ht="13">
      <c r="B169" s="339" t="s">
        <v>2806</v>
      </c>
      <c r="C169" s="339" t="s">
        <v>896</v>
      </c>
      <c r="D169" s="339" t="s">
        <v>2685</v>
      </c>
      <c r="E169" s="339"/>
      <c r="G169" s="58" t="s">
        <v>2806</v>
      </c>
      <c r="H169" s="280" t="s">
        <v>2685</v>
      </c>
      <c r="K169" t="str">
        <f t="shared" si="2"/>
        <v>OK</v>
      </c>
      <c r="M169" s="297"/>
      <c r="N169" s="338" t="s">
        <v>2806</v>
      </c>
      <c r="O169" s="338" t="s">
        <v>896</v>
      </c>
      <c r="P169" s="338" t="s">
        <v>2685</v>
      </c>
      <c r="Q169" s="338"/>
    </row>
    <row r="170" spans="1:17" ht="13">
      <c r="B170" s="339" t="s">
        <v>2807</v>
      </c>
      <c r="C170" s="339" t="s">
        <v>896</v>
      </c>
      <c r="D170" s="339" t="s">
        <v>2687</v>
      </c>
      <c r="E170" s="339"/>
      <c r="G170" s="58" t="s">
        <v>2807</v>
      </c>
      <c r="H170" s="58" t="s">
        <v>2687</v>
      </c>
      <c r="K170" t="str">
        <f t="shared" si="2"/>
        <v>OK</v>
      </c>
      <c r="M170" s="297"/>
      <c r="N170" s="338" t="s">
        <v>2807</v>
      </c>
      <c r="O170" s="338" t="s">
        <v>896</v>
      </c>
      <c r="P170" s="338" t="s">
        <v>2687</v>
      </c>
      <c r="Q170" s="338"/>
    </row>
    <row r="171" spans="1:17" ht="13">
      <c r="B171" s="339" t="s">
        <v>2808</v>
      </c>
      <c r="C171" s="339" t="s">
        <v>896</v>
      </c>
      <c r="D171" s="339" t="s">
        <v>2689</v>
      </c>
      <c r="E171" s="339"/>
      <c r="G171" s="58" t="s">
        <v>2808</v>
      </c>
      <c r="H171" s="280" t="s">
        <v>2689</v>
      </c>
      <c r="K171" t="str">
        <f t="shared" si="2"/>
        <v>OK</v>
      </c>
      <c r="M171" s="297"/>
      <c r="N171" s="338" t="s">
        <v>2808</v>
      </c>
      <c r="O171" s="338" t="s">
        <v>896</v>
      </c>
      <c r="P171" s="338" t="s">
        <v>2689</v>
      </c>
      <c r="Q171" s="338"/>
    </row>
    <row r="172" spans="1:17" ht="13">
      <c r="B172" s="339" t="s">
        <v>2809</v>
      </c>
      <c r="C172" s="339" t="s">
        <v>896</v>
      </c>
      <c r="D172" s="339" t="s">
        <v>2691</v>
      </c>
      <c r="E172" s="339"/>
      <c r="G172" s="58" t="s">
        <v>2809</v>
      </c>
      <c r="H172" s="280" t="s">
        <v>2691</v>
      </c>
      <c r="K172" t="str">
        <f t="shared" si="2"/>
        <v>OK</v>
      </c>
      <c r="M172" s="297"/>
      <c r="N172" s="338" t="s">
        <v>2809</v>
      </c>
      <c r="O172" s="338" t="s">
        <v>896</v>
      </c>
      <c r="P172" s="338" t="s">
        <v>2691</v>
      </c>
      <c r="Q172" s="338"/>
    </row>
    <row r="173" spans="1:17" ht="13">
      <c r="B173" s="339"/>
      <c r="C173" s="339"/>
      <c r="D173" s="339"/>
      <c r="E173" s="339"/>
      <c r="K173" t="str">
        <f t="shared" si="2"/>
        <v>OK</v>
      </c>
      <c r="M173" s="297"/>
      <c r="N173" s="338"/>
      <c r="O173" s="338"/>
      <c r="P173" s="338"/>
      <c r="Q173" s="338"/>
    </row>
    <row r="174" spans="1:17" ht="13">
      <c r="A174" s="159" t="s">
        <v>942</v>
      </c>
      <c r="B174" s="339" t="s">
        <v>2810</v>
      </c>
      <c r="C174" s="339" t="s">
        <v>1055</v>
      </c>
      <c r="D174" s="339" t="s">
        <v>2630</v>
      </c>
      <c r="E174" s="344" t="s">
        <v>91</v>
      </c>
      <c r="G174" s="58" t="s">
        <v>2810</v>
      </c>
      <c r="H174" s="58" t="s">
        <v>2630</v>
      </c>
      <c r="I174" s="31" t="s">
        <v>91</v>
      </c>
      <c r="K174" t="str">
        <f t="shared" si="2"/>
        <v>OK</v>
      </c>
      <c r="M174" s="300" t="s">
        <v>942</v>
      </c>
      <c r="N174" s="338" t="s">
        <v>2810</v>
      </c>
      <c r="O174" s="338" t="s">
        <v>1055</v>
      </c>
      <c r="P174" s="338" t="s">
        <v>2630</v>
      </c>
      <c r="Q174" s="338" t="s">
        <v>2248</v>
      </c>
    </row>
    <row r="175" spans="1:17" ht="13">
      <c r="A175" s="159" t="s">
        <v>2352</v>
      </c>
      <c r="B175" s="339" t="s">
        <v>2811</v>
      </c>
      <c r="C175" s="339" t="s">
        <v>1055</v>
      </c>
      <c r="D175" s="339" t="s">
        <v>2632</v>
      </c>
      <c r="E175" s="344" t="s">
        <v>1206</v>
      </c>
      <c r="G175" s="58" t="s">
        <v>2811</v>
      </c>
      <c r="H175" s="58" t="s">
        <v>2632</v>
      </c>
      <c r="I175" s="31" t="s">
        <v>1206</v>
      </c>
      <c r="K175" t="str">
        <f t="shared" si="2"/>
        <v>OK</v>
      </c>
      <c r="M175" s="300" t="s">
        <v>2352</v>
      </c>
      <c r="N175" s="338" t="s">
        <v>2811</v>
      </c>
      <c r="O175" s="338" t="s">
        <v>1055</v>
      </c>
      <c r="P175" s="338" t="s">
        <v>2632</v>
      </c>
      <c r="Q175" s="338" t="s">
        <v>1206</v>
      </c>
    </row>
    <row r="176" spans="1:17" ht="13">
      <c r="A176" s="159" t="s">
        <v>2353</v>
      </c>
      <c r="B176" s="339" t="s">
        <v>2812</v>
      </c>
      <c r="C176" s="339" t="s">
        <v>1055</v>
      </c>
      <c r="D176" s="339" t="s">
        <v>2888</v>
      </c>
      <c r="E176" s="344" t="s">
        <v>1208</v>
      </c>
      <c r="G176" s="58" t="s">
        <v>2812</v>
      </c>
      <c r="H176" s="58" t="s">
        <v>2888</v>
      </c>
      <c r="I176" s="31" t="s">
        <v>1208</v>
      </c>
      <c r="K176" t="str">
        <f t="shared" si="2"/>
        <v>OK</v>
      </c>
      <c r="M176" s="300" t="s">
        <v>2353</v>
      </c>
      <c r="N176" s="338" t="s">
        <v>2812</v>
      </c>
      <c r="O176" s="338" t="s">
        <v>1055</v>
      </c>
      <c r="P176" s="338" t="s">
        <v>2888</v>
      </c>
      <c r="Q176" s="338" t="s">
        <v>1208</v>
      </c>
    </row>
    <row r="177" spans="1:17" ht="13">
      <c r="A177" s="159" t="s">
        <v>2354</v>
      </c>
      <c r="B177" s="339" t="s">
        <v>2813</v>
      </c>
      <c r="C177" s="339" t="s">
        <v>1055</v>
      </c>
      <c r="D177" s="339" t="s">
        <v>2635</v>
      </c>
      <c r="E177" s="344" t="s">
        <v>1207</v>
      </c>
      <c r="G177" s="58" t="s">
        <v>2813</v>
      </c>
      <c r="H177" s="58" t="s">
        <v>2635</v>
      </c>
      <c r="I177" s="31" t="s">
        <v>1207</v>
      </c>
      <c r="K177" t="str">
        <f t="shared" si="2"/>
        <v>OK</v>
      </c>
      <c r="M177" s="300" t="s">
        <v>2354</v>
      </c>
      <c r="N177" s="338" t="s">
        <v>2813</v>
      </c>
      <c r="O177" s="338" t="s">
        <v>1055</v>
      </c>
      <c r="P177" s="338" t="s">
        <v>2635</v>
      </c>
      <c r="Q177" s="338" t="s">
        <v>1207</v>
      </c>
    </row>
    <row r="178" spans="1:17" ht="13">
      <c r="A178" s="159" t="s">
        <v>2355</v>
      </c>
      <c r="B178" s="339" t="s">
        <v>2814</v>
      </c>
      <c r="C178" s="339" t="s">
        <v>1055</v>
      </c>
      <c r="D178" s="339" t="s">
        <v>2637</v>
      </c>
      <c r="E178" s="344" t="s">
        <v>1209</v>
      </c>
      <c r="G178" s="58" t="s">
        <v>2814</v>
      </c>
      <c r="H178" s="58" t="s">
        <v>2637</v>
      </c>
      <c r="I178" s="31" t="s">
        <v>1209</v>
      </c>
      <c r="K178" t="str">
        <f t="shared" si="2"/>
        <v>OK</v>
      </c>
      <c r="M178" s="300" t="s">
        <v>2355</v>
      </c>
      <c r="N178" s="338" t="s">
        <v>2814</v>
      </c>
      <c r="O178" s="338" t="s">
        <v>1055</v>
      </c>
      <c r="P178" s="338" t="s">
        <v>2637</v>
      </c>
      <c r="Q178" s="338" t="s">
        <v>1209</v>
      </c>
    </row>
    <row r="179" spans="1:17" ht="13">
      <c r="B179" s="339" t="s">
        <v>2815</v>
      </c>
      <c r="C179" s="339" t="s">
        <v>1055</v>
      </c>
      <c r="D179" s="339" t="s">
        <v>2639</v>
      </c>
      <c r="E179" s="339" t="s">
        <v>2943</v>
      </c>
      <c r="G179" s="58" t="s">
        <v>2815</v>
      </c>
      <c r="H179" s="58" t="s">
        <v>2639</v>
      </c>
      <c r="I179" s="58" t="s">
        <v>2943</v>
      </c>
      <c r="K179" t="str">
        <f t="shared" si="2"/>
        <v>OK</v>
      </c>
      <c r="M179" s="300"/>
      <c r="N179" s="338" t="s">
        <v>2815</v>
      </c>
      <c r="O179" s="338" t="s">
        <v>1055</v>
      </c>
      <c r="P179" s="338" t="s">
        <v>2639</v>
      </c>
      <c r="Q179" s="338" t="s">
        <v>2943</v>
      </c>
    </row>
    <row r="180" spans="1:17" ht="13">
      <c r="A180" s="158" t="s">
        <v>2383</v>
      </c>
      <c r="B180" s="339" t="s">
        <v>2816</v>
      </c>
      <c r="C180" s="339" t="s">
        <v>1055</v>
      </c>
      <c r="D180" s="339" t="s">
        <v>2641</v>
      </c>
      <c r="E180" s="344" t="s">
        <v>1210</v>
      </c>
      <c r="G180" s="58" t="s">
        <v>2816</v>
      </c>
      <c r="H180" s="58" t="s">
        <v>2641</v>
      </c>
      <c r="I180" s="58" t="s">
        <v>1210</v>
      </c>
      <c r="K180" t="str">
        <f t="shared" si="2"/>
        <v>OK</v>
      </c>
      <c r="M180" s="300" t="s">
        <v>2383</v>
      </c>
      <c r="N180" s="338" t="s">
        <v>2816</v>
      </c>
      <c r="O180" s="338" t="s">
        <v>1055</v>
      </c>
      <c r="P180" s="338" t="s">
        <v>2641</v>
      </c>
      <c r="Q180" s="338" t="s">
        <v>4339</v>
      </c>
    </row>
    <row r="181" spans="1:17" ht="13">
      <c r="B181" s="339" t="s">
        <v>2817</v>
      </c>
      <c r="C181" s="339" t="s">
        <v>1055</v>
      </c>
      <c r="D181" s="339" t="s">
        <v>2643</v>
      </c>
      <c r="E181" s="339" t="s">
        <v>3048</v>
      </c>
      <c r="G181" s="58" t="s">
        <v>2817</v>
      </c>
      <c r="H181" s="58" t="s">
        <v>2643</v>
      </c>
      <c r="I181" s="58" t="s">
        <v>4335</v>
      </c>
      <c r="K181" t="str">
        <f t="shared" si="2"/>
        <v>OK</v>
      </c>
      <c r="M181" s="297"/>
      <c r="N181" s="338" t="s">
        <v>2817</v>
      </c>
      <c r="O181" s="338" t="s">
        <v>1055</v>
      </c>
      <c r="P181" s="338" t="s">
        <v>2643</v>
      </c>
      <c r="Q181" s="341" t="s">
        <v>4341</v>
      </c>
    </row>
    <row r="182" spans="1:17" ht="13">
      <c r="B182" s="339" t="s">
        <v>2818</v>
      </c>
      <c r="C182" s="339" t="s">
        <v>1055</v>
      </c>
      <c r="D182" s="339" t="s">
        <v>2645</v>
      </c>
      <c r="E182" s="339" t="s">
        <v>3053</v>
      </c>
      <c r="G182" s="58" t="s">
        <v>2818</v>
      </c>
      <c r="H182" s="58" t="s">
        <v>2645</v>
      </c>
      <c r="I182" s="58" t="s">
        <v>4338</v>
      </c>
      <c r="K182" t="str">
        <f t="shared" si="2"/>
        <v>OK</v>
      </c>
      <c r="M182" s="297"/>
      <c r="N182" s="338" t="s">
        <v>2818</v>
      </c>
      <c r="O182" s="338" t="s">
        <v>1055</v>
      </c>
      <c r="P182" s="338" t="s">
        <v>2645</v>
      </c>
      <c r="Q182" s="338" t="s">
        <v>3049</v>
      </c>
    </row>
    <row r="183" spans="1:17" ht="13">
      <c r="B183" s="339" t="s">
        <v>2819</v>
      </c>
      <c r="C183" s="339" t="s">
        <v>1055</v>
      </c>
      <c r="D183" s="339" t="s">
        <v>2647</v>
      </c>
      <c r="E183" s="339" t="s">
        <v>3055</v>
      </c>
      <c r="G183" s="58" t="s">
        <v>2819</v>
      </c>
      <c r="H183" s="58" t="s">
        <v>2647</v>
      </c>
      <c r="I183" s="58" t="s">
        <v>4336</v>
      </c>
      <c r="K183" t="str">
        <f t="shared" si="2"/>
        <v>OK</v>
      </c>
      <c r="M183" s="297"/>
      <c r="N183" s="338" t="s">
        <v>2819</v>
      </c>
      <c r="O183" s="338" t="s">
        <v>1055</v>
      </c>
      <c r="P183" s="338" t="s">
        <v>2647</v>
      </c>
      <c r="Q183" s="338" t="s">
        <v>3050</v>
      </c>
    </row>
    <row r="184" spans="1:17" ht="13">
      <c r="B184" s="339" t="s">
        <v>2820</v>
      </c>
      <c r="C184" s="339" t="s">
        <v>1055</v>
      </c>
      <c r="D184" s="339" t="s">
        <v>2649</v>
      </c>
      <c r="E184" s="339" t="s">
        <v>3056</v>
      </c>
      <c r="G184" s="58" t="s">
        <v>2820</v>
      </c>
      <c r="H184" s="58" t="s">
        <v>2649</v>
      </c>
      <c r="I184" s="58" t="s">
        <v>4337</v>
      </c>
      <c r="K184" t="str">
        <f t="shared" si="2"/>
        <v>OK</v>
      </c>
      <c r="M184" s="297"/>
      <c r="N184" s="338" t="s">
        <v>2820</v>
      </c>
      <c r="O184" s="338" t="s">
        <v>1055</v>
      </c>
      <c r="P184" s="338" t="s">
        <v>2649</v>
      </c>
      <c r="Q184" s="338" t="s">
        <v>4340</v>
      </c>
    </row>
    <row r="185" spans="1:17" ht="13">
      <c r="B185" s="339" t="s">
        <v>2821</v>
      </c>
      <c r="C185" s="339" t="s">
        <v>1055</v>
      </c>
      <c r="D185" s="339" t="s">
        <v>2651</v>
      </c>
      <c r="E185" s="339" t="s">
        <v>3049</v>
      </c>
      <c r="G185" s="58" t="s">
        <v>2821</v>
      </c>
      <c r="H185" s="58" t="s">
        <v>2651</v>
      </c>
      <c r="I185" s="58" t="s">
        <v>3049</v>
      </c>
      <c r="K185" t="str">
        <f t="shared" si="2"/>
        <v>OK</v>
      </c>
      <c r="M185" s="297"/>
      <c r="N185" s="338" t="s">
        <v>2821</v>
      </c>
      <c r="O185" s="338" t="s">
        <v>1055</v>
      </c>
      <c r="P185" s="338" t="s">
        <v>2651</v>
      </c>
      <c r="Q185" s="338"/>
    </row>
    <row r="186" spans="1:17" ht="13">
      <c r="B186" s="339" t="s">
        <v>2822</v>
      </c>
      <c r="C186" s="339" t="s">
        <v>1055</v>
      </c>
      <c r="D186" s="339" t="s">
        <v>2653</v>
      </c>
      <c r="G186" s="58" t="s">
        <v>2822</v>
      </c>
      <c r="H186" s="58" t="s">
        <v>2653</v>
      </c>
      <c r="K186" t="str">
        <f t="shared" si="2"/>
        <v>OK</v>
      </c>
      <c r="M186" s="297"/>
      <c r="N186" s="338" t="s">
        <v>2822</v>
      </c>
      <c r="O186" s="338" t="s">
        <v>1055</v>
      </c>
      <c r="P186" s="338" t="s">
        <v>2653</v>
      </c>
      <c r="Q186" s="338"/>
    </row>
    <row r="187" spans="1:17" ht="13">
      <c r="A187" s="158" t="s">
        <v>2382</v>
      </c>
      <c r="B187" s="339" t="s">
        <v>2823</v>
      </c>
      <c r="C187" s="339" t="s">
        <v>1055</v>
      </c>
      <c r="D187" s="339" t="s">
        <v>2655</v>
      </c>
      <c r="E187" s="339" t="s">
        <v>4344</v>
      </c>
      <c r="G187" s="58" t="s">
        <v>2823</v>
      </c>
      <c r="H187" s="58" t="s">
        <v>2655</v>
      </c>
      <c r="I187" s="58"/>
      <c r="K187" t="str">
        <f t="shared" si="2"/>
        <v>OK</v>
      </c>
      <c r="M187" s="300" t="s">
        <v>2382</v>
      </c>
      <c r="N187" s="338" t="s">
        <v>2823</v>
      </c>
      <c r="O187" s="338" t="s">
        <v>1055</v>
      </c>
      <c r="P187" s="338" t="s">
        <v>2655</v>
      </c>
      <c r="Q187" s="339" t="s">
        <v>4344</v>
      </c>
    </row>
    <row r="188" spans="1:17" ht="13">
      <c r="B188" s="339" t="s">
        <v>2824</v>
      </c>
      <c r="C188" s="339" t="s">
        <v>1055</v>
      </c>
      <c r="D188" s="339" t="s">
        <v>2657</v>
      </c>
      <c r="E188" s="339"/>
      <c r="G188" s="58" t="s">
        <v>2824</v>
      </c>
      <c r="H188" s="58" t="s">
        <v>2657</v>
      </c>
      <c r="K188" t="str">
        <f t="shared" si="2"/>
        <v>OK</v>
      </c>
      <c r="M188" s="297"/>
      <c r="N188" s="338" t="s">
        <v>2824</v>
      </c>
      <c r="O188" s="338" t="s">
        <v>1055</v>
      </c>
      <c r="P188" s="338" t="s">
        <v>2657</v>
      </c>
      <c r="Q188" s="338"/>
    </row>
    <row r="189" spans="1:17" ht="13">
      <c r="B189" s="339" t="s">
        <v>2825</v>
      </c>
      <c r="C189" s="339" t="s">
        <v>1055</v>
      </c>
      <c r="D189" s="339" t="s">
        <v>2659</v>
      </c>
      <c r="E189" s="339"/>
      <c r="G189" s="58" t="s">
        <v>2825</v>
      </c>
      <c r="H189" s="58" t="s">
        <v>2659</v>
      </c>
      <c r="K189" t="str">
        <f t="shared" si="2"/>
        <v>OK</v>
      </c>
      <c r="M189" s="297"/>
      <c r="N189" s="338" t="s">
        <v>2825</v>
      </c>
      <c r="O189" s="338" t="s">
        <v>1055</v>
      </c>
      <c r="P189" s="338" t="s">
        <v>2659</v>
      </c>
      <c r="Q189" s="338"/>
    </row>
    <row r="190" spans="1:17" ht="13">
      <c r="B190" s="339" t="s">
        <v>2826</v>
      </c>
      <c r="C190" s="339" t="s">
        <v>1055</v>
      </c>
      <c r="D190" s="339" t="s">
        <v>2661</v>
      </c>
      <c r="E190" s="339"/>
      <c r="G190" s="58" t="s">
        <v>2826</v>
      </c>
      <c r="H190" s="58" t="s">
        <v>2661</v>
      </c>
      <c r="K190" t="str">
        <f t="shared" si="2"/>
        <v>OK</v>
      </c>
      <c r="M190" s="297"/>
      <c r="N190" s="338" t="s">
        <v>2826</v>
      </c>
      <c r="O190" s="338" t="s">
        <v>1055</v>
      </c>
      <c r="P190" s="338" t="s">
        <v>2661</v>
      </c>
      <c r="Q190" s="338"/>
    </row>
    <row r="191" spans="1:17" ht="13">
      <c r="B191" s="339" t="s">
        <v>2827</v>
      </c>
      <c r="C191" s="339" t="s">
        <v>1055</v>
      </c>
      <c r="D191" s="339" t="s">
        <v>2663</v>
      </c>
      <c r="E191" s="339"/>
      <c r="G191" s="58" t="s">
        <v>2827</v>
      </c>
      <c r="H191" s="58" t="s">
        <v>2663</v>
      </c>
      <c r="K191" t="str">
        <f t="shared" si="2"/>
        <v>OK</v>
      </c>
      <c r="M191" s="297"/>
      <c r="N191" s="338" t="s">
        <v>2827</v>
      </c>
      <c r="O191" s="338" t="s">
        <v>1055</v>
      </c>
      <c r="P191" s="338" t="s">
        <v>2663</v>
      </c>
      <c r="Q191" s="338"/>
    </row>
    <row r="192" spans="1:17" ht="13">
      <c r="B192" s="339" t="s">
        <v>2828</v>
      </c>
      <c r="C192" s="339" t="s">
        <v>1055</v>
      </c>
      <c r="D192" s="339" t="s">
        <v>2665</v>
      </c>
      <c r="E192" s="339"/>
      <c r="G192" s="58" t="s">
        <v>2828</v>
      </c>
      <c r="H192" s="58" t="s">
        <v>2665</v>
      </c>
      <c r="K192" t="str">
        <f t="shared" si="2"/>
        <v>OK</v>
      </c>
      <c r="M192" s="297"/>
      <c r="N192" s="338" t="s">
        <v>2828</v>
      </c>
      <c r="O192" s="338" t="s">
        <v>1055</v>
      </c>
      <c r="P192" s="338" t="s">
        <v>2665</v>
      </c>
      <c r="Q192" s="338"/>
    </row>
    <row r="193" spans="1:17" ht="13">
      <c r="B193" s="339" t="s">
        <v>2829</v>
      </c>
      <c r="C193" s="339" t="s">
        <v>1055</v>
      </c>
      <c r="D193" s="339" t="s">
        <v>2667</v>
      </c>
      <c r="E193" s="339"/>
      <c r="G193" s="58" t="s">
        <v>2829</v>
      </c>
      <c r="H193" s="58" t="s">
        <v>2667</v>
      </c>
      <c r="K193" t="str">
        <f t="shared" si="2"/>
        <v>OK</v>
      </c>
      <c r="M193" s="297"/>
      <c r="N193" s="338" t="s">
        <v>2829</v>
      </c>
      <c r="O193" s="338" t="s">
        <v>1055</v>
      </c>
      <c r="P193" s="338" t="s">
        <v>2667</v>
      </c>
      <c r="Q193" s="338"/>
    </row>
    <row r="194" spans="1:17" ht="13">
      <c r="B194" s="339" t="s">
        <v>2830</v>
      </c>
      <c r="C194" s="339" t="s">
        <v>1055</v>
      </c>
      <c r="D194" s="339" t="s">
        <v>2669</v>
      </c>
      <c r="E194" s="339"/>
      <c r="G194" s="58" t="s">
        <v>2830</v>
      </c>
      <c r="H194" s="58" t="s">
        <v>2669</v>
      </c>
      <c r="K194" t="str">
        <f t="shared" si="2"/>
        <v>OK</v>
      </c>
      <c r="M194" s="297"/>
      <c r="N194" s="338" t="s">
        <v>2830</v>
      </c>
      <c r="O194" s="338" t="s">
        <v>1055</v>
      </c>
      <c r="P194" s="338" t="s">
        <v>2669</v>
      </c>
      <c r="Q194" s="338"/>
    </row>
    <row r="195" spans="1:17" ht="13">
      <c r="B195" s="339" t="s">
        <v>2831</v>
      </c>
      <c r="C195" s="339" t="s">
        <v>1055</v>
      </c>
      <c r="D195" s="339" t="s">
        <v>2671</v>
      </c>
      <c r="E195" s="339"/>
      <c r="G195" s="58" t="s">
        <v>2831</v>
      </c>
      <c r="H195" s="58" t="s">
        <v>2671</v>
      </c>
      <c r="K195" t="str">
        <f t="shared" ref="K195:K249" si="3">IF(AND(A195=M195,G195=N195),"OK","CHECK")</f>
        <v>OK</v>
      </c>
      <c r="M195" s="297"/>
      <c r="N195" s="338" t="s">
        <v>2831</v>
      </c>
      <c r="O195" s="338" t="s">
        <v>1055</v>
      </c>
      <c r="P195" s="338" t="s">
        <v>2671</v>
      </c>
      <c r="Q195" s="338"/>
    </row>
    <row r="196" spans="1:17" ht="13">
      <c r="B196" s="339" t="s">
        <v>2832</v>
      </c>
      <c r="C196" s="339" t="s">
        <v>1055</v>
      </c>
      <c r="D196" s="339" t="s">
        <v>2673</v>
      </c>
      <c r="E196" s="339"/>
      <c r="G196" s="58" t="s">
        <v>2832</v>
      </c>
      <c r="H196" s="58" t="s">
        <v>2673</v>
      </c>
      <c r="K196" t="str">
        <f t="shared" si="3"/>
        <v>OK</v>
      </c>
      <c r="M196" s="297"/>
      <c r="N196" s="338" t="s">
        <v>2832</v>
      </c>
      <c r="O196" s="338" t="s">
        <v>1055</v>
      </c>
      <c r="P196" s="338" t="s">
        <v>2673</v>
      </c>
      <c r="Q196" s="338"/>
    </row>
    <row r="197" spans="1:17" ht="13">
      <c r="B197" s="339" t="s">
        <v>2833</v>
      </c>
      <c r="C197" s="339" t="s">
        <v>1055</v>
      </c>
      <c r="D197" s="339" t="s">
        <v>2675</v>
      </c>
      <c r="E197" s="339"/>
      <c r="G197" s="58" t="s">
        <v>2833</v>
      </c>
      <c r="H197" s="58" t="s">
        <v>2675</v>
      </c>
      <c r="K197" t="str">
        <f t="shared" si="3"/>
        <v>OK</v>
      </c>
      <c r="M197" s="297"/>
      <c r="N197" s="338" t="s">
        <v>2833</v>
      </c>
      <c r="O197" s="338" t="s">
        <v>1055</v>
      </c>
      <c r="P197" s="338" t="s">
        <v>2675</v>
      </c>
      <c r="Q197" s="338"/>
    </row>
    <row r="198" spans="1:17" ht="13">
      <c r="B198" s="339" t="s">
        <v>2834</v>
      </c>
      <c r="C198" s="339" t="s">
        <v>1055</v>
      </c>
      <c r="D198" s="339" t="s">
        <v>2677</v>
      </c>
      <c r="E198" s="339"/>
      <c r="G198" s="58" t="s">
        <v>2834</v>
      </c>
      <c r="H198" s="58" t="s">
        <v>2677</v>
      </c>
      <c r="K198" t="str">
        <f t="shared" si="3"/>
        <v>OK</v>
      </c>
      <c r="M198" s="297"/>
      <c r="N198" s="338" t="s">
        <v>2834</v>
      </c>
      <c r="O198" s="338" t="s">
        <v>1055</v>
      </c>
      <c r="P198" s="338" t="s">
        <v>2677</v>
      </c>
      <c r="Q198" s="338"/>
    </row>
    <row r="199" spans="1:17" ht="13">
      <c r="B199" s="339" t="s">
        <v>2835</v>
      </c>
      <c r="C199" s="339" t="s">
        <v>1055</v>
      </c>
      <c r="D199" s="339" t="s">
        <v>2679</v>
      </c>
      <c r="E199" s="339"/>
      <c r="G199" s="58" t="s">
        <v>2835</v>
      </c>
      <c r="H199" s="58" t="s">
        <v>2679</v>
      </c>
      <c r="K199" t="str">
        <f t="shared" si="3"/>
        <v>OK</v>
      </c>
      <c r="M199" s="297"/>
      <c r="N199" s="338" t="s">
        <v>2835</v>
      </c>
      <c r="O199" s="338" t="s">
        <v>1055</v>
      </c>
      <c r="P199" s="338" t="s">
        <v>2679</v>
      </c>
      <c r="Q199" s="338"/>
    </row>
    <row r="200" spans="1:17" ht="13">
      <c r="B200" s="339" t="s">
        <v>2836</v>
      </c>
      <c r="C200" s="339" t="s">
        <v>1055</v>
      </c>
      <c r="D200" s="339" t="s">
        <v>2681</v>
      </c>
      <c r="E200" s="339"/>
      <c r="G200" s="58" t="s">
        <v>2836</v>
      </c>
      <c r="H200" s="58" t="s">
        <v>2681</v>
      </c>
      <c r="K200" t="str">
        <f t="shared" si="3"/>
        <v>OK</v>
      </c>
      <c r="M200" s="297"/>
      <c r="N200" s="338" t="s">
        <v>2836</v>
      </c>
      <c r="O200" s="338" t="s">
        <v>1055</v>
      </c>
      <c r="P200" s="338" t="s">
        <v>2681</v>
      </c>
      <c r="Q200" s="338"/>
    </row>
    <row r="201" spans="1:17" ht="13">
      <c r="B201" s="339" t="s">
        <v>2837</v>
      </c>
      <c r="C201" s="339" t="s">
        <v>1055</v>
      </c>
      <c r="D201" s="339" t="s">
        <v>2683</v>
      </c>
      <c r="E201" s="339"/>
      <c r="G201" s="58" t="s">
        <v>2837</v>
      </c>
      <c r="H201" s="58" t="s">
        <v>2683</v>
      </c>
      <c r="K201" t="str">
        <f t="shared" si="3"/>
        <v>OK</v>
      </c>
      <c r="M201" s="297"/>
      <c r="N201" s="338" t="s">
        <v>2837</v>
      </c>
      <c r="O201" s="338" t="s">
        <v>1055</v>
      </c>
      <c r="P201" s="338" t="s">
        <v>2683</v>
      </c>
      <c r="Q201" s="338"/>
    </row>
    <row r="202" spans="1:17" ht="13">
      <c r="B202" s="339" t="s">
        <v>2838</v>
      </c>
      <c r="C202" s="339" t="s">
        <v>1055</v>
      </c>
      <c r="D202" s="339" t="s">
        <v>2685</v>
      </c>
      <c r="E202" s="339"/>
      <c r="G202" s="58" t="s">
        <v>2838</v>
      </c>
      <c r="H202" s="58" t="s">
        <v>2685</v>
      </c>
      <c r="K202" t="str">
        <f t="shared" si="3"/>
        <v>OK</v>
      </c>
      <c r="M202" s="297"/>
      <c r="N202" s="338" t="s">
        <v>2838</v>
      </c>
      <c r="O202" s="338" t="s">
        <v>1055</v>
      </c>
      <c r="P202" s="338" t="s">
        <v>2685</v>
      </c>
      <c r="Q202" s="338"/>
    </row>
    <row r="203" spans="1:17" ht="13">
      <c r="B203" s="339" t="s">
        <v>2839</v>
      </c>
      <c r="C203" s="339" t="s">
        <v>1055</v>
      </c>
      <c r="D203" s="339" t="s">
        <v>2687</v>
      </c>
      <c r="E203" s="339"/>
      <c r="G203" s="58" t="s">
        <v>2839</v>
      </c>
      <c r="H203" s="58" t="s">
        <v>2687</v>
      </c>
      <c r="K203" t="str">
        <f t="shared" si="3"/>
        <v>OK</v>
      </c>
      <c r="M203" s="297"/>
      <c r="N203" s="338" t="s">
        <v>2839</v>
      </c>
      <c r="O203" s="338" t="s">
        <v>1055</v>
      </c>
      <c r="P203" s="338" t="s">
        <v>2687</v>
      </c>
      <c r="Q203" s="338"/>
    </row>
    <row r="204" spans="1:17" ht="13">
      <c r="B204" s="339" t="s">
        <v>2840</v>
      </c>
      <c r="C204" s="339" t="s">
        <v>1055</v>
      </c>
      <c r="D204" s="339" t="s">
        <v>2689</v>
      </c>
      <c r="E204" s="339"/>
      <c r="G204" s="58" t="s">
        <v>2840</v>
      </c>
      <c r="H204" s="58" t="s">
        <v>2689</v>
      </c>
      <c r="K204" t="str">
        <f t="shared" si="3"/>
        <v>OK</v>
      </c>
      <c r="M204" s="297"/>
      <c r="N204" s="338" t="s">
        <v>2840</v>
      </c>
      <c r="O204" s="338" t="s">
        <v>1055</v>
      </c>
      <c r="P204" s="338" t="s">
        <v>2689</v>
      </c>
      <c r="Q204" s="338"/>
    </row>
    <row r="205" spans="1:17" ht="13">
      <c r="B205" s="339" t="s">
        <v>2841</v>
      </c>
      <c r="C205" s="339" t="s">
        <v>1055</v>
      </c>
      <c r="D205" s="339" t="s">
        <v>2691</v>
      </c>
      <c r="E205" s="339"/>
      <c r="G205" s="58" t="s">
        <v>2841</v>
      </c>
      <c r="H205" s="58" t="s">
        <v>2691</v>
      </c>
      <c r="K205" t="str">
        <f t="shared" si="3"/>
        <v>OK</v>
      </c>
      <c r="M205" s="297"/>
      <c r="N205" s="338" t="s">
        <v>2841</v>
      </c>
      <c r="O205" s="338" t="s">
        <v>1055</v>
      </c>
      <c r="P205" s="338" t="s">
        <v>2691</v>
      </c>
      <c r="Q205" s="338"/>
    </row>
    <row r="206" spans="1:17" ht="13">
      <c r="B206" s="339"/>
      <c r="C206" s="339"/>
      <c r="D206" s="339"/>
      <c r="E206" s="339"/>
      <c r="K206" t="str">
        <f t="shared" si="3"/>
        <v>OK</v>
      </c>
      <c r="M206" s="297"/>
      <c r="N206" s="338"/>
      <c r="O206" s="338"/>
      <c r="P206" s="338"/>
      <c r="Q206" s="338"/>
    </row>
    <row r="207" spans="1:17" ht="13">
      <c r="A207" s="157" t="s">
        <v>2268</v>
      </c>
      <c r="B207" s="339" t="s">
        <v>2842</v>
      </c>
      <c r="C207" s="339" t="s">
        <v>1205</v>
      </c>
      <c r="D207" s="339" t="s">
        <v>2630</v>
      </c>
      <c r="E207" s="339" t="s">
        <v>2248</v>
      </c>
      <c r="G207" s="58" t="s">
        <v>2842</v>
      </c>
      <c r="H207" s="58" t="s">
        <v>2630</v>
      </c>
      <c r="I207" s="36" t="s">
        <v>91</v>
      </c>
      <c r="K207" t="str">
        <f t="shared" si="3"/>
        <v>OK</v>
      </c>
      <c r="M207" s="299" t="s">
        <v>2268</v>
      </c>
      <c r="N207" s="338" t="s">
        <v>2842</v>
      </c>
      <c r="O207" s="338" t="s">
        <v>1205</v>
      </c>
      <c r="P207" s="338" t="s">
        <v>2630</v>
      </c>
      <c r="Q207" s="338" t="s">
        <v>2248</v>
      </c>
    </row>
    <row r="208" spans="1:17" ht="13">
      <c r="A208" s="157" t="s">
        <v>2447</v>
      </c>
      <c r="B208" s="339" t="s">
        <v>2843</v>
      </c>
      <c r="C208" s="339" t="s">
        <v>1205</v>
      </c>
      <c r="D208" s="339" t="s">
        <v>2632</v>
      </c>
      <c r="E208" s="339" t="s">
        <v>2431</v>
      </c>
      <c r="G208" s="58" t="s">
        <v>2843</v>
      </c>
      <c r="H208" s="58" t="s">
        <v>2632</v>
      </c>
      <c r="I208" s="58"/>
      <c r="K208" t="str">
        <f t="shared" si="3"/>
        <v>OK</v>
      </c>
      <c r="M208" s="299" t="s">
        <v>2447</v>
      </c>
      <c r="N208" s="338" t="s">
        <v>2843</v>
      </c>
      <c r="O208" s="338" t="s">
        <v>1205</v>
      </c>
      <c r="P208" s="338" t="s">
        <v>2632</v>
      </c>
      <c r="Q208" s="338" t="s">
        <v>2431</v>
      </c>
    </row>
    <row r="209" spans="1:17" ht="13">
      <c r="A209" s="157" t="s">
        <v>2448</v>
      </c>
      <c r="B209" s="339" t="s">
        <v>2844</v>
      </c>
      <c r="C209" s="339" t="s">
        <v>1205</v>
      </c>
      <c r="D209" s="339" t="s">
        <v>2888</v>
      </c>
      <c r="E209" s="339" t="s">
        <v>2432</v>
      </c>
      <c r="G209" s="58" t="s">
        <v>2844</v>
      </c>
      <c r="H209" s="58" t="s">
        <v>2888</v>
      </c>
      <c r="I209" s="58"/>
      <c r="K209" t="str">
        <f t="shared" si="3"/>
        <v>OK</v>
      </c>
      <c r="M209" s="299" t="s">
        <v>2448</v>
      </c>
      <c r="N209" s="338" t="s">
        <v>2844</v>
      </c>
      <c r="O209" s="338" t="s">
        <v>1205</v>
      </c>
      <c r="P209" s="338" t="s">
        <v>2888</v>
      </c>
      <c r="Q209" s="338" t="s">
        <v>2432</v>
      </c>
    </row>
    <row r="210" spans="1:17" ht="13">
      <c r="A210" s="157" t="s">
        <v>2449</v>
      </c>
      <c r="B210" s="339" t="s">
        <v>2845</v>
      </c>
      <c r="C210" s="339" t="s">
        <v>1205</v>
      </c>
      <c r="D210" s="339" t="s">
        <v>2635</v>
      </c>
      <c r="E210" s="339" t="s">
        <v>1211</v>
      </c>
      <c r="G210" s="58" t="s">
        <v>2845</v>
      </c>
      <c r="H210" s="58" t="s">
        <v>2635</v>
      </c>
      <c r="I210" s="58"/>
      <c r="K210" t="str">
        <f t="shared" si="3"/>
        <v>OK</v>
      </c>
      <c r="M210" s="299" t="s">
        <v>2449</v>
      </c>
      <c r="N210" s="338" t="s">
        <v>2845</v>
      </c>
      <c r="O210" s="338" t="s">
        <v>1205</v>
      </c>
      <c r="P210" s="338" t="s">
        <v>2635</v>
      </c>
      <c r="Q210" s="338" t="s">
        <v>1211</v>
      </c>
    </row>
    <row r="211" spans="1:17" ht="13">
      <c r="A211" s="157" t="s">
        <v>2450</v>
      </c>
      <c r="B211" s="339" t="s">
        <v>2846</v>
      </c>
      <c r="C211" s="339" t="s">
        <v>1205</v>
      </c>
      <c r="D211" s="339" t="s">
        <v>2637</v>
      </c>
      <c r="E211" s="339" t="s">
        <v>2395</v>
      </c>
      <c r="G211" s="58" t="s">
        <v>2846</v>
      </c>
      <c r="H211" s="58" t="s">
        <v>2637</v>
      </c>
      <c r="I211" s="58" t="s">
        <v>2395</v>
      </c>
      <c r="K211" t="str">
        <f t="shared" si="3"/>
        <v>OK</v>
      </c>
      <c r="M211" s="299" t="s">
        <v>2450</v>
      </c>
      <c r="N211" s="338" t="s">
        <v>2846</v>
      </c>
      <c r="O211" s="338" t="s">
        <v>1205</v>
      </c>
      <c r="P211" s="338" t="s">
        <v>2637</v>
      </c>
      <c r="Q211" s="338" t="s">
        <v>2395</v>
      </c>
    </row>
    <row r="212" spans="1:17" ht="13">
      <c r="A212" s="157" t="s">
        <v>2451</v>
      </c>
      <c r="B212" s="339" t="s">
        <v>2847</v>
      </c>
      <c r="C212" s="339" t="s">
        <v>1205</v>
      </c>
      <c r="D212" s="339" t="s">
        <v>2639</v>
      </c>
      <c r="E212" s="339" t="s">
        <v>2887</v>
      </c>
      <c r="G212" s="58" t="s">
        <v>2847</v>
      </c>
      <c r="H212" s="58" t="s">
        <v>2639</v>
      </c>
      <c r="I212" s="58" t="s">
        <v>2566</v>
      </c>
      <c r="K212" t="str">
        <f t="shared" si="3"/>
        <v>OK</v>
      </c>
      <c r="M212" s="299" t="s">
        <v>2451</v>
      </c>
      <c r="N212" s="338" t="s">
        <v>2847</v>
      </c>
      <c r="O212" s="338" t="s">
        <v>1205</v>
      </c>
      <c r="P212" s="338" t="s">
        <v>2639</v>
      </c>
      <c r="Q212" s="338" t="s">
        <v>2887</v>
      </c>
    </row>
    <row r="213" spans="1:17" ht="13">
      <c r="A213" s="157" t="s">
        <v>2452</v>
      </c>
      <c r="B213" s="339" t="s">
        <v>2848</v>
      </c>
      <c r="C213" s="339" t="s">
        <v>1205</v>
      </c>
      <c r="D213" s="339" t="s">
        <v>2641</v>
      </c>
      <c r="E213" s="339" t="s">
        <v>3063</v>
      </c>
      <c r="G213" s="58" t="s">
        <v>2848</v>
      </c>
      <c r="H213" s="58" t="s">
        <v>2641</v>
      </c>
      <c r="I213" s="58" t="s">
        <v>4333</v>
      </c>
      <c r="K213" t="str">
        <f t="shared" si="3"/>
        <v>OK</v>
      </c>
      <c r="M213" s="299" t="s">
        <v>2452</v>
      </c>
      <c r="N213" s="338" t="s">
        <v>2848</v>
      </c>
      <c r="O213" s="338" t="s">
        <v>1205</v>
      </c>
      <c r="P213" s="338" t="s">
        <v>2641</v>
      </c>
      <c r="Q213" s="338" t="s">
        <v>2567</v>
      </c>
    </row>
    <row r="214" spans="1:17" ht="13">
      <c r="A214" s="157" t="s">
        <v>2407</v>
      </c>
      <c r="B214" s="339" t="s">
        <v>2848</v>
      </c>
      <c r="C214" s="339" t="s">
        <v>1205</v>
      </c>
      <c r="D214" s="339" t="s">
        <v>2643</v>
      </c>
      <c r="E214" s="343" t="s">
        <v>2394</v>
      </c>
      <c r="G214" s="58" t="s">
        <v>2849</v>
      </c>
      <c r="H214" s="58" t="s">
        <v>2643</v>
      </c>
      <c r="I214" s="36"/>
      <c r="K214" t="str">
        <f t="shared" si="3"/>
        <v>OK</v>
      </c>
      <c r="M214" s="299" t="s">
        <v>2407</v>
      </c>
      <c r="N214" s="338" t="s">
        <v>2849</v>
      </c>
      <c r="O214" s="338" t="s">
        <v>1205</v>
      </c>
      <c r="P214" s="338" t="s">
        <v>2643</v>
      </c>
      <c r="Q214" s="338" t="s">
        <v>2568</v>
      </c>
    </row>
    <row r="215" spans="1:17" ht="13">
      <c r="A215" s="157" t="s">
        <v>2453</v>
      </c>
      <c r="B215" s="339" t="s">
        <v>2848</v>
      </c>
      <c r="C215" s="339" t="s">
        <v>1205</v>
      </c>
      <c r="D215" s="339" t="s">
        <v>2645</v>
      </c>
      <c r="E215" s="343"/>
      <c r="G215" s="58" t="s">
        <v>2850</v>
      </c>
      <c r="H215" s="58" t="s">
        <v>2645</v>
      </c>
      <c r="I215" s="36"/>
      <c r="K215" t="str">
        <f t="shared" si="3"/>
        <v>OK</v>
      </c>
      <c r="M215" s="299" t="s">
        <v>2453</v>
      </c>
      <c r="N215" s="338" t="s">
        <v>2850</v>
      </c>
      <c r="O215" s="338" t="s">
        <v>1205</v>
      </c>
      <c r="P215" s="338" t="s">
        <v>2645</v>
      </c>
      <c r="Q215" s="338" t="s">
        <v>2569</v>
      </c>
    </row>
    <row r="216" spans="1:17" ht="13">
      <c r="A216" s="157" t="s">
        <v>2595</v>
      </c>
      <c r="B216" s="339" t="s">
        <v>2851</v>
      </c>
      <c r="C216" s="339" t="s">
        <v>1205</v>
      </c>
      <c r="D216" s="339" t="s">
        <v>2647</v>
      </c>
      <c r="E216" s="339" t="s">
        <v>2570</v>
      </c>
      <c r="G216" s="58" t="s">
        <v>2851</v>
      </c>
      <c r="H216" s="58" t="s">
        <v>2647</v>
      </c>
      <c r="I216" s="58" t="s">
        <v>2570</v>
      </c>
      <c r="K216" t="str">
        <f t="shared" si="3"/>
        <v>OK</v>
      </c>
      <c r="M216" s="299" t="s">
        <v>2595</v>
      </c>
      <c r="N216" s="338" t="s">
        <v>2851</v>
      </c>
      <c r="O216" s="338" t="s">
        <v>1205</v>
      </c>
      <c r="P216" s="338" t="s">
        <v>2647</v>
      </c>
      <c r="Q216" s="338" t="s">
        <v>2570</v>
      </c>
    </row>
    <row r="217" spans="1:17" ht="13">
      <c r="A217" s="157" t="s">
        <v>2553</v>
      </c>
      <c r="B217" s="339" t="s">
        <v>2852</v>
      </c>
      <c r="C217" s="339" t="s">
        <v>1205</v>
      </c>
      <c r="D217" s="339" t="s">
        <v>2649</v>
      </c>
      <c r="E217" s="339" t="s">
        <v>2571</v>
      </c>
      <c r="G217" s="58" t="s">
        <v>2852</v>
      </c>
      <c r="H217" s="58" t="s">
        <v>2649</v>
      </c>
      <c r="I217" s="58" t="s">
        <v>2571</v>
      </c>
      <c r="K217" t="str">
        <f t="shared" si="3"/>
        <v>OK</v>
      </c>
      <c r="M217" s="299" t="s">
        <v>2553</v>
      </c>
      <c r="N217" s="338" t="s">
        <v>2852</v>
      </c>
      <c r="O217" s="338" t="s">
        <v>1205</v>
      </c>
      <c r="P217" s="338" t="s">
        <v>2649</v>
      </c>
      <c r="Q217" s="338" t="s">
        <v>2571</v>
      </c>
    </row>
    <row r="218" spans="1:17" ht="13">
      <c r="A218" s="157" t="s">
        <v>2550</v>
      </c>
      <c r="B218" s="339" t="s">
        <v>2853</v>
      </c>
      <c r="C218" s="339" t="s">
        <v>1205</v>
      </c>
      <c r="D218" s="339" t="s">
        <v>2651</v>
      </c>
      <c r="E218" s="339" t="s">
        <v>2572</v>
      </c>
      <c r="G218" s="58" t="s">
        <v>2853</v>
      </c>
      <c r="H218" s="58" t="s">
        <v>2651</v>
      </c>
      <c r="I218" s="58" t="s">
        <v>2572</v>
      </c>
      <c r="K218" t="str">
        <f t="shared" si="3"/>
        <v>OK</v>
      </c>
      <c r="M218" s="299" t="s">
        <v>2550</v>
      </c>
      <c r="N218" s="338" t="s">
        <v>2853</v>
      </c>
      <c r="O218" s="338" t="s">
        <v>1205</v>
      </c>
      <c r="P218" s="338" t="s">
        <v>2651</v>
      </c>
      <c r="Q218" s="338" t="s">
        <v>2572</v>
      </c>
    </row>
    <row r="219" spans="1:17" ht="13">
      <c r="A219" s="157" t="s">
        <v>2596</v>
      </c>
      <c r="B219" s="339" t="s">
        <v>2854</v>
      </c>
      <c r="C219" s="339" t="s">
        <v>1205</v>
      </c>
      <c r="D219" s="339" t="s">
        <v>2653</v>
      </c>
      <c r="E219" s="339" t="s">
        <v>2573</v>
      </c>
      <c r="G219" s="58" t="s">
        <v>2854</v>
      </c>
      <c r="H219" s="58" t="s">
        <v>2653</v>
      </c>
      <c r="I219" s="58" t="s">
        <v>2573</v>
      </c>
      <c r="K219" t="str">
        <f t="shared" si="3"/>
        <v>OK</v>
      </c>
      <c r="M219" s="299" t="s">
        <v>2596</v>
      </c>
      <c r="N219" s="338" t="s">
        <v>2854</v>
      </c>
      <c r="O219" s="338" t="s">
        <v>1205</v>
      </c>
      <c r="P219" s="338" t="s">
        <v>2653</v>
      </c>
      <c r="Q219" s="338" t="s">
        <v>2573</v>
      </c>
    </row>
    <row r="220" spans="1:17" ht="13">
      <c r="A220" s="157" t="s">
        <v>2549</v>
      </c>
      <c r="B220" s="339" t="s">
        <v>2855</v>
      </c>
      <c r="C220" s="339" t="s">
        <v>1205</v>
      </c>
      <c r="D220" s="339" t="s">
        <v>2655</v>
      </c>
      <c r="E220" s="339" t="s">
        <v>2574</v>
      </c>
      <c r="G220" s="58" t="s">
        <v>2855</v>
      </c>
      <c r="H220" s="58" t="s">
        <v>2655</v>
      </c>
      <c r="I220" s="58" t="s">
        <v>2574</v>
      </c>
      <c r="K220" t="str">
        <f t="shared" si="3"/>
        <v>OK</v>
      </c>
      <c r="M220" s="299" t="s">
        <v>2549</v>
      </c>
      <c r="N220" s="338" t="s">
        <v>2855</v>
      </c>
      <c r="O220" s="338" t="s">
        <v>1205</v>
      </c>
      <c r="P220" s="338" t="s">
        <v>2655</v>
      </c>
      <c r="Q220" s="338" t="s">
        <v>2574</v>
      </c>
    </row>
    <row r="221" spans="1:17" ht="13">
      <c r="A221" s="157" t="s">
        <v>2454</v>
      </c>
      <c r="B221" s="339" t="s">
        <v>2856</v>
      </c>
      <c r="C221" s="339" t="s">
        <v>1205</v>
      </c>
      <c r="D221" s="339" t="s">
        <v>2657</v>
      </c>
      <c r="E221" s="339" t="s">
        <v>2425</v>
      </c>
      <c r="G221" s="58" t="s">
        <v>2856</v>
      </c>
      <c r="H221" s="58" t="s">
        <v>2657</v>
      </c>
      <c r="I221" s="58" t="s">
        <v>2425</v>
      </c>
      <c r="K221" t="str">
        <f t="shared" si="3"/>
        <v>OK</v>
      </c>
      <c r="M221" s="299" t="s">
        <v>2454</v>
      </c>
      <c r="N221" s="338" t="s">
        <v>2856</v>
      </c>
      <c r="O221" s="338" t="s">
        <v>1205</v>
      </c>
      <c r="P221" s="338" t="s">
        <v>2657</v>
      </c>
      <c r="Q221" s="338" t="s">
        <v>2425</v>
      </c>
    </row>
    <row r="222" spans="1:17" ht="13">
      <c r="A222" s="157" t="s">
        <v>2455</v>
      </c>
      <c r="B222" s="339" t="s">
        <v>2857</v>
      </c>
      <c r="C222" s="339" t="s">
        <v>1205</v>
      </c>
      <c r="D222" s="339" t="s">
        <v>2659</v>
      </c>
      <c r="E222" s="339" t="s">
        <v>2426</v>
      </c>
      <c r="G222" s="58" t="s">
        <v>2857</v>
      </c>
      <c r="H222" s="58" t="s">
        <v>2659</v>
      </c>
      <c r="I222" s="58" t="s">
        <v>2426</v>
      </c>
      <c r="K222" t="str">
        <f t="shared" si="3"/>
        <v>OK</v>
      </c>
      <c r="M222" s="299" t="s">
        <v>2455</v>
      </c>
      <c r="N222" s="338" t="s">
        <v>2857</v>
      </c>
      <c r="O222" s="338" t="s">
        <v>1205</v>
      </c>
      <c r="P222" s="338" t="s">
        <v>2659</v>
      </c>
      <c r="Q222" s="338" t="s">
        <v>2426</v>
      </c>
    </row>
    <row r="223" spans="1:17" ht="13">
      <c r="A223" s="157" t="s">
        <v>2456</v>
      </c>
      <c r="B223" s="339" t="s">
        <v>2858</v>
      </c>
      <c r="C223" s="339" t="s">
        <v>1205</v>
      </c>
      <c r="D223" s="339" t="s">
        <v>2661</v>
      </c>
      <c r="E223" s="339" t="s">
        <v>1207</v>
      </c>
      <c r="G223" s="58" t="s">
        <v>2858</v>
      </c>
      <c r="H223" s="58" t="s">
        <v>2661</v>
      </c>
      <c r="I223" s="58" t="s">
        <v>1207</v>
      </c>
      <c r="K223" t="str">
        <f t="shared" si="3"/>
        <v>OK</v>
      </c>
      <c r="M223" s="299" t="s">
        <v>2456</v>
      </c>
      <c r="N223" s="338" t="s">
        <v>2858</v>
      </c>
      <c r="O223" s="338" t="s">
        <v>1205</v>
      </c>
      <c r="P223" s="338" t="s">
        <v>2661</v>
      </c>
      <c r="Q223" s="338" t="s">
        <v>1207</v>
      </c>
    </row>
    <row r="224" spans="1:17" ht="13">
      <c r="A224" s="157" t="s">
        <v>2457</v>
      </c>
      <c r="B224" s="339" t="s">
        <v>2859</v>
      </c>
      <c r="C224" s="339" t="s">
        <v>1205</v>
      </c>
      <c r="D224" s="339" t="s">
        <v>2663</v>
      </c>
      <c r="E224" s="339" t="s">
        <v>1208</v>
      </c>
      <c r="G224" s="58" t="s">
        <v>2859</v>
      </c>
      <c r="H224" s="58" t="s">
        <v>2663</v>
      </c>
      <c r="I224" s="58" t="s">
        <v>1208</v>
      </c>
      <c r="K224" t="str">
        <f t="shared" si="3"/>
        <v>OK</v>
      </c>
      <c r="M224" s="299" t="s">
        <v>2457</v>
      </c>
      <c r="N224" s="338" t="s">
        <v>2859</v>
      </c>
      <c r="O224" s="338" t="s">
        <v>1205</v>
      </c>
      <c r="P224" s="338" t="s">
        <v>2663</v>
      </c>
      <c r="Q224" s="338" t="s">
        <v>1208</v>
      </c>
    </row>
    <row r="225" spans="1:17" ht="13">
      <c r="A225" s="157" t="s">
        <v>2458</v>
      </c>
      <c r="B225" s="339" t="s">
        <v>2860</v>
      </c>
      <c r="C225" s="339" t="s">
        <v>1205</v>
      </c>
      <c r="D225" s="339" t="s">
        <v>2665</v>
      </c>
      <c r="E225" s="339" t="s">
        <v>2582</v>
      </c>
      <c r="G225" s="58" t="s">
        <v>2860</v>
      </c>
      <c r="H225" s="58" t="s">
        <v>2665</v>
      </c>
      <c r="I225" s="58" t="s">
        <v>2582</v>
      </c>
      <c r="K225" t="str">
        <f t="shared" si="3"/>
        <v>OK</v>
      </c>
      <c r="M225" s="299" t="s">
        <v>2458</v>
      </c>
      <c r="N225" s="338" t="s">
        <v>2860</v>
      </c>
      <c r="O225" s="338" t="s">
        <v>1205</v>
      </c>
      <c r="P225" s="338" t="s">
        <v>2665</v>
      </c>
      <c r="Q225" s="338" t="s">
        <v>2582</v>
      </c>
    </row>
    <row r="226" spans="1:17" ht="13">
      <c r="A226" s="157" t="s">
        <v>2459</v>
      </c>
      <c r="B226" s="339" t="s">
        <v>2861</v>
      </c>
      <c r="C226" s="339" t="s">
        <v>1205</v>
      </c>
      <c r="D226" s="339" t="s">
        <v>2667</v>
      </c>
      <c r="E226" s="339" t="s">
        <v>2583</v>
      </c>
      <c r="G226" s="58" t="s">
        <v>2861</v>
      </c>
      <c r="H226" s="58" t="s">
        <v>2667</v>
      </c>
      <c r="I226" s="58" t="s">
        <v>2583</v>
      </c>
      <c r="K226" t="str">
        <f t="shared" si="3"/>
        <v>OK</v>
      </c>
      <c r="M226" s="299" t="s">
        <v>2459</v>
      </c>
      <c r="N226" s="338" t="s">
        <v>2861</v>
      </c>
      <c r="O226" s="338" t="s">
        <v>1205</v>
      </c>
      <c r="P226" s="338" t="s">
        <v>2667</v>
      </c>
      <c r="Q226" s="338" t="s">
        <v>2583</v>
      </c>
    </row>
    <row r="227" spans="1:17" ht="13">
      <c r="A227" s="157" t="s">
        <v>2460</v>
      </c>
      <c r="B227" s="339" t="s">
        <v>2862</v>
      </c>
      <c r="C227" s="339" t="s">
        <v>1205</v>
      </c>
      <c r="D227" s="339" t="s">
        <v>2669</v>
      </c>
      <c r="E227" s="339" t="s">
        <v>2584</v>
      </c>
      <c r="G227" s="58" t="s">
        <v>2862</v>
      </c>
      <c r="H227" s="58" t="s">
        <v>2669</v>
      </c>
      <c r="I227" s="58" t="s">
        <v>2584</v>
      </c>
      <c r="K227" t="str">
        <f t="shared" si="3"/>
        <v>OK</v>
      </c>
      <c r="M227" s="299" t="s">
        <v>2460</v>
      </c>
      <c r="N227" s="338" t="s">
        <v>2862</v>
      </c>
      <c r="O227" s="338" t="s">
        <v>1205</v>
      </c>
      <c r="P227" s="338" t="s">
        <v>2669</v>
      </c>
      <c r="Q227" s="338" t="s">
        <v>2584</v>
      </c>
    </row>
    <row r="228" spans="1:17" ht="13">
      <c r="A228" s="157" t="s">
        <v>2461</v>
      </c>
      <c r="B228" s="339" t="s">
        <v>2863</v>
      </c>
      <c r="C228" s="339" t="s">
        <v>1205</v>
      </c>
      <c r="D228" s="339" t="s">
        <v>2671</v>
      </c>
      <c r="E228" s="339" t="s">
        <v>2585</v>
      </c>
      <c r="G228" s="58" t="s">
        <v>2863</v>
      </c>
      <c r="H228" s="58" t="s">
        <v>2671</v>
      </c>
      <c r="I228" s="58" t="s">
        <v>2585</v>
      </c>
      <c r="K228" t="str">
        <f t="shared" si="3"/>
        <v>OK</v>
      </c>
      <c r="M228" s="299" t="s">
        <v>2461</v>
      </c>
      <c r="N228" s="338" t="s">
        <v>2863</v>
      </c>
      <c r="O228" s="338" t="s">
        <v>1205</v>
      </c>
      <c r="P228" s="338" t="s">
        <v>2671</v>
      </c>
      <c r="Q228" s="338" t="s">
        <v>2585</v>
      </c>
    </row>
    <row r="229" spans="1:17" ht="13">
      <c r="A229" s="157" t="s">
        <v>2462</v>
      </c>
      <c r="B229" s="339" t="s">
        <v>2864</v>
      </c>
      <c r="C229" s="339" t="s">
        <v>1205</v>
      </c>
      <c r="D229" s="339" t="s">
        <v>2673</v>
      </c>
      <c r="E229" s="339" t="s">
        <v>2586</v>
      </c>
      <c r="G229" s="58" t="s">
        <v>2864</v>
      </c>
      <c r="H229" s="58" t="s">
        <v>2673</v>
      </c>
      <c r="I229" s="58" t="s">
        <v>2586</v>
      </c>
      <c r="K229" t="str">
        <f t="shared" si="3"/>
        <v>OK</v>
      </c>
      <c r="M229" s="299" t="s">
        <v>2462</v>
      </c>
      <c r="N229" s="338" t="s">
        <v>2864</v>
      </c>
      <c r="O229" s="338" t="s">
        <v>1205</v>
      </c>
      <c r="P229" s="338" t="s">
        <v>2673</v>
      </c>
      <c r="Q229" s="338" t="s">
        <v>2586</v>
      </c>
    </row>
    <row r="230" spans="1:17" ht="13">
      <c r="A230" s="157" t="s">
        <v>2551</v>
      </c>
      <c r="B230" s="339" t="s">
        <v>2865</v>
      </c>
      <c r="C230" s="339" t="s">
        <v>1205</v>
      </c>
      <c r="D230" s="339" t="s">
        <v>2675</v>
      </c>
      <c r="E230" s="339" t="s">
        <v>2587</v>
      </c>
      <c r="G230" s="58" t="s">
        <v>2865</v>
      </c>
      <c r="H230" s="58" t="s">
        <v>2675</v>
      </c>
      <c r="I230" s="58" t="s">
        <v>2587</v>
      </c>
      <c r="K230" t="str">
        <f t="shared" si="3"/>
        <v>OK</v>
      </c>
      <c r="M230" s="299" t="s">
        <v>2551</v>
      </c>
      <c r="N230" s="338" t="s">
        <v>2865</v>
      </c>
      <c r="O230" s="338" t="s">
        <v>1205</v>
      </c>
      <c r="P230" s="338" t="s">
        <v>2675</v>
      </c>
      <c r="Q230" s="338" t="s">
        <v>2587</v>
      </c>
    </row>
    <row r="231" spans="1:17" ht="13">
      <c r="A231" s="157" t="s">
        <v>2597</v>
      </c>
      <c r="B231" s="339" t="s">
        <v>2866</v>
      </c>
      <c r="C231" s="339" t="s">
        <v>1205</v>
      </c>
      <c r="D231" s="339" t="s">
        <v>2677</v>
      </c>
      <c r="E231" s="339" t="s">
        <v>2588</v>
      </c>
      <c r="G231" s="58" t="s">
        <v>2866</v>
      </c>
      <c r="H231" s="58" t="s">
        <v>2677</v>
      </c>
      <c r="I231" s="58" t="s">
        <v>2588</v>
      </c>
      <c r="K231" t="str">
        <f t="shared" si="3"/>
        <v>OK</v>
      </c>
      <c r="M231" s="299" t="s">
        <v>2597</v>
      </c>
      <c r="N231" s="338" t="s">
        <v>2866</v>
      </c>
      <c r="O231" s="338" t="s">
        <v>1205</v>
      </c>
      <c r="P231" s="338" t="s">
        <v>2677</v>
      </c>
      <c r="Q231" s="338" t="s">
        <v>2588</v>
      </c>
    </row>
    <row r="232" spans="1:17" ht="13">
      <c r="A232" s="157" t="s">
        <v>2552</v>
      </c>
      <c r="B232" s="339" t="s">
        <v>2867</v>
      </c>
      <c r="C232" s="339" t="s">
        <v>1205</v>
      </c>
      <c r="D232" s="339" t="s">
        <v>2679</v>
      </c>
      <c r="E232" s="339" t="s">
        <v>2427</v>
      </c>
      <c r="G232" s="58" t="s">
        <v>2867</v>
      </c>
      <c r="H232" s="58" t="s">
        <v>2679</v>
      </c>
      <c r="I232" s="58" t="s">
        <v>2427</v>
      </c>
      <c r="K232" t="str">
        <f t="shared" si="3"/>
        <v>OK</v>
      </c>
      <c r="M232" s="299" t="s">
        <v>2552</v>
      </c>
      <c r="N232" s="338" t="s">
        <v>2867</v>
      </c>
      <c r="O232" s="338" t="s">
        <v>1205</v>
      </c>
      <c r="P232" s="338" t="s">
        <v>2679</v>
      </c>
      <c r="Q232" s="338" t="s">
        <v>2427</v>
      </c>
    </row>
    <row r="233" spans="1:17" ht="13">
      <c r="A233" s="157"/>
      <c r="B233" s="339" t="s">
        <v>2868</v>
      </c>
      <c r="C233" s="339" t="s">
        <v>1205</v>
      </c>
      <c r="D233" s="339" t="s">
        <v>2681</v>
      </c>
      <c r="E233" s="339" t="s">
        <v>3054</v>
      </c>
      <c r="G233" s="58" t="s">
        <v>2868</v>
      </c>
      <c r="H233" s="58" t="s">
        <v>2681</v>
      </c>
      <c r="I233" s="58" t="s">
        <v>3054</v>
      </c>
      <c r="K233" t="str">
        <f t="shared" si="3"/>
        <v>OK</v>
      </c>
      <c r="M233" s="299"/>
      <c r="N233" s="338" t="s">
        <v>2868</v>
      </c>
      <c r="O233" s="338" t="s">
        <v>1205</v>
      </c>
      <c r="P233" s="338" t="s">
        <v>2681</v>
      </c>
      <c r="Q233" s="31" t="str">
        <f>VLOOKUP(N233,Funding_Area_Names!$G$2:$I$249,3,FALSE)</f>
        <v>Tamaki</v>
      </c>
    </row>
    <row r="234" spans="1:17" ht="13">
      <c r="B234" s="339" t="s">
        <v>2869</v>
      </c>
      <c r="C234" s="339" t="s">
        <v>1205</v>
      </c>
      <c r="D234" s="339" t="s">
        <v>2683</v>
      </c>
      <c r="E234" s="339"/>
      <c r="G234" s="58" t="s">
        <v>2869</v>
      </c>
      <c r="H234" s="58" t="s">
        <v>2683</v>
      </c>
      <c r="K234" t="str">
        <f t="shared" si="3"/>
        <v>OK</v>
      </c>
      <c r="M234" s="297"/>
      <c r="N234" s="338" t="s">
        <v>2869</v>
      </c>
      <c r="O234" s="338" t="s">
        <v>1205</v>
      </c>
      <c r="P234" s="338" t="s">
        <v>2683</v>
      </c>
      <c r="Q234" s="338"/>
    </row>
    <row r="235" spans="1:17" ht="13">
      <c r="B235" s="339" t="s">
        <v>2870</v>
      </c>
      <c r="C235" s="339" t="s">
        <v>1205</v>
      </c>
      <c r="D235" s="339" t="s">
        <v>2685</v>
      </c>
      <c r="E235" s="339"/>
      <c r="G235" s="58" t="s">
        <v>2870</v>
      </c>
      <c r="H235" s="58" t="s">
        <v>2685</v>
      </c>
      <c r="K235" t="str">
        <f t="shared" si="3"/>
        <v>OK</v>
      </c>
      <c r="M235" s="297"/>
      <c r="N235" s="338" t="s">
        <v>2870</v>
      </c>
      <c r="O235" s="338" t="s">
        <v>1205</v>
      </c>
      <c r="P235" s="338" t="s">
        <v>2685</v>
      </c>
      <c r="Q235" s="338"/>
    </row>
    <row r="236" spans="1:17" ht="13">
      <c r="B236" s="339" t="s">
        <v>2871</v>
      </c>
      <c r="C236" s="339" t="s">
        <v>1205</v>
      </c>
      <c r="D236" s="339" t="s">
        <v>2687</v>
      </c>
      <c r="E236" s="339"/>
      <c r="G236" s="58" t="s">
        <v>2871</v>
      </c>
      <c r="H236" s="58" t="s">
        <v>2687</v>
      </c>
      <c r="K236" t="str">
        <f t="shared" si="3"/>
        <v>OK</v>
      </c>
      <c r="M236" s="297"/>
      <c r="N236" s="338" t="s">
        <v>2871</v>
      </c>
      <c r="O236" s="338" t="s">
        <v>1205</v>
      </c>
      <c r="P236" s="338" t="s">
        <v>2687</v>
      </c>
      <c r="Q236" s="338"/>
    </row>
    <row r="237" spans="1:17" ht="13">
      <c r="B237" s="339" t="s">
        <v>2872</v>
      </c>
      <c r="C237" s="339" t="s">
        <v>1205</v>
      </c>
      <c r="D237" s="339" t="s">
        <v>2689</v>
      </c>
      <c r="E237" s="339"/>
      <c r="G237" s="58" t="s">
        <v>2872</v>
      </c>
      <c r="H237" s="58" t="s">
        <v>2689</v>
      </c>
      <c r="K237" t="str">
        <f t="shared" si="3"/>
        <v>OK</v>
      </c>
      <c r="M237" s="297"/>
      <c r="N237" s="338" t="s">
        <v>2872</v>
      </c>
      <c r="O237" s="338" t="s">
        <v>1205</v>
      </c>
      <c r="P237" s="338" t="s">
        <v>2689</v>
      </c>
      <c r="Q237" s="338"/>
    </row>
    <row r="238" spans="1:17" ht="13">
      <c r="B238" s="339" t="s">
        <v>2873</v>
      </c>
      <c r="C238" s="339" t="s">
        <v>1205</v>
      </c>
      <c r="D238" s="339" t="s">
        <v>2691</v>
      </c>
      <c r="E238" s="339"/>
      <c r="G238" s="58" t="s">
        <v>2873</v>
      </c>
      <c r="H238" s="58" t="s">
        <v>2691</v>
      </c>
      <c r="K238" t="str">
        <f t="shared" si="3"/>
        <v>OK</v>
      </c>
      <c r="M238" s="297"/>
      <c r="N238" s="338" t="s">
        <v>2873</v>
      </c>
      <c r="O238" s="338" t="s">
        <v>1205</v>
      </c>
      <c r="P238" s="338" t="s">
        <v>2691</v>
      </c>
      <c r="Q238" s="338"/>
    </row>
    <row r="239" spans="1:17" ht="13">
      <c r="B239" s="339" t="s">
        <v>2874</v>
      </c>
      <c r="C239" s="339" t="s">
        <v>1205</v>
      </c>
      <c r="D239" s="339" t="s">
        <v>2693</v>
      </c>
      <c r="E239" s="339"/>
      <c r="G239" s="58" t="s">
        <v>2874</v>
      </c>
      <c r="H239" s="58" t="s">
        <v>2693</v>
      </c>
      <c r="K239" t="str">
        <f t="shared" si="3"/>
        <v>OK</v>
      </c>
      <c r="M239" s="297"/>
      <c r="N239" s="338" t="s">
        <v>2874</v>
      </c>
      <c r="O239" s="338" t="s">
        <v>1205</v>
      </c>
      <c r="P239" s="338" t="s">
        <v>2693</v>
      </c>
      <c r="Q239" s="338"/>
    </row>
    <row r="240" spans="1:17" ht="13">
      <c r="A240"/>
      <c r="B240" s="339" t="s">
        <v>2875</v>
      </c>
      <c r="C240" s="339" t="s">
        <v>1205</v>
      </c>
      <c r="D240" s="339" t="s">
        <v>2695</v>
      </c>
      <c r="E240" s="339"/>
      <c r="G240" s="58" t="s">
        <v>2875</v>
      </c>
      <c r="H240" s="58" t="s">
        <v>2695</v>
      </c>
      <c r="K240" t="str">
        <f t="shared" si="3"/>
        <v>OK</v>
      </c>
      <c r="M240" s="301"/>
      <c r="N240" s="338" t="s">
        <v>2875</v>
      </c>
      <c r="O240" s="338" t="s">
        <v>1205</v>
      </c>
      <c r="P240" s="338" t="s">
        <v>2695</v>
      </c>
      <c r="Q240" s="338"/>
    </row>
    <row r="241" spans="1:17" ht="13">
      <c r="A241"/>
      <c r="B241" s="339" t="s">
        <v>2876</v>
      </c>
      <c r="C241" s="339" t="s">
        <v>1205</v>
      </c>
      <c r="D241" s="339" t="s">
        <v>2697</v>
      </c>
      <c r="E241" s="339"/>
      <c r="G241" s="58" t="s">
        <v>2876</v>
      </c>
      <c r="H241" s="58" t="s">
        <v>2697</v>
      </c>
      <c r="K241" t="str">
        <f t="shared" si="3"/>
        <v>OK</v>
      </c>
      <c r="M241" s="301"/>
      <c r="N241" s="338" t="s">
        <v>2876</v>
      </c>
      <c r="O241" s="338" t="s">
        <v>1205</v>
      </c>
      <c r="P241" s="338" t="s">
        <v>2697</v>
      </c>
      <c r="Q241" s="338"/>
    </row>
    <row r="242" spans="1:17" ht="13">
      <c r="A242"/>
      <c r="B242" s="339" t="s">
        <v>2877</v>
      </c>
      <c r="C242" s="339" t="s">
        <v>1205</v>
      </c>
      <c r="D242" s="339" t="s">
        <v>2699</v>
      </c>
      <c r="E242" s="339"/>
      <c r="G242" s="58" t="s">
        <v>2877</v>
      </c>
      <c r="H242" s="58" t="s">
        <v>2699</v>
      </c>
      <c r="K242" t="str">
        <f t="shared" si="3"/>
        <v>OK</v>
      </c>
      <c r="M242" s="301"/>
      <c r="N242" s="338" t="s">
        <v>2877</v>
      </c>
      <c r="O242" s="338" t="s">
        <v>1205</v>
      </c>
      <c r="P242" s="338" t="s">
        <v>2699</v>
      </c>
      <c r="Q242" s="338"/>
    </row>
    <row r="243" spans="1:17" ht="13">
      <c r="A243"/>
      <c r="B243" s="339" t="s">
        <v>2878</v>
      </c>
      <c r="C243" s="339" t="s">
        <v>1205</v>
      </c>
      <c r="D243" s="339" t="s">
        <v>2701</v>
      </c>
      <c r="E243" s="339"/>
      <c r="G243" s="58" t="s">
        <v>2878</v>
      </c>
      <c r="H243" s="58" t="s">
        <v>2701</v>
      </c>
      <c r="K243" t="str">
        <f t="shared" si="3"/>
        <v>OK</v>
      </c>
      <c r="M243" s="301"/>
      <c r="N243" s="338" t="s">
        <v>2878</v>
      </c>
      <c r="O243" s="338" t="s">
        <v>1205</v>
      </c>
      <c r="P243" s="338" t="s">
        <v>2701</v>
      </c>
      <c r="Q243" s="338"/>
    </row>
    <row r="244" spans="1:17" ht="13">
      <c r="A244"/>
      <c r="B244" s="339" t="s">
        <v>2879</v>
      </c>
      <c r="C244" s="339" t="s">
        <v>1205</v>
      </c>
      <c r="D244" s="339" t="s">
        <v>2703</v>
      </c>
      <c r="E244" s="339"/>
      <c r="G244" s="58" t="s">
        <v>2879</v>
      </c>
      <c r="H244" s="58" t="s">
        <v>2703</v>
      </c>
      <c r="K244" t="str">
        <f t="shared" si="3"/>
        <v>OK</v>
      </c>
      <c r="M244" s="301"/>
      <c r="N244" s="338" t="s">
        <v>2879</v>
      </c>
      <c r="O244" s="338" t="s">
        <v>1205</v>
      </c>
      <c r="P244" s="338" t="s">
        <v>2703</v>
      </c>
      <c r="Q244" s="338"/>
    </row>
    <row r="245" spans="1:17" ht="13">
      <c r="A245"/>
      <c r="B245" s="339" t="s">
        <v>2880</v>
      </c>
      <c r="C245" s="339" t="s">
        <v>1205</v>
      </c>
      <c r="D245" s="339" t="s">
        <v>2705</v>
      </c>
      <c r="E245" s="339"/>
      <c r="G245" s="58" t="s">
        <v>2880</v>
      </c>
      <c r="H245" s="58" t="s">
        <v>2705</v>
      </c>
      <c r="K245" t="str">
        <f t="shared" si="3"/>
        <v>OK</v>
      </c>
      <c r="M245" s="301"/>
      <c r="N245" s="338" t="s">
        <v>2880</v>
      </c>
      <c r="O245" s="338" t="s">
        <v>1205</v>
      </c>
      <c r="P245" s="338" t="s">
        <v>2705</v>
      </c>
      <c r="Q245" s="338"/>
    </row>
    <row r="246" spans="1:17" ht="13">
      <c r="A246"/>
      <c r="B246" s="339" t="s">
        <v>2881</v>
      </c>
      <c r="C246" s="339" t="s">
        <v>1205</v>
      </c>
      <c r="D246" s="339" t="s">
        <v>2707</v>
      </c>
      <c r="E246" s="339"/>
      <c r="G246" s="58" t="s">
        <v>2881</v>
      </c>
      <c r="H246" s="58" t="s">
        <v>2707</v>
      </c>
      <c r="K246" t="str">
        <f t="shared" si="3"/>
        <v>OK</v>
      </c>
      <c r="M246" s="301"/>
      <c r="N246" s="338" t="s">
        <v>2881</v>
      </c>
      <c r="O246" s="338" t="s">
        <v>1205</v>
      </c>
      <c r="P246" s="338" t="s">
        <v>2707</v>
      </c>
      <c r="Q246" s="338"/>
    </row>
    <row r="247" spans="1:17" ht="13">
      <c r="A247"/>
      <c r="B247" s="339" t="s">
        <v>2882</v>
      </c>
      <c r="C247" s="339" t="s">
        <v>1205</v>
      </c>
      <c r="D247" s="339" t="s">
        <v>2709</v>
      </c>
      <c r="E247" s="339"/>
      <c r="G247" s="58" t="s">
        <v>2882</v>
      </c>
      <c r="H247" s="58" t="s">
        <v>2709</v>
      </c>
      <c r="K247" t="str">
        <f t="shared" si="3"/>
        <v>OK</v>
      </c>
      <c r="M247" s="301"/>
      <c r="N247" s="338" t="s">
        <v>2882</v>
      </c>
      <c r="O247" s="338" t="s">
        <v>1205</v>
      </c>
      <c r="P247" s="338" t="s">
        <v>2709</v>
      </c>
      <c r="Q247" s="338"/>
    </row>
    <row r="248" spans="1:17" ht="13">
      <c r="A248"/>
      <c r="B248" s="339" t="s">
        <v>2883</v>
      </c>
      <c r="C248" s="339" t="s">
        <v>1205</v>
      </c>
      <c r="D248" s="339" t="s">
        <v>2711</v>
      </c>
      <c r="E248" s="339"/>
      <c r="G248" s="58" t="s">
        <v>2883</v>
      </c>
      <c r="H248" s="58" t="s">
        <v>2711</v>
      </c>
      <c r="K248" t="str">
        <f t="shared" si="3"/>
        <v>OK</v>
      </c>
      <c r="M248" s="301"/>
      <c r="N248" s="338" t="s">
        <v>2883</v>
      </c>
      <c r="O248" s="338" t="s">
        <v>1205</v>
      </c>
      <c r="P248" s="338" t="s">
        <v>2711</v>
      </c>
      <c r="Q248" s="338"/>
    </row>
    <row r="249" spans="1:17" ht="13">
      <c r="A249"/>
      <c r="B249" s="339" t="s">
        <v>2884</v>
      </c>
      <c r="C249" s="339" t="s">
        <v>1205</v>
      </c>
      <c r="D249" s="339" t="s">
        <v>2713</v>
      </c>
      <c r="E249" s="339"/>
      <c r="G249" s="58" t="s">
        <v>2884</v>
      </c>
      <c r="H249" s="58" t="s">
        <v>2713</v>
      </c>
      <c r="K249" t="str">
        <f t="shared" si="3"/>
        <v>OK</v>
      </c>
      <c r="M249" s="301"/>
      <c r="N249" s="338" t="s">
        <v>2884</v>
      </c>
      <c r="O249" s="338" t="s">
        <v>1205</v>
      </c>
      <c r="P249" s="338" t="s">
        <v>2713</v>
      </c>
      <c r="Q249" s="338"/>
    </row>
  </sheetData>
  <autoFilter ref="A1:Q1" xr:uid="{00000000-0009-0000-0000-000008000000}"/>
  <pageMargins left="0.23622047244094491" right="0.23622047244094491" top="0.74803149606299213" bottom="0.74803149606299213" header="0.31496062992125984" footer="0.31496062992125984"/>
  <pageSetup paperSize="8" scale="61" fitToHeight="3" orientation="portrait" r:id="rId1"/>
  <headerFooter>
    <oddFooter>&amp;L&amp;F&amp;C&amp;A&amp;R&amp;D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6BD2-F777-4251-96BC-3D890391A192}">
  <dimension ref="A1:H14"/>
  <sheetViews>
    <sheetView topLeftCell="A2" zoomScale="115" zoomScaleNormal="115" workbookViewId="0">
      <selection activeCell="C13" sqref="C13"/>
    </sheetView>
  </sheetViews>
  <sheetFormatPr defaultColWidth="9.1796875" defaultRowHeight="13"/>
  <cols>
    <col min="1" max="1" width="31.1796875" style="805" bestFit="1" customWidth="1"/>
    <col min="2" max="2" width="16.26953125" style="805" customWidth="1"/>
    <col min="3" max="3" width="84.1796875" style="805" customWidth="1"/>
    <col min="4" max="4" width="9.1796875" style="805"/>
    <col min="5" max="5" width="10.453125" style="805" bestFit="1" customWidth="1"/>
    <col min="6" max="6" width="22.453125" style="805" bestFit="1" customWidth="1"/>
    <col min="7" max="7" width="14.453125" style="805" bestFit="1" customWidth="1"/>
    <col min="8" max="8" width="84.54296875" style="805" customWidth="1"/>
    <col min="9" max="16384" width="9.1796875" style="805"/>
  </cols>
  <sheetData>
    <row r="1" spans="1:8" ht="21">
      <c r="A1" s="919" t="s">
        <v>7014</v>
      </c>
      <c r="B1" s="919"/>
      <c r="C1" s="919"/>
      <c r="E1" s="919" t="s">
        <v>6999</v>
      </c>
      <c r="F1" s="919"/>
      <c r="G1" s="919"/>
      <c r="H1" s="919"/>
    </row>
    <row r="2" spans="1:8" ht="35.5" customHeight="1">
      <c r="A2" s="920" t="s">
        <v>7050</v>
      </c>
      <c r="B2" s="921"/>
      <c r="C2" s="921"/>
      <c r="E2" s="882"/>
      <c r="F2" s="882"/>
      <c r="G2" s="882"/>
      <c r="H2" s="882"/>
    </row>
    <row r="3" spans="1:8" ht="16" customHeight="1">
      <c r="E3" s="883" t="s">
        <v>5558</v>
      </c>
      <c r="F3" s="883" t="s">
        <v>5554</v>
      </c>
      <c r="G3" s="883" t="s">
        <v>5559</v>
      </c>
      <c r="H3" s="883" t="s">
        <v>5529</v>
      </c>
    </row>
    <row r="4" spans="1:8" ht="23.15" customHeight="1">
      <c r="A4" s="883"/>
      <c r="B4" s="883" t="s">
        <v>5554</v>
      </c>
      <c r="C4" s="883" t="s">
        <v>5529</v>
      </c>
      <c r="E4" s="842" t="s">
        <v>2011</v>
      </c>
      <c r="F4" s="842" t="s">
        <v>5802</v>
      </c>
      <c r="G4" s="885" t="s">
        <v>5560</v>
      </c>
      <c r="H4" s="841" t="s">
        <v>5561</v>
      </c>
    </row>
    <row r="5" spans="1:8" ht="24" customHeight="1">
      <c r="A5" s="884" t="s">
        <v>5556</v>
      </c>
      <c r="B5" s="841" t="s">
        <v>5792</v>
      </c>
      <c r="C5" s="841" t="s">
        <v>6672</v>
      </c>
      <c r="E5" s="842" t="s">
        <v>2011</v>
      </c>
      <c r="F5" s="842" t="s">
        <v>2011</v>
      </c>
      <c r="G5" s="886" t="s">
        <v>5562</v>
      </c>
      <c r="H5" s="841" t="s">
        <v>7051</v>
      </c>
    </row>
    <row r="6" spans="1:8" ht="27.65" customHeight="1">
      <c r="A6" s="884" t="s">
        <v>5555</v>
      </c>
      <c r="B6" s="841" t="s">
        <v>5792</v>
      </c>
      <c r="C6" s="841" t="s">
        <v>6671</v>
      </c>
      <c r="E6" s="842" t="s">
        <v>5563</v>
      </c>
      <c r="F6" s="842" t="s">
        <v>5790</v>
      </c>
      <c r="G6" s="888" t="s">
        <v>5564</v>
      </c>
      <c r="H6" s="841" t="s">
        <v>6995</v>
      </c>
    </row>
    <row r="7" spans="1:8" ht="101.5">
      <c r="A7" s="887" t="s">
        <v>5557</v>
      </c>
      <c r="B7" s="841" t="s">
        <v>6997</v>
      </c>
      <c r="C7" s="841" t="s">
        <v>7041</v>
      </c>
      <c r="E7" s="842" t="s">
        <v>5563</v>
      </c>
      <c r="F7" s="842" t="s">
        <v>5799</v>
      </c>
      <c r="G7" s="890" t="s">
        <v>5800</v>
      </c>
      <c r="H7" s="841" t="s">
        <v>6996</v>
      </c>
    </row>
    <row r="8" spans="1:8" ht="64.5" customHeight="1">
      <c r="A8" s="889" t="s">
        <v>2223</v>
      </c>
      <c r="B8" s="841" t="s">
        <v>5790</v>
      </c>
      <c r="C8" s="841" t="s">
        <v>7042</v>
      </c>
    </row>
    <row r="9" spans="1:8" ht="72.650000000000006" customHeight="1">
      <c r="A9" s="889" t="s">
        <v>2224</v>
      </c>
      <c r="B9" s="841" t="s">
        <v>5790</v>
      </c>
      <c r="C9" s="841" t="s">
        <v>7043</v>
      </c>
    </row>
    <row r="10" spans="1:8" ht="65.25" customHeight="1">
      <c r="A10" s="889" t="s">
        <v>2225</v>
      </c>
      <c r="B10" s="841" t="s">
        <v>5790</v>
      </c>
      <c r="C10" s="841" t="s">
        <v>7044</v>
      </c>
    </row>
    <row r="11" spans="1:8" ht="45.65" customHeight="1">
      <c r="A11" s="840" t="s">
        <v>5798</v>
      </c>
      <c r="B11" s="841" t="s">
        <v>5791</v>
      </c>
      <c r="C11" s="841" t="s">
        <v>7040</v>
      </c>
    </row>
    <row r="12" spans="1:8" ht="51.75" customHeight="1">
      <c r="A12" s="840" t="s">
        <v>7004</v>
      </c>
      <c r="B12" s="841" t="s">
        <v>5791</v>
      </c>
      <c r="C12" s="841" t="s">
        <v>7054</v>
      </c>
    </row>
    <row r="14" spans="1:8" ht="45.65" customHeight="1"/>
  </sheetData>
  <mergeCells count="3">
    <mergeCell ref="A1:C1"/>
    <mergeCell ref="E1:H1"/>
    <mergeCell ref="A2:C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Q263"/>
  <sheetViews>
    <sheetView workbookViewId="0">
      <pane xSplit="1" ySplit="2" topLeftCell="D196" activePane="bottomRight" state="frozen"/>
      <selection activeCell="G90" sqref="G90:G139"/>
      <selection pane="topRight" activeCell="G90" sqref="G90:G139"/>
      <selection pane="bottomLeft" activeCell="G90" sqref="G90:G139"/>
      <selection pane="bottomRight" activeCell="G90" sqref="G90:G139"/>
    </sheetView>
  </sheetViews>
  <sheetFormatPr defaultColWidth="9.453125" defaultRowHeight="12.5"/>
  <cols>
    <col min="1" max="1" width="26.453125" customWidth="1"/>
    <col min="2" max="2" width="16.453125" style="342" hidden="1" customWidth="1"/>
    <col min="3" max="3" width="14.453125" style="342" hidden="1" customWidth="1"/>
    <col min="4" max="4" width="13.54296875" style="342" customWidth="1"/>
    <col min="5" max="5" width="9.453125" style="342"/>
    <col min="6" max="6" width="14.453125" customWidth="1"/>
    <col min="7" max="7" width="19.453125" customWidth="1"/>
    <col min="8" max="8" width="16.54296875" customWidth="1"/>
    <col min="9" max="9" width="31.453125" customWidth="1"/>
    <col min="10" max="10" width="16.54296875" customWidth="1"/>
    <col min="11" max="11" width="15.453125" customWidth="1"/>
    <col min="12" max="12" width="17.54296875" customWidth="1"/>
    <col min="13" max="13" width="18.453125" customWidth="1"/>
    <col min="14" max="14" width="9.453125" style="342"/>
    <col min="15" max="15" width="12.54296875" style="342" customWidth="1"/>
    <col min="16" max="16" width="11.453125" style="342" customWidth="1"/>
    <col min="17" max="17" width="9.453125" style="342"/>
  </cols>
  <sheetData>
    <row r="1" spans="1:17">
      <c r="B1"/>
      <c r="C1"/>
      <c r="D1"/>
      <c r="E1"/>
      <c r="N1"/>
      <c r="O1"/>
      <c r="P1"/>
      <c r="Q1"/>
    </row>
    <row r="2" spans="1:17" ht="56">
      <c r="A2" s="204" t="s">
        <v>2953</v>
      </c>
      <c r="B2" s="346" t="s">
        <v>2954</v>
      </c>
      <c r="C2" s="347" t="s">
        <v>2955</v>
      </c>
      <c r="D2" s="347" t="s">
        <v>2956</v>
      </c>
      <c r="E2" s="348"/>
      <c r="F2" s="204" t="s">
        <v>2957</v>
      </c>
      <c r="G2" s="204" t="s">
        <v>2958</v>
      </c>
      <c r="H2" s="204" t="s">
        <v>2959</v>
      </c>
      <c r="I2" s="204" t="s">
        <v>3038</v>
      </c>
      <c r="J2" s="204" t="s">
        <v>2965</v>
      </c>
      <c r="K2" s="204" t="s">
        <v>2966</v>
      </c>
      <c r="L2" s="204" t="s">
        <v>2967</v>
      </c>
      <c r="M2" s="204" t="s">
        <v>2968</v>
      </c>
    </row>
    <row r="3" spans="1:17" ht="13">
      <c r="A3" s="58" t="s">
        <v>2842</v>
      </c>
      <c r="B3" s="345"/>
      <c r="C3" s="345"/>
      <c r="D3" s="345" t="e">
        <f>SUMIF(#REF!,$A3,#REF!)</f>
        <v>#REF!</v>
      </c>
      <c r="E3" s="342" t="str">
        <f>LEFT(A3,3)</f>
        <v xml:space="preserve">CI </v>
      </c>
      <c r="F3" s="207">
        <f>SUMIF(Interest_data!$B$12:$B$161,$A3,Interest_data!$D$12:$D$161)</f>
        <v>207491.1</v>
      </c>
      <c r="G3" s="207">
        <f ca="1">SUMIF(Interest_data!$B$12:$B$161,$A3,Interest_data!$AA$12:$AA$160)</f>
        <v>8697632</v>
      </c>
      <c r="H3" s="207" t="e">
        <f ca="1">+G3+F3+D3</f>
        <v>#REF!</v>
      </c>
      <c r="I3" s="207" t="e">
        <f t="shared" ref="I3:I66" ca="1" si="0">+H3</f>
        <v>#REF!</v>
      </c>
      <c r="J3" s="207">
        <f>SUMIF(Historic_capex_list!$T$9:$T$586,$A3,Historic_capex_list!P$9:P$586)</f>
        <v>62036078.817807756</v>
      </c>
      <c r="K3" s="207">
        <f>SUMIF(Historic_capex_list!$T$9:$T$586,$A3,Historic_capex_list!Q$9:Q$586)</f>
        <v>17861651.408251837</v>
      </c>
      <c r="L3" s="207" t="e">
        <f t="shared" ref="L3:L45" ca="1" si="1">+J3+I3</f>
        <v>#REF!</v>
      </c>
      <c r="M3" s="207">
        <f t="shared" ref="M3:M45" si="2">+K3</f>
        <v>17861651.408251837</v>
      </c>
      <c r="O3" s="345">
        <v>-4667184.2136982195</v>
      </c>
      <c r="P3" s="345" t="e">
        <f ca="1">+O3-I3</f>
        <v>#REF!</v>
      </c>
    </row>
    <row r="4" spans="1:17" ht="13">
      <c r="A4" s="330" t="s">
        <v>2851</v>
      </c>
      <c r="B4" s="345"/>
      <c r="C4" s="345"/>
      <c r="D4" s="345" t="e">
        <f>SUMIF(#REF!,$A4,#REF!)</f>
        <v>#REF!</v>
      </c>
      <c r="E4" s="342" t="str">
        <f t="shared" ref="E4:E67" si="3">LEFT(A4,3)</f>
        <v xml:space="preserve">CI </v>
      </c>
      <c r="F4" s="207">
        <f>SUMIF(Interest_data!$B$12:$B$161,$A4,Interest_data!$D$12:$D$161)</f>
        <v>3436.7999999999997</v>
      </c>
      <c r="G4" s="207">
        <f ca="1">SUMIF(Interest_data!$B$12:$B$161,$A4,Interest_data!$AA$12:$AA$160)</f>
        <v>14604</v>
      </c>
      <c r="H4" s="207" t="e">
        <f t="shared" ref="H4:H67" ca="1" si="4">+G4+F4+D4</f>
        <v>#REF!</v>
      </c>
      <c r="I4" s="207" t="e">
        <f t="shared" ca="1" si="0"/>
        <v>#REF!</v>
      </c>
      <c r="J4" s="207">
        <f>SUMIF(Historic_capex_list!$T$9:$T$586,$A4,Historic_capex_list!P$9:P$586)</f>
        <v>1326525.042544916</v>
      </c>
      <c r="K4" s="207">
        <f>SUMIF(Historic_capex_list!$T$9:$T$586,$A4,Historic_capex_list!Q$9:Q$586)</f>
        <v>0</v>
      </c>
      <c r="L4" s="207" t="e">
        <f t="shared" ca="1" si="1"/>
        <v>#REF!</v>
      </c>
      <c r="M4" s="207">
        <f t="shared" si="2"/>
        <v>0</v>
      </c>
      <c r="O4" s="345">
        <v>-101177.2915334787</v>
      </c>
      <c r="P4" s="345" t="e">
        <f t="shared" ref="P4:P67" ca="1" si="5">+O4-I4</f>
        <v>#REF!</v>
      </c>
    </row>
    <row r="5" spans="1:17" ht="13">
      <c r="A5" s="58" t="s">
        <v>2852</v>
      </c>
      <c r="B5" s="345"/>
      <c r="C5" s="345"/>
      <c r="D5" s="345" t="e">
        <f>SUMIF(#REF!,$A5,#REF!)</f>
        <v>#REF!</v>
      </c>
      <c r="E5" s="342" t="str">
        <f t="shared" si="3"/>
        <v xml:space="preserve">CI </v>
      </c>
      <c r="F5" s="207">
        <f>SUMIF(Interest_data!$B$12:$B$161,$A5,Interest_data!$D$12:$D$161)</f>
        <v>3991.7999999999997</v>
      </c>
      <c r="G5" s="207">
        <f ca="1">SUMIF(Interest_data!$B$12:$B$161,$A5,Interest_data!$AA$12:$AA$160)</f>
        <v>222134</v>
      </c>
      <c r="H5" s="207" t="e">
        <f t="shared" ca="1" si="4"/>
        <v>#REF!</v>
      </c>
      <c r="I5" s="207" t="e">
        <f t="shared" ca="1" si="0"/>
        <v>#REF!</v>
      </c>
      <c r="J5" s="207">
        <f>SUMIF(Historic_capex_list!$T$9:$T$586,$A5,Historic_capex_list!P$9:P$586)</f>
        <v>4531666.4425128326</v>
      </c>
      <c r="K5" s="207">
        <f>SUMIF(Historic_capex_list!$T$9:$T$586,$A5,Historic_capex_list!Q$9:Q$586)</f>
        <v>1078489.2567645961</v>
      </c>
      <c r="L5" s="207" t="e">
        <f t="shared" ca="1" si="1"/>
        <v>#REF!</v>
      </c>
      <c r="M5" s="207">
        <f t="shared" si="2"/>
        <v>1078489.2567645961</v>
      </c>
      <c r="O5" s="345">
        <v>177078.20608704974</v>
      </c>
      <c r="P5" s="345" t="e">
        <f t="shared" ca="1" si="5"/>
        <v>#REF!</v>
      </c>
    </row>
    <row r="6" spans="1:17" ht="13">
      <c r="A6" s="58" t="s">
        <v>2853</v>
      </c>
      <c r="B6" s="345"/>
      <c r="C6" s="345"/>
      <c r="D6" s="345" t="e">
        <f>SUMIF(#REF!,$A6,#REF!)</f>
        <v>#REF!</v>
      </c>
      <c r="E6" s="342" t="str">
        <f t="shared" si="3"/>
        <v xml:space="preserve">CI </v>
      </c>
      <c r="F6" s="207">
        <f>SUMIF(Interest_data!$B$12:$B$161,$A6,Interest_data!$D$12:$D$161)</f>
        <v>200.1</v>
      </c>
      <c r="G6" s="207">
        <f ca="1">SUMIF(Interest_data!$B$12:$B$161,$A6,Interest_data!$AA$12:$AA$160)</f>
        <v>11964</v>
      </c>
      <c r="H6" s="207" t="e">
        <f t="shared" ca="1" si="4"/>
        <v>#REF!</v>
      </c>
      <c r="I6" s="207" t="e">
        <f t="shared" ca="1" si="0"/>
        <v>#REF!</v>
      </c>
      <c r="J6" s="207">
        <f>SUMIF(Historic_capex_list!$T$9:$T$586,$A6,Historic_capex_list!P$9:P$586)</f>
        <v>46225.930622504668</v>
      </c>
      <c r="K6" s="207">
        <f>SUMIF(Historic_capex_list!$T$9:$T$586,$A6,Historic_capex_list!Q$9:Q$586)</f>
        <v>0</v>
      </c>
      <c r="L6" s="207" t="e">
        <f t="shared" ca="1" si="1"/>
        <v>#REF!</v>
      </c>
      <c r="M6" s="207">
        <f t="shared" si="2"/>
        <v>0</v>
      </c>
      <c r="O6" s="345">
        <v>11545.850622151829</v>
      </c>
      <c r="P6" s="345" t="e">
        <f t="shared" ca="1" si="5"/>
        <v>#REF!</v>
      </c>
    </row>
    <row r="7" spans="1:17" ht="13">
      <c r="A7" s="58" t="s">
        <v>2854</v>
      </c>
      <c r="B7" s="345"/>
      <c r="C7" s="345"/>
      <c r="D7" s="345" t="e">
        <f>SUMIF(#REF!,$A7,#REF!)</f>
        <v>#REF!</v>
      </c>
      <c r="E7" s="342" t="str">
        <f t="shared" si="3"/>
        <v xml:space="preserve">CI </v>
      </c>
      <c r="F7" s="207">
        <f>SUMIF(Interest_data!$B$12:$B$161,$A7,Interest_data!$D$12:$D$161)</f>
        <v>0</v>
      </c>
      <c r="G7" s="207">
        <f ca="1">SUMIF(Interest_data!$B$12:$B$161,$A7,Interest_data!$AA$12:$AA$160)</f>
        <v>0</v>
      </c>
      <c r="H7" s="207" t="e">
        <f t="shared" ca="1" si="4"/>
        <v>#REF!</v>
      </c>
      <c r="I7" s="207" t="e">
        <f t="shared" ca="1" si="0"/>
        <v>#REF!</v>
      </c>
      <c r="J7" s="207">
        <f>SUMIF(Historic_capex_list!$T$9:$T$586,$A7,Historic_capex_list!P$9:P$586)</f>
        <v>0</v>
      </c>
      <c r="K7" s="207">
        <f>SUMIF(Historic_capex_list!$T$9:$T$586,$A7,Historic_capex_list!Q$9:Q$586)</f>
        <v>0</v>
      </c>
      <c r="L7" s="207" t="e">
        <f t="shared" ca="1" si="1"/>
        <v>#REF!</v>
      </c>
      <c r="M7" s="207">
        <f t="shared" si="2"/>
        <v>0</v>
      </c>
      <c r="O7" s="345">
        <v>0</v>
      </c>
      <c r="P7" s="345" t="e">
        <f t="shared" ca="1" si="5"/>
        <v>#REF!</v>
      </c>
    </row>
    <row r="8" spans="1:17" ht="13">
      <c r="A8" s="58" t="s">
        <v>2855</v>
      </c>
      <c r="B8" s="345"/>
      <c r="C8" s="345"/>
      <c r="D8" s="345" t="e">
        <f>SUMIF(#REF!,$A8,#REF!)</f>
        <v>#REF!</v>
      </c>
      <c r="E8" s="342" t="str">
        <f t="shared" si="3"/>
        <v xml:space="preserve">CI </v>
      </c>
      <c r="F8" s="207">
        <f>SUMIF(Interest_data!$B$12:$B$161,$A8,Interest_data!$D$12:$D$161)</f>
        <v>12753.3</v>
      </c>
      <c r="G8" s="207">
        <f ca="1">SUMIF(Interest_data!$B$12:$B$161,$A8,Interest_data!$AA$12:$AA$160)</f>
        <v>714884</v>
      </c>
      <c r="H8" s="207" t="e">
        <f t="shared" ca="1" si="4"/>
        <v>#REF!</v>
      </c>
      <c r="I8" s="207" t="e">
        <f t="shared" ca="1" si="0"/>
        <v>#REF!</v>
      </c>
      <c r="J8" s="207">
        <f>SUMIF(Historic_capex_list!$T$9:$T$586,$A8,Historic_capex_list!P$9:P$586)</f>
        <v>4055179.4336544084</v>
      </c>
      <c r="K8" s="207">
        <f>SUMIF(Historic_capex_list!$T$9:$T$586,$A8,Historic_capex_list!Q$9:Q$586)</f>
        <v>0</v>
      </c>
      <c r="L8" s="207" t="e">
        <f t="shared" ca="1" si="1"/>
        <v>#REF!</v>
      </c>
      <c r="M8" s="207">
        <f t="shared" si="2"/>
        <v>0</v>
      </c>
      <c r="O8" s="345">
        <v>681957.17946419609</v>
      </c>
      <c r="P8" s="345" t="e">
        <f t="shared" ca="1" si="5"/>
        <v>#REF!</v>
      </c>
    </row>
    <row r="9" spans="1:17" ht="13">
      <c r="A9" s="58" t="s">
        <v>2856</v>
      </c>
      <c r="B9" s="345"/>
      <c r="C9" s="345"/>
      <c r="D9" s="345" t="e">
        <f>SUMIF(#REF!,$A9,#REF!)</f>
        <v>#REF!</v>
      </c>
      <c r="E9" s="342" t="str">
        <f t="shared" si="3"/>
        <v xml:space="preserve">CI </v>
      </c>
      <c r="F9" s="207">
        <f>SUMIF(Interest_data!$B$12:$B$161,$A9,Interest_data!$D$12:$D$161)</f>
        <v>3354.9</v>
      </c>
      <c r="G9" s="207">
        <f ca="1">SUMIF(Interest_data!$B$12:$B$161,$A9,Interest_data!$AA$12:$AA$160)</f>
        <v>104777</v>
      </c>
      <c r="H9" s="207" t="e">
        <f t="shared" ca="1" si="4"/>
        <v>#REF!</v>
      </c>
      <c r="I9" s="207" t="e">
        <f t="shared" ca="1" si="0"/>
        <v>#REF!</v>
      </c>
      <c r="J9" s="207">
        <f>SUMIF(Historic_capex_list!$T$9:$T$586,$A9,Historic_capex_list!P$9:P$586)</f>
        <v>473742.6507055955</v>
      </c>
      <c r="K9" s="207">
        <f>SUMIF(Historic_capex_list!$T$9:$T$586,$A9,Historic_capex_list!Q$9:Q$586)</f>
        <v>0</v>
      </c>
      <c r="L9" s="207" t="e">
        <f t="shared" ca="1" si="1"/>
        <v>#REF!</v>
      </c>
      <c r="M9" s="207">
        <f t="shared" si="2"/>
        <v>0</v>
      </c>
      <c r="O9" s="345">
        <v>-931467.29964767443</v>
      </c>
      <c r="P9" s="345" t="e">
        <f t="shared" ca="1" si="5"/>
        <v>#REF!</v>
      </c>
    </row>
    <row r="10" spans="1:17" ht="13">
      <c r="A10" s="58" t="s">
        <v>2857</v>
      </c>
      <c r="B10" s="345"/>
      <c r="C10" s="345"/>
      <c r="D10" s="345" t="e">
        <f>SUMIF(#REF!,$A10,#REF!)</f>
        <v>#REF!</v>
      </c>
      <c r="E10" s="342" t="str">
        <f t="shared" si="3"/>
        <v xml:space="preserve">CI </v>
      </c>
      <c r="F10" s="207">
        <f>SUMIF(Interest_data!$B$12:$B$161,$A10,Interest_data!$D$12:$D$161)</f>
        <v>65964.3</v>
      </c>
      <c r="G10" s="207">
        <f ca="1">SUMIF(Interest_data!$B$12:$B$161,$A10,Interest_data!$AA$12:$AA$160)</f>
        <v>2998750</v>
      </c>
      <c r="H10" s="207" t="e">
        <f t="shared" ca="1" si="4"/>
        <v>#REF!</v>
      </c>
      <c r="I10" s="207" t="e">
        <f t="shared" ca="1" si="0"/>
        <v>#REF!</v>
      </c>
      <c r="J10" s="207">
        <f>SUMIF(Historic_capex_list!$T$9:$T$586,$A10,Historic_capex_list!P$9:P$586)</f>
        <v>24219759.437002495</v>
      </c>
      <c r="K10" s="207">
        <f>SUMIF(Historic_capex_list!$T$9:$T$586,$A10,Historic_capex_list!Q$9:Q$586)</f>
        <v>4205139.5241994383</v>
      </c>
      <c r="L10" s="207" t="e">
        <f t="shared" ca="1" si="1"/>
        <v>#REF!</v>
      </c>
      <c r="M10" s="207">
        <f t="shared" si="2"/>
        <v>4205139.5241994383</v>
      </c>
      <c r="O10" s="345">
        <v>552926.99721773155</v>
      </c>
      <c r="P10" s="345" t="e">
        <f t="shared" ca="1" si="5"/>
        <v>#REF!</v>
      </c>
    </row>
    <row r="11" spans="1:17" ht="13">
      <c r="A11" s="58" t="s">
        <v>2858</v>
      </c>
      <c r="B11" s="345"/>
      <c r="C11" s="345"/>
      <c r="D11" s="345" t="e">
        <f>SUMIF(#REF!,$A11,#REF!)</f>
        <v>#REF!</v>
      </c>
      <c r="E11" s="342" t="str">
        <f t="shared" si="3"/>
        <v xml:space="preserve">CI </v>
      </c>
      <c r="F11" s="207">
        <f>SUMIF(Interest_data!$B$12:$B$161,$A11,Interest_data!$D$12:$D$161)</f>
        <v>16838.7</v>
      </c>
      <c r="G11" s="207">
        <f ca="1">SUMIF(Interest_data!$B$12:$B$161,$A11,Interest_data!$AA$12:$AA$160)</f>
        <v>589297</v>
      </c>
      <c r="H11" s="207" t="e">
        <f t="shared" ca="1" si="4"/>
        <v>#REF!</v>
      </c>
      <c r="I11" s="207" t="e">
        <f t="shared" ca="1" si="0"/>
        <v>#REF!</v>
      </c>
      <c r="J11" s="207">
        <f>SUMIF(Historic_capex_list!$T$9:$T$586,$A11,Historic_capex_list!P$9:P$586)</f>
        <v>5533949.1504521091</v>
      </c>
      <c r="K11" s="207">
        <f>SUMIF(Historic_capex_list!$T$9:$T$586,$A11,Historic_capex_list!Q$9:Q$586)</f>
        <v>2301947.3894573585</v>
      </c>
      <c r="L11" s="207" t="e">
        <f t="shared" ca="1" si="1"/>
        <v>#REF!</v>
      </c>
      <c r="M11" s="207">
        <f t="shared" si="2"/>
        <v>2301947.3894573585</v>
      </c>
      <c r="O11" s="345">
        <v>-734430.00688827899</v>
      </c>
      <c r="P11" s="345" t="e">
        <f t="shared" ca="1" si="5"/>
        <v>#REF!</v>
      </c>
    </row>
    <row r="12" spans="1:17" ht="13">
      <c r="A12" s="58" t="s">
        <v>2859</v>
      </c>
      <c r="B12" s="345"/>
      <c r="C12" s="345"/>
      <c r="D12" s="345" t="e">
        <f>SUMIF(#REF!,$A12,#REF!)</f>
        <v>#REF!</v>
      </c>
      <c r="E12" s="342" t="str">
        <f t="shared" si="3"/>
        <v xml:space="preserve">CI </v>
      </c>
      <c r="F12" s="207">
        <f>SUMIF(Interest_data!$B$12:$B$161,$A12,Interest_data!$D$12:$D$161)</f>
        <v>181158</v>
      </c>
      <c r="G12" s="207">
        <f ca="1">SUMIF(Interest_data!$B$12:$B$161,$A12,Interest_data!$AA$12:$AA$160)</f>
        <v>9076676</v>
      </c>
      <c r="H12" s="207" t="e">
        <f t="shared" ca="1" si="4"/>
        <v>#REF!</v>
      </c>
      <c r="I12" s="207" t="e">
        <f t="shared" ca="1" si="0"/>
        <v>#REF!</v>
      </c>
      <c r="J12" s="207">
        <f>SUMIF(Historic_capex_list!$T$9:$T$586,$A12,Historic_capex_list!P$9:P$586)</f>
        <v>45799204.082418963</v>
      </c>
      <c r="K12" s="207">
        <f>SUMIF(Historic_capex_list!$T$9:$T$586,$A12,Historic_capex_list!Q$9:Q$586)</f>
        <v>12.115384615384613</v>
      </c>
      <c r="L12" s="207" t="e">
        <f t="shared" ca="1" si="1"/>
        <v>#REF!</v>
      </c>
      <c r="M12" s="207">
        <f t="shared" si="2"/>
        <v>12.115384615384613</v>
      </c>
      <c r="O12" s="345">
        <v>6107550.3933401946</v>
      </c>
      <c r="P12" s="345" t="e">
        <f t="shared" ca="1" si="5"/>
        <v>#REF!</v>
      </c>
    </row>
    <row r="13" spans="1:17" ht="13">
      <c r="A13" s="58" t="s">
        <v>2860</v>
      </c>
      <c r="B13" s="345"/>
      <c r="C13" s="345"/>
      <c r="D13" s="345" t="e">
        <f>SUMIF(#REF!,$A13,#REF!)</f>
        <v>#REF!</v>
      </c>
      <c r="E13" s="342" t="str">
        <f t="shared" si="3"/>
        <v xml:space="preserve">CI </v>
      </c>
      <c r="F13" s="207">
        <f>SUMIF(Interest_data!$B$12:$B$161,$A13,Interest_data!$D$12:$D$161)</f>
        <v>36829.5</v>
      </c>
      <c r="G13" s="207">
        <f ca="1">SUMIF(Interest_data!$B$12:$B$161,$A13,Interest_data!$AA$12:$AA$160)</f>
        <v>1812374</v>
      </c>
      <c r="H13" s="207" t="e">
        <f t="shared" ca="1" si="4"/>
        <v>#REF!</v>
      </c>
      <c r="I13" s="207" t="e">
        <f t="shared" ca="1" si="0"/>
        <v>#REF!</v>
      </c>
      <c r="J13" s="207">
        <f>SUMIF(Historic_capex_list!$T$9:$T$586,$A13,Historic_capex_list!P$9:P$586)</f>
        <v>9700790.2249138243</v>
      </c>
      <c r="K13" s="207">
        <f>SUMIF(Historic_capex_list!$T$9:$T$586,$A13,Historic_capex_list!Q$9:Q$586)</f>
        <v>581323.6875</v>
      </c>
      <c r="L13" s="207" t="e">
        <f t="shared" ca="1" si="1"/>
        <v>#REF!</v>
      </c>
      <c r="M13" s="207">
        <f t="shared" si="2"/>
        <v>581323.6875</v>
      </c>
      <c r="O13" s="345">
        <v>-2559443.3179140836</v>
      </c>
      <c r="P13" s="345" t="e">
        <f t="shared" ca="1" si="5"/>
        <v>#REF!</v>
      </c>
    </row>
    <row r="14" spans="1:17" ht="13">
      <c r="A14" s="58" t="s">
        <v>2843</v>
      </c>
      <c r="B14" s="345"/>
      <c r="C14" s="345"/>
      <c r="D14" s="345" t="e">
        <f>SUMIF(#REF!,$A14,#REF!)</f>
        <v>#REF!</v>
      </c>
      <c r="E14" s="342" t="str">
        <f t="shared" si="3"/>
        <v xml:space="preserve">CI </v>
      </c>
      <c r="F14" s="207">
        <f>SUMIF(Interest_data!$B$12:$B$161,$A14,Interest_data!$D$12:$D$161)</f>
        <v>0</v>
      </c>
      <c r="G14" s="207">
        <f ca="1">SUMIF(Interest_data!$B$12:$B$161,$A14,Interest_data!$AA$12:$AA$160)</f>
        <v>-30144</v>
      </c>
      <c r="H14" s="207" t="e">
        <f t="shared" ca="1" si="4"/>
        <v>#REF!</v>
      </c>
      <c r="I14" s="207" t="e">
        <f t="shared" ca="1" si="0"/>
        <v>#REF!</v>
      </c>
      <c r="J14" s="207">
        <f>SUMIF(Historic_capex_list!$T$9:$T$586,$A14,Historic_capex_list!P$9:P$586)</f>
        <v>0</v>
      </c>
      <c r="K14" s="207">
        <f>SUMIF(Historic_capex_list!$T$9:$T$586,$A14,Historic_capex_list!Q$9:Q$586)</f>
        <v>0</v>
      </c>
      <c r="L14" s="207" t="e">
        <f t="shared" ca="1" si="1"/>
        <v>#REF!</v>
      </c>
      <c r="M14" s="207">
        <f t="shared" si="2"/>
        <v>0</v>
      </c>
      <c r="O14" s="345">
        <v>-2315757.3673281698</v>
      </c>
      <c r="P14" s="345" t="e">
        <f t="shared" ca="1" si="5"/>
        <v>#REF!</v>
      </c>
    </row>
    <row r="15" spans="1:17" ht="13">
      <c r="A15" s="330" t="s">
        <v>2861</v>
      </c>
      <c r="B15" s="345"/>
      <c r="C15" s="345"/>
      <c r="D15" s="345" t="e">
        <f>SUMIF(#REF!,$A15,#REF!)</f>
        <v>#REF!</v>
      </c>
      <c r="E15" s="342" t="str">
        <f t="shared" si="3"/>
        <v xml:space="preserve">CI </v>
      </c>
      <c r="F15" s="207">
        <f>SUMIF(Interest_data!$B$12:$B$161,$A15,Interest_data!$D$12:$D$161)</f>
        <v>0</v>
      </c>
      <c r="G15" s="207">
        <f ca="1">SUMIF(Interest_data!$B$12:$B$161,$A15,Interest_data!$AA$12:$AA$160)</f>
        <v>0</v>
      </c>
      <c r="H15" s="207" t="e">
        <f t="shared" ca="1" si="4"/>
        <v>#REF!</v>
      </c>
      <c r="I15" s="207" t="e">
        <f t="shared" ca="1" si="0"/>
        <v>#REF!</v>
      </c>
      <c r="J15" s="207">
        <f>SUMIF(Historic_capex_list!$T$9:$T$586,$A15,Historic_capex_list!P$9:P$586)</f>
        <v>-150.98679953781314</v>
      </c>
      <c r="K15" s="207">
        <f>SUMIF(Historic_capex_list!$T$9:$T$586,$A15,Historic_capex_list!Q$9:Q$586)</f>
        <v>0</v>
      </c>
      <c r="L15" s="207" t="e">
        <f t="shared" ca="1" si="1"/>
        <v>#REF!</v>
      </c>
      <c r="M15" s="207">
        <f t="shared" si="2"/>
        <v>0</v>
      </c>
      <c r="O15" s="345">
        <v>-150.98679953781314</v>
      </c>
      <c r="P15" s="345" t="e">
        <f t="shared" ca="1" si="5"/>
        <v>#REF!</v>
      </c>
    </row>
    <row r="16" spans="1:17" ht="13">
      <c r="A16" s="58" t="s">
        <v>2862</v>
      </c>
      <c r="B16" s="345"/>
      <c r="C16" s="345"/>
      <c r="D16" s="345" t="e">
        <f>SUMIF(#REF!,$A16,#REF!)</f>
        <v>#REF!</v>
      </c>
      <c r="E16" s="342" t="str">
        <f t="shared" si="3"/>
        <v xml:space="preserve">CI </v>
      </c>
      <c r="F16" s="207">
        <f>SUMIF(Interest_data!$B$12:$B$161,$A16,Interest_data!$D$12:$D$161)</f>
        <v>1601.1</v>
      </c>
      <c r="G16" s="207">
        <f ca="1">SUMIF(Interest_data!$B$12:$B$161,$A16,Interest_data!$AA$12:$AA$160)</f>
        <v>85873</v>
      </c>
      <c r="H16" s="207" t="e">
        <f t="shared" ca="1" si="4"/>
        <v>#REF!</v>
      </c>
      <c r="I16" s="207" t="e">
        <f t="shared" ca="1" si="0"/>
        <v>#REF!</v>
      </c>
      <c r="J16" s="207">
        <f>SUMIF(Historic_capex_list!$T$9:$T$586,$A16,Historic_capex_list!P$9:P$586)</f>
        <v>528506.95100382227</v>
      </c>
      <c r="K16" s="207">
        <f>SUMIF(Historic_capex_list!$T$9:$T$586,$A16,Historic_capex_list!Q$9:Q$586)</f>
        <v>25181.153076050636</v>
      </c>
      <c r="L16" s="207" t="e">
        <f t="shared" ca="1" si="1"/>
        <v>#REF!</v>
      </c>
      <c r="M16" s="207">
        <f t="shared" si="2"/>
        <v>25181.153076050636</v>
      </c>
      <c r="O16" s="345">
        <v>4718.9814137001813</v>
      </c>
      <c r="P16" s="345" t="e">
        <f t="shared" ca="1" si="5"/>
        <v>#REF!</v>
      </c>
    </row>
    <row r="17" spans="1:16" ht="13">
      <c r="A17" s="58" t="s">
        <v>2863</v>
      </c>
      <c r="B17" s="345"/>
      <c r="C17" s="345"/>
      <c r="D17" s="345" t="e">
        <f>SUMIF(#REF!,$A17,#REF!)</f>
        <v>#REF!</v>
      </c>
      <c r="E17" s="342" t="str">
        <f t="shared" si="3"/>
        <v xml:space="preserve">CI </v>
      </c>
      <c r="F17" s="207">
        <f>SUMIF(Interest_data!$B$12:$B$161,$A17,Interest_data!$D$12:$D$161)</f>
        <v>1488</v>
      </c>
      <c r="G17" s="207">
        <f ca="1">SUMIF(Interest_data!$B$12:$B$161,$A17,Interest_data!$AA$12:$AA$160)</f>
        <v>69552</v>
      </c>
      <c r="H17" s="207" t="e">
        <f t="shared" ca="1" si="4"/>
        <v>#REF!</v>
      </c>
      <c r="I17" s="207" t="e">
        <f t="shared" ca="1" si="0"/>
        <v>#REF!</v>
      </c>
      <c r="J17" s="207">
        <f>SUMIF(Historic_capex_list!$T$9:$T$586,$A17,Historic_capex_list!P$9:P$586)</f>
        <v>318077.78114756668</v>
      </c>
      <c r="K17" s="207">
        <f>SUMIF(Historic_capex_list!$T$9:$T$586,$A17,Historic_capex_list!Q$9:Q$586)</f>
        <v>12432.472078085008</v>
      </c>
      <c r="L17" s="207" t="e">
        <f t="shared" ca="1" si="1"/>
        <v>#REF!</v>
      </c>
      <c r="M17" s="207">
        <f t="shared" si="2"/>
        <v>12432.472078085008</v>
      </c>
      <c r="O17" s="345">
        <v>-192203.93490741606</v>
      </c>
      <c r="P17" s="345" t="e">
        <f t="shared" ca="1" si="5"/>
        <v>#REF!</v>
      </c>
    </row>
    <row r="18" spans="1:16" ht="13">
      <c r="A18" s="58" t="s">
        <v>2864</v>
      </c>
      <c r="B18" s="345"/>
      <c r="C18" s="345"/>
      <c r="D18" s="345" t="e">
        <f>SUMIF(#REF!,$A18,#REF!)</f>
        <v>#REF!</v>
      </c>
      <c r="E18" s="342" t="str">
        <f t="shared" si="3"/>
        <v xml:space="preserve">CI </v>
      </c>
      <c r="F18" s="207">
        <f>SUMIF(Interest_data!$B$12:$B$161,$A18,Interest_data!$D$12:$D$161)</f>
        <v>0</v>
      </c>
      <c r="G18" s="207">
        <f ca="1">SUMIF(Interest_data!$B$12:$B$161,$A18,Interest_data!$AA$12:$AA$160)</f>
        <v>0</v>
      </c>
      <c r="H18" s="207" t="e">
        <f t="shared" ca="1" si="4"/>
        <v>#REF!</v>
      </c>
      <c r="I18" s="207" t="e">
        <f t="shared" ca="1" si="0"/>
        <v>#REF!</v>
      </c>
      <c r="J18" s="207">
        <f>SUMIF(Historic_capex_list!$T$9:$T$586,$A18,Historic_capex_list!P$9:P$586)</f>
        <v>0</v>
      </c>
      <c r="K18" s="207">
        <f>SUMIF(Historic_capex_list!$T$9:$T$586,$A18,Historic_capex_list!Q$9:Q$586)</f>
        <v>0</v>
      </c>
      <c r="L18" s="207" t="e">
        <f t="shared" ca="1" si="1"/>
        <v>#REF!</v>
      </c>
      <c r="M18" s="207">
        <f t="shared" si="2"/>
        <v>0</v>
      </c>
      <c r="O18" s="345">
        <v>0</v>
      </c>
      <c r="P18" s="345" t="e">
        <f t="shared" ca="1" si="5"/>
        <v>#REF!</v>
      </c>
    </row>
    <row r="19" spans="1:16" ht="13">
      <c r="A19" s="58" t="s">
        <v>2865</v>
      </c>
      <c r="B19" s="345"/>
      <c r="C19" s="345"/>
      <c r="D19" s="345" t="e">
        <f>SUMIF(#REF!,$A19,#REF!)</f>
        <v>#REF!</v>
      </c>
      <c r="E19" s="342" t="str">
        <f t="shared" si="3"/>
        <v xml:space="preserve">CI </v>
      </c>
      <c r="F19" s="207">
        <f>SUMIF(Interest_data!$B$12:$B$161,$A19,Interest_data!$D$12:$D$161)</f>
        <v>997.5</v>
      </c>
      <c r="G19" s="207">
        <f ca="1">SUMIF(Interest_data!$B$12:$B$161,$A19,Interest_data!$AA$12:$AA$160)</f>
        <v>51306</v>
      </c>
      <c r="H19" s="207" t="e">
        <f t="shared" ca="1" si="4"/>
        <v>#REF!</v>
      </c>
      <c r="I19" s="207" t="e">
        <f t="shared" ca="1" si="0"/>
        <v>#REF!</v>
      </c>
      <c r="J19" s="207">
        <f>SUMIF(Historic_capex_list!$T$9:$T$586,$A19,Historic_capex_list!P$9:P$586)</f>
        <v>270267.0430734657</v>
      </c>
      <c r="K19" s="207">
        <f>SUMIF(Historic_capex_list!$T$9:$T$586,$A19,Historic_capex_list!Q$9:Q$586)</f>
        <v>0</v>
      </c>
      <c r="L19" s="207" t="e">
        <f t="shared" ca="1" si="1"/>
        <v>#REF!</v>
      </c>
      <c r="M19" s="207">
        <f t="shared" si="2"/>
        <v>0</v>
      </c>
      <c r="O19" s="345">
        <v>39014.534513191516</v>
      </c>
      <c r="P19" s="345" t="e">
        <f t="shared" ca="1" si="5"/>
        <v>#REF!</v>
      </c>
    </row>
    <row r="20" spans="1:16" ht="13">
      <c r="A20" s="330" t="s">
        <v>2866</v>
      </c>
      <c r="B20" s="345"/>
      <c r="C20" s="345"/>
      <c r="D20" s="345" t="e">
        <f>SUMIF(#REF!,$A20,#REF!)</f>
        <v>#REF!</v>
      </c>
      <c r="E20" s="342" t="str">
        <f t="shared" si="3"/>
        <v xml:space="preserve">CI </v>
      </c>
      <c r="F20" s="207">
        <f>SUMIF(Interest_data!$B$12:$B$161,$A20,Interest_data!$D$12:$D$161)</f>
        <v>0</v>
      </c>
      <c r="G20" s="207">
        <f ca="1">SUMIF(Interest_data!$B$12:$B$161,$A20,Interest_data!$AA$12:$AA$160)</f>
        <v>0</v>
      </c>
      <c r="H20" s="207" t="e">
        <f t="shared" ca="1" si="4"/>
        <v>#REF!</v>
      </c>
      <c r="I20" s="207" t="e">
        <f t="shared" ca="1" si="0"/>
        <v>#REF!</v>
      </c>
      <c r="J20" s="207">
        <f>SUMIF(Historic_capex_list!$T$9:$T$586,$A20,Historic_capex_list!P$9:P$586)</f>
        <v>-9448.5974265617788</v>
      </c>
      <c r="K20" s="207">
        <f>SUMIF(Historic_capex_list!$T$9:$T$586,$A20,Historic_capex_list!Q$9:Q$586)</f>
        <v>0</v>
      </c>
      <c r="L20" s="207" t="e">
        <f t="shared" ca="1" si="1"/>
        <v>#REF!</v>
      </c>
      <c r="M20" s="207">
        <f t="shared" si="2"/>
        <v>0</v>
      </c>
      <c r="O20" s="345">
        <v>-9448.5974265617788</v>
      </c>
      <c r="P20" s="345" t="e">
        <f t="shared" ca="1" si="5"/>
        <v>#REF!</v>
      </c>
    </row>
    <row r="21" spans="1:16" ht="13">
      <c r="A21" s="58" t="s">
        <v>2867</v>
      </c>
      <c r="B21" s="345"/>
      <c r="C21" s="345"/>
      <c r="D21" s="345" t="e">
        <f>SUMIF(#REF!,$A21,#REF!)</f>
        <v>#REF!</v>
      </c>
      <c r="E21" s="342" t="str">
        <f t="shared" si="3"/>
        <v xml:space="preserve">CI </v>
      </c>
      <c r="F21" s="207">
        <f>SUMIF(Interest_data!$B$12:$B$161,$A21,Interest_data!$D$12:$D$161)</f>
        <v>807.3</v>
      </c>
      <c r="G21" s="207">
        <f ca="1">SUMIF(Interest_data!$B$12:$B$161,$A21,Interest_data!$AA$12:$AA$160)</f>
        <v>43841</v>
      </c>
      <c r="H21" s="207" t="e">
        <f t="shared" ca="1" si="4"/>
        <v>#REF!</v>
      </c>
      <c r="I21" s="207" t="e">
        <f t="shared" ca="1" si="0"/>
        <v>#REF!</v>
      </c>
      <c r="J21" s="207">
        <f>SUMIF(Historic_capex_list!$T$9:$T$586,$A21,Historic_capex_list!P$9:P$586)</f>
        <v>261984.53266569448</v>
      </c>
      <c r="K21" s="207">
        <f>SUMIF(Historic_capex_list!$T$9:$T$586,$A21,Historic_capex_list!Q$9:Q$586)</f>
        <v>0</v>
      </c>
      <c r="L21" s="207" t="e">
        <f t="shared" ca="1" si="1"/>
        <v>#REF!</v>
      </c>
      <c r="M21" s="207">
        <f t="shared" si="2"/>
        <v>0</v>
      </c>
      <c r="O21" s="345">
        <v>33276.215217471021</v>
      </c>
      <c r="P21" s="345" t="e">
        <f t="shared" ca="1" si="5"/>
        <v>#REF!</v>
      </c>
    </row>
    <row r="22" spans="1:16" ht="13">
      <c r="A22" s="58" t="s">
        <v>2868</v>
      </c>
      <c r="B22" s="345"/>
      <c r="C22" s="345"/>
      <c r="D22" s="345" t="e">
        <f>SUMIF(#REF!,$A22,#REF!)</f>
        <v>#REF!</v>
      </c>
      <c r="E22" s="342" t="str">
        <f t="shared" si="3"/>
        <v xml:space="preserve">CI </v>
      </c>
      <c r="F22" s="207">
        <f>SUMIF(Interest_data!$B$12:$B$161,$A22,Interest_data!$D$12:$D$161)</f>
        <v>0</v>
      </c>
      <c r="G22" s="207">
        <f ca="1">SUMIF(Interest_data!$B$12:$B$161,$A22,Interest_data!$AA$12:$AA$160)</f>
        <v>0</v>
      </c>
      <c r="H22" s="207" t="e">
        <f t="shared" ca="1" si="4"/>
        <v>#REF!</v>
      </c>
      <c r="I22" s="207" t="e">
        <f t="shared" ca="1" si="0"/>
        <v>#REF!</v>
      </c>
      <c r="J22" s="207">
        <f>SUMIF(Historic_capex_list!$T$9:$T$586,$A22,Historic_capex_list!P$9:P$586)</f>
        <v>0</v>
      </c>
      <c r="K22" s="207">
        <f>SUMIF(Historic_capex_list!$T$9:$T$586,$A22,Historic_capex_list!Q$9:Q$586)</f>
        <v>0</v>
      </c>
      <c r="L22" s="207" t="e">
        <f t="shared" ca="1" si="1"/>
        <v>#REF!</v>
      </c>
      <c r="M22" s="207">
        <f t="shared" si="2"/>
        <v>0</v>
      </c>
      <c r="O22" s="345">
        <v>0</v>
      </c>
      <c r="P22" s="345" t="e">
        <f t="shared" ca="1" si="5"/>
        <v>#REF!</v>
      </c>
    </row>
    <row r="23" spans="1:16" ht="13">
      <c r="A23" s="58" t="s">
        <v>2869</v>
      </c>
      <c r="B23" s="345"/>
      <c r="C23" s="345"/>
      <c r="D23" s="345" t="e">
        <f>SUMIF(#REF!,$A23,#REF!)</f>
        <v>#REF!</v>
      </c>
      <c r="E23" s="342" t="str">
        <f t="shared" si="3"/>
        <v xml:space="preserve">CI </v>
      </c>
      <c r="F23" s="207">
        <f>SUMIF(Interest_data!$B$12:$B$161,$A23,Interest_data!$D$12:$D$161)</f>
        <v>0</v>
      </c>
      <c r="G23" s="207">
        <f ca="1">SUMIF(Interest_data!$B$12:$B$161,$A23,Interest_data!$AA$12:$AA$160)</f>
        <v>0</v>
      </c>
      <c r="H23" s="207" t="e">
        <f t="shared" ca="1" si="4"/>
        <v>#REF!</v>
      </c>
      <c r="I23" s="207" t="e">
        <f t="shared" ca="1" si="0"/>
        <v>#REF!</v>
      </c>
      <c r="J23" s="207">
        <f>SUMIF(Historic_capex_list!$T$9:$T$586,$A23,Historic_capex_list!P$9:P$586)</f>
        <v>0</v>
      </c>
      <c r="K23" s="207">
        <f>SUMIF(Historic_capex_list!$T$9:$T$586,$A23,Historic_capex_list!Q$9:Q$586)</f>
        <v>0</v>
      </c>
      <c r="L23" s="207" t="e">
        <f t="shared" ca="1" si="1"/>
        <v>#REF!</v>
      </c>
      <c r="M23" s="207">
        <f t="shared" si="2"/>
        <v>0</v>
      </c>
      <c r="O23" s="345">
        <v>0</v>
      </c>
      <c r="P23" s="345" t="e">
        <f t="shared" ca="1" si="5"/>
        <v>#REF!</v>
      </c>
    </row>
    <row r="24" spans="1:16" ht="13">
      <c r="A24" s="58" t="s">
        <v>2870</v>
      </c>
      <c r="B24" s="345"/>
      <c r="C24" s="345"/>
      <c r="D24" s="345" t="e">
        <f>SUMIF(#REF!,$A24,#REF!)</f>
        <v>#REF!</v>
      </c>
      <c r="E24" s="342" t="str">
        <f t="shared" si="3"/>
        <v xml:space="preserve">CI </v>
      </c>
      <c r="F24" s="207">
        <f>SUMIF(Interest_data!$B$12:$B$161,$A24,Interest_data!$D$12:$D$161)</f>
        <v>0</v>
      </c>
      <c r="G24" s="207">
        <f ca="1">SUMIF(Interest_data!$B$12:$B$161,$A24,Interest_data!$AA$12:$AA$160)</f>
        <v>0</v>
      </c>
      <c r="H24" s="207" t="e">
        <f t="shared" ca="1" si="4"/>
        <v>#REF!</v>
      </c>
      <c r="I24" s="207" t="e">
        <f t="shared" ca="1" si="0"/>
        <v>#REF!</v>
      </c>
      <c r="J24" s="207">
        <f>SUMIF(Historic_capex_list!$T$9:$T$586,$A24,Historic_capex_list!P$9:P$586)</f>
        <v>0</v>
      </c>
      <c r="K24" s="207">
        <f>SUMIF(Historic_capex_list!$T$9:$T$586,$A24,Historic_capex_list!Q$9:Q$586)</f>
        <v>0</v>
      </c>
      <c r="L24" s="207" t="e">
        <f t="shared" ca="1" si="1"/>
        <v>#REF!</v>
      </c>
      <c r="M24" s="207">
        <f t="shared" si="2"/>
        <v>0</v>
      </c>
      <c r="O24" s="345">
        <v>0</v>
      </c>
      <c r="P24" s="345" t="e">
        <f t="shared" ca="1" si="5"/>
        <v>#REF!</v>
      </c>
    </row>
    <row r="25" spans="1:16" ht="13">
      <c r="A25" s="58" t="s">
        <v>2844</v>
      </c>
      <c r="B25" s="345"/>
      <c r="C25" s="345"/>
      <c r="D25" s="345" t="e">
        <f>SUMIF(#REF!,$A25,#REF!)</f>
        <v>#REF!</v>
      </c>
      <c r="E25" s="342" t="str">
        <f t="shared" si="3"/>
        <v xml:space="preserve">CI </v>
      </c>
      <c r="F25" s="207">
        <f>SUMIF(Interest_data!$B$12:$B$161,$A25,Interest_data!$D$12:$D$161)</f>
        <v>18892.8</v>
      </c>
      <c r="G25" s="207">
        <f ca="1">SUMIF(Interest_data!$B$12:$B$161,$A25,Interest_data!$AA$12:$AA$160)</f>
        <v>717629</v>
      </c>
      <c r="H25" s="207" t="e">
        <f t="shared" ca="1" si="4"/>
        <v>#REF!</v>
      </c>
      <c r="I25" s="207" t="e">
        <f t="shared" ca="1" si="0"/>
        <v>#REF!</v>
      </c>
      <c r="J25" s="207">
        <f>SUMIF(Historic_capex_list!$T$9:$T$586,$A25,Historic_capex_list!P$9:P$586)</f>
        <v>0</v>
      </c>
      <c r="K25" s="207">
        <f>SUMIF(Historic_capex_list!$T$9:$T$586,$A25,Historic_capex_list!Q$9:Q$586)</f>
        <v>0</v>
      </c>
      <c r="L25" s="207" t="e">
        <f t="shared" ca="1" si="1"/>
        <v>#REF!</v>
      </c>
      <c r="M25" s="207">
        <f t="shared" si="2"/>
        <v>0</v>
      </c>
      <c r="O25" s="345">
        <v>-8331779.1606650306</v>
      </c>
      <c r="P25" s="345" t="e">
        <f t="shared" ca="1" si="5"/>
        <v>#REF!</v>
      </c>
    </row>
    <row r="26" spans="1:16" ht="13">
      <c r="A26" s="58" t="s">
        <v>2871</v>
      </c>
      <c r="B26" s="345"/>
      <c r="C26" s="345"/>
      <c r="D26" s="345" t="e">
        <f>SUMIF(#REF!,$A26,#REF!)</f>
        <v>#REF!</v>
      </c>
      <c r="E26" s="342" t="str">
        <f t="shared" si="3"/>
        <v xml:space="preserve">CI </v>
      </c>
      <c r="F26" s="207">
        <f>SUMIF(Interest_data!$B$12:$B$161,$A26,Interest_data!$D$12:$D$161)</f>
        <v>0</v>
      </c>
      <c r="G26" s="207">
        <f ca="1">SUMIF(Interest_data!$B$12:$B$161,$A26,Interest_data!$AA$12:$AA$160)</f>
        <v>0</v>
      </c>
      <c r="H26" s="207" t="e">
        <f t="shared" ca="1" si="4"/>
        <v>#REF!</v>
      </c>
      <c r="I26" s="207" t="e">
        <f t="shared" ca="1" si="0"/>
        <v>#REF!</v>
      </c>
      <c r="J26" s="207">
        <f>SUMIF(Historic_capex_list!$T$9:$T$586,$A26,Historic_capex_list!P$9:P$586)</f>
        <v>0</v>
      </c>
      <c r="K26" s="207">
        <f>SUMIF(Historic_capex_list!$T$9:$T$586,$A26,Historic_capex_list!Q$9:Q$586)</f>
        <v>0</v>
      </c>
      <c r="L26" s="207" t="e">
        <f t="shared" ca="1" si="1"/>
        <v>#REF!</v>
      </c>
      <c r="M26" s="207">
        <f t="shared" si="2"/>
        <v>0</v>
      </c>
      <c r="O26" s="345">
        <v>0</v>
      </c>
      <c r="P26" s="345" t="e">
        <f t="shared" ca="1" si="5"/>
        <v>#REF!</v>
      </c>
    </row>
    <row r="27" spans="1:16" ht="13">
      <c r="A27" s="58" t="s">
        <v>2872</v>
      </c>
      <c r="B27" s="345"/>
      <c r="C27" s="345"/>
      <c r="D27" s="345" t="e">
        <f>SUMIF(#REF!,$A27,#REF!)</f>
        <v>#REF!</v>
      </c>
      <c r="E27" s="342" t="str">
        <f t="shared" si="3"/>
        <v xml:space="preserve">CI </v>
      </c>
      <c r="F27" s="207">
        <f>SUMIF(Interest_data!$B$12:$B$161,$A27,Interest_data!$D$12:$D$161)</f>
        <v>0</v>
      </c>
      <c r="G27" s="207">
        <f ca="1">SUMIF(Interest_data!$B$12:$B$161,$A27,Interest_data!$AA$12:$AA$160)</f>
        <v>0</v>
      </c>
      <c r="H27" s="207" t="e">
        <f t="shared" ca="1" si="4"/>
        <v>#REF!</v>
      </c>
      <c r="I27" s="207" t="e">
        <f t="shared" ca="1" si="0"/>
        <v>#REF!</v>
      </c>
      <c r="J27" s="207">
        <f>SUMIF(Historic_capex_list!$T$9:$T$586,$A27,Historic_capex_list!P$9:P$586)</f>
        <v>0</v>
      </c>
      <c r="K27" s="207">
        <f>SUMIF(Historic_capex_list!$T$9:$T$586,$A27,Historic_capex_list!Q$9:Q$586)</f>
        <v>0</v>
      </c>
      <c r="L27" s="207" t="e">
        <f t="shared" ca="1" si="1"/>
        <v>#REF!</v>
      </c>
      <c r="M27" s="207">
        <f t="shared" si="2"/>
        <v>0</v>
      </c>
      <c r="O27" s="345">
        <v>0</v>
      </c>
      <c r="P27" s="345" t="e">
        <f t="shared" ca="1" si="5"/>
        <v>#REF!</v>
      </c>
    </row>
    <row r="28" spans="1:16" ht="13">
      <c r="A28" s="58" t="s">
        <v>2873</v>
      </c>
      <c r="B28" s="345"/>
      <c r="C28" s="345"/>
      <c r="D28" s="345" t="e">
        <f>SUMIF(#REF!,$A28,#REF!)</f>
        <v>#REF!</v>
      </c>
      <c r="E28" s="342" t="str">
        <f t="shared" si="3"/>
        <v xml:space="preserve">CI </v>
      </c>
      <c r="F28" s="207">
        <f>SUMIF(Interest_data!$B$12:$B$161,$A28,Interest_data!$D$12:$D$161)</f>
        <v>0</v>
      </c>
      <c r="G28" s="207">
        <f ca="1">SUMIF(Interest_data!$B$12:$B$161,$A28,Interest_data!$AA$12:$AA$160)</f>
        <v>0</v>
      </c>
      <c r="H28" s="207" t="e">
        <f t="shared" ca="1" si="4"/>
        <v>#REF!</v>
      </c>
      <c r="I28" s="207" t="e">
        <f t="shared" ca="1" si="0"/>
        <v>#REF!</v>
      </c>
      <c r="J28" s="207">
        <f>SUMIF(Historic_capex_list!$T$9:$T$586,$A28,Historic_capex_list!P$9:P$586)</f>
        <v>0</v>
      </c>
      <c r="K28" s="207">
        <f>SUMIF(Historic_capex_list!$T$9:$T$586,$A28,Historic_capex_list!Q$9:Q$586)</f>
        <v>0</v>
      </c>
      <c r="L28" s="207" t="e">
        <f t="shared" ca="1" si="1"/>
        <v>#REF!</v>
      </c>
      <c r="M28" s="207">
        <f t="shared" si="2"/>
        <v>0</v>
      </c>
      <c r="O28" s="345">
        <v>0</v>
      </c>
      <c r="P28" s="345" t="e">
        <f t="shared" ca="1" si="5"/>
        <v>#REF!</v>
      </c>
    </row>
    <row r="29" spans="1:16" ht="13">
      <c r="A29" s="58" t="s">
        <v>2874</v>
      </c>
      <c r="B29" s="345"/>
      <c r="C29" s="345"/>
      <c r="D29" s="345" t="e">
        <f>SUMIF(#REF!,$A29,#REF!)</f>
        <v>#REF!</v>
      </c>
      <c r="E29" s="342" t="str">
        <f t="shared" si="3"/>
        <v xml:space="preserve">CI </v>
      </c>
      <c r="F29" s="207">
        <f>SUMIF(Interest_data!$B$12:$B$161,$A29,Interest_data!$D$12:$D$161)</f>
        <v>0</v>
      </c>
      <c r="G29" s="207">
        <f ca="1">SUMIF(Interest_data!$B$12:$B$161,$A29,Interest_data!$AA$12:$AA$160)</f>
        <v>0</v>
      </c>
      <c r="H29" s="207" t="e">
        <f t="shared" ca="1" si="4"/>
        <v>#REF!</v>
      </c>
      <c r="I29" s="207" t="e">
        <f t="shared" ca="1" si="0"/>
        <v>#REF!</v>
      </c>
      <c r="J29" s="207">
        <f>SUMIF(Historic_capex_list!$T$9:$T$586,$A29,Historic_capex_list!P$9:P$586)</f>
        <v>0</v>
      </c>
      <c r="K29" s="207">
        <f>SUMIF(Historic_capex_list!$T$9:$T$586,$A29,Historic_capex_list!Q$9:Q$586)</f>
        <v>0</v>
      </c>
      <c r="L29" s="207" t="e">
        <f t="shared" ca="1" si="1"/>
        <v>#REF!</v>
      </c>
      <c r="M29" s="207">
        <f t="shared" si="2"/>
        <v>0</v>
      </c>
      <c r="O29" s="345">
        <v>0</v>
      </c>
      <c r="P29" s="345" t="e">
        <f t="shared" ca="1" si="5"/>
        <v>#REF!</v>
      </c>
    </row>
    <row r="30" spans="1:16" ht="13">
      <c r="A30" s="58" t="s">
        <v>2875</v>
      </c>
      <c r="B30" s="345"/>
      <c r="C30" s="345"/>
      <c r="D30" s="345" t="e">
        <f>SUMIF(#REF!,$A30,#REF!)</f>
        <v>#REF!</v>
      </c>
      <c r="E30" s="342" t="str">
        <f t="shared" si="3"/>
        <v xml:space="preserve">CI </v>
      </c>
      <c r="F30" s="207">
        <f>SUMIF(Interest_data!$B$12:$B$161,$A30,Interest_data!$D$12:$D$161)</f>
        <v>0</v>
      </c>
      <c r="G30" s="207">
        <f ca="1">SUMIF(Interest_data!$B$12:$B$161,$A30,Interest_data!$AA$12:$AA$160)</f>
        <v>0</v>
      </c>
      <c r="H30" s="207" t="e">
        <f t="shared" ca="1" si="4"/>
        <v>#REF!</v>
      </c>
      <c r="I30" s="207" t="e">
        <f t="shared" ca="1" si="0"/>
        <v>#REF!</v>
      </c>
      <c r="J30" s="207">
        <f>SUMIF(Historic_capex_list!$T$9:$T$586,$A30,Historic_capex_list!P$9:P$586)</f>
        <v>0</v>
      </c>
      <c r="K30" s="207">
        <f>SUMIF(Historic_capex_list!$T$9:$T$586,$A30,Historic_capex_list!Q$9:Q$586)</f>
        <v>0</v>
      </c>
      <c r="L30" s="207" t="e">
        <f t="shared" ca="1" si="1"/>
        <v>#REF!</v>
      </c>
      <c r="M30" s="207">
        <f t="shared" si="2"/>
        <v>0</v>
      </c>
      <c r="O30" s="345">
        <v>0</v>
      </c>
      <c r="P30" s="345" t="e">
        <f t="shared" ca="1" si="5"/>
        <v>#REF!</v>
      </c>
    </row>
    <row r="31" spans="1:16" ht="13">
      <c r="A31" s="58" t="s">
        <v>2876</v>
      </c>
      <c r="B31" s="345"/>
      <c r="C31" s="345"/>
      <c r="D31" s="345" t="e">
        <f>SUMIF(#REF!,$A31,#REF!)</f>
        <v>#REF!</v>
      </c>
      <c r="E31" s="342" t="str">
        <f t="shared" si="3"/>
        <v xml:space="preserve">CI </v>
      </c>
      <c r="F31" s="207">
        <f>SUMIF(Interest_data!$B$12:$B$161,$A31,Interest_data!$D$12:$D$161)</f>
        <v>0</v>
      </c>
      <c r="G31" s="207">
        <f ca="1">SUMIF(Interest_data!$B$12:$B$161,$A31,Interest_data!$AA$12:$AA$160)</f>
        <v>0</v>
      </c>
      <c r="H31" s="207" t="e">
        <f t="shared" ca="1" si="4"/>
        <v>#REF!</v>
      </c>
      <c r="I31" s="207" t="e">
        <f t="shared" ca="1" si="0"/>
        <v>#REF!</v>
      </c>
      <c r="J31" s="207">
        <f>SUMIF(Historic_capex_list!$T$9:$T$586,$A31,Historic_capex_list!P$9:P$586)</f>
        <v>0</v>
      </c>
      <c r="K31" s="207">
        <f>SUMIF(Historic_capex_list!$T$9:$T$586,$A31,Historic_capex_list!Q$9:Q$586)</f>
        <v>0</v>
      </c>
      <c r="L31" s="207" t="e">
        <f t="shared" ca="1" si="1"/>
        <v>#REF!</v>
      </c>
      <c r="M31" s="207">
        <f t="shared" si="2"/>
        <v>0</v>
      </c>
      <c r="O31" s="345">
        <v>0</v>
      </c>
      <c r="P31" s="345" t="e">
        <f t="shared" ca="1" si="5"/>
        <v>#REF!</v>
      </c>
    </row>
    <row r="32" spans="1:16" ht="13">
      <c r="A32" s="58" t="s">
        <v>2877</v>
      </c>
      <c r="B32" s="345"/>
      <c r="C32" s="345"/>
      <c r="D32" s="345" t="e">
        <f>SUMIF(#REF!,$A32,#REF!)</f>
        <v>#REF!</v>
      </c>
      <c r="E32" s="342" t="str">
        <f t="shared" si="3"/>
        <v xml:space="preserve">CI </v>
      </c>
      <c r="F32" s="207">
        <f>SUMIF(Interest_data!$B$12:$B$161,$A32,Interest_data!$D$12:$D$161)</f>
        <v>0</v>
      </c>
      <c r="G32" s="207">
        <f ca="1">SUMIF(Interest_data!$B$12:$B$161,$A32,Interest_data!$AA$12:$AA$160)</f>
        <v>0</v>
      </c>
      <c r="H32" s="207" t="e">
        <f t="shared" ca="1" si="4"/>
        <v>#REF!</v>
      </c>
      <c r="I32" s="207" t="e">
        <f t="shared" ca="1" si="0"/>
        <v>#REF!</v>
      </c>
      <c r="J32" s="207">
        <f>SUMIF(Historic_capex_list!$T$9:$T$586,$A32,Historic_capex_list!P$9:P$586)</f>
        <v>0</v>
      </c>
      <c r="K32" s="207">
        <f>SUMIF(Historic_capex_list!$T$9:$T$586,$A32,Historic_capex_list!Q$9:Q$586)</f>
        <v>0</v>
      </c>
      <c r="L32" s="207" t="e">
        <f t="shared" ca="1" si="1"/>
        <v>#REF!</v>
      </c>
      <c r="M32" s="207">
        <f t="shared" si="2"/>
        <v>0</v>
      </c>
      <c r="O32" s="345">
        <v>0</v>
      </c>
      <c r="P32" s="345" t="e">
        <f t="shared" ca="1" si="5"/>
        <v>#REF!</v>
      </c>
    </row>
    <row r="33" spans="1:16" ht="13">
      <c r="A33" s="58" t="s">
        <v>2878</v>
      </c>
      <c r="B33" s="345"/>
      <c r="C33" s="345"/>
      <c r="D33" s="345" t="e">
        <f>SUMIF(#REF!,$A33,#REF!)</f>
        <v>#REF!</v>
      </c>
      <c r="E33" s="342" t="str">
        <f t="shared" si="3"/>
        <v xml:space="preserve">CI </v>
      </c>
      <c r="F33" s="207">
        <f>SUMIF(Interest_data!$B$12:$B$161,$A33,Interest_data!$D$12:$D$161)</f>
        <v>0</v>
      </c>
      <c r="G33" s="207">
        <f ca="1">SUMIF(Interest_data!$B$12:$B$161,$A33,Interest_data!$AA$12:$AA$160)</f>
        <v>0</v>
      </c>
      <c r="H33" s="207" t="e">
        <f t="shared" ca="1" si="4"/>
        <v>#REF!</v>
      </c>
      <c r="I33" s="207" t="e">
        <f t="shared" ca="1" si="0"/>
        <v>#REF!</v>
      </c>
      <c r="J33" s="207">
        <f>SUMIF(Historic_capex_list!$T$9:$T$586,$A33,Historic_capex_list!P$9:P$586)</f>
        <v>0</v>
      </c>
      <c r="K33" s="207">
        <f>SUMIF(Historic_capex_list!$T$9:$T$586,$A33,Historic_capex_list!Q$9:Q$586)</f>
        <v>0</v>
      </c>
      <c r="L33" s="207" t="e">
        <f t="shared" ca="1" si="1"/>
        <v>#REF!</v>
      </c>
      <c r="M33" s="207">
        <f t="shared" si="2"/>
        <v>0</v>
      </c>
      <c r="O33" s="345">
        <v>0</v>
      </c>
      <c r="P33" s="345" t="e">
        <f t="shared" ca="1" si="5"/>
        <v>#REF!</v>
      </c>
    </row>
    <row r="34" spans="1:16" ht="13">
      <c r="A34" s="58" t="s">
        <v>2879</v>
      </c>
      <c r="B34" s="345"/>
      <c r="C34" s="345"/>
      <c r="D34" s="345" t="e">
        <f>SUMIF(#REF!,$A34,#REF!)</f>
        <v>#REF!</v>
      </c>
      <c r="E34" s="342" t="str">
        <f t="shared" si="3"/>
        <v xml:space="preserve">CI </v>
      </c>
      <c r="F34" s="207">
        <f>SUMIF(Interest_data!$B$12:$B$161,$A34,Interest_data!$D$12:$D$161)</f>
        <v>0</v>
      </c>
      <c r="G34" s="207">
        <f ca="1">SUMIF(Interest_data!$B$12:$B$161,$A34,Interest_data!$AA$12:$AA$160)</f>
        <v>0</v>
      </c>
      <c r="H34" s="207" t="e">
        <f t="shared" ca="1" si="4"/>
        <v>#REF!</v>
      </c>
      <c r="I34" s="207" t="e">
        <f t="shared" ca="1" si="0"/>
        <v>#REF!</v>
      </c>
      <c r="J34" s="207">
        <f>SUMIF(Historic_capex_list!$T$9:$T$586,$A34,Historic_capex_list!P$9:P$586)</f>
        <v>0</v>
      </c>
      <c r="K34" s="207">
        <f>SUMIF(Historic_capex_list!$T$9:$T$586,$A34,Historic_capex_list!Q$9:Q$586)</f>
        <v>0</v>
      </c>
      <c r="L34" s="207" t="e">
        <f t="shared" ca="1" si="1"/>
        <v>#REF!</v>
      </c>
      <c r="M34" s="207">
        <f t="shared" si="2"/>
        <v>0</v>
      </c>
      <c r="O34" s="345">
        <v>0</v>
      </c>
      <c r="P34" s="345" t="e">
        <f t="shared" ca="1" si="5"/>
        <v>#REF!</v>
      </c>
    </row>
    <row r="35" spans="1:16" ht="13">
      <c r="A35" s="58" t="s">
        <v>2880</v>
      </c>
      <c r="B35" s="345"/>
      <c r="C35" s="345"/>
      <c r="D35" s="345" t="e">
        <f>SUMIF(#REF!,$A35,#REF!)</f>
        <v>#REF!</v>
      </c>
      <c r="E35" s="342" t="str">
        <f t="shared" si="3"/>
        <v xml:space="preserve">CI </v>
      </c>
      <c r="F35" s="207">
        <f>SUMIF(Interest_data!$B$12:$B$161,$A35,Interest_data!$D$12:$D$161)</f>
        <v>0</v>
      </c>
      <c r="G35" s="207">
        <f ca="1">SUMIF(Interest_data!$B$12:$B$161,$A35,Interest_data!$AA$12:$AA$160)</f>
        <v>0</v>
      </c>
      <c r="H35" s="207" t="e">
        <f t="shared" ca="1" si="4"/>
        <v>#REF!</v>
      </c>
      <c r="I35" s="207" t="e">
        <f t="shared" ca="1" si="0"/>
        <v>#REF!</v>
      </c>
      <c r="J35" s="207">
        <f>SUMIF(Historic_capex_list!$T$9:$T$586,$A35,Historic_capex_list!P$9:P$586)</f>
        <v>0</v>
      </c>
      <c r="K35" s="207">
        <f>SUMIF(Historic_capex_list!$T$9:$T$586,$A35,Historic_capex_list!Q$9:Q$586)</f>
        <v>0</v>
      </c>
      <c r="L35" s="207" t="e">
        <f t="shared" ca="1" si="1"/>
        <v>#REF!</v>
      </c>
      <c r="M35" s="207">
        <f t="shared" si="2"/>
        <v>0</v>
      </c>
      <c r="O35" s="345">
        <v>0</v>
      </c>
      <c r="P35" s="345" t="e">
        <f t="shared" ca="1" si="5"/>
        <v>#REF!</v>
      </c>
    </row>
    <row r="36" spans="1:16" ht="13">
      <c r="A36" s="330" t="s">
        <v>2845</v>
      </c>
      <c r="B36" s="345"/>
      <c r="C36" s="345"/>
      <c r="D36" s="345" t="e">
        <f>SUMIF(#REF!,$A36,#REF!)</f>
        <v>#REF!</v>
      </c>
      <c r="E36" s="342" t="str">
        <f t="shared" si="3"/>
        <v xml:space="preserve">CI </v>
      </c>
      <c r="F36" s="207">
        <f>SUMIF(Interest_data!$B$12:$B$161,$A36,Interest_data!$D$12:$D$161)</f>
        <v>0</v>
      </c>
      <c r="G36" s="207">
        <f ca="1">SUMIF(Interest_data!$B$12:$B$161,$A36,Interest_data!$AA$12:$AA$160)</f>
        <v>-7154</v>
      </c>
      <c r="H36" s="207" t="e">
        <f t="shared" ca="1" si="4"/>
        <v>#REF!</v>
      </c>
      <c r="I36" s="207" t="e">
        <f t="shared" ca="1" si="0"/>
        <v>#REF!</v>
      </c>
      <c r="J36" s="207">
        <f>SUMIF(Historic_capex_list!$T$9:$T$586,$A36,Historic_capex_list!P$9:P$586)</f>
        <v>0</v>
      </c>
      <c r="K36" s="207">
        <f>SUMIF(Historic_capex_list!$T$9:$T$586,$A36,Historic_capex_list!Q$9:Q$586)</f>
        <v>0</v>
      </c>
      <c r="L36" s="207" t="e">
        <f t="shared" ca="1" si="1"/>
        <v>#REF!</v>
      </c>
      <c r="M36" s="207">
        <f t="shared" si="2"/>
        <v>0</v>
      </c>
      <c r="O36" s="345">
        <v>-124645.32711424545</v>
      </c>
      <c r="P36" s="345" t="e">
        <f t="shared" ca="1" si="5"/>
        <v>#REF!</v>
      </c>
    </row>
    <row r="37" spans="1:16" ht="13">
      <c r="A37" s="58" t="s">
        <v>2881</v>
      </c>
      <c r="B37" s="345"/>
      <c r="C37" s="345"/>
      <c r="D37" s="345" t="e">
        <f>SUMIF(#REF!,$A37,#REF!)</f>
        <v>#REF!</v>
      </c>
      <c r="E37" s="342" t="str">
        <f t="shared" si="3"/>
        <v xml:space="preserve">CI </v>
      </c>
      <c r="F37" s="207">
        <f>SUMIF(Interest_data!$B$12:$B$161,$A37,Interest_data!$D$12:$D$161)</f>
        <v>0</v>
      </c>
      <c r="G37" s="207">
        <f ca="1">SUMIF(Interest_data!$B$12:$B$161,$A37,Interest_data!$AA$12:$AA$160)</f>
        <v>0</v>
      </c>
      <c r="H37" s="207" t="e">
        <f t="shared" ca="1" si="4"/>
        <v>#REF!</v>
      </c>
      <c r="I37" s="207" t="e">
        <f t="shared" ca="1" si="0"/>
        <v>#REF!</v>
      </c>
      <c r="J37" s="207">
        <f>SUMIF(Historic_capex_list!$T$9:$T$586,$A37,Historic_capex_list!P$9:P$586)</f>
        <v>0</v>
      </c>
      <c r="K37" s="207">
        <f>SUMIF(Historic_capex_list!$T$9:$T$586,$A37,Historic_capex_list!Q$9:Q$586)</f>
        <v>0</v>
      </c>
      <c r="L37" s="207" t="e">
        <f t="shared" ca="1" si="1"/>
        <v>#REF!</v>
      </c>
      <c r="M37" s="207">
        <f t="shared" si="2"/>
        <v>0</v>
      </c>
      <c r="O37" s="345">
        <v>0</v>
      </c>
      <c r="P37" s="345" t="e">
        <f t="shared" ca="1" si="5"/>
        <v>#REF!</v>
      </c>
    </row>
    <row r="38" spans="1:16" ht="13">
      <c r="A38" s="58" t="s">
        <v>2882</v>
      </c>
      <c r="B38" s="345"/>
      <c r="C38" s="345"/>
      <c r="D38" s="345" t="e">
        <f>SUMIF(#REF!,$A38,#REF!)</f>
        <v>#REF!</v>
      </c>
      <c r="E38" s="342" t="str">
        <f t="shared" si="3"/>
        <v xml:space="preserve">CI </v>
      </c>
      <c r="F38" s="207">
        <f>SUMIF(Interest_data!$B$12:$B$161,$A38,Interest_data!$D$12:$D$161)</f>
        <v>0</v>
      </c>
      <c r="G38" s="207">
        <f ca="1">SUMIF(Interest_data!$B$12:$B$161,$A38,Interest_data!$AA$12:$AA$160)</f>
        <v>0</v>
      </c>
      <c r="H38" s="207" t="e">
        <f t="shared" ca="1" si="4"/>
        <v>#REF!</v>
      </c>
      <c r="I38" s="207" t="e">
        <f t="shared" ca="1" si="0"/>
        <v>#REF!</v>
      </c>
      <c r="J38" s="207">
        <f>SUMIF(Historic_capex_list!$T$9:$T$586,$A38,Historic_capex_list!P$9:P$586)</f>
        <v>0</v>
      </c>
      <c r="K38" s="207">
        <f>SUMIF(Historic_capex_list!$T$9:$T$586,$A38,Historic_capex_list!Q$9:Q$586)</f>
        <v>0</v>
      </c>
      <c r="L38" s="207" t="e">
        <f t="shared" ca="1" si="1"/>
        <v>#REF!</v>
      </c>
      <c r="M38" s="207">
        <f t="shared" si="2"/>
        <v>0</v>
      </c>
      <c r="O38" s="345">
        <v>0</v>
      </c>
      <c r="P38" s="345" t="e">
        <f t="shared" ca="1" si="5"/>
        <v>#REF!</v>
      </c>
    </row>
    <row r="39" spans="1:16" ht="13">
      <c r="A39" s="58" t="s">
        <v>2883</v>
      </c>
      <c r="B39" s="345"/>
      <c r="C39" s="345"/>
      <c r="D39" s="345" t="e">
        <f>SUMIF(#REF!,$A39,#REF!)</f>
        <v>#REF!</v>
      </c>
      <c r="E39" s="342" t="str">
        <f t="shared" si="3"/>
        <v xml:space="preserve">CI </v>
      </c>
      <c r="F39" s="207">
        <f>SUMIF(Interest_data!$B$12:$B$161,$A39,Interest_data!$D$12:$D$161)</f>
        <v>0</v>
      </c>
      <c r="G39" s="207">
        <f ca="1">SUMIF(Interest_data!$B$12:$B$161,$A39,Interest_data!$AA$12:$AA$160)</f>
        <v>0</v>
      </c>
      <c r="H39" s="207" t="e">
        <f t="shared" ca="1" si="4"/>
        <v>#REF!</v>
      </c>
      <c r="I39" s="207" t="e">
        <f t="shared" ca="1" si="0"/>
        <v>#REF!</v>
      </c>
      <c r="J39" s="207">
        <f>SUMIF(Historic_capex_list!$T$9:$T$586,$A39,Historic_capex_list!P$9:P$586)</f>
        <v>0</v>
      </c>
      <c r="K39" s="207">
        <f>SUMIF(Historic_capex_list!$T$9:$T$586,$A39,Historic_capex_list!Q$9:Q$586)</f>
        <v>0</v>
      </c>
      <c r="L39" s="207" t="e">
        <f t="shared" ca="1" si="1"/>
        <v>#REF!</v>
      </c>
      <c r="M39" s="207">
        <f t="shared" si="2"/>
        <v>0</v>
      </c>
      <c r="O39" s="345">
        <v>0</v>
      </c>
      <c r="P39" s="345" t="e">
        <f t="shared" ca="1" si="5"/>
        <v>#REF!</v>
      </c>
    </row>
    <row r="40" spans="1:16" ht="13">
      <c r="A40" s="58" t="s">
        <v>2884</v>
      </c>
      <c r="B40" s="345"/>
      <c r="C40" s="345"/>
      <c r="D40" s="345" t="e">
        <f>SUMIF(#REF!,$A40,#REF!)</f>
        <v>#REF!</v>
      </c>
      <c r="E40" s="342" t="str">
        <f t="shared" si="3"/>
        <v xml:space="preserve">CI </v>
      </c>
      <c r="F40" s="207">
        <f>SUMIF(Interest_data!$B$12:$B$161,$A40,Interest_data!$D$12:$D$161)</f>
        <v>0</v>
      </c>
      <c r="G40" s="207">
        <f ca="1">SUMIF(Interest_data!$B$12:$B$161,$A40,Interest_data!$AA$12:$AA$160)</f>
        <v>0</v>
      </c>
      <c r="H40" s="207" t="e">
        <f t="shared" ca="1" si="4"/>
        <v>#REF!</v>
      </c>
      <c r="I40" s="207" t="e">
        <f t="shared" ca="1" si="0"/>
        <v>#REF!</v>
      </c>
      <c r="J40" s="207">
        <f>SUMIF(Historic_capex_list!$T$9:$T$586,$A40,Historic_capex_list!P$9:P$586)</f>
        <v>0</v>
      </c>
      <c r="K40" s="207">
        <f>SUMIF(Historic_capex_list!$T$9:$T$586,$A40,Historic_capex_list!Q$9:Q$586)</f>
        <v>0</v>
      </c>
      <c r="L40" s="207" t="e">
        <f t="shared" ca="1" si="1"/>
        <v>#REF!</v>
      </c>
      <c r="M40" s="207">
        <f t="shared" si="2"/>
        <v>0</v>
      </c>
      <c r="O40" s="345">
        <v>0</v>
      </c>
      <c r="P40" s="345" t="e">
        <f t="shared" ca="1" si="5"/>
        <v>#REF!</v>
      </c>
    </row>
    <row r="41" spans="1:16" ht="13">
      <c r="A41" s="330" t="s">
        <v>2846</v>
      </c>
      <c r="B41" s="345"/>
      <c r="C41" s="345"/>
      <c r="D41" s="345" t="e">
        <f>SUMIF(#REF!,$A41,#REF!)</f>
        <v>#REF!</v>
      </c>
      <c r="E41" s="342" t="str">
        <f t="shared" si="3"/>
        <v xml:space="preserve">CI </v>
      </c>
      <c r="F41" s="207">
        <f>SUMIF(Interest_data!$B$12:$B$161,$A41,Interest_data!$D$12:$D$161)</f>
        <v>0</v>
      </c>
      <c r="G41" s="207">
        <f ca="1">SUMIF(Interest_data!$B$12:$B$161,$A41,Interest_data!$AA$12:$AA$160)</f>
        <v>0</v>
      </c>
      <c r="H41" s="207" t="e">
        <f t="shared" ca="1" si="4"/>
        <v>#REF!</v>
      </c>
      <c r="I41" s="207" t="e">
        <f t="shared" ca="1" si="0"/>
        <v>#REF!</v>
      </c>
      <c r="J41" s="207">
        <f>SUMIF(Historic_capex_list!$T$9:$T$586,$A41,Historic_capex_list!P$9:P$586)</f>
        <v>0</v>
      </c>
      <c r="K41" s="207">
        <f>SUMIF(Historic_capex_list!$T$9:$T$586,$A41,Historic_capex_list!Q$9:Q$586)</f>
        <v>0</v>
      </c>
      <c r="L41" s="207" t="e">
        <f t="shared" ca="1" si="1"/>
        <v>#REF!</v>
      </c>
      <c r="M41" s="207">
        <f t="shared" si="2"/>
        <v>0</v>
      </c>
      <c r="O41" s="345">
        <v>-1115.0589896657784</v>
      </c>
      <c r="P41" s="345" t="e">
        <f t="shared" ca="1" si="5"/>
        <v>#REF!</v>
      </c>
    </row>
    <row r="42" spans="1:16" ht="13">
      <c r="A42" s="58" t="s">
        <v>2847</v>
      </c>
      <c r="B42" s="345"/>
      <c r="C42" s="345"/>
      <c r="D42" s="345" t="e">
        <f>SUMIF(#REF!,$A42,#REF!)</f>
        <v>#REF!</v>
      </c>
      <c r="E42" s="342" t="str">
        <f t="shared" si="3"/>
        <v xml:space="preserve">CI </v>
      </c>
      <c r="F42" s="207">
        <f>SUMIF(Interest_data!$B$12:$B$161,$A42,Interest_data!$D$12:$D$161)</f>
        <v>0</v>
      </c>
      <c r="G42" s="207">
        <f ca="1">SUMIF(Interest_data!$B$12:$B$161,$A42,Interest_data!$AA$12:$AA$160)</f>
        <v>0</v>
      </c>
      <c r="H42" s="207" t="e">
        <f t="shared" ca="1" si="4"/>
        <v>#REF!</v>
      </c>
      <c r="I42" s="207" t="e">
        <f t="shared" ca="1" si="0"/>
        <v>#REF!</v>
      </c>
      <c r="J42" s="207">
        <f>SUMIF(Historic_capex_list!$T$9:$T$586,$A42,Historic_capex_list!P$9:P$586)</f>
        <v>0</v>
      </c>
      <c r="K42" s="207">
        <f>SUMIF(Historic_capex_list!$T$9:$T$586,$A42,Historic_capex_list!Q$9:Q$586)</f>
        <v>0</v>
      </c>
      <c r="L42" s="207" t="e">
        <f t="shared" ca="1" si="1"/>
        <v>#REF!</v>
      </c>
      <c r="M42" s="207">
        <f t="shared" si="2"/>
        <v>0</v>
      </c>
      <c r="O42" s="345">
        <v>0</v>
      </c>
      <c r="P42" s="345" t="e">
        <f t="shared" ca="1" si="5"/>
        <v>#REF!</v>
      </c>
    </row>
    <row r="43" spans="1:16" ht="13">
      <c r="A43" s="58" t="s">
        <v>2848</v>
      </c>
      <c r="B43" s="345"/>
      <c r="C43" s="345"/>
      <c r="D43" s="345" t="e">
        <f>SUMIF(#REF!,$A43,#REF!)</f>
        <v>#REF!</v>
      </c>
      <c r="E43" s="342" t="str">
        <f t="shared" si="3"/>
        <v xml:space="preserve">CI </v>
      </c>
      <c r="F43" s="207">
        <f>SUMIF(Interest_data!$B$12:$B$161,$A43,Interest_data!$D$12:$D$161)</f>
        <v>0</v>
      </c>
      <c r="G43" s="207">
        <f ca="1">SUMIF(Interest_data!$B$12:$B$161,$A43,Interest_data!$AA$12:$AA$160)</f>
        <v>0</v>
      </c>
      <c r="H43" s="207" t="e">
        <f t="shared" ca="1" si="4"/>
        <v>#REF!</v>
      </c>
      <c r="I43" s="207" t="e">
        <f t="shared" ca="1" si="0"/>
        <v>#REF!</v>
      </c>
      <c r="J43" s="207">
        <f>SUMIF(Historic_capex_list!$T$9:$T$586,$A43,Historic_capex_list!P$9:P$586)</f>
        <v>21718824.586997613</v>
      </c>
      <c r="K43" s="207">
        <f>SUMIF(Historic_capex_list!$T$9:$T$586,$A43,Historic_capex_list!Q$9:Q$586)</f>
        <v>404375.16984667844</v>
      </c>
      <c r="L43" s="207" t="e">
        <f t="shared" ca="1" si="1"/>
        <v>#REF!</v>
      </c>
      <c r="M43" s="207">
        <f t="shared" si="2"/>
        <v>404375.16984667844</v>
      </c>
      <c r="O43" s="345">
        <v>0</v>
      </c>
      <c r="P43" s="345" t="e">
        <f t="shared" ca="1" si="5"/>
        <v>#REF!</v>
      </c>
    </row>
    <row r="44" spans="1:16" ht="13">
      <c r="A44" s="58" t="s">
        <v>2849</v>
      </c>
      <c r="B44" s="345"/>
      <c r="C44" s="345"/>
      <c r="D44" s="345" t="e">
        <f>SUMIF(#REF!,$A44,#REF!)</f>
        <v>#REF!</v>
      </c>
      <c r="E44" s="342" t="str">
        <f t="shared" si="3"/>
        <v xml:space="preserve">CI </v>
      </c>
      <c r="F44" s="207">
        <f>SUMIF(Interest_data!$B$12:$B$161,$A44,Interest_data!$D$12:$D$161)</f>
        <v>33682.799999999996</v>
      </c>
      <c r="G44" s="207">
        <f ca="1">SUMIF(Interest_data!$B$12:$B$161,$A44,Interest_data!$AA$12:$AA$160)</f>
        <v>1137068</v>
      </c>
      <c r="H44" s="207" t="e">
        <f t="shared" ca="1" si="4"/>
        <v>#REF!</v>
      </c>
      <c r="I44" s="207" t="e">
        <f t="shared" ca="1" si="0"/>
        <v>#REF!</v>
      </c>
      <c r="J44" s="207">
        <f>SUMIF(Historic_capex_list!$T$9:$T$586,$A44,Historic_capex_list!P$9:P$586)</f>
        <v>0</v>
      </c>
      <c r="K44" s="207">
        <f>SUMIF(Historic_capex_list!$T$9:$T$586,$A44,Historic_capex_list!Q$9:Q$586)</f>
        <v>0</v>
      </c>
      <c r="L44" s="207" t="e">
        <f t="shared" ca="1" si="1"/>
        <v>#REF!</v>
      </c>
      <c r="M44" s="207">
        <f t="shared" si="2"/>
        <v>0</v>
      </c>
      <c r="O44" s="345">
        <v>0</v>
      </c>
      <c r="P44" s="345" t="e">
        <f t="shared" ca="1" si="5"/>
        <v>#REF!</v>
      </c>
    </row>
    <row r="45" spans="1:16" ht="13">
      <c r="A45" s="330" t="s">
        <v>2850</v>
      </c>
      <c r="B45" s="345"/>
      <c r="C45" s="345"/>
      <c r="D45" s="345" t="e">
        <f>SUMIF(#REF!,$A45,#REF!)</f>
        <v>#REF!</v>
      </c>
      <c r="E45" s="342" t="str">
        <f t="shared" si="3"/>
        <v xml:space="preserve">CI </v>
      </c>
      <c r="F45" s="207">
        <f>SUMIF(Interest_data!$B$12:$B$161,$A45,Interest_data!$D$12:$D$161)</f>
        <v>0</v>
      </c>
      <c r="G45" s="207">
        <f ca="1">SUMIF(Interest_data!$B$12:$B$161,$A45,Interest_data!$AA$12:$AA$160)</f>
        <v>0</v>
      </c>
      <c r="H45" s="207" t="e">
        <f t="shared" ca="1" si="4"/>
        <v>#REF!</v>
      </c>
      <c r="I45" s="207" t="e">
        <f t="shared" ca="1" si="0"/>
        <v>#REF!</v>
      </c>
      <c r="J45" s="207">
        <f>SUMIF(Historic_capex_list!$T$9:$T$586,$A45,Historic_capex_list!P$9:P$586)</f>
        <v>0</v>
      </c>
      <c r="K45" s="207">
        <f>SUMIF(Historic_capex_list!$T$9:$T$586,$A45,Historic_capex_list!Q$9:Q$586)</f>
        <v>0</v>
      </c>
      <c r="L45" s="207" t="e">
        <f t="shared" ca="1" si="1"/>
        <v>#REF!</v>
      </c>
      <c r="M45" s="207">
        <f t="shared" si="2"/>
        <v>0</v>
      </c>
      <c r="O45" s="345">
        <v>-17338.059488946721</v>
      </c>
      <c r="P45" s="345" t="e">
        <f t="shared" ca="1" si="5"/>
        <v>#REF!</v>
      </c>
    </row>
    <row r="46" spans="1:16" ht="13">
      <c r="A46" s="330" t="s">
        <v>2714</v>
      </c>
      <c r="B46" s="345"/>
      <c r="C46" s="345"/>
      <c r="D46" s="345" t="e">
        <f>SUMIF(#REF!,$A46,#REF!)</f>
        <v>#REF!</v>
      </c>
      <c r="E46" s="342" t="str">
        <f t="shared" si="3"/>
        <v>OSD</v>
      </c>
      <c r="F46" s="207">
        <f>SUMIF(Interest_data!$B$12:$B$161,$A46,Interest_data!$D$12:$D$161)</f>
        <v>382623.6</v>
      </c>
      <c r="G46" s="207">
        <f ca="1">SUMIF(Interest_data!$B$12:$B$161,$A46,Interest_data!$AA$12:$AA$160)</f>
        <v>2753370</v>
      </c>
      <c r="H46" s="207" t="e">
        <f t="shared" ca="1" si="4"/>
        <v>#REF!</v>
      </c>
      <c r="I46" s="207" t="e">
        <f t="shared" ca="1" si="0"/>
        <v>#REF!</v>
      </c>
      <c r="J46" s="207">
        <f>SUMIF(Historic_capex_list!$T$9:$T$586,$A46,Historic_capex_list!P$9:P$586)</f>
        <v>-22370251.03170405</v>
      </c>
      <c r="K46" s="207">
        <f>SUMIF(Historic_capex_list!$T$9:$T$586,$A46,Historic_capex_list!Q$9:Q$586)</f>
        <v>0</v>
      </c>
      <c r="L46" s="207" t="e">
        <f t="shared" ref="L46:L77" ca="1" si="6">+J46+I46</f>
        <v>#REF!</v>
      </c>
      <c r="M46" s="207">
        <f t="shared" ref="M46:M77" si="7">+K46</f>
        <v>0</v>
      </c>
      <c r="O46" s="345">
        <v>-30859690.793177523</v>
      </c>
      <c r="P46" s="345" t="e">
        <f t="shared" ca="1" si="5"/>
        <v>#REF!</v>
      </c>
    </row>
    <row r="47" spans="1:16" ht="13">
      <c r="A47" s="58" t="s">
        <v>2723</v>
      </c>
      <c r="B47" s="345"/>
      <c r="C47" s="345"/>
      <c r="D47" s="345" t="e">
        <f>SUMIF(#REF!,$A47,#REF!)</f>
        <v>#REF!</v>
      </c>
      <c r="E47" s="342" t="str">
        <f t="shared" si="3"/>
        <v>OSD</v>
      </c>
      <c r="F47" s="207">
        <f>SUMIF(Interest_data!$B$12:$B$161,$A47,Interest_data!$D$12:$D$161)</f>
        <v>0</v>
      </c>
      <c r="G47" s="207">
        <f ca="1">SUMIF(Interest_data!$B$12:$B$161,$A47,Interest_data!$AA$12:$AA$160)</f>
        <v>0</v>
      </c>
      <c r="H47" s="207" t="e">
        <f t="shared" ca="1" si="4"/>
        <v>#REF!</v>
      </c>
      <c r="I47" s="207" t="e">
        <f t="shared" ca="1" si="0"/>
        <v>#REF!</v>
      </c>
      <c r="J47" s="207">
        <f>SUMIF(Historic_capex_list!$T$9:$T$586,$A47,Historic_capex_list!P$9:P$586)</f>
        <v>0</v>
      </c>
      <c r="K47" s="207">
        <f>SUMIF(Historic_capex_list!$T$9:$T$586,$A47,Historic_capex_list!Q$9:Q$586)</f>
        <v>0</v>
      </c>
      <c r="L47" s="207" t="e">
        <f t="shared" ca="1" si="6"/>
        <v>#REF!</v>
      </c>
      <c r="M47" s="207">
        <f t="shared" si="7"/>
        <v>0</v>
      </c>
      <c r="O47" s="345">
        <v>0</v>
      </c>
      <c r="P47" s="345" t="e">
        <f t="shared" ca="1" si="5"/>
        <v>#REF!</v>
      </c>
    </row>
    <row r="48" spans="1:16" ht="13">
      <c r="A48" s="58" t="s">
        <v>2724</v>
      </c>
      <c r="B48" s="345"/>
      <c r="C48" s="345"/>
      <c r="D48" s="345" t="e">
        <f>SUMIF(#REF!,$A48,#REF!)</f>
        <v>#REF!</v>
      </c>
      <c r="E48" s="342" t="str">
        <f t="shared" si="3"/>
        <v>OSD</v>
      </c>
      <c r="F48" s="207">
        <f>SUMIF(Interest_data!$B$12:$B$161,$A48,Interest_data!$D$12:$D$161)</f>
        <v>0</v>
      </c>
      <c r="G48" s="207">
        <f ca="1">SUMIF(Interest_data!$B$12:$B$161,$A48,Interest_data!$AA$12:$AA$160)</f>
        <v>0</v>
      </c>
      <c r="H48" s="207" t="e">
        <f t="shared" ca="1" si="4"/>
        <v>#REF!</v>
      </c>
      <c r="I48" s="207"/>
      <c r="J48" s="207">
        <f>SUMIF(Historic_capex_list!$T$9:$T$586,$A48,Historic_capex_list!P$9:P$586)</f>
        <v>0</v>
      </c>
      <c r="K48" s="207">
        <f>SUMIF(Historic_capex_list!$T$9:$T$586,$A48,Historic_capex_list!Q$9:Q$586)</f>
        <v>0</v>
      </c>
      <c r="L48" s="207">
        <f t="shared" si="6"/>
        <v>0</v>
      </c>
      <c r="M48" s="207">
        <f t="shared" si="7"/>
        <v>0</v>
      </c>
      <c r="O48" s="345">
        <v>0</v>
      </c>
      <c r="P48" s="345">
        <f t="shared" si="5"/>
        <v>0</v>
      </c>
    </row>
    <row r="49" spans="1:16" ht="13">
      <c r="A49" s="58" t="s">
        <v>2725</v>
      </c>
      <c r="B49" s="345"/>
      <c r="C49" s="345"/>
      <c r="D49" s="345" t="e">
        <f>SUMIF(#REF!,$A49,#REF!)</f>
        <v>#REF!</v>
      </c>
      <c r="E49" s="342" t="str">
        <f t="shared" si="3"/>
        <v>OSD</v>
      </c>
      <c r="F49" s="207">
        <f>SUMIF(Interest_data!$B$12:$B$161,$A49,Interest_data!$D$12:$D$161)</f>
        <v>0</v>
      </c>
      <c r="G49" s="207">
        <f ca="1">SUMIF(Interest_data!$B$12:$B$161,$A49,Interest_data!$AA$12:$AA$160)</f>
        <v>0</v>
      </c>
      <c r="H49" s="207" t="e">
        <f t="shared" ca="1" si="4"/>
        <v>#REF!</v>
      </c>
      <c r="I49" s="207" t="e">
        <f t="shared" ca="1" si="0"/>
        <v>#REF!</v>
      </c>
      <c r="J49" s="207">
        <f>SUMIF(Historic_capex_list!$T$9:$T$586,$A49,Historic_capex_list!P$9:P$586)</f>
        <v>0</v>
      </c>
      <c r="K49" s="207">
        <f>SUMIF(Historic_capex_list!$T$9:$T$586,$A49,Historic_capex_list!Q$9:Q$586)</f>
        <v>0</v>
      </c>
      <c r="L49" s="207" t="e">
        <f t="shared" ca="1" si="6"/>
        <v>#REF!</v>
      </c>
      <c r="M49" s="207">
        <f t="shared" si="7"/>
        <v>0</v>
      </c>
      <c r="O49" s="345">
        <v>0</v>
      </c>
      <c r="P49" s="345" t="e">
        <f t="shared" ca="1" si="5"/>
        <v>#REF!</v>
      </c>
    </row>
    <row r="50" spans="1:16" ht="13">
      <c r="A50" s="58" t="s">
        <v>2726</v>
      </c>
      <c r="B50" s="345"/>
      <c r="C50" s="345"/>
      <c r="D50" s="345" t="e">
        <f>SUMIF(#REF!,$A50,#REF!)</f>
        <v>#REF!</v>
      </c>
      <c r="E50" s="342" t="str">
        <f t="shared" si="3"/>
        <v>OSD</v>
      </c>
      <c r="F50" s="207">
        <f>SUMIF(Interest_data!$B$12:$B$161,$A50,Interest_data!$D$12:$D$161)</f>
        <v>0</v>
      </c>
      <c r="G50" s="207">
        <f ca="1">SUMIF(Interest_data!$B$12:$B$161,$A50,Interest_data!$AA$12:$AA$160)</f>
        <v>0</v>
      </c>
      <c r="H50" s="207" t="e">
        <f t="shared" ca="1" si="4"/>
        <v>#REF!</v>
      </c>
      <c r="I50" s="207" t="e">
        <f t="shared" ca="1" si="0"/>
        <v>#REF!</v>
      </c>
      <c r="J50" s="207">
        <f>SUMIF(Historic_capex_list!$T$9:$T$586,$A50,Historic_capex_list!P$9:P$586)</f>
        <v>0</v>
      </c>
      <c r="K50" s="207">
        <f>SUMIF(Historic_capex_list!$T$9:$T$586,$A50,Historic_capex_list!Q$9:Q$586)</f>
        <v>0</v>
      </c>
      <c r="L50" s="207" t="e">
        <f t="shared" ca="1" si="6"/>
        <v>#REF!</v>
      </c>
      <c r="M50" s="207">
        <f t="shared" si="7"/>
        <v>0</v>
      </c>
      <c r="O50" s="345">
        <v>0</v>
      </c>
      <c r="P50" s="345" t="e">
        <f t="shared" ca="1" si="5"/>
        <v>#REF!</v>
      </c>
    </row>
    <row r="51" spans="1:16" ht="13">
      <c r="A51" s="58" t="s">
        <v>2727</v>
      </c>
      <c r="B51" s="345"/>
      <c r="C51" s="345"/>
      <c r="D51" s="345" t="e">
        <f>SUMIF(#REF!,$A51,#REF!)</f>
        <v>#REF!</v>
      </c>
      <c r="E51" s="342" t="str">
        <f t="shared" si="3"/>
        <v>OSD</v>
      </c>
      <c r="F51" s="207">
        <f>SUMIF(Interest_data!$B$12:$B$161,$A51,Interest_data!$D$12:$D$161)</f>
        <v>2026.5</v>
      </c>
      <c r="G51" s="207">
        <f ca="1">SUMIF(Interest_data!$B$12:$B$161,$A51,Interest_data!$AA$12:$AA$160)</f>
        <v>176522</v>
      </c>
      <c r="H51" s="207" t="e">
        <f t="shared" ca="1" si="4"/>
        <v>#REF!</v>
      </c>
      <c r="I51" s="207" t="e">
        <f t="shared" ca="1" si="0"/>
        <v>#REF!</v>
      </c>
      <c r="J51" s="207">
        <f>SUMIF(Historic_capex_list!$T$9:$T$586,$A51,Historic_capex_list!P$9:P$586)</f>
        <v>0</v>
      </c>
      <c r="K51" s="207">
        <f>SUMIF(Historic_capex_list!$T$9:$T$586,$A51,Historic_capex_list!Q$9:Q$586)</f>
        <v>0</v>
      </c>
      <c r="L51" s="207" t="e">
        <f t="shared" ca="1" si="6"/>
        <v>#REF!</v>
      </c>
      <c r="M51" s="207">
        <f t="shared" si="7"/>
        <v>0</v>
      </c>
      <c r="O51" s="345">
        <v>-1799.7914098792244</v>
      </c>
      <c r="P51" s="345" t="e">
        <f t="shared" ca="1" si="5"/>
        <v>#REF!</v>
      </c>
    </row>
    <row r="52" spans="1:16" ht="13">
      <c r="A52" s="330" t="s">
        <v>2728</v>
      </c>
      <c r="B52" s="345"/>
      <c r="C52" s="345"/>
      <c r="D52" s="345" t="e">
        <f>SUMIF(#REF!,$A52,#REF!)</f>
        <v>#REF!</v>
      </c>
      <c r="E52" s="342" t="str">
        <f t="shared" si="3"/>
        <v>OSD</v>
      </c>
      <c r="F52" s="207">
        <f>SUMIF(Interest_data!$B$12:$B$161,$A52,Interest_data!$D$12:$D$161)</f>
        <v>0</v>
      </c>
      <c r="G52" s="207">
        <f ca="1">SUMIF(Interest_data!$B$12:$B$161,$A52,Interest_data!$AA$12:$AA$160)</f>
        <v>0</v>
      </c>
      <c r="H52" s="207" t="e">
        <f t="shared" ca="1" si="4"/>
        <v>#REF!</v>
      </c>
      <c r="I52" s="207" t="e">
        <f t="shared" ca="1" si="0"/>
        <v>#REF!</v>
      </c>
      <c r="J52" s="207">
        <f>SUMIF(Historic_capex_list!$T$9:$T$586,$A52,Historic_capex_list!P$9:P$586)</f>
        <v>-1327017.0664572511</v>
      </c>
      <c r="K52" s="207">
        <f>SUMIF(Historic_capex_list!$T$9:$T$586,$A52,Historic_capex_list!Q$9:Q$586)</f>
        <v>0</v>
      </c>
      <c r="L52" s="207" t="e">
        <f t="shared" ca="1" si="6"/>
        <v>#REF!</v>
      </c>
      <c r="M52" s="207">
        <f t="shared" si="7"/>
        <v>0</v>
      </c>
      <c r="O52" s="345">
        <v>-1736111.0389163645</v>
      </c>
      <c r="P52" s="345" t="e">
        <f t="shared" ca="1" si="5"/>
        <v>#REF!</v>
      </c>
    </row>
    <row r="53" spans="1:16" ht="13">
      <c r="A53" s="330" t="s">
        <v>2729</v>
      </c>
      <c r="B53" s="345"/>
      <c r="C53" s="345"/>
      <c r="D53" s="345" t="e">
        <f>SUMIF(#REF!,$A53,#REF!)</f>
        <v>#REF!</v>
      </c>
      <c r="E53" s="342" t="str">
        <f t="shared" si="3"/>
        <v>OSD</v>
      </c>
      <c r="F53" s="207">
        <f>SUMIF(Interest_data!$B$12:$B$161,$A53,Interest_data!$D$12:$D$161)</f>
        <v>13012.199999999999</v>
      </c>
      <c r="G53" s="207">
        <f ca="1">SUMIF(Interest_data!$B$12:$B$161,$A53,Interest_data!$AA$12:$AA$160)</f>
        <v>718824</v>
      </c>
      <c r="H53" s="207" t="e">
        <f t="shared" ca="1" si="4"/>
        <v>#REF!</v>
      </c>
      <c r="I53" s="207" t="e">
        <f t="shared" ca="1" si="0"/>
        <v>#REF!</v>
      </c>
      <c r="J53" s="207">
        <f>SUMIF(Historic_capex_list!$T$9:$T$586,$A53,Historic_capex_list!P$9:P$586)</f>
        <v>0</v>
      </c>
      <c r="K53" s="207">
        <f>SUMIF(Historic_capex_list!$T$9:$T$586,$A53,Historic_capex_list!Q$9:Q$586)</f>
        <v>0</v>
      </c>
      <c r="L53" s="207" t="e">
        <f t="shared" ca="1" si="6"/>
        <v>#REF!</v>
      </c>
      <c r="M53" s="207">
        <f t="shared" si="7"/>
        <v>0</v>
      </c>
      <c r="O53" s="345">
        <v>-8367836.6359854126</v>
      </c>
      <c r="P53" s="345" t="e">
        <f t="shared" ca="1" si="5"/>
        <v>#REF!</v>
      </c>
    </row>
    <row r="54" spans="1:16" ht="13">
      <c r="A54" s="330" t="s">
        <v>2730</v>
      </c>
      <c r="B54" s="345"/>
      <c r="C54" s="345"/>
      <c r="D54" s="345" t="e">
        <f>SUMIF(#REF!,$A54,#REF!)</f>
        <v>#REF!</v>
      </c>
      <c r="E54" s="342" t="str">
        <f t="shared" si="3"/>
        <v>OSD</v>
      </c>
      <c r="F54" s="207">
        <f>SUMIF(Interest_data!$B$12:$B$161,$A54,Interest_data!$D$12:$D$161)</f>
        <v>1945.5</v>
      </c>
      <c r="G54" s="207">
        <f ca="1">SUMIF(Interest_data!$B$12:$B$161,$A54,Interest_data!$AA$12:$AA$160)</f>
        <v>14781</v>
      </c>
      <c r="H54" s="207" t="e">
        <f t="shared" ca="1" si="4"/>
        <v>#REF!</v>
      </c>
      <c r="I54" s="207" t="e">
        <f t="shared" ca="1" si="0"/>
        <v>#REF!</v>
      </c>
      <c r="J54" s="207">
        <f>SUMIF(Historic_capex_list!$T$9:$T$586,$A54,Historic_capex_list!P$9:P$586)</f>
        <v>-836168.68398673984</v>
      </c>
      <c r="K54" s="207">
        <f>SUMIF(Historic_capex_list!$T$9:$T$586,$A54,Historic_capex_list!Q$9:Q$586)</f>
        <v>0</v>
      </c>
      <c r="L54" s="207" t="e">
        <f t="shared" ca="1" si="6"/>
        <v>#REF!</v>
      </c>
      <c r="M54" s="207">
        <f t="shared" si="7"/>
        <v>0</v>
      </c>
      <c r="O54" s="345">
        <v>-4060868.8777366197</v>
      </c>
      <c r="P54" s="345" t="e">
        <f t="shared" ca="1" si="5"/>
        <v>#REF!</v>
      </c>
    </row>
    <row r="55" spans="1:16" ht="13">
      <c r="A55" s="330" t="s">
        <v>2731</v>
      </c>
      <c r="B55" s="345"/>
      <c r="C55" s="345"/>
      <c r="D55" s="345" t="e">
        <f>SUMIF(#REF!,$A55,#REF!)</f>
        <v>#REF!</v>
      </c>
      <c r="E55" s="342" t="str">
        <f t="shared" si="3"/>
        <v>OSD</v>
      </c>
      <c r="F55" s="207">
        <f>SUMIF(Interest_data!$B$12:$B$161,$A55,Interest_data!$D$12:$D$161)</f>
        <v>3966.8999999999996</v>
      </c>
      <c r="G55" s="207">
        <f ca="1">SUMIF(Interest_data!$B$12:$B$161,$A55,Interest_data!$AA$12:$AA$160)</f>
        <v>356059</v>
      </c>
      <c r="H55" s="207" t="e">
        <f t="shared" ca="1" si="4"/>
        <v>#REF!</v>
      </c>
      <c r="I55" s="207" t="e">
        <f t="shared" ca="1" si="0"/>
        <v>#REF!</v>
      </c>
      <c r="J55" s="207">
        <f>SUMIF(Historic_capex_list!$T$9:$T$586,$A55,Historic_capex_list!P$9:P$586)</f>
        <v>-300433.44839067</v>
      </c>
      <c r="K55" s="207">
        <f>SUMIF(Historic_capex_list!$T$9:$T$586,$A55,Historic_capex_list!Q$9:Q$586)</f>
        <v>0</v>
      </c>
      <c r="L55" s="207" t="e">
        <f t="shared" ca="1" si="6"/>
        <v>#REF!</v>
      </c>
      <c r="M55" s="207">
        <f t="shared" si="7"/>
        <v>0</v>
      </c>
      <c r="O55" s="345">
        <v>-7816350.0718070101</v>
      </c>
      <c r="P55" s="345" t="e">
        <f t="shared" ca="1" si="5"/>
        <v>#REF!</v>
      </c>
    </row>
    <row r="56" spans="1:16" ht="13">
      <c r="A56" s="330" t="s">
        <v>2732</v>
      </c>
      <c r="B56" s="345"/>
      <c r="C56" s="345"/>
      <c r="D56" s="345" t="e">
        <f>SUMIF(#REF!,$A56,#REF!)</f>
        <v>#REF!</v>
      </c>
      <c r="E56" s="342" t="str">
        <f t="shared" si="3"/>
        <v>OSD</v>
      </c>
      <c r="F56" s="207">
        <f>SUMIF(Interest_data!$B$12:$B$161,$A56,Interest_data!$D$12:$D$161)</f>
        <v>5276.7</v>
      </c>
      <c r="G56" s="207">
        <f ca="1">SUMIF(Interest_data!$B$12:$B$161,$A56,Interest_data!$AA$12:$AA$160)</f>
        <v>239643</v>
      </c>
      <c r="H56" s="207" t="e">
        <f t="shared" ca="1" si="4"/>
        <v>#REF!</v>
      </c>
      <c r="I56" s="207" t="e">
        <f t="shared" ca="1" si="0"/>
        <v>#REF!</v>
      </c>
      <c r="J56" s="207">
        <f>SUMIF(Historic_capex_list!$T$9:$T$586,$A56,Historic_capex_list!P$9:P$586)</f>
        <v>-1145939.4199468594</v>
      </c>
      <c r="K56" s="207">
        <f>SUMIF(Historic_capex_list!$T$9:$T$586,$A56,Historic_capex_list!Q$9:Q$586)</f>
        <v>0</v>
      </c>
      <c r="L56" s="207" t="e">
        <f t="shared" ca="1" si="6"/>
        <v>#REF!</v>
      </c>
      <c r="M56" s="207">
        <f t="shared" si="7"/>
        <v>0</v>
      </c>
      <c r="O56" s="345">
        <v>-3992647.5291831065</v>
      </c>
      <c r="P56" s="345" t="e">
        <f t="shared" ca="1" si="5"/>
        <v>#REF!</v>
      </c>
    </row>
    <row r="57" spans="1:16" ht="13">
      <c r="A57" s="330" t="s">
        <v>2715</v>
      </c>
      <c r="B57" s="345"/>
      <c r="C57" s="345"/>
      <c r="D57" s="345" t="e">
        <f>SUMIF(#REF!,$A57,#REF!)</f>
        <v>#REF!</v>
      </c>
      <c r="E57" s="342" t="str">
        <f t="shared" si="3"/>
        <v>OSD</v>
      </c>
      <c r="F57" s="207">
        <f>SUMIF(Interest_data!$B$12:$B$161,$A57,Interest_data!$D$12:$D$161)</f>
        <v>0</v>
      </c>
      <c r="G57" s="207">
        <f ca="1">SUMIF(Interest_data!$B$12:$B$161,$A57,Interest_data!$AA$12:$AA$160)</f>
        <v>-4101</v>
      </c>
      <c r="H57" s="207" t="e">
        <f t="shared" ca="1" si="4"/>
        <v>#REF!</v>
      </c>
      <c r="I57" s="207" t="e">
        <f t="shared" ca="1" si="0"/>
        <v>#REF!</v>
      </c>
      <c r="J57" s="207">
        <f>SUMIF(Historic_capex_list!$T$9:$T$586,$A57,Historic_capex_list!P$9:P$586)</f>
        <v>0</v>
      </c>
      <c r="K57" s="207">
        <f>SUMIF(Historic_capex_list!$T$9:$T$586,$A57,Historic_capex_list!Q$9:Q$586)</f>
        <v>0</v>
      </c>
      <c r="L57" s="207" t="e">
        <f t="shared" ca="1" si="6"/>
        <v>#REF!</v>
      </c>
      <c r="M57" s="207">
        <f t="shared" si="7"/>
        <v>0</v>
      </c>
      <c r="O57" s="345">
        <v>-710294.80787688482</v>
      </c>
      <c r="P57" s="345" t="e">
        <f t="shared" ca="1" si="5"/>
        <v>#REF!</v>
      </c>
    </row>
    <row r="58" spans="1:16" ht="13">
      <c r="A58" s="330" t="s">
        <v>2733</v>
      </c>
      <c r="B58" s="345"/>
      <c r="C58" s="345"/>
      <c r="D58" s="345" t="e">
        <f>SUMIF(#REF!,$A58,#REF!)</f>
        <v>#REF!</v>
      </c>
      <c r="E58" s="342" t="str">
        <f t="shared" si="3"/>
        <v>OSD</v>
      </c>
      <c r="F58" s="207">
        <f>SUMIF(Interest_data!$B$12:$B$161,$A58,Interest_data!$D$12:$D$161)</f>
        <v>0</v>
      </c>
      <c r="G58" s="207">
        <f ca="1">SUMIF(Interest_data!$B$12:$B$161,$A58,Interest_data!$AA$12:$AA$160)</f>
        <v>0</v>
      </c>
      <c r="H58" s="207" t="e">
        <f t="shared" ca="1" si="4"/>
        <v>#REF!</v>
      </c>
      <c r="I58" s="207" t="e">
        <f t="shared" ca="1" si="0"/>
        <v>#REF!</v>
      </c>
      <c r="J58" s="207">
        <f>SUMIF(Historic_capex_list!$T$9:$T$586,$A58,Historic_capex_list!P$9:P$586)</f>
        <v>-298839.39051963616</v>
      </c>
      <c r="K58" s="207">
        <f>SUMIF(Historic_capex_list!$T$9:$T$586,$A58,Historic_capex_list!Q$9:Q$586)</f>
        <v>0</v>
      </c>
      <c r="L58" s="207" t="e">
        <f t="shared" ca="1" si="6"/>
        <v>#REF!</v>
      </c>
      <c r="M58" s="207">
        <f t="shared" si="7"/>
        <v>0</v>
      </c>
      <c r="O58" s="345">
        <v>-898552.27614856395</v>
      </c>
      <c r="P58" s="345" t="e">
        <f t="shared" ca="1" si="5"/>
        <v>#REF!</v>
      </c>
    </row>
    <row r="59" spans="1:16" ht="13">
      <c r="A59" s="58" t="s">
        <v>2734</v>
      </c>
      <c r="B59" s="345"/>
      <c r="C59" s="345"/>
      <c r="D59" s="345" t="e">
        <f>SUMIF(#REF!,$A59,#REF!)</f>
        <v>#REF!</v>
      </c>
      <c r="E59" s="342" t="str">
        <f t="shared" si="3"/>
        <v>OSD</v>
      </c>
      <c r="F59" s="207">
        <f>SUMIF(Interest_data!$B$12:$B$161,$A59,Interest_data!$D$12:$D$161)</f>
        <v>30.599999999999998</v>
      </c>
      <c r="G59" s="207">
        <f ca="1">SUMIF(Interest_data!$B$12:$B$161,$A59,Interest_data!$AA$12:$AA$160)</f>
        <v>2767</v>
      </c>
      <c r="H59" s="207" t="e">
        <f t="shared" ca="1" si="4"/>
        <v>#REF!</v>
      </c>
      <c r="I59" s="207" t="e">
        <f t="shared" ca="1" si="0"/>
        <v>#REF!</v>
      </c>
      <c r="J59" s="207">
        <f>SUMIF(Historic_capex_list!$T$9:$T$586,$A59,Historic_capex_list!P$9:P$586)</f>
        <v>0</v>
      </c>
      <c r="K59" s="207">
        <f>SUMIF(Historic_capex_list!$T$9:$T$586,$A59,Historic_capex_list!Q$9:Q$586)</f>
        <v>0</v>
      </c>
      <c r="L59" s="207" t="e">
        <f t="shared" ca="1" si="6"/>
        <v>#REF!</v>
      </c>
      <c r="M59" s="207">
        <f t="shared" si="7"/>
        <v>0</v>
      </c>
      <c r="O59" s="345">
        <v>-1591.3339949903852</v>
      </c>
      <c r="P59" s="345" t="e">
        <f t="shared" ca="1" si="5"/>
        <v>#REF!</v>
      </c>
    </row>
    <row r="60" spans="1:16" ht="13">
      <c r="A60" s="58" t="s">
        <v>2735</v>
      </c>
      <c r="B60" s="345"/>
      <c r="C60" s="345"/>
      <c r="D60" s="345" t="e">
        <f>SUMIF(#REF!,$A60,#REF!)</f>
        <v>#REF!</v>
      </c>
      <c r="E60" s="342" t="str">
        <f t="shared" si="3"/>
        <v>OSD</v>
      </c>
      <c r="F60" s="207">
        <f>SUMIF(Interest_data!$B$12:$B$161,$A60,Interest_data!$D$12:$D$161)</f>
        <v>0</v>
      </c>
      <c r="G60" s="207">
        <f ca="1">SUMIF(Interest_data!$B$12:$B$161,$A60,Interest_data!$AA$12:$AA$160)</f>
        <v>0</v>
      </c>
      <c r="H60" s="207" t="e">
        <f t="shared" ca="1" si="4"/>
        <v>#REF!</v>
      </c>
      <c r="I60" s="207" t="e">
        <f t="shared" ca="1" si="0"/>
        <v>#REF!</v>
      </c>
      <c r="J60" s="207">
        <f>SUMIF(Historic_capex_list!$T$9:$T$586,$A60,Historic_capex_list!P$9:P$586)</f>
        <v>0</v>
      </c>
      <c r="K60" s="207">
        <f>SUMIF(Historic_capex_list!$T$9:$T$586,$A60,Historic_capex_list!Q$9:Q$586)</f>
        <v>0</v>
      </c>
      <c r="L60" s="207" t="e">
        <f t="shared" ca="1" si="6"/>
        <v>#REF!</v>
      </c>
      <c r="M60" s="207">
        <f t="shared" si="7"/>
        <v>0</v>
      </c>
      <c r="O60" s="345">
        <v>0</v>
      </c>
      <c r="P60" s="345" t="e">
        <f t="shared" ca="1" si="5"/>
        <v>#REF!</v>
      </c>
    </row>
    <row r="61" spans="1:16" ht="13">
      <c r="A61" s="58" t="s">
        <v>2736</v>
      </c>
      <c r="B61" s="345"/>
      <c r="C61" s="345"/>
      <c r="D61" s="345" t="e">
        <f>SUMIF(#REF!,$A61,#REF!)</f>
        <v>#REF!</v>
      </c>
      <c r="E61" s="342" t="str">
        <f t="shared" si="3"/>
        <v>OSD</v>
      </c>
      <c r="F61" s="207">
        <f>SUMIF(Interest_data!$B$12:$B$161,$A61,Interest_data!$D$12:$D$161)</f>
        <v>0</v>
      </c>
      <c r="G61" s="207">
        <f ca="1">SUMIF(Interest_data!$B$12:$B$161,$A61,Interest_data!$AA$12:$AA$160)</f>
        <v>0</v>
      </c>
      <c r="H61" s="207" t="e">
        <f t="shared" ca="1" si="4"/>
        <v>#REF!</v>
      </c>
      <c r="I61" s="207" t="e">
        <f t="shared" ca="1" si="0"/>
        <v>#REF!</v>
      </c>
      <c r="J61" s="207">
        <f>SUMIF(Historic_capex_list!$T$9:$T$586,$A61,Historic_capex_list!P$9:P$586)</f>
        <v>0</v>
      </c>
      <c r="K61" s="207">
        <f>SUMIF(Historic_capex_list!$T$9:$T$586,$A61,Historic_capex_list!Q$9:Q$586)</f>
        <v>0</v>
      </c>
      <c r="L61" s="207" t="e">
        <f t="shared" ca="1" si="6"/>
        <v>#REF!</v>
      </c>
      <c r="M61" s="207">
        <f t="shared" si="7"/>
        <v>0</v>
      </c>
      <c r="O61" s="345">
        <v>0</v>
      </c>
      <c r="P61" s="345" t="e">
        <f t="shared" ca="1" si="5"/>
        <v>#REF!</v>
      </c>
    </row>
    <row r="62" spans="1:16" ht="13">
      <c r="A62" s="330" t="s">
        <v>2737</v>
      </c>
      <c r="B62" s="345"/>
      <c r="C62" s="345"/>
      <c r="D62" s="345" t="e">
        <f>SUMIF(#REF!,$A62,#REF!)</f>
        <v>#REF!</v>
      </c>
      <c r="E62" s="342" t="str">
        <f t="shared" si="3"/>
        <v>OSD</v>
      </c>
      <c r="F62" s="207">
        <f>SUMIF(Interest_data!$B$12:$B$161,$A62,Interest_data!$D$12:$D$161)</f>
        <v>0</v>
      </c>
      <c r="G62" s="207">
        <f ca="1">SUMIF(Interest_data!$B$12:$B$161,$A62,Interest_data!$AA$12:$AA$160)</f>
        <v>0</v>
      </c>
      <c r="H62" s="207" t="e">
        <f t="shared" ca="1" si="4"/>
        <v>#REF!</v>
      </c>
      <c r="I62" s="207" t="e">
        <f t="shared" ca="1" si="0"/>
        <v>#REF!</v>
      </c>
      <c r="J62" s="207">
        <f>SUMIF(Historic_capex_list!$T$9:$T$586,$A62,Historic_capex_list!P$9:P$586)</f>
        <v>0</v>
      </c>
      <c r="K62" s="207">
        <f>SUMIF(Historic_capex_list!$T$9:$T$586,$A62,Historic_capex_list!Q$9:Q$586)</f>
        <v>0</v>
      </c>
      <c r="L62" s="207" t="e">
        <f t="shared" ca="1" si="6"/>
        <v>#REF!</v>
      </c>
      <c r="M62" s="207">
        <f t="shared" si="7"/>
        <v>0</v>
      </c>
      <c r="O62" s="345">
        <v>-12612.189644628826</v>
      </c>
      <c r="P62" s="345" t="e">
        <f t="shared" ca="1" si="5"/>
        <v>#REF!</v>
      </c>
    </row>
    <row r="63" spans="1:16" ht="13">
      <c r="A63" s="58" t="s">
        <v>2738</v>
      </c>
      <c r="B63" s="345"/>
      <c r="C63" s="345"/>
      <c r="D63" s="345" t="e">
        <f>SUMIF(#REF!,$A63,#REF!)</f>
        <v>#REF!</v>
      </c>
      <c r="E63" s="342" t="str">
        <f t="shared" si="3"/>
        <v>OSD</v>
      </c>
      <c r="F63" s="207">
        <f>SUMIF(Interest_data!$B$12:$B$161,$A63,Interest_data!$D$12:$D$161)</f>
        <v>0</v>
      </c>
      <c r="G63" s="207">
        <f ca="1">SUMIF(Interest_data!$B$12:$B$161,$A63,Interest_data!$AA$12:$AA$160)</f>
        <v>0</v>
      </c>
      <c r="H63" s="207" t="e">
        <f t="shared" ca="1" si="4"/>
        <v>#REF!</v>
      </c>
      <c r="I63" s="207" t="e">
        <f t="shared" ca="1" si="0"/>
        <v>#REF!</v>
      </c>
      <c r="J63" s="207">
        <f>SUMIF(Historic_capex_list!$T$9:$T$586,$A63,Historic_capex_list!P$9:P$586)</f>
        <v>13747.142626034609</v>
      </c>
      <c r="K63" s="207">
        <f>SUMIF(Historic_capex_list!$T$9:$T$586,$A63,Historic_capex_list!Q$9:Q$586)</f>
        <v>0</v>
      </c>
      <c r="L63" s="207" t="e">
        <f t="shared" ca="1" si="6"/>
        <v>#REF!</v>
      </c>
      <c r="M63" s="207">
        <f t="shared" si="7"/>
        <v>0</v>
      </c>
      <c r="O63" s="345">
        <v>-17792.450197548431</v>
      </c>
      <c r="P63" s="345" t="e">
        <f t="shared" ca="1" si="5"/>
        <v>#REF!</v>
      </c>
    </row>
    <row r="64" spans="1:16" ht="13">
      <c r="A64" s="330" t="s">
        <v>2739</v>
      </c>
      <c r="B64" s="345"/>
      <c r="C64" s="345"/>
      <c r="D64" s="345" t="e">
        <f>SUMIF(#REF!,$A64,#REF!)</f>
        <v>#REF!</v>
      </c>
      <c r="E64" s="342" t="str">
        <f t="shared" si="3"/>
        <v>OSD</v>
      </c>
      <c r="F64" s="207">
        <f>SUMIF(Interest_data!$B$12:$B$161,$A64,Interest_data!$D$12:$D$161)</f>
        <v>32.1</v>
      </c>
      <c r="G64" s="207">
        <f ca="1">SUMIF(Interest_data!$B$12:$B$161,$A64,Interest_data!$AA$12:$AA$160)</f>
        <v>2919</v>
      </c>
      <c r="H64" s="207" t="e">
        <f t="shared" ca="1" si="4"/>
        <v>#REF!</v>
      </c>
      <c r="I64" s="207" t="e">
        <f t="shared" ca="1" si="0"/>
        <v>#REF!</v>
      </c>
      <c r="J64" s="207">
        <f>SUMIF(Historic_capex_list!$T$9:$T$586,$A64,Historic_capex_list!P$9:P$586)</f>
        <v>0</v>
      </c>
      <c r="K64" s="207">
        <f>SUMIF(Historic_capex_list!$T$9:$T$586,$A64,Historic_capex_list!Q$9:Q$586)</f>
        <v>0</v>
      </c>
      <c r="L64" s="207" t="e">
        <f t="shared" ca="1" si="6"/>
        <v>#REF!</v>
      </c>
      <c r="M64" s="207">
        <f t="shared" si="7"/>
        <v>0</v>
      </c>
      <c r="O64" s="345">
        <v>-1834589.5658983469</v>
      </c>
      <c r="P64" s="345" t="e">
        <f t="shared" ca="1" si="5"/>
        <v>#REF!</v>
      </c>
    </row>
    <row r="65" spans="1:16" ht="13">
      <c r="A65" s="58" t="s">
        <v>2740</v>
      </c>
      <c r="B65" s="345"/>
      <c r="C65" s="345"/>
      <c r="D65" s="345" t="e">
        <f>SUMIF(#REF!,$A65,#REF!)</f>
        <v>#REF!</v>
      </c>
      <c r="E65" s="342" t="str">
        <f t="shared" si="3"/>
        <v>OSD</v>
      </c>
      <c r="F65" s="207">
        <f>SUMIF(Interest_data!$B$12:$B$161,$A65,Interest_data!$D$12:$D$161)</f>
        <v>0</v>
      </c>
      <c r="G65" s="207">
        <f ca="1">SUMIF(Interest_data!$B$12:$B$161,$A65,Interest_data!$AA$12:$AA$160)</f>
        <v>0</v>
      </c>
      <c r="H65" s="207" t="e">
        <f t="shared" ca="1" si="4"/>
        <v>#REF!</v>
      </c>
      <c r="I65" s="207" t="e">
        <f t="shared" ca="1" si="0"/>
        <v>#REF!</v>
      </c>
      <c r="J65" s="207">
        <f>SUMIF(Historic_capex_list!$T$9:$T$586,$A65,Historic_capex_list!P$9:P$586)</f>
        <v>0</v>
      </c>
      <c r="K65" s="207">
        <f>SUMIF(Historic_capex_list!$T$9:$T$586,$A65,Historic_capex_list!Q$9:Q$586)</f>
        <v>0</v>
      </c>
      <c r="L65" s="207" t="e">
        <f t="shared" ca="1" si="6"/>
        <v>#REF!</v>
      </c>
      <c r="M65" s="207">
        <f t="shared" si="7"/>
        <v>0</v>
      </c>
      <c r="O65" s="345">
        <v>0</v>
      </c>
      <c r="P65" s="345" t="e">
        <f t="shared" ca="1" si="5"/>
        <v>#REF!</v>
      </c>
    </row>
    <row r="66" spans="1:16" ht="13">
      <c r="A66" s="58" t="s">
        <v>2741</v>
      </c>
      <c r="B66" s="345"/>
      <c r="C66" s="345"/>
      <c r="D66" s="345" t="e">
        <f>SUMIF(#REF!,$A66,#REF!)</f>
        <v>#REF!</v>
      </c>
      <c r="E66" s="342" t="str">
        <f t="shared" si="3"/>
        <v>OSD</v>
      </c>
      <c r="F66" s="207">
        <f>SUMIF(Interest_data!$B$12:$B$161,$A66,Interest_data!$D$12:$D$161)</f>
        <v>0</v>
      </c>
      <c r="G66" s="207">
        <f ca="1">SUMIF(Interest_data!$B$12:$B$161,$A66,Interest_data!$AA$12:$AA$160)</f>
        <v>0</v>
      </c>
      <c r="H66" s="207" t="e">
        <f t="shared" ca="1" si="4"/>
        <v>#REF!</v>
      </c>
      <c r="I66" s="207" t="e">
        <f t="shared" ca="1" si="0"/>
        <v>#REF!</v>
      </c>
      <c r="J66" s="207">
        <f>SUMIF(Historic_capex_list!$T$9:$T$586,$A66,Historic_capex_list!P$9:P$586)</f>
        <v>0</v>
      </c>
      <c r="K66" s="207">
        <f>SUMIF(Historic_capex_list!$T$9:$T$586,$A66,Historic_capex_list!Q$9:Q$586)</f>
        <v>0</v>
      </c>
      <c r="L66" s="207" t="e">
        <f t="shared" ca="1" si="6"/>
        <v>#REF!</v>
      </c>
      <c r="M66" s="207">
        <f t="shared" si="7"/>
        <v>0</v>
      </c>
      <c r="O66" s="345">
        <v>0</v>
      </c>
      <c r="P66" s="345" t="e">
        <f t="shared" ca="1" si="5"/>
        <v>#REF!</v>
      </c>
    </row>
    <row r="67" spans="1:16" ht="13">
      <c r="A67" s="58" t="s">
        <v>2742</v>
      </c>
      <c r="B67" s="345"/>
      <c r="C67" s="345"/>
      <c r="D67" s="345" t="e">
        <f>SUMIF(#REF!,$A67,#REF!)</f>
        <v>#REF!</v>
      </c>
      <c r="E67" s="342" t="str">
        <f t="shared" si="3"/>
        <v>OSD</v>
      </c>
      <c r="F67" s="207">
        <f>SUMIF(Interest_data!$B$12:$B$161,$A67,Interest_data!$D$12:$D$161)</f>
        <v>0</v>
      </c>
      <c r="G67" s="207">
        <f ca="1">SUMIF(Interest_data!$B$12:$B$161,$A67,Interest_data!$AA$12:$AA$160)</f>
        <v>0</v>
      </c>
      <c r="H67" s="207" t="e">
        <f t="shared" ca="1" si="4"/>
        <v>#REF!</v>
      </c>
      <c r="I67" s="207" t="e">
        <f t="shared" ref="I67:I130" ca="1" si="8">+H67</f>
        <v>#REF!</v>
      </c>
      <c r="J67" s="207">
        <f>SUMIF(Historic_capex_list!$T$9:$T$586,$A67,Historic_capex_list!P$9:P$586)</f>
        <v>0</v>
      </c>
      <c r="K67" s="207">
        <f>SUMIF(Historic_capex_list!$T$9:$T$586,$A67,Historic_capex_list!Q$9:Q$586)</f>
        <v>0</v>
      </c>
      <c r="L67" s="207" t="e">
        <f t="shared" ca="1" si="6"/>
        <v>#REF!</v>
      </c>
      <c r="M67" s="207">
        <f t="shared" si="7"/>
        <v>0</v>
      </c>
      <c r="O67" s="345">
        <v>0</v>
      </c>
      <c r="P67" s="345" t="e">
        <f t="shared" ca="1" si="5"/>
        <v>#REF!</v>
      </c>
    </row>
    <row r="68" spans="1:16" ht="13">
      <c r="A68" s="330" t="s">
        <v>2716</v>
      </c>
      <c r="B68" s="345"/>
      <c r="C68" s="345"/>
      <c r="D68" s="345" t="e">
        <f>SUMIF(#REF!,$A68,#REF!)</f>
        <v>#REF!</v>
      </c>
      <c r="E68" s="342" t="str">
        <f t="shared" ref="E68:E131" si="9">LEFT(A68,3)</f>
        <v>OSD</v>
      </c>
      <c r="F68" s="207">
        <f>SUMIF(Interest_data!$B$12:$B$161,$A68,Interest_data!$D$12:$D$161)</f>
        <v>0</v>
      </c>
      <c r="G68" s="207">
        <f ca="1">SUMIF(Interest_data!$B$12:$B$161,$A68,Interest_data!$AA$12:$AA$160)</f>
        <v>-50312</v>
      </c>
      <c r="H68" s="207" t="e">
        <f t="shared" ref="H68:H131" ca="1" si="10">+G68+F68+D68</f>
        <v>#REF!</v>
      </c>
      <c r="I68" s="207" t="e">
        <f t="shared" ca="1" si="8"/>
        <v>#REF!</v>
      </c>
      <c r="J68" s="207">
        <f>SUMIF(Historic_capex_list!$T$9:$T$586,$A68,Historic_capex_list!P$9:P$586)</f>
        <v>0</v>
      </c>
      <c r="K68" s="207">
        <f>SUMIF(Historic_capex_list!$T$9:$T$586,$A68,Historic_capex_list!Q$9:Q$586)</f>
        <v>0</v>
      </c>
      <c r="L68" s="207" t="e">
        <f t="shared" ca="1" si="6"/>
        <v>#REF!</v>
      </c>
      <c r="M68" s="207">
        <f t="shared" si="7"/>
        <v>0</v>
      </c>
      <c r="O68" s="345">
        <v>-1286983.702888882</v>
      </c>
      <c r="P68" s="345" t="e">
        <f t="shared" ref="P68:P131" ca="1" si="11">+O68-I68</f>
        <v>#REF!</v>
      </c>
    </row>
    <row r="69" spans="1:16" ht="13">
      <c r="A69" s="58" t="s">
        <v>2743</v>
      </c>
      <c r="B69" s="345"/>
      <c r="C69" s="345"/>
      <c r="D69" s="345" t="e">
        <f>SUMIF(#REF!,$A69,#REF!)</f>
        <v>#REF!</v>
      </c>
      <c r="E69" s="342" t="str">
        <f t="shared" si="9"/>
        <v>OSD</v>
      </c>
      <c r="F69" s="207">
        <f>SUMIF(Interest_data!$B$12:$B$161,$A69,Interest_data!$D$12:$D$161)</f>
        <v>0</v>
      </c>
      <c r="G69" s="207">
        <f ca="1">SUMIF(Interest_data!$B$12:$B$161,$A69,Interest_data!$AA$12:$AA$160)</f>
        <v>0</v>
      </c>
      <c r="H69" s="207" t="e">
        <f t="shared" ca="1" si="10"/>
        <v>#REF!</v>
      </c>
      <c r="I69" s="207" t="e">
        <f t="shared" ca="1" si="8"/>
        <v>#REF!</v>
      </c>
      <c r="J69" s="207">
        <f>SUMIF(Historic_capex_list!$T$9:$T$586,$A69,Historic_capex_list!P$9:P$586)</f>
        <v>0</v>
      </c>
      <c r="K69" s="207">
        <f>SUMIF(Historic_capex_list!$T$9:$T$586,$A69,Historic_capex_list!Q$9:Q$586)</f>
        <v>0</v>
      </c>
      <c r="L69" s="207" t="e">
        <f t="shared" ca="1" si="6"/>
        <v>#REF!</v>
      </c>
      <c r="M69" s="207">
        <f t="shared" si="7"/>
        <v>0</v>
      </c>
      <c r="O69" s="345">
        <v>0</v>
      </c>
      <c r="P69" s="345" t="e">
        <f t="shared" ca="1" si="11"/>
        <v>#REF!</v>
      </c>
    </row>
    <row r="70" spans="1:16" ht="13">
      <c r="A70" s="58" t="s">
        <v>2744</v>
      </c>
      <c r="B70" s="345"/>
      <c r="C70" s="345"/>
      <c r="D70" s="345" t="e">
        <f>SUMIF(#REF!,$A70,#REF!)</f>
        <v>#REF!</v>
      </c>
      <c r="E70" s="342" t="str">
        <f t="shared" si="9"/>
        <v>OSD</v>
      </c>
      <c r="F70" s="207">
        <f>SUMIF(Interest_data!$B$12:$B$161,$A70,Interest_data!$D$12:$D$161)</f>
        <v>0</v>
      </c>
      <c r="G70" s="207">
        <f ca="1">SUMIF(Interest_data!$B$12:$B$161,$A70,Interest_data!$AA$12:$AA$160)</f>
        <v>0</v>
      </c>
      <c r="H70" s="207" t="e">
        <f t="shared" ca="1" si="10"/>
        <v>#REF!</v>
      </c>
      <c r="I70" s="207" t="e">
        <f t="shared" ca="1" si="8"/>
        <v>#REF!</v>
      </c>
      <c r="J70" s="207">
        <f>SUMIF(Historic_capex_list!$T$9:$T$586,$A70,Historic_capex_list!P$9:P$586)</f>
        <v>0</v>
      </c>
      <c r="K70" s="207">
        <f>SUMIF(Historic_capex_list!$T$9:$T$586,$A70,Historic_capex_list!Q$9:Q$586)</f>
        <v>0</v>
      </c>
      <c r="L70" s="207" t="e">
        <f t="shared" ca="1" si="6"/>
        <v>#REF!</v>
      </c>
      <c r="M70" s="207">
        <f t="shared" si="7"/>
        <v>0</v>
      </c>
      <c r="O70" s="345">
        <v>0</v>
      </c>
      <c r="P70" s="345" t="e">
        <f t="shared" ca="1" si="11"/>
        <v>#REF!</v>
      </c>
    </row>
    <row r="71" spans="1:16" ht="13">
      <c r="A71" s="58" t="s">
        <v>2745</v>
      </c>
      <c r="B71" s="345"/>
      <c r="C71" s="345"/>
      <c r="D71" s="345" t="e">
        <f>SUMIF(#REF!,$A71,#REF!)</f>
        <v>#REF!</v>
      </c>
      <c r="E71" s="342" t="str">
        <f t="shared" si="9"/>
        <v>OSD</v>
      </c>
      <c r="F71" s="207">
        <f>SUMIF(Interest_data!$B$12:$B$161,$A71,Interest_data!$D$12:$D$161)</f>
        <v>0</v>
      </c>
      <c r="G71" s="207">
        <f ca="1">SUMIF(Interest_data!$B$12:$B$161,$A71,Interest_data!$AA$12:$AA$160)</f>
        <v>0</v>
      </c>
      <c r="H71" s="207" t="e">
        <f t="shared" ca="1" si="10"/>
        <v>#REF!</v>
      </c>
      <c r="I71" s="207" t="e">
        <f t="shared" ca="1" si="8"/>
        <v>#REF!</v>
      </c>
      <c r="J71" s="207">
        <f>SUMIF(Historic_capex_list!$T$9:$T$586,$A71,Historic_capex_list!P$9:P$586)</f>
        <v>0</v>
      </c>
      <c r="K71" s="207">
        <f>SUMIF(Historic_capex_list!$T$9:$T$586,$A71,Historic_capex_list!Q$9:Q$586)</f>
        <v>0</v>
      </c>
      <c r="L71" s="207" t="e">
        <f t="shared" ca="1" si="6"/>
        <v>#REF!</v>
      </c>
      <c r="M71" s="207">
        <f t="shared" si="7"/>
        <v>0</v>
      </c>
      <c r="O71" s="345">
        <v>0</v>
      </c>
      <c r="P71" s="345" t="e">
        <f t="shared" ca="1" si="11"/>
        <v>#REF!</v>
      </c>
    </row>
    <row r="72" spans="1:16" ht="13">
      <c r="A72" s="58" t="s">
        <v>2746</v>
      </c>
      <c r="B72" s="345"/>
      <c r="C72" s="345"/>
      <c r="D72" s="345" t="e">
        <f>SUMIF(#REF!,$A72,#REF!)</f>
        <v>#REF!</v>
      </c>
      <c r="E72" s="342" t="str">
        <f t="shared" si="9"/>
        <v>OSD</v>
      </c>
      <c r="F72" s="207">
        <f>SUMIF(Interest_data!$B$12:$B$161,$A72,Interest_data!$D$12:$D$161)</f>
        <v>0</v>
      </c>
      <c r="G72" s="207">
        <f ca="1">SUMIF(Interest_data!$B$12:$B$161,$A72,Interest_data!$AA$12:$AA$160)</f>
        <v>0</v>
      </c>
      <c r="H72" s="207" t="e">
        <f t="shared" ca="1" si="10"/>
        <v>#REF!</v>
      </c>
      <c r="I72" s="207" t="e">
        <f t="shared" ca="1" si="8"/>
        <v>#REF!</v>
      </c>
      <c r="J72" s="207">
        <f>SUMIF(Historic_capex_list!$T$9:$T$586,$A72,Historic_capex_list!P$9:P$586)</f>
        <v>0</v>
      </c>
      <c r="K72" s="207">
        <f>SUMIF(Historic_capex_list!$T$9:$T$586,$A72,Historic_capex_list!Q$9:Q$586)</f>
        <v>0</v>
      </c>
      <c r="L72" s="207" t="e">
        <f t="shared" ca="1" si="6"/>
        <v>#REF!</v>
      </c>
      <c r="M72" s="207">
        <f t="shared" si="7"/>
        <v>0</v>
      </c>
      <c r="O72" s="345">
        <v>0</v>
      </c>
      <c r="P72" s="345" t="e">
        <f t="shared" ca="1" si="11"/>
        <v>#REF!</v>
      </c>
    </row>
    <row r="73" spans="1:16" ht="13">
      <c r="A73" s="58" t="s">
        <v>2747</v>
      </c>
      <c r="B73" s="345"/>
      <c r="C73" s="345"/>
      <c r="D73" s="345" t="e">
        <f>SUMIF(#REF!,$A73,#REF!)</f>
        <v>#REF!</v>
      </c>
      <c r="E73" s="342" t="str">
        <f t="shared" si="9"/>
        <v>OSD</v>
      </c>
      <c r="F73" s="207">
        <f>SUMIF(Interest_data!$B$12:$B$161,$A73,Interest_data!$D$12:$D$161)</f>
        <v>0</v>
      </c>
      <c r="G73" s="207">
        <f ca="1">SUMIF(Interest_data!$B$12:$B$161,$A73,Interest_data!$AA$12:$AA$160)</f>
        <v>0</v>
      </c>
      <c r="H73" s="207" t="e">
        <f t="shared" ca="1" si="10"/>
        <v>#REF!</v>
      </c>
      <c r="I73" s="207" t="e">
        <f t="shared" ca="1" si="8"/>
        <v>#REF!</v>
      </c>
      <c r="J73" s="207">
        <f>SUMIF(Historic_capex_list!$T$9:$T$586,$A73,Historic_capex_list!P$9:P$586)</f>
        <v>0</v>
      </c>
      <c r="K73" s="207">
        <f>SUMIF(Historic_capex_list!$T$9:$T$586,$A73,Historic_capex_list!Q$9:Q$586)</f>
        <v>0</v>
      </c>
      <c r="L73" s="207" t="e">
        <f t="shared" ca="1" si="6"/>
        <v>#REF!</v>
      </c>
      <c r="M73" s="207">
        <f t="shared" si="7"/>
        <v>0</v>
      </c>
      <c r="O73" s="345">
        <v>0</v>
      </c>
      <c r="P73" s="345" t="e">
        <f t="shared" ca="1" si="11"/>
        <v>#REF!</v>
      </c>
    </row>
    <row r="74" spans="1:16" ht="13">
      <c r="A74" s="58" t="s">
        <v>2748</v>
      </c>
      <c r="B74" s="345"/>
      <c r="C74" s="345"/>
      <c r="D74" s="345" t="e">
        <f>SUMIF(#REF!,$A74,#REF!)</f>
        <v>#REF!</v>
      </c>
      <c r="E74" s="342" t="str">
        <f t="shared" si="9"/>
        <v>OSD</v>
      </c>
      <c r="F74" s="207">
        <f>SUMIF(Interest_data!$B$12:$B$161,$A74,Interest_data!$D$12:$D$161)</f>
        <v>0</v>
      </c>
      <c r="G74" s="207">
        <f ca="1">SUMIF(Interest_data!$B$12:$B$161,$A74,Interest_data!$AA$12:$AA$160)</f>
        <v>0</v>
      </c>
      <c r="H74" s="207" t="e">
        <f t="shared" ca="1" si="10"/>
        <v>#REF!</v>
      </c>
      <c r="I74" s="207" t="e">
        <f t="shared" ca="1" si="8"/>
        <v>#REF!</v>
      </c>
      <c r="J74" s="207">
        <f>SUMIF(Historic_capex_list!$T$9:$T$586,$A74,Historic_capex_list!P$9:P$586)</f>
        <v>0</v>
      </c>
      <c r="K74" s="207">
        <f>SUMIF(Historic_capex_list!$T$9:$T$586,$A74,Historic_capex_list!Q$9:Q$586)</f>
        <v>0</v>
      </c>
      <c r="L74" s="207" t="e">
        <f t="shared" ca="1" si="6"/>
        <v>#REF!</v>
      </c>
      <c r="M74" s="207">
        <f t="shared" si="7"/>
        <v>0</v>
      </c>
      <c r="O74" s="345">
        <v>0</v>
      </c>
      <c r="P74" s="345" t="e">
        <f t="shared" ca="1" si="11"/>
        <v>#REF!</v>
      </c>
    </row>
    <row r="75" spans="1:16" ht="13">
      <c r="A75" s="58" t="s">
        <v>2749</v>
      </c>
      <c r="B75" s="345"/>
      <c r="C75" s="345"/>
      <c r="D75" s="345" t="e">
        <f>SUMIF(#REF!,$A75,#REF!)</f>
        <v>#REF!</v>
      </c>
      <c r="E75" s="342" t="str">
        <f t="shared" si="9"/>
        <v>OSD</v>
      </c>
      <c r="F75" s="207">
        <f>SUMIF(Interest_data!$B$12:$B$161,$A75,Interest_data!$D$12:$D$161)</f>
        <v>0</v>
      </c>
      <c r="G75" s="207">
        <f ca="1">SUMIF(Interest_data!$B$12:$B$161,$A75,Interest_data!$AA$12:$AA$160)</f>
        <v>0</v>
      </c>
      <c r="H75" s="207" t="e">
        <f t="shared" ca="1" si="10"/>
        <v>#REF!</v>
      </c>
      <c r="I75" s="207" t="e">
        <f t="shared" ca="1" si="8"/>
        <v>#REF!</v>
      </c>
      <c r="J75" s="207">
        <f>SUMIF(Historic_capex_list!$T$9:$T$586,$A75,Historic_capex_list!P$9:P$586)</f>
        <v>0</v>
      </c>
      <c r="K75" s="207">
        <f>SUMIF(Historic_capex_list!$T$9:$T$586,$A75,Historic_capex_list!Q$9:Q$586)</f>
        <v>0</v>
      </c>
      <c r="L75" s="207" t="e">
        <f t="shared" ca="1" si="6"/>
        <v>#REF!</v>
      </c>
      <c r="M75" s="207">
        <f t="shared" si="7"/>
        <v>0</v>
      </c>
      <c r="O75" s="345">
        <v>0</v>
      </c>
      <c r="P75" s="345" t="e">
        <f t="shared" ca="1" si="11"/>
        <v>#REF!</v>
      </c>
    </row>
    <row r="76" spans="1:16" ht="13">
      <c r="A76" s="58" t="s">
        <v>2750</v>
      </c>
      <c r="B76" s="345"/>
      <c r="C76" s="345"/>
      <c r="D76" s="345" t="e">
        <f>SUMIF(#REF!,$A76,#REF!)</f>
        <v>#REF!</v>
      </c>
      <c r="E76" s="342" t="str">
        <f t="shared" si="9"/>
        <v>OSD</v>
      </c>
      <c r="F76" s="207">
        <f>SUMIF(Interest_data!$B$12:$B$161,$A76,Interest_data!$D$12:$D$161)</f>
        <v>0</v>
      </c>
      <c r="G76" s="207">
        <f ca="1">SUMIF(Interest_data!$B$12:$B$161,$A76,Interest_data!$AA$12:$AA$160)</f>
        <v>0</v>
      </c>
      <c r="H76" s="207" t="e">
        <f t="shared" ca="1" si="10"/>
        <v>#REF!</v>
      </c>
      <c r="I76" s="207" t="e">
        <f t="shared" ca="1" si="8"/>
        <v>#REF!</v>
      </c>
      <c r="J76" s="207">
        <f>SUMIF(Historic_capex_list!$T$9:$T$586,$A76,Historic_capex_list!P$9:P$586)</f>
        <v>0</v>
      </c>
      <c r="K76" s="207">
        <f>SUMIF(Historic_capex_list!$T$9:$T$586,$A76,Historic_capex_list!Q$9:Q$586)</f>
        <v>0</v>
      </c>
      <c r="L76" s="207" t="e">
        <f t="shared" ca="1" si="6"/>
        <v>#REF!</v>
      </c>
      <c r="M76" s="207">
        <f t="shared" si="7"/>
        <v>0</v>
      </c>
      <c r="O76" s="345">
        <v>0</v>
      </c>
      <c r="P76" s="345" t="e">
        <f t="shared" ca="1" si="11"/>
        <v>#REF!</v>
      </c>
    </row>
    <row r="77" spans="1:16" ht="13">
      <c r="A77" s="58" t="s">
        <v>2751</v>
      </c>
      <c r="B77" s="345"/>
      <c r="C77" s="345"/>
      <c r="D77" s="345" t="e">
        <f>SUMIF(#REF!,$A77,#REF!)</f>
        <v>#REF!</v>
      </c>
      <c r="E77" s="342" t="str">
        <f t="shared" si="9"/>
        <v>OSD</v>
      </c>
      <c r="F77" s="207">
        <f>SUMIF(Interest_data!$B$12:$B$161,$A77,Interest_data!$D$12:$D$161)</f>
        <v>0</v>
      </c>
      <c r="G77" s="207">
        <f ca="1">SUMIF(Interest_data!$B$12:$B$161,$A77,Interest_data!$AA$12:$AA$160)</f>
        <v>0</v>
      </c>
      <c r="H77" s="207" t="e">
        <f t="shared" ca="1" si="10"/>
        <v>#REF!</v>
      </c>
      <c r="I77" s="207" t="e">
        <f t="shared" ca="1" si="8"/>
        <v>#REF!</v>
      </c>
      <c r="J77" s="207">
        <f>SUMIF(Historic_capex_list!$T$9:$T$586,$A77,Historic_capex_list!P$9:P$586)</f>
        <v>0</v>
      </c>
      <c r="K77" s="207">
        <f>SUMIF(Historic_capex_list!$T$9:$T$586,$A77,Historic_capex_list!Q$9:Q$586)</f>
        <v>0</v>
      </c>
      <c r="L77" s="207" t="e">
        <f t="shared" ca="1" si="6"/>
        <v>#REF!</v>
      </c>
      <c r="M77" s="207">
        <f t="shared" si="7"/>
        <v>0</v>
      </c>
      <c r="O77" s="345">
        <v>0</v>
      </c>
      <c r="P77" s="345" t="e">
        <f t="shared" ca="1" si="11"/>
        <v>#REF!</v>
      </c>
    </row>
    <row r="78" spans="1:16" ht="13">
      <c r="A78" s="58" t="s">
        <v>2752</v>
      </c>
      <c r="B78" s="345"/>
      <c r="C78" s="345"/>
      <c r="D78" s="345" t="e">
        <f>SUMIF(#REF!,$A78,#REF!)</f>
        <v>#REF!</v>
      </c>
      <c r="E78" s="342" t="str">
        <f t="shared" si="9"/>
        <v>OSD</v>
      </c>
      <c r="F78" s="207">
        <f>SUMIF(Interest_data!$B$12:$B$161,$A78,Interest_data!$D$12:$D$161)</f>
        <v>0</v>
      </c>
      <c r="G78" s="207">
        <f ca="1">SUMIF(Interest_data!$B$12:$B$161,$A78,Interest_data!$AA$12:$AA$160)</f>
        <v>0</v>
      </c>
      <c r="H78" s="207" t="e">
        <f t="shared" ca="1" si="10"/>
        <v>#REF!</v>
      </c>
      <c r="I78" s="207" t="e">
        <f t="shared" ca="1" si="8"/>
        <v>#REF!</v>
      </c>
      <c r="J78" s="207">
        <f>SUMIF(Historic_capex_list!$T$9:$T$586,$A78,Historic_capex_list!P$9:P$586)</f>
        <v>0</v>
      </c>
      <c r="K78" s="207">
        <f>SUMIF(Historic_capex_list!$T$9:$T$586,$A78,Historic_capex_list!Q$9:Q$586)</f>
        <v>0</v>
      </c>
      <c r="L78" s="207" t="e">
        <f t="shared" ref="L78:L109" ca="1" si="12">+J78+I78</f>
        <v>#REF!</v>
      </c>
      <c r="M78" s="207">
        <f t="shared" ref="M78:M109" si="13">+K78</f>
        <v>0</v>
      </c>
      <c r="O78" s="345">
        <v>0</v>
      </c>
      <c r="P78" s="345" t="e">
        <f t="shared" ca="1" si="11"/>
        <v>#REF!</v>
      </c>
    </row>
    <row r="79" spans="1:16" ht="13">
      <c r="A79" s="330" t="s">
        <v>2717</v>
      </c>
      <c r="B79" s="345"/>
      <c r="C79" s="345"/>
      <c r="D79" s="345" t="e">
        <f>SUMIF(#REF!,$A79,#REF!)</f>
        <v>#REF!</v>
      </c>
      <c r="E79" s="342" t="str">
        <f t="shared" si="9"/>
        <v>OSD</v>
      </c>
      <c r="F79" s="207">
        <f>SUMIF(Interest_data!$B$12:$B$161,$A79,Interest_data!$D$12:$D$161)</f>
        <v>0</v>
      </c>
      <c r="G79" s="207">
        <f ca="1">SUMIF(Interest_data!$B$12:$B$161,$A79,Interest_data!$AA$12:$AA$160)</f>
        <v>0</v>
      </c>
      <c r="H79" s="207" t="e">
        <f t="shared" ca="1" si="10"/>
        <v>#REF!</v>
      </c>
      <c r="I79" s="207" t="e">
        <f t="shared" ca="1" si="8"/>
        <v>#REF!</v>
      </c>
      <c r="J79" s="207">
        <f>SUMIF(Historic_capex_list!$T$9:$T$586,$A79,Historic_capex_list!P$9:P$586)</f>
        <v>0</v>
      </c>
      <c r="K79" s="207">
        <f>SUMIF(Historic_capex_list!$T$9:$T$586,$A79,Historic_capex_list!Q$9:Q$586)</f>
        <v>0</v>
      </c>
      <c r="L79" s="207" t="e">
        <f t="shared" ca="1" si="12"/>
        <v>#REF!</v>
      </c>
      <c r="M79" s="207">
        <f t="shared" si="13"/>
        <v>0</v>
      </c>
      <c r="O79" s="345">
        <v>-451.68717641695747</v>
      </c>
      <c r="P79" s="345" t="e">
        <f t="shared" ca="1" si="11"/>
        <v>#REF!</v>
      </c>
    </row>
    <row r="80" spans="1:16" ht="13">
      <c r="A80" s="58" t="s">
        <v>2753</v>
      </c>
      <c r="B80" s="345"/>
      <c r="C80" s="345"/>
      <c r="D80" s="345" t="e">
        <f>SUMIF(#REF!,$A80,#REF!)</f>
        <v>#REF!</v>
      </c>
      <c r="E80" s="342" t="str">
        <f t="shared" si="9"/>
        <v>OSD</v>
      </c>
      <c r="F80" s="207">
        <f>SUMIF(Interest_data!$B$12:$B$161,$A80,Interest_data!$D$12:$D$161)</f>
        <v>0</v>
      </c>
      <c r="G80" s="207">
        <f ca="1">SUMIF(Interest_data!$B$12:$B$161,$A80,Interest_data!$AA$12:$AA$160)</f>
        <v>0</v>
      </c>
      <c r="H80" s="207" t="e">
        <f t="shared" ca="1" si="10"/>
        <v>#REF!</v>
      </c>
      <c r="I80" s="207" t="e">
        <f t="shared" ca="1" si="8"/>
        <v>#REF!</v>
      </c>
      <c r="J80" s="207">
        <f>SUMIF(Historic_capex_list!$T$9:$T$586,$A80,Historic_capex_list!P$9:P$586)</f>
        <v>0</v>
      </c>
      <c r="K80" s="207">
        <f>SUMIF(Historic_capex_list!$T$9:$T$586,$A80,Historic_capex_list!Q$9:Q$586)</f>
        <v>0</v>
      </c>
      <c r="L80" s="207" t="e">
        <f t="shared" ca="1" si="12"/>
        <v>#REF!</v>
      </c>
      <c r="M80" s="207">
        <f t="shared" si="13"/>
        <v>0</v>
      </c>
      <c r="O80" s="345">
        <v>0</v>
      </c>
      <c r="P80" s="345" t="e">
        <f t="shared" ca="1" si="11"/>
        <v>#REF!</v>
      </c>
    </row>
    <row r="81" spans="1:16" ht="13">
      <c r="A81" s="58" t="s">
        <v>2754</v>
      </c>
      <c r="B81" s="345"/>
      <c r="C81" s="345"/>
      <c r="D81" s="345" t="e">
        <f>SUMIF(#REF!,$A81,#REF!)</f>
        <v>#REF!</v>
      </c>
      <c r="E81" s="342" t="str">
        <f t="shared" si="9"/>
        <v>OSD</v>
      </c>
      <c r="F81" s="207">
        <f>SUMIF(Interest_data!$B$12:$B$161,$A81,Interest_data!$D$12:$D$161)</f>
        <v>0</v>
      </c>
      <c r="G81" s="207">
        <f ca="1">SUMIF(Interest_data!$B$12:$B$161,$A81,Interest_data!$AA$12:$AA$160)</f>
        <v>0</v>
      </c>
      <c r="H81" s="207" t="e">
        <f t="shared" ca="1" si="10"/>
        <v>#REF!</v>
      </c>
      <c r="I81" s="207" t="e">
        <f t="shared" ca="1" si="8"/>
        <v>#REF!</v>
      </c>
      <c r="J81" s="207">
        <f>SUMIF(Historic_capex_list!$T$9:$T$586,$A81,Historic_capex_list!P$9:P$586)</f>
        <v>0</v>
      </c>
      <c r="K81" s="207">
        <f>SUMIF(Historic_capex_list!$T$9:$T$586,$A81,Historic_capex_list!Q$9:Q$586)</f>
        <v>0</v>
      </c>
      <c r="L81" s="207" t="e">
        <f t="shared" ca="1" si="12"/>
        <v>#REF!</v>
      </c>
      <c r="M81" s="207">
        <f t="shared" si="13"/>
        <v>0</v>
      </c>
      <c r="O81" s="345">
        <v>0</v>
      </c>
      <c r="P81" s="345" t="e">
        <f t="shared" ca="1" si="11"/>
        <v>#REF!</v>
      </c>
    </row>
    <row r="82" spans="1:16" ht="13">
      <c r="A82" s="58" t="s">
        <v>2755</v>
      </c>
      <c r="B82" s="345"/>
      <c r="C82" s="345"/>
      <c r="D82" s="345" t="e">
        <f>SUMIF(#REF!,$A82,#REF!)</f>
        <v>#REF!</v>
      </c>
      <c r="E82" s="342" t="str">
        <f t="shared" si="9"/>
        <v>OSD</v>
      </c>
      <c r="F82" s="207">
        <f>SUMIF(Interest_data!$B$12:$B$161,$A82,Interest_data!$D$12:$D$161)</f>
        <v>0</v>
      </c>
      <c r="G82" s="207">
        <f ca="1">SUMIF(Interest_data!$B$12:$B$161,$A82,Interest_data!$AA$12:$AA$160)</f>
        <v>0</v>
      </c>
      <c r="H82" s="207" t="e">
        <f t="shared" ca="1" si="10"/>
        <v>#REF!</v>
      </c>
      <c r="I82" s="207" t="e">
        <f t="shared" ca="1" si="8"/>
        <v>#REF!</v>
      </c>
      <c r="J82" s="207">
        <f>SUMIF(Historic_capex_list!$T$9:$T$586,$A82,Historic_capex_list!P$9:P$586)</f>
        <v>0</v>
      </c>
      <c r="K82" s="207">
        <f>SUMIF(Historic_capex_list!$T$9:$T$586,$A82,Historic_capex_list!Q$9:Q$586)</f>
        <v>0</v>
      </c>
      <c r="L82" s="207" t="e">
        <f t="shared" ca="1" si="12"/>
        <v>#REF!</v>
      </c>
      <c r="M82" s="207">
        <f t="shared" si="13"/>
        <v>0</v>
      </c>
      <c r="O82" s="345">
        <v>0</v>
      </c>
      <c r="P82" s="345" t="e">
        <f t="shared" ca="1" si="11"/>
        <v>#REF!</v>
      </c>
    </row>
    <row r="83" spans="1:16" ht="13">
      <c r="A83" s="58" t="s">
        <v>2756</v>
      </c>
      <c r="B83" s="345"/>
      <c r="C83" s="345"/>
      <c r="D83" s="345" t="e">
        <f>SUMIF(#REF!,$A83,#REF!)</f>
        <v>#REF!</v>
      </c>
      <c r="E83" s="342" t="str">
        <f t="shared" si="9"/>
        <v>OSD</v>
      </c>
      <c r="F83" s="207">
        <f>SUMIF(Interest_data!$B$12:$B$161,$A83,Interest_data!$D$12:$D$161)</f>
        <v>0</v>
      </c>
      <c r="G83" s="207">
        <f ca="1">SUMIF(Interest_data!$B$12:$B$161,$A83,Interest_data!$AA$12:$AA$160)</f>
        <v>0</v>
      </c>
      <c r="H83" s="207" t="e">
        <f t="shared" ca="1" si="10"/>
        <v>#REF!</v>
      </c>
      <c r="I83" s="207" t="e">
        <f t="shared" ca="1" si="8"/>
        <v>#REF!</v>
      </c>
      <c r="J83" s="207">
        <f>SUMIF(Historic_capex_list!$T$9:$T$586,$A83,Historic_capex_list!P$9:P$586)</f>
        <v>0</v>
      </c>
      <c r="K83" s="207">
        <f>SUMIF(Historic_capex_list!$T$9:$T$586,$A83,Historic_capex_list!Q$9:Q$586)</f>
        <v>0</v>
      </c>
      <c r="L83" s="207" t="e">
        <f t="shared" ca="1" si="12"/>
        <v>#REF!</v>
      </c>
      <c r="M83" s="207">
        <f t="shared" si="13"/>
        <v>0</v>
      </c>
      <c r="O83" s="345">
        <v>0</v>
      </c>
      <c r="P83" s="345" t="e">
        <f t="shared" ca="1" si="11"/>
        <v>#REF!</v>
      </c>
    </row>
    <row r="84" spans="1:16" ht="13">
      <c r="A84" s="58" t="s">
        <v>2718</v>
      </c>
      <c r="B84" s="345"/>
      <c r="C84" s="345"/>
      <c r="D84" s="345" t="e">
        <f>SUMIF(#REF!,$A84,#REF!)</f>
        <v>#REF!</v>
      </c>
      <c r="E84" s="342" t="str">
        <f t="shared" si="9"/>
        <v>OSD</v>
      </c>
      <c r="F84" s="207">
        <f>SUMIF(Interest_data!$B$12:$B$161,$A84,Interest_data!$D$12:$D$161)</f>
        <v>0</v>
      </c>
      <c r="G84" s="207">
        <f ca="1">SUMIF(Interest_data!$B$12:$B$161,$A84,Interest_data!$AA$12:$AA$160)</f>
        <v>0</v>
      </c>
      <c r="H84" s="207" t="e">
        <f t="shared" ca="1" si="10"/>
        <v>#REF!</v>
      </c>
      <c r="I84" s="207" t="e">
        <f t="shared" ca="1" si="8"/>
        <v>#REF!</v>
      </c>
      <c r="J84" s="207">
        <f>SUMIF(Historic_capex_list!$T$9:$T$586,$A84,Historic_capex_list!P$9:P$586)</f>
        <v>0</v>
      </c>
      <c r="K84" s="207">
        <f>SUMIF(Historic_capex_list!$T$9:$T$586,$A84,Historic_capex_list!Q$9:Q$586)</f>
        <v>0</v>
      </c>
      <c r="L84" s="207" t="e">
        <f t="shared" ca="1" si="12"/>
        <v>#REF!</v>
      </c>
      <c r="M84" s="207">
        <f t="shared" si="13"/>
        <v>0</v>
      </c>
      <c r="O84" s="345">
        <v>0</v>
      </c>
      <c r="P84" s="345" t="e">
        <f t="shared" ca="1" si="11"/>
        <v>#REF!</v>
      </c>
    </row>
    <row r="85" spans="1:16" ht="13">
      <c r="A85" s="58" t="s">
        <v>2719</v>
      </c>
      <c r="B85" s="345"/>
      <c r="C85" s="345"/>
      <c r="D85" s="345" t="e">
        <f>SUMIF(#REF!,$A85,#REF!)</f>
        <v>#REF!</v>
      </c>
      <c r="E85" s="342" t="str">
        <f t="shared" si="9"/>
        <v>OSD</v>
      </c>
      <c r="F85" s="207">
        <f>SUMIF(Interest_data!$B$12:$B$161,$A85,Interest_data!$D$12:$D$161)</f>
        <v>0</v>
      </c>
      <c r="G85" s="207">
        <f ca="1">SUMIF(Interest_data!$B$12:$B$161,$A85,Interest_data!$AA$12:$AA$160)</f>
        <v>0</v>
      </c>
      <c r="H85" s="207" t="e">
        <f t="shared" ca="1" si="10"/>
        <v>#REF!</v>
      </c>
      <c r="I85" s="207" t="e">
        <f t="shared" ca="1" si="8"/>
        <v>#REF!</v>
      </c>
      <c r="J85" s="207">
        <f>SUMIF(Historic_capex_list!$T$9:$T$586,$A85,Historic_capex_list!P$9:P$586)</f>
        <v>0</v>
      </c>
      <c r="K85" s="207">
        <f>SUMIF(Historic_capex_list!$T$9:$T$586,$A85,Historic_capex_list!Q$9:Q$586)</f>
        <v>0</v>
      </c>
      <c r="L85" s="207" t="e">
        <f t="shared" ca="1" si="12"/>
        <v>#REF!</v>
      </c>
      <c r="M85" s="207">
        <f t="shared" si="13"/>
        <v>0</v>
      </c>
      <c r="O85" s="345">
        <v>0</v>
      </c>
      <c r="P85" s="345" t="e">
        <f t="shared" ca="1" si="11"/>
        <v>#REF!</v>
      </c>
    </row>
    <row r="86" spans="1:16" ht="13">
      <c r="A86" s="58" t="s">
        <v>2720</v>
      </c>
      <c r="B86" s="345"/>
      <c r="C86" s="345"/>
      <c r="D86" s="345" t="e">
        <f>SUMIF(#REF!,$A86,#REF!)</f>
        <v>#REF!</v>
      </c>
      <c r="E86" s="342" t="str">
        <f t="shared" si="9"/>
        <v>OSD</v>
      </c>
      <c r="F86" s="207">
        <f>SUMIF(Interest_data!$B$12:$B$161,$A86,Interest_data!$D$12:$D$161)</f>
        <v>0</v>
      </c>
      <c r="G86" s="207">
        <f ca="1">SUMIF(Interest_data!$B$12:$B$161,$A86,Interest_data!$AA$12:$AA$160)</f>
        <v>0</v>
      </c>
      <c r="H86" s="207" t="e">
        <f t="shared" ca="1" si="10"/>
        <v>#REF!</v>
      </c>
      <c r="I86" s="207" t="e">
        <f t="shared" ca="1" si="8"/>
        <v>#REF!</v>
      </c>
      <c r="J86" s="207">
        <f>SUMIF(Historic_capex_list!$T$9:$T$586,$A86,Historic_capex_list!P$9:P$586)</f>
        <v>5804927.498029355</v>
      </c>
      <c r="K86" s="207">
        <f>SUMIF(Historic_capex_list!$T$9:$T$586,$A86,Historic_capex_list!Q$9:Q$586)</f>
        <v>2312262.5703116208</v>
      </c>
      <c r="L86" s="207" t="e">
        <f t="shared" ca="1" si="12"/>
        <v>#REF!</v>
      </c>
      <c r="M86" s="207">
        <f t="shared" si="13"/>
        <v>2312262.5703116208</v>
      </c>
      <c r="O86" s="345">
        <v>0</v>
      </c>
      <c r="P86" s="345" t="e">
        <f t="shared" ca="1" si="11"/>
        <v>#REF!</v>
      </c>
    </row>
    <row r="87" spans="1:16" ht="13">
      <c r="A87" s="58" t="s">
        <v>2721</v>
      </c>
      <c r="B87" s="345"/>
      <c r="C87" s="345"/>
      <c r="D87" s="345" t="e">
        <f>SUMIF(#REF!,$A87,#REF!)</f>
        <v>#REF!</v>
      </c>
      <c r="E87" s="342" t="str">
        <f t="shared" si="9"/>
        <v>OSD</v>
      </c>
      <c r="F87" s="207">
        <f>SUMIF(Interest_data!$B$12:$B$161,$A87,Interest_data!$D$12:$D$161)</f>
        <v>11359.199999999999</v>
      </c>
      <c r="G87" s="207">
        <f ca="1">SUMIF(Interest_data!$B$12:$B$161,$A87,Interest_data!$AA$12:$AA$160)</f>
        <v>438686</v>
      </c>
      <c r="H87" s="207" t="e">
        <f t="shared" ca="1" si="10"/>
        <v>#REF!</v>
      </c>
      <c r="I87" s="207" t="e">
        <f t="shared" ca="1" si="8"/>
        <v>#REF!</v>
      </c>
      <c r="J87" s="207">
        <f>SUMIF(Historic_capex_list!$T$9:$T$586,$A87,Historic_capex_list!P$9:P$586)</f>
        <v>0</v>
      </c>
      <c r="K87" s="207">
        <f>SUMIF(Historic_capex_list!$T$9:$T$586,$A87,Historic_capex_list!Q$9:Q$586)</f>
        <v>0</v>
      </c>
      <c r="L87" s="207" t="e">
        <f t="shared" ca="1" si="12"/>
        <v>#REF!</v>
      </c>
      <c r="M87" s="207">
        <f t="shared" si="13"/>
        <v>0</v>
      </c>
      <c r="O87" s="345">
        <v>450045.2</v>
      </c>
      <c r="P87" s="345" t="e">
        <f t="shared" ca="1" si="11"/>
        <v>#REF!</v>
      </c>
    </row>
    <row r="88" spans="1:16" ht="13">
      <c r="A88" s="58" t="s">
        <v>2722</v>
      </c>
      <c r="B88" s="345"/>
      <c r="C88" s="345"/>
      <c r="D88" s="345" t="e">
        <f>SUMIF(#REF!,$A88,#REF!)</f>
        <v>#REF!</v>
      </c>
      <c r="E88" s="342" t="str">
        <f t="shared" si="9"/>
        <v>OSD</v>
      </c>
      <c r="F88" s="207">
        <f>SUMIF(Interest_data!$B$12:$B$161,$A88,Interest_data!$D$12:$D$161)</f>
        <v>0</v>
      </c>
      <c r="G88" s="207">
        <f ca="1">SUMIF(Interest_data!$B$12:$B$161,$A88,Interest_data!$AA$12:$AA$160)</f>
        <v>0</v>
      </c>
      <c r="H88" s="207" t="e">
        <f t="shared" ca="1" si="10"/>
        <v>#REF!</v>
      </c>
      <c r="I88" s="207" t="e">
        <f t="shared" ca="1" si="8"/>
        <v>#REF!</v>
      </c>
      <c r="J88" s="207">
        <f>SUMIF(Historic_capex_list!$T$9:$T$586,$A88,Historic_capex_list!P$9:P$586)</f>
        <v>0</v>
      </c>
      <c r="K88" s="207">
        <f>SUMIF(Historic_capex_list!$T$9:$T$586,$A88,Historic_capex_list!Q$9:Q$586)</f>
        <v>0</v>
      </c>
      <c r="L88" s="207" t="e">
        <f t="shared" ca="1" si="12"/>
        <v>#REF!</v>
      </c>
      <c r="M88" s="207">
        <f t="shared" si="13"/>
        <v>0</v>
      </c>
      <c r="O88" s="345">
        <v>0</v>
      </c>
      <c r="P88" s="345" t="e">
        <f t="shared" ca="1" si="11"/>
        <v>#REF!</v>
      </c>
    </row>
    <row r="89" spans="1:16" ht="13">
      <c r="A89" s="331" t="s">
        <v>2629</v>
      </c>
      <c r="B89" s="345"/>
      <c r="C89" s="345"/>
      <c r="D89" s="345" t="e">
        <f>SUMIF(#REF!,$A89,#REF!)</f>
        <v>#REF!</v>
      </c>
      <c r="E89" s="342" t="str">
        <f t="shared" si="9"/>
        <v>OSL</v>
      </c>
      <c r="F89" s="207">
        <f>SUMIF(Interest_data!$B$12:$B$161,$A89,Interest_data!$D$12:$D$161)</f>
        <v>3072062.1</v>
      </c>
      <c r="G89" s="207">
        <f ca="1">SUMIF(Interest_data!$B$12:$B$161,$A89,Interest_data!$AA$12:$AA$160)</f>
        <v>9287383</v>
      </c>
      <c r="H89" s="207" t="e">
        <f t="shared" ca="1" si="10"/>
        <v>#REF!</v>
      </c>
      <c r="I89" s="207" t="e">
        <f t="shared" ca="1" si="8"/>
        <v>#REF!</v>
      </c>
      <c r="J89" s="207">
        <f>SUMIF(Historic_capex_list!$T$9:$T$586,$A89,Historic_capex_list!P$9:P$586)</f>
        <v>724412.60425713297</v>
      </c>
      <c r="K89" s="207">
        <f>SUMIF(Historic_capex_list!$T$9:$T$586,$A89,Historic_capex_list!Q$9:Q$586)</f>
        <v>1428127.7262988675</v>
      </c>
      <c r="L89" s="207" t="e">
        <f t="shared" ca="1" si="12"/>
        <v>#REF!</v>
      </c>
      <c r="M89" s="207">
        <f t="shared" si="13"/>
        <v>1428127.7262988675</v>
      </c>
      <c r="O89" s="345">
        <v>-85771384.13367784</v>
      </c>
      <c r="P89" s="345" t="e">
        <f t="shared" ca="1" si="11"/>
        <v>#REF!</v>
      </c>
    </row>
    <row r="90" spans="1:16" ht="13">
      <c r="A90" s="58" t="s">
        <v>2646</v>
      </c>
      <c r="B90" s="345"/>
      <c r="C90" s="345"/>
      <c r="D90" s="345" t="e">
        <f>SUMIF(#REF!,$A90,#REF!)</f>
        <v>#REF!</v>
      </c>
      <c r="E90" s="342" t="str">
        <f t="shared" si="9"/>
        <v>OSL</v>
      </c>
      <c r="F90" s="207">
        <f>SUMIF(Interest_data!$B$12:$B$161,$A90,Interest_data!$D$12:$D$161)</f>
        <v>0</v>
      </c>
      <c r="G90" s="207">
        <f ca="1">SUMIF(Interest_data!$B$12:$B$161,$A90,Interest_data!$AA$12:$AA$160)</f>
        <v>0</v>
      </c>
      <c r="H90" s="207" t="e">
        <f t="shared" ca="1" si="10"/>
        <v>#REF!</v>
      </c>
      <c r="I90" s="207" t="e">
        <f t="shared" ca="1" si="8"/>
        <v>#REF!</v>
      </c>
      <c r="J90" s="207">
        <f>SUMIF(Historic_capex_list!$T$9:$T$586,$A90,Historic_capex_list!P$9:P$586)</f>
        <v>-0.39899999687622767</v>
      </c>
      <c r="K90" s="207">
        <f>SUMIF(Historic_capex_list!$T$9:$T$586,$A90,Historic_capex_list!Q$9:Q$586)</f>
        <v>0</v>
      </c>
      <c r="L90" s="207" t="e">
        <f t="shared" ca="1" si="12"/>
        <v>#REF!</v>
      </c>
      <c r="M90" s="207">
        <f t="shared" si="13"/>
        <v>0</v>
      </c>
      <c r="O90" s="345">
        <v>0</v>
      </c>
      <c r="P90" s="345" t="e">
        <f t="shared" ca="1" si="11"/>
        <v>#REF!</v>
      </c>
    </row>
    <row r="91" spans="1:16" ht="13">
      <c r="A91" s="58" t="s">
        <v>2648</v>
      </c>
      <c r="B91" s="345"/>
      <c r="C91" s="345"/>
      <c r="D91" s="345" t="e">
        <f>SUMIF(#REF!,$A91,#REF!)</f>
        <v>#REF!</v>
      </c>
      <c r="E91" s="342" t="str">
        <f t="shared" si="9"/>
        <v>OSL</v>
      </c>
      <c r="F91" s="207">
        <f>SUMIF(Interest_data!$B$12:$B$161,$A91,Interest_data!$D$12:$D$161)</f>
        <v>0</v>
      </c>
      <c r="G91" s="207">
        <f ca="1">SUMIF(Interest_data!$B$12:$B$161,$A91,Interest_data!$AA$12:$AA$160)</f>
        <v>0</v>
      </c>
      <c r="H91" s="207" t="e">
        <f t="shared" ca="1" si="10"/>
        <v>#REF!</v>
      </c>
      <c r="I91" s="207" t="e">
        <f t="shared" ca="1" si="8"/>
        <v>#REF!</v>
      </c>
      <c r="J91" s="207">
        <f>SUMIF(Historic_capex_list!$T$9:$T$586,$A91,Historic_capex_list!P$9:P$586)</f>
        <v>0</v>
      </c>
      <c r="K91" s="207">
        <f>SUMIF(Historic_capex_list!$T$9:$T$586,$A91,Historic_capex_list!Q$9:Q$586)</f>
        <v>0</v>
      </c>
      <c r="L91" s="207" t="e">
        <f t="shared" ca="1" si="12"/>
        <v>#REF!</v>
      </c>
      <c r="M91" s="207">
        <f t="shared" si="13"/>
        <v>0</v>
      </c>
      <c r="O91" s="345">
        <v>0</v>
      </c>
      <c r="P91" s="345" t="e">
        <f t="shared" ca="1" si="11"/>
        <v>#REF!</v>
      </c>
    </row>
    <row r="92" spans="1:16" ht="13">
      <c r="A92" s="58" t="s">
        <v>2650</v>
      </c>
      <c r="B92" s="345"/>
      <c r="C92" s="345"/>
      <c r="D92" s="345" t="e">
        <f>SUMIF(#REF!,$A92,#REF!)</f>
        <v>#REF!</v>
      </c>
      <c r="E92" s="342" t="str">
        <f t="shared" si="9"/>
        <v>OSL</v>
      </c>
      <c r="F92" s="207">
        <f>SUMIF(Interest_data!$B$12:$B$161,$A92,Interest_data!$D$12:$D$161)</f>
        <v>0</v>
      </c>
      <c r="G92" s="207">
        <f ca="1">SUMIF(Interest_data!$B$12:$B$161,$A92,Interest_data!$AA$12:$AA$160)</f>
        <v>0</v>
      </c>
      <c r="H92" s="207" t="e">
        <f t="shared" ca="1" si="10"/>
        <v>#REF!</v>
      </c>
      <c r="I92" s="207" t="e">
        <f t="shared" ca="1" si="8"/>
        <v>#REF!</v>
      </c>
      <c r="J92" s="207">
        <f>SUMIF(Historic_capex_list!$T$9:$T$586,$A92,Historic_capex_list!P$9:P$586)</f>
        <v>0</v>
      </c>
      <c r="K92" s="207">
        <f>SUMIF(Historic_capex_list!$T$9:$T$586,$A92,Historic_capex_list!Q$9:Q$586)</f>
        <v>0</v>
      </c>
      <c r="L92" s="207" t="e">
        <f t="shared" ca="1" si="12"/>
        <v>#REF!</v>
      </c>
      <c r="M92" s="207">
        <f t="shared" si="13"/>
        <v>0</v>
      </c>
      <c r="O92" s="345">
        <v>0</v>
      </c>
      <c r="P92" s="345" t="e">
        <f t="shared" ca="1" si="11"/>
        <v>#REF!</v>
      </c>
    </row>
    <row r="93" spans="1:16" ht="13">
      <c r="A93" s="330" t="s">
        <v>2652</v>
      </c>
      <c r="B93" s="345"/>
      <c r="C93" s="345"/>
      <c r="D93" s="345" t="e">
        <f>SUMIF(#REF!,$A93,#REF!)</f>
        <v>#REF!</v>
      </c>
      <c r="E93" s="342" t="str">
        <f t="shared" si="9"/>
        <v>OSL</v>
      </c>
      <c r="F93" s="207">
        <f>SUMIF(Interest_data!$B$12:$B$161,$A93,Interest_data!$D$12:$D$161)</f>
        <v>0</v>
      </c>
      <c r="G93" s="207">
        <f ca="1">SUMIF(Interest_data!$B$12:$B$161,$A93,Interest_data!$AA$12:$AA$160)</f>
        <v>0</v>
      </c>
      <c r="H93" s="207" t="e">
        <f t="shared" ca="1" si="10"/>
        <v>#REF!</v>
      </c>
      <c r="I93" s="207" t="e">
        <f t="shared" ca="1" si="8"/>
        <v>#REF!</v>
      </c>
      <c r="J93" s="207">
        <f>SUMIF(Historic_capex_list!$T$9:$T$586,$A93,Historic_capex_list!P$9:P$586)</f>
        <v>0</v>
      </c>
      <c r="K93" s="207">
        <f>SUMIF(Historic_capex_list!$T$9:$T$586,$A93,Historic_capex_list!Q$9:Q$586)</f>
        <v>0</v>
      </c>
      <c r="L93" s="207" t="e">
        <f t="shared" ca="1" si="12"/>
        <v>#REF!</v>
      </c>
      <c r="M93" s="207">
        <f t="shared" si="13"/>
        <v>0</v>
      </c>
      <c r="O93" s="345">
        <v>-15395.014194338133</v>
      </c>
      <c r="P93" s="345" t="e">
        <f t="shared" ca="1" si="11"/>
        <v>#REF!</v>
      </c>
    </row>
    <row r="94" spans="1:16" ht="13">
      <c r="A94" s="58" t="s">
        <v>2654</v>
      </c>
      <c r="B94" s="345"/>
      <c r="C94" s="345"/>
      <c r="D94" s="345" t="e">
        <f>SUMIF(#REF!,$A94,#REF!)</f>
        <v>#REF!</v>
      </c>
      <c r="E94" s="342" t="str">
        <f t="shared" si="9"/>
        <v>OSL</v>
      </c>
      <c r="F94" s="207">
        <f>SUMIF(Interest_data!$B$12:$B$161,$A94,Interest_data!$D$12:$D$161)</f>
        <v>19214.399999999998</v>
      </c>
      <c r="G94" s="207">
        <f ca="1">SUMIF(Interest_data!$B$12:$B$161,$A94,Interest_data!$AA$12:$AA$160)</f>
        <v>292490</v>
      </c>
      <c r="H94" s="207" t="e">
        <f t="shared" ca="1" si="10"/>
        <v>#REF!</v>
      </c>
      <c r="I94" s="207" t="e">
        <f t="shared" ca="1" si="8"/>
        <v>#REF!</v>
      </c>
      <c r="J94" s="207">
        <f>SUMIF(Historic_capex_list!$T$9:$T$586,$A94,Historic_capex_list!P$9:P$586)</f>
        <v>0</v>
      </c>
      <c r="K94" s="207">
        <f>SUMIF(Historic_capex_list!$T$9:$T$586,$A94,Historic_capex_list!Q$9:Q$586)</f>
        <v>0</v>
      </c>
      <c r="L94" s="207" t="e">
        <f t="shared" ca="1" si="12"/>
        <v>#REF!</v>
      </c>
      <c r="M94" s="207">
        <f t="shared" si="13"/>
        <v>0</v>
      </c>
      <c r="O94" s="345">
        <v>189515.48092596041</v>
      </c>
      <c r="P94" s="345" t="e">
        <f t="shared" ca="1" si="11"/>
        <v>#REF!</v>
      </c>
    </row>
    <row r="95" spans="1:16" ht="13">
      <c r="A95" s="330" t="s">
        <v>2656</v>
      </c>
      <c r="B95" s="345"/>
      <c r="C95" s="345"/>
      <c r="D95" s="345" t="e">
        <f>SUMIF(#REF!,$A95,#REF!)</f>
        <v>#REF!</v>
      </c>
      <c r="E95" s="342" t="str">
        <f t="shared" si="9"/>
        <v>OSL</v>
      </c>
      <c r="F95" s="207">
        <f>SUMIF(Interest_data!$B$12:$B$161,$A95,Interest_data!$D$12:$D$161)</f>
        <v>17929.2</v>
      </c>
      <c r="G95" s="207">
        <f ca="1">SUMIF(Interest_data!$B$12:$B$161,$A95,Interest_data!$AA$12:$AA$160)</f>
        <v>15497</v>
      </c>
      <c r="H95" s="207" t="e">
        <f t="shared" ca="1" si="10"/>
        <v>#REF!</v>
      </c>
      <c r="I95" s="207" t="e">
        <f t="shared" ca="1" si="8"/>
        <v>#REF!</v>
      </c>
      <c r="J95" s="207">
        <f>SUMIF(Historic_capex_list!$T$9:$T$586,$A95,Historic_capex_list!P$9:P$586)</f>
        <v>0</v>
      </c>
      <c r="K95" s="207">
        <f>SUMIF(Historic_capex_list!$T$9:$T$586,$A95,Historic_capex_list!Q$9:Q$586)</f>
        <v>0</v>
      </c>
      <c r="L95" s="207" t="e">
        <f t="shared" ca="1" si="12"/>
        <v>#REF!</v>
      </c>
      <c r="M95" s="207">
        <f t="shared" si="13"/>
        <v>0</v>
      </c>
      <c r="O95" s="345">
        <v>-1913761.2161256333</v>
      </c>
      <c r="P95" s="345" t="e">
        <f t="shared" ca="1" si="11"/>
        <v>#REF!</v>
      </c>
    </row>
    <row r="96" spans="1:16" ht="13">
      <c r="A96" s="58" t="s">
        <v>2658</v>
      </c>
      <c r="B96" s="345"/>
      <c r="C96" s="345"/>
      <c r="D96" s="345" t="e">
        <f>SUMIF(#REF!,$A96,#REF!)</f>
        <v>#REF!</v>
      </c>
      <c r="E96" s="342" t="str">
        <f t="shared" si="9"/>
        <v>OSL</v>
      </c>
      <c r="F96" s="207">
        <f>SUMIF(Interest_data!$B$12:$B$161,$A96,Interest_data!$D$12:$D$161)</f>
        <v>276023.39999999997</v>
      </c>
      <c r="G96" s="207">
        <f ca="1">SUMIF(Interest_data!$B$12:$B$161,$A96,Interest_data!$AA$12:$AA$160)</f>
        <v>3841088</v>
      </c>
      <c r="H96" s="207" t="e">
        <f t="shared" ca="1" si="10"/>
        <v>#REF!</v>
      </c>
      <c r="I96" s="207" t="e">
        <f t="shared" ca="1" si="8"/>
        <v>#REF!</v>
      </c>
      <c r="J96" s="207">
        <f>SUMIF(Historic_capex_list!$T$9:$T$586,$A96,Historic_capex_list!P$9:P$586)</f>
        <v>26563212.082307369</v>
      </c>
      <c r="K96" s="207">
        <f>SUMIF(Historic_capex_list!$T$9:$T$586,$A96,Historic_capex_list!Q$9:Q$586)</f>
        <v>8531787.4746083058</v>
      </c>
      <c r="L96" s="207" t="e">
        <f t="shared" ca="1" si="12"/>
        <v>#REF!</v>
      </c>
      <c r="M96" s="207">
        <f t="shared" si="13"/>
        <v>8531787.4746083058</v>
      </c>
      <c r="O96" s="345">
        <v>-1342385.9655538867</v>
      </c>
      <c r="P96" s="345" t="e">
        <f t="shared" ca="1" si="11"/>
        <v>#REF!</v>
      </c>
    </row>
    <row r="97" spans="1:16" ht="13">
      <c r="A97" s="330" t="s">
        <v>2660</v>
      </c>
      <c r="B97" s="345"/>
      <c r="C97" s="345"/>
      <c r="D97" s="345" t="e">
        <f>SUMIF(#REF!,$A97,#REF!)</f>
        <v>#REF!</v>
      </c>
      <c r="E97" s="342" t="str">
        <f t="shared" si="9"/>
        <v>OSL</v>
      </c>
      <c r="F97" s="207">
        <f>SUMIF(Interest_data!$B$12:$B$161,$A97,Interest_data!$D$12:$D$161)</f>
        <v>11589.3</v>
      </c>
      <c r="G97" s="207">
        <f ca="1">SUMIF(Interest_data!$B$12:$B$161,$A97,Interest_data!$AA$12:$AA$160)</f>
        <v>172062</v>
      </c>
      <c r="H97" s="207" t="e">
        <f t="shared" ca="1" si="10"/>
        <v>#REF!</v>
      </c>
      <c r="I97" s="207" t="e">
        <f t="shared" ca="1" si="8"/>
        <v>#REF!</v>
      </c>
      <c r="J97" s="207">
        <f>SUMIF(Historic_capex_list!$T$9:$T$586,$A97,Historic_capex_list!P$9:P$586)</f>
        <v>0</v>
      </c>
      <c r="K97" s="207">
        <f>SUMIF(Historic_capex_list!$T$9:$T$586,$A97,Historic_capex_list!Q$9:Q$586)</f>
        <v>0</v>
      </c>
      <c r="L97" s="207" t="e">
        <f t="shared" ca="1" si="12"/>
        <v>#REF!</v>
      </c>
      <c r="M97" s="207">
        <f t="shared" si="13"/>
        <v>0</v>
      </c>
      <c r="O97" s="345">
        <v>-8761586.1402370818</v>
      </c>
      <c r="P97" s="345" t="e">
        <f t="shared" ca="1" si="11"/>
        <v>#REF!</v>
      </c>
    </row>
    <row r="98" spans="1:16" ht="13">
      <c r="A98" s="330" t="s">
        <v>2662</v>
      </c>
      <c r="B98" s="345"/>
      <c r="C98" s="345"/>
      <c r="D98" s="345" t="e">
        <f>SUMIF(#REF!,$A98,#REF!)</f>
        <v>#REF!</v>
      </c>
      <c r="E98" s="342" t="str">
        <f t="shared" si="9"/>
        <v>OSL</v>
      </c>
      <c r="F98" s="207">
        <f>SUMIF(Interest_data!$B$12:$B$161,$A98,Interest_data!$D$12:$D$161)</f>
        <v>148171.79999999999</v>
      </c>
      <c r="G98" s="207">
        <f ca="1">SUMIF(Interest_data!$B$12:$B$161,$A98,Interest_data!$AA$12:$AA$160)</f>
        <v>772511</v>
      </c>
      <c r="H98" s="207" t="e">
        <f t="shared" ca="1" si="10"/>
        <v>#REF!</v>
      </c>
      <c r="I98" s="207" t="e">
        <f t="shared" ca="1" si="8"/>
        <v>#REF!</v>
      </c>
      <c r="J98" s="207">
        <f>SUMIF(Historic_capex_list!$T$9:$T$586,$A98,Historic_capex_list!P$9:P$586)</f>
        <v>-1931877.6078314297</v>
      </c>
      <c r="K98" s="207">
        <f>SUMIF(Historic_capex_list!$T$9:$T$586,$A98,Historic_capex_list!Q$9:Q$586)</f>
        <v>0</v>
      </c>
      <c r="L98" s="207" t="e">
        <f t="shared" ca="1" si="12"/>
        <v>#REF!</v>
      </c>
      <c r="M98" s="207">
        <f t="shared" si="13"/>
        <v>0</v>
      </c>
      <c r="O98" s="345">
        <v>-16345490.996653847</v>
      </c>
      <c r="P98" s="345" t="e">
        <f t="shared" ca="1" si="11"/>
        <v>#REF!</v>
      </c>
    </row>
    <row r="99" spans="1:16" ht="13">
      <c r="A99" s="58" t="s">
        <v>2664</v>
      </c>
      <c r="B99" s="345"/>
      <c r="C99" s="345"/>
      <c r="D99" s="345" t="e">
        <f>SUMIF(#REF!,$A99,#REF!)</f>
        <v>#REF!</v>
      </c>
      <c r="E99" s="342" t="str">
        <f t="shared" si="9"/>
        <v>OSL</v>
      </c>
      <c r="F99" s="207">
        <f>SUMIF(Interest_data!$B$12:$B$161,$A99,Interest_data!$D$12:$D$161)</f>
        <v>41248.5</v>
      </c>
      <c r="G99" s="207">
        <f ca="1">SUMIF(Interest_data!$B$12:$B$161,$A99,Interest_data!$AA$12:$AA$160)</f>
        <v>609931</v>
      </c>
      <c r="H99" s="207" t="e">
        <f t="shared" ca="1" si="10"/>
        <v>#REF!</v>
      </c>
      <c r="I99" s="207" t="e">
        <f t="shared" ca="1" si="8"/>
        <v>#REF!</v>
      </c>
      <c r="J99" s="207">
        <f>SUMIF(Historic_capex_list!$T$9:$T$586,$A99,Historic_capex_list!P$9:P$586)</f>
        <v>3824444.4045398524</v>
      </c>
      <c r="K99" s="207">
        <f>SUMIF(Historic_capex_list!$T$9:$T$586,$A99,Historic_capex_list!Q$9:Q$586)</f>
        <v>0</v>
      </c>
      <c r="L99" s="207" t="e">
        <f t="shared" ca="1" si="12"/>
        <v>#REF!</v>
      </c>
      <c r="M99" s="207">
        <f t="shared" si="13"/>
        <v>0</v>
      </c>
      <c r="O99" s="345">
        <v>258593.68252935947</v>
      </c>
      <c r="P99" s="345" t="e">
        <f t="shared" ca="1" si="11"/>
        <v>#REF!</v>
      </c>
    </row>
    <row r="100" spans="1:16" ht="13">
      <c r="A100" s="330" t="s">
        <v>2631</v>
      </c>
      <c r="B100" s="345"/>
      <c r="C100" s="345"/>
      <c r="D100" s="345" t="e">
        <f>SUMIF(#REF!,$A100,#REF!)</f>
        <v>#REF!</v>
      </c>
      <c r="E100" s="342" t="str">
        <f t="shared" si="9"/>
        <v>OSL</v>
      </c>
      <c r="F100" s="207">
        <f>SUMIF(Interest_data!$B$12:$B$161,$A100,Interest_data!$D$12:$D$161)</f>
        <v>1076693.3999999999</v>
      </c>
      <c r="G100" s="207">
        <f ca="1">SUMIF(Interest_data!$B$12:$B$161,$A100,Interest_data!$AA$12:$AA$160)</f>
        <v>2621421</v>
      </c>
      <c r="H100" s="207" t="e">
        <f t="shared" ca="1" si="10"/>
        <v>#REF!</v>
      </c>
      <c r="I100" s="207" t="e">
        <f t="shared" ca="1" si="8"/>
        <v>#REF!</v>
      </c>
      <c r="J100" s="207">
        <f>SUMIF(Historic_capex_list!$T$9:$T$586,$A100,Historic_capex_list!P$9:P$586)</f>
        <v>0</v>
      </c>
      <c r="K100" s="207">
        <f>SUMIF(Historic_capex_list!$T$9:$T$586,$A100,Historic_capex_list!Q$9:Q$586)</f>
        <v>0</v>
      </c>
      <c r="L100" s="207" t="e">
        <f t="shared" ca="1" si="12"/>
        <v>#REF!</v>
      </c>
      <c r="M100" s="207">
        <f t="shared" si="13"/>
        <v>0</v>
      </c>
      <c r="O100" s="345">
        <v>-9612683.8913541231</v>
      </c>
      <c r="P100" s="345" t="e">
        <f t="shared" ca="1" si="11"/>
        <v>#REF!</v>
      </c>
    </row>
    <row r="101" spans="1:16" ht="13">
      <c r="A101" s="330" t="s">
        <v>2666</v>
      </c>
      <c r="B101" s="345"/>
      <c r="C101" s="345"/>
      <c r="D101" s="345" t="e">
        <f>SUMIF(#REF!,$A101,#REF!)</f>
        <v>#REF!</v>
      </c>
      <c r="E101" s="342" t="str">
        <f t="shared" si="9"/>
        <v>OSL</v>
      </c>
      <c r="F101" s="207">
        <f>SUMIF(Interest_data!$B$12:$B$161,$A101,Interest_data!$D$12:$D$161)</f>
        <v>0</v>
      </c>
      <c r="G101" s="207">
        <f ca="1">SUMIF(Interest_data!$B$12:$B$161,$A101,Interest_data!$AA$12:$AA$160)</f>
        <v>0</v>
      </c>
      <c r="H101" s="207" t="e">
        <f t="shared" ca="1" si="10"/>
        <v>#REF!</v>
      </c>
      <c r="I101" s="207" t="e">
        <f t="shared" ca="1" si="8"/>
        <v>#REF!</v>
      </c>
      <c r="J101" s="207">
        <f>SUMIF(Historic_capex_list!$T$9:$T$586,$A101,Historic_capex_list!P$9:P$586)</f>
        <v>0</v>
      </c>
      <c r="K101" s="207">
        <f>SUMIF(Historic_capex_list!$T$9:$T$586,$A101,Historic_capex_list!Q$9:Q$586)</f>
        <v>0</v>
      </c>
      <c r="L101" s="207" t="e">
        <f t="shared" ca="1" si="12"/>
        <v>#REF!</v>
      </c>
      <c r="M101" s="207">
        <f t="shared" si="13"/>
        <v>0</v>
      </c>
      <c r="O101" s="345">
        <v>-641311.68660713721</v>
      </c>
      <c r="P101" s="345" t="e">
        <f t="shared" ca="1" si="11"/>
        <v>#REF!</v>
      </c>
    </row>
    <row r="102" spans="1:16" ht="13">
      <c r="A102" s="58" t="s">
        <v>2668</v>
      </c>
      <c r="B102" s="345"/>
      <c r="C102" s="345"/>
      <c r="D102" s="345" t="e">
        <f>SUMIF(#REF!,$A102,#REF!)</f>
        <v>#REF!</v>
      </c>
      <c r="E102" s="342" t="str">
        <f t="shared" si="9"/>
        <v>OSL</v>
      </c>
      <c r="F102" s="207">
        <f>SUMIF(Interest_data!$B$12:$B$161,$A102,Interest_data!$D$12:$D$161)</f>
        <v>0</v>
      </c>
      <c r="G102" s="207">
        <f ca="1">SUMIF(Interest_data!$B$12:$B$161,$A102,Interest_data!$AA$12:$AA$160)</f>
        <v>0</v>
      </c>
      <c r="H102" s="207" t="e">
        <f t="shared" ca="1" si="10"/>
        <v>#REF!</v>
      </c>
      <c r="I102" s="207" t="e">
        <f t="shared" ca="1" si="8"/>
        <v>#REF!</v>
      </c>
      <c r="J102" s="207">
        <f>SUMIF(Historic_capex_list!$T$9:$T$586,$A102,Historic_capex_list!P$9:P$586)</f>
        <v>1277314.6481317473</v>
      </c>
      <c r="K102" s="207">
        <f>SUMIF(Historic_capex_list!$T$9:$T$586,$A102,Historic_capex_list!Q$9:Q$586)</f>
        <v>0</v>
      </c>
      <c r="L102" s="207" t="e">
        <f t="shared" ca="1" si="12"/>
        <v>#REF!</v>
      </c>
      <c r="M102" s="207">
        <f t="shared" si="13"/>
        <v>0</v>
      </c>
      <c r="O102" s="345">
        <v>-39746.444484934429</v>
      </c>
      <c r="P102" s="345" t="e">
        <f t="shared" ca="1" si="11"/>
        <v>#REF!</v>
      </c>
    </row>
    <row r="103" spans="1:16" ht="13">
      <c r="A103" s="330" t="s">
        <v>2670</v>
      </c>
      <c r="B103" s="345"/>
      <c r="C103" s="345"/>
      <c r="D103" s="345" t="e">
        <f>SUMIF(#REF!,$A103,#REF!)</f>
        <v>#REF!</v>
      </c>
      <c r="E103" s="342" t="str">
        <f t="shared" si="9"/>
        <v>OSL</v>
      </c>
      <c r="F103" s="207">
        <f>SUMIF(Interest_data!$B$12:$B$161,$A103,Interest_data!$D$12:$D$161)</f>
        <v>0</v>
      </c>
      <c r="G103" s="207">
        <f ca="1">SUMIF(Interest_data!$B$12:$B$161,$A103,Interest_data!$AA$12:$AA$160)</f>
        <v>0</v>
      </c>
      <c r="H103" s="207" t="e">
        <f t="shared" ca="1" si="10"/>
        <v>#REF!</v>
      </c>
      <c r="I103" s="207" t="e">
        <f t="shared" ca="1" si="8"/>
        <v>#REF!</v>
      </c>
      <c r="J103" s="207">
        <f>SUMIF(Historic_capex_list!$T$9:$T$586,$A103,Historic_capex_list!P$9:P$586)</f>
        <v>0</v>
      </c>
      <c r="K103" s="207">
        <f>SUMIF(Historic_capex_list!$T$9:$T$586,$A103,Historic_capex_list!Q$9:Q$586)</f>
        <v>0</v>
      </c>
      <c r="L103" s="207" t="e">
        <f t="shared" ca="1" si="12"/>
        <v>#REF!</v>
      </c>
      <c r="M103" s="207">
        <f t="shared" si="13"/>
        <v>0</v>
      </c>
      <c r="O103" s="345">
        <v>-53856.839898934057</v>
      </c>
      <c r="P103" s="345" t="e">
        <f t="shared" ca="1" si="11"/>
        <v>#REF!</v>
      </c>
    </row>
    <row r="104" spans="1:16" ht="13">
      <c r="A104" s="58" t="s">
        <v>2672</v>
      </c>
      <c r="B104" s="345"/>
      <c r="C104" s="345"/>
      <c r="D104" s="345" t="e">
        <f>SUMIF(#REF!,$A104,#REF!)</f>
        <v>#REF!</v>
      </c>
      <c r="E104" s="342" t="str">
        <f t="shared" si="9"/>
        <v>OSL</v>
      </c>
      <c r="F104" s="207">
        <f>SUMIF(Interest_data!$B$12:$B$161,$A104,Interest_data!$D$12:$D$161)</f>
        <v>0</v>
      </c>
      <c r="G104" s="207">
        <f ca="1">SUMIF(Interest_data!$B$12:$B$161,$A104,Interest_data!$AA$12:$AA$160)</f>
        <v>0</v>
      </c>
      <c r="H104" s="207" t="e">
        <f t="shared" ca="1" si="10"/>
        <v>#REF!</v>
      </c>
      <c r="I104" s="207" t="e">
        <f t="shared" ca="1" si="8"/>
        <v>#REF!</v>
      </c>
      <c r="J104" s="207">
        <f>SUMIF(Historic_capex_list!$T$9:$T$586,$A104,Historic_capex_list!P$9:P$586)</f>
        <v>0</v>
      </c>
      <c r="K104" s="207">
        <f>SUMIF(Historic_capex_list!$T$9:$T$586,$A104,Historic_capex_list!Q$9:Q$586)</f>
        <v>0</v>
      </c>
      <c r="L104" s="207" t="e">
        <f t="shared" ca="1" si="12"/>
        <v>#REF!</v>
      </c>
      <c r="M104" s="207">
        <f t="shared" si="13"/>
        <v>0</v>
      </c>
      <c r="O104" s="345">
        <v>0</v>
      </c>
      <c r="P104" s="345" t="e">
        <f t="shared" ca="1" si="11"/>
        <v>#REF!</v>
      </c>
    </row>
    <row r="105" spans="1:16" ht="13">
      <c r="A105" s="58" t="s">
        <v>2674</v>
      </c>
      <c r="B105" s="345"/>
      <c r="C105" s="345"/>
      <c r="D105" s="345" t="e">
        <f>SUMIF(#REF!,$A105,#REF!)</f>
        <v>#REF!</v>
      </c>
      <c r="E105" s="342" t="str">
        <f t="shared" si="9"/>
        <v>OSL</v>
      </c>
      <c r="F105" s="207">
        <f>SUMIF(Interest_data!$B$12:$B$161,$A105,Interest_data!$D$12:$D$161)</f>
        <v>0</v>
      </c>
      <c r="G105" s="207">
        <f ca="1">SUMIF(Interest_data!$B$12:$B$161,$A105,Interest_data!$AA$12:$AA$160)</f>
        <v>0</v>
      </c>
      <c r="H105" s="207" t="e">
        <f t="shared" ca="1" si="10"/>
        <v>#REF!</v>
      </c>
      <c r="I105" s="207" t="e">
        <f t="shared" ca="1" si="8"/>
        <v>#REF!</v>
      </c>
      <c r="J105" s="207">
        <f>SUMIF(Historic_capex_list!$T$9:$T$586,$A105,Historic_capex_list!P$9:P$586)</f>
        <v>0</v>
      </c>
      <c r="K105" s="207">
        <f>SUMIF(Historic_capex_list!$T$9:$T$586,$A105,Historic_capex_list!Q$9:Q$586)</f>
        <v>0</v>
      </c>
      <c r="L105" s="207" t="e">
        <f t="shared" ca="1" si="12"/>
        <v>#REF!</v>
      </c>
      <c r="M105" s="207">
        <f t="shared" si="13"/>
        <v>0</v>
      </c>
      <c r="O105" s="345">
        <v>0</v>
      </c>
      <c r="P105" s="345" t="e">
        <f t="shared" ca="1" si="11"/>
        <v>#REF!</v>
      </c>
    </row>
    <row r="106" spans="1:16" ht="13">
      <c r="A106" s="58" t="s">
        <v>2676</v>
      </c>
      <c r="B106" s="345"/>
      <c r="C106" s="345"/>
      <c r="D106" s="345" t="e">
        <f>SUMIF(#REF!,$A106,#REF!)</f>
        <v>#REF!</v>
      </c>
      <c r="E106" s="342" t="str">
        <f t="shared" si="9"/>
        <v>OSL</v>
      </c>
      <c r="F106" s="207">
        <f>SUMIF(Interest_data!$B$12:$B$161,$A106,Interest_data!$D$12:$D$161)</f>
        <v>0</v>
      </c>
      <c r="G106" s="207">
        <f ca="1">SUMIF(Interest_data!$B$12:$B$161,$A106,Interest_data!$AA$12:$AA$160)</f>
        <v>0</v>
      </c>
      <c r="H106" s="207" t="e">
        <f t="shared" ca="1" si="10"/>
        <v>#REF!</v>
      </c>
      <c r="I106" s="207" t="e">
        <f t="shared" ca="1" si="8"/>
        <v>#REF!</v>
      </c>
      <c r="J106" s="207">
        <f>SUMIF(Historic_capex_list!$T$9:$T$586,$A106,Historic_capex_list!P$9:P$586)</f>
        <v>0</v>
      </c>
      <c r="K106" s="207">
        <f>SUMIF(Historic_capex_list!$T$9:$T$586,$A106,Historic_capex_list!Q$9:Q$586)</f>
        <v>0</v>
      </c>
      <c r="L106" s="207" t="e">
        <f t="shared" ca="1" si="12"/>
        <v>#REF!</v>
      </c>
      <c r="M106" s="207">
        <f t="shared" si="13"/>
        <v>0</v>
      </c>
      <c r="O106" s="345">
        <v>0</v>
      </c>
      <c r="P106" s="345" t="e">
        <f t="shared" ca="1" si="11"/>
        <v>#REF!</v>
      </c>
    </row>
    <row r="107" spans="1:16" ht="13">
      <c r="A107" s="58" t="s">
        <v>2678</v>
      </c>
      <c r="B107" s="345"/>
      <c r="C107" s="345"/>
      <c r="D107" s="345" t="e">
        <f>SUMIF(#REF!,$A107,#REF!)</f>
        <v>#REF!</v>
      </c>
      <c r="E107" s="342" t="str">
        <f t="shared" si="9"/>
        <v>OSL</v>
      </c>
      <c r="F107" s="207">
        <f>SUMIF(Interest_data!$B$12:$B$161,$A107,Interest_data!$D$12:$D$161)</f>
        <v>0</v>
      </c>
      <c r="G107" s="207">
        <f ca="1">SUMIF(Interest_data!$B$12:$B$161,$A107,Interest_data!$AA$12:$AA$160)</f>
        <v>0</v>
      </c>
      <c r="H107" s="207" t="e">
        <f t="shared" ca="1" si="10"/>
        <v>#REF!</v>
      </c>
      <c r="I107" s="207" t="e">
        <f t="shared" ca="1" si="8"/>
        <v>#REF!</v>
      </c>
      <c r="J107" s="207">
        <f>SUMIF(Historic_capex_list!$T$9:$T$586,$A107,Historic_capex_list!P$9:P$586)</f>
        <v>0</v>
      </c>
      <c r="K107" s="207">
        <f>SUMIF(Historic_capex_list!$T$9:$T$586,$A107,Historic_capex_list!Q$9:Q$586)</f>
        <v>0</v>
      </c>
      <c r="L107" s="207" t="e">
        <f t="shared" ca="1" si="12"/>
        <v>#REF!</v>
      </c>
      <c r="M107" s="207">
        <f t="shared" si="13"/>
        <v>0</v>
      </c>
      <c r="O107" s="345">
        <v>0</v>
      </c>
      <c r="P107" s="345" t="e">
        <f t="shared" ca="1" si="11"/>
        <v>#REF!</v>
      </c>
    </row>
    <row r="108" spans="1:16" ht="13">
      <c r="A108" s="58" t="s">
        <v>2680</v>
      </c>
      <c r="B108" s="345"/>
      <c r="C108" s="345"/>
      <c r="D108" s="345" t="e">
        <f>SUMIF(#REF!,$A108,#REF!)</f>
        <v>#REF!</v>
      </c>
      <c r="E108" s="342" t="str">
        <f t="shared" si="9"/>
        <v>OSL</v>
      </c>
      <c r="F108" s="207">
        <f>SUMIF(Interest_data!$B$12:$B$161,$A108,Interest_data!$D$12:$D$161)</f>
        <v>0</v>
      </c>
      <c r="G108" s="207">
        <f ca="1">SUMIF(Interest_data!$B$12:$B$161,$A108,Interest_data!$AA$12:$AA$160)</f>
        <v>0</v>
      </c>
      <c r="H108" s="207" t="e">
        <f t="shared" ca="1" si="10"/>
        <v>#REF!</v>
      </c>
      <c r="I108" s="207" t="e">
        <f t="shared" ca="1" si="8"/>
        <v>#REF!</v>
      </c>
      <c r="J108" s="207">
        <f>SUMIF(Historic_capex_list!$T$9:$T$586,$A108,Historic_capex_list!P$9:P$586)</f>
        <v>0</v>
      </c>
      <c r="K108" s="207">
        <f>SUMIF(Historic_capex_list!$T$9:$T$586,$A108,Historic_capex_list!Q$9:Q$586)</f>
        <v>0</v>
      </c>
      <c r="L108" s="207" t="e">
        <f t="shared" ca="1" si="12"/>
        <v>#REF!</v>
      </c>
      <c r="M108" s="207">
        <f t="shared" si="13"/>
        <v>0</v>
      </c>
      <c r="O108" s="345">
        <v>0</v>
      </c>
      <c r="P108" s="345" t="e">
        <f t="shared" ca="1" si="11"/>
        <v>#REF!</v>
      </c>
    </row>
    <row r="109" spans="1:16" ht="13">
      <c r="A109" s="58" t="s">
        <v>2682</v>
      </c>
      <c r="B109" s="345"/>
      <c r="C109" s="345"/>
      <c r="D109" s="345" t="e">
        <f>SUMIF(#REF!,$A109,#REF!)</f>
        <v>#REF!</v>
      </c>
      <c r="E109" s="342" t="str">
        <f t="shared" si="9"/>
        <v>OSL</v>
      </c>
      <c r="F109" s="207">
        <f>SUMIF(Interest_data!$B$12:$B$161,$A109,Interest_data!$D$12:$D$161)</f>
        <v>0</v>
      </c>
      <c r="G109" s="207">
        <f ca="1">SUMIF(Interest_data!$B$12:$B$161,$A109,Interest_data!$AA$12:$AA$160)</f>
        <v>0</v>
      </c>
      <c r="H109" s="207" t="e">
        <f t="shared" ca="1" si="10"/>
        <v>#REF!</v>
      </c>
      <c r="I109" s="207" t="e">
        <f t="shared" ca="1" si="8"/>
        <v>#REF!</v>
      </c>
      <c r="J109" s="207">
        <f>SUMIF(Historic_capex_list!$T$9:$T$586,$A109,Historic_capex_list!P$9:P$586)</f>
        <v>0</v>
      </c>
      <c r="K109" s="207">
        <f>SUMIF(Historic_capex_list!$T$9:$T$586,$A109,Historic_capex_list!Q$9:Q$586)</f>
        <v>0</v>
      </c>
      <c r="L109" s="207" t="e">
        <f t="shared" ca="1" si="12"/>
        <v>#REF!</v>
      </c>
      <c r="M109" s="207">
        <f t="shared" si="13"/>
        <v>0</v>
      </c>
      <c r="O109" s="345">
        <v>0</v>
      </c>
      <c r="P109" s="345" t="e">
        <f t="shared" ca="1" si="11"/>
        <v>#REF!</v>
      </c>
    </row>
    <row r="110" spans="1:16" ht="13">
      <c r="A110" s="58" t="s">
        <v>2684</v>
      </c>
      <c r="B110" s="345"/>
      <c r="C110" s="345"/>
      <c r="D110" s="345" t="e">
        <f>SUMIF(#REF!,$A110,#REF!)</f>
        <v>#REF!</v>
      </c>
      <c r="E110" s="342" t="str">
        <f t="shared" si="9"/>
        <v>OSL</v>
      </c>
      <c r="F110" s="207">
        <f>SUMIF(Interest_data!$B$12:$B$161,$A110,Interest_data!$D$12:$D$161)</f>
        <v>0</v>
      </c>
      <c r="G110" s="207">
        <f ca="1">SUMIF(Interest_data!$B$12:$B$161,$A110,Interest_data!$AA$12:$AA$160)</f>
        <v>0</v>
      </c>
      <c r="H110" s="207" t="e">
        <f t="shared" ca="1" si="10"/>
        <v>#REF!</v>
      </c>
      <c r="I110" s="207" t="e">
        <f t="shared" ca="1" si="8"/>
        <v>#REF!</v>
      </c>
      <c r="J110" s="207">
        <f>SUMIF(Historic_capex_list!$T$9:$T$586,$A110,Historic_capex_list!P$9:P$586)</f>
        <v>0</v>
      </c>
      <c r="K110" s="207">
        <f>SUMIF(Historic_capex_list!$T$9:$T$586,$A110,Historic_capex_list!Q$9:Q$586)</f>
        <v>0</v>
      </c>
      <c r="L110" s="207" t="e">
        <f t="shared" ref="L110:L131" ca="1" si="14">+J110+I110</f>
        <v>#REF!</v>
      </c>
      <c r="M110" s="207">
        <f t="shared" ref="M110:M131" si="15">+K110</f>
        <v>0</v>
      </c>
      <c r="O110" s="345">
        <v>0</v>
      </c>
      <c r="P110" s="345" t="e">
        <f t="shared" ca="1" si="11"/>
        <v>#REF!</v>
      </c>
    </row>
    <row r="111" spans="1:16" ht="13">
      <c r="A111" s="58" t="s">
        <v>2633</v>
      </c>
      <c r="B111" s="345"/>
      <c r="C111" s="345"/>
      <c r="D111" s="345" t="e">
        <f>SUMIF(#REF!,$A111,#REF!)</f>
        <v>#REF!</v>
      </c>
      <c r="E111" s="342" t="str">
        <f t="shared" si="9"/>
        <v>OSL</v>
      </c>
      <c r="F111" s="207">
        <f>SUMIF(Interest_data!$B$12:$B$161,$A111,Interest_data!$D$12:$D$161)</f>
        <v>655803.6</v>
      </c>
      <c r="G111" s="207">
        <f ca="1">SUMIF(Interest_data!$B$12:$B$161,$A111,Interest_data!$AA$12:$AA$160)</f>
        <v>1241754</v>
      </c>
      <c r="H111" s="207" t="e">
        <f t="shared" ca="1" si="10"/>
        <v>#REF!</v>
      </c>
      <c r="I111" s="207" t="e">
        <f t="shared" ca="1" si="8"/>
        <v>#REF!</v>
      </c>
      <c r="J111" s="207">
        <f>SUMIF(Historic_capex_list!$T$9:$T$586,$A111,Historic_capex_list!P$9:P$586)</f>
        <v>10325503.691765213</v>
      </c>
      <c r="K111" s="207">
        <f>SUMIF(Historic_capex_list!$T$9:$T$586,$A111,Historic_capex_list!Q$9:Q$586)</f>
        <v>0</v>
      </c>
      <c r="L111" s="207" t="e">
        <f t="shared" ca="1" si="14"/>
        <v>#REF!</v>
      </c>
      <c r="M111" s="207">
        <f t="shared" si="15"/>
        <v>0</v>
      </c>
      <c r="O111" s="345">
        <v>-10714392.948234785</v>
      </c>
      <c r="P111" s="345" t="e">
        <f t="shared" ca="1" si="11"/>
        <v>#REF!</v>
      </c>
    </row>
    <row r="112" spans="1:16" ht="13">
      <c r="A112" s="58" t="s">
        <v>2686</v>
      </c>
      <c r="B112" s="345"/>
      <c r="C112" s="345"/>
      <c r="D112" s="345" t="e">
        <f>SUMIF(#REF!,$A112,#REF!)</f>
        <v>#REF!</v>
      </c>
      <c r="E112" s="342" t="str">
        <f t="shared" si="9"/>
        <v>OSL</v>
      </c>
      <c r="F112" s="207">
        <f>SUMIF(Interest_data!$B$12:$B$161,$A112,Interest_data!$D$12:$D$161)</f>
        <v>0</v>
      </c>
      <c r="G112" s="207">
        <f ca="1">SUMIF(Interest_data!$B$12:$B$161,$A112,Interest_data!$AA$12:$AA$160)</f>
        <v>0</v>
      </c>
      <c r="H112" s="207" t="e">
        <f t="shared" ca="1" si="10"/>
        <v>#REF!</v>
      </c>
      <c r="I112" s="207" t="e">
        <f t="shared" ca="1" si="8"/>
        <v>#REF!</v>
      </c>
      <c r="J112" s="207">
        <f>SUMIF(Historic_capex_list!$T$9:$T$586,$A112,Historic_capex_list!P$9:P$586)</f>
        <v>0</v>
      </c>
      <c r="K112" s="207">
        <f>SUMIF(Historic_capex_list!$T$9:$T$586,$A112,Historic_capex_list!Q$9:Q$586)</f>
        <v>0</v>
      </c>
      <c r="L112" s="207" t="e">
        <f t="shared" ca="1" si="14"/>
        <v>#REF!</v>
      </c>
      <c r="M112" s="207">
        <f t="shared" si="15"/>
        <v>0</v>
      </c>
      <c r="O112" s="345">
        <v>0</v>
      </c>
      <c r="P112" s="345" t="e">
        <f t="shared" ca="1" si="11"/>
        <v>#REF!</v>
      </c>
    </row>
    <row r="113" spans="1:16" ht="13">
      <c r="A113" s="58" t="s">
        <v>2688</v>
      </c>
      <c r="B113" s="345"/>
      <c r="C113" s="345"/>
      <c r="D113" s="345" t="e">
        <f>SUMIF(#REF!,$A113,#REF!)</f>
        <v>#REF!</v>
      </c>
      <c r="E113" s="342" t="str">
        <f t="shared" si="9"/>
        <v>OSL</v>
      </c>
      <c r="F113" s="207">
        <f>SUMIF(Interest_data!$B$12:$B$161,$A113,Interest_data!$D$12:$D$161)</f>
        <v>0</v>
      </c>
      <c r="G113" s="207">
        <f ca="1">SUMIF(Interest_data!$B$12:$B$161,$A113,Interest_data!$AA$12:$AA$160)</f>
        <v>0</v>
      </c>
      <c r="H113" s="207" t="e">
        <f t="shared" ca="1" si="10"/>
        <v>#REF!</v>
      </c>
      <c r="I113" s="207" t="e">
        <f t="shared" ca="1" si="8"/>
        <v>#REF!</v>
      </c>
      <c r="J113" s="207">
        <f>SUMIF(Historic_capex_list!$T$9:$T$586,$A113,Historic_capex_list!P$9:P$586)</f>
        <v>0</v>
      </c>
      <c r="K113" s="207">
        <f>SUMIF(Historic_capex_list!$T$9:$T$586,$A113,Historic_capex_list!Q$9:Q$586)</f>
        <v>0</v>
      </c>
      <c r="L113" s="207" t="e">
        <f t="shared" ca="1" si="14"/>
        <v>#REF!</v>
      </c>
      <c r="M113" s="207">
        <f t="shared" si="15"/>
        <v>0</v>
      </c>
      <c r="O113" s="345">
        <v>0</v>
      </c>
      <c r="P113" s="345" t="e">
        <f t="shared" ca="1" si="11"/>
        <v>#REF!</v>
      </c>
    </row>
    <row r="114" spans="1:16" ht="13">
      <c r="A114" s="58" t="s">
        <v>2690</v>
      </c>
      <c r="B114" s="345"/>
      <c r="C114" s="345"/>
      <c r="D114" s="345" t="e">
        <f>SUMIF(#REF!,$A114,#REF!)</f>
        <v>#REF!</v>
      </c>
      <c r="E114" s="342" t="str">
        <f t="shared" si="9"/>
        <v>OSL</v>
      </c>
      <c r="F114" s="207">
        <f>SUMIF(Interest_data!$B$12:$B$161,$A114,Interest_data!$D$12:$D$161)</f>
        <v>0</v>
      </c>
      <c r="G114" s="207">
        <f ca="1">SUMIF(Interest_data!$B$12:$B$161,$A114,Interest_data!$AA$12:$AA$160)</f>
        <v>0</v>
      </c>
      <c r="H114" s="207" t="e">
        <f t="shared" ca="1" si="10"/>
        <v>#REF!</v>
      </c>
      <c r="I114" s="207" t="e">
        <f t="shared" ca="1" si="8"/>
        <v>#REF!</v>
      </c>
      <c r="J114" s="207">
        <f>SUMIF(Historic_capex_list!$T$9:$T$586,$A114,Historic_capex_list!P$9:P$586)</f>
        <v>0</v>
      </c>
      <c r="K114" s="207">
        <f>SUMIF(Historic_capex_list!$T$9:$T$586,$A114,Historic_capex_list!Q$9:Q$586)</f>
        <v>0</v>
      </c>
      <c r="L114" s="207" t="e">
        <f t="shared" ca="1" si="14"/>
        <v>#REF!</v>
      </c>
      <c r="M114" s="207">
        <f t="shared" si="15"/>
        <v>0</v>
      </c>
      <c r="O114" s="345">
        <v>0</v>
      </c>
      <c r="P114" s="345" t="e">
        <f t="shared" ca="1" si="11"/>
        <v>#REF!</v>
      </c>
    </row>
    <row r="115" spans="1:16" ht="13">
      <c r="A115" s="58" t="s">
        <v>2692</v>
      </c>
      <c r="B115" s="345"/>
      <c r="C115" s="345"/>
      <c r="D115" s="345" t="e">
        <f>SUMIF(#REF!,$A115,#REF!)</f>
        <v>#REF!</v>
      </c>
      <c r="E115" s="342" t="str">
        <f t="shared" si="9"/>
        <v>OSL</v>
      </c>
      <c r="F115" s="207">
        <f>SUMIF(Interest_data!$B$12:$B$161,$A115,Interest_data!$D$12:$D$161)</f>
        <v>0</v>
      </c>
      <c r="G115" s="207">
        <f ca="1">SUMIF(Interest_data!$B$12:$B$161,$A115,Interest_data!$AA$12:$AA$160)</f>
        <v>0</v>
      </c>
      <c r="H115" s="207" t="e">
        <f t="shared" ca="1" si="10"/>
        <v>#REF!</v>
      </c>
      <c r="I115" s="207" t="e">
        <f t="shared" ca="1" si="8"/>
        <v>#REF!</v>
      </c>
      <c r="J115" s="207">
        <f>SUMIF(Historic_capex_list!$T$9:$T$586,$A115,Historic_capex_list!P$9:P$586)</f>
        <v>0</v>
      </c>
      <c r="K115" s="207">
        <f>SUMIF(Historic_capex_list!$T$9:$T$586,$A115,Historic_capex_list!Q$9:Q$586)</f>
        <v>0</v>
      </c>
      <c r="L115" s="207" t="e">
        <f t="shared" ca="1" si="14"/>
        <v>#REF!</v>
      </c>
      <c r="M115" s="207">
        <f t="shared" si="15"/>
        <v>0</v>
      </c>
      <c r="O115" s="345">
        <v>0</v>
      </c>
      <c r="P115" s="345" t="e">
        <f t="shared" ca="1" si="11"/>
        <v>#REF!</v>
      </c>
    </row>
    <row r="116" spans="1:16" ht="13">
      <c r="A116" s="58" t="s">
        <v>2694</v>
      </c>
      <c r="B116" s="345"/>
      <c r="C116" s="345"/>
      <c r="D116" s="345" t="e">
        <f>SUMIF(#REF!,$A116,#REF!)</f>
        <v>#REF!</v>
      </c>
      <c r="E116" s="342" t="str">
        <f t="shared" si="9"/>
        <v>OSL</v>
      </c>
      <c r="F116" s="207">
        <f>SUMIF(Interest_data!$B$12:$B$161,$A116,Interest_data!$D$12:$D$161)</f>
        <v>0</v>
      </c>
      <c r="G116" s="207">
        <f ca="1">SUMIF(Interest_data!$B$12:$B$161,$A116,Interest_data!$AA$12:$AA$160)</f>
        <v>0</v>
      </c>
      <c r="H116" s="207" t="e">
        <f t="shared" ca="1" si="10"/>
        <v>#REF!</v>
      </c>
      <c r="I116" s="207" t="e">
        <f t="shared" ca="1" si="8"/>
        <v>#REF!</v>
      </c>
      <c r="J116" s="207">
        <f>SUMIF(Historic_capex_list!$T$9:$T$586,$A116,Historic_capex_list!P$9:P$586)</f>
        <v>0</v>
      </c>
      <c r="K116" s="207">
        <f>SUMIF(Historic_capex_list!$T$9:$T$586,$A116,Historic_capex_list!Q$9:Q$586)</f>
        <v>0</v>
      </c>
      <c r="L116" s="207" t="e">
        <f t="shared" ca="1" si="14"/>
        <v>#REF!</v>
      </c>
      <c r="M116" s="207">
        <f t="shared" si="15"/>
        <v>0</v>
      </c>
      <c r="O116" s="345">
        <v>0</v>
      </c>
      <c r="P116" s="345" t="e">
        <f t="shared" ca="1" si="11"/>
        <v>#REF!</v>
      </c>
    </row>
    <row r="117" spans="1:16" ht="13">
      <c r="A117" s="58" t="s">
        <v>2696</v>
      </c>
      <c r="B117" s="345"/>
      <c r="C117" s="345"/>
      <c r="D117" s="345" t="e">
        <f>SUMIF(#REF!,$A117,#REF!)</f>
        <v>#REF!</v>
      </c>
      <c r="E117" s="342" t="str">
        <f t="shared" si="9"/>
        <v>OSL</v>
      </c>
      <c r="F117" s="207">
        <f>SUMIF(Interest_data!$B$12:$B$161,$A117,Interest_data!$D$12:$D$161)</f>
        <v>0</v>
      </c>
      <c r="G117" s="207">
        <f ca="1">SUMIF(Interest_data!$B$12:$B$161,$A117,Interest_data!$AA$12:$AA$160)</f>
        <v>0</v>
      </c>
      <c r="H117" s="207" t="e">
        <f t="shared" ca="1" si="10"/>
        <v>#REF!</v>
      </c>
      <c r="I117" s="207" t="e">
        <f t="shared" ca="1" si="8"/>
        <v>#REF!</v>
      </c>
      <c r="J117" s="207">
        <f>SUMIF(Historic_capex_list!$T$9:$T$586,$A117,Historic_capex_list!P$9:P$586)</f>
        <v>0</v>
      </c>
      <c r="K117" s="207">
        <f>SUMIF(Historic_capex_list!$T$9:$T$586,$A117,Historic_capex_list!Q$9:Q$586)</f>
        <v>0</v>
      </c>
      <c r="L117" s="207" t="e">
        <f t="shared" ca="1" si="14"/>
        <v>#REF!</v>
      </c>
      <c r="M117" s="207">
        <f t="shared" si="15"/>
        <v>0</v>
      </c>
      <c r="O117" s="345">
        <v>0</v>
      </c>
      <c r="P117" s="345" t="e">
        <f t="shared" ca="1" si="11"/>
        <v>#REF!</v>
      </c>
    </row>
    <row r="118" spans="1:16" ht="13">
      <c r="A118" s="58" t="s">
        <v>2698</v>
      </c>
      <c r="B118" s="345"/>
      <c r="C118" s="345"/>
      <c r="D118" s="345" t="e">
        <f>SUMIF(#REF!,$A118,#REF!)</f>
        <v>#REF!</v>
      </c>
      <c r="E118" s="342" t="str">
        <f t="shared" si="9"/>
        <v>OSL</v>
      </c>
      <c r="F118" s="207">
        <f>SUMIF(Interest_data!$B$12:$B$161,$A118,Interest_data!$D$12:$D$161)</f>
        <v>0</v>
      </c>
      <c r="G118" s="207">
        <f ca="1">SUMIF(Interest_data!$B$12:$B$161,$A118,Interest_data!$AA$12:$AA$160)</f>
        <v>0</v>
      </c>
      <c r="H118" s="207" t="e">
        <f t="shared" ca="1" si="10"/>
        <v>#REF!</v>
      </c>
      <c r="I118" s="207" t="e">
        <f t="shared" ca="1" si="8"/>
        <v>#REF!</v>
      </c>
      <c r="J118" s="207">
        <f>SUMIF(Historic_capex_list!$T$9:$T$586,$A118,Historic_capex_list!P$9:P$586)</f>
        <v>0</v>
      </c>
      <c r="K118" s="207">
        <f>SUMIF(Historic_capex_list!$T$9:$T$586,$A118,Historic_capex_list!Q$9:Q$586)</f>
        <v>0</v>
      </c>
      <c r="L118" s="207" t="e">
        <f t="shared" ca="1" si="14"/>
        <v>#REF!</v>
      </c>
      <c r="M118" s="207">
        <f t="shared" si="15"/>
        <v>0</v>
      </c>
      <c r="O118" s="345">
        <v>0</v>
      </c>
      <c r="P118" s="345" t="e">
        <f t="shared" ca="1" si="11"/>
        <v>#REF!</v>
      </c>
    </row>
    <row r="119" spans="1:16" ht="13">
      <c r="A119" s="58" t="s">
        <v>2700</v>
      </c>
      <c r="B119" s="345"/>
      <c r="C119" s="345"/>
      <c r="D119" s="345" t="e">
        <f>SUMIF(#REF!,$A119,#REF!)</f>
        <v>#REF!</v>
      </c>
      <c r="E119" s="342" t="str">
        <f t="shared" si="9"/>
        <v>OSL</v>
      </c>
      <c r="F119" s="207">
        <f>SUMIF(Interest_data!$B$12:$B$161,$A119,Interest_data!$D$12:$D$161)</f>
        <v>0</v>
      </c>
      <c r="G119" s="207">
        <f ca="1">SUMIF(Interest_data!$B$12:$B$161,$A119,Interest_data!$AA$12:$AA$160)</f>
        <v>0</v>
      </c>
      <c r="H119" s="207" t="e">
        <f t="shared" ca="1" si="10"/>
        <v>#REF!</v>
      </c>
      <c r="I119" s="207" t="e">
        <f t="shared" ca="1" si="8"/>
        <v>#REF!</v>
      </c>
      <c r="J119" s="207">
        <f>SUMIF(Historic_capex_list!$T$9:$T$586,$A119,Historic_capex_list!P$9:P$586)</f>
        <v>0</v>
      </c>
      <c r="K119" s="207">
        <f>SUMIF(Historic_capex_list!$T$9:$T$586,$A119,Historic_capex_list!Q$9:Q$586)</f>
        <v>0</v>
      </c>
      <c r="L119" s="207" t="e">
        <f t="shared" ca="1" si="14"/>
        <v>#REF!</v>
      </c>
      <c r="M119" s="207">
        <f t="shared" si="15"/>
        <v>0</v>
      </c>
      <c r="O119" s="345">
        <v>0</v>
      </c>
      <c r="P119" s="345" t="e">
        <f t="shared" ca="1" si="11"/>
        <v>#REF!</v>
      </c>
    </row>
    <row r="120" spans="1:16" ht="13">
      <c r="A120" s="58" t="s">
        <v>2702</v>
      </c>
      <c r="B120" s="345"/>
      <c r="C120" s="345"/>
      <c r="D120" s="345" t="e">
        <f>SUMIF(#REF!,$A120,#REF!)</f>
        <v>#REF!</v>
      </c>
      <c r="E120" s="342" t="str">
        <f t="shared" si="9"/>
        <v>OSL</v>
      </c>
      <c r="F120" s="207">
        <f>SUMIF(Interest_data!$B$12:$B$161,$A120,Interest_data!$D$12:$D$161)</f>
        <v>0</v>
      </c>
      <c r="G120" s="207">
        <f ca="1">SUMIF(Interest_data!$B$12:$B$161,$A120,Interest_data!$AA$12:$AA$160)</f>
        <v>0</v>
      </c>
      <c r="H120" s="207" t="e">
        <f t="shared" ca="1" si="10"/>
        <v>#REF!</v>
      </c>
      <c r="I120" s="207" t="e">
        <f t="shared" ca="1" si="8"/>
        <v>#REF!</v>
      </c>
      <c r="J120" s="207">
        <f>SUMIF(Historic_capex_list!$T$9:$T$586,$A120,Historic_capex_list!P$9:P$586)</f>
        <v>0</v>
      </c>
      <c r="K120" s="207">
        <f>SUMIF(Historic_capex_list!$T$9:$T$586,$A120,Historic_capex_list!Q$9:Q$586)</f>
        <v>0</v>
      </c>
      <c r="L120" s="207" t="e">
        <f t="shared" ca="1" si="14"/>
        <v>#REF!</v>
      </c>
      <c r="M120" s="207">
        <f t="shared" si="15"/>
        <v>0</v>
      </c>
      <c r="O120" s="345">
        <v>0</v>
      </c>
      <c r="P120" s="345" t="e">
        <f t="shared" ca="1" si="11"/>
        <v>#REF!</v>
      </c>
    </row>
    <row r="121" spans="1:16" ht="13">
      <c r="A121" s="58" t="s">
        <v>2704</v>
      </c>
      <c r="B121" s="345"/>
      <c r="C121" s="345"/>
      <c r="D121" s="345" t="e">
        <f>SUMIF(#REF!,$A121,#REF!)</f>
        <v>#REF!</v>
      </c>
      <c r="E121" s="342" t="str">
        <f t="shared" si="9"/>
        <v>OSL</v>
      </c>
      <c r="F121" s="207">
        <f>SUMIF(Interest_data!$B$12:$B$161,$A121,Interest_data!$D$12:$D$161)</f>
        <v>0</v>
      </c>
      <c r="G121" s="207">
        <f ca="1">SUMIF(Interest_data!$B$12:$B$161,$A121,Interest_data!$AA$12:$AA$160)</f>
        <v>0</v>
      </c>
      <c r="H121" s="207" t="e">
        <f t="shared" ca="1" si="10"/>
        <v>#REF!</v>
      </c>
      <c r="I121" s="207" t="e">
        <f t="shared" ca="1" si="8"/>
        <v>#REF!</v>
      </c>
      <c r="J121" s="207">
        <f>SUMIF(Historic_capex_list!$T$9:$T$586,$A121,Historic_capex_list!P$9:P$586)</f>
        <v>0</v>
      </c>
      <c r="K121" s="207">
        <f>SUMIF(Historic_capex_list!$T$9:$T$586,$A121,Historic_capex_list!Q$9:Q$586)</f>
        <v>0</v>
      </c>
      <c r="L121" s="207" t="e">
        <f t="shared" ca="1" si="14"/>
        <v>#REF!</v>
      </c>
      <c r="M121" s="207">
        <f t="shared" si="15"/>
        <v>0</v>
      </c>
      <c r="O121" s="345">
        <v>0</v>
      </c>
      <c r="P121" s="345" t="e">
        <f t="shared" ca="1" si="11"/>
        <v>#REF!</v>
      </c>
    </row>
    <row r="122" spans="1:16" ht="13">
      <c r="A122" s="330" t="s">
        <v>2634</v>
      </c>
      <c r="B122" s="345"/>
      <c r="C122" s="345"/>
      <c r="D122" s="345" t="e">
        <f>SUMIF(#REF!,$A122,#REF!)</f>
        <v>#REF!</v>
      </c>
      <c r="E122" s="342" t="str">
        <f t="shared" si="9"/>
        <v>OSL</v>
      </c>
      <c r="F122" s="207">
        <f>SUMIF(Interest_data!$B$12:$B$161,$A122,Interest_data!$D$12:$D$161)</f>
        <v>0</v>
      </c>
      <c r="G122" s="207">
        <f ca="1">SUMIF(Interest_data!$B$12:$B$161,$A122,Interest_data!$AA$12:$AA$160)</f>
        <v>0</v>
      </c>
      <c r="H122" s="207" t="e">
        <f t="shared" ca="1" si="10"/>
        <v>#REF!</v>
      </c>
      <c r="I122" s="207" t="e">
        <f t="shared" ca="1" si="8"/>
        <v>#REF!</v>
      </c>
      <c r="J122" s="207">
        <f>SUMIF(Historic_capex_list!$T$9:$T$586,$A122,Historic_capex_list!P$9:P$586)</f>
        <v>0</v>
      </c>
      <c r="K122" s="207">
        <f>SUMIF(Historic_capex_list!$T$9:$T$586,$A122,Historic_capex_list!Q$9:Q$586)</f>
        <v>0</v>
      </c>
      <c r="L122" s="207" t="e">
        <f t="shared" ca="1" si="14"/>
        <v>#REF!</v>
      </c>
      <c r="M122" s="207">
        <f t="shared" si="15"/>
        <v>0</v>
      </c>
      <c r="O122" s="345">
        <v>-2113.3081233012526</v>
      </c>
      <c r="P122" s="345" t="e">
        <f t="shared" ca="1" si="11"/>
        <v>#REF!</v>
      </c>
    </row>
    <row r="123" spans="1:16" ht="13">
      <c r="A123" s="58" t="s">
        <v>2706</v>
      </c>
      <c r="B123" s="345"/>
      <c r="C123" s="345"/>
      <c r="D123" s="345" t="e">
        <f>SUMIF(#REF!,$A123,#REF!)</f>
        <v>#REF!</v>
      </c>
      <c r="E123" s="342" t="str">
        <f t="shared" si="9"/>
        <v>OSL</v>
      </c>
      <c r="F123" s="207">
        <f>SUMIF(Interest_data!$B$12:$B$161,$A123,Interest_data!$D$12:$D$161)</f>
        <v>0</v>
      </c>
      <c r="G123" s="207">
        <f ca="1">SUMIF(Interest_data!$B$12:$B$161,$A123,Interest_data!$AA$12:$AA$160)</f>
        <v>0</v>
      </c>
      <c r="H123" s="207" t="e">
        <f t="shared" ca="1" si="10"/>
        <v>#REF!</v>
      </c>
      <c r="I123" s="207" t="e">
        <f t="shared" ca="1" si="8"/>
        <v>#REF!</v>
      </c>
      <c r="J123" s="207">
        <f>SUMIF(Historic_capex_list!$T$9:$T$586,$A123,Historic_capex_list!P$9:P$586)</f>
        <v>0</v>
      </c>
      <c r="K123" s="207">
        <f>SUMIF(Historic_capex_list!$T$9:$T$586,$A123,Historic_capex_list!Q$9:Q$586)</f>
        <v>0</v>
      </c>
      <c r="L123" s="207" t="e">
        <f t="shared" ca="1" si="14"/>
        <v>#REF!</v>
      </c>
      <c r="M123" s="207">
        <f t="shared" si="15"/>
        <v>0</v>
      </c>
      <c r="O123" s="345">
        <v>0</v>
      </c>
      <c r="P123" s="345" t="e">
        <f t="shared" ca="1" si="11"/>
        <v>#REF!</v>
      </c>
    </row>
    <row r="124" spans="1:16" ht="13">
      <c r="A124" s="58" t="s">
        <v>2708</v>
      </c>
      <c r="B124" s="345"/>
      <c r="C124" s="345"/>
      <c r="D124" s="345" t="e">
        <f>SUMIF(#REF!,$A124,#REF!)</f>
        <v>#REF!</v>
      </c>
      <c r="E124" s="342" t="str">
        <f t="shared" si="9"/>
        <v>OSL</v>
      </c>
      <c r="F124" s="207">
        <f>SUMIF(Interest_data!$B$12:$B$161,$A124,Interest_data!$D$12:$D$161)</f>
        <v>0</v>
      </c>
      <c r="G124" s="207">
        <f ca="1">SUMIF(Interest_data!$B$12:$B$161,$A124,Interest_data!$AA$12:$AA$160)</f>
        <v>0</v>
      </c>
      <c r="H124" s="207" t="e">
        <f t="shared" ca="1" si="10"/>
        <v>#REF!</v>
      </c>
      <c r="I124" s="207" t="e">
        <f t="shared" ca="1" si="8"/>
        <v>#REF!</v>
      </c>
      <c r="J124" s="207">
        <f>SUMIF(Historic_capex_list!$T$9:$T$586,$A124,Historic_capex_list!P$9:P$586)</f>
        <v>0</v>
      </c>
      <c r="K124" s="207">
        <f>SUMIF(Historic_capex_list!$T$9:$T$586,$A124,Historic_capex_list!Q$9:Q$586)</f>
        <v>0</v>
      </c>
      <c r="L124" s="207" t="e">
        <f t="shared" ca="1" si="14"/>
        <v>#REF!</v>
      </c>
      <c r="M124" s="207">
        <f t="shared" si="15"/>
        <v>0</v>
      </c>
      <c r="O124" s="345">
        <v>0</v>
      </c>
      <c r="P124" s="345" t="e">
        <f t="shared" ca="1" si="11"/>
        <v>#REF!</v>
      </c>
    </row>
    <row r="125" spans="1:16" ht="13">
      <c r="A125" s="58" t="s">
        <v>2710</v>
      </c>
      <c r="B125" s="345"/>
      <c r="C125" s="345"/>
      <c r="D125" s="345" t="e">
        <f>SUMIF(#REF!,$A125,#REF!)</f>
        <v>#REF!</v>
      </c>
      <c r="E125" s="342" t="str">
        <f t="shared" si="9"/>
        <v>OSL</v>
      </c>
      <c r="F125" s="207">
        <f>SUMIF(Interest_data!$B$12:$B$161,$A125,Interest_data!$D$12:$D$161)</f>
        <v>0</v>
      </c>
      <c r="G125" s="207">
        <f ca="1">SUMIF(Interest_data!$B$12:$B$161,$A125,Interest_data!$AA$12:$AA$160)</f>
        <v>0</v>
      </c>
      <c r="H125" s="207" t="e">
        <f t="shared" ca="1" si="10"/>
        <v>#REF!</v>
      </c>
      <c r="I125" s="207" t="e">
        <f t="shared" ca="1" si="8"/>
        <v>#REF!</v>
      </c>
      <c r="J125" s="207">
        <f>SUMIF(Historic_capex_list!$T$9:$T$586,$A125,Historic_capex_list!P$9:P$586)</f>
        <v>0</v>
      </c>
      <c r="K125" s="207">
        <f>SUMIF(Historic_capex_list!$T$9:$T$586,$A125,Historic_capex_list!Q$9:Q$586)</f>
        <v>0</v>
      </c>
      <c r="L125" s="207" t="e">
        <f t="shared" ca="1" si="14"/>
        <v>#REF!</v>
      </c>
      <c r="M125" s="207">
        <f t="shared" si="15"/>
        <v>0</v>
      </c>
      <c r="O125" s="345">
        <v>0</v>
      </c>
      <c r="P125" s="345" t="e">
        <f t="shared" ca="1" si="11"/>
        <v>#REF!</v>
      </c>
    </row>
    <row r="126" spans="1:16" ht="13">
      <c r="A126" s="58" t="s">
        <v>2712</v>
      </c>
      <c r="B126" s="345"/>
      <c r="C126" s="345"/>
      <c r="D126" s="345" t="e">
        <f>SUMIF(#REF!,$A126,#REF!)</f>
        <v>#REF!</v>
      </c>
      <c r="E126" s="342" t="str">
        <f t="shared" si="9"/>
        <v>OSL</v>
      </c>
      <c r="F126" s="207">
        <f>SUMIF(Interest_data!$B$12:$B$161,$A126,Interest_data!$D$12:$D$161)</f>
        <v>0</v>
      </c>
      <c r="G126" s="207">
        <f ca="1">SUMIF(Interest_data!$B$12:$B$161,$A126,Interest_data!$AA$12:$AA$160)</f>
        <v>0</v>
      </c>
      <c r="H126" s="207" t="e">
        <f t="shared" ca="1" si="10"/>
        <v>#REF!</v>
      </c>
      <c r="I126" s="207" t="e">
        <f t="shared" ca="1" si="8"/>
        <v>#REF!</v>
      </c>
      <c r="J126" s="207">
        <f>SUMIF(Historic_capex_list!$T$9:$T$586,$A126,Historic_capex_list!P$9:P$586)</f>
        <v>0</v>
      </c>
      <c r="K126" s="207">
        <f>SUMIF(Historic_capex_list!$T$9:$T$586,$A126,Historic_capex_list!Q$9:Q$586)</f>
        <v>0</v>
      </c>
      <c r="L126" s="207" t="e">
        <f t="shared" ca="1" si="14"/>
        <v>#REF!</v>
      </c>
      <c r="M126" s="207">
        <f t="shared" si="15"/>
        <v>0</v>
      </c>
      <c r="O126" s="345">
        <v>0</v>
      </c>
      <c r="P126" s="345" t="e">
        <f t="shared" ca="1" si="11"/>
        <v>#REF!</v>
      </c>
    </row>
    <row r="127" spans="1:16" ht="13">
      <c r="A127" s="330" t="s">
        <v>2636</v>
      </c>
      <c r="B127" s="345"/>
      <c r="C127" s="345"/>
      <c r="D127" s="345" t="e">
        <f>SUMIF(#REF!,$A127,#REF!)</f>
        <v>#REF!</v>
      </c>
      <c r="E127" s="342" t="str">
        <f t="shared" si="9"/>
        <v>OSL</v>
      </c>
      <c r="F127" s="207">
        <f>SUMIF(Interest_data!$B$12:$B$161,$A127,Interest_data!$D$12:$D$161)</f>
        <v>0</v>
      </c>
      <c r="G127" s="207">
        <f ca="1">SUMIF(Interest_data!$B$12:$B$161,$A127,Interest_data!$AA$12:$AA$160)</f>
        <v>0</v>
      </c>
      <c r="H127" s="207" t="e">
        <f t="shared" ca="1" si="10"/>
        <v>#REF!</v>
      </c>
      <c r="I127" s="207" t="e">
        <f t="shared" ca="1" si="8"/>
        <v>#REF!</v>
      </c>
      <c r="J127" s="207">
        <f>SUMIF(Historic_capex_list!$T$9:$T$586,$A127,Historic_capex_list!P$9:P$586)</f>
        <v>0</v>
      </c>
      <c r="K127" s="207">
        <f>SUMIF(Historic_capex_list!$T$9:$T$586,$A127,Historic_capex_list!Q$9:Q$586)</f>
        <v>0</v>
      </c>
      <c r="L127" s="207" t="e">
        <f t="shared" ca="1" si="14"/>
        <v>#REF!</v>
      </c>
      <c r="M127" s="207">
        <f t="shared" si="15"/>
        <v>0</v>
      </c>
      <c r="O127" s="345">
        <v>-1407357.5792600168</v>
      </c>
      <c r="P127" s="345" t="e">
        <f t="shared" ca="1" si="11"/>
        <v>#REF!</v>
      </c>
    </row>
    <row r="128" spans="1:16" ht="13">
      <c r="A128" s="58" t="s">
        <v>2638</v>
      </c>
      <c r="B128" s="345"/>
      <c r="C128" s="345"/>
      <c r="D128" s="345" t="e">
        <f>SUMIF(#REF!,$A128,#REF!)</f>
        <v>#REF!</v>
      </c>
      <c r="E128" s="342" t="str">
        <f t="shared" si="9"/>
        <v>OSL</v>
      </c>
      <c r="F128" s="207">
        <f>SUMIF(Interest_data!$B$12:$B$161,$A128,Interest_data!$D$12:$D$161)</f>
        <v>0</v>
      </c>
      <c r="G128" s="207">
        <f ca="1">SUMIF(Interest_data!$B$12:$B$161,$A128,Interest_data!$AA$12:$AA$160)</f>
        <v>0</v>
      </c>
      <c r="H128" s="207" t="e">
        <f t="shared" ca="1" si="10"/>
        <v>#REF!</v>
      </c>
      <c r="I128" s="207" t="e">
        <f t="shared" ca="1" si="8"/>
        <v>#REF!</v>
      </c>
      <c r="J128" s="207">
        <f>SUMIF(Historic_capex_list!$T$9:$T$586,$A128,Historic_capex_list!P$9:P$586)</f>
        <v>0</v>
      </c>
      <c r="K128" s="207">
        <f>SUMIF(Historic_capex_list!$T$9:$T$586,$A128,Historic_capex_list!Q$9:Q$586)</f>
        <v>0</v>
      </c>
      <c r="L128" s="207" t="e">
        <f t="shared" ca="1" si="14"/>
        <v>#REF!</v>
      </c>
      <c r="M128" s="207">
        <f t="shared" si="15"/>
        <v>0</v>
      </c>
      <c r="O128" s="345">
        <v>0</v>
      </c>
      <c r="P128" s="345" t="e">
        <f t="shared" ca="1" si="11"/>
        <v>#REF!</v>
      </c>
    </row>
    <row r="129" spans="1:16" ht="13">
      <c r="A129" s="58" t="s">
        <v>2640</v>
      </c>
      <c r="B129" s="345"/>
      <c r="C129" s="345"/>
      <c r="D129" s="345" t="e">
        <f>SUMIF(#REF!,$A129,#REF!)</f>
        <v>#REF!</v>
      </c>
      <c r="E129" s="342" t="str">
        <f t="shared" si="9"/>
        <v>OSL</v>
      </c>
      <c r="F129" s="207">
        <f>SUMIF(Interest_data!$B$12:$B$161,$A129,Interest_data!$D$12:$D$161)</f>
        <v>0</v>
      </c>
      <c r="G129" s="207">
        <f ca="1">SUMIF(Interest_data!$B$12:$B$161,$A129,Interest_data!$AA$12:$AA$160)</f>
        <v>0</v>
      </c>
      <c r="H129" s="207" t="e">
        <f t="shared" ca="1" si="10"/>
        <v>#REF!</v>
      </c>
      <c r="I129" s="207" t="e">
        <f t="shared" ca="1" si="8"/>
        <v>#REF!</v>
      </c>
      <c r="J129" s="207">
        <f>SUMIF(Historic_capex_list!$T$9:$T$586,$A129,Historic_capex_list!P$9:P$586)</f>
        <v>7981915.7473571096</v>
      </c>
      <c r="K129" s="207">
        <f>SUMIF(Historic_capex_list!$T$9:$T$586,$A129,Historic_capex_list!Q$9:Q$586)</f>
        <v>0</v>
      </c>
      <c r="L129" s="207" t="e">
        <f t="shared" ca="1" si="14"/>
        <v>#REF!</v>
      </c>
      <c r="M129" s="207">
        <f t="shared" si="15"/>
        <v>0</v>
      </c>
      <c r="O129" s="345">
        <v>-9549.4610516874964</v>
      </c>
      <c r="P129" s="345" t="e">
        <f t="shared" ca="1" si="11"/>
        <v>#REF!</v>
      </c>
    </row>
    <row r="130" spans="1:16" ht="13">
      <c r="A130" s="58" t="s">
        <v>2642</v>
      </c>
      <c r="B130" s="345"/>
      <c r="C130" s="345"/>
      <c r="D130" s="345" t="e">
        <f>SUMIF(#REF!,$A130,#REF!)</f>
        <v>#REF!</v>
      </c>
      <c r="E130" s="342" t="str">
        <f t="shared" si="9"/>
        <v>OSL</v>
      </c>
      <c r="F130" s="207">
        <f>SUMIF(Interest_data!$B$12:$B$161,$A130,Interest_data!$D$12:$D$161)</f>
        <v>0</v>
      </c>
      <c r="G130" s="207">
        <f ca="1">SUMIF(Interest_data!$B$12:$B$161,$A130,Interest_data!$AA$12:$AA$160)</f>
        <v>0</v>
      </c>
      <c r="H130" s="207" t="e">
        <f t="shared" ca="1" si="10"/>
        <v>#REF!</v>
      </c>
      <c r="I130" s="207" t="e">
        <f t="shared" ca="1" si="8"/>
        <v>#REF!</v>
      </c>
      <c r="J130" s="207">
        <f>SUMIF(Historic_capex_list!$T$9:$T$586,$A130,Historic_capex_list!P$9:P$586)</f>
        <v>13245346.442865649</v>
      </c>
      <c r="K130" s="207">
        <f>SUMIF(Historic_capex_list!$T$9:$T$586,$A130,Historic_capex_list!Q$9:Q$586)</f>
        <v>454404.74580645119</v>
      </c>
      <c r="L130" s="207" t="e">
        <f t="shared" ca="1" si="14"/>
        <v>#REF!</v>
      </c>
      <c r="M130" s="207">
        <f t="shared" si="15"/>
        <v>454404.74580645119</v>
      </c>
      <c r="O130" s="345">
        <v>0</v>
      </c>
      <c r="P130" s="345" t="e">
        <f t="shared" ca="1" si="11"/>
        <v>#REF!</v>
      </c>
    </row>
    <row r="131" spans="1:16" ht="13">
      <c r="A131" s="58" t="s">
        <v>2644</v>
      </c>
      <c r="B131" s="345"/>
      <c r="C131" s="345"/>
      <c r="D131" s="345" t="e">
        <f>SUMIF(#REF!,$A131,#REF!)</f>
        <v>#REF!</v>
      </c>
      <c r="E131" s="342" t="str">
        <f t="shared" si="9"/>
        <v>OSL</v>
      </c>
      <c r="F131" s="207">
        <f>SUMIF(Interest_data!$B$12:$B$161,$A131,Interest_data!$D$12:$D$161)</f>
        <v>0</v>
      </c>
      <c r="G131" s="207">
        <f ca="1">SUMIF(Interest_data!$B$12:$B$161,$A131,Interest_data!$AA$12:$AA$160)</f>
        <v>0</v>
      </c>
      <c r="H131" s="207" t="e">
        <f t="shared" ca="1" si="10"/>
        <v>#REF!</v>
      </c>
      <c r="I131" s="207" t="e">
        <f t="shared" ref="I131:I194" ca="1" si="16">+H131</f>
        <v>#REF!</v>
      </c>
      <c r="J131" s="207">
        <f>SUMIF(Historic_capex_list!$T$9:$T$586,$A131,Historic_capex_list!P$9:P$586)</f>
        <v>26967160.528256632</v>
      </c>
      <c r="K131" s="207">
        <f>SUMIF(Historic_capex_list!$T$9:$T$586,$A131,Historic_capex_list!Q$9:Q$586)</f>
        <v>898905.35094188701</v>
      </c>
      <c r="L131" s="207" t="e">
        <f t="shared" ca="1" si="14"/>
        <v>#REF!</v>
      </c>
      <c r="M131" s="207">
        <f t="shared" si="15"/>
        <v>898905.35094188701</v>
      </c>
      <c r="O131" s="345">
        <v>0</v>
      </c>
      <c r="P131" s="345" t="e">
        <f t="shared" ca="1" si="11"/>
        <v>#REF!</v>
      </c>
    </row>
    <row r="132" spans="1:16" ht="13">
      <c r="A132" s="58" t="s">
        <v>2810</v>
      </c>
      <c r="B132" s="345"/>
      <c r="C132" s="345"/>
      <c r="D132" s="345" t="e">
        <f>SUMIF(#REF!,$A132,#REF!)</f>
        <v>#REF!</v>
      </c>
      <c r="E132" s="342" t="str">
        <f t="shared" ref="E132:E195" si="17">LEFT(A132,3)</f>
        <v>PTR</v>
      </c>
      <c r="F132" s="207">
        <f>SUMIF(Interest_data!$B$12:$B$161,$A132,Interest_data!$D$12:$D$161)</f>
        <v>518314.19999999995</v>
      </c>
      <c r="G132" s="207">
        <f ca="1">SUMIF(Interest_data!$B$12:$B$161,$A132,Interest_data!$AA$12:$AA$160)</f>
        <v>2804869</v>
      </c>
      <c r="H132" s="207" t="e">
        <f t="shared" ref="H132:H195" ca="1" si="18">+G132+F132+D132</f>
        <v>#REF!</v>
      </c>
      <c r="I132" s="207" t="e">
        <f t="shared" ca="1" si="16"/>
        <v>#REF!</v>
      </c>
      <c r="J132" s="207">
        <f>SUMIF(Historic_capex_list!$T$9:$T$586,$A132,Historic_capex_list!P$9:P$586)</f>
        <v>22174439.876989812</v>
      </c>
      <c r="K132" s="207">
        <f>SUMIF(Historic_capex_list!$T$9:$T$586,$A132,Historic_capex_list!Q$9:Q$586)</f>
        <v>6334762.2325534867</v>
      </c>
      <c r="L132" s="207" t="e">
        <f ca="1">+J132+I132</f>
        <v>#REF!</v>
      </c>
      <c r="M132" s="207">
        <f t="shared" ref="M132:M195" si="19">+K132</f>
        <v>6334762.2325534867</v>
      </c>
      <c r="O132" s="345">
        <v>-15882008.779727582</v>
      </c>
      <c r="P132" s="345" t="e">
        <f t="shared" ref="P132:P195" ca="1" si="20">+O132-I132</f>
        <v>#REF!</v>
      </c>
    </row>
    <row r="133" spans="1:16" ht="13">
      <c r="A133" s="58" t="s">
        <v>2819</v>
      </c>
      <c r="B133" s="345"/>
      <c r="C133" s="345"/>
      <c r="D133" s="345" t="e">
        <f>SUMIF(#REF!,$A133,#REF!)</f>
        <v>#REF!</v>
      </c>
      <c r="E133" s="342" t="str">
        <f t="shared" si="17"/>
        <v>PTR</v>
      </c>
      <c r="F133" s="207">
        <f>SUMIF(Interest_data!$B$12:$B$161,$A133,Interest_data!$D$12:$D$161)</f>
        <v>0</v>
      </c>
      <c r="G133" s="207">
        <f ca="1">SUMIF(Interest_data!$B$12:$B$161,$A133,Interest_data!$AA$12:$AA$160)</f>
        <v>0</v>
      </c>
      <c r="H133" s="207" t="e">
        <f t="shared" ca="1" si="18"/>
        <v>#REF!</v>
      </c>
      <c r="I133" s="207" t="e">
        <f t="shared" ca="1" si="16"/>
        <v>#REF!</v>
      </c>
      <c r="J133" s="207">
        <f>SUMIF(Historic_capex_list!$T$9:$T$586,$A133,Historic_capex_list!P$9:P$586)</f>
        <v>0</v>
      </c>
      <c r="K133" s="207">
        <f>SUMIF(Historic_capex_list!$T$9:$T$586,$A133,Historic_capex_list!Q$9:Q$586)</f>
        <v>0</v>
      </c>
      <c r="L133" s="207" t="e">
        <f ca="1">+J133+H133</f>
        <v>#REF!</v>
      </c>
      <c r="M133" s="207">
        <f t="shared" si="19"/>
        <v>0</v>
      </c>
      <c r="O133" s="345">
        <v>0</v>
      </c>
      <c r="P133" s="345" t="e">
        <f t="shared" ca="1" si="20"/>
        <v>#REF!</v>
      </c>
    </row>
    <row r="134" spans="1:16" ht="13">
      <c r="A134" s="58" t="s">
        <v>2820</v>
      </c>
      <c r="B134" s="345"/>
      <c r="C134" s="345"/>
      <c r="D134" s="345" t="e">
        <f>SUMIF(#REF!,$A134,#REF!)</f>
        <v>#REF!</v>
      </c>
      <c r="E134" s="342" t="str">
        <f t="shared" si="17"/>
        <v>PTR</v>
      </c>
      <c r="F134" s="207">
        <f>SUMIF(Interest_data!$B$12:$B$161,$A134,Interest_data!$D$12:$D$161)</f>
        <v>0</v>
      </c>
      <c r="G134" s="207">
        <f ca="1">SUMIF(Interest_data!$B$12:$B$161,$A134,Interest_data!$AA$12:$AA$160)</f>
        <v>0</v>
      </c>
      <c r="H134" s="207" t="e">
        <f ca="1">+G134+F134+D134</f>
        <v>#REF!</v>
      </c>
      <c r="I134" s="207" t="e">
        <f t="shared" ca="1" si="16"/>
        <v>#REF!</v>
      </c>
      <c r="J134" s="207">
        <f>SUMIF(Historic_capex_list!$T$9:$T$586,$A134,Historic_capex_list!P$9:P$586)</f>
        <v>0</v>
      </c>
      <c r="K134" s="207">
        <f>SUMIF(Historic_capex_list!$T$9:$T$586,$A134,Historic_capex_list!Q$9:Q$586)</f>
        <v>0</v>
      </c>
      <c r="L134" s="207" t="e">
        <f t="shared" ref="L134:L197" ca="1" si="21">+J134+H134</f>
        <v>#REF!</v>
      </c>
      <c r="M134" s="207">
        <f t="shared" si="19"/>
        <v>0</v>
      </c>
      <c r="O134" s="345">
        <v>0</v>
      </c>
      <c r="P134" s="345" t="e">
        <f t="shared" ca="1" si="20"/>
        <v>#REF!</v>
      </c>
    </row>
    <row r="135" spans="1:16" ht="13">
      <c r="A135" s="58" t="s">
        <v>2821</v>
      </c>
      <c r="B135" s="345"/>
      <c r="C135" s="345"/>
      <c r="D135" s="345" t="e">
        <f>SUMIF(#REF!,$A135,#REF!)</f>
        <v>#REF!</v>
      </c>
      <c r="E135" s="342" t="str">
        <f t="shared" si="17"/>
        <v>PTR</v>
      </c>
      <c r="F135" s="207">
        <f>SUMIF(Interest_data!$B$12:$B$161,$A135,Interest_data!$D$12:$D$161)</f>
        <v>0</v>
      </c>
      <c r="G135" s="207">
        <f ca="1">SUMIF(Interest_data!$B$12:$B$161,$A135,Interest_data!$AA$12:$AA$160)</f>
        <v>0</v>
      </c>
      <c r="H135" s="207" t="e">
        <f t="shared" ca="1" si="18"/>
        <v>#REF!</v>
      </c>
      <c r="I135" s="207" t="e">
        <f t="shared" ca="1" si="16"/>
        <v>#REF!</v>
      </c>
      <c r="J135" s="207">
        <f>SUMIF(Historic_capex_list!$T$9:$T$586,$A135,Historic_capex_list!P$9:P$586)</f>
        <v>0</v>
      </c>
      <c r="K135" s="207">
        <f>SUMIF(Historic_capex_list!$T$9:$T$586,$A135,Historic_capex_list!Q$9:Q$586)</f>
        <v>0</v>
      </c>
      <c r="L135" s="207" t="e">
        <f t="shared" ca="1" si="21"/>
        <v>#REF!</v>
      </c>
      <c r="M135" s="207">
        <f t="shared" si="19"/>
        <v>0</v>
      </c>
      <c r="O135" s="345">
        <v>0</v>
      </c>
      <c r="P135" s="345" t="e">
        <f t="shared" ca="1" si="20"/>
        <v>#REF!</v>
      </c>
    </row>
    <row r="136" spans="1:16" ht="13">
      <c r="A136" s="58" t="s">
        <v>2822</v>
      </c>
      <c r="B136" s="345"/>
      <c r="C136" s="345"/>
      <c r="D136" s="345" t="e">
        <f>SUMIF(#REF!,$A136,#REF!)</f>
        <v>#REF!</v>
      </c>
      <c r="E136" s="342" t="str">
        <f t="shared" si="17"/>
        <v>PTR</v>
      </c>
      <c r="F136" s="207">
        <f>SUMIF(Interest_data!$B$12:$B$161,$A136,Interest_data!$D$12:$D$161)</f>
        <v>0</v>
      </c>
      <c r="G136" s="207">
        <f ca="1">SUMIF(Interest_data!$B$12:$B$161,$A136,Interest_data!$AA$12:$AA$160)</f>
        <v>0</v>
      </c>
      <c r="H136" s="207" t="e">
        <f t="shared" ca="1" si="18"/>
        <v>#REF!</v>
      </c>
      <c r="I136" s="207" t="e">
        <f t="shared" ca="1" si="16"/>
        <v>#REF!</v>
      </c>
      <c r="J136" s="207">
        <f>SUMIF(Historic_capex_list!$T$9:$T$586,$A136,Historic_capex_list!P$9:P$586)</f>
        <v>0</v>
      </c>
      <c r="K136" s="207">
        <f>SUMIF(Historic_capex_list!$T$9:$T$586,$A136,Historic_capex_list!Q$9:Q$586)</f>
        <v>0</v>
      </c>
      <c r="L136" s="207" t="e">
        <f t="shared" ca="1" si="21"/>
        <v>#REF!</v>
      </c>
      <c r="M136" s="207">
        <f t="shared" si="19"/>
        <v>0</v>
      </c>
      <c r="O136" s="345">
        <v>0</v>
      </c>
      <c r="P136" s="345" t="e">
        <f t="shared" ca="1" si="20"/>
        <v>#REF!</v>
      </c>
    </row>
    <row r="137" spans="1:16" ht="13">
      <c r="A137" s="58" t="s">
        <v>2823</v>
      </c>
      <c r="B137" s="345"/>
      <c r="C137" s="345"/>
      <c r="D137" s="345" t="e">
        <f>SUMIF(#REF!,$A137,#REF!)</f>
        <v>#REF!</v>
      </c>
      <c r="E137" s="342" t="str">
        <f t="shared" si="17"/>
        <v>PTR</v>
      </c>
      <c r="F137" s="207">
        <f>SUMIF(Interest_data!$B$12:$B$161,$A137,Interest_data!$D$12:$D$161)</f>
        <v>0</v>
      </c>
      <c r="G137" s="207">
        <f ca="1">SUMIF(Interest_data!$B$12:$B$161,$A137,Interest_data!$AA$12:$AA$160)</f>
        <v>0</v>
      </c>
      <c r="H137" s="207" t="e">
        <f t="shared" ca="1" si="18"/>
        <v>#REF!</v>
      </c>
      <c r="I137" s="207" t="e">
        <f t="shared" ca="1" si="16"/>
        <v>#REF!</v>
      </c>
      <c r="J137" s="207">
        <f>SUMIF(Historic_capex_list!$T$9:$T$586,$A137,Historic_capex_list!P$9:P$586)</f>
        <v>0</v>
      </c>
      <c r="K137" s="207">
        <f>SUMIF(Historic_capex_list!$T$9:$T$586,$A137,Historic_capex_list!Q$9:Q$586)</f>
        <v>0</v>
      </c>
      <c r="L137" s="207" t="e">
        <f t="shared" ca="1" si="21"/>
        <v>#REF!</v>
      </c>
      <c r="M137" s="207">
        <f t="shared" si="19"/>
        <v>0</v>
      </c>
      <c r="O137" s="345">
        <v>0</v>
      </c>
      <c r="P137" s="345" t="e">
        <f t="shared" ca="1" si="20"/>
        <v>#REF!</v>
      </c>
    </row>
    <row r="138" spans="1:16" ht="13">
      <c r="A138" s="58" t="s">
        <v>2824</v>
      </c>
      <c r="B138" s="345"/>
      <c r="C138" s="345"/>
      <c r="D138" s="345" t="e">
        <f>SUMIF(#REF!,$A138,#REF!)</f>
        <v>#REF!</v>
      </c>
      <c r="E138" s="342" t="str">
        <f t="shared" si="17"/>
        <v>PTR</v>
      </c>
      <c r="F138" s="207">
        <f>SUMIF(Interest_data!$B$12:$B$161,$A138,Interest_data!$D$12:$D$161)</f>
        <v>0</v>
      </c>
      <c r="G138" s="207">
        <f ca="1">SUMIF(Interest_data!$B$12:$B$161,$A138,Interest_data!$AA$12:$AA$160)</f>
        <v>0</v>
      </c>
      <c r="H138" s="207" t="e">
        <f t="shared" ca="1" si="18"/>
        <v>#REF!</v>
      </c>
      <c r="I138" s="207" t="e">
        <f t="shared" ca="1" si="16"/>
        <v>#REF!</v>
      </c>
      <c r="J138" s="207">
        <f>SUMIF(Historic_capex_list!$T$9:$T$586,$A138,Historic_capex_list!P$9:P$586)</f>
        <v>0</v>
      </c>
      <c r="K138" s="207">
        <f>SUMIF(Historic_capex_list!$T$9:$T$586,$A138,Historic_capex_list!Q$9:Q$586)</f>
        <v>0</v>
      </c>
      <c r="L138" s="207" t="e">
        <f t="shared" ca="1" si="21"/>
        <v>#REF!</v>
      </c>
      <c r="M138" s="207">
        <f t="shared" si="19"/>
        <v>0</v>
      </c>
      <c r="O138" s="345">
        <v>0</v>
      </c>
      <c r="P138" s="345" t="e">
        <f t="shared" ca="1" si="20"/>
        <v>#REF!</v>
      </c>
    </row>
    <row r="139" spans="1:16" ht="13">
      <c r="A139" s="58" t="s">
        <v>2825</v>
      </c>
      <c r="B139" s="345"/>
      <c r="C139" s="345"/>
      <c r="D139" s="345" t="e">
        <f>SUMIF(#REF!,$A139,#REF!)</f>
        <v>#REF!</v>
      </c>
      <c r="E139" s="342" t="str">
        <f t="shared" si="17"/>
        <v>PTR</v>
      </c>
      <c r="F139" s="207">
        <f>SUMIF(Interest_data!$B$12:$B$161,$A139,Interest_data!$D$12:$D$161)</f>
        <v>0</v>
      </c>
      <c r="G139" s="207">
        <f ca="1">SUMIF(Interest_data!$B$12:$B$161,$A139,Interest_data!$AA$12:$AA$160)</f>
        <v>0</v>
      </c>
      <c r="H139" s="207" t="e">
        <f t="shared" ca="1" si="18"/>
        <v>#REF!</v>
      </c>
      <c r="I139" s="207" t="e">
        <f t="shared" ca="1" si="16"/>
        <v>#REF!</v>
      </c>
      <c r="J139" s="207">
        <f>SUMIF(Historic_capex_list!$T$9:$T$586,$A139,Historic_capex_list!P$9:P$586)</f>
        <v>0</v>
      </c>
      <c r="K139" s="207">
        <f>SUMIF(Historic_capex_list!$T$9:$T$586,$A139,Historic_capex_list!Q$9:Q$586)</f>
        <v>0</v>
      </c>
      <c r="L139" s="207" t="e">
        <f t="shared" ca="1" si="21"/>
        <v>#REF!</v>
      </c>
      <c r="M139" s="207">
        <f t="shared" si="19"/>
        <v>0</v>
      </c>
      <c r="O139" s="345">
        <v>0</v>
      </c>
      <c r="P139" s="345" t="e">
        <f t="shared" ca="1" si="20"/>
        <v>#REF!</v>
      </c>
    </row>
    <row r="140" spans="1:16" ht="13">
      <c r="A140" s="58" t="s">
        <v>2826</v>
      </c>
      <c r="B140" s="345"/>
      <c r="C140" s="345"/>
      <c r="D140" s="345" t="e">
        <f>SUMIF(#REF!,$A140,#REF!)</f>
        <v>#REF!</v>
      </c>
      <c r="E140" s="342" t="str">
        <f t="shared" si="17"/>
        <v>PTR</v>
      </c>
      <c r="F140" s="207">
        <f>SUMIF(Interest_data!$B$12:$B$161,$A140,Interest_data!$D$12:$D$161)</f>
        <v>0</v>
      </c>
      <c r="G140" s="207">
        <f ca="1">SUMIF(Interest_data!$B$12:$B$161,$A140,Interest_data!$AA$12:$AA$160)</f>
        <v>0</v>
      </c>
      <c r="H140" s="207" t="e">
        <f t="shared" ca="1" si="18"/>
        <v>#REF!</v>
      </c>
      <c r="I140" s="207" t="e">
        <f t="shared" ca="1" si="16"/>
        <v>#REF!</v>
      </c>
      <c r="J140" s="207">
        <f>SUMIF(Historic_capex_list!$T$9:$T$586,$A140,Historic_capex_list!P$9:P$586)</f>
        <v>0</v>
      </c>
      <c r="K140" s="207">
        <f>SUMIF(Historic_capex_list!$T$9:$T$586,$A140,Historic_capex_list!Q$9:Q$586)</f>
        <v>0</v>
      </c>
      <c r="L140" s="207" t="e">
        <f t="shared" ca="1" si="21"/>
        <v>#REF!</v>
      </c>
      <c r="M140" s="207">
        <f t="shared" si="19"/>
        <v>0</v>
      </c>
      <c r="O140" s="345">
        <v>0</v>
      </c>
      <c r="P140" s="345" t="e">
        <f t="shared" ca="1" si="20"/>
        <v>#REF!</v>
      </c>
    </row>
    <row r="141" spans="1:16" ht="13">
      <c r="A141" s="58" t="s">
        <v>2827</v>
      </c>
      <c r="B141" s="345"/>
      <c r="C141" s="345"/>
      <c r="D141" s="345" t="e">
        <f>SUMIF(#REF!,$A141,#REF!)</f>
        <v>#REF!</v>
      </c>
      <c r="E141" s="342" t="str">
        <f t="shared" si="17"/>
        <v>PTR</v>
      </c>
      <c r="F141" s="207">
        <f>SUMIF(Interest_data!$B$12:$B$161,$A141,Interest_data!$D$12:$D$161)</f>
        <v>0</v>
      </c>
      <c r="G141" s="207">
        <f ca="1">SUMIF(Interest_data!$B$12:$B$161,$A141,Interest_data!$AA$12:$AA$160)</f>
        <v>0</v>
      </c>
      <c r="H141" s="207" t="e">
        <f t="shared" ca="1" si="18"/>
        <v>#REF!</v>
      </c>
      <c r="I141" s="207" t="e">
        <f t="shared" ca="1" si="16"/>
        <v>#REF!</v>
      </c>
      <c r="J141" s="207">
        <f>SUMIF(Historic_capex_list!$T$9:$T$586,$A141,Historic_capex_list!P$9:P$586)</f>
        <v>0</v>
      </c>
      <c r="K141" s="207">
        <f>SUMIF(Historic_capex_list!$T$9:$T$586,$A141,Historic_capex_list!Q$9:Q$586)</f>
        <v>0</v>
      </c>
      <c r="L141" s="207" t="e">
        <f t="shared" ca="1" si="21"/>
        <v>#REF!</v>
      </c>
      <c r="M141" s="207">
        <f t="shared" si="19"/>
        <v>0</v>
      </c>
      <c r="O141" s="345">
        <v>0</v>
      </c>
      <c r="P141" s="345" t="e">
        <f t="shared" ca="1" si="20"/>
        <v>#REF!</v>
      </c>
    </row>
    <row r="142" spans="1:16" ht="13">
      <c r="A142" s="58" t="s">
        <v>2828</v>
      </c>
      <c r="B142" s="345"/>
      <c r="C142" s="345"/>
      <c r="D142" s="345" t="e">
        <f>SUMIF(#REF!,$A142,#REF!)</f>
        <v>#REF!</v>
      </c>
      <c r="E142" s="342" t="str">
        <f t="shared" si="17"/>
        <v>PTR</v>
      </c>
      <c r="F142" s="207">
        <f>SUMIF(Interest_data!$B$12:$B$161,$A142,Interest_data!$D$12:$D$161)</f>
        <v>0</v>
      </c>
      <c r="G142" s="207">
        <f ca="1">SUMIF(Interest_data!$B$12:$B$161,$A142,Interest_data!$AA$12:$AA$160)</f>
        <v>0</v>
      </c>
      <c r="H142" s="207" t="e">
        <f t="shared" ca="1" si="18"/>
        <v>#REF!</v>
      </c>
      <c r="I142" s="207" t="e">
        <f t="shared" ca="1" si="16"/>
        <v>#REF!</v>
      </c>
      <c r="J142" s="207">
        <f>SUMIF(Historic_capex_list!$T$9:$T$586,$A142,Historic_capex_list!P$9:P$586)</f>
        <v>0</v>
      </c>
      <c r="K142" s="207">
        <f>SUMIF(Historic_capex_list!$T$9:$T$586,$A142,Historic_capex_list!Q$9:Q$586)</f>
        <v>0</v>
      </c>
      <c r="L142" s="207" t="e">
        <f t="shared" ca="1" si="21"/>
        <v>#REF!</v>
      </c>
      <c r="M142" s="207">
        <f t="shared" si="19"/>
        <v>0</v>
      </c>
      <c r="O142" s="345">
        <v>0</v>
      </c>
      <c r="P142" s="345" t="e">
        <f t="shared" ca="1" si="20"/>
        <v>#REF!</v>
      </c>
    </row>
    <row r="143" spans="1:16" ht="13">
      <c r="A143" s="58" t="s">
        <v>2811</v>
      </c>
      <c r="B143" s="345"/>
      <c r="C143" s="345"/>
      <c r="D143" s="345" t="e">
        <f>SUMIF(#REF!,$A143,#REF!)</f>
        <v>#REF!</v>
      </c>
      <c r="E143" s="342" t="str">
        <f t="shared" si="17"/>
        <v>PTR</v>
      </c>
      <c r="F143" s="207">
        <f>SUMIF(Interest_data!$B$12:$B$161,$A143,Interest_data!$D$12:$D$161)</f>
        <v>16912.8</v>
      </c>
      <c r="G143" s="207">
        <f ca="1">SUMIF(Interest_data!$B$12:$B$161,$A143,Interest_data!$AA$12:$AA$160)</f>
        <v>311202</v>
      </c>
      <c r="H143" s="207" t="e">
        <f t="shared" ca="1" si="18"/>
        <v>#REF!</v>
      </c>
      <c r="I143" s="207" t="e">
        <f t="shared" ca="1" si="16"/>
        <v>#REF!</v>
      </c>
      <c r="J143" s="207">
        <f>SUMIF(Historic_capex_list!$T$9:$T$586,$A143,Historic_capex_list!P$9:P$586)</f>
        <v>0</v>
      </c>
      <c r="K143" s="207">
        <f>SUMIF(Historic_capex_list!$T$9:$T$586,$A143,Historic_capex_list!Q$9:Q$586)</f>
        <v>0</v>
      </c>
      <c r="L143" s="207" t="e">
        <f t="shared" ca="1" si="21"/>
        <v>#REF!</v>
      </c>
      <c r="M143" s="207">
        <f t="shared" si="19"/>
        <v>0</v>
      </c>
      <c r="O143" s="345">
        <v>328114.8</v>
      </c>
      <c r="P143" s="345" t="e">
        <f t="shared" ca="1" si="20"/>
        <v>#REF!</v>
      </c>
    </row>
    <row r="144" spans="1:16" ht="13">
      <c r="A144" s="58" t="s">
        <v>2829</v>
      </c>
      <c r="B144" s="345"/>
      <c r="C144" s="345"/>
      <c r="D144" s="345" t="e">
        <f>SUMIF(#REF!,$A144,#REF!)</f>
        <v>#REF!</v>
      </c>
      <c r="E144" s="342" t="str">
        <f t="shared" si="17"/>
        <v>PTR</v>
      </c>
      <c r="F144" s="207">
        <f>SUMIF(Interest_data!$B$12:$B$161,$A144,Interest_data!$D$12:$D$161)</f>
        <v>0</v>
      </c>
      <c r="G144" s="207">
        <f ca="1">SUMIF(Interest_data!$B$12:$B$161,$A144,Interest_data!$AA$12:$AA$160)</f>
        <v>0</v>
      </c>
      <c r="H144" s="207" t="e">
        <f t="shared" ca="1" si="18"/>
        <v>#REF!</v>
      </c>
      <c r="I144" s="207" t="e">
        <f t="shared" ca="1" si="16"/>
        <v>#REF!</v>
      </c>
      <c r="J144" s="207">
        <f>SUMIF(Historic_capex_list!$T$9:$T$586,$A144,Historic_capex_list!P$9:P$586)</f>
        <v>0</v>
      </c>
      <c r="K144" s="207">
        <f>SUMIF(Historic_capex_list!$T$9:$T$586,$A144,Historic_capex_list!Q$9:Q$586)</f>
        <v>0</v>
      </c>
      <c r="L144" s="207" t="e">
        <f t="shared" ca="1" si="21"/>
        <v>#REF!</v>
      </c>
      <c r="M144" s="207">
        <f t="shared" si="19"/>
        <v>0</v>
      </c>
      <c r="O144" s="345">
        <v>0</v>
      </c>
      <c r="P144" s="345" t="e">
        <f t="shared" ca="1" si="20"/>
        <v>#REF!</v>
      </c>
    </row>
    <row r="145" spans="1:16" ht="13">
      <c r="A145" s="58" t="s">
        <v>2830</v>
      </c>
      <c r="B145" s="345"/>
      <c r="C145" s="345"/>
      <c r="D145" s="345" t="e">
        <f>SUMIF(#REF!,$A145,#REF!)</f>
        <v>#REF!</v>
      </c>
      <c r="E145" s="342" t="str">
        <f t="shared" si="17"/>
        <v>PTR</v>
      </c>
      <c r="F145" s="207">
        <f>SUMIF(Interest_data!$B$12:$B$161,$A145,Interest_data!$D$12:$D$161)</f>
        <v>0</v>
      </c>
      <c r="G145" s="207">
        <f ca="1">SUMIF(Interest_data!$B$12:$B$161,$A145,Interest_data!$AA$12:$AA$160)</f>
        <v>0</v>
      </c>
      <c r="H145" s="207" t="e">
        <f t="shared" ca="1" si="18"/>
        <v>#REF!</v>
      </c>
      <c r="I145" s="207" t="e">
        <f t="shared" ca="1" si="16"/>
        <v>#REF!</v>
      </c>
      <c r="J145" s="207">
        <f>SUMIF(Historic_capex_list!$T$9:$T$586,$A145,Historic_capex_list!P$9:P$586)</f>
        <v>0</v>
      </c>
      <c r="K145" s="207">
        <f>SUMIF(Historic_capex_list!$T$9:$T$586,$A145,Historic_capex_list!Q$9:Q$586)</f>
        <v>0</v>
      </c>
      <c r="L145" s="207" t="e">
        <f t="shared" ca="1" si="21"/>
        <v>#REF!</v>
      </c>
      <c r="M145" s="207">
        <f t="shared" si="19"/>
        <v>0</v>
      </c>
      <c r="O145" s="345">
        <v>0</v>
      </c>
      <c r="P145" s="345" t="e">
        <f t="shared" ca="1" si="20"/>
        <v>#REF!</v>
      </c>
    </row>
    <row r="146" spans="1:16" ht="13">
      <c r="A146" s="58" t="s">
        <v>2831</v>
      </c>
      <c r="B146" s="345"/>
      <c r="C146" s="345"/>
      <c r="D146" s="345" t="e">
        <f>SUMIF(#REF!,$A146,#REF!)</f>
        <v>#REF!</v>
      </c>
      <c r="E146" s="342" t="str">
        <f t="shared" si="17"/>
        <v>PTR</v>
      </c>
      <c r="F146" s="207">
        <f>SUMIF(Interest_data!$B$12:$B$161,$A146,Interest_data!$D$12:$D$161)</f>
        <v>0</v>
      </c>
      <c r="G146" s="207">
        <f ca="1">SUMIF(Interest_data!$B$12:$B$161,$A146,Interest_data!$AA$12:$AA$160)</f>
        <v>0</v>
      </c>
      <c r="H146" s="207" t="e">
        <f t="shared" ca="1" si="18"/>
        <v>#REF!</v>
      </c>
      <c r="I146" s="207" t="e">
        <f t="shared" ca="1" si="16"/>
        <v>#REF!</v>
      </c>
      <c r="J146" s="207">
        <f>SUMIF(Historic_capex_list!$T$9:$T$586,$A146,Historic_capex_list!P$9:P$586)</f>
        <v>0</v>
      </c>
      <c r="K146" s="207">
        <f>SUMIF(Historic_capex_list!$T$9:$T$586,$A146,Historic_capex_list!Q$9:Q$586)</f>
        <v>0</v>
      </c>
      <c r="L146" s="207" t="e">
        <f t="shared" ca="1" si="21"/>
        <v>#REF!</v>
      </c>
      <c r="M146" s="207">
        <f t="shared" si="19"/>
        <v>0</v>
      </c>
      <c r="O146" s="345">
        <v>0</v>
      </c>
      <c r="P146" s="345" t="e">
        <f t="shared" ca="1" si="20"/>
        <v>#REF!</v>
      </c>
    </row>
    <row r="147" spans="1:16" ht="13">
      <c r="A147" s="58" t="s">
        <v>2832</v>
      </c>
      <c r="B147" s="345"/>
      <c r="C147" s="345"/>
      <c r="D147" s="345" t="e">
        <f>SUMIF(#REF!,$A147,#REF!)</f>
        <v>#REF!</v>
      </c>
      <c r="E147" s="342" t="str">
        <f t="shared" si="17"/>
        <v>PTR</v>
      </c>
      <c r="F147" s="207">
        <f>SUMIF(Interest_data!$B$12:$B$161,$A147,Interest_data!$D$12:$D$161)</f>
        <v>0</v>
      </c>
      <c r="G147" s="207">
        <f ca="1">SUMIF(Interest_data!$B$12:$B$161,$A147,Interest_data!$AA$12:$AA$160)</f>
        <v>0</v>
      </c>
      <c r="H147" s="207" t="e">
        <f t="shared" ca="1" si="18"/>
        <v>#REF!</v>
      </c>
      <c r="I147" s="207" t="e">
        <f t="shared" ca="1" si="16"/>
        <v>#REF!</v>
      </c>
      <c r="J147" s="207">
        <f>SUMIF(Historic_capex_list!$T$9:$T$586,$A147,Historic_capex_list!P$9:P$586)</f>
        <v>0</v>
      </c>
      <c r="K147" s="207">
        <f>SUMIF(Historic_capex_list!$T$9:$T$586,$A147,Historic_capex_list!Q$9:Q$586)</f>
        <v>0</v>
      </c>
      <c r="L147" s="207" t="e">
        <f t="shared" ca="1" si="21"/>
        <v>#REF!</v>
      </c>
      <c r="M147" s="207">
        <f t="shared" si="19"/>
        <v>0</v>
      </c>
      <c r="O147" s="345">
        <v>0</v>
      </c>
      <c r="P147" s="345" t="e">
        <f t="shared" ca="1" si="20"/>
        <v>#REF!</v>
      </c>
    </row>
    <row r="148" spans="1:16" ht="13">
      <c r="A148" s="58" t="s">
        <v>2833</v>
      </c>
      <c r="B148" s="345"/>
      <c r="C148" s="345"/>
      <c r="D148" s="345" t="e">
        <f>SUMIF(#REF!,$A148,#REF!)</f>
        <v>#REF!</v>
      </c>
      <c r="E148" s="342" t="str">
        <f t="shared" si="17"/>
        <v>PTR</v>
      </c>
      <c r="F148" s="207">
        <f>SUMIF(Interest_data!$B$12:$B$161,$A148,Interest_data!$D$12:$D$161)</f>
        <v>0</v>
      </c>
      <c r="G148" s="207">
        <f ca="1">SUMIF(Interest_data!$B$12:$B$161,$A148,Interest_data!$AA$12:$AA$160)</f>
        <v>0</v>
      </c>
      <c r="H148" s="207" t="e">
        <f t="shared" ca="1" si="18"/>
        <v>#REF!</v>
      </c>
      <c r="I148" s="207" t="e">
        <f t="shared" ca="1" si="16"/>
        <v>#REF!</v>
      </c>
      <c r="J148" s="207">
        <f>SUMIF(Historic_capex_list!$T$9:$T$586,$A148,Historic_capex_list!P$9:P$586)</f>
        <v>0</v>
      </c>
      <c r="K148" s="207">
        <f>SUMIF(Historic_capex_list!$T$9:$T$586,$A148,Historic_capex_list!Q$9:Q$586)</f>
        <v>0</v>
      </c>
      <c r="L148" s="207" t="e">
        <f t="shared" ca="1" si="21"/>
        <v>#REF!</v>
      </c>
      <c r="M148" s="207">
        <f t="shared" si="19"/>
        <v>0</v>
      </c>
      <c r="O148" s="345">
        <v>0</v>
      </c>
      <c r="P148" s="345" t="e">
        <f t="shared" ca="1" si="20"/>
        <v>#REF!</v>
      </c>
    </row>
    <row r="149" spans="1:16" ht="13">
      <c r="A149" s="58" t="s">
        <v>2834</v>
      </c>
      <c r="B149" s="345"/>
      <c r="C149" s="345"/>
      <c r="D149" s="345" t="e">
        <f>SUMIF(#REF!,$A149,#REF!)</f>
        <v>#REF!</v>
      </c>
      <c r="E149" s="342" t="str">
        <f t="shared" si="17"/>
        <v>PTR</v>
      </c>
      <c r="F149" s="207">
        <f>SUMIF(Interest_data!$B$12:$B$161,$A149,Interest_data!$D$12:$D$161)</f>
        <v>0</v>
      </c>
      <c r="G149" s="207">
        <f ca="1">SUMIF(Interest_data!$B$12:$B$161,$A149,Interest_data!$AA$12:$AA$160)</f>
        <v>0</v>
      </c>
      <c r="H149" s="207" t="e">
        <f t="shared" ca="1" si="18"/>
        <v>#REF!</v>
      </c>
      <c r="I149" s="207" t="e">
        <f t="shared" ca="1" si="16"/>
        <v>#REF!</v>
      </c>
      <c r="J149" s="207">
        <f>SUMIF(Historic_capex_list!$T$9:$T$586,$A149,Historic_capex_list!P$9:P$586)</f>
        <v>0</v>
      </c>
      <c r="K149" s="207">
        <f>SUMIF(Historic_capex_list!$T$9:$T$586,$A149,Historic_capex_list!Q$9:Q$586)</f>
        <v>0</v>
      </c>
      <c r="L149" s="207" t="e">
        <f t="shared" ca="1" si="21"/>
        <v>#REF!</v>
      </c>
      <c r="M149" s="207">
        <f t="shared" si="19"/>
        <v>0</v>
      </c>
      <c r="O149" s="345">
        <v>0</v>
      </c>
      <c r="P149" s="345" t="e">
        <f t="shared" ca="1" si="20"/>
        <v>#REF!</v>
      </c>
    </row>
    <row r="150" spans="1:16" ht="13">
      <c r="A150" s="58" t="s">
        <v>2835</v>
      </c>
      <c r="B150" s="345"/>
      <c r="C150" s="345"/>
      <c r="D150" s="345" t="e">
        <f>SUMIF(#REF!,$A150,#REF!)</f>
        <v>#REF!</v>
      </c>
      <c r="E150" s="342" t="str">
        <f t="shared" si="17"/>
        <v>PTR</v>
      </c>
      <c r="F150" s="207">
        <f>SUMIF(Interest_data!$B$12:$B$161,$A150,Interest_data!$D$12:$D$161)</f>
        <v>0</v>
      </c>
      <c r="G150" s="207">
        <f ca="1">SUMIF(Interest_data!$B$12:$B$161,$A150,Interest_data!$AA$12:$AA$160)</f>
        <v>0</v>
      </c>
      <c r="H150" s="207" t="e">
        <f t="shared" ca="1" si="18"/>
        <v>#REF!</v>
      </c>
      <c r="I150" s="207" t="e">
        <f t="shared" ca="1" si="16"/>
        <v>#REF!</v>
      </c>
      <c r="J150" s="207">
        <f>SUMIF(Historic_capex_list!$T$9:$T$586,$A150,Historic_capex_list!P$9:P$586)</f>
        <v>0</v>
      </c>
      <c r="K150" s="207">
        <f>SUMIF(Historic_capex_list!$T$9:$T$586,$A150,Historic_capex_list!Q$9:Q$586)</f>
        <v>0</v>
      </c>
      <c r="L150" s="207" t="e">
        <f t="shared" ca="1" si="21"/>
        <v>#REF!</v>
      </c>
      <c r="M150" s="207">
        <f t="shared" si="19"/>
        <v>0</v>
      </c>
      <c r="O150" s="345">
        <v>0</v>
      </c>
      <c r="P150" s="345" t="e">
        <f t="shared" ca="1" si="20"/>
        <v>#REF!</v>
      </c>
    </row>
    <row r="151" spans="1:16" ht="13">
      <c r="A151" s="58" t="s">
        <v>2836</v>
      </c>
      <c r="B151" s="345"/>
      <c r="C151" s="345"/>
      <c r="D151" s="345" t="e">
        <f>SUMIF(#REF!,$A151,#REF!)</f>
        <v>#REF!</v>
      </c>
      <c r="E151" s="342" t="str">
        <f t="shared" si="17"/>
        <v>PTR</v>
      </c>
      <c r="F151" s="207">
        <f>SUMIF(Interest_data!$B$12:$B$161,$A151,Interest_data!$D$12:$D$161)</f>
        <v>0</v>
      </c>
      <c r="G151" s="207">
        <f ca="1">SUMIF(Interest_data!$B$12:$B$161,$A151,Interest_data!$AA$12:$AA$160)</f>
        <v>0</v>
      </c>
      <c r="H151" s="207" t="e">
        <f t="shared" ca="1" si="18"/>
        <v>#REF!</v>
      </c>
      <c r="I151" s="207" t="e">
        <f t="shared" ca="1" si="16"/>
        <v>#REF!</v>
      </c>
      <c r="J151" s="207">
        <f>SUMIF(Historic_capex_list!$T$9:$T$586,$A151,Historic_capex_list!P$9:P$586)</f>
        <v>0</v>
      </c>
      <c r="K151" s="207">
        <f>SUMIF(Historic_capex_list!$T$9:$T$586,$A151,Historic_capex_list!Q$9:Q$586)</f>
        <v>0</v>
      </c>
      <c r="L151" s="207" t="e">
        <f t="shared" ca="1" si="21"/>
        <v>#REF!</v>
      </c>
      <c r="M151" s="207">
        <f t="shared" si="19"/>
        <v>0</v>
      </c>
      <c r="O151" s="345">
        <v>0</v>
      </c>
      <c r="P151" s="345" t="e">
        <f t="shared" ca="1" si="20"/>
        <v>#REF!</v>
      </c>
    </row>
    <row r="152" spans="1:16" ht="13">
      <c r="A152" s="58" t="s">
        <v>2837</v>
      </c>
      <c r="B152" s="345"/>
      <c r="C152" s="345"/>
      <c r="D152" s="345" t="e">
        <f>SUMIF(#REF!,$A152,#REF!)</f>
        <v>#REF!</v>
      </c>
      <c r="E152" s="342" t="str">
        <f t="shared" si="17"/>
        <v>PTR</v>
      </c>
      <c r="F152" s="207">
        <f>SUMIF(Interest_data!$B$12:$B$161,$A152,Interest_data!$D$12:$D$161)</f>
        <v>0</v>
      </c>
      <c r="G152" s="207">
        <f ca="1">SUMIF(Interest_data!$B$12:$B$161,$A152,Interest_data!$AA$12:$AA$160)</f>
        <v>0</v>
      </c>
      <c r="H152" s="207" t="e">
        <f t="shared" ca="1" si="18"/>
        <v>#REF!</v>
      </c>
      <c r="I152" s="207" t="e">
        <f t="shared" ca="1" si="16"/>
        <v>#REF!</v>
      </c>
      <c r="J152" s="207">
        <f>SUMIF(Historic_capex_list!$T$9:$T$586,$A152,Historic_capex_list!P$9:P$586)</f>
        <v>0</v>
      </c>
      <c r="K152" s="207">
        <f>SUMIF(Historic_capex_list!$T$9:$T$586,$A152,Historic_capex_list!Q$9:Q$586)</f>
        <v>0</v>
      </c>
      <c r="L152" s="207" t="e">
        <f t="shared" ca="1" si="21"/>
        <v>#REF!</v>
      </c>
      <c r="M152" s="207">
        <f t="shared" si="19"/>
        <v>0</v>
      </c>
      <c r="O152" s="345">
        <v>0</v>
      </c>
      <c r="P152" s="345" t="e">
        <f t="shared" ca="1" si="20"/>
        <v>#REF!</v>
      </c>
    </row>
    <row r="153" spans="1:16" ht="13">
      <c r="A153" s="58" t="s">
        <v>2838</v>
      </c>
      <c r="B153" s="345"/>
      <c r="C153" s="345"/>
      <c r="D153" s="345" t="e">
        <f>SUMIF(#REF!,$A153,#REF!)</f>
        <v>#REF!</v>
      </c>
      <c r="E153" s="342" t="str">
        <f t="shared" si="17"/>
        <v>PTR</v>
      </c>
      <c r="F153" s="207">
        <f>SUMIF(Interest_data!$B$12:$B$161,$A153,Interest_data!$D$12:$D$161)</f>
        <v>0</v>
      </c>
      <c r="G153" s="207">
        <f ca="1">SUMIF(Interest_data!$B$12:$B$161,$A153,Interest_data!$AA$12:$AA$160)</f>
        <v>0</v>
      </c>
      <c r="H153" s="207" t="e">
        <f t="shared" ca="1" si="18"/>
        <v>#REF!</v>
      </c>
      <c r="I153" s="207" t="s">
        <v>4396</v>
      </c>
      <c r="J153" s="207">
        <f>SUMIF(Historic_capex_list!$T$9:$T$586,$A153,Historic_capex_list!P$9:P$586)</f>
        <v>0</v>
      </c>
      <c r="K153" s="207">
        <f>SUMIF(Historic_capex_list!$T$9:$T$586,$A153,Historic_capex_list!Q$9:Q$586)</f>
        <v>0</v>
      </c>
      <c r="L153" s="207" t="e">
        <f t="shared" ca="1" si="21"/>
        <v>#REF!</v>
      </c>
      <c r="M153" s="207">
        <f t="shared" si="19"/>
        <v>0</v>
      </c>
      <c r="O153" s="345">
        <v>0</v>
      </c>
      <c r="P153" s="345" t="e">
        <f t="shared" si="20"/>
        <v>#VALUE!</v>
      </c>
    </row>
    <row r="154" spans="1:16" ht="13">
      <c r="A154" s="330" t="s">
        <v>2812</v>
      </c>
      <c r="B154" s="345"/>
      <c r="C154" s="345"/>
      <c r="D154" s="345" t="e">
        <f>SUMIF(#REF!,$A154,#REF!)</f>
        <v>#REF!</v>
      </c>
      <c r="E154" s="342" t="str">
        <f t="shared" si="17"/>
        <v>PTR</v>
      </c>
      <c r="F154" s="207">
        <f>SUMIF(Interest_data!$B$12:$B$161,$A154,Interest_data!$D$12:$D$161)</f>
        <v>125296.5</v>
      </c>
      <c r="G154" s="207">
        <f ca="1">SUMIF(Interest_data!$B$12:$B$161,$A154,Interest_data!$AA$12:$AA$160)</f>
        <v>17517</v>
      </c>
      <c r="H154" s="207" t="e">
        <f t="shared" ca="1" si="18"/>
        <v>#REF!</v>
      </c>
      <c r="I154" s="207" t="s">
        <v>2586</v>
      </c>
      <c r="J154" s="207">
        <f>SUMIF(Historic_capex_list!$T$9:$T$586,$A154,Historic_capex_list!P$9:P$586)</f>
        <v>0</v>
      </c>
      <c r="K154" s="207">
        <f>SUMIF(Historic_capex_list!$T$9:$T$586,$A154,Historic_capex_list!Q$9:Q$586)</f>
        <v>0</v>
      </c>
      <c r="L154" s="207" t="e">
        <f t="shared" ca="1" si="21"/>
        <v>#REF!</v>
      </c>
      <c r="M154" s="207">
        <f t="shared" si="19"/>
        <v>0</v>
      </c>
      <c r="O154" s="345">
        <v>142813.5</v>
      </c>
      <c r="P154" s="345" t="e">
        <f t="shared" si="20"/>
        <v>#VALUE!</v>
      </c>
    </row>
    <row r="155" spans="1:16" ht="13">
      <c r="A155" s="58" t="s">
        <v>2839</v>
      </c>
      <c r="B155" s="345"/>
      <c r="C155" s="345"/>
      <c r="D155" s="345" t="e">
        <f>SUMIF(#REF!,$A155,#REF!)</f>
        <v>#REF!</v>
      </c>
      <c r="E155" s="342" t="str">
        <f t="shared" si="17"/>
        <v>PTR</v>
      </c>
      <c r="F155" s="207">
        <f>SUMIF(Interest_data!$B$12:$B$161,$A155,Interest_data!$D$12:$D$161)</f>
        <v>0</v>
      </c>
      <c r="G155" s="207">
        <f ca="1">SUMIF(Interest_data!$B$12:$B$161,$A155,Interest_data!$AA$12:$AA$160)</f>
        <v>0</v>
      </c>
      <c r="H155" s="207" t="e">
        <f t="shared" ca="1" si="18"/>
        <v>#REF!</v>
      </c>
      <c r="I155" s="207" t="s">
        <v>4397</v>
      </c>
      <c r="J155" s="207">
        <f>SUMIF(Historic_capex_list!$T$9:$T$586,$A155,Historic_capex_list!P$9:P$586)</f>
        <v>0</v>
      </c>
      <c r="K155" s="207">
        <f>SUMIF(Historic_capex_list!$T$9:$T$586,$A155,Historic_capex_list!Q$9:Q$586)</f>
        <v>0</v>
      </c>
      <c r="L155" s="207" t="e">
        <f t="shared" ca="1" si="21"/>
        <v>#REF!</v>
      </c>
      <c r="M155" s="207">
        <f t="shared" si="19"/>
        <v>0</v>
      </c>
      <c r="O155" s="345">
        <v>0</v>
      </c>
      <c r="P155" s="345" t="e">
        <f t="shared" si="20"/>
        <v>#VALUE!</v>
      </c>
    </row>
    <row r="156" spans="1:16" ht="13">
      <c r="A156" s="58" t="s">
        <v>2840</v>
      </c>
      <c r="B156" s="345"/>
      <c r="C156" s="345"/>
      <c r="D156" s="345" t="e">
        <f>SUMIF(#REF!,$A156,#REF!)</f>
        <v>#REF!</v>
      </c>
      <c r="E156" s="342" t="str">
        <f t="shared" si="17"/>
        <v>PTR</v>
      </c>
      <c r="F156" s="207">
        <f>SUMIF(Interest_data!$B$12:$B$161,$A156,Interest_data!$D$12:$D$161)</f>
        <v>0</v>
      </c>
      <c r="G156" s="207">
        <f ca="1">SUMIF(Interest_data!$B$12:$B$161,$A156,Interest_data!$AA$12:$AA$160)</f>
        <v>0</v>
      </c>
      <c r="H156" s="207" t="e">
        <f t="shared" ca="1" si="18"/>
        <v>#REF!</v>
      </c>
      <c r="I156" s="207" t="e">
        <f t="shared" ca="1" si="16"/>
        <v>#REF!</v>
      </c>
      <c r="J156" s="207">
        <f>SUMIF(Historic_capex_list!$T$9:$T$586,$A156,Historic_capex_list!P$9:P$586)</f>
        <v>0</v>
      </c>
      <c r="K156" s="207">
        <f>SUMIF(Historic_capex_list!$T$9:$T$586,$A156,Historic_capex_list!Q$9:Q$586)</f>
        <v>0</v>
      </c>
      <c r="L156" s="207" t="e">
        <f t="shared" ca="1" si="21"/>
        <v>#REF!</v>
      </c>
      <c r="M156" s="207">
        <f t="shared" si="19"/>
        <v>0</v>
      </c>
      <c r="O156" s="345">
        <v>0</v>
      </c>
      <c r="P156" s="345" t="e">
        <f t="shared" ca="1" si="20"/>
        <v>#REF!</v>
      </c>
    </row>
    <row r="157" spans="1:16" ht="13">
      <c r="A157" s="58" t="s">
        <v>2841</v>
      </c>
      <c r="B157" s="345"/>
      <c r="C157" s="345"/>
      <c r="D157" s="345" t="e">
        <f>SUMIF(#REF!,$A157,#REF!)</f>
        <v>#REF!</v>
      </c>
      <c r="E157" s="342" t="str">
        <f t="shared" si="17"/>
        <v>PTR</v>
      </c>
      <c r="F157" s="207">
        <f>SUMIF(Interest_data!$B$12:$B$161,$A157,Interest_data!$D$12:$D$161)</f>
        <v>0</v>
      </c>
      <c r="G157" s="207">
        <f ca="1">SUMIF(Interest_data!$B$12:$B$161,$A157,Interest_data!$AA$12:$AA$160)</f>
        <v>0</v>
      </c>
      <c r="H157" s="207" t="e">
        <f t="shared" ca="1" si="18"/>
        <v>#REF!</v>
      </c>
      <c r="I157" s="207" t="e">
        <f t="shared" ca="1" si="16"/>
        <v>#REF!</v>
      </c>
      <c r="J157" s="207">
        <f>SUMIF(Historic_capex_list!$T$9:$T$586,$A157,Historic_capex_list!P$9:P$586)</f>
        <v>0</v>
      </c>
      <c r="K157" s="207">
        <f>SUMIF(Historic_capex_list!$T$9:$T$586,$A157,Historic_capex_list!Q$9:Q$586)</f>
        <v>0</v>
      </c>
      <c r="L157" s="207" t="e">
        <f t="shared" ca="1" si="21"/>
        <v>#REF!</v>
      </c>
      <c r="M157" s="207">
        <f t="shared" si="19"/>
        <v>0</v>
      </c>
      <c r="O157" s="345">
        <v>0</v>
      </c>
      <c r="P157" s="345" t="e">
        <f t="shared" ca="1" si="20"/>
        <v>#REF!</v>
      </c>
    </row>
    <row r="158" spans="1:16" ht="13">
      <c r="A158" s="58" t="s">
        <v>2813</v>
      </c>
      <c r="B158" s="345"/>
      <c r="C158" s="345"/>
      <c r="D158" s="345" t="e">
        <f>SUMIF(#REF!,$A158,#REF!)</f>
        <v>#REF!</v>
      </c>
      <c r="E158" s="342" t="str">
        <f t="shared" si="17"/>
        <v>PTR</v>
      </c>
      <c r="F158" s="207">
        <f>SUMIF(Interest_data!$B$12:$B$161,$A158,Interest_data!$D$12:$D$161)</f>
        <v>1023.9</v>
      </c>
      <c r="G158" s="207">
        <f ca="1">SUMIF(Interest_data!$B$12:$B$161,$A158,Interest_data!$AA$12:$AA$160)</f>
        <v>6709</v>
      </c>
      <c r="H158" s="207" t="e">
        <f t="shared" ca="1" si="18"/>
        <v>#REF!</v>
      </c>
      <c r="I158" s="207" t="e">
        <f t="shared" ca="1" si="16"/>
        <v>#REF!</v>
      </c>
      <c r="J158" s="207">
        <f>SUMIF(Historic_capex_list!$T$9:$T$586,$A158,Historic_capex_list!P$9:P$586)</f>
        <v>0</v>
      </c>
      <c r="K158" s="207">
        <f>SUMIF(Historic_capex_list!$T$9:$T$586,$A158,Historic_capex_list!Q$9:Q$586)</f>
        <v>0</v>
      </c>
      <c r="L158" s="207" t="e">
        <f t="shared" ca="1" si="21"/>
        <v>#REF!</v>
      </c>
      <c r="M158" s="207">
        <f t="shared" si="19"/>
        <v>0</v>
      </c>
      <c r="O158" s="345">
        <v>7732.9</v>
      </c>
      <c r="P158" s="345" t="e">
        <f t="shared" ca="1" si="20"/>
        <v>#REF!</v>
      </c>
    </row>
    <row r="159" spans="1:16" ht="13">
      <c r="A159" s="58" t="s">
        <v>2814</v>
      </c>
      <c r="B159" s="345"/>
      <c r="C159" s="345"/>
      <c r="D159" s="345" t="e">
        <f>SUMIF(#REF!,$A159,#REF!)</f>
        <v>#REF!</v>
      </c>
      <c r="E159" s="342" t="str">
        <f t="shared" si="17"/>
        <v>PTR</v>
      </c>
      <c r="F159" s="207">
        <f>SUMIF(Interest_data!$B$12:$B$161,$A159,Interest_data!$D$12:$D$161)</f>
        <v>140503.79999999999</v>
      </c>
      <c r="G159" s="207">
        <f ca="1">SUMIF(Interest_data!$B$12:$B$161,$A159,Interest_data!$AA$12:$AA$160)</f>
        <v>225012</v>
      </c>
      <c r="H159" s="207" t="e">
        <f t="shared" ca="1" si="18"/>
        <v>#REF!</v>
      </c>
      <c r="I159" s="207" t="e">
        <f t="shared" ca="1" si="16"/>
        <v>#REF!</v>
      </c>
      <c r="J159" s="207">
        <f>SUMIF(Historic_capex_list!$T$9:$T$586,$A159,Historic_capex_list!P$9:P$586)</f>
        <v>0</v>
      </c>
      <c r="K159" s="207">
        <f>SUMIF(Historic_capex_list!$T$9:$T$586,$A159,Historic_capex_list!Q$9:Q$586)</f>
        <v>0</v>
      </c>
      <c r="L159" s="207" t="e">
        <f t="shared" ca="1" si="21"/>
        <v>#REF!</v>
      </c>
      <c r="M159" s="207">
        <f t="shared" si="19"/>
        <v>0</v>
      </c>
      <c r="O159" s="345">
        <v>365531.96947390336</v>
      </c>
      <c r="P159" s="345" t="e">
        <f t="shared" ca="1" si="20"/>
        <v>#REF!</v>
      </c>
    </row>
    <row r="160" spans="1:16" ht="13">
      <c r="A160" s="58" t="s">
        <v>2815</v>
      </c>
      <c r="B160" s="345"/>
      <c r="C160" s="345"/>
      <c r="D160" s="345" t="e">
        <f>SUMIF(#REF!,$A160,#REF!)</f>
        <v>#REF!</v>
      </c>
      <c r="E160" s="342" t="str">
        <f t="shared" si="17"/>
        <v>PTR</v>
      </c>
      <c r="F160" s="207">
        <f>SUMIF(Interest_data!$B$12:$B$161,$A160,Interest_data!$D$12:$D$161)</f>
        <v>0</v>
      </c>
      <c r="G160" s="207">
        <f ca="1">SUMIF(Interest_data!$B$12:$B$161,$A160,Interest_data!$AA$12:$AA$160)</f>
        <v>0</v>
      </c>
      <c r="H160" s="207" t="e">
        <f t="shared" ca="1" si="18"/>
        <v>#REF!</v>
      </c>
      <c r="I160" s="207" t="e">
        <f t="shared" ca="1" si="16"/>
        <v>#REF!</v>
      </c>
      <c r="J160" s="207">
        <f>SUMIF(Historic_capex_list!$T$9:$T$586,$A160,Historic_capex_list!P$9:P$586)</f>
        <v>0</v>
      </c>
      <c r="K160" s="207">
        <f>SUMIF(Historic_capex_list!$T$9:$T$586,$A160,Historic_capex_list!Q$9:Q$586)</f>
        <v>0</v>
      </c>
      <c r="L160" s="207" t="e">
        <f t="shared" ca="1" si="21"/>
        <v>#REF!</v>
      </c>
      <c r="M160" s="207">
        <f t="shared" si="19"/>
        <v>0</v>
      </c>
      <c r="O160" s="345">
        <v>0</v>
      </c>
      <c r="P160" s="345" t="e">
        <f t="shared" ca="1" si="20"/>
        <v>#REF!</v>
      </c>
    </row>
    <row r="161" spans="1:16" ht="13">
      <c r="A161" s="58" t="s">
        <v>2816</v>
      </c>
      <c r="B161" s="345"/>
      <c r="C161" s="345"/>
      <c r="D161" s="345" t="e">
        <f>SUMIF(#REF!,$A161,#REF!)</f>
        <v>#REF!</v>
      </c>
      <c r="E161" s="342" t="str">
        <f t="shared" si="17"/>
        <v>PTR</v>
      </c>
      <c r="F161" s="207">
        <f>SUMIF(Interest_data!$B$12:$B$161,$A161,Interest_data!$D$12:$D$161)</f>
        <v>0</v>
      </c>
      <c r="G161" s="207">
        <f ca="1">SUMIF(Interest_data!$B$12:$B$161,$A161,Interest_data!$AA$12:$AA$160)</f>
        <v>0</v>
      </c>
      <c r="H161" s="207" t="e">
        <f t="shared" ca="1" si="18"/>
        <v>#REF!</v>
      </c>
      <c r="I161" s="207" t="e">
        <f t="shared" ca="1" si="16"/>
        <v>#REF!</v>
      </c>
      <c r="J161" s="207">
        <f>SUMIF(Historic_capex_list!$T$9:$T$586,$A161,Historic_capex_list!P$9:P$586)</f>
        <v>0</v>
      </c>
      <c r="K161" s="207">
        <f>SUMIF(Historic_capex_list!$T$9:$T$586,$A161,Historic_capex_list!Q$9:Q$586)</f>
        <v>0</v>
      </c>
      <c r="L161" s="207" t="e">
        <f t="shared" ca="1" si="21"/>
        <v>#REF!</v>
      </c>
      <c r="M161" s="207">
        <f t="shared" si="19"/>
        <v>0</v>
      </c>
      <c r="O161" s="345">
        <v>0</v>
      </c>
      <c r="P161" s="345" t="e">
        <f t="shared" ca="1" si="20"/>
        <v>#REF!</v>
      </c>
    </row>
    <row r="162" spans="1:16" ht="13">
      <c r="A162" s="58" t="s">
        <v>2817</v>
      </c>
      <c r="B162" s="345"/>
      <c r="C162" s="345"/>
      <c r="D162" s="345" t="e">
        <f>SUMIF(#REF!,$A162,#REF!)</f>
        <v>#REF!</v>
      </c>
      <c r="E162" s="342" t="str">
        <f t="shared" si="17"/>
        <v>PTR</v>
      </c>
      <c r="F162" s="207">
        <f>SUMIF(Interest_data!$B$12:$B$161,$A162,Interest_data!$D$12:$D$161)</f>
        <v>0</v>
      </c>
      <c r="G162" s="207">
        <f ca="1">SUMIF(Interest_data!$B$12:$B$161,$A162,Interest_data!$AA$12:$AA$160)</f>
        <v>0</v>
      </c>
      <c r="H162" s="207" t="e">
        <f t="shared" ca="1" si="18"/>
        <v>#REF!</v>
      </c>
      <c r="I162" s="207" t="e">
        <f t="shared" ca="1" si="16"/>
        <v>#REF!</v>
      </c>
      <c r="J162" s="207">
        <f>SUMIF(Historic_capex_list!$T$9:$T$586,$A162,Historic_capex_list!P$9:P$586)</f>
        <v>0</v>
      </c>
      <c r="K162" s="207">
        <f>SUMIF(Historic_capex_list!$T$9:$T$586,$A162,Historic_capex_list!Q$9:Q$586)</f>
        <v>0</v>
      </c>
      <c r="L162" s="207" t="e">
        <f t="shared" ca="1" si="21"/>
        <v>#REF!</v>
      </c>
      <c r="M162" s="207">
        <f t="shared" si="19"/>
        <v>0</v>
      </c>
      <c r="O162" s="345">
        <v>0</v>
      </c>
      <c r="P162" s="345" t="e">
        <f t="shared" ca="1" si="20"/>
        <v>#REF!</v>
      </c>
    </row>
    <row r="163" spans="1:16" ht="13">
      <c r="A163" s="58" t="s">
        <v>2818</v>
      </c>
      <c r="B163" s="345"/>
      <c r="C163" s="345"/>
      <c r="D163" s="345" t="e">
        <f>SUMIF(#REF!,$A163,#REF!)</f>
        <v>#REF!</v>
      </c>
      <c r="E163" s="342" t="str">
        <f t="shared" si="17"/>
        <v>PTR</v>
      </c>
      <c r="F163" s="207">
        <f>SUMIF(Interest_data!$B$12:$B$161,$A163,Interest_data!$D$12:$D$161)</f>
        <v>0</v>
      </c>
      <c r="G163" s="207">
        <f ca="1">SUMIF(Interest_data!$B$12:$B$161,$A163,Interest_data!$AA$12:$AA$160)</f>
        <v>0</v>
      </c>
      <c r="H163" s="207" t="e">
        <f t="shared" ca="1" si="18"/>
        <v>#REF!</v>
      </c>
      <c r="I163" s="207" t="e">
        <f t="shared" ca="1" si="16"/>
        <v>#REF!</v>
      </c>
      <c r="J163" s="207">
        <f>SUMIF(Historic_capex_list!$T$9:$T$586,$A163,Historic_capex_list!P$9:P$586)</f>
        <v>0</v>
      </c>
      <c r="K163" s="207">
        <f>SUMIF(Historic_capex_list!$T$9:$T$586,$A163,Historic_capex_list!Q$9:Q$586)</f>
        <v>0</v>
      </c>
      <c r="L163" s="207" t="e">
        <f t="shared" ca="1" si="21"/>
        <v>#REF!</v>
      </c>
      <c r="M163" s="207">
        <f t="shared" si="19"/>
        <v>0</v>
      </c>
      <c r="O163" s="345">
        <v>0</v>
      </c>
      <c r="P163" s="345" t="e">
        <f t="shared" ca="1" si="20"/>
        <v>#REF!</v>
      </c>
    </row>
    <row r="164" spans="1:16" ht="13">
      <c r="A164" s="58" t="s">
        <v>2311</v>
      </c>
      <c r="B164" s="345"/>
      <c r="C164" s="345"/>
      <c r="D164" s="345" t="e">
        <f>SUMIF(#REF!,$A164,#REF!)</f>
        <v>#REF!</v>
      </c>
      <c r="E164" s="342" t="str">
        <f t="shared" si="17"/>
        <v>STW</v>
      </c>
      <c r="F164" s="207">
        <f>SUMIF(Interest_data!$B$12:$B$161,$A164,Interest_data!$D$12:$D$161)</f>
        <v>27.3</v>
      </c>
      <c r="G164" s="207">
        <f ca="1">SUMIF(Interest_data!$B$12:$B$161,$A164,Interest_data!$AA$12:$AA$160)</f>
        <v>3936</v>
      </c>
      <c r="H164" s="207" t="e">
        <f t="shared" ca="1" si="18"/>
        <v>#REF!</v>
      </c>
      <c r="I164" s="207" t="e">
        <f t="shared" ca="1" si="16"/>
        <v>#REF!</v>
      </c>
      <c r="J164" s="207">
        <f>SUMIF(Historic_capex_list!$T$9:$T$586,$A164,Historic_capex_list!P$9:P$586)</f>
        <v>0</v>
      </c>
      <c r="K164" s="207">
        <f>SUMIF(Historic_capex_list!$T$9:$T$586,$A164,Historic_capex_list!Q$9:Q$586)</f>
        <v>0</v>
      </c>
      <c r="L164" s="207" t="e">
        <f t="shared" ca="1" si="21"/>
        <v>#REF!</v>
      </c>
      <c r="M164" s="207">
        <f t="shared" si="19"/>
        <v>0</v>
      </c>
      <c r="O164" s="345">
        <v>3963.3</v>
      </c>
      <c r="P164" s="345" t="e">
        <f t="shared" ca="1" si="20"/>
        <v>#REF!</v>
      </c>
    </row>
    <row r="165" spans="1:16" ht="13">
      <c r="A165" s="330" t="s">
        <v>2322</v>
      </c>
      <c r="B165" s="345"/>
      <c r="C165" s="345"/>
      <c r="D165" s="345" t="e">
        <f>SUMIF(#REF!,$A165,#REF!)</f>
        <v>#REF!</v>
      </c>
      <c r="E165" s="342" t="str">
        <f t="shared" si="17"/>
        <v>STW</v>
      </c>
      <c r="F165" s="207">
        <f>SUMIF(Interest_data!$B$12:$B$161,$A165,Interest_data!$D$12:$D$161)</f>
        <v>476.4</v>
      </c>
      <c r="G165" s="207">
        <f ca="1">SUMIF(Interest_data!$B$12:$B$161,$A165,Interest_data!$AA$12:$AA$160)</f>
        <v>31645</v>
      </c>
      <c r="H165" s="207" t="e">
        <f t="shared" ca="1" si="18"/>
        <v>#REF!</v>
      </c>
      <c r="I165" s="207" t="e">
        <f t="shared" ca="1" si="16"/>
        <v>#REF!</v>
      </c>
      <c r="J165" s="207">
        <f>SUMIF(Historic_capex_list!$T$9:$T$586,$A165,Historic_capex_list!P$9:P$586)</f>
        <v>0</v>
      </c>
      <c r="K165" s="207">
        <f>SUMIF(Historic_capex_list!$T$9:$T$586,$A165,Historic_capex_list!Q$9:Q$586)</f>
        <v>0</v>
      </c>
      <c r="L165" s="207" t="e">
        <f t="shared" ca="1" si="21"/>
        <v>#REF!</v>
      </c>
      <c r="M165" s="207">
        <f t="shared" si="19"/>
        <v>0</v>
      </c>
      <c r="O165" s="345">
        <v>-759583.15853711206</v>
      </c>
      <c r="P165" s="345" t="e">
        <f t="shared" ca="1" si="20"/>
        <v>#REF!</v>
      </c>
    </row>
    <row r="166" spans="1:16" ht="13">
      <c r="A166" s="58" t="s">
        <v>2332</v>
      </c>
      <c r="B166" s="345"/>
      <c r="C166" s="345"/>
      <c r="D166" s="345" t="e">
        <f>SUMIF(#REF!,$A166,#REF!)</f>
        <v>#REF!</v>
      </c>
      <c r="E166" s="342" t="str">
        <f t="shared" si="17"/>
        <v>STW</v>
      </c>
      <c r="F166" s="207">
        <f>SUMIF(Interest_data!$B$12:$B$161,$A166,Interest_data!$D$12:$D$161)</f>
        <v>66920.399999999994</v>
      </c>
      <c r="G166" s="207">
        <f ca="1">SUMIF(Interest_data!$B$12:$B$161,$A166,Interest_data!$AA$12:$AA$160)</f>
        <v>760370</v>
      </c>
      <c r="H166" s="207" t="e">
        <f t="shared" ca="1" si="18"/>
        <v>#REF!</v>
      </c>
      <c r="I166" s="207" t="e">
        <f t="shared" ca="1" si="16"/>
        <v>#REF!</v>
      </c>
      <c r="J166" s="207">
        <f>SUMIF(Historic_capex_list!$T$9:$T$586,$A166,Historic_capex_list!P$9:P$586)</f>
        <v>0</v>
      </c>
      <c r="K166" s="207">
        <f>SUMIF(Historic_capex_list!$T$9:$T$586,$A166,Historic_capex_list!Q$9:Q$586)</f>
        <v>0</v>
      </c>
      <c r="L166" s="207" t="e">
        <f t="shared" ca="1" si="21"/>
        <v>#REF!</v>
      </c>
      <c r="M166" s="207">
        <f t="shared" si="19"/>
        <v>0</v>
      </c>
      <c r="O166" s="345">
        <v>50804.132611100562</v>
      </c>
      <c r="P166" s="345" t="e">
        <f t="shared" ca="1" si="20"/>
        <v>#REF!</v>
      </c>
    </row>
    <row r="167" spans="1:16" ht="13">
      <c r="A167" s="58" t="s">
        <v>2333</v>
      </c>
      <c r="B167" s="345"/>
      <c r="C167" s="345"/>
      <c r="D167" s="345" t="e">
        <f>SUMIF(#REF!,$A167,#REF!)</f>
        <v>#REF!</v>
      </c>
      <c r="E167" s="342" t="str">
        <f t="shared" si="17"/>
        <v>STW</v>
      </c>
      <c r="F167" s="207">
        <f>SUMIF(Interest_data!$B$12:$B$161,$A167,Interest_data!$D$12:$D$161)</f>
        <v>623.1</v>
      </c>
      <c r="G167" s="207">
        <f ca="1">SUMIF(Interest_data!$B$12:$B$161,$A167,Interest_data!$AA$12:$AA$160)</f>
        <v>87894</v>
      </c>
      <c r="H167" s="207" t="e">
        <f t="shared" ca="1" si="18"/>
        <v>#REF!</v>
      </c>
      <c r="I167" s="207" t="e">
        <f t="shared" ca="1" si="16"/>
        <v>#REF!</v>
      </c>
      <c r="J167" s="207">
        <f>SUMIF(Historic_capex_list!$T$9:$T$586,$A167,Historic_capex_list!P$9:P$586)</f>
        <v>0</v>
      </c>
      <c r="K167" s="207">
        <f>SUMIF(Historic_capex_list!$T$9:$T$586,$A167,Historic_capex_list!Q$9:Q$586)</f>
        <v>0</v>
      </c>
      <c r="L167" s="207" t="e">
        <f t="shared" ca="1" si="21"/>
        <v>#REF!</v>
      </c>
      <c r="M167" s="207">
        <f t="shared" si="19"/>
        <v>0</v>
      </c>
      <c r="O167" s="345">
        <v>-375491.5707106255</v>
      </c>
      <c r="P167" s="345" t="e">
        <f t="shared" ca="1" si="20"/>
        <v>#REF!</v>
      </c>
    </row>
    <row r="168" spans="1:16" ht="13">
      <c r="A168" s="58" t="s">
        <v>2331</v>
      </c>
      <c r="B168" s="345"/>
      <c r="C168" s="345"/>
      <c r="D168" s="345" t="e">
        <f>SUMIF(#REF!,$A168,#REF!)</f>
        <v>#REF!</v>
      </c>
      <c r="E168" s="342" t="str">
        <f t="shared" si="17"/>
        <v>STW</v>
      </c>
      <c r="F168" s="207">
        <f>SUMIF(Interest_data!$B$12:$B$161,$A168,Interest_data!$D$12:$D$161)</f>
        <v>44.4</v>
      </c>
      <c r="G168" s="207">
        <f ca="1">SUMIF(Interest_data!$B$12:$B$161,$A168,Interest_data!$AA$12:$AA$160)</f>
        <v>4827</v>
      </c>
      <c r="H168" s="207" t="e">
        <f t="shared" ca="1" si="18"/>
        <v>#REF!</v>
      </c>
      <c r="I168" s="207" t="e">
        <f t="shared" ca="1" si="16"/>
        <v>#REF!</v>
      </c>
      <c r="J168" s="207">
        <f>SUMIF(Historic_capex_list!$T$9:$T$586,$A168,Historic_capex_list!P$9:P$586)</f>
        <v>0</v>
      </c>
      <c r="K168" s="207">
        <f>SUMIF(Historic_capex_list!$T$9:$T$586,$A168,Historic_capex_list!Q$9:Q$586)</f>
        <v>0</v>
      </c>
      <c r="L168" s="207" t="e">
        <f t="shared" ca="1" si="21"/>
        <v>#REF!</v>
      </c>
      <c r="M168" s="207">
        <f t="shared" si="19"/>
        <v>0</v>
      </c>
      <c r="O168" s="345">
        <v>-26633.113799143161</v>
      </c>
      <c r="P168" s="345" t="e">
        <f t="shared" ca="1" si="20"/>
        <v>#REF!</v>
      </c>
    </row>
    <row r="169" spans="1:16" ht="13">
      <c r="A169" s="330" t="s">
        <v>2330</v>
      </c>
      <c r="B169" s="345"/>
      <c r="C169" s="345"/>
      <c r="D169" s="345" t="e">
        <f>SUMIF(#REF!,$A169,#REF!)</f>
        <v>#REF!</v>
      </c>
      <c r="E169" s="342" t="str">
        <f t="shared" si="17"/>
        <v>STW</v>
      </c>
      <c r="F169" s="207">
        <f>SUMIF(Interest_data!$B$12:$B$161,$A169,Interest_data!$D$12:$D$161)</f>
        <v>1534.2</v>
      </c>
      <c r="G169" s="207">
        <f ca="1">SUMIF(Interest_data!$B$12:$B$161,$A169,Interest_data!$AA$12:$AA$160)</f>
        <v>118002</v>
      </c>
      <c r="H169" s="207" t="e">
        <f t="shared" ca="1" si="18"/>
        <v>#REF!</v>
      </c>
      <c r="I169" s="207" t="e">
        <f t="shared" ca="1" si="16"/>
        <v>#REF!</v>
      </c>
      <c r="J169" s="207">
        <f>SUMIF(Historic_capex_list!$T$9:$T$586,$A169,Historic_capex_list!P$9:P$586)</f>
        <v>0</v>
      </c>
      <c r="K169" s="207">
        <f>SUMIF(Historic_capex_list!$T$9:$T$586,$A169,Historic_capex_list!Q$9:Q$586)</f>
        <v>0</v>
      </c>
      <c r="L169" s="207" t="e">
        <f t="shared" ca="1" si="21"/>
        <v>#REF!</v>
      </c>
      <c r="M169" s="207">
        <f t="shared" si="19"/>
        <v>0</v>
      </c>
      <c r="O169" s="345">
        <v>-8608937.0469068605</v>
      </c>
      <c r="P169" s="345" t="e">
        <f t="shared" ca="1" si="20"/>
        <v>#REF!</v>
      </c>
    </row>
    <row r="170" spans="1:16" ht="13">
      <c r="A170" s="330" t="s">
        <v>2334</v>
      </c>
      <c r="B170" s="345"/>
      <c r="C170" s="345"/>
      <c r="D170" s="345" t="e">
        <f>SUMIF(#REF!,$A170,#REF!)</f>
        <v>#REF!</v>
      </c>
      <c r="E170" s="342" t="str">
        <f t="shared" si="17"/>
        <v>STW</v>
      </c>
      <c r="F170" s="207">
        <f>SUMIF(Interest_data!$B$12:$B$161,$A170,Interest_data!$D$12:$D$161)</f>
        <v>12</v>
      </c>
      <c r="G170" s="207">
        <f ca="1">SUMIF(Interest_data!$B$12:$B$161,$A170,Interest_data!$AA$12:$AA$160)</f>
        <v>1286</v>
      </c>
      <c r="H170" s="207" t="e">
        <f t="shared" ca="1" si="18"/>
        <v>#REF!</v>
      </c>
      <c r="I170" s="207" t="e">
        <f t="shared" ca="1" si="16"/>
        <v>#REF!</v>
      </c>
      <c r="J170" s="207">
        <f>SUMIF(Historic_capex_list!$T$9:$T$586,$A170,Historic_capex_list!P$9:P$586)</f>
        <v>0</v>
      </c>
      <c r="K170" s="207">
        <f>SUMIF(Historic_capex_list!$T$9:$T$586,$A170,Historic_capex_list!Q$9:Q$586)</f>
        <v>0</v>
      </c>
      <c r="L170" s="207" t="e">
        <f t="shared" ca="1" si="21"/>
        <v>#REF!</v>
      </c>
      <c r="M170" s="207">
        <f t="shared" si="19"/>
        <v>0</v>
      </c>
      <c r="O170" s="345">
        <v>-2484569.5435921932</v>
      </c>
      <c r="P170" s="345" t="e">
        <f t="shared" ca="1" si="20"/>
        <v>#REF!</v>
      </c>
    </row>
    <row r="171" spans="1:16" ht="13">
      <c r="A171" s="58" t="s">
        <v>2329</v>
      </c>
      <c r="B171" s="345"/>
      <c r="C171" s="345"/>
      <c r="D171" s="345" t="e">
        <f>SUMIF(#REF!,$A171,#REF!)</f>
        <v>#REF!</v>
      </c>
      <c r="E171" s="342" t="str">
        <f t="shared" si="17"/>
        <v>STW</v>
      </c>
      <c r="F171" s="207">
        <f>SUMIF(Interest_data!$B$12:$B$161,$A171,Interest_data!$D$12:$D$161)</f>
        <v>1059.5999999999999</v>
      </c>
      <c r="G171" s="207">
        <f ca="1">SUMIF(Interest_data!$B$12:$B$161,$A171,Interest_data!$AA$12:$AA$160)</f>
        <v>144159</v>
      </c>
      <c r="H171" s="207" t="e">
        <f t="shared" ca="1" si="18"/>
        <v>#REF!</v>
      </c>
      <c r="I171" s="207" t="e">
        <f t="shared" ca="1" si="16"/>
        <v>#REF!</v>
      </c>
      <c r="J171" s="207">
        <f>SUMIF(Historic_capex_list!$T$9:$T$586,$A171,Historic_capex_list!P$9:P$586)</f>
        <v>0</v>
      </c>
      <c r="K171" s="207">
        <f>SUMIF(Historic_capex_list!$T$9:$T$586,$A171,Historic_capex_list!Q$9:Q$586)</f>
        <v>0</v>
      </c>
      <c r="L171" s="207" t="e">
        <f t="shared" ca="1" si="21"/>
        <v>#REF!</v>
      </c>
      <c r="M171" s="207">
        <f t="shared" si="19"/>
        <v>0</v>
      </c>
      <c r="O171" s="345">
        <v>308322.09656067053</v>
      </c>
      <c r="P171" s="345" t="e">
        <f t="shared" ca="1" si="20"/>
        <v>#REF!</v>
      </c>
    </row>
    <row r="172" spans="1:16" ht="13">
      <c r="A172" s="58" t="s">
        <v>2388</v>
      </c>
      <c r="B172" s="345"/>
      <c r="C172" s="345"/>
      <c r="D172" s="345" t="e">
        <f>SUMIF(#REF!,$A172,#REF!)</f>
        <v>#REF!</v>
      </c>
      <c r="E172" s="342" t="str">
        <f t="shared" si="17"/>
        <v>STW</v>
      </c>
      <c r="F172" s="207">
        <f>SUMIF(Interest_data!$B$12:$B$161,$A172,Interest_data!$D$12:$D$161)</f>
        <v>19.2</v>
      </c>
      <c r="G172" s="207">
        <f ca="1">SUMIF(Interest_data!$B$12:$B$161,$A172,Interest_data!$AA$12:$AA$160)</f>
        <v>2369</v>
      </c>
      <c r="H172" s="207" t="e">
        <f t="shared" ca="1" si="18"/>
        <v>#REF!</v>
      </c>
      <c r="I172" s="207" t="e">
        <f t="shared" ca="1" si="16"/>
        <v>#REF!</v>
      </c>
      <c r="J172" s="207">
        <f>SUMIF(Historic_capex_list!$T$9:$T$586,$A172,Historic_capex_list!P$9:P$586)</f>
        <v>0</v>
      </c>
      <c r="K172" s="207">
        <f>SUMIF(Historic_capex_list!$T$9:$T$586,$A172,Historic_capex_list!Q$9:Q$586)</f>
        <v>0</v>
      </c>
      <c r="L172" s="207" t="e">
        <f t="shared" ca="1" si="21"/>
        <v>#REF!</v>
      </c>
      <c r="M172" s="207">
        <f t="shared" si="19"/>
        <v>0</v>
      </c>
      <c r="O172" s="345">
        <v>2222.6286024903739</v>
      </c>
      <c r="P172" s="345" t="e">
        <f t="shared" ca="1" si="20"/>
        <v>#REF!</v>
      </c>
    </row>
    <row r="173" spans="1:16" ht="13">
      <c r="A173" s="58" t="s">
        <v>2389</v>
      </c>
      <c r="B173" s="345"/>
      <c r="C173" s="345"/>
      <c r="D173" s="345" t="e">
        <f>SUMIF(#REF!,$A173,#REF!)</f>
        <v>#REF!</v>
      </c>
      <c r="E173" s="342" t="str">
        <f t="shared" si="17"/>
        <v>STW</v>
      </c>
      <c r="F173" s="207">
        <f>SUMIF(Interest_data!$B$12:$B$161,$A173,Interest_data!$D$12:$D$161)</f>
        <v>31520.399999999998</v>
      </c>
      <c r="G173" s="207">
        <f ca="1">SUMIF(Interest_data!$B$12:$B$161,$A173,Interest_data!$AA$12:$AA$160)</f>
        <v>1609122</v>
      </c>
      <c r="H173" s="207" t="e">
        <f t="shared" ca="1" si="18"/>
        <v>#REF!</v>
      </c>
      <c r="I173" s="207" t="e">
        <f t="shared" ca="1" si="16"/>
        <v>#REF!</v>
      </c>
      <c r="J173" s="207">
        <f>SUMIF(Historic_capex_list!$T$9:$T$586,$A173,Historic_capex_list!P$9:P$586)</f>
        <v>0</v>
      </c>
      <c r="K173" s="207">
        <f>SUMIF(Historic_capex_list!$T$9:$T$586,$A173,Historic_capex_list!Q$9:Q$586)</f>
        <v>0</v>
      </c>
      <c r="L173" s="207" t="e">
        <f t="shared" ca="1" si="21"/>
        <v>#REF!</v>
      </c>
      <c r="M173" s="207">
        <f t="shared" si="19"/>
        <v>0</v>
      </c>
      <c r="O173" s="345">
        <v>1559620.860765815</v>
      </c>
      <c r="P173" s="345" t="e">
        <f t="shared" ca="1" si="20"/>
        <v>#REF!</v>
      </c>
    </row>
    <row r="174" spans="1:16" ht="13">
      <c r="A174" s="330" t="s">
        <v>2390</v>
      </c>
      <c r="B174" s="345"/>
      <c r="C174" s="345"/>
      <c r="D174" s="345" t="e">
        <f>SUMIF(#REF!,$A174,#REF!)</f>
        <v>#REF!</v>
      </c>
      <c r="E174" s="342" t="str">
        <f t="shared" si="17"/>
        <v>STW</v>
      </c>
      <c r="F174" s="207">
        <f>SUMIF(Interest_data!$B$12:$B$161,$A174,Interest_data!$D$12:$D$161)</f>
        <v>19637.399999999998</v>
      </c>
      <c r="G174" s="207">
        <f ca="1">SUMIF(Interest_data!$B$12:$B$161,$A174,Interest_data!$AA$12:$AA$160)</f>
        <v>-441242</v>
      </c>
      <c r="H174" s="207" t="e">
        <f t="shared" ca="1" si="18"/>
        <v>#REF!</v>
      </c>
      <c r="I174" s="207" t="e">
        <f t="shared" ca="1" si="16"/>
        <v>#REF!</v>
      </c>
      <c r="J174" s="207">
        <f>SUMIF(Historic_capex_list!$T$9:$T$586,$A174,Historic_capex_list!P$9:P$586)</f>
        <v>0</v>
      </c>
      <c r="K174" s="207">
        <f>SUMIF(Historic_capex_list!$T$9:$T$586,$A174,Historic_capex_list!Q$9:Q$586)</f>
        <v>0</v>
      </c>
      <c r="L174" s="207" t="e">
        <f t="shared" ca="1" si="21"/>
        <v>#REF!</v>
      </c>
      <c r="M174" s="207">
        <f t="shared" si="19"/>
        <v>0</v>
      </c>
      <c r="O174" s="345">
        <v>-1780393.0151564833</v>
      </c>
      <c r="P174" s="345" t="e">
        <f t="shared" ca="1" si="20"/>
        <v>#REF!</v>
      </c>
    </row>
    <row r="175" spans="1:16" ht="13">
      <c r="A175" s="58" t="s">
        <v>2324</v>
      </c>
      <c r="B175" s="345"/>
      <c r="C175" s="345"/>
      <c r="D175" s="345" t="e">
        <f>SUMIF(#REF!,$A175,#REF!)</f>
        <v>#REF!</v>
      </c>
      <c r="E175" s="342" t="str">
        <f t="shared" si="17"/>
        <v>STW</v>
      </c>
      <c r="F175" s="207">
        <f>SUMIF(Interest_data!$B$12:$B$161,$A175,Interest_data!$D$12:$D$161)</f>
        <v>11713.199999999999</v>
      </c>
      <c r="G175" s="207">
        <f ca="1">SUMIF(Interest_data!$B$12:$B$161,$A175,Interest_data!$AA$12:$AA$160)</f>
        <v>1514569</v>
      </c>
      <c r="H175" s="207" t="e">
        <f t="shared" ca="1" si="18"/>
        <v>#REF!</v>
      </c>
      <c r="I175" s="207" t="e">
        <f t="shared" ca="1" si="16"/>
        <v>#REF!</v>
      </c>
      <c r="J175" s="207">
        <f>SUMIF(Historic_capex_list!$T$9:$T$586,$A175,Historic_capex_list!P$9:P$586)</f>
        <v>0</v>
      </c>
      <c r="K175" s="207">
        <f>SUMIF(Historic_capex_list!$T$9:$T$586,$A175,Historic_capex_list!Q$9:Q$586)</f>
        <v>0</v>
      </c>
      <c r="L175" s="207" t="e">
        <f t="shared" ca="1" si="21"/>
        <v>#REF!</v>
      </c>
      <c r="M175" s="207">
        <f t="shared" si="19"/>
        <v>0</v>
      </c>
      <c r="O175" s="345">
        <v>1589191.1765978273</v>
      </c>
      <c r="P175" s="345" t="e">
        <f t="shared" ca="1" si="20"/>
        <v>#REF!</v>
      </c>
    </row>
    <row r="176" spans="1:16" ht="13">
      <c r="A176" s="330" t="s">
        <v>2391</v>
      </c>
      <c r="B176" s="345"/>
      <c r="C176" s="345"/>
      <c r="D176" s="345" t="e">
        <f>SUMIF(#REF!,$A176,#REF!)</f>
        <v>#REF!</v>
      </c>
      <c r="E176" s="342" t="str">
        <f t="shared" si="17"/>
        <v>STW</v>
      </c>
      <c r="F176" s="207">
        <f>SUMIF(Interest_data!$B$12:$B$161,$A176,Interest_data!$D$12:$D$161)</f>
        <v>0</v>
      </c>
      <c r="G176" s="207">
        <f ca="1">SUMIF(Interest_data!$B$12:$B$161,$A176,Interest_data!$AA$12:$AA$160)</f>
        <v>0</v>
      </c>
      <c r="H176" s="207" t="e">
        <f t="shared" ca="1" si="18"/>
        <v>#REF!</v>
      </c>
      <c r="I176" s="207" t="e">
        <f t="shared" ca="1" si="16"/>
        <v>#REF!</v>
      </c>
      <c r="J176" s="207">
        <f>SUMIF(Historic_capex_list!$T$9:$T$586,$A176,Historic_capex_list!P$9:P$586)</f>
        <v>0</v>
      </c>
      <c r="K176" s="207">
        <f>SUMIF(Historic_capex_list!$T$9:$T$586,$A176,Historic_capex_list!Q$9:Q$586)</f>
        <v>0</v>
      </c>
      <c r="L176" s="207" t="e">
        <f t="shared" ca="1" si="21"/>
        <v>#REF!</v>
      </c>
      <c r="M176" s="207">
        <f t="shared" si="19"/>
        <v>0</v>
      </c>
      <c r="O176" s="345">
        <v>-56429.294290748738</v>
      </c>
      <c r="P176" s="345" t="e">
        <f t="shared" ca="1" si="20"/>
        <v>#REF!</v>
      </c>
    </row>
    <row r="177" spans="1:16" ht="13">
      <c r="A177" s="58" t="s">
        <v>2392</v>
      </c>
      <c r="B177" s="345"/>
      <c r="C177" s="345"/>
      <c r="D177" s="345" t="e">
        <f>SUMIF(#REF!,$A177,#REF!)</f>
        <v>#REF!</v>
      </c>
      <c r="E177" s="342" t="str">
        <f t="shared" si="17"/>
        <v>STW</v>
      </c>
      <c r="F177" s="207">
        <f>SUMIF(Interest_data!$B$12:$B$161,$A177,Interest_data!$D$12:$D$161)</f>
        <v>14058.9</v>
      </c>
      <c r="G177" s="207">
        <f ca="1">SUMIF(Interest_data!$B$12:$B$161,$A177,Interest_data!$AA$12:$AA$160)</f>
        <v>24935</v>
      </c>
      <c r="H177" s="207" t="e">
        <f t="shared" ca="1" si="18"/>
        <v>#REF!</v>
      </c>
      <c r="I177" s="207" t="e">
        <f t="shared" ca="1" si="16"/>
        <v>#REF!</v>
      </c>
      <c r="J177" s="207">
        <f>SUMIF(Historic_capex_list!$T$9:$T$586,$A177,Historic_capex_list!P$9:P$586)</f>
        <v>0</v>
      </c>
      <c r="K177" s="207">
        <f>SUMIF(Historic_capex_list!$T$9:$T$586,$A177,Historic_capex_list!Q$9:Q$586)</f>
        <v>0</v>
      </c>
      <c r="L177" s="207" t="e">
        <f t="shared" ca="1" si="21"/>
        <v>#REF!</v>
      </c>
      <c r="M177" s="207">
        <f t="shared" si="19"/>
        <v>0</v>
      </c>
      <c r="O177" s="345">
        <v>-623975.19215952267</v>
      </c>
      <c r="P177" s="345" t="e">
        <f t="shared" ca="1" si="20"/>
        <v>#REF!</v>
      </c>
    </row>
    <row r="178" spans="1:16" ht="13">
      <c r="A178" s="330" t="s">
        <v>2387</v>
      </c>
      <c r="B178" s="345"/>
      <c r="C178" s="345"/>
      <c r="D178" s="345" t="e">
        <f>SUMIF(#REF!,$A178,#REF!)</f>
        <v>#REF!</v>
      </c>
      <c r="E178" s="342" t="str">
        <f t="shared" si="17"/>
        <v>STW</v>
      </c>
      <c r="F178" s="207">
        <f>SUMIF(Interest_data!$B$12:$B$161,$A178,Interest_data!$D$12:$D$161)</f>
        <v>18.3</v>
      </c>
      <c r="G178" s="207">
        <f ca="1">SUMIF(Interest_data!$B$12:$B$161,$A178,Interest_data!$AA$12:$AA$160)</f>
        <v>2149</v>
      </c>
      <c r="H178" s="207" t="e">
        <f t="shared" ca="1" si="18"/>
        <v>#REF!</v>
      </c>
      <c r="I178" s="207" t="e">
        <f t="shared" ca="1" si="16"/>
        <v>#REF!</v>
      </c>
      <c r="J178" s="207">
        <f>SUMIF(Historic_capex_list!$T$9:$T$586,$A178,Historic_capex_list!P$9:P$586)</f>
        <v>0</v>
      </c>
      <c r="K178" s="207">
        <f>SUMIF(Historic_capex_list!$T$9:$T$586,$A178,Historic_capex_list!Q$9:Q$586)</f>
        <v>0</v>
      </c>
      <c r="L178" s="207" t="e">
        <f t="shared" ca="1" si="21"/>
        <v>#REF!</v>
      </c>
      <c r="M178" s="207">
        <f t="shared" si="19"/>
        <v>0</v>
      </c>
      <c r="O178" s="345">
        <v>-3329.5921209898379</v>
      </c>
      <c r="P178" s="345" t="e">
        <f t="shared" ca="1" si="20"/>
        <v>#REF!</v>
      </c>
    </row>
    <row r="179" spans="1:16" ht="13">
      <c r="A179" s="330" t="s">
        <v>2565</v>
      </c>
      <c r="B179" s="345"/>
      <c r="C179" s="345"/>
      <c r="D179" s="345" t="e">
        <f>SUMIF(#REF!,$A179,#REF!)</f>
        <v>#REF!</v>
      </c>
      <c r="E179" s="342" t="str">
        <f t="shared" si="17"/>
        <v>STW</v>
      </c>
      <c r="F179" s="207">
        <f>SUMIF(Interest_data!$B$12:$B$161,$A179,Interest_data!$D$12:$D$161)</f>
        <v>287.39999999999998</v>
      </c>
      <c r="G179" s="207">
        <f ca="1">SUMIF(Interest_data!$B$12:$B$161,$A179,Interest_data!$AA$12:$AA$160)</f>
        <v>32997</v>
      </c>
      <c r="H179" s="207" t="e">
        <f t="shared" ca="1" si="18"/>
        <v>#REF!</v>
      </c>
      <c r="I179" s="207" t="e">
        <f t="shared" ca="1" si="16"/>
        <v>#REF!</v>
      </c>
      <c r="J179" s="207">
        <f>SUMIF(Historic_capex_list!$T$9:$T$586,$A179,Historic_capex_list!P$9:P$586)</f>
        <v>0</v>
      </c>
      <c r="K179" s="207">
        <f>SUMIF(Historic_capex_list!$T$9:$T$586,$A179,Historic_capex_list!Q$9:Q$586)</f>
        <v>0</v>
      </c>
      <c r="L179" s="207" t="e">
        <f t="shared" ca="1" si="21"/>
        <v>#REF!</v>
      </c>
      <c r="M179" s="207">
        <f t="shared" si="19"/>
        <v>0</v>
      </c>
      <c r="O179" s="345">
        <v>-5256563.632553475</v>
      </c>
      <c r="P179" s="345" t="e">
        <f t="shared" ca="1" si="20"/>
        <v>#REF!</v>
      </c>
    </row>
    <row r="180" spans="1:16" ht="13">
      <c r="A180" s="58" t="s">
        <v>2560</v>
      </c>
      <c r="B180" s="345"/>
      <c r="C180" s="345"/>
      <c r="D180" s="345" t="e">
        <f>SUMIF(#REF!,$A180,#REF!)</f>
        <v>#REF!</v>
      </c>
      <c r="E180" s="342" t="str">
        <f t="shared" si="17"/>
        <v>STW</v>
      </c>
      <c r="F180" s="207">
        <f>SUMIF(Interest_data!$B$12:$B$161,$A180,Interest_data!$D$12:$D$161)</f>
        <v>43.5</v>
      </c>
      <c r="G180" s="207">
        <f ca="1">SUMIF(Interest_data!$B$12:$B$161,$A180,Interest_data!$AA$12:$AA$160)</f>
        <v>5334</v>
      </c>
      <c r="H180" s="207" t="e">
        <f t="shared" ca="1" si="18"/>
        <v>#REF!</v>
      </c>
      <c r="I180" s="207" t="e">
        <f t="shared" ca="1" si="16"/>
        <v>#REF!</v>
      </c>
      <c r="J180" s="207">
        <f>SUMIF(Historic_capex_list!$T$9:$T$586,$A180,Historic_capex_list!P$9:P$586)</f>
        <v>0</v>
      </c>
      <c r="K180" s="207">
        <f>SUMIF(Historic_capex_list!$T$9:$T$586,$A180,Historic_capex_list!Q$9:Q$586)</f>
        <v>0</v>
      </c>
      <c r="L180" s="207" t="e">
        <f t="shared" ca="1" si="21"/>
        <v>#REF!</v>
      </c>
      <c r="M180" s="207">
        <f t="shared" si="19"/>
        <v>0</v>
      </c>
      <c r="O180" s="345">
        <v>-769.99379280382345</v>
      </c>
      <c r="P180" s="345" t="e">
        <f t="shared" ca="1" si="20"/>
        <v>#REF!</v>
      </c>
    </row>
    <row r="181" spans="1:16" ht="13">
      <c r="A181" s="330" t="s">
        <v>2561</v>
      </c>
      <c r="B181" s="345"/>
      <c r="C181" s="345"/>
      <c r="D181" s="345" t="e">
        <f>SUMIF(#REF!,$A181,#REF!)</f>
        <v>#REF!</v>
      </c>
      <c r="E181" s="342" t="str">
        <f t="shared" si="17"/>
        <v>STW</v>
      </c>
      <c r="F181" s="207">
        <f>SUMIF(Interest_data!$B$12:$B$161,$A181,Interest_data!$D$12:$D$161)</f>
        <v>91.5</v>
      </c>
      <c r="G181" s="207">
        <f ca="1">SUMIF(Interest_data!$B$12:$B$161,$A181,Interest_data!$AA$12:$AA$160)</f>
        <v>10146</v>
      </c>
      <c r="H181" s="207" t="e">
        <f t="shared" ca="1" si="18"/>
        <v>#REF!</v>
      </c>
      <c r="I181" s="207" t="e">
        <f t="shared" ca="1" si="16"/>
        <v>#REF!</v>
      </c>
      <c r="J181" s="207">
        <f>SUMIF(Historic_capex_list!$T$9:$T$586,$A181,Historic_capex_list!P$9:P$586)</f>
        <v>0</v>
      </c>
      <c r="K181" s="207">
        <f>SUMIF(Historic_capex_list!$T$9:$T$586,$A181,Historic_capex_list!Q$9:Q$586)</f>
        <v>0</v>
      </c>
      <c r="L181" s="207" t="e">
        <f t="shared" ca="1" si="21"/>
        <v>#REF!</v>
      </c>
      <c r="M181" s="207">
        <f t="shared" si="19"/>
        <v>0</v>
      </c>
      <c r="O181" s="345">
        <v>-156977.73500456824</v>
      </c>
      <c r="P181" s="345" t="e">
        <f t="shared" ca="1" si="20"/>
        <v>#REF!</v>
      </c>
    </row>
    <row r="182" spans="1:16" ht="13">
      <c r="A182" s="58" t="s">
        <v>2562</v>
      </c>
      <c r="B182" s="345"/>
      <c r="C182" s="345"/>
      <c r="D182" s="345" t="e">
        <f>SUMIF(#REF!,$A182,#REF!)</f>
        <v>#REF!</v>
      </c>
      <c r="E182" s="342" t="str">
        <f t="shared" si="17"/>
        <v>STW</v>
      </c>
      <c r="F182" s="207">
        <f>SUMIF(Interest_data!$B$12:$B$161,$A182,Interest_data!$D$12:$D$161)</f>
        <v>13501.8</v>
      </c>
      <c r="G182" s="207">
        <f ca="1">SUMIF(Interest_data!$B$12:$B$161,$A182,Interest_data!$AA$12:$AA$160)</f>
        <v>1703802</v>
      </c>
      <c r="H182" s="207" t="e">
        <f t="shared" ca="1" si="18"/>
        <v>#REF!</v>
      </c>
      <c r="I182" s="207" t="e">
        <f t="shared" ca="1" si="16"/>
        <v>#REF!</v>
      </c>
      <c r="J182" s="207">
        <f>SUMIF(Historic_capex_list!$T$9:$T$586,$A182,Historic_capex_list!P$9:P$586)</f>
        <v>0</v>
      </c>
      <c r="K182" s="207">
        <f>SUMIF(Historic_capex_list!$T$9:$T$586,$A182,Historic_capex_list!Q$9:Q$586)</f>
        <v>0</v>
      </c>
      <c r="L182" s="207" t="e">
        <f t="shared" ca="1" si="21"/>
        <v>#REF!</v>
      </c>
      <c r="M182" s="207">
        <f t="shared" si="19"/>
        <v>0</v>
      </c>
      <c r="O182" s="345">
        <v>94233.968287869589</v>
      </c>
      <c r="P182" s="345" t="e">
        <f t="shared" ca="1" si="20"/>
        <v>#REF!</v>
      </c>
    </row>
    <row r="183" spans="1:16" ht="13">
      <c r="A183" s="58" t="s">
        <v>2563</v>
      </c>
      <c r="B183" s="345"/>
      <c r="C183" s="345"/>
      <c r="D183" s="345" t="e">
        <f>SUMIF(#REF!,$A183,#REF!)</f>
        <v>#REF!</v>
      </c>
      <c r="E183" s="342" t="str">
        <f t="shared" si="17"/>
        <v>STW</v>
      </c>
      <c r="F183" s="207">
        <f>SUMIF(Interest_data!$B$12:$B$161,$A183,Interest_data!$D$12:$D$161)</f>
        <v>1856.1</v>
      </c>
      <c r="G183" s="207">
        <f ca="1">SUMIF(Interest_data!$B$12:$B$161,$A183,Interest_data!$AA$12:$AA$160)</f>
        <v>237392</v>
      </c>
      <c r="H183" s="207" t="e">
        <f t="shared" ca="1" si="18"/>
        <v>#REF!</v>
      </c>
      <c r="I183" s="207" t="e">
        <f t="shared" ca="1" si="16"/>
        <v>#REF!</v>
      </c>
      <c r="J183" s="207">
        <f>SUMIF(Historic_capex_list!$T$9:$T$586,$A183,Historic_capex_list!P$9:P$586)</f>
        <v>0</v>
      </c>
      <c r="K183" s="207">
        <f>SUMIF(Historic_capex_list!$T$9:$T$586,$A183,Historic_capex_list!Q$9:Q$586)</f>
        <v>0</v>
      </c>
      <c r="L183" s="207" t="e">
        <f t="shared" ca="1" si="21"/>
        <v>#REF!</v>
      </c>
      <c r="M183" s="207">
        <f t="shared" si="19"/>
        <v>0</v>
      </c>
      <c r="O183" s="345">
        <v>-226161.21350873305</v>
      </c>
      <c r="P183" s="345" t="e">
        <f t="shared" ca="1" si="20"/>
        <v>#REF!</v>
      </c>
    </row>
    <row r="184" spans="1:16" ht="13">
      <c r="A184" s="330" t="s">
        <v>2558</v>
      </c>
      <c r="B184" s="345"/>
      <c r="C184" s="345"/>
      <c r="D184" s="345" t="e">
        <f>SUMIF(#REF!,$A184,#REF!)</f>
        <v>#REF!</v>
      </c>
      <c r="E184" s="342" t="str">
        <f t="shared" si="17"/>
        <v>STW</v>
      </c>
      <c r="F184" s="207">
        <f>SUMIF(Interest_data!$B$12:$B$161,$A184,Interest_data!$D$12:$D$161)</f>
        <v>594.6</v>
      </c>
      <c r="G184" s="207">
        <f ca="1">SUMIF(Interest_data!$B$12:$B$161,$A184,Interest_data!$AA$12:$AA$160)</f>
        <v>28879</v>
      </c>
      <c r="H184" s="207" t="e">
        <f t="shared" ca="1" si="18"/>
        <v>#REF!</v>
      </c>
      <c r="I184" s="207" t="e">
        <f t="shared" ca="1" si="16"/>
        <v>#REF!</v>
      </c>
      <c r="J184" s="207">
        <f>SUMIF(Historic_capex_list!$T$9:$T$586,$A184,Historic_capex_list!P$9:P$586)</f>
        <v>0</v>
      </c>
      <c r="K184" s="207">
        <f>SUMIF(Historic_capex_list!$T$9:$T$586,$A184,Historic_capex_list!Q$9:Q$586)</f>
        <v>0</v>
      </c>
      <c r="L184" s="207" t="e">
        <f t="shared" ca="1" si="21"/>
        <v>#REF!</v>
      </c>
      <c r="M184" s="207">
        <f t="shared" si="19"/>
        <v>0</v>
      </c>
      <c r="O184" s="345">
        <v>-425859.36786893418</v>
      </c>
      <c r="P184" s="345" t="e">
        <f t="shared" ca="1" si="20"/>
        <v>#REF!</v>
      </c>
    </row>
    <row r="185" spans="1:16" ht="13">
      <c r="A185" s="330" t="s">
        <v>2564</v>
      </c>
      <c r="B185" s="345"/>
      <c r="C185" s="345"/>
      <c r="D185" s="345" t="e">
        <f>SUMIF(#REF!,$A185,#REF!)</f>
        <v>#REF!</v>
      </c>
      <c r="E185" s="342" t="str">
        <f t="shared" si="17"/>
        <v>STW</v>
      </c>
      <c r="F185" s="207">
        <f>SUMIF(Interest_data!$B$12:$B$161,$A185,Interest_data!$D$12:$D$161)</f>
        <v>371.4</v>
      </c>
      <c r="G185" s="207">
        <f ca="1">SUMIF(Interest_data!$B$12:$B$161,$A185,Interest_data!$AA$12:$AA$160)</f>
        <v>2818</v>
      </c>
      <c r="H185" s="207" t="e">
        <f t="shared" ca="1" si="18"/>
        <v>#REF!</v>
      </c>
      <c r="I185" s="207" t="e">
        <f t="shared" ca="1" si="16"/>
        <v>#REF!</v>
      </c>
      <c r="J185" s="207">
        <f>SUMIF(Historic_capex_list!$T$9:$T$586,$A185,Historic_capex_list!P$9:P$586)</f>
        <v>0</v>
      </c>
      <c r="K185" s="207">
        <f>SUMIF(Historic_capex_list!$T$9:$T$586,$A185,Historic_capex_list!Q$9:Q$586)</f>
        <v>0</v>
      </c>
      <c r="L185" s="207" t="e">
        <f t="shared" ca="1" si="21"/>
        <v>#REF!</v>
      </c>
      <c r="M185" s="207">
        <f t="shared" si="19"/>
        <v>0</v>
      </c>
      <c r="O185" s="345">
        <v>-1001113.3329608421</v>
      </c>
      <c r="P185" s="345" t="e">
        <f t="shared" ca="1" si="20"/>
        <v>#REF!</v>
      </c>
    </row>
    <row r="186" spans="1:16" ht="13">
      <c r="A186" s="58" t="s">
        <v>2314</v>
      </c>
      <c r="B186" s="345"/>
      <c r="C186" s="345"/>
      <c r="D186" s="345" t="e">
        <f>SUMIF(#REF!,$A186,#REF!)</f>
        <v>#REF!</v>
      </c>
      <c r="E186" s="342" t="str">
        <f t="shared" si="17"/>
        <v>STW</v>
      </c>
      <c r="F186" s="207">
        <f>SUMIF(Interest_data!$B$12:$B$161,$A186,Interest_data!$D$12:$D$161)</f>
        <v>1690.2</v>
      </c>
      <c r="G186" s="207">
        <f ca="1">SUMIF(Interest_data!$B$12:$B$161,$A186,Interest_data!$AA$12:$AA$160)</f>
        <v>216020</v>
      </c>
      <c r="H186" s="207" t="e">
        <f t="shared" ca="1" si="18"/>
        <v>#REF!</v>
      </c>
      <c r="I186" s="207" t="e">
        <f t="shared" ca="1" si="16"/>
        <v>#REF!</v>
      </c>
      <c r="J186" s="207">
        <f>SUMIF(Historic_capex_list!$T$9:$T$586,$A186,Historic_capex_list!P$9:P$586)</f>
        <v>0</v>
      </c>
      <c r="K186" s="207">
        <f>SUMIF(Historic_capex_list!$T$9:$T$586,$A186,Historic_capex_list!Q$9:Q$586)</f>
        <v>0</v>
      </c>
      <c r="L186" s="207" t="e">
        <f t="shared" ca="1" si="21"/>
        <v>#REF!</v>
      </c>
      <c r="M186" s="207">
        <f t="shared" si="19"/>
        <v>0</v>
      </c>
      <c r="O186" s="345">
        <v>529.3738010309753</v>
      </c>
      <c r="P186" s="345" t="e">
        <f t="shared" ca="1" si="20"/>
        <v>#REF!</v>
      </c>
    </row>
    <row r="187" spans="1:16" ht="13">
      <c r="A187" s="58" t="s">
        <v>2601</v>
      </c>
      <c r="B187" s="345"/>
      <c r="C187" s="345"/>
      <c r="D187" s="345" t="e">
        <f>SUMIF(#REF!,$A187,#REF!)</f>
        <v>#REF!</v>
      </c>
      <c r="E187" s="342" t="str">
        <f t="shared" si="17"/>
        <v>STW</v>
      </c>
      <c r="F187" s="207">
        <f>SUMIF(Interest_data!$B$12:$B$161,$A187,Interest_data!$D$12:$D$161)</f>
        <v>618</v>
      </c>
      <c r="G187" s="207">
        <f ca="1">SUMIF(Interest_data!$B$12:$B$161,$A187,Interest_data!$AA$12:$AA$160)</f>
        <v>82083</v>
      </c>
      <c r="H187" s="207" t="e">
        <f t="shared" ca="1" si="18"/>
        <v>#REF!</v>
      </c>
      <c r="I187" s="207" t="e">
        <f t="shared" ca="1" si="16"/>
        <v>#REF!</v>
      </c>
      <c r="J187" s="207">
        <f>SUMIF(Historic_capex_list!$T$9:$T$586,$A187,Historic_capex_list!P$9:P$586)</f>
        <v>0</v>
      </c>
      <c r="K187" s="207">
        <f>SUMIF(Historic_capex_list!$T$9:$T$586,$A187,Historic_capex_list!Q$9:Q$586)</f>
        <v>0</v>
      </c>
      <c r="L187" s="207" t="e">
        <f t="shared" ca="1" si="21"/>
        <v>#REF!</v>
      </c>
      <c r="M187" s="207">
        <f t="shared" si="19"/>
        <v>0</v>
      </c>
      <c r="O187" s="345">
        <v>4123.538746869046</v>
      </c>
      <c r="P187" s="345" t="e">
        <f t="shared" ca="1" si="20"/>
        <v>#REF!</v>
      </c>
    </row>
    <row r="188" spans="1:16" ht="13">
      <c r="A188" s="330" t="s">
        <v>2602</v>
      </c>
      <c r="B188" s="345"/>
      <c r="C188" s="345"/>
      <c r="D188" s="345" t="e">
        <f>SUMIF(#REF!,$A188,#REF!)</f>
        <v>#REF!</v>
      </c>
      <c r="E188" s="342" t="str">
        <f t="shared" si="17"/>
        <v>STW</v>
      </c>
      <c r="F188" s="207">
        <f>SUMIF(Interest_data!$B$12:$B$161,$A188,Interest_data!$D$12:$D$161)</f>
        <v>0</v>
      </c>
      <c r="G188" s="207">
        <f ca="1">SUMIF(Interest_data!$B$12:$B$161,$A188,Interest_data!$AA$12:$AA$160)</f>
        <v>-377</v>
      </c>
      <c r="H188" s="207" t="e">
        <f t="shared" ca="1" si="18"/>
        <v>#REF!</v>
      </c>
      <c r="I188" s="207" t="e">
        <f t="shared" ca="1" si="16"/>
        <v>#REF!</v>
      </c>
      <c r="J188" s="207">
        <f>SUMIF(Historic_capex_list!$T$9:$T$586,$A188,Historic_capex_list!P$9:P$586)</f>
        <v>0</v>
      </c>
      <c r="K188" s="207">
        <f>SUMIF(Historic_capex_list!$T$9:$T$586,$A188,Historic_capex_list!Q$9:Q$586)</f>
        <v>0</v>
      </c>
      <c r="L188" s="207" t="e">
        <f t="shared" ca="1" si="21"/>
        <v>#REF!</v>
      </c>
      <c r="M188" s="207">
        <f t="shared" si="19"/>
        <v>0</v>
      </c>
      <c r="O188" s="345">
        <v>-3262.5696639228117</v>
      </c>
      <c r="P188" s="345" t="e">
        <f t="shared" ca="1" si="20"/>
        <v>#REF!</v>
      </c>
    </row>
    <row r="189" spans="1:16" ht="13">
      <c r="A189" s="330" t="s">
        <v>2556</v>
      </c>
      <c r="B189" s="345"/>
      <c r="C189" s="345"/>
      <c r="D189" s="345" t="e">
        <f>SUMIF(#REF!,$A189,#REF!)</f>
        <v>#REF!</v>
      </c>
      <c r="E189" s="342" t="str">
        <f t="shared" si="17"/>
        <v>STW</v>
      </c>
      <c r="F189" s="207">
        <f>SUMIF(Interest_data!$B$12:$B$161,$A189,Interest_data!$D$12:$D$161)</f>
        <v>215168.69999999998</v>
      </c>
      <c r="G189" s="207">
        <f ca="1">SUMIF(Interest_data!$B$12:$B$161,$A189,Interest_data!$AA$12:$AA$160)</f>
        <v>-1018512</v>
      </c>
      <c r="H189" s="207" t="e">
        <f t="shared" ca="1" si="18"/>
        <v>#REF!</v>
      </c>
      <c r="I189" s="207" t="e">
        <f t="shared" ca="1" si="16"/>
        <v>#REF!</v>
      </c>
      <c r="J189" s="207">
        <f>SUMIF(Historic_capex_list!$T$9:$T$586,$A189,Historic_capex_list!P$9:P$586)</f>
        <v>0</v>
      </c>
      <c r="K189" s="207">
        <f>SUMIF(Historic_capex_list!$T$9:$T$586,$A189,Historic_capex_list!Q$9:Q$586)</f>
        <v>0</v>
      </c>
      <c r="L189" s="207" t="e">
        <f t="shared" ca="1" si="21"/>
        <v>#REF!</v>
      </c>
      <c r="M189" s="207">
        <f t="shared" si="19"/>
        <v>0</v>
      </c>
      <c r="O189" s="345">
        <v>-9620669.9599791188</v>
      </c>
      <c r="P189" s="345" t="e">
        <f t="shared" ca="1" si="20"/>
        <v>#REF!</v>
      </c>
    </row>
    <row r="190" spans="1:16" ht="13">
      <c r="A190" s="330" t="s">
        <v>2557</v>
      </c>
      <c r="B190" s="345"/>
      <c r="C190" s="345"/>
      <c r="D190" s="345" t="e">
        <f>SUMIF(#REF!,$A190,#REF!)</f>
        <v>#REF!</v>
      </c>
      <c r="E190" s="342" t="str">
        <f t="shared" si="17"/>
        <v>STW</v>
      </c>
      <c r="F190" s="207">
        <f>SUMIF(Interest_data!$B$12:$B$161,$A190,Interest_data!$D$12:$D$161)</f>
        <v>114296.09999999999</v>
      </c>
      <c r="G190" s="207">
        <f ca="1">SUMIF(Interest_data!$B$12:$B$161,$A190,Interest_data!$AA$12:$AA$160)</f>
        <v>717136</v>
      </c>
      <c r="H190" s="207" t="e">
        <f t="shared" ca="1" si="18"/>
        <v>#REF!</v>
      </c>
      <c r="I190" s="207" t="e">
        <f t="shared" ca="1" si="16"/>
        <v>#REF!</v>
      </c>
      <c r="J190" s="207">
        <f>SUMIF(Historic_capex_list!$T$9:$T$586,$A190,Historic_capex_list!P$9:P$586)</f>
        <v>0</v>
      </c>
      <c r="K190" s="207">
        <f>SUMIF(Historic_capex_list!$T$9:$T$586,$A190,Historic_capex_list!Q$9:Q$586)</f>
        <v>0</v>
      </c>
      <c r="L190" s="207" t="e">
        <f t="shared" ca="1" si="21"/>
        <v>#REF!</v>
      </c>
      <c r="M190" s="207">
        <f t="shared" si="19"/>
        <v>0</v>
      </c>
      <c r="O190" s="345">
        <v>-49382121.827440329</v>
      </c>
      <c r="P190" s="345" t="e">
        <f t="shared" ca="1" si="20"/>
        <v>#REF!</v>
      </c>
    </row>
    <row r="191" spans="1:16" ht="13">
      <c r="A191" s="58" t="s">
        <v>2600</v>
      </c>
      <c r="B191" s="345"/>
      <c r="C191" s="345"/>
      <c r="D191" s="345" t="e">
        <f>SUMIF(#REF!,$A191,#REF!)</f>
        <v>#REF!</v>
      </c>
      <c r="E191" s="342" t="str">
        <f t="shared" si="17"/>
        <v>STW</v>
      </c>
      <c r="F191" s="207">
        <f>SUMIF(Interest_data!$B$12:$B$161,$A191,Interest_data!$D$12:$D$161)</f>
        <v>0</v>
      </c>
      <c r="G191" s="207">
        <f ca="1">SUMIF(Interest_data!$B$12:$B$161,$A191,Interest_data!$AA$12:$AA$160)</f>
        <v>0</v>
      </c>
      <c r="H191" s="207" t="e">
        <f t="shared" ca="1" si="18"/>
        <v>#REF!</v>
      </c>
      <c r="I191" s="207" t="e">
        <f t="shared" ca="1" si="16"/>
        <v>#REF!</v>
      </c>
      <c r="J191" s="207">
        <f>SUMIF(Historic_capex_list!$T$9:$T$586,$A191,Historic_capex_list!P$9:P$586)</f>
        <v>0</v>
      </c>
      <c r="K191" s="207">
        <f>SUMIF(Historic_capex_list!$T$9:$T$586,$A191,Historic_capex_list!Q$9:Q$586)</f>
        <v>0</v>
      </c>
      <c r="L191" s="207" t="e">
        <f t="shared" ca="1" si="21"/>
        <v>#REF!</v>
      </c>
      <c r="M191" s="207">
        <f t="shared" si="19"/>
        <v>0</v>
      </c>
      <c r="O191" s="345">
        <v>0</v>
      </c>
      <c r="P191" s="345" t="e">
        <f t="shared" ca="1" si="20"/>
        <v>#REF!</v>
      </c>
    </row>
    <row r="192" spans="1:16" ht="13">
      <c r="A192" s="58" t="s">
        <v>2598</v>
      </c>
      <c r="B192" s="345"/>
      <c r="C192" s="345"/>
      <c r="D192" s="345" t="e">
        <f>SUMIF(#REF!,$A192,#REF!)</f>
        <v>#REF!</v>
      </c>
      <c r="E192" s="342" t="str">
        <f t="shared" si="17"/>
        <v>STW</v>
      </c>
      <c r="F192" s="207">
        <f>SUMIF(Interest_data!$B$12:$B$161,$A192,Interest_data!$D$12:$D$161)</f>
        <v>0</v>
      </c>
      <c r="G192" s="207">
        <f ca="1">SUMIF(Interest_data!$B$12:$B$161,$A192,Interest_data!$AA$12:$AA$160)</f>
        <v>0</v>
      </c>
      <c r="H192" s="207" t="e">
        <f t="shared" ca="1" si="18"/>
        <v>#REF!</v>
      </c>
      <c r="I192" s="207" t="e">
        <f t="shared" ca="1" si="16"/>
        <v>#REF!</v>
      </c>
      <c r="J192" s="207">
        <f>SUMIF(Historic_capex_list!$T$9:$T$586,$A192,Historic_capex_list!P$9:P$586)</f>
        <v>0</v>
      </c>
      <c r="K192" s="207">
        <f>SUMIF(Historic_capex_list!$T$9:$T$586,$A192,Historic_capex_list!Q$9:Q$586)</f>
        <v>0</v>
      </c>
      <c r="L192" s="207" t="e">
        <f t="shared" ca="1" si="21"/>
        <v>#REF!</v>
      </c>
      <c r="M192" s="207">
        <f t="shared" si="19"/>
        <v>0</v>
      </c>
      <c r="O192" s="345">
        <v>0</v>
      </c>
      <c r="P192" s="345" t="e">
        <f t="shared" ca="1" si="20"/>
        <v>#REF!</v>
      </c>
    </row>
    <row r="193" spans="1:16" ht="13">
      <c r="A193" s="330" t="s">
        <v>2599</v>
      </c>
      <c r="B193" s="345"/>
      <c r="C193" s="345"/>
      <c r="D193" s="345" t="e">
        <f>SUMIF(#REF!,$A193,#REF!)</f>
        <v>#REF!</v>
      </c>
      <c r="E193" s="342" t="str">
        <f t="shared" si="17"/>
        <v>STW</v>
      </c>
      <c r="F193" s="207">
        <f>SUMIF(Interest_data!$B$12:$B$161,$A193,Interest_data!$D$12:$D$161)</f>
        <v>0</v>
      </c>
      <c r="G193" s="207">
        <f ca="1">SUMIF(Interest_data!$B$12:$B$161,$A193,Interest_data!$AA$12:$AA$160)</f>
        <v>0</v>
      </c>
      <c r="H193" s="207" t="e">
        <f t="shared" ca="1" si="18"/>
        <v>#REF!</v>
      </c>
      <c r="I193" s="207" t="e">
        <f t="shared" ca="1" si="16"/>
        <v>#REF!</v>
      </c>
      <c r="J193" s="207">
        <f>SUMIF(Historic_capex_list!$T$9:$T$586,$A193,Historic_capex_list!P$9:P$586)</f>
        <v>0</v>
      </c>
      <c r="K193" s="207">
        <f>SUMIF(Historic_capex_list!$T$9:$T$586,$A193,Historic_capex_list!Q$9:Q$586)</f>
        <v>0</v>
      </c>
      <c r="L193" s="207" t="e">
        <f t="shared" ca="1" si="21"/>
        <v>#REF!</v>
      </c>
      <c r="M193" s="207">
        <f t="shared" si="19"/>
        <v>0</v>
      </c>
      <c r="O193" s="345">
        <v>-209.48343906631433</v>
      </c>
      <c r="P193" s="345" t="e">
        <f t="shared" ca="1" si="20"/>
        <v>#REF!</v>
      </c>
    </row>
    <row r="194" spans="1:16" ht="13">
      <c r="A194" s="58" t="s">
        <v>2757</v>
      </c>
      <c r="B194" s="345"/>
      <c r="C194" s="345"/>
      <c r="D194" s="345" t="e">
        <f>SUMIF(#REF!,$A194,#REF!)</f>
        <v>#REF!</v>
      </c>
      <c r="E194" s="342" t="str">
        <f t="shared" si="17"/>
        <v>STW</v>
      </c>
      <c r="F194" s="207">
        <f>SUMIF(Interest_data!$B$12:$B$161,$A194,Interest_data!$D$12:$D$161)</f>
        <v>0</v>
      </c>
      <c r="G194" s="207">
        <f ca="1">SUMIF(Interest_data!$B$12:$B$161,$A194,Interest_data!$AA$12:$AA$160)</f>
        <v>0</v>
      </c>
      <c r="H194" s="207" t="e">
        <f t="shared" ca="1" si="18"/>
        <v>#REF!</v>
      </c>
      <c r="I194" s="207" t="e">
        <f t="shared" ca="1" si="16"/>
        <v>#REF!</v>
      </c>
      <c r="J194" s="207">
        <f>SUMIF(Historic_capex_list!$T$9:$T$586,$A194,Historic_capex_list!P$9:P$586)</f>
        <v>0</v>
      </c>
      <c r="K194" s="207">
        <f>SUMIF(Historic_capex_list!$T$9:$T$586,$A194,Historic_capex_list!Q$9:Q$586)</f>
        <v>0</v>
      </c>
      <c r="L194" s="207" t="e">
        <f t="shared" ca="1" si="21"/>
        <v>#REF!</v>
      </c>
      <c r="M194" s="207">
        <f t="shared" si="19"/>
        <v>0</v>
      </c>
      <c r="O194" s="345">
        <v>0</v>
      </c>
      <c r="P194" s="345" t="e">
        <f t="shared" ca="1" si="20"/>
        <v>#REF!</v>
      </c>
    </row>
    <row r="195" spans="1:16" ht="13">
      <c r="A195" s="58" t="s">
        <v>2758</v>
      </c>
      <c r="B195" s="345"/>
      <c r="C195" s="345"/>
      <c r="D195" s="345" t="e">
        <f>SUMIF(#REF!,$A195,#REF!)</f>
        <v>#REF!</v>
      </c>
      <c r="E195" s="342" t="str">
        <f t="shared" si="17"/>
        <v>STW</v>
      </c>
      <c r="F195" s="207">
        <f>SUMIF(Interest_data!$B$12:$B$161,$A195,Interest_data!$D$12:$D$161)</f>
        <v>0</v>
      </c>
      <c r="G195" s="207">
        <f ca="1">SUMIF(Interest_data!$B$12:$B$161,$A195,Interest_data!$AA$12:$AA$160)</f>
        <v>0</v>
      </c>
      <c r="H195" s="207" t="e">
        <f t="shared" ca="1" si="18"/>
        <v>#REF!</v>
      </c>
      <c r="I195" s="207" t="e">
        <f t="shared" ref="I195:I249" ca="1" si="22">+H195</f>
        <v>#REF!</v>
      </c>
      <c r="J195" s="207">
        <f>SUMIF(Historic_capex_list!$T$9:$T$586,$A195,Historic_capex_list!P$9:P$586)</f>
        <v>0</v>
      </c>
      <c r="K195" s="207">
        <f>SUMIF(Historic_capex_list!$T$9:$T$586,$A195,Historic_capex_list!Q$9:Q$586)</f>
        <v>0</v>
      </c>
      <c r="L195" s="207" t="e">
        <f t="shared" ca="1" si="21"/>
        <v>#REF!</v>
      </c>
      <c r="M195" s="207">
        <f t="shared" si="19"/>
        <v>0</v>
      </c>
      <c r="O195" s="345">
        <v>0</v>
      </c>
      <c r="P195" s="345" t="e">
        <f t="shared" ca="1" si="20"/>
        <v>#REF!</v>
      </c>
    </row>
    <row r="196" spans="1:16" ht="13">
      <c r="A196" s="58" t="s">
        <v>2759</v>
      </c>
      <c r="B196" s="345"/>
      <c r="C196" s="345"/>
      <c r="D196" s="345" t="e">
        <f>SUMIF(#REF!,$A196,#REF!)</f>
        <v>#REF!</v>
      </c>
      <c r="E196" s="342" t="str">
        <f t="shared" ref="E196:E249" si="23">LEFT(A196,3)</f>
        <v>STW</v>
      </c>
      <c r="F196" s="207">
        <f>SUMIF(Interest_data!$B$12:$B$161,$A196,Interest_data!$D$12:$D$161)</f>
        <v>0</v>
      </c>
      <c r="G196" s="207">
        <f ca="1">SUMIF(Interest_data!$B$12:$B$161,$A196,Interest_data!$AA$12:$AA$160)</f>
        <v>0</v>
      </c>
      <c r="H196" s="207" t="e">
        <f t="shared" ref="H196:H249" ca="1" si="24">+G196+F196+D196</f>
        <v>#REF!</v>
      </c>
      <c r="I196" s="207" t="e">
        <f t="shared" ca="1" si="22"/>
        <v>#REF!</v>
      </c>
      <c r="J196" s="207">
        <f>SUMIF(Historic_capex_list!$T$9:$T$586,$A196,Historic_capex_list!P$9:P$586)</f>
        <v>0</v>
      </c>
      <c r="K196" s="207">
        <f>SUMIF(Historic_capex_list!$T$9:$T$586,$A196,Historic_capex_list!Q$9:Q$586)</f>
        <v>0</v>
      </c>
      <c r="L196" s="207" t="e">
        <f t="shared" ca="1" si="21"/>
        <v>#REF!</v>
      </c>
      <c r="M196" s="207">
        <f t="shared" ref="M196:M249" si="25">+K196</f>
        <v>0</v>
      </c>
      <c r="O196" s="345">
        <v>0</v>
      </c>
      <c r="P196" s="345" t="e">
        <f t="shared" ref="P196:P249" ca="1" si="26">+O196-I196</f>
        <v>#REF!</v>
      </c>
    </row>
    <row r="197" spans="1:16" ht="13">
      <c r="A197" s="58" t="s">
        <v>2312</v>
      </c>
      <c r="B197" s="345"/>
      <c r="C197" s="345"/>
      <c r="D197" s="345" t="e">
        <f>SUMIF(#REF!,$A197,#REF!)</f>
        <v>#REF!</v>
      </c>
      <c r="E197" s="342" t="str">
        <f t="shared" si="23"/>
        <v>STW</v>
      </c>
      <c r="F197" s="207">
        <f>SUMIF(Interest_data!$B$12:$B$161,$A197,Interest_data!$D$12:$D$161)</f>
        <v>32707.5</v>
      </c>
      <c r="G197" s="207">
        <f ca="1">SUMIF(Interest_data!$B$12:$B$161,$A197,Interest_data!$AA$12:$AA$160)</f>
        <v>1898505</v>
      </c>
      <c r="H197" s="207" t="e">
        <f t="shared" ca="1" si="24"/>
        <v>#REF!</v>
      </c>
      <c r="I197" s="207" t="e">
        <f t="shared" ca="1" si="22"/>
        <v>#REF!</v>
      </c>
      <c r="J197" s="207">
        <f>SUMIF(Historic_capex_list!$T$9:$T$586,$A197,Historic_capex_list!P$9:P$586)</f>
        <v>0</v>
      </c>
      <c r="K197" s="207">
        <f>SUMIF(Historic_capex_list!$T$9:$T$586,$A197,Historic_capex_list!Q$9:Q$586)</f>
        <v>0</v>
      </c>
      <c r="L197" s="207" t="e">
        <f t="shared" ca="1" si="21"/>
        <v>#REF!</v>
      </c>
      <c r="M197" s="207">
        <f t="shared" si="25"/>
        <v>0</v>
      </c>
      <c r="O197" s="345">
        <v>1599046.9800640491</v>
      </c>
      <c r="P197" s="345" t="e">
        <f t="shared" ca="1" si="26"/>
        <v>#REF!</v>
      </c>
    </row>
    <row r="198" spans="1:16" ht="13">
      <c r="A198" s="58" t="s">
        <v>2760</v>
      </c>
      <c r="B198" s="345"/>
      <c r="C198" s="345"/>
      <c r="D198" s="345" t="e">
        <f>SUMIF(#REF!,$A198,#REF!)</f>
        <v>#REF!</v>
      </c>
      <c r="E198" s="342" t="str">
        <f t="shared" si="23"/>
        <v>STW</v>
      </c>
      <c r="F198" s="207">
        <f>SUMIF(Interest_data!$B$12:$B$161,$A198,Interest_data!$D$12:$D$161)</f>
        <v>0</v>
      </c>
      <c r="G198" s="207">
        <f ca="1">SUMIF(Interest_data!$B$12:$B$161,$A198,Interest_data!$AA$12:$AA$160)</f>
        <v>0</v>
      </c>
      <c r="H198" s="207" t="e">
        <f t="shared" ca="1" si="24"/>
        <v>#REF!</v>
      </c>
      <c r="I198" s="207" t="e">
        <f t="shared" ca="1" si="22"/>
        <v>#REF!</v>
      </c>
      <c r="J198" s="207">
        <f>SUMIF(Historic_capex_list!$T$9:$T$586,$A198,Historic_capex_list!P$9:P$586)</f>
        <v>0</v>
      </c>
      <c r="K198" s="207">
        <f>SUMIF(Historic_capex_list!$T$9:$T$586,$A198,Historic_capex_list!Q$9:Q$586)</f>
        <v>0</v>
      </c>
      <c r="L198" s="207" t="e">
        <f t="shared" ref="L198:L250" ca="1" si="27">+J198+H198</f>
        <v>#REF!</v>
      </c>
      <c r="M198" s="207">
        <f t="shared" si="25"/>
        <v>0</v>
      </c>
      <c r="O198" s="345">
        <v>0</v>
      </c>
      <c r="P198" s="345" t="e">
        <f t="shared" ca="1" si="26"/>
        <v>#REF!</v>
      </c>
    </row>
    <row r="199" spans="1:16" ht="13">
      <c r="A199" s="58" t="s">
        <v>2761</v>
      </c>
      <c r="B199" s="345"/>
      <c r="C199" s="345"/>
      <c r="D199" s="345" t="e">
        <f>SUMIF(#REF!,$A199,#REF!)</f>
        <v>#REF!</v>
      </c>
      <c r="E199" s="342" t="str">
        <f t="shared" si="23"/>
        <v>STW</v>
      </c>
      <c r="F199" s="207">
        <f>SUMIF(Interest_data!$B$12:$B$161,$A199,Interest_data!$D$12:$D$161)</f>
        <v>0</v>
      </c>
      <c r="G199" s="207">
        <f ca="1">SUMIF(Interest_data!$B$12:$B$161,$A199,Interest_data!$AA$12:$AA$160)</f>
        <v>0</v>
      </c>
      <c r="H199" s="207" t="e">
        <f t="shared" ca="1" si="24"/>
        <v>#REF!</v>
      </c>
      <c r="I199" s="207" t="e">
        <f t="shared" ca="1" si="22"/>
        <v>#REF!</v>
      </c>
      <c r="J199" s="207">
        <f>SUMIF(Historic_capex_list!$T$9:$T$586,$A199,Historic_capex_list!P$9:P$586)</f>
        <v>0</v>
      </c>
      <c r="K199" s="207">
        <f>SUMIF(Historic_capex_list!$T$9:$T$586,$A199,Historic_capex_list!Q$9:Q$586)</f>
        <v>0</v>
      </c>
      <c r="L199" s="207" t="e">
        <f t="shared" ca="1" si="27"/>
        <v>#REF!</v>
      </c>
      <c r="M199" s="207">
        <f t="shared" si="25"/>
        <v>0</v>
      </c>
      <c r="O199" s="345">
        <v>0</v>
      </c>
      <c r="P199" s="345" t="e">
        <f t="shared" ca="1" si="26"/>
        <v>#REF!</v>
      </c>
    </row>
    <row r="200" spans="1:16" ht="13">
      <c r="A200" s="58" t="s">
        <v>2762</v>
      </c>
      <c r="B200" s="345"/>
      <c r="C200" s="345"/>
      <c r="D200" s="345" t="e">
        <f>SUMIF(#REF!,$A200,#REF!)</f>
        <v>#REF!</v>
      </c>
      <c r="E200" s="342" t="str">
        <f t="shared" si="23"/>
        <v>STW</v>
      </c>
      <c r="F200" s="207">
        <f>SUMIF(Interest_data!$B$12:$B$161,$A200,Interest_data!$D$12:$D$161)</f>
        <v>0</v>
      </c>
      <c r="G200" s="207">
        <f ca="1">SUMIF(Interest_data!$B$12:$B$161,$A200,Interest_data!$AA$12:$AA$160)</f>
        <v>0</v>
      </c>
      <c r="H200" s="207" t="e">
        <f t="shared" ca="1" si="24"/>
        <v>#REF!</v>
      </c>
      <c r="I200" s="207" t="e">
        <f t="shared" ca="1" si="22"/>
        <v>#REF!</v>
      </c>
      <c r="J200" s="207">
        <f>SUMIF(Historic_capex_list!$T$9:$T$586,$A200,Historic_capex_list!P$9:P$586)</f>
        <v>0</v>
      </c>
      <c r="K200" s="207">
        <f>SUMIF(Historic_capex_list!$T$9:$T$586,$A200,Historic_capex_list!Q$9:Q$586)</f>
        <v>0</v>
      </c>
      <c r="L200" s="207" t="e">
        <f t="shared" ca="1" si="27"/>
        <v>#REF!</v>
      </c>
      <c r="M200" s="207">
        <f t="shared" si="25"/>
        <v>0</v>
      </c>
      <c r="O200" s="345">
        <v>0</v>
      </c>
      <c r="P200" s="345" t="e">
        <f t="shared" ca="1" si="26"/>
        <v>#REF!</v>
      </c>
    </row>
    <row r="201" spans="1:16" ht="13">
      <c r="A201" s="58" t="s">
        <v>2763</v>
      </c>
      <c r="B201" s="345"/>
      <c r="C201" s="345"/>
      <c r="D201" s="345" t="e">
        <f>SUMIF(#REF!,$A201,#REF!)</f>
        <v>#REF!</v>
      </c>
      <c r="E201" s="342" t="str">
        <f t="shared" si="23"/>
        <v>STW</v>
      </c>
      <c r="F201" s="207">
        <f>SUMIF(Interest_data!$B$12:$B$161,$A201,Interest_data!$D$12:$D$161)</f>
        <v>0</v>
      </c>
      <c r="G201" s="207">
        <f ca="1">SUMIF(Interest_data!$B$12:$B$161,$A201,Interest_data!$AA$12:$AA$160)</f>
        <v>0</v>
      </c>
      <c r="H201" s="207" t="e">
        <f t="shared" ca="1" si="24"/>
        <v>#REF!</v>
      </c>
      <c r="I201" s="207" t="e">
        <f t="shared" ca="1" si="22"/>
        <v>#REF!</v>
      </c>
      <c r="J201" s="207">
        <f>SUMIF(Historic_capex_list!$T$9:$T$586,$A201,Historic_capex_list!P$9:P$586)</f>
        <v>0</v>
      </c>
      <c r="K201" s="207">
        <f>SUMIF(Historic_capex_list!$T$9:$T$586,$A201,Historic_capex_list!Q$9:Q$586)</f>
        <v>0</v>
      </c>
      <c r="L201" s="207" t="e">
        <f t="shared" ca="1" si="27"/>
        <v>#REF!</v>
      </c>
      <c r="M201" s="207">
        <f t="shared" si="25"/>
        <v>0</v>
      </c>
      <c r="O201" s="345">
        <v>0</v>
      </c>
      <c r="P201" s="345" t="e">
        <f t="shared" ca="1" si="26"/>
        <v>#REF!</v>
      </c>
    </row>
    <row r="202" spans="1:16" ht="13">
      <c r="A202" s="58" t="s">
        <v>2764</v>
      </c>
      <c r="B202" s="345"/>
      <c r="C202" s="345"/>
      <c r="D202" s="345" t="e">
        <f>SUMIF(#REF!,$A202,#REF!)</f>
        <v>#REF!</v>
      </c>
      <c r="E202" s="342" t="str">
        <f t="shared" si="23"/>
        <v>STW</v>
      </c>
      <c r="F202" s="207">
        <f>SUMIF(Interest_data!$B$12:$B$161,$A202,Interest_data!$D$12:$D$161)</f>
        <v>0</v>
      </c>
      <c r="G202" s="207">
        <f ca="1">SUMIF(Interest_data!$B$12:$B$161,$A202,Interest_data!$AA$12:$AA$160)</f>
        <v>0</v>
      </c>
      <c r="H202" s="207" t="e">
        <f t="shared" ca="1" si="24"/>
        <v>#REF!</v>
      </c>
      <c r="I202" s="207" t="e">
        <f t="shared" ca="1" si="22"/>
        <v>#REF!</v>
      </c>
      <c r="J202" s="207">
        <f>SUMIF(Historic_capex_list!$T$9:$T$586,$A202,Historic_capex_list!P$9:P$586)</f>
        <v>0</v>
      </c>
      <c r="K202" s="207">
        <f>SUMIF(Historic_capex_list!$T$9:$T$586,$A202,Historic_capex_list!Q$9:Q$586)</f>
        <v>0</v>
      </c>
      <c r="L202" s="207" t="e">
        <f t="shared" ca="1" si="27"/>
        <v>#REF!</v>
      </c>
      <c r="M202" s="207">
        <f t="shared" si="25"/>
        <v>0</v>
      </c>
      <c r="O202" s="345">
        <v>0</v>
      </c>
      <c r="P202" s="345" t="e">
        <f t="shared" ca="1" si="26"/>
        <v>#REF!</v>
      </c>
    </row>
    <row r="203" spans="1:16" ht="13">
      <c r="A203" s="58" t="s">
        <v>2766</v>
      </c>
      <c r="B203" s="345"/>
      <c r="C203" s="345"/>
      <c r="D203" s="345" t="e">
        <f>SUMIF(#REF!,$A203,#REF!)</f>
        <v>#REF!</v>
      </c>
      <c r="E203" s="342" t="str">
        <f t="shared" si="23"/>
        <v>STW</v>
      </c>
      <c r="F203" s="207">
        <f>SUMIF(Interest_data!$B$12:$B$161,$A203,Interest_data!$D$12:$D$161)</f>
        <v>0</v>
      </c>
      <c r="G203" s="207">
        <f ca="1">SUMIF(Interest_data!$B$12:$B$161,$A203,Interest_data!$AA$12:$AA$160)</f>
        <v>0</v>
      </c>
      <c r="H203" s="207" t="e">
        <f t="shared" ca="1" si="24"/>
        <v>#REF!</v>
      </c>
      <c r="I203" s="207" t="e">
        <f t="shared" ca="1" si="22"/>
        <v>#REF!</v>
      </c>
      <c r="J203" s="207">
        <f>SUMIF(Historic_capex_list!$T$9:$T$586,$A203,Historic_capex_list!P$9:P$586)</f>
        <v>0</v>
      </c>
      <c r="K203" s="207">
        <f>SUMIF(Historic_capex_list!$T$9:$T$586,$A203,Historic_capex_list!Q$9:Q$586)</f>
        <v>0</v>
      </c>
      <c r="L203" s="207" t="e">
        <f t="shared" ca="1" si="27"/>
        <v>#REF!</v>
      </c>
      <c r="M203" s="207">
        <f t="shared" si="25"/>
        <v>0</v>
      </c>
      <c r="O203" s="345">
        <v>0</v>
      </c>
      <c r="P203" s="345" t="e">
        <f t="shared" ca="1" si="26"/>
        <v>#REF!</v>
      </c>
    </row>
    <row r="204" spans="1:16" ht="13">
      <c r="A204" s="58" t="s">
        <v>2768</v>
      </c>
      <c r="B204" s="345"/>
      <c r="C204" s="345"/>
      <c r="D204" s="345" t="e">
        <f>SUMIF(#REF!,$A204,#REF!)</f>
        <v>#REF!</v>
      </c>
      <c r="E204" s="342" t="str">
        <f t="shared" si="23"/>
        <v>STW</v>
      </c>
      <c r="F204" s="207">
        <f>SUMIF(Interest_data!$B$12:$B$161,$A204,Interest_data!$D$12:$D$161)</f>
        <v>0</v>
      </c>
      <c r="G204" s="207">
        <f ca="1">SUMIF(Interest_data!$B$12:$B$161,$A204,Interest_data!$AA$12:$AA$160)</f>
        <v>0</v>
      </c>
      <c r="H204" s="207" t="e">
        <f t="shared" ca="1" si="24"/>
        <v>#REF!</v>
      </c>
      <c r="I204" s="207" t="e">
        <f t="shared" ca="1" si="22"/>
        <v>#REF!</v>
      </c>
      <c r="J204" s="207">
        <f>SUMIF(Historic_capex_list!$T$9:$T$586,$A204,Historic_capex_list!P$9:P$586)</f>
        <v>0</v>
      </c>
      <c r="K204" s="207">
        <f>SUMIF(Historic_capex_list!$T$9:$T$586,$A204,Historic_capex_list!Q$9:Q$586)</f>
        <v>0</v>
      </c>
      <c r="L204" s="207" t="e">
        <f t="shared" ca="1" si="27"/>
        <v>#REF!</v>
      </c>
      <c r="M204" s="207">
        <f t="shared" si="25"/>
        <v>0</v>
      </c>
      <c r="O204" s="345">
        <v>0</v>
      </c>
      <c r="P204" s="345" t="e">
        <f t="shared" ca="1" si="26"/>
        <v>#REF!</v>
      </c>
    </row>
    <row r="205" spans="1:16" ht="13">
      <c r="A205" s="58" t="s">
        <v>2770</v>
      </c>
      <c r="B205" s="345"/>
      <c r="C205" s="345"/>
      <c r="D205" s="345" t="e">
        <f>SUMIF(#REF!,$A205,#REF!)</f>
        <v>#REF!</v>
      </c>
      <c r="E205" s="342" t="str">
        <f t="shared" si="23"/>
        <v>STW</v>
      </c>
      <c r="F205" s="207">
        <f>SUMIF(Interest_data!$B$12:$B$161,$A205,Interest_data!$D$12:$D$161)</f>
        <v>0</v>
      </c>
      <c r="G205" s="207">
        <f ca="1">SUMIF(Interest_data!$B$12:$B$161,$A205,Interest_data!$AA$12:$AA$160)</f>
        <v>0</v>
      </c>
      <c r="H205" s="207" t="e">
        <f t="shared" ca="1" si="24"/>
        <v>#REF!</v>
      </c>
      <c r="I205" s="207" t="e">
        <f t="shared" ca="1" si="22"/>
        <v>#REF!</v>
      </c>
      <c r="J205" s="207">
        <f>SUMIF(Historic_capex_list!$T$9:$T$586,$A205,Historic_capex_list!P$9:P$586)</f>
        <v>0</v>
      </c>
      <c r="K205" s="207">
        <f>SUMIF(Historic_capex_list!$T$9:$T$586,$A205,Historic_capex_list!Q$9:Q$586)</f>
        <v>0</v>
      </c>
      <c r="L205" s="207" t="e">
        <f t="shared" ca="1" si="27"/>
        <v>#REF!</v>
      </c>
      <c r="M205" s="207">
        <f t="shared" si="25"/>
        <v>0</v>
      </c>
      <c r="O205" s="345">
        <v>0</v>
      </c>
      <c r="P205" s="345" t="e">
        <f t="shared" ca="1" si="26"/>
        <v>#REF!</v>
      </c>
    </row>
    <row r="206" spans="1:16" ht="13">
      <c r="A206" s="58" t="s">
        <v>2772</v>
      </c>
      <c r="B206" s="345"/>
      <c r="C206" s="345"/>
      <c r="D206" s="345" t="e">
        <f>SUMIF(#REF!,$A206,#REF!)</f>
        <v>#REF!</v>
      </c>
      <c r="E206" s="342" t="str">
        <f t="shared" si="23"/>
        <v>STW</v>
      </c>
      <c r="F206" s="207">
        <f>SUMIF(Interest_data!$B$12:$B$161,$A206,Interest_data!$D$12:$D$161)</f>
        <v>0</v>
      </c>
      <c r="G206" s="207">
        <f ca="1">SUMIF(Interest_data!$B$12:$B$161,$A206,Interest_data!$AA$12:$AA$160)</f>
        <v>0</v>
      </c>
      <c r="H206" s="207" t="e">
        <f t="shared" ca="1" si="24"/>
        <v>#REF!</v>
      </c>
      <c r="I206" s="207" t="e">
        <f t="shared" ca="1" si="22"/>
        <v>#REF!</v>
      </c>
      <c r="J206" s="207">
        <f>SUMIF(Historic_capex_list!$T$9:$T$586,$A206,Historic_capex_list!P$9:P$586)</f>
        <v>0</v>
      </c>
      <c r="K206" s="207">
        <f>SUMIF(Historic_capex_list!$T$9:$T$586,$A206,Historic_capex_list!Q$9:Q$586)</f>
        <v>0</v>
      </c>
      <c r="L206" s="207" t="e">
        <f t="shared" ca="1" si="27"/>
        <v>#REF!</v>
      </c>
      <c r="M206" s="207">
        <f t="shared" si="25"/>
        <v>0</v>
      </c>
      <c r="O206" s="345">
        <v>0</v>
      </c>
      <c r="P206" s="345" t="e">
        <f t="shared" ca="1" si="26"/>
        <v>#REF!</v>
      </c>
    </row>
    <row r="207" spans="1:16" ht="13">
      <c r="A207" s="58" t="s">
        <v>2774</v>
      </c>
      <c r="B207" s="345"/>
      <c r="C207" s="345"/>
      <c r="D207" s="345" t="e">
        <f>SUMIF(#REF!,$A207,#REF!)</f>
        <v>#REF!</v>
      </c>
      <c r="E207" s="342" t="str">
        <f t="shared" si="23"/>
        <v>STW</v>
      </c>
      <c r="F207" s="207">
        <f>SUMIF(Interest_data!$B$12:$B$161,$A207,Interest_data!$D$12:$D$161)</f>
        <v>0</v>
      </c>
      <c r="G207" s="207">
        <f ca="1">SUMIF(Interest_data!$B$12:$B$161,$A207,Interest_data!$AA$12:$AA$160)</f>
        <v>0</v>
      </c>
      <c r="H207" s="207" t="e">
        <f t="shared" ca="1" si="24"/>
        <v>#REF!</v>
      </c>
      <c r="I207" s="207" t="e">
        <f t="shared" ca="1" si="22"/>
        <v>#REF!</v>
      </c>
      <c r="J207" s="207">
        <f>SUMIF(Historic_capex_list!$T$9:$T$586,$A207,Historic_capex_list!P$9:P$586)</f>
        <v>0</v>
      </c>
      <c r="K207" s="207">
        <f>SUMIF(Historic_capex_list!$T$9:$T$586,$A207,Historic_capex_list!Q$9:Q$586)</f>
        <v>0</v>
      </c>
      <c r="L207" s="207" t="e">
        <f t="shared" ca="1" si="27"/>
        <v>#REF!</v>
      </c>
      <c r="M207" s="207">
        <f t="shared" si="25"/>
        <v>0</v>
      </c>
      <c r="O207" s="345">
        <v>0</v>
      </c>
      <c r="P207" s="345" t="e">
        <f t="shared" ca="1" si="26"/>
        <v>#REF!</v>
      </c>
    </row>
    <row r="208" spans="1:16" ht="13">
      <c r="A208" s="58" t="s">
        <v>2310</v>
      </c>
      <c r="B208" s="345"/>
      <c r="C208" s="345"/>
      <c r="D208" s="345" t="e">
        <f>SUMIF(#REF!,$A208,#REF!)</f>
        <v>#REF!</v>
      </c>
      <c r="E208" s="342" t="str">
        <f t="shared" si="23"/>
        <v>STW</v>
      </c>
      <c r="F208" s="207">
        <f>SUMIF(Interest_data!$B$12:$B$161,$A208,Interest_data!$D$12:$D$161)</f>
        <v>24782.1</v>
      </c>
      <c r="G208" s="207">
        <f ca="1">SUMIF(Interest_data!$B$12:$B$161,$A208,Interest_data!$AA$12:$AA$160)</f>
        <v>-16050</v>
      </c>
      <c r="H208" s="207" t="e">
        <f t="shared" ca="1" si="24"/>
        <v>#REF!</v>
      </c>
      <c r="I208" s="207" t="e">
        <f t="shared" ca="1" si="22"/>
        <v>#REF!</v>
      </c>
      <c r="J208" s="207">
        <f>SUMIF(Historic_capex_list!$T$9:$T$586,$A208,Historic_capex_list!P$9:P$586)</f>
        <v>0</v>
      </c>
      <c r="K208" s="207">
        <f>SUMIF(Historic_capex_list!$T$9:$T$586,$A208,Historic_capex_list!Q$9:Q$586)</f>
        <v>0</v>
      </c>
      <c r="L208" s="207" t="e">
        <f t="shared" ca="1" si="27"/>
        <v>#REF!</v>
      </c>
      <c r="M208" s="207">
        <f t="shared" si="25"/>
        <v>0</v>
      </c>
      <c r="O208" s="345">
        <v>-986112.84749558626</v>
      </c>
      <c r="P208" s="345" t="e">
        <f t="shared" ca="1" si="26"/>
        <v>#REF!</v>
      </c>
    </row>
    <row r="209" spans="1:16" ht="13">
      <c r="A209" s="58" t="s">
        <v>2776</v>
      </c>
      <c r="B209" s="345"/>
      <c r="C209" s="345"/>
      <c r="D209" s="345" t="e">
        <f>SUMIF(#REF!,$A209,#REF!)</f>
        <v>#REF!</v>
      </c>
      <c r="E209" s="342" t="str">
        <f t="shared" si="23"/>
        <v>STW</v>
      </c>
      <c r="F209" s="207">
        <f>SUMIF(Interest_data!$B$12:$B$161,$A209,Interest_data!$D$12:$D$161)</f>
        <v>0</v>
      </c>
      <c r="G209" s="207">
        <f ca="1">SUMIF(Interest_data!$B$12:$B$161,$A209,Interest_data!$AA$12:$AA$160)</f>
        <v>0</v>
      </c>
      <c r="H209" s="207" t="e">
        <f t="shared" ca="1" si="24"/>
        <v>#REF!</v>
      </c>
      <c r="I209" s="207"/>
      <c r="J209" s="207">
        <f>SUMIF(Historic_capex_list!$T$9:$T$586,$A209,Historic_capex_list!P$9:P$586)</f>
        <v>0</v>
      </c>
      <c r="K209" s="207">
        <f>SUMIF(Historic_capex_list!$T$9:$T$586,$A209,Historic_capex_list!Q$9:Q$586)</f>
        <v>0</v>
      </c>
      <c r="L209" s="207" t="e">
        <f t="shared" ca="1" si="27"/>
        <v>#REF!</v>
      </c>
      <c r="M209" s="207">
        <f t="shared" si="25"/>
        <v>0</v>
      </c>
      <c r="O209" s="345">
        <v>0</v>
      </c>
      <c r="P209" s="345">
        <f t="shared" si="26"/>
        <v>0</v>
      </c>
    </row>
    <row r="210" spans="1:16" ht="13">
      <c r="A210" s="58" t="s">
        <v>2325</v>
      </c>
      <c r="B210" s="345"/>
      <c r="C210" s="345"/>
      <c r="D210" s="345" t="e">
        <f>SUMIF(#REF!,$A210,#REF!)</f>
        <v>#REF!</v>
      </c>
      <c r="E210" s="342" t="str">
        <f t="shared" si="23"/>
        <v>STW</v>
      </c>
      <c r="F210" s="207">
        <f>SUMIF(Interest_data!$B$12:$B$161,$A210,Interest_data!$D$12:$D$161)</f>
        <v>60639</v>
      </c>
      <c r="G210" s="207">
        <f ca="1">SUMIF(Interest_data!$B$12:$B$161,$A210,Interest_data!$AA$12:$AA$160)</f>
        <v>2202753</v>
      </c>
      <c r="H210" s="207" t="e">
        <f t="shared" ca="1" si="24"/>
        <v>#REF!</v>
      </c>
      <c r="I210" s="207" t="e">
        <f t="shared" ca="1" si="22"/>
        <v>#REF!</v>
      </c>
      <c r="J210" s="207">
        <f>SUMIF(Historic_capex_list!$T$9:$T$586,$A210,Historic_capex_list!P$9:P$586)</f>
        <v>0</v>
      </c>
      <c r="K210" s="207">
        <f>SUMIF(Historic_capex_list!$T$9:$T$586,$A210,Historic_capex_list!Q$9:Q$586)</f>
        <v>0</v>
      </c>
      <c r="L210" s="207" t="e">
        <f t="shared" ca="1" si="27"/>
        <v>#REF!</v>
      </c>
      <c r="M210" s="207">
        <f t="shared" si="25"/>
        <v>0</v>
      </c>
      <c r="O210" s="345">
        <v>1193113.5496779622</v>
      </c>
      <c r="P210" s="345" t="e">
        <f t="shared" ca="1" si="26"/>
        <v>#REF!</v>
      </c>
    </row>
    <row r="211" spans="1:16" ht="13">
      <c r="A211" s="330" t="s">
        <v>2323</v>
      </c>
      <c r="B211" s="345"/>
      <c r="C211" s="345"/>
      <c r="D211" s="345" t="e">
        <f>SUMIF(#REF!,$A211,#REF!)</f>
        <v>#REF!</v>
      </c>
      <c r="E211" s="342" t="str">
        <f t="shared" si="23"/>
        <v>STW</v>
      </c>
      <c r="F211" s="207">
        <f>SUMIF(Interest_data!$B$12:$B$161,$A211,Interest_data!$D$12:$D$161)</f>
        <v>6269.4</v>
      </c>
      <c r="G211" s="207">
        <f ca="1">SUMIF(Interest_data!$B$12:$B$161,$A211,Interest_data!$AA$12:$AA$160)</f>
        <v>150145</v>
      </c>
      <c r="H211" s="207" t="e">
        <f t="shared" ca="1" si="24"/>
        <v>#REF!</v>
      </c>
      <c r="I211" s="207" t="e">
        <f t="shared" ca="1" si="22"/>
        <v>#REF!</v>
      </c>
      <c r="J211" s="207">
        <f>SUMIF(Historic_capex_list!$T$9:$T$586,$A211,Historic_capex_list!P$9:P$586)</f>
        <v>0</v>
      </c>
      <c r="K211" s="207">
        <f>SUMIF(Historic_capex_list!$T$9:$T$586,$A211,Historic_capex_list!Q$9:Q$586)</f>
        <v>0</v>
      </c>
      <c r="L211" s="207" t="e">
        <f t="shared" ca="1" si="27"/>
        <v>#REF!</v>
      </c>
      <c r="M211" s="207">
        <f t="shared" si="25"/>
        <v>0</v>
      </c>
      <c r="O211" s="345">
        <v>-2898859.0147717651</v>
      </c>
      <c r="P211" s="345" t="e">
        <f t="shared" ca="1" si="26"/>
        <v>#REF!</v>
      </c>
    </row>
    <row r="212" spans="1:16" ht="13">
      <c r="A212" s="58" t="s">
        <v>2313</v>
      </c>
      <c r="B212" s="345"/>
      <c r="C212" s="345"/>
      <c r="D212" s="345" t="e">
        <f>SUMIF(#REF!,$A212,#REF!)</f>
        <v>#REF!</v>
      </c>
      <c r="E212" s="342" t="str">
        <f t="shared" si="23"/>
        <v>STW</v>
      </c>
      <c r="F212" s="207">
        <f>SUMIF(Interest_data!$B$12:$B$161,$A212,Interest_data!$D$12:$D$161)</f>
        <v>439.8</v>
      </c>
      <c r="G212" s="207">
        <f ca="1">SUMIF(Interest_data!$B$12:$B$161,$A212,Interest_data!$AA$12:$AA$160)</f>
        <v>11151</v>
      </c>
      <c r="H212" s="207" t="e">
        <f t="shared" ca="1" si="24"/>
        <v>#REF!</v>
      </c>
      <c r="I212" s="207" t="e">
        <f t="shared" ca="1" si="22"/>
        <v>#REF!</v>
      </c>
      <c r="J212" s="207">
        <f>SUMIF(Historic_capex_list!$T$9:$T$586,$A212,Historic_capex_list!P$9:P$586)</f>
        <v>0</v>
      </c>
      <c r="K212" s="207">
        <f>SUMIF(Historic_capex_list!$T$9:$T$586,$A212,Historic_capex_list!Q$9:Q$586)</f>
        <v>0</v>
      </c>
      <c r="L212" s="207" t="e">
        <f t="shared" ca="1" si="27"/>
        <v>#REF!</v>
      </c>
      <c r="M212" s="207">
        <f t="shared" si="25"/>
        <v>0</v>
      </c>
      <c r="O212" s="345">
        <v>-36554.380284467596</v>
      </c>
      <c r="P212" s="345" t="e">
        <f t="shared" ca="1" si="26"/>
        <v>#REF!</v>
      </c>
    </row>
    <row r="213" spans="1:16" ht="13">
      <c r="A213" s="58" t="s">
        <v>2309</v>
      </c>
      <c r="B213" s="345"/>
      <c r="C213" s="345"/>
      <c r="D213" s="345" t="e">
        <f>SUMIF(#REF!,$A213,#REF!)</f>
        <v>#REF!</v>
      </c>
      <c r="E213" s="342" t="str">
        <f t="shared" si="23"/>
        <v>STW</v>
      </c>
      <c r="F213" s="207">
        <f>SUMIF(Interest_data!$B$12:$B$161,$A213,Interest_data!$D$12:$D$161)</f>
        <v>54</v>
      </c>
      <c r="G213" s="207">
        <f ca="1">SUMIF(Interest_data!$B$12:$B$161,$A213,Interest_data!$AA$12:$AA$160)</f>
        <v>7083</v>
      </c>
      <c r="H213" s="207" t="e">
        <f t="shared" ca="1" si="24"/>
        <v>#REF!</v>
      </c>
      <c r="I213" s="207" t="e">
        <f t="shared" ca="1" si="22"/>
        <v>#REF!</v>
      </c>
      <c r="J213" s="207">
        <f>SUMIF(Historic_capex_list!$T$9:$T$586,$A213,Historic_capex_list!P$9:P$586)</f>
        <v>0</v>
      </c>
      <c r="K213" s="207">
        <f>SUMIF(Historic_capex_list!$T$9:$T$586,$A213,Historic_capex_list!Q$9:Q$586)</f>
        <v>0</v>
      </c>
      <c r="L213" s="207" t="e">
        <f t="shared" ca="1" si="27"/>
        <v>#REF!</v>
      </c>
      <c r="M213" s="207">
        <f t="shared" si="25"/>
        <v>0</v>
      </c>
      <c r="O213" s="345">
        <v>2841.1373882663383</v>
      </c>
      <c r="P213" s="345" t="e">
        <f t="shared" ca="1" si="26"/>
        <v>#REF!</v>
      </c>
    </row>
    <row r="214" spans="1:16" ht="13">
      <c r="A214" s="330" t="s">
        <v>2778</v>
      </c>
      <c r="B214" s="345"/>
      <c r="C214" s="345"/>
      <c r="D214" s="345" t="e">
        <f>SUMIF(#REF!,$A214,#REF!)</f>
        <v>#REF!</v>
      </c>
      <c r="E214" s="342" t="str">
        <f t="shared" si="23"/>
        <v>TRA</v>
      </c>
      <c r="F214" s="207">
        <f>SUMIF(Interest_data!$B$12:$B$161,$A214,Interest_data!$D$12:$D$161)</f>
        <v>2660459.4</v>
      </c>
      <c r="G214" s="207">
        <f ca="1">SUMIF(Interest_data!$B$12:$B$161,$A214,Interest_data!$AA$12:$AA$160)</f>
        <v>8232209</v>
      </c>
      <c r="H214" s="207" t="e">
        <f t="shared" ca="1" si="24"/>
        <v>#REF!</v>
      </c>
      <c r="I214" s="207" t="e">
        <f t="shared" ca="1" si="22"/>
        <v>#REF!</v>
      </c>
      <c r="J214" s="207">
        <f>SUMIF(Historic_capex_list!$T$9:$T$586,$A214,Historic_capex_list!P$9:P$586)</f>
        <v>-12709203.931614164</v>
      </c>
      <c r="K214" s="207">
        <f>SUMIF(Historic_capex_list!$T$9:$T$586,$A214,Historic_capex_list!Q$9:Q$586)</f>
        <v>0</v>
      </c>
      <c r="L214" s="207" t="e">
        <f t="shared" ca="1" si="27"/>
        <v>#REF!</v>
      </c>
      <c r="M214" s="207">
        <f t="shared" si="25"/>
        <v>0</v>
      </c>
      <c r="O214" s="345">
        <v>-103624687.65114063</v>
      </c>
      <c r="P214" s="345" t="e">
        <f t="shared" ca="1" si="26"/>
        <v>#REF!</v>
      </c>
    </row>
    <row r="215" spans="1:16" ht="13">
      <c r="A215" s="58" t="s">
        <v>2787</v>
      </c>
      <c r="B215" s="345"/>
      <c r="C215" s="345"/>
      <c r="D215" s="345" t="e">
        <f>SUMIF(#REF!,$A215,#REF!)</f>
        <v>#REF!</v>
      </c>
      <c r="E215" s="342" t="str">
        <f t="shared" si="23"/>
        <v>TRA</v>
      </c>
      <c r="F215" s="207">
        <f>SUMIF(Interest_data!$B$12:$B$161,$A215,Interest_data!$D$12:$D$161)</f>
        <v>0</v>
      </c>
      <c r="G215" s="207">
        <f ca="1">SUMIF(Interest_data!$B$12:$B$161,$A215,Interest_data!$AA$12:$AA$160)</f>
        <v>0</v>
      </c>
      <c r="H215" s="207" t="e">
        <f t="shared" ca="1" si="24"/>
        <v>#REF!</v>
      </c>
      <c r="I215" s="207" t="e">
        <f t="shared" ca="1" si="22"/>
        <v>#REF!</v>
      </c>
      <c r="J215" s="207">
        <f>SUMIF(Historic_capex_list!$T$9:$T$586,$A215,Historic_capex_list!P$9:P$586)</f>
        <v>0</v>
      </c>
      <c r="K215" s="207">
        <f>SUMIF(Historic_capex_list!$T$9:$T$586,$A215,Historic_capex_list!Q$9:Q$586)</f>
        <v>0</v>
      </c>
      <c r="L215" s="207" t="e">
        <f t="shared" ca="1" si="27"/>
        <v>#REF!</v>
      </c>
      <c r="M215" s="207">
        <f t="shared" si="25"/>
        <v>0</v>
      </c>
      <c r="O215" s="345">
        <v>0</v>
      </c>
      <c r="P215" s="345" t="e">
        <f t="shared" ca="1" si="26"/>
        <v>#REF!</v>
      </c>
    </row>
    <row r="216" spans="1:16" ht="13">
      <c r="A216" s="58" t="s">
        <v>2788</v>
      </c>
      <c r="B216" s="345"/>
      <c r="C216" s="345"/>
      <c r="D216" s="345" t="e">
        <f>SUMIF(#REF!,$A216,#REF!)</f>
        <v>#REF!</v>
      </c>
      <c r="E216" s="342" t="str">
        <f t="shared" si="23"/>
        <v>TRA</v>
      </c>
      <c r="F216" s="207">
        <f>SUMIF(Interest_data!$B$12:$B$161,$A216,Interest_data!$D$12:$D$161)</f>
        <v>0</v>
      </c>
      <c r="G216" s="207">
        <f ca="1">SUMIF(Interest_data!$B$12:$B$161,$A216,Interest_data!$AA$12:$AA$160)</f>
        <v>0</v>
      </c>
      <c r="H216" s="207" t="e">
        <f t="shared" ca="1" si="24"/>
        <v>#REF!</v>
      </c>
      <c r="I216" s="207" t="e">
        <f t="shared" ca="1" si="22"/>
        <v>#REF!</v>
      </c>
      <c r="J216" s="207">
        <f>SUMIF(Historic_capex_list!$T$9:$T$586,$A216,Historic_capex_list!P$9:P$586)</f>
        <v>0</v>
      </c>
      <c r="K216" s="207">
        <f>SUMIF(Historic_capex_list!$T$9:$T$586,$A216,Historic_capex_list!Q$9:Q$586)</f>
        <v>0</v>
      </c>
      <c r="L216" s="207" t="e">
        <f t="shared" ca="1" si="27"/>
        <v>#REF!</v>
      </c>
      <c r="M216" s="207">
        <f t="shared" si="25"/>
        <v>0</v>
      </c>
      <c r="O216" s="345">
        <v>0</v>
      </c>
      <c r="P216" s="345" t="e">
        <f t="shared" ca="1" si="26"/>
        <v>#REF!</v>
      </c>
    </row>
    <row r="217" spans="1:16" ht="13">
      <c r="A217" s="58" t="s">
        <v>2789</v>
      </c>
      <c r="B217" s="345"/>
      <c r="C217" s="345"/>
      <c r="D217" s="345" t="e">
        <f>SUMIF(#REF!,$A217,#REF!)</f>
        <v>#REF!</v>
      </c>
      <c r="E217" s="342" t="str">
        <f t="shared" si="23"/>
        <v>TRA</v>
      </c>
      <c r="F217" s="207">
        <f>SUMIF(Interest_data!$B$12:$B$161,$A217,Interest_data!$D$12:$D$161)</f>
        <v>0</v>
      </c>
      <c r="G217" s="207">
        <f ca="1">SUMIF(Interest_data!$B$12:$B$161,$A217,Interest_data!$AA$12:$AA$160)</f>
        <v>0</v>
      </c>
      <c r="H217" s="207" t="e">
        <f t="shared" ca="1" si="24"/>
        <v>#REF!</v>
      </c>
      <c r="I217" s="207" t="e">
        <f t="shared" ca="1" si="22"/>
        <v>#REF!</v>
      </c>
      <c r="J217" s="207">
        <f>SUMIF(Historic_capex_list!$T$9:$T$586,$A217,Historic_capex_list!P$9:P$586)</f>
        <v>-1227414.5357745588</v>
      </c>
      <c r="K217" s="207">
        <f>SUMIF(Historic_capex_list!$T$9:$T$586,$A217,Historic_capex_list!Q$9:Q$586)</f>
        <v>303105.11014299397</v>
      </c>
      <c r="L217" s="207" t="e">
        <f t="shared" ca="1" si="27"/>
        <v>#REF!</v>
      </c>
      <c r="M217" s="207">
        <f t="shared" si="25"/>
        <v>303105.11014299397</v>
      </c>
      <c r="O217" s="345">
        <v>0</v>
      </c>
      <c r="P217" s="345" t="e">
        <f t="shared" ca="1" si="26"/>
        <v>#REF!</v>
      </c>
    </row>
    <row r="218" spans="1:16" ht="13">
      <c r="A218" s="58" t="s">
        <v>2790</v>
      </c>
      <c r="B218" s="345"/>
      <c r="C218" s="345"/>
      <c r="D218" s="345" t="e">
        <f>SUMIF(#REF!,$A218,#REF!)</f>
        <v>#REF!</v>
      </c>
      <c r="E218" s="342" t="str">
        <f t="shared" si="23"/>
        <v>TRA</v>
      </c>
      <c r="F218" s="207">
        <f>SUMIF(Interest_data!$B$12:$B$161,$A218,Interest_data!$D$12:$D$161)</f>
        <v>0</v>
      </c>
      <c r="G218" s="207">
        <f ca="1">SUMIF(Interest_data!$B$12:$B$161,$A218,Interest_data!$AA$12:$AA$160)</f>
        <v>0</v>
      </c>
      <c r="H218" s="207" t="e">
        <f t="shared" ca="1" si="24"/>
        <v>#REF!</v>
      </c>
      <c r="I218" s="207" t="e">
        <f t="shared" ca="1" si="22"/>
        <v>#REF!</v>
      </c>
      <c r="J218" s="207">
        <f>SUMIF(Historic_capex_list!$T$9:$T$586,$A218,Historic_capex_list!P$9:P$586)</f>
        <v>0</v>
      </c>
      <c r="K218" s="207">
        <f>SUMIF(Historic_capex_list!$T$9:$T$586,$A218,Historic_capex_list!Q$9:Q$586)</f>
        <v>0</v>
      </c>
      <c r="L218" s="207" t="e">
        <f t="shared" ca="1" si="27"/>
        <v>#REF!</v>
      </c>
      <c r="M218" s="207">
        <f t="shared" si="25"/>
        <v>0</v>
      </c>
      <c r="O218" s="345">
        <v>0</v>
      </c>
      <c r="P218" s="345" t="e">
        <f t="shared" ca="1" si="26"/>
        <v>#REF!</v>
      </c>
    </row>
    <row r="219" spans="1:16" ht="13">
      <c r="A219" s="58" t="s">
        <v>2791</v>
      </c>
      <c r="B219" s="345"/>
      <c r="C219" s="345"/>
      <c r="D219" s="345" t="e">
        <f>SUMIF(#REF!,$A219,#REF!)</f>
        <v>#REF!</v>
      </c>
      <c r="E219" s="342" t="str">
        <f t="shared" si="23"/>
        <v>TRA</v>
      </c>
      <c r="F219" s="207">
        <f>SUMIF(Interest_data!$B$12:$B$161,$A219,Interest_data!$D$12:$D$161)</f>
        <v>0</v>
      </c>
      <c r="G219" s="207">
        <f ca="1">SUMIF(Interest_data!$B$12:$B$161,$A219,Interest_data!$AA$12:$AA$160)</f>
        <v>0</v>
      </c>
      <c r="H219" s="207" t="e">
        <f t="shared" ca="1" si="24"/>
        <v>#REF!</v>
      </c>
      <c r="I219" s="207" t="e">
        <f t="shared" ca="1" si="22"/>
        <v>#REF!</v>
      </c>
      <c r="J219" s="207">
        <f>SUMIF(Historic_capex_list!$T$9:$T$586,$A219,Historic_capex_list!P$9:P$586)</f>
        <v>0</v>
      </c>
      <c r="K219" s="207">
        <f>SUMIF(Historic_capex_list!$T$9:$T$586,$A219,Historic_capex_list!Q$9:Q$586)</f>
        <v>0</v>
      </c>
      <c r="L219" s="207" t="e">
        <f t="shared" ca="1" si="27"/>
        <v>#REF!</v>
      </c>
      <c r="M219" s="207">
        <f t="shared" si="25"/>
        <v>0</v>
      </c>
      <c r="O219" s="345">
        <v>0</v>
      </c>
      <c r="P219" s="345" t="e">
        <f t="shared" ca="1" si="26"/>
        <v>#REF!</v>
      </c>
    </row>
    <row r="220" spans="1:16" ht="13">
      <c r="A220" s="58" t="s">
        <v>2792</v>
      </c>
      <c r="B220" s="345"/>
      <c r="C220" s="345"/>
      <c r="D220" s="345" t="e">
        <f>SUMIF(#REF!,$A220,#REF!)</f>
        <v>#REF!</v>
      </c>
      <c r="E220" s="342" t="str">
        <f t="shared" si="23"/>
        <v>TRA</v>
      </c>
      <c r="F220" s="207">
        <f>SUMIF(Interest_data!$B$12:$B$161,$A220,Interest_data!$D$12:$D$161)</f>
        <v>0</v>
      </c>
      <c r="G220" s="207">
        <f ca="1">SUMIF(Interest_data!$B$12:$B$161,$A220,Interest_data!$AA$12:$AA$160)</f>
        <v>0</v>
      </c>
      <c r="H220" s="207" t="e">
        <f t="shared" ca="1" si="24"/>
        <v>#REF!</v>
      </c>
      <c r="I220" s="207" t="e">
        <f t="shared" ca="1" si="22"/>
        <v>#REF!</v>
      </c>
      <c r="J220" s="207">
        <f>SUMIF(Historic_capex_list!$T$9:$T$586,$A220,Historic_capex_list!P$9:P$586)</f>
        <v>0</v>
      </c>
      <c r="K220" s="207">
        <f>SUMIF(Historic_capex_list!$T$9:$T$586,$A220,Historic_capex_list!Q$9:Q$586)</f>
        <v>0</v>
      </c>
      <c r="L220" s="207" t="e">
        <f t="shared" ca="1" si="27"/>
        <v>#REF!</v>
      </c>
      <c r="M220" s="207">
        <f t="shared" si="25"/>
        <v>0</v>
      </c>
      <c r="O220" s="345">
        <v>0</v>
      </c>
      <c r="P220" s="345" t="e">
        <f t="shared" ca="1" si="26"/>
        <v>#REF!</v>
      </c>
    </row>
    <row r="221" spans="1:16" ht="13">
      <c r="A221" s="58" t="s">
        <v>2793</v>
      </c>
      <c r="B221" s="345"/>
      <c r="C221" s="345"/>
      <c r="D221" s="345" t="e">
        <f>SUMIF(#REF!,$A221,#REF!)</f>
        <v>#REF!</v>
      </c>
      <c r="E221" s="342" t="str">
        <f t="shared" si="23"/>
        <v>TRA</v>
      </c>
      <c r="F221" s="207">
        <f>SUMIF(Interest_data!$B$12:$B$161,$A221,Interest_data!$D$12:$D$161)</f>
        <v>0</v>
      </c>
      <c r="G221" s="207">
        <f ca="1">SUMIF(Interest_data!$B$12:$B$161,$A221,Interest_data!$AA$12:$AA$160)</f>
        <v>0</v>
      </c>
      <c r="H221" s="207" t="e">
        <f t="shared" ca="1" si="24"/>
        <v>#REF!</v>
      </c>
      <c r="I221" s="207" t="e">
        <f t="shared" ca="1" si="22"/>
        <v>#REF!</v>
      </c>
      <c r="J221" s="207">
        <f>SUMIF(Historic_capex_list!$T$9:$T$586,$A221,Historic_capex_list!P$9:P$586)</f>
        <v>0</v>
      </c>
      <c r="K221" s="207">
        <f>SUMIF(Historic_capex_list!$T$9:$T$586,$A221,Historic_capex_list!Q$9:Q$586)</f>
        <v>0</v>
      </c>
      <c r="L221" s="207" t="e">
        <f t="shared" ca="1" si="27"/>
        <v>#REF!</v>
      </c>
      <c r="M221" s="207">
        <f t="shared" si="25"/>
        <v>0</v>
      </c>
      <c r="O221" s="345">
        <v>0</v>
      </c>
      <c r="P221" s="345" t="e">
        <f t="shared" ca="1" si="26"/>
        <v>#REF!</v>
      </c>
    </row>
    <row r="222" spans="1:16" ht="13">
      <c r="A222" s="58" t="s">
        <v>2794</v>
      </c>
      <c r="B222" s="345"/>
      <c r="C222" s="345"/>
      <c r="D222" s="345" t="e">
        <f>SUMIF(#REF!,$A222,#REF!)</f>
        <v>#REF!</v>
      </c>
      <c r="E222" s="342" t="str">
        <f t="shared" si="23"/>
        <v>TRA</v>
      </c>
      <c r="F222" s="207">
        <f>SUMIF(Interest_data!$B$12:$B$161,$A222,Interest_data!$D$12:$D$161)</f>
        <v>0</v>
      </c>
      <c r="G222" s="207">
        <f ca="1">SUMIF(Interest_data!$B$12:$B$161,$A222,Interest_data!$AA$12:$AA$160)</f>
        <v>0</v>
      </c>
      <c r="H222" s="207" t="e">
        <f t="shared" ca="1" si="24"/>
        <v>#REF!</v>
      </c>
      <c r="I222" s="207" t="e">
        <f t="shared" ca="1" si="22"/>
        <v>#REF!</v>
      </c>
      <c r="J222" s="207">
        <f>SUMIF(Historic_capex_list!$T$9:$T$586,$A222,Historic_capex_list!P$9:P$586)</f>
        <v>0</v>
      </c>
      <c r="K222" s="207">
        <f>SUMIF(Historic_capex_list!$T$9:$T$586,$A222,Historic_capex_list!Q$9:Q$586)</f>
        <v>0</v>
      </c>
      <c r="L222" s="207" t="e">
        <f t="shared" ca="1" si="27"/>
        <v>#REF!</v>
      </c>
      <c r="M222" s="207">
        <f t="shared" si="25"/>
        <v>0</v>
      </c>
      <c r="O222" s="345">
        <v>0</v>
      </c>
      <c r="P222" s="345" t="e">
        <f t="shared" ca="1" si="26"/>
        <v>#REF!</v>
      </c>
    </row>
    <row r="223" spans="1:16" ht="13">
      <c r="A223" s="58" t="s">
        <v>2795</v>
      </c>
      <c r="B223" s="345"/>
      <c r="C223" s="345"/>
      <c r="D223" s="345" t="e">
        <f>SUMIF(#REF!,$A223,#REF!)</f>
        <v>#REF!</v>
      </c>
      <c r="E223" s="342" t="str">
        <f t="shared" si="23"/>
        <v>TRA</v>
      </c>
      <c r="F223" s="207">
        <f>SUMIF(Interest_data!$B$12:$B$161,$A223,Interest_data!$D$12:$D$161)</f>
        <v>0</v>
      </c>
      <c r="G223" s="207">
        <f ca="1">SUMIF(Interest_data!$B$12:$B$161,$A223,Interest_data!$AA$12:$AA$160)</f>
        <v>0</v>
      </c>
      <c r="H223" s="207" t="e">
        <f t="shared" ca="1" si="24"/>
        <v>#REF!</v>
      </c>
      <c r="I223" s="207" t="e">
        <f t="shared" ca="1" si="22"/>
        <v>#REF!</v>
      </c>
      <c r="J223" s="207">
        <f>SUMIF(Historic_capex_list!$T$9:$T$586,$A223,Historic_capex_list!P$9:P$586)</f>
        <v>0</v>
      </c>
      <c r="K223" s="207">
        <f>SUMIF(Historic_capex_list!$T$9:$T$586,$A223,Historic_capex_list!Q$9:Q$586)</f>
        <v>0</v>
      </c>
      <c r="L223" s="207" t="e">
        <f t="shared" ca="1" si="27"/>
        <v>#REF!</v>
      </c>
      <c r="M223" s="207">
        <f t="shared" si="25"/>
        <v>0</v>
      </c>
      <c r="O223" s="345">
        <v>0</v>
      </c>
      <c r="P223" s="345" t="e">
        <f t="shared" ca="1" si="26"/>
        <v>#REF!</v>
      </c>
    </row>
    <row r="224" spans="1:16" ht="13">
      <c r="A224" s="58" t="s">
        <v>2796</v>
      </c>
      <c r="B224" s="345"/>
      <c r="C224" s="345"/>
      <c r="D224" s="345" t="e">
        <f>SUMIF(#REF!,$A224,#REF!)</f>
        <v>#REF!</v>
      </c>
      <c r="E224" s="342" t="str">
        <f t="shared" si="23"/>
        <v>TRA</v>
      </c>
      <c r="F224" s="207">
        <f>SUMIF(Interest_data!$B$12:$B$161,$A224,Interest_data!$D$12:$D$161)</f>
        <v>0</v>
      </c>
      <c r="G224" s="207">
        <f ca="1">SUMIF(Interest_data!$B$12:$B$161,$A224,Interest_data!$AA$12:$AA$160)</f>
        <v>0</v>
      </c>
      <c r="H224" s="207" t="e">
        <f t="shared" ca="1" si="24"/>
        <v>#REF!</v>
      </c>
      <c r="I224" s="207" t="e">
        <f t="shared" ca="1" si="22"/>
        <v>#REF!</v>
      </c>
      <c r="J224" s="207">
        <f>SUMIF(Historic_capex_list!$T$9:$T$586,$A224,Historic_capex_list!P$9:P$586)</f>
        <v>0</v>
      </c>
      <c r="K224" s="207">
        <f>SUMIF(Historic_capex_list!$T$9:$T$586,$A224,Historic_capex_list!Q$9:Q$586)</f>
        <v>0</v>
      </c>
      <c r="L224" s="207" t="e">
        <f t="shared" ca="1" si="27"/>
        <v>#REF!</v>
      </c>
      <c r="M224" s="207">
        <f t="shared" si="25"/>
        <v>0</v>
      </c>
      <c r="O224" s="345">
        <v>0</v>
      </c>
      <c r="P224" s="345" t="e">
        <f t="shared" ca="1" si="26"/>
        <v>#REF!</v>
      </c>
    </row>
    <row r="225" spans="1:16" ht="13">
      <c r="A225" s="58" t="s">
        <v>2779</v>
      </c>
      <c r="B225" s="345"/>
      <c r="C225" s="345"/>
      <c r="D225" s="345" t="e">
        <f>SUMIF(#REF!,$A225,#REF!)</f>
        <v>#REF!</v>
      </c>
      <c r="E225" s="342" t="str">
        <f t="shared" si="23"/>
        <v>TRA</v>
      </c>
      <c r="F225" s="207">
        <f>SUMIF(Interest_data!$B$12:$B$161,$A225,Interest_data!$D$12:$D$161)</f>
        <v>187052.1</v>
      </c>
      <c r="G225" s="207">
        <f ca="1">SUMIF(Interest_data!$B$12:$B$161,$A225,Interest_data!$AA$12:$AA$160)</f>
        <v>3199625</v>
      </c>
      <c r="H225" s="207" t="e">
        <f t="shared" ca="1" si="24"/>
        <v>#REF!</v>
      </c>
      <c r="I225" s="207" t="e">
        <f t="shared" ca="1" si="22"/>
        <v>#REF!</v>
      </c>
      <c r="J225" s="207">
        <f>SUMIF(Historic_capex_list!$T$9:$T$586,$A225,Historic_capex_list!P$9:P$586)</f>
        <v>28805268.647306841</v>
      </c>
      <c r="K225" s="207">
        <f>SUMIF(Historic_capex_list!$T$9:$T$586,$A225,Historic_capex_list!Q$9:Q$586)</f>
        <v>7018115.5133220181</v>
      </c>
      <c r="L225" s="207" t="e">
        <f t="shared" ca="1" si="27"/>
        <v>#REF!</v>
      </c>
      <c r="M225" s="207">
        <f t="shared" si="25"/>
        <v>7018115.5133220181</v>
      </c>
      <c r="O225" s="345">
        <v>-7509484.7994765267</v>
      </c>
      <c r="P225" s="345" t="e">
        <f t="shared" ca="1" si="26"/>
        <v>#REF!</v>
      </c>
    </row>
    <row r="226" spans="1:16" ht="13">
      <c r="A226" s="58" t="s">
        <v>2797</v>
      </c>
      <c r="B226" s="345"/>
      <c r="C226" s="345"/>
      <c r="D226" s="345" t="e">
        <f>SUMIF(#REF!,$A226,#REF!)</f>
        <v>#REF!</v>
      </c>
      <c r="E226" s="342" t="str">
        <f t="shared" si="23"/>
        <v>TRA</v>
      </c>
      <c r="F226" s="207">
        <f>SUMIF(Interest_data!$B$12:$B$161,$A226,Interest_data!$D$12:$D$161)</f>
        <v>0</v>
      </c>
      <c r="G226" s="207">
        <f ca="1">SUMIF(Interest_data!$B$12:$B$161,$A226,Interest_data!$AA$12:$AA$160)</f>
        <v>0</v>
      </c>
      <c r="H226" s="207" t="e">
        <f t="shared" ca="1" si="24"/>
        <v>#REF!</v>
      </c>
      <c r="I226" s="207" t="e">
        <f t="shared" ca="1" si="22"/>
        <v>#REF!</v>
      </c>
      <c r="J226" s="207">
        <f>SUMIF(Historic_capex_list!$T$9:$T$586,$A226,Historic_capex_list!P$9:P$586)</f>
        <v>0</v>
      </c>
      <c r="K226" s="207">
        <f>SUMIF(Historic_capex_list!$T$9:$T$586,$A226,Historic_capex_list!Q$9:Q$586)</f>
        <v>0</v>
      </c>
      <c r="L226" s="207" t="e">
        <f t="shared" ca="1" si="27"/>
        <v>#REF!</v>
      </c>
      <c r="M226" s="207">
        <f t="shared" si="25"/>
        <v>0</v>
      </c>
      <c r="O226" s="345">
        <v>0</v>
      </c>
      <c r="P226" s="345" t="e">
        <f t="shared" ca="1" si="26"/>
        <v>#REF!</v>
      </c>
    </row>
    <row r="227" spans="1:16" ht="13">
      <c r="A227" s="58" t="s">
        <v>2798</v>
      </c>
      <c r="B227" s="345"/>
      <c r="C227" s="345"/>
      <c r="D227" s="345" t="e">
        <f>SUMIF(#REF!,$A227,#REF!)</f>
        <v>#REF!</v>
      </c>
      <c r="E227" s="342" t="str">
        <f t="shared" si="23"/>
        <v>TRA</v>
      </c>
      <c r="F227" s="207">
        <f>SUMIF(Interest_data!$B$12:$B$161,$A227,Interest_data!$D$12:$D$161)</f>
        <v>0</v>
      </c>
      <c r="G227" s="207">
        <f ca="1">SUMIF(Interest_data!$B$12:$B$161,$A227,Interest_data!$AA$12:$AA$160)</f>
        <v>0</v>
      </c>
      <c r="H227" s="207" t="e">
        <f t="shared" ca="1" si="24"/>
        <v>#REF!</v>
      </c>
      <c r="I227" s="207" t="e">
        <f t="shared" ca="1" si="22"/>
        <v>#REF!</v>
      </c>
      <c r="J227" s="207">
        <f>SUMIF(Historic_capex_list!$T$9:$T$586,$A227,Historic_capex_list!P$9:P$586)</f>
        <v>0</v>
      </c>
      <c r="K227" s="207">
        <f>SUMIF(Historic_capex_list!$T$9:$T$586,$A227,Historic_capex_list!Q$9:Q$586)</f>
        <v>0</v>
      </c>
      <c r="L227" s="207" t="e">
        <f t="shared" ca="1" si="27"/>
        <v>#REF!</v>
      </c>
      <c r="M227" s="207">
        <f t="shared" si="25"/>
        <v>0</v>
      </c>
      <c r="O227" s="345">
        <v>0</v>
      </c>
      <c r="P227" s="345" t="e">
        <f t="shared" ca="1" si="26"/>
        <v>#REF!</v>
      </c>
    </row>
    <row r="228" spans="1:16" ht="13">
      <c r="A228" s="58" t="s">
        <v>2799</v>
      </c>
      <c r="B228" s="345"/>
      <c r="C228" s="345"/>
      <c r="D228" s="345" t="e">
        <f>SUMIF(#REF!,$A228,#REF!)</f>
        <v>#REF!</v>
      </c>
      <c r="E228" s="342" t="str">
        <f t="shared" si="23"/>
        <v>TRA</v>
      </c>
      <c r="F228" s="207">
        <f>SUMIF(Interest_data!$B$12:$B$161,$A228,Interest_data!$D$12:$D$161)</f>
        <v>0</v>
      </c>
      <c r="G228" s="207">
        <f ca="1">SUMIF(Interest_data!$B$12:$B$161,$A228,Interest_data!$AA$12:$AA$160)</f>
        <v>0</v>
      </c>
      <c r="H228" s="207" t="e">
        <f t="shared" ca="1" si="24"/>
        <v>#REF!</v>
      </c>
      <c r="I228" s="207" t="e">
        <f t="shared" ca="1" si="22"/>
        <v>#REF!</v>
      </c>
      <c r="J228" s="207">
        <f>SUMIF(Historic_capex_list!$T$9:$T$586,$A228,Historic_capex_list!P$9:P$586)</f>
        <v>0</v>
      </c>
      <c r="K228" s="207">
        <f>SUMIF(Historic_capex_list!$T$9:$T$586,$A228,Historic_capex_list!Q$9:Q$586)</f>
        <v>0</v>
      </c>
      <c r="L228" s="207" t="e">
        <f t="shared" ca="1" si="27"/>
        <v>#REF!</v>
      </c>
      <c r="M228" s="207">
        <f t="shared" si="25"/>
        <v>0</v>
      </c>
      <c r="O228" s="345">
        <v>0</v>
      </c>
      <c r="P228" s="345" t="e">
        <f t="shared" ca="1" si="26"/>
        <v>#REF!</v>
      </c>
    </row>
    <row r="229" spans="1:16" ht="13">
      <c r="A229" s="58" t="s">
        <v>2800</v>
      </c>
      <c r="B229" s="345"/>
      <c r="C229" s="345"/>
      <c r="D229" s="345" t="e">
        <f>SUMIF(#REF!,$A229,#REF!)</f>
        <v>#REF!</v>
      </c>
      <c r="E229" s="342" t="str">
        <f t="shared" si="23"/>
        <v>TRA</v>
      </c>
      <c r="F229" s="207">
        <f>SUMIF(Interest_data!$B$12:$B$161,$A229,Interest_data!$D$12:$D$161)</f>
        <v>0</v>
      </c>
      <c r="G229" s="207">
        <f ca="1">SUMIF(Interest_data!$B$12:$B$161,$A229,Interest_data!$AA$12:$AA$160)</f>
        <v>0</v>
      </c>
      <c r="H229" s="207" t="e">
        <f t="shared" ca="1" si="24"/>
        <v>#REF!</v>
      </c>
      <c r="I229" s="207" t="e">
        <f t="shared" ca="1" si="22"/>
        <v>#REF!</v>
      </c>
      <c r="J229" s="207">
        <f>SUMIF(Historic_capex_list!$T$9:$T$586,$A229,Historic_capex_list!P$9:P$586)</f>
        <v>0</v>
      </c>
      <c r="K229" s="207">
        <f>SUMIF(Historic_capex_list!$T$9:$T$586,$A229,Historic_capex_list!Q$9:Q$586)</f>
        <v>0</v>
      </c>
      <c r="L229" s="207" t="e">
        <f t="shared" ca="1" si="27"/>
        <v>#REF!</v>
      </c>
      <c r="M229" s="207">
        <f t="shared" si="25"/>
        <v>0</v>
      </c>
      <c r="O229" s="345">
        <v>0</v>
      </c>
      <c r="P229" s="345" t="e">
        <f t="shared" ca="1" si="26"/>
        <v>#REF!</v>
      </c>
    </row>
    <row r="230" spans="1:16" ht="13">
      <c r="A230" s="58" t="s">
        <v>2801</v>
      </c>
      <c r="B230" s="345"/>
      <c r="C230" s="345"/>
      <c r="D230" s="345" t="e">
        <f>SUMIF(#REF!,$A230,#REF!)</f>
        <v>#REF!</v>
      </c>
      <c r="E230" s="342" t="str">
        <f t="shared" si="23"/>
        <v>TRA</v>
      </c>
      <c r="F230" s="207">
        <f>SUMIF(Interest_data!$B$12:$B$161,$A230,Interest_data!$D$12:$D$161)</f>
        <v>0</v>
      </c>
      <c r="G230" s="207">
        <f ca="1">SUMIF(Interest_data!$B$12:$B$161,$A230,Interest_data!$AA$12:$AA$160)</f>
        <v>0</v>
      </c>
      <c r="H230" s="207" t="e">
        <f t="shared" ca="1" si="24"/>
        <v>#REF!</v>
      </c>
      <c r="I230" s="207" t="e">
        <f t="shared" ca="1" si="22"/>
        <v>#REF!</v>
      </c>
      <c r="J230" s="207">
        <f>SUMIF(Historic_capex_list!$T$9:$T$586,$A230,Historic_capex_list!P$9:P$586)</f>
        <v>0</v>
      </c>
      <c r="K230" s="207">
        <f>SUMIF(Historic_capex_list!$T$9:$T$586,$A230,Historic_capex_list!Q$9:Q$586)</f>
        <v>0</v>
      </c>
      <c r="L230" s="207" t="e">
        <f t="shared" ca="1" si="27"/>
        <v>#REF!</v>
      </c>
      <c r="M230" s="207">
        <f t="shared" si="25"/>
        <v>0</v>
      </c>
      <c r="O230" s="345">
        <v>0</v>
      </c>
      <c r="P230" s="345" t="e">
        <f t="shared" ca="1" si="26"/>
        <v>#REF!</v>
      </c>
    </row>
    <row r="231" spans="1:16" ht="13">
      <c r="A231" s="58" t="s">
        <v>2802</v>
      </c>
      <c r="B231" s="345"/>
      <c r="C231" s="345"/>
      <c r="D231" s="345" t="e">
        <f>SUMIF(#REF!,$A231,#REF!)</f>
        <v>#REF!</v>
      </c>
      <c r="E231" s="342" t="str">
        <f t="shared" si="23"/>
        <v>TRA</v>
      </c>
      <c r="F231" s="207">
        <f>SUMIF(Interest_data!$B$12:$B$161,$A231,Interest_data!$D$12:$D$161)</f>
        <v>0</v>
      </c>
      <c r="G231" s="207">
        <f ca="1">SUMIF(Interest_data!$B$12:$B$161,$A231,Interest_data!$AA$12:$AA$160)</f>
        <v>0</v>
      </c>
      <c r="H231" s="207" t="e">
        <f t="shared" ca="1" si="24"/>
        <v>#REF!</v>
      </c>
      <c r="I231" s="207" t="e">
        <f t="shared" ca="1" si="22"/>
        <v>#REF!</v>
      </c>
      <c r="J231" s="207">
        <f>SUMIF(Historic_capex_list!$T$9:$T$586,$A231,Historic_capex_list!P$9:P$586)</f>
        <v>0</v>
      </c>
      <c r="K231" s="207">
        <f>SUMIF(Historic_capex_list!$T$9:$T$586,$A231,Historic_capex_list!Q$9:Q$586)</f>
        <v>0</v>
      </c>
      <c r="L231" s="207" t="e">
        <f t="shared" ca="1" si="27"/>
        <v>#REF!</v>
      </c>
      <c r="M231" s="207">
        <f t="shared" si="25"/>
        <v>0</v>
      </c>
      <c r="O231" s="345">
        <v>0</v>
      </c>
      <c r="P231" s="345" t="e">
        <f t="shared" ca="1" si="26"/>
        <v>#REF!</v>
      </c>
    </row>
    <row r="232" spans="1:16" ht="13">
      <c r="A232" s="58" t="s">
        <v>2803</v>
      </c>
      <c r="B232" s="345"/>
      <c r="C232" s="345"/>
      <c r="D232" s="345" t="e">
        <f>SUMIF(#REF!,$A232,#REF!)</f>
        <v>#REF!</v>
      </c>
      <c r="E232" s="342" t="str">
        <f t="shared" si="23"/>
        <v>TRA</v>
      </c>
      <c r="F232" s="207">
        <f>SUMIF(Interest_data!$B$12:$B$161,$A232,Interest_data!$D$12:$D$161)</f>
        <v>0</v>
      </c>
      <c r="G232" s="207">
        <f ca="1">SUMIF(Interest_data!$B$12:$B$161,$A232,Interest_data!$AA$12:$AA$160)</f>
        <v>0</v>
      </c>
      <c r="H232" s="207" t="e">
        <f t="shared" ca="1" si="24"/>
        <v>#REF!</v>
      </c>
      <c r="I232" s="207" t="e">
        <f t="shared" ca="1" si="22"/>
        <v>#REF!</v>
      </c>
      <c r="J232" s="207">
        <f>SUMIF(Historic_capex_list!$T$9:$T$586,$A232,Historic_capex_list!P$9:P$586)</f>
        <v>0</v>
      </c>
      <c r="K232" s="207">
        <f>SUMIF(Historic_capex_list!$T$9:$T$586,$A232,Historic_capex_list!Q$9:Q$586)</f>
        <v>0</v>
      </c>
      <c r="L232" s="207" t="e">
        <f t="shared" ca="1" si="27"/>
        <v>#REF!</v>
      </c>
      <c r="M232" s="207">
        <f t="shared" si="25"/>
        <v>0</v>
      </c>
      <c r="O232" s="345">
        <v>0</v>
      </c>
      <c r="P232" s="345" t="e">
        <f t="shared" ca="1" si="26"/>
        <v>#REF!</v>
      </c>
    </row>
    <row r="233" spans="1:16" ht="13">
      <c r="A233" s="58" t="s">
        <v>2804</v>
      </c>
      <c r="B233" s="345"/>
      <c r="C233" s="345"/>
      <c r="D233" s="345" t="e">
        <f>SUMIF(#REF!,$A233,#REF!)</f>
        <v>#REF!</v>
      </c>
      <c r="E233" s="342" t="str">
        <f t="shared" si="23"/>
        <v>TRA</v>
      </c>
      <c r="F233" s="207">
        <f>SUMIF(Interest_data!$B$12:$B$161,$A233,Interest_data!$D$12:$D$161)</f>
        <v>0</v>
      </c>
      <c r="G233" s="207">
        <f ca="1">SUMIF(Interest_data!$B$12:$B$161,$A233,Interest_data!$AA$12:$AA$160)</f>
        <v>0</v>
      </c>
      <c r="H233" s="207" t="e">
        <f t="shared" ca="1" si="24"/>
        <v>#REF!</v>
      </c>
      <c r="I233" s="207" t="e">
        <f t="shared" ca="1" si="22"/>
        <v>#REF!</v>
      </c>
      <c r="J233" s="207">
        <f>SUMIF(Historic_capex_list!$T$9:$T$586,$A233,Historic_capex_list!P$9:P$586)</f>
        <v>0</v>
      </c>
      <c r="K233" s="207">
        <f>SUMIF(Historic_capex_list!$T$9:$T$586,$A233,Historic_capex_list!Q$9:Q$586)</f>
        <v>0</v>
      </c>
      <c r="L233" s="207" t="e">
        <f t="shared" ca="1" si="27"/>
        <v>#REF!</v>
      </c>
      <c r="M233" s="207">
        <f t="shared" si="25"/>
        <v>0</v>
      </c>
      <c r="O233" s="345">
        <v>0</v>
      </c>
      <c r="P233" s="345" t="e">
        <f t="shared" ca="1" si="26"/>
        <v>#REF!</v>
      </c>
    </row>
    <row r="234" spans="1:16" ht="13">
      <c r="A234" s="58" t="s">
        <v>2805</v>
      </c>
      <c r="B234" s="345"/>
      <c r="C234" s="345"/>
      <c r="D234" s="345" t="e">
        <f>SUMIF(#REF!,$A234,#REF!)</f>
        <v>#REF!</v>
      </c>
      <c r="E234" s="342" t="str">
        <f t="shared" si="23"/>
        <v>TRA</v>
      </c>
      <c r="F234" s="207">
        <f>SUMIF(Interest_data!$B$12:$B$161,$A234,Interest_data!$D$12:$D$161)</f>
        <v>0</v>
      </c>
      <c r="G234" s="207">
        <f ca="1">SUMIF(Interest_data!$B$12:$B$161,$A234,Interest_data!$AA$12:$AA$160)</f>
        <v>0</v>
      </c>
      <c r="H234" s="207" t="e">
        <f t="shared" ca="1" si="24"/>
        <v>#REF!</v>
      </c>
      <c r="I234" s="207" t="e">
        <f t="shared" ca="1" si="22"/>
        <v>#REF!</v>
      </c>
      <c r="J234" s="207">
        <f>SUMIF(Historic_capex_list!$T$9:$T$586,$A234,Historic_capex_list!P$9:P$586)</f>
        <v>0</v>
      </c>
      <c r="K234" s="207">
        <f>SUMIF(Historic_capex_list!$T$9:$T$586,$A234,Historic_capex_list!Q$9:Q$586)</f>
        <v>0</v>
      </c>
      <c r="L234" s="207" t="e">
        <f t="shared" ca="1" si="27"/>
        <v>#REF!</v>
      </c>
      <c r="M234" s="207">
        <f t="shared" si="25"/>
        <v>0</v>
      </c>
      <c r="O234" s="345">
        <v>0</v>
      </c>
      <c r="P234" s="345" t="e">
        <f t="shared" ca="1" si="26"/>
        <v>#REF!</v>
      </c>
    </row>
    <row r="235" spans="1:16" ht="13">
      <c r="A235" s="58" t="s">
        <v>2806</v>
      </c>
      <c r="B235" s="345"/>
      <c r="C235" s="345"/>
      <c r="D235" s="345" t="e">
        <f>SUMIF(#REF!,$A235,#REF!)</f>
        <v>#REF!</v>
      </c>
      <c r="E235" s="342" t="str">
        <f t="shared" si="23"/>
        <v>TRA</v>
      </c>
      <c r="F235" s="207">
        <f>SUMIF(Interest_data!$B$12:$B$161,$A235,Interest_data!$D$12:$D$161)</f>
        <v>0</v>
      </c>
      <c r="G235" s="207">
        <f ca="1">SUMIF(Interest_data!$B$12:$B$161,$A235,Interest_data!$AA$12:$AA$160)</f>
        <v>0</v>
      </c>
      <c r="H235" s="207" t="e">
        <f t="shared" ca="1" si="24"/>
        <v>#REF!</v>
      </c>
      <c r="I235" s="207" t="e">
        <f t="shared" ca="1" si="22"/>
        <v>#REF!</v>
      </c>
      <c r="J235" s="207">
        <f>SUMIF(Historic_capex_list!$T$9:$T$586,$A235,Historic_capex_list!P$9:P$586)</f>
        <v>0</v>
      </c>
      <c r="K235" s="207">
        <f>SUMIF(Historic_capex_list!$T$9:$T$586,$A235,Historic_capex_list!Q$9:Q$586)</f>
        <v>0</v>
      </c>
      <c r="L235" s="207" t="e">
        <f t="shared" ca="1" si="27"/>
        <v>#REF!</v>
      </c>
      <c r="M235" s="207">
        <f t="shared" si="25"/>
        <v>0</v>
      </c>
      <c r="O235" s="345">
        <v>0</v>
      </c>
      <c r="P235" s="345" t="e">
        <f t="shared" ca="1" si="26"/>
        <v>#REF!</v>
      </c>
    </row>
    <row r="236" spans="1:16" ht="13">
      <c r="A236" s="58" t="s">
        <v>2780</v>
      </c>
      <c r="B236" s="345"/>
      <c r="C236" s="345"/>
      <c r="D236" s="345" t="e">
        <f>SUMIF(#REF!,$A236,#REF!)</f>
        <v>#REF!</v>
      </c>
      <c r="E236" s="342" t="str">
        <f t="shared" si="23"/>
        <v>TRA</v>
      </c>
      <c r="F236" s="207">
        <f>SUMIF(Interest_data!$B$12:$B$161,$A236,Interest_data!$D$12:$D$161)</f>
        <v>178399.8</v>
      </c>
      <c r="G236" s="207">
        <f ca="1">SUMIF(Interest_data!$B$12:$B$161,$A236,Interest_data!$AA$12:$AA$160)</f>
        <v>1192219</v>
      </c>
      <c r="H236" s="207" t="e">
        <f t="shared" ca="1" si="24"/>
        <v>#REF!</v>
      </c>
      <c r="I236" s="207" t="e">
        <f t="shared" ca="1" si="22"/>
        <v>#REF!</v>
      </c>
      <c r="J236" s="207">
        <f>SUMIF(Historic_capex_list!$T$9:$T$586,$A236,Historic_capex_list!P$9:P$586)</f>
        <v>9045061.2086327039</v>
      </c>
      <c r="K236" s="207">
        <f>SUMIF(Historic_capex_list!$T$9:$T$586,$A236,Historic_capex_list!Q$9:Q$586)</f>
        <v>4375168.1879990194</v>
      </c>
      <c r="L236" s="207" t="e">
        <f t="shared" ca="1" si="27"/>
        <v>#REF!</v>
      </c>
      <c r="M236" s="207">
        <f t="shared" si="25"/>
        <v>4375168.1879990194</v>
      </c>
      <c r="O236" s="345">
        <v>-4700694.3103554239</v>
      </c>
      <c r="P236" s="345" t="e">
        <f t="shared" ca="1" si="26"/>
        <v>#REF!</v>
      </c>
    </row>
    <row r="237" spans="1:16" ht="13">
      <c r="A237" s="58" t="s">
        <v>2807</v>
      </c>
      <c r="B237" s="345"/>
      <c r="C237" s="345"/>
      <c r="D237" s="345" t="e">
        <f>SUMIF(#REF!,$A237,#REF!)</f>
        <v>#REF!</v>
      </c>
      <c r="E237" s="342" t="str">
        <f t="shared" si="23"/>
        <v>TRA</v>
      </c>
      <c r="F237" s="207">
        <f>SUMIF(Interest_data!$B$12:$B$161,$A237,Interest_data!$D$12:$D$161)</f>
        <v>0</v>
      </c>
      <c r="G237" s="207">
        <f ca="1">SUMIF(Interest_data!$B$12:$B$161,$A237,Interest_data!$AA$12:$AA$160)</f>
        <v>0</v>
      </c>
      <c r="H237" s="207" t="e">
        <f t="shared" ca="1" si="24"/>
        <v>#REF!</v>
      </c>
      <c r="I237" s="207" t="e">
        <f t="shared" ca="1" si="22"/>
        <v>#REF!</v>
      </c>
      <c r="J237" s="207">
        <f>SUMIF(Historic_capex_list!$T$9:$T$586,$A237,Historic_capex_list!P$9:P$586)</f>
        <v>0</v>
      </c>
      <c r="K237" s="207">
        <f>SUMIF(Historic_capex_list!$T$9:$T$586,$A237,Historic_capex_list!Q$9:Q$586)</f>
        <v>0</v>
      </c>
      <c r="L237" s="207" t="e">
        <f t="shared" ca="1" si="27"/>
        <v>#REF!</v>
      </c>
      <c r="M237" s="207">
        <f t="shared" si="25"/>
        <v>0</v>
      </c>
      <c r="O237" s="345">
        <v>0</v>
      </c>
      <c r="P237" s="345" t="e">
        <f t="shared" ca="1" si="26"/>
        <v>#REF!</v>
      </c>
    </row>
    <row r="238" spans="1:16" ht="13">
      <c r="A238" s="58" t="s">
        <v>2808</v>
      </c>
      <c r="B238" s="345"/>
      <c r="C238" s="345"/>
      <c r="D238" s="345" t="e">
        <f>SUMIF(#REF!,$A238,#REF!)</f>
        <v>#REF!</v>
      </c>
      <c r="E238" s="342" t="str">
        <f t="shared" si="23"/>
        <v>TRA</v>
      </c>
      <c r="F238" s="207">
        <f>SUMIF(Interest_data!$B$12:$B$161,$A238,Interest_data!$D$12:$D$161)</f>
        <v>0</v>
      </c>
      <c r="G238" s="207">
        <f ca="1">SUMIF(Interest_data!$B$12:$B$161,$A238,Interest_data!$AA$12:$AA$160)</f>
        <v>0</v>
      </c>
      <c r="H238" s="207" t="e">
        <f t="shared" ca="1" si="24"/>
        <v>#REF!</v>
      </c>
      <c r="I238" s="207" t="e">
        <f t="shared" ca="1" si="22"/>
        <v>#REF!</v>
      </c>
      <c r="J238" s="207">
        <f>SUMIF(Historic_capex_list!$T$9:$T$586,$A238,Historic_capex_list!P$9:P$586)</f>
        <v>0</v>
      </c>
      <c r="K238" s="207">
        <f>SUMIF(Historic_capex_list!$T$9:$T$586,$A238,Historic_capex_list!Q$9:Q$586)</f>
        <v>0</v>
      </c>
      <c r="L238" s="207" t="e">
        <f t="shared" ca="1" si="27"/>
        <v>#REF!</v>
      </c>
      <c r="M238" s="207">
        <f t="shared" si="25"/>
        <v>0</v>
      </c>
      <c r="O238" s="345">
        <v>0</v>
      </c>
      <c r="P238" s="345" t="e">
        <f t="shared" ca="1" si="26"/>
        <v>#REF!</v>
      </c>
    </row>
    <row r="239" spans="1:16" ht="13">
      <c r="A239" s="58" t="s">
        <v>2809</v>
      </c>
      <c r="B239" s="345"/>
      <c r="C239" s="345"/>
      <c r="D239" s="345" t="e">
        <f>SUMIF(#REF!,$A239,#REF!)</f>
        <v>#REF!</v>
      </c>
      <c r="E239" s="342" t="str">
        <f t="shared" si="23"/>
        <v>TRA</v>
      </c>
      <c r="F239" s="207">
        <f>SUMIF(Interest_data!$B$12:$B$161,$A239,Interest_data!$D$12:$D$161)</f>
        <v>0</v>
      </c>
      <c r="G239" s="207">
        <f ca="1">SUMIF(Interest_data!$B$12:$B$161,$A239,Interest_data!$AA$12:$AA$160)</f>
        <v>0</v>
      </c>
      <c r="H239" s="207" t="e">
        <f t="shared" ca="1" si="24"/>
        <v>#REF!</v>
      </c>
      <c r="I239" s="207" t="e">
        <f t="shared" ca="1" si="22"/>
        <v>#REF!</v>
      </c>
      <c r="J239" s="207">
        <f>SUMIF(Historic_capex_list!$T$9:$T$586,$A239,Historic_capex_list!P$9:P$586)</f>
        <v>0</v>
      </c>
      <c r="K239" s="207">
        <f>SUMIF(Historic_capex_list!$T$9:$T$586,$A239,Historic_capex_list!Q$9:Q$586)</f>
        <v>0</v>
      </c>
      <c r="L239" s="207" t="e">
        <f t="shared" ca="1" si="27"/>
        <v>#REF!</v>
      </c>
      <c r="M239" s="207">
        <f t="shared" si="25"/>
        <v>0</v>
      </c>
      <c r="O239" s="345">
        <v>0</v>
      </c>
      <c r="P239" s="345" t="e">
        <f t="shared" ca="1" si="26"/>
        <v>#REF!</v>
      </c>
    </row>
    <row r="240" spans="1:16" ht="13">
      <c r="A240" s="58" t="s">
        <v>2781</v>
      </c>
      <c r="B240" s="345"/>
      <c r="C240" s="345"/>
      <c r="D240" s="345" t="e">
        <f>SUMIF(#REF!,$A240,#REF!)</f>
        <v>#REF!</v>
      </c>
      <c r="E240" s="342" t="str">
        <f t="shared" si="23"/>
        <v>TRA</v>
      </c>
      <c r="F240" s="207">
        <f>SUMIF(Interest_data!$B$12:$B$161,$A240,Interest_data!$D$12:$D$161)</f>
        <v>317499.3</v>
      </c>
      <c r="G240" s="207">
        <f ca="1">SUMIF(Interest_data!$B$12:$B$161,$A240,Interest_data!$AA$12:$AA$160)</f>
        <v>2559250</v>
      </c>
      <c r="H240" s="207" t="e">
        <f t="shared" ca="1" si="24"/>
        <v>#REF!</v>
      </c>
      <c r="I240" s="207" t="e">
        <f t="shared" ca="1" si="22"/>
        <v>#REF!</v>
      </c>
      <c r="J240" s="207">
        <f>SUMIF(Historic_capex_list!$T$9:$T$586,$A240,Historic_capex_list!P$9:P$586)</f>
        <v>12067993.911491549</v>
      </c>
      <c r="K240" s="207">
        <f>SUMIF(Historic_capex_list!$T$9:$T$586,$A240,Historic_capex_list!Q$9:Q$586)</f>
        <v>743404.76646776916</v>
      </c>
      <c r="L240" s="207" t="e">
        <f t="shared" ca="1" si="27"/>
        <v>#REF!</v>
      </c>
      <c r="M240" s="207">
        <f t="shared" si="25"/>
        <v>743404.76646776916</v>
      </c>
      <c r="O240" s="345">
        <v>-10938546.179595429</v>
      </c>
      <c r="P240" s="345" t="e">
        <f t="shared" ca="1" si="26"/>
        <v>#REF!</v>
      </c>
    </row>
    <row r="241" spans="1:16" ht="13">
      <c r="A241" s="58" t="s">
        <v>2782</v>
      </c>
      <c r="B241" s="345"/>
      <c r="C241" s="345"/>
      <c r="D241" s="345" t="e">
        <f>SUMIF(#REF!,$A241,#REF!)</f>
        <v>#REF!</v>
      </c>
      <c r="E241" s="342" t="str">
        <f t="shared" si="23"/>
        <v>TRA</v>
      </c>
      <c r="F241" s="207">
        <f>SUMIF(Interest_data!$B$12:$B$161,$A241,Interest_data!$D$12:$D$161)</f>
        <v>231087.3</v>
      </c>
      <c r="G241" s="207">
        <f ca="1">SUMIF(Interest_data!$B$12:$B$161,$A241,Interest_data!$AA$12:$AA$160)</f>
        <v>848090</v>
      </c>
      <c r="H241" s="207" t="e">
        <f t="shared" ca="1" si="24"/>
        <v>#REF!</v>
      </c>
      <c r="I241" s="207" t="e">
        <f t="shared" ca="1" si="22"/>
        <v>#REF!</v>
      </c>
      <c r="J241" s="207">
        <f>SUMIF(Historic_capex_list!$T$9:$T$586,$A241,Historic_capex_list!P$9:P$586)</f>
        <v>8464771.4475167505</v>
      </c>
      <c r="K241" s="207">
        <f>SUMIF(Historic_capex_list!$T$9:$T$586,$A241,Historic_capex_list!Q$9:Q$586)</f>
        <v>0</v>
      </c>
      <c r="L241" s="207" t="e">
        <f t="shared" ca="1" si="27"/>
        <v>#REF!</v>
      </c>
      <c r="M241" s="207">
        <f t="shared" si="25"/>
        <v>0</v>
      </c>
      <c r="O241" s="345">
        <v>-17395095.942430153</v>
      </c>
      <c r="P241" s="345" t="e">
        <f t="shared" ca="1" si="26"/>
        <v>#REF!</v>
      </c>
    </row>
    <row r="242" spans="1:16" ht="13">
      <c r="A242" s="58" t="s">
        <v>2783</v>
      </c>
      <c r="B242" s="345"/>
      <c r="C242" s="345"/>
      <c r="D242" s="345" t="e">
        <f>SUMIF(#REF!,$A242,#REF!)</f>
        <v>#REF!</v>
      </c>
      <c r="E242" s="342" t="str">
        <f t="shared" si="23"/>
        <v>TRA</v>
      </c>
      <c r="F242" s="207">
        <f>SUMIF(Interest_data!$B$12:$B$161,$A242,Interest_data!$D$12:$D$161)</f>
        <v>0</v>
      </c>
      <c r="G242" s="207">
        <f ca="1">SUMIF(Interest_data!$B$12:$B$161,$A242,Interest_data!$AA$12:$AA$160)</f>
        <v>0</v>
      </c>
      <c r="H242" s="207" t="e">
        <f t="shared" ca="1" si="24"/>
        <v>#REF!</v>
      </c>
      <c r="I242" s="207" t="e">
        <f t="shared" ca="1" si="22"/>
        <v>#REF!</v>
      </c>
      <c r="J242" s="207">
        <f>SUMIF(Historic_capex_list!$T$9:$T$586,$A242,Historic_capex_list!P$9:P$586)</f>
        <v>7404043.0799999991</v>
      </c>
      <c r="K242" s="207">
        <f>SUMIF(Historic_capex_list!$T$9:$T$586,$A242,Historic_capex_list!Q$9:Q$586)</f>
        <v>0</v>
      </c>
      <c r="L242" s="207" t="e">
        <f t="shared" ca="1" si="27"/>
        <v>#REF!</v>
      </c>
      <c r="M242" s="207">
        <f t="shared" si="25"/>
        <v>0</v>
      </c>
      <c r="O242" s="345">
        <v>0</v>
      </c>
      <c r="P242" s="345" t="e">
        <f t="shared" ca="1" si="26"/>
        <v>#REF!</v>
      </c>
    </row>
    <row r="243" spans="1:16" ht="13">
      <c r="A243" s="330" t="s">
        <v>2784</v>
      </c>
      <c r="B243" s="345"/>
      <c r="C243" s="345"/>
      <c r="D243" s="345" t="e">
        <f>SUMIF(#REF!,$A243,#REF!)</f>
        <v>#REF!</v>
      </c>
      <c r="E243" s="342" t="str">
        <f t="shared" si="23"/>
        <v>TRA</v>
      </c>
      <c r="F243" s="207">
        <f>SUMIF(Interest_data!$B$12:$B$161,$A243,Interest_data!$D$12:$D$161)</f>
        <v>0</v>
      </c>
      <c r="G243" s="207">
        <f ca="1">SUMIF(Interest_data!$B$12:$B$161,$A243,Interest_data!$AA$12:$AA$160)</f>
        <v>0</v>
      </c>
      <c r="H243" s="207" t="e">
        <f t="shared" ca="1" si="24"/>
        <v>#REF!</v>
      </c>
      <c r="I243" s="207" t="e">
        <f t="shared" ca="1" si="22"/>
        <v>#REF!</v>
      </c>
      <c r="J243" s="207">
        <f>SUMIF(Historic_capex_list!$T$9:$T$586,$A243,Historic_capex_list!P$9:P$586)</f>
        <v>0</v>
      </c>
      <c r="K243" s="207">
        <f>SUMIF(Historic_capex_list!$T$9:$T$586,$A243,Historic_capex_list!Q$9:Q$586)</f>
        <v>0</v>
      </c>
      <c r="L243" s="207" t="e">
        <f t="shared" ca="1" si="27"/>
        <v>#REF!</v>
      </c>
      <c r="M243" s="207">
        <f t="shared" si="25"/>
        <v>0</v>
      </c>
      <c r="O243" s="345">
        <v>-2382.3452447561835</v>
      </c>
      <c r="P243" s="345" t="e">
        <f t="shared" ca="1" si="26"/>
        <v>#REF!</v>
      </c>
    </row>
    <row r="244" spans="1:16" ht="13">
      <c r="A244" s="58" t="s">
        <v>2785</v>
      </c>
      <c r="B244" s="345"/>
      <c r="C244" s="345"/>
      <c r="D244" s="345" t="e">
        <f>SUMIF(#REF!,$A244,#REF!)</f>
        <v>#REF!</v>
      </c>
      <c r="E244" s="342" t="str">
        <f t="shared" si="23"/>
        <v>TRA</v>
      </c>
      <c r="F244" s="207">
        <f>SUMIF(Interest_data!$B$12:$B$161,$A244,Interest_data!$D$12:$D$161)</f>
        <v>0</v>
      </c>
      <c r="G244" s="207">
        <f ca="1">SUMIF(Interest_data!$B$12:$B$161,$A244,Interest_data!$AA$12:$AA$160)</f>
        <v>0</v>
      </c>
      <c r="H244" s="207" t="e">
        <f t="shared" ca="1" si="24"/>
        <v>#REF!</v>
      </c>
      <c r="I244" s="207" t="e">
        <f t="shared" ca="1" si="22"/>
        <v>#REF!</v>
      </c>
      <c r="J244" s="207">
        <f>SUMIF(Historic_capex_list!$T$9:$T$586,$A244,Historic_capex_list!P$9:P$586)</f>
        <v>0</v>
      </c>
      <c r="K244" s="207">
        <f>SUMIF(Historic_capex_list!$T$9:$T$586,$A244,Historic_capex_list!Q$9:Q$586)</f>
        <v>0</v>
      </c>
      <c r="L244" s="207" t="e">
        <f t="shared" ca="1" si="27"/>
        <v>#REF!</v>
      </c>
      <c r="M244" s="207">
        <f t="shared" si="25"/>
        <v>0</v>
      </c>
      <c r="O244" s="345">
        <v>0</v>
      </c>
      <c r="P244" s="345" t="e">
        <f t="shared" ca="1" si="26"/>
        <v>#REF!</v>
      </c>
    </row>
    <row r="245" spans="1:16" ht="13">
      <c r="A245" s="58" t="s">
        <v>2786</v>
      </c>
      <c r="B245" s="345"/>
      <c r="C245" s="345"/>
      <c r="D245" s="345" t="e">
        <f>SUMIF(#REF!,$A245,#REF!)</f>
        <v>#REF!</v>
      </c>
      <c r="E245" s="342" t="str">
        <f t="shared" si="23"/>
        <v>TRA</v>
      </c>
      <c r="F245" s="207">
        <f>SUMIF(Interest_data!$B$12:$B$161,$A245,Interest_data!$D$12:$D$161)</f>
        <v>0</v>
      </c>
      <c r="G245" s="207">
        <f ca="1">SUMIF(Interest_data!$B$12:$B$161,$A245,Interest_data!$AA$12:$AA$160)</f>
        <v>0</v>
      </c>
      <c r="H245" s="207" t="e">
        <f t="shared" ca="1" si="24"/>
        <v>#REF!</v>
      </c>
      <c r="I245" s="207" t="e">
        <f t="shared" ca="1" si="22"/>
        <v>#REF!</v>
      </c>
      <c r="J245" s="207">
        <f>SUMIF(Historic_capex_list!$T$9:$T$586,$A245,Historic_capex_list!P$9:P$586)</f>
        <v>0</v>
      </c>
      <c r="K245" s="207">
        <f>SUMIF(Historic_capex_list!$T$9:$T$586,$A245,Historic_capex_list!Q$9:Q$586)</f>
        <v>0</v>
      </c>
      <c r="L245" s="207" t="e">
        <f t="shared" ca="1" si="27"/>
        <v>#REF!</v>
      </c>
      <c r="M245" s="207">
        <f t="shared" si="25"/>
        <v>0</v>
      </c>
      <c r="O245" s="345">
        <v>0</v>
      </c>
      <c r="P245" s="345" t="e">
        <f t="shared" ca="1" si="26"/>
        <v>#REF!</v>
      </c>
    </row>
    <row r="246" spans="1:16">
      <c r="A246" s="208" t="s">
        <v>2960</v>
      </c>
      <c r="B246" s="345"/>
      <c r="D246" s="345" t="e">
        <f>SUMIF(#REF!,$A246,#REF!)</f>
        <v>#REF!</v>
      </c>
      <c r="E246" s="342" t="str">
        <f t="shared" si="23"/>
        <v xml:space="preserve">CI </v>
      </c>
      <c r="F246" s="207">
        <f>SUMIF(Interest_data!$B$12:$B$161,$A246,Interest_data!$D$12:$D$161)</f>
        <v>0</v>
      </c>
      <c r="G246" s="207">
        <f ca="1">SUMIF(Interest_data!$B$12:$B$161,$A246,Interest_data!$AA$12:$AA$160)</f>
        <v>0</v>
      </c>
      <c r="H246" s="207" t="e">
        <f t="shared" ca="1" si="24"/>
        <v>#REF!</v>
      </c>
      <c r="I246" s="207" t="e">
        <f t="shared" ca="1" si="22"/>
        <v>#REF!</v>
      </c>
      <c r="J246" s="207">
        <f>SUMIF(Historic_capex_list!$T$9:$T$586,$A246,Historic_capex_list!P$9:P$586)</f>
        <v>0</v>
      </c>
      <c r="K246" s="207">
        <f>SUMIF(Historic_capex_list!$T$9:$T$586,$A246,Historic_capex_list!Q$9:Q$586)</f>
        <v>0</v>
      </c>
      <c r="L246" s="207" t="e">
        <f t="shared" ca="1" si="27"/>
        <v>#REF!</v>
      </c>
      <c r="M246" s="207">
        <f t="shared" si="25"/>
        <v>0</v>
      </c>
      <c r="O246" s="345">
        <v>0</v>
      </c>
      <c r="P246" s="345" t="e">
        <f t="shared" ca="1" si="26"/>
        <v>#REF!</v>
      </c>
    </row>
    <row r="247" spans="1:16">
      <c r="A247" s="208" t="s">
        <v>2961</v>
      </c>
      <c r="B247" s="345"/>
      <c r="D247" s="345" t="e">
        <f>SUMIF(#REF!,$A247,#REF!)</f>
        <v>#REF!</v>
      </c>
      <c r="E247" s="342" t="str">
        <f t="shared" si="23"/>
        <v xml:space="preserve">CI </v>
      </c>
      <c r="F247" s="207">
        <f>SUMIF(Interest_data!$B$12:$B$161,$A247,Interest_data!$D$12:$D$161)</f>
        <v>0</v>
      </c>
      <c r="G247" s="207">
        <f ca="1">SUMIF(Interest_data!$B$12:$B$161,$A247,Interest_data!$AA$12:$AA$160)</f>
        <v>0</v>
      </c>
      <c r="H247" s="207" t="e">
        <f t="shared" ca="1" si="24"/>
        <v>#REF!</v>
      </c>
      <c r="I247" s="207" t="e">
        <f t="shared" ca="1" si="22"/>
        <v>#REF!</v>
      </c>
      <c r="J247" s="207">
        <f>SUMIF(Historic_capex_list!$T$9:$T$586,$A247,Historic_capex_list!P$9:P$586)</f>
        <v>0</v>
      </c>
      <c r="K247" s="207">
        <f>SUMIF(Historic_capex_list!$T$9:$T$586,$A247,Historic_capex_list!Q$9:Q$586)</f>
        <v>0</v>
      </c>
      <c r="L247" s="207" t="e">
        <f t="shared" ca="1" si="27"/>
        <v>#REF!</v>
      </c>
      <c r="M247" s="207">
        <f t="shared" si="25"/>
        <v>0</v>
      </c>
      <c r="O247" s="345">
        <v>0</v>
      </c>
      <c r="P247" s="345" t="e">
        <f t="shared" ca="1" si="26"/>
        <v>#REF!</v>
      </c>
    </row>
    <row r="248" spans="1:16">
      <c r="A248" s="208" t="s">
        <v>2962</v>
      </c>
      <c r="B248" s="345"/>
      <c r="D248" s="345" t="e">
        <f>SUMIF(#REF!,$A248,#REF!)</f>
        <v>#REF!</v>
      </c>
      <c r="E248" s="342" t="str">
        <f t="shared" si="23"/>
        <v>OSD</v>
      </c>
      <c r="F248" s="207">
        <f>SUMIF(Interest_data!$B$12:$B$161,$A248,Interest_data!$D$12:$D$161)</f>
        <v>0</v>
      </c>
      <c r="G248" s="207">
        <f ca="1">SUMIF(Interest_data!$B$12:$B$161,$A248,Interest_data!$AA$12:$AA$160)</f>
        <v>0</v>
      </c>
      <c r="H248" s="207" t="e">
        <f t="shared" ca="1" si="24"/>
        <v>#REF!</v>
      </c>
      <c r="I248" s="207" t="e">
        <f t="shared" ca="1" si="22"/>
        <v>#REF!</v>
      </c>
      <c r="J248" s="207">
        <f>SUMIF(Historic_capex_list!$T$9:$T$586,$A248,Historic_capex_list!P$9:P$586)</f>
        <v>0</v>
      </c>
      <c r="K248" s="207">
        <f>SUMIF(Historic_capex_list!$T$9:$T$586,$A248,Historic_capex_list!Q$9:Q$586)</f>
        <v>0</v>
      </c>
      <c r="L248" s="207" t="e">
        <f t="shared" ca="1" si="27"/>
        <v>#REF!</v>
      </c>
      <c r="M248" s="207">
        <f t="shared" si="25"/>
        <v>0</v>
      </c>
      <c r="O248" s="345">
        <v>0</v>
      </c>
      <c r="P248" s="345" t="e">
        <f t="shared" ca="1" si="26"/>
        <v>#REF!</v>
      </c>
    </row>
    <row r="249" spans="1:16">
      <c r="A249" s="208" t="s">
        <v>2963</v>
      </c>
      <c r="B249" s="345"/>
      <c r="D249" s="345" t="e">
        <f>SUMIF(#REF!,$A249,#REF!)</f>
        <v>#REF!</v>
      </c>
      <c r="E249" s="342" t="str">
        <f t="shared" si="23"/>
        <v>OSD</v>
      </c>
      <c r="F249" s="207">
        <f>SUMIF(Interest_data!$B$12:$B$161,$A249,Interest_data!$D$12:$D$161)</f>
        <v>0</v>
      </c>
      <c r="G249" s="207">
        <f ca="1">SUMIF(Interest_data!$B$12:$B$161,$A249,Interest_data!$AA$12:$AA$160)</f>
        <v>0</v>
      </c>
      <c r="H249" s="207" t="e">
        <f t="shared" ca="1" si="24"/>
        <v>#REF!</v>
      </c>
      <c r="I249" s="207" t="e">
        <f t="shared" ca="1" si="22"/>
        <v>#REF!</v>
      </c>
      <c r="J249" s="207">
        <f>SUMIF(Historic_capex_list!$T$9:$T$586,$A249,Historic_capex_list!P$9:P$586)</f>
        <v>0</v>
      </c>
      <c r="K249" s="207">
        <f>SUMIF(Historic_capex_list!$T$9:$T$586,$A249,Historic_capex_list!Q$9:Q$586)</f>
        <v>0</v>
      </c>
      <c r="L249" s="207" t="e">
        <f t="shared" ca="1" si="27"/>
        <v>#REF!</v>
      </c>
      <c r="M249" s="207">
        <f t="shared" si="25"/>
        <v>0</v>
      </c>
      <c r="O249" s="345">
        <v>0</v>
      </c>
      <c r="P249" s="345" t="e">
        <f t="shared" ca="1" si="26"/>
        <v>#REF!</v>
      </c>
    </row>
    <row r="250" spans="1:16" ht="14.5" thickBot="1">
      <c r="A250" s="210" t="s">
        <v>2964</v>
      </c>
      <c r="B250" s="349">
        <f>SUM(B3:B249)</f>
        <v>0</v>
      </c>
      <c r="C250" s="349">
        <f>SUM(C3:C249)</f>
        <v>0</v>
      </c>
      <c r="D250" s="349" t="e">
        <f>SUM(D3:D249)</f>
        <v>#REF!</v>
      </c>
      <c r="F250" s="211">
        <f t="shared" ref="F250:M250" si="28">SUM(F3:F249)</f>
        <v>11326122.000000004</v>
      </c>
      <c r="G250" s="211">
        <f t="shared" ca="1" si="28"/>
        <v>79346386</v>
      </c>
      <c r="H250" s="211" t="e">
        <f t="shared" ca="1" si="28"/>
        <v>#REF!</v>
      </c>
      <c r="I250" s="211" t="e">
        <f t="shared" ca="1" si="28"/>
        <v>#REF!</v>
      </c>
      <c r="J250" s="211">
        <f t="shared" si="28"/>
        <v>323353599.97014594</v>
      </c>
      <c r="K250" s="211">
        <f t="shared" si="28"/>
        <v>58870595.855011076</v>
      </c>
      <c r="L250" s="207" t="e">
        <f t="shared" ca="1" si="27"/>
        <v>#REF!</v>
      </c>
      <c r="M250" s="211">
        <f t="shared" si="28"/>
        <v>58870595.855011076</v>
      </c>
      <c r="O250" s="345">
        <v>-447224377.25999999</v>
      </c>
      <c r="P250" s="345" t="e">
        <f ca="1">SUM(P3:P249)</f>
        <v>#REF!</v>
      </c>
    </row>
    <row r="251" spans="1:16" ht="14.5" thickBot="1">
      <c r="A251" s="211">
        <v>-537896885.25999987</v>
      </c>
      <c r="C251" s="345"/>
      <c r="D251" s="345" t="e">
        <f>+D250-#REF!</f>
        <v>#REF!</v>
      </c>
      <c r="F251" s="327">
        <f>+F250-Interest_data!D162</f>
        <v>0</v>
      </c>
      <c r="G251" s="207">
        <f ca="1">+G250-Interest_data!AA162</f>
        <v>0</v>
      </c>
      <c r="H251" s="207" t="e">
        <f ca="1">+D250+F250+G250-H250</f>
        <v>#REF!</v>
      </c>
      <c r="I251" s="207" t="e">
        <f ca="1">+I250-H250</f>
        <v>#REF!</v>
      </c>
      <c r="J251" s="207">
        <f>+J250-Historic_capex_list!P588</f>
        <v>-37869272.490858555</v>
      </c>
      <c r="K251" s="207">
        <f>+K250-Historic_capex_list!Q588</f>
        <v>-7753988.0371130481</v>
      </c>
    </row>
    <row r="252" spans="1:16" ht="14.5" thickBot="1">
      <c r="A252" s="328" t="s">
        <v>4355</v>
      </c>
      <c r="B252" s="350"/>
      <c r="C252" s="350"/>
      <c r="D252" s="350"/>
      <c r="E252" s="350"/>
      <c r="F252" s="211">
        <f>SUBTOTAL(9,F$3:F$249)</f>
        <v>11326122.000000004</v>
      </c>
      <c r="G252" s="211">
        <f t="shared" ref="G252:M252" ca="1" si="29">SUBTOTAL(9,G$3:G$249)</f>
        <v>79346386</v>
      </c>
      <c r="H252" s="211" t="e">
        <f t="shared" ca="1" si="29"/>
        <v>#REF!</v>
      </c>
      <c r="I252" s="211" t="e">
        <f t="shared" ca="1" si="29"/>
        <v>#REF!</v>
      </c>
      <c r="J252" s="211">
        <f t="shared" si="29"/>
        <v>323353599.97014594</v>
      </c>
      <c r="K252" s="211">
        <f t="shared" si="29"/>
        <v>58870595.855011076</v>
      </c>
      <c r="L252" s="211" t="e">
        <f t="shared" ca="1" si="29"/>
        <v>#REF!</v>
      </c>
      <c r="M252" s="211">
        <f t="shared" si="29"/>
        <v>58870595.855011076</v>
      </c>
    </row>
    <row r="253" spans="1:16" ht="13">
      <c r="A253" s="328"/>
      <c r="B253" s="350"/>
      <c r="C253" s="350"/>
      <c r="D253" s="350"/>
      <c r="E253" s="350"/>
      <c r="F253" s="328"/>
      <c r="G253" s="328"/>
      <c r="H253" s="329"/>
      <c r="I253" s="329"/>
      <c r="J253" s="328"/>
      <c r="K253" s="328"/>
      <c r="L253" s="328"/>
      <c r="M253" s="328"/>
    </row>
    <row r="254" spans="1:16">
      <c r="A254" s="207" t="e">
        <f>+D254-#REF!</f>
        <v>#REF!</v>
      </c>
      <c r="B254" s="345">
        <f t="shared" ref="B254:D259" si="30">SUMIF($E$3:$E$249,$E254,B$3:B$249)</f>
        <v>0</v>
      </c>
      <c r="C254" s="345">
        <f t="shared" si="30"/>
        <v>0</v>
      </c>
      <c r="D254" s="345" t="e">
        <f t="shared" si="30"/>
        <v>#REF!</v>
      </c>
      <c r="E254" s="342" t="s">
        <v>2628</v>
      </c>
      <c r="F254" s="207">
        <f t="shared" ref="F254:F259" si="31">SUMIF($E$3:$E$249,$E254,F$3:F$249)</f>
        <v>589488.00000000012</v>
      </c>
      <c r="G254" s="207">
        <f t="shared" ref="G254:H259" ca="1" si="32">SUMIF($E$3:$E$249,$E254,G$3:G$249)</f>
        <v>26311063</v>
      </c>
      <c r="H254" s="207" t="e">
        <f t="shared" ca="1" si="32"/>
        <v>#REF!</v>
      </c>
      <c r="J254" s="207">
        <f t="shared" ref="J254:M259" si="33">SUMIF($E$3:$E$249,$E254,J$3:J$249)</f>
        <v>180811182.52329749</v>
      </c>
      <c r="K254" s="207">
        <f t="shared" si="33"/>
        <v>26470552.176558658</v>
      </c>
      <c r="L254" s="207" t="e">
        <f t="shared" ca="1" si="33"/>
        <v>#REF!</v>
      </c>
      <c r="M254" s="207">
        <f t="shared" si="33"/>
        <v>26470552.176558658</v>
      </c>
    </row>
    <row r="255" spans="1:16">
      <c r="A255" s="207" t="e">
        <f>+D255-#REF!</f>
        <v>#REF!</v>
      </c>
      <c r="B255" s="345">
        <f t="shared" si="30"/>
        <v>0</v>
      </c>
      <c r="C255" s="345">
        <f t="shared" si="30"/>
        <v>0</v>
      </c>
      <c r="D255" s="345" t="e">
        <f t="shared" si="30"/>
        <v>#REF!</v>
      </c>
      <c r="E255" s="342" t="s">
        <v>2266</v>
      </c>
      <c r="F255" s="207">
        <f t="shared" si="31"/>
        <v>420273.3</v>
      </c>
      <c r="G255" s="207">
        <f t="shared" ca="1" si="32"/>
        <v>4649158</v>
      </c>
      <c r="H255" s="207" t="e">
        <f t="shared" ca="1" si="32"/>
        <v>#REF!</v>
      </c>
      <c r="J255" s="207">
        <f t="shared" si="33"/>
        <v>-20459974.400349818</v>
      </c>
      <c r="K255" s="207">
        <f t="shared" si="33"/>
        <v>2312262.5703116208</v>
      </c>
      <c r="L255" s="207" t="e">
        <f t="shared" ca="1" si="33"/>
        <v>#REF!</v>
      </c>
      <c r="M255" s="207">
        <f t="shared" si="33"/>
        <v>2312262.5703116208</v>
      </c>
    </row>
    <row r="256" spans="1:16">
      <c r="A256" s="207" t="e">
        <f>+D256-#REF!</f>
        <v>#REF!</v>
      </c>
      <c r="B256" s="345">
        <f t="shared" si="30"/>
        <v>0</v>
      </c>
      <c r="C256" s="345">
        <f t="shared" si="30"/>
        <v>0</v>
      </c>
      <c r="D256" s="345" t="e">
        <f t="shared" si="30"/>
        <v>#REF!</v>
      </c>
      <c r="E256" s="342" t="s">
        <v>465</v>
      </c>
      <c r="F256" s="207">
        <f t="shared" si="31"/>
        <v>5318735.6999999993</v>
      </c>
      <c r="G256" s="207">
        <f t="shared" ca="1" si="32"/>
        <v>18854137</v>
      </c>
      <c r="H256" s="207" t="e">
        <f t="shared" ca="1" si="32"/>
        <v>#REF!</v>
      </c>
      <c r="J256" s="207">
        <f t="shared" si="33"/>
        <v>88977432.142649278</v>
      </c>
      <c r="K256" s="207">
        <f t="shared" si="33"/>
        <v>11313225.297655512</v>
      </c>
      <c r="L256" s="207" t="e">
        <f t="shared" ca="1" si="33"/>
        <v>#REF!</v>
      </c>
      <c r="M256" s="207">
        <f t="shared" si="33"/>
        <v>11313225.297655512</v>
      </c>
    </row>
    <row r="257" spans="1:13">
      <c r="A257" s="207" t="e">
        <f>+D257-#REF!</f>
        <v>#REF!</v>
      </c>
      <c r="B257" s="345">
        <f t="shared" si="30"/>
        <v>0</v>
      </c>
      <c r="C257" s="345">
        <f t="shared" si="30"/>
        <v>0</v>
      </c>
      <c r="D257" s="345" t="e">
        <f t="shared" si="30"/>
        <v>#REF!</v>
      </c>
      <c r="E257" s="342" t="s">
        <v>460</v>
      </c>
      <c r="F257" s="207">
        <f t="shared" si="31"/>
        <v>802051.2</v>
      </c>
      <c r="G257" s="207">
        <f t="shared" ca="1" si="32"/>
        <v>3365309</v>
      </c>
      <c r="H257" s="207" t="e">
        <f t="shared" ca="1" si="32"/>
        <v>#REF!</v>
      </c>
      <c r="J257" s="207">
        <f t="shared" si="33"/>
        <v>22174439.876989812</v>
      </c>
      <c r="K257" s="207">
        <f t="shared" si="33"/>
        <v>6334762.2325534867</v>
      </c>
      <c r="L257" s="207" t="e">
        <f t="shared" ca="1" si="33"/>
        <v>#REF!</v>
      </c>
      <c r="M257" s="207">
        <f t="shared" si="33"/>
        <v>6334762.2325534867</v>
      </c>
    </row>
    <row r="258" spans="1:13">
      <c r="A258" s="207" t="e">
        <f>+D258-#REF!</f>
        <v>#REF!</v>
      </c>
      <c r="B258" s="345">
        <f t="shared" si="30"/>
        <v>0</v>
      </c>
      <c r="C258" s="345">
        <f t="shared" si="30"/>
        <v>0</v>
      </c>
      <c r="D258" s="345" t="e">
        <f t="shared" si="30"/>
        <v>#REF!</v>
      </c>
      <c r="E258" s="342" t="s">
        <v>461</v>
      </c>
      <c r="F258" s="207">
        <f t="shared" si="31"/>
        <v>3574497.8999999994</v>
      </c>
      <c r="G258" s="207">
        <f t="shared" ca="1" si="32"/>
        <v>16031393</v>
      </c>
      <c r="H258" s="207" t="e">
        <f t="shared" ca="1" si="32"/>
        <v>#REF!</v>
      </c>
      <c r="J258" s="207">
        <f t="shared" si="33"/>
        <v>51850519.827559114</v>
      </c>
      <c r="K258" s="207">
        <f t="shared" si="33"/>
        <v>12439793.577931799</v>
      </c>
      <c r="L258" s="207" t="e">
        <f t="shared" ca="1" si="33"/>
        <v>#REF!</v>
      </c>
      <c r="M258" s="207">
        <f t="shared" si="33"/>
        <v>12439793.577931799</v>
      </c>
    </row>
    <row r="259" spans="1:13">
      <c r="A259" s="207" t="e">
        <f>+D259-#REF!</f>
        <v>#REF!</v>
      </c>
      <c r="B259" s="345">
        <f t="shared" si="30"/>
        <v>0</v>
      </c>
      <c r="C259" s="345">
        <f t="shared" si="30"/>
        <v>0</v>
      </c>
      <c r="D259" s="345" t="e">
        <f t="shared" si="30"/>
        <v>#REF!</v>
      </c>
      <c r="E259" s="342" t="s">
        <v>466</v>
      </c>
      <c r="F259" s="207">
        <f t="shared" si="31"/>
        <v>621075.89999999991</v>
      </c>
      <c r="G259" s="207">
        <f t="shared" ca="1" si="32"/>
        <v>10135326</v>
      </c>
      <c r="H259" s="207" t="e">
        <f t="shared" ca="1" si="32"/>
        <v>#REF!</v>
      </c>
      <c r="J259" s="207">
        <f t="shared" si="33"/>
        <v>0</v>
      </c>
      <c r="K259" s="207">
        <f t="shared" si="33"/>
        <v>0</v>
      </c>
      <c r="L259" s="207" t="e">
        <f t="shared" ca="1" si="33"/>
        <v>#REF!</v>
      </c>
      <c r="M259" s="207">
        <f t="shared" si="33"/>
        <v>0</v>
      </c>
    </row>
    <row r="260" spans="1:13" ht="14.5" thickBot="1">
      <c r="B260" s="349">
        <f>SUM(B254:B259)</f>
        <v>0</v>
      </c>
      <c r="C260" s="349">
        <f>SUM(C254:C259)</f>
        <v>0</v>
      </c>
      <c r="D260" s="349" t="e">
        <f>SUM(D254:D259)</f>
        <v>#REF!</v>
      </c>
      <c r="F260" s="211">
        <f>SUM(F254:F259)</f>
        <v>11326121.999999998</v>
      </c>
      <c r="G260" s="211">
        <f ca="1">SUM(G254:G259)</f>
        <v>79346386</v>
      </c>
      <c r="H260" s="211" t="e">
        <f ca="1">SUM(H254:H259)</f>
        <v>#REF!</v>
      </c>
      <c r="J260" s="211">
        <f>SUM(J254:J259)</f>
        <v>323353599.97014582</v>
      </c>
      <c r="K260" s="211">
        <f>SUM(K254:K259)</f>
        <v>58870595.855011076</v>
      </c>
      <c r="L260" s="211" t="e">
        <f ca="1">SUM(L254:L259)</f>
        <v>#REF!</v>
      </c>
      <c r="M260" s="211">
        <f>SUM(M254:M259)</f>
        <v>58870595.855011076</v>
      </c>
    </row>
    <row r="261" spans="1:13">
      <c r="J261" s="207">
        <f>+J260-J250</f>
        <v>0</v>
      </c>
      <c r="K261" s="207">
        <f>+K260-K250</f>
        <v>0</v>
      </c>
      <c r="L261" s="207" t="e">
        <f ca="1">+L260-L250</f>
        <v>#REF!</v>
      </c>
      <c r="M261" s="207">
        <f>+M260-M250</f>
        <v>0</v>
      </c>
    </row>
    <row r="262" spans="1:13">
      <c r="B262" s="345"/>
      <c r="C262" s="345"/>
    </row>
    <row r="263" spans="1:13">
      <c r="B263" s="345"/>
    </row>
  </sheetData>
  <autoFilter ref="A2:M251" xr:uid="{00000000-0009-0000-0000-000009000000}"/>
  <sortState xmlns:xlrd2="http://schemas.microsoft.com/office/spreadsheetml/2017/richdata2" ref="A3:M245">
    <sortCondition ref="A3:A245"/>
  </sortState>
  <pageMargins left="0.51181102362204722" right="0.31496062992125984" top="0.55118110236220474" bottom="0.74803149606299213" header="0.31496062992125984" footer="0.31496062992125984"/>
  <pageSetup paperSize="8" scale="81" fitToHeight="4" orientation="landscape" r:id="rId1"/>
  <headerFooter>
    <oddFooter>&amp;L&amp;F&amp;C&amp;A&amp;R&amp;D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2:P263"/>
  <sheetViews>
    <sheetView workbookViewId="0">
      <pane xSplit="3" ySplit="2" topLeftCell="D3" activePane="bottomRight" state="frozen"/>
      <selection pane="topRight" activeCell="D1" sqref="D1"/>
      <selection pane="bottomLeft" activeCell="A3" sqref="A3"/>
      <selection pane="bottomRight" activeCell="O169" sqref="O169"/>
    </sheetView>
  </sheetViews>
  <sheetFormatPr defaultColWidth="9.453125" defaultRowHeight="12.5"/>
  <cols>
    <col min="1" max="1" width="26.453125" customWidth="1"/>
    <col min="2" max="2" width="16.453125" hidden="1" customWidth="1"/>
    <col min="3" max="3" width="14.453125" hidden="1" customWidth="1"/>
    <col min="4" max="4" width="13.54296875" customWidth="1"/>
    <col min="6" max="6" width="14.453125" customWidth="1"/>
    <col min="7" max="7" width="19.453125" customWidth="1"/>
    <col min="8" max="8" width="16.54296875" customWidth="1"/>
    <col min="9" max="9" width="15.453125" customWidth="1"/>
    <col min="10" max="10" width="16.54296875" customWidth="1"/>
    <col min="11" max="11" width="15.453125" customWidth="1"/>
    <col min="12" max="12" width="17.54296875" customWidth="1"/>
    <col min="13" max="13" width="18.453125" customWidth="1"/>
    <col min="15" max="15" width="12.54296875" customWidth="1"/>
    <col min="16" max="16" width="11.453125" customWidth="1"/>
  </cols>
  <sheetData>
    <row r="2" spans="1:16" ht="56">
      <c r="A2" s="204" t="s">
        <v>2953</v>
      </c>
      <c r="B2" s="205" t="s">
        <v>2954</v>
      </c>
      <c r="C2" s="204" t="s">
        <v>2955</v>
      </c>
      <c r="D2" s="204" t="s">
        <v>2956</v>
      </c>
      <c r="E2" s="206"/>
      <c r="F2" s="204" t="s">
        <v>2957</v>
      </c>
      <c r="G2" s="204" t="s">
        <v>2958</v>
      </c>
      <c r="H2" s="204" t="s">
        <v>2959</v>
      </c>
      <c r="I2" s="204" t="s">
        <v>3038</v>
      </c>
      <c r="J2" s="204" t="s">
        <v>2965</v>
      </c>
      <c r="K2" s="204" t="s">
        <v>2966</v>
      </c>
      <c r="L2" s="204" t="s">
        <v>2967</v>
      </c>
      <c r="M2" s="204" t="s">
        <v>2968</v>
      </c>
    </row>
    <row r="3" spans="1:16" ht="13">
      <c r="A3" s="58" t="s">
        <v>2842</v>
      </c>
      <c r="B3" s="207"/>
      <c r="C3" s="207"/>
      <c r="D3" s="207">
        <v>-13571277.261351429</v>
      </c>
      <c r="E3" t="s">
        <v>2628</v>
      </c>
      <c r="F3" s="207">
        <v>207491.1</v>
      </c>
      <c r="G3" s="207">
        <v>8697632</v>
      </c>
      <c r="H3" s="207">
        <v>-4666154.1613514293</v>
      </c>
      <c r="I3" s="207">
        <v>-4666154.1613514293</v>
      </c>
      <c r="J3" s="207">
        <v>48083642.684319317</v>
      </c>
      <c r="K3" s="207">
        <v>16866917.734224483</v>
      </c>
      <c r="L3" s="207">
        <v>43417488.52296789</v>
      </c>
      <c r="M3" s="207">
        <v>16866917.734224483</v>
      </c>
      <c r="O3" s="207">
        <v>-4667184.2136982195</v>
      </c>
      <c r="P3" s="207">
        <v>-1030.0523467902094</v>
      </c>
    </row>
    <row r="4" spans="1:16" ht="13">
      <c r="A4" s="330" t="s">
        <v>2851</v>
      </c>
      <c r="B4" s="207"/>
      <c r="C4" s="207"/>
      <c r="D4" s="207">
        <v>-1214247.404623739</v>
      </c>
      <c r="E4" t="s">
        <v>2628</v>
      </c>
      <c r="F4" s="207">
        <v>3436.7999999999997</v>
      </c>
      <c r="G4" s="207">
        <v>14604</v>
      </c>
      <c r="H4" s="207">
        <v>-1196206.6046237389</v>
      </c>
      <c r="I4" s="207">
        <v>-1196206.6046237389</v>
      </c>
      <c r="J4" s="207">
        <v>1E-3</v>
      </c>
      <c r="K4" s="207">
        <v>0</v>
      </c>
      <c r="L4" s="207">
        <v>-1196206.603623739</v>
      </c>
      <c r="M4" s="207">
        <v>0</v>
      </c>
      <c r="O4" s="207">
        <v>-101177.2915334787</v>
      </c>
      <c r="P4" s="207">
        <v>1095029.3130902601</v>
      </c>
    </row>
    <row r="5" spans="1:16" ht="13">
      <c r="A5" s="58" t="s">
        <v>2852</v>
      </c>
      <c r="B5" s="207"/>
      <c r="C5" s="207"/>
      <c r="D5" s="207">
        <v>-459739.57732904505</v>
      </c>
      <c r="E5" t="s">
        <v>2628</v>
      </c>
      <c r="F5" s="207">
        <v>3991.7999999999997</v>
      </c>
      <c r="G5" s="207">
        <v>222134</v>
      </c>
      <c r="H5" s="207">
        <v>-233613.77732904506</v>
      </c>
      <c r="I5" s="207">
        <v>-233613.77732904506</v>
      </c>
      <c r="J5" s="207">
        <v>1301422.872378649</v>
      </c>
      <c r="K5" s="207">
        <v>0</v>
      </c>
      <c r="L5" s="207">
        <v>1067809.0950496038</v>
      </c>
      <c r="M5" s="207">
        <v>0</v>
      </c>
      <c r="O5" s="207">
        <v>177078.20608704974</v>
      </c>
      <c r="P5" s="207">
        <v>410691.98341609479</v>
      </c>
    </row>
    <row r="6" spans="1:16" ht="13">
      <c r="A6" s="58" t="s">
        <v>2853</v>
      </c>
      <c r="B6" s="207"/>
      <c r="C6" s="207"/>
      <c r="D6" s="207">
        <v>-31158.449270185381</v>
      </c>
      <c r="E6" t="s">
        <v>2628</v>
      </c>
      <c r="F6" s="207">
        <v>200.1</v>
      </c>
      <c r="G6" s="207">
        <v>11964</v>
      </c>
      <c r="H6" s="207">
        <v>-18994.349270185383</v>
      </c>
      <c r="I6" s="207">
        <v>-18994.349270185383</v>
      </c>
      <c r="J6" s="207">
        <v>65220.279892690043</v>
      </c>
      <c r="K6" s="207">
        <v>0</v>
      </c>
      <c r="L6" s="207">
        <v>46225.93062250466</v>
      </c>
      <c r="M6" s="207">
        <v>0</v>
      </c>
      <c r="O6" s="207">
        <v>11545.850622151829</v>
      </c>
      <c r="P6" s="207">
        <v>30540.199892337212</v>
      </c>
    </row>
    <row r="7" spans="1:16" ht="13">
      <c r="A7" s="58" t="s">
        <v>2854</v>
      </c>
      <c r="B7" s="207"/>
      <c r="C7" s="207"/>
      <c r="D7" s="207">
        <v>0</v>
      </c>
      <c r="E7" t="s">
        <v>2628</v>
      </c>
      <c r="F7" s="207">
        <v>0</v>
      </c>
      <c r="G7" s="207">
        <v>0</v>
      </c>
      <c r="H7" s="207">
        <v>0</v>
      </c>
      <c r="I7" s="207">
        <v>0</v>
      </c>
      <c r="J7" s="207">
        <v>0</v>
      </c>
      <c r="K7" s="207">
        <v>0</v>
      </c>
      <c r="L7" s="207">
        <v>0</v>
      </c>
      <c r="M7" s="207">
        <v>0</v>
      </c>
      <c r="O7" s="207">
        <v>0</v>
      </c>
      <c r="P7" s="207">
        <v>0</v>
      </c>
    </row>
    <row r="8" spans="1:16" ht="13">
      <c r="A8" s="58" t="s">
        <v>2855</v>
      </c>
      <c r="B8" s="207"/>
      <c r="C8" s="207"/>
      <c r="D8" s="207">
        <v>-816016.90146528208</v>
      </c>
      <c r="E8" t="s">
        <v>2628</v>
      </c>
      <c r="F8" s="207">
        <v>12753.3</v>
      </c>
      <c r="G8" s="207">
        <v>714884</v>
      </c>
      <c r="H8" s="207">
        <v>-88379.60146528203</v>
      </c>
      <c r="I8" s="207">
        <v>-88379.60146528203</v>
      </c>
      <c r="J8" s="207">
        <v>4157883.246233156</v>
      </c>
      <c r="K8" s="207">
        <v>0</v>
      </c>
      <c r="L8" s="207">
        <v>4069503.6447678739</v>
      </c>
      <c r="M8" s="207">
        <v>0</v>
      </c>
      <c r="O8" s="207">
        <v>681957.17946419609</v>
      </c>
      <c r="P8" s="207">
        <v>770336.78092947812</v>
      </c>
    </row>
    <row r="9" spans="1:16" ht="13">
      <c r="A9" s="58" t="s">
        <v>2856</v>
      </c>
      <c r="B9" s="207"/>
      <c r="C9" s="207"/>
      <c r="D9" s="207">
        <v>-1038746.89380441</v>
      </c>
      <c r="E9" t="s">
        <v>2628</v>
      </c>
      <c r="F9" s="207">
        <v>3354.9</v>
      </c>
      <c r="G9" s="207">
        <v>104777</v>
      </c>
      <c r="H9" s="207">
        <v>-930614.99380440998</v>
      </c>
      <c r="I9" s="207">
        <v>-930614.99380440998</v>
      </c>
      <c r="J9" s="207">
        <v>1329482.3180547364</v>
      </c>
      <c r="K9" s="207">
        <v>74875.522825131717</v>
      </c>
      <c r="L9" s="207">
        <v>398867.32425032638</v>
      </c>
      <c r="M9" s="207">
        <v>74875.522825131717</v>
      </c>
      <c r="O9" s="207">
        <v>-931467.29964767443</v>
      </c>
      <c r="P9" s="207">
        <v>-852.30584326444659</v>
      </c>
    </row>
    <row r="10" spans="1:16" ht="13">
      <c r="A10" s="58" t="s">
        <v>2857</v>
      </c>
      <c r="B10" s="207"/>
      <c r="C10" s="207"/>
      <c r="D10" s="207">
        <v>-3064714.0508725718</v>
      </c>
      <c r="E10" t="s">
        <v>2628</v>
      </c>
      <c r="F10" s="207">
        <v>65964.3</v>
      </c>
      <c r="G10" s="207">
        <v>2998750</v>
      </c>
      <c r="H10" s="207">
        <v>0.24912742804735899</v>
      </c>
      <c r="I10" s="207">
        <v>0.24912742804735899</v>
      </c>
      <c r="J10" s="207">
        <v>21481866.706277158</v>
      </c>
      <c r="K10" s="207">
        <v>1229420.7869584803</v>
      </c>
      <c r="L10" s="207">
        <v>21481866.955404587</v>
      </c>
      <c r="M10" s="207">
        <v>1229420.7869584803</v>
      </c>
      <c r="O10" s="207">
        <v>552926.99721773155</v>
      </c>
      <c r="P10" s="207">
        <v>552926.7480903035</v>
      </c>
    </row>
    <row r="11" spans="1:16" ht="13">
      <c r="A11" s="58" t="s">
        <v>2858</v>
      </c>
      <c r="B11" s="207"/>
      <c r="C11" s="207"/>
      <c r="D11" s="207">
        <v>-1339767.2868770196</v>
      </c>
      <c r="E11" t="s">
        <v>2628</v>
      </c>
      <c r="F11" s="207">
        <v>16838.7</v>
      </c>
      <c r="G11" s="207">
        <v>589297</v>
      </c>
      <c r="H11" s="207">
        <v>-733631.58687701961</v>
      </c>
      <c r="I11" s="207">
        <v>-733631.58687701961</v>
      </c>
      <c r="J11" s="207">
        <v>6445409.4738931423</v>
      </c>
      <c r="K11" s="207">
        <v>891641.56898546661</v>
      </c>
      <c r="L11" s="207">
        <v>5711777.8870161232</v>
      </c>
      <c r="M11" s="207">
        <v>891641.56898546661</v>
      </c>
      <c r="O11" s="207">
        <v>-734430.00688827899</v>
      </c>
      <c r="P11" s="207">
        <v>-798.42001125938259</v>
      </c>
    </row>
    <row r="12" spans="1:16" ht="13">
      <c r="A12" s="58" t="s">
        <v>2859</v>
      </c>
      <c r="B12" s="207"/>
      <c r="C12" s="207"/>
      <c r="D12" s="207">
        <v>-9257833.6066598054</v>
      </c>
      <c r="E12" t="s">
        <v>2628</v>
      </c>
      <c r="F12" s="207">
        <v>181158</v>
      </c>
      <c r="G12" s="207">
        <v>9076676</v>
      </c>
      <c r="H12" s="207">
        <v>0.39334019459784031</v>
      </c>
      <c r="I12" s="207">
        <v>0.39334019459784031</v>
      </c>
      <c r="J12" s="207">
        <v>52635249.497789815</v>
      </c>
      <c r="K12" s="207">
        <v>0</v>
      </c>
      <c r="L12" s="207">
        <v>52635249.891130008</v>
      </c>
      <c r="M12" s="207">
        <v>0</v>
      </c>
      <c r="O12" s="207">
        <v>6107550.3933401946</v>
      </c>
      <c r="P12" s="207">
        <v>6107550</v>
      </c>
    </row>
    <row r="13" spans="1:16" ht="13">
      <c r="A13" s="58" t="s">
        <v>2860</v>
      </c>
      <c r="B13" s="207"/>
      <c r="C13" s="207"/>
      <c r="D13" s="207">
        <v>-4425984.8774030302</v>
      </c>
      <c r="E13" t="s">
        <v>2628</v>
      </c>
      <c r="F13" s="207">
        <v>36829.5</v>
      </c>
      <c r="G13" s="207">
        <v>1812374</v>
      </c>
      <c r="H13" s="207">
        <v>-2576781.3774030302</v>
      </c>
      <c r="I13" s="207">
        <v>-2576781.3774030302</v>
      </c>
      <c r="J13" s="207">
        <v>12095796.664596368</v>
      </c>
      <c r="K13" s="207">
        <v>0</v>
      </c>
      <c r="L13" s="207">
        <v>9519015.2871933375</v>
      </c>
      <c r="M13" s="207">
        <v>0</v>
      </c>
      <c r="O13" s="207">
        <v>-2559443.3179140836</v>
      </c>
      <c r="P13" s="207">
        <v>17338.059488946572</v>
      </c>
    </row>
    <row r="14" spans="1:16" ht="13">
      <c r="A14" s="58" t="s">
        <v>2843</v>
      </c>
      <c r="B14" s="207"/>
      <c r="C14" s="207"/>
      <c r="D14" s="207">
        <v>30144.000000000233</v>
      </c>
      <c r="E14" t="s">
        <v>2628</v>
      </c>
      <c r="F14" s="207">
        <v>0</v>
      </c>
      <c r="G14" s="207">
        <v>-30144</v>
      </c>
      <c r="H14" s="207">
        <v>2.3283064365386963E-10</v>
      </c>
      <c r="I14" s="207">
        <v>2.3283064365386963E-10</v>
      </c>
      <c r="J14" s="207">
        <v>0</v>
      </c>
      <c r="K14" s="207">
        <v>0</v>
      </c>
      <c r="L14" s="207">
        <v>2.3283064365386963E-10</v>
      </c>
      <c r="M14" s="207">
        <v>0</v>
      </c>
      <c r="O14" s="207">
        <v>-2315757.3673281698</v>
      </c>
      <c r="P14" s="207">
        <v>-2315757.3673281698</v>
      </c>
    </row>
    <row r="15" spans="1:16" ht="13">
      <c r="A15" s="330" t="s">
        <v>2861</v>
      </c>
      <c r="B15" s="207"/>
      <c r="C15" s="207"/>
      <c r="D15" s="207">
        <v>-150.98679953781314</v>
      </c>
      <c r="E15" t="s">
        <v>2628</v>
      </c>
      <c r="F15" s="207">
        <v>0</v>
      </c>
      <c r="G15" s="207">
        <v>0</v>
      </c>
      <c r="H15" s="207">
        <v>-150.98679953781314</v>
      </c>
      <c r="I15" s="207">
        <v>-150.98679953781314</v>
      </c>
      <c r="J15" s="207">
        <v>1E-3</v>
      </c>
      <c r="K15" s="207">
        <v>0</v>
      </c>
      <c r="L15" s="207">
        <v>-150.98579953781314</v>
      </c>
      <c r="M15" s="207">
        <v>0</v>
      </c>
      <c r="O15" s="207">
        <v>-150.98679953781314</v>
      </c>
      <c r="P15" s="207">
        <v>0</v>
      </c>
    </row>
    <row r="16" spans="1:16" ht="13">
      <c r="A16" s="58" t="s">
        <v>2862</v>
      </c>
      <c r="B16" s="207"/>
      <c r="C16" s="207"/>
      <c r="D16" s="207">
        <v>-103985.20648520303</v>
      </c>
      <c r="E16" t="s">
        <v>2628</v>
      </c>
      <c r="F16" s="207">
        <v>1601.1</v>
      </c>
      <c r="G16" s="207">
        <v>85873</v>
      </c>
      <c r="H16" s="207">
        <v>-16511.106485203025</v>
      </c>
      <c r="I16" s="207">
        <v>-16511.106485203025</v>
      </c>
      <c r="J16" s="207">
        <v>522015.12941922829</v>
      </c>
      <c r="K16" s="207">
        <v>105183.38608876002</v>
      </c>
      <c r="L16" s="207">
        <v>505504.02293402527</v>
      </c>
      <c r="M16" s="207">
        <v>105183.38608876002</v>
      </c>
      <c r="O16" s="207">
        <v>4718.9814137001813</v>
      </c>
      <c r="P16" s="207">
        <v>21230.087898903206</v>
      </c>
    </row>
    <row r="17" spans="1:16" ht="13">
      <c r="A17" s="58" t="s">
        <v>2863</v>
      </c>
      <c r="B17" s="207"/>
      <c r="C17" s="207"/>
      <c r="D17" s="207">
        <v>-289510.5789403391</v>
      </c>
      <c r="E17" t="s">
        <v>2628</v>
      </c>
      <c r="F17" s="207">
        <v>1488</v>
      </c>
      <c r="G17" s="207">
        <v>69552</v>
      </c>
      <c r="H17" s="207">
        <v>-218470.5789403391</v>
      </c>
      <c r="I17" s="207">
        <v>-218470.5789403391</v>
      </c>
      <c r="J17" s="207">
        <v>489260.51405349036</v>
      </c>
      <c r="K17" s="207">
        <v>59720.318112500412</v>
      </c>
      <c r="L17" s="207">
        <v>270789.93511315127</v>
      </c>
      <c r="M17" s="207">
        <v>59720.318112500412</v>
      </c>
      <c r="O17" s="207">
        <v>-192203.93490741606</v>
      </c>
      <c r="P17" s="207">
        <v>26266.644032923039</v>
      </c>
    </row>
    <row r="18" spans="1:16" ht="13">
      <c r="A18" s="58" t="s">
        <v>2864</v>
      </c>
      <c r="B18" s="207"/>
      <c r="C18" s="207"/>
      <c r="D18" s="207">
        <v>0</v>
      </c>
      <c r="E18" t="s">
        <v>2628</v>
      </c>
      <c r="F18" s="207">
        <v>0</v>
      </c>
      <c r="G18" s="207">
        <v>0</v>
      </c>
      <c r="H18" s="207">
        <v>0</v>
      </c>
      <c r="I18" s="207">
        <v>0</v>
      </c>
      <c r="J18" s="207">
        <v>0</v>
      </c>
      <c r="K18" s="207">
        <v>0</v>
      </c>
      <c r="L18" s="207">
        <v>0</v>
      </c>
      <c r="M18" s="207">
        <v>0</v>
      </c>
      <c r="O18" s="207">
        <v>0</v>
      </c>
      <c r="P18" s="207">
        <v>0</v>
      </c>
    </row>
    <row r="19" spans="1:16" ht="13">
      <c r="A19" s="58" t="s">
        <v>2865</v>
      </c>
      <c r="B19" s="207"/>
      <c r="C19" s="207"/>
      <c r="D19" s="207">
        <v>-56911.847939887251</v>
      </c>
      <c r="E19" t="s">
        <v>2628</v>
      </c>
      <c r="F19" s="207">
        <v>997.5</v>
      </c>
      <c r="G19" s="207">
        <v>51306</v>
      </c>
      <c r="H19" s="207">
        <v>-4608.3479398872514</v>
      </c>
      <c r="I19" s="207">
        <v>-4608.3479398872514</v>
      </c>
      <c r="J19" s="207">
        <v>274875.39101335296</v>
      </c>
      <c r="K19" s="207">
        <v>0</v>
      </c>
      <c r="L19" s="207">
        <v>270267.0430734657</v>
      </c>
      <c r="M19" s="207">
        <v>0</v>
      </c>
      <c r="O19" s="207">
        <v>39014.534513191516</v>
      </c>
      <c r="P19" s="207">
        <v>43622.882453078768</v>
      </c>
    </row>
    <row r="20" spans="1:16" ht="13">
      <c r="A20" s="330" t="s">
        <v>2866</v>
      </c>
      <c r="B20" s="207"/>
      <c r="C20" s="207"/>
      <c r="D20" s="207">
        <v>-9448.5974265617788</v>
      </c>
      <c r="E20" t="s">
        <v>2628</v>
      </c>
      <c r="F20" s="207">
        <v>0</v>
      </c>
      <c r="G20" s="207">
        <v>0</v>
      </c>
      <c r="H20" s="207">
        <v>-9448.5974265617788</v>
      </c>
      <c r="I20" s="207">
        <v>-9448.5974265617788</v>
      </c>
      <c r="J20" s="207">
        <v>1E-3</v>
      </c>
      <c r="K20" s="207">
        <v>0</v>
      </c>
      <c r="L20" s="207">
        <v>-9448.5964265617786</v>
      </c>
      <c r="M20" s="207">
        <v>0</v>
      </c>
      <c r="O20" s="207">
        <v>-9448.5974265617788</v>
      </c>
      <c r="P20" s="207">
        <v>0</v>
      </c>
    </row>
    <row r="21" spans="1:16" ht="13">
      <c r="A21" s="58" t="s">
        <v>2867</v>
      </c>
      <c r="B21" s="207"/>
      <c r="C21" s="207"/>
      <c r="D21" s="207">
        <v>-45912.096821535139</v>
      </c>
      <c r="E21" t="s">
        <v>2628</v>
      </c>
      <c r="F21" s="207">
        <v>807.3</v>
      </c>
      <c r="G21" s="207">
        <v>43841</v>
      </c>
      <c r="H21" s="207">
        <v>-1263.7968215351357</v>
      </c>
      <c r="I21" s="207">
        <v>-1263.7968215351357</v>
      </c>
      <c r="J21" s="207">
        <v>263248.32948722964</v>
      </c>
      <c r="K21" s="207">
        <v>0</v>
      </c>
      <c r="L21" s="207">
        <v>261984.53266569451</v>
      </c>
      <c r="M21" s="207">
        <v>0</v>
      </c>
      <c r="O21" s="207">
        <v>33276.215217471021</v>
      </c>
      <c r="P21" s="207">
        <v>34540.012039006157</v>
      </c>
    </row>
    <row r="22" spans="1:16" ht="13">
      <c r="A22" s="58" t="s">
        <v>2868</v>
      </c>
      <c r="B22" s="207"/>
      <c r="C22" s="207"/>
      <c r="D22" s="207">
        <v>0</v>
      </c>
      <c r="E22" t="s">
        <v>2628</v>
      </c>
      <c r="F22" s="207">
        <v>0</v>
      </c>
      <c r="G22" s="207">
        <v>0</v>
      </c>
      <c r="H22" s="207">
        <v>0</v>
      </c>
      <c r="I22" s="207">
        <v>0</v>
      </c>
      <c r="J22" s="207">
        <v>0</v>
      </c>
      <c r="K22" s="207">
        <v>0</v>
      </c>
      <c r="L22" s="207">
        <v>0</v>
      </c>
      <c r="M22" s="207">
        <v>0</v>
      </c>
      <c r="O22" s="207">
        <v>0</v>
      </c>
      <c r="P22" s="207">
        <v>0</v>
      </c>
    </row>
    <row r="23" spans="1:16" ht="13">
      <c r="A23" s="58" t="s">
        <v>2869</v>
      </c>
      <c r="B23" s="207"/>
      <c r="C23" s="207"/>
      <c r="D23" s="207">
        <v>0</v>
      </c>
      <c r="E23" t="s">
        <v>2628</v>
      </c>
      <c r="F23" s="207">
        <v>0</v>
      </c>
      <c r="G23" s="207">
        <v>0</v>
      </c>
      <c r="H23" s="207">
        <v>0</v>
      </c>
      <c r="I23" s="207">
        <v>0</v>
      </c>
      <c r="J23" s="207">
        <v>0</v>
      </c>
      <c r="K23" s="207">
        <v>0</v>
      </c>
      <c r="L23" s="207">
        <v>0</v>
      </c>
      <c r="M23" s="207">
        <v>0</v>
      </c>
      <c r="O23" s="207">
        <v>0</v>
      </c>
      <c r="P23" s="207">
        <v>0</v>
      </c>
    </row>
    <row r="24" spans="1:16" ht="13">
      <c r="A24" s="58" t="s">
        <v>2870</v>
      </c>
      <c r="B24" s="207"/>
      <c r="C24" s="207"/>
      <c r="D24" s="207">
        <v>0</v>
      </c>
      <c r="E24" t="s">
        <v>2628</v>
      </c>
      <c r="F24" s="207">
        <v>0</v>
      </c>
      <c r="G24" s="207">
        <v>0</v>
      </c>
      <c r="H24" s="207">
        <v>0</v>
      </c>
      <c r="I24" s="207">
        <v>0</v>
      </c>
      <c r="J24" s="207">
        <v>0</v>
      </c>
      <c r="K24" s="207">
        <v>0</v>
      </c>
      <c r="L24" s="207">
        <v>0</v>
      </c>
      <c r="M24" s="207">
        <v>0</v>
      </c>
      <c r="O24" s="207">
        <v>0</v>
      </c>
      <c r="P24" s="207">
        <v>0</v>
      </c>
    </row>
    <row r="25" spans="1:16" ht="13">
      <c r="A25" s="58" t="s">
        <v>2844</v>
      </c>
      <c r="B25" s="207"/>
      <c r="C25" s="207"/>
      <c r="D25" s="207">
        <v>-2388463.9606650304</v>
      </c>
      <c r="E25" t="s">
        <v>2628</v>
      </c>
      <c r="F25" s="207">
        <v>18892.8</v>
      </c>
      <c r="G25" s="207">
        <v>717629</v>
      </c>
      <c r="H25" s="207">
        <v>-1651942.1606650304</v>
      </c>
      <c r="I25" s="207">
        <v>-1651942.1606650304</v>
      </c>
      <c r="J25" s="207">
        <v>12937283.863919999</v>
      </c>
      <c r="K25" s="207">
        <v>9134006.0455799997</v>
      </c>
      <c r="L25" s="207">
        <v>11285341.70325497</v>
      </c>
      <c r="M25" s="207">
        <v>9134006.0455799997</v>
      </c>
      <c r="O25" s="207">
        <v>-8331779.1606650306</v>
      </c>
      <c r="P25" s="207">
        <v>-6679837</v>
      </c>
    </row>
    <row r="26" spans="1:16" ht="13">
      <c r="A26" s="58" t="s">
        <v>2871</v>
      </c>
      <c r="B26" s="207"/>
      <c r="C26" s="207"/>
      <c r="D26" s="207">
        <v>0</v>
      </c>
      <c r="E26" t="s">
        <v>2628</v>
      </c>
      <c r="F26" s="207">
        <v>0</v>
      </c>
      <c r="G26" s="207">
        <v>0</v>
      </c>
      <c r="H26" s="207">
        <v>0</v>
      </c>
      <c r="I26" s="207">
        <v>0</v>
      </c>
      <c r="J26" s="207">
        <v>0</v>
      </c>
      <c r="K26" s="207">
        <v>0</v>
      </c>
      <c r="L26" s="207">
        <v>0</v>
      </c>
      <c r="M26" s="207">
        <v>0</v>
      </c>
      <c r="O26" s="207">
        <v>0</v>
      </c>
      <c r="P26" s="207">
        <v>0</v>
      </c>
    </row>
    <row r="27" spans="1:16" ht="13">
      <c r="A27" s="58" t="s">
        <v>2872</v>
      </c>
      <c r="B27" s="207"/>
      <c r="C27" s="207"/>
      <c r="D27" s="207">
        <v>0</v>
      </c>
      <c r="E27" t="s">
        <v>2628</v>
      </c>
      <c r="F27" s="207">
        <v>0</v>
      </c>
      <c r="G27" s="207">
        <v>0</v>
      </c>
      <c r="H27" s="207">
        <v>0</v>
      </c>
      <c r="I27" s="207">
        <v>0</v>
      </c>
      <c r="J27" s="207">
        <v>0</v>
      </c>
      <c r="K27" s="207">
        <v>0</v>
      </c>
      <c r="L27" s="207">
        <v>0</v>
      </c>
      <c r="M27" s="207">
        <v>0</v>
      </c>
      <c r="O27" s="207">
        <v>0</v>
      </c>
      <c r="P27" s="207">
        <v>0</v>
      </c>
    </row>
    <row r="28" spans="1:16" ht="13">
      <c r="A28" s="58" t="s">
        <v>2873</v>
      </c>
      <c r="B28" s="207"/>
      <c r="C28" s="207"/>
      <c r="D28" s="207">
        <v>0</v>
      </c>
      <c r="E28" t="s">
        <v>2628</v>
      </c>
      <c r="F28" s="207">
        <v>0</v>
      </c>
      <c r="G28" s="207">
        <v>0</v>
      </c>
      <c r="H28" s="207">
        <v>0</v>
      </c>
      <c r="I28" s="207">
        <v>0</v>
      </c>
      <c r="J28" s="207">
        <v>0</v>
      </c>
      <c r="K28" s="207">
        <v>0</v>
      </c>
      <c r="L28" s="207">
        <v>0</v>
      </c>
      <c r="M28" s="207">
        <v>0</v>
      </c>
      <c r="O28" s="207">
        <v>0</v>
      </c>
      <c r="P28" s="207">
        <v>0</v>
      </c>
    </row>
    <row r="29" spans="1:16" ht="13">
      <c r="A29" s="58" t="s">
        <v>2874</v>
      </c>
      <c r="B29" s="207"/>
      <c r="C29" s="207"/>
      <c r="D29" s="207">
        <v>0</v>
      </c>
      <c r="E29" t="s">
        <v>2628</v>
      </c>
      <c r="F29" s="207">
        <v>0</v>
      </c>
      <c r="G29" s="207">
        <v>0</v>
      </c>
      <c r="H29" s="207">
        <v>0</v>
      </c>
      <c r="I29" s="207">
        <v>0</v>
      </c>
      <c r="J29" s="207">
        <v>0</v>
      </c>
      <c r="K29" s="207">
        <v>0</v>
      </c>
      <c r="L29" s="207">
        <v>0</v>
      </c>
      <c r="M29" s="207">
        <v>0</v>
      </c>
      <c r="O29" s="207">
        <v>0</v>
      </c>
      <c r="P29" s="207">
        <v>0</v>
      </c>
    </row>
    <row r="30" spans="1:16" ht="13">
      <c r="A30" s="58" t="s">
        <v>2875</v>
      </c>
      <c r="B30" s="207"/>
      <c r="C30" s="207"/>
      <c r="D30" s="207">
        <v>0</v>
      </c>
      <c r="E30" t="s">
        <v>2628</v>
      </c>
      <c r="F30" s="207">
        <v>0</v>
      </c>
      <c r="G30" s="207">
        <v>0</v>
      </c>
      <c r="H30" s="207">
        <v>0</v>
      </c>
      <c r="I30" s="207">
        <v>0</v>
      </c>
      <c r="J30" s="207">
        <v>0</v>
      </c>
      <c r="K30" s="207">
        <v>0</v>
      </c>
      <c r="L30" s="207">
        <v>0</v>
      </c>
      <c r="M30" s="207">
        <v>0</v>
      </c>
      <c r="O30" s="207">
        <v>0</v>
      </c>
      <c r="P30" s="207">
        <v>0</v>
      </c>
    </row>
    <row r="31" spans="1:16" ht="13">
      <c r="A31" s="58" t="s">
        <v>2876</v>
      </c>
      <c r="B31" s="207"/>
      <c r="C31" s="207"/>
      <c r="D31" s="207">
        <v>0</v>
      </c>
      <c r="E31" t="s">
        <v>2628</v>
      </c>
      <c r="F31" s="207">
        <v>0</v>
      </c>
      <c r="G31" s="207">
        <v>0</v>
      </c>
      <c r="H31" s="207">
        <v>0</v>
      </c>
      <c r="I31" s="207">
        <v>0</v>
      </c>
      <c r="J31" s="207">
        <v>0</v>
      </c>
      <c r="K31" s="207">
        <v>0</v>
      </c>
      <c r="L31" s="207">
        <v>0</v>
      </c>
      <c r="M31" s="207">
        <v>0</v>
      </c>
      <c r="O31" s="207">
        <v>0</v>
      </c>
      <c r="P31" s="207">
        <v>0</v>
      </c>
    </row>
    <row r="32" spans="1:16" ht="13">
      <c r="A32" s="58" t="s">
        <v>2877</v>
      </c>
      <c r="B32" s="207"/>
      <c r="C32" s="207"/>
      <c r="D32" s="207">
        <v>0</v>
      </c>
      <c r="E32" t="s">
        <v>2628</v>
      </c>
      <c r="F32" s="207">
        <v>0</v>
      </c>
      <c r="G32" s="207">
        <v>0</v>
      </c>
      <c r="H32" s="207">
        <v>0</v>
      </c>
      <c r="I32" s="207">
        <v>0</v>
      </c>
      <c r="J32" s="207">
        <v>0</v>
      </c>
      <c r="K32" s="207">
        <v>0</v>
      </c>
      <c r="L32" s="207">
        <v>0</v>
      </c>
      <c r="M32" s="207">
        <v>0</v>
      </c>
      <c r="O32" s="207">
        <v>0</v>
      </c>
      <c r="P32" s="207">
        <v>0</v>
      </c>
    </row>
    <row r="33" spans="1:16" ht="13">
      <c r="A33" s="58" t="s">
        <v>2878</v>
      </c>
      <c r="B33" s="207"/>
      <c r="C33" s="207"/>
      <c r="D33" s="207">
        <v>0</v>
      </c>
      <c r="E33" t="s">
        <v>2628</v>
      </c>
      <c r="F33" s="207">
        <v>0</v>
      </c>
      <c r="G33" s="207">
        <v>0</v>
      </c>
      <c r="H33" s="207">
        <v>0</v>
      </c>
      <c r="I33" s="207">
        <v>0</v>
      </c>
      <c r="J33" s="207">
        <v>0</v>
      </c>
      <c r="K33" s="207">
        <v>0</v>
      </c>
      <c r="L33" s="207">
        <v>0</v>
      </c>
      <c r="M33" s="207">
        <v>0</v>
      </c>
      <c r="O33" s="207">
        <v>0</v>
      </c>
      <c r="P33" s="207">
        <v>0</v>
      </c>
    </row>
    <row r="34" spans="1:16" ht="13">
      <c r="A34" s="58" t="s">
        <v>2879</v>
      </c>
      <c r="B34" s="207"/>
      <c r="C34" s="207"/>
      <c r="D34" s="207">
        <v>0</v>
      </c>
      <c r="E34" t="s">
        <v>2628</v>
      </c>
      <c r="F34" s="207">
        <v>0</v>
      </c>
      <c r="G34" s="207">
        <v>0</v>
      </c>
      <c r="H34" s="207">
        <v>0</v>
      </c>
      <c r="I34" s="207">
        <v>0</v>
      </c>
      <c r="J34" s="207">
        <v>0</v>
      </c>
      <c r="K34" s="207">
        <v>0</v>
      </c>
      <c r="L34" s="207">
        <v>0</v>
      </c>
      <c r="M34" s="207">
        <v>0</v>
      </c>
      <c r="O34" s="207">
        <v>0</v>
      </c>
      <c r="P34" s="207">
        <v>0</v>
      </c>
    </row>
    <row r="35" spans="1:16" ht="13">
      <c r="A35" s="58" t="s">
        <v>2880</v>
      </c>
      <c r="B35" s="207"/>
      <c r="C35" s="207"/>
      <c r="D35" s="207">
        <v>0</v>
      </c>
      <c r="E35" t="s">
        <v>2628</v>
      </c>
      <c r="F35" s="207">
        <v>0</v>
      </c>
      <c r="G35" s="207">
        <v>0</v>
      </c>
      <c r="H35" s="207">
        <v>0</v>
      </c>
      <c r="I35" s="207">
        <v>0</v>
      </c>
      <c r="J35" s="207">
        <v>0</v>
      </c>
      <c r="K35" s="207">
        <v>0</v>
      </c>
      <c r="L35" s="207">
        <v>0</v>
      </c>
      <c r="M35" s="207">
        <v>0</v>
      </c>
      <c r="O35" s="207">
        <v>0</v>
      </c>
      <c r="P35" s="207">
        <v>0</v>
      </c>
    </row>
    <row r="36" spans="1:16" ht="13">
      <c r="A36" s="330" t="s">
        <v>2845</v>
      </c>
      <c r="B36" s="207"/>
      <c r="C36" s="207"/>
      <c r="D36" s="207">
        <v>7153.9999999999563</v>
      </c>
      <c r="E36" t="s">
        <v>2628</v>
      </c>
      <c r="F36" s="207">
        <v>0</v>
      </c>
      <c r="G36" s="207">
        <v>-7154</v>
      </c>
      <c r="H36" s="207">
        <v>-4.3655745685100555E-11</v>
      </c>
      <c r="I36" s="207">
        <v>-4.3655745685100555E-11</v>
      </c>
      <c r="J36" s="207">
        <v>0</v>
      </c>
      <c r="K36" s="207">
        <v>0</v>
      </c>
      <c r="L36" s="207">
        <v>-4.3655745685100555E-11</v>
      </c>
      <c r="M36" s="207">
        <v>0</v>
      </c>
      <c r="O36" s="207">
        <v>-124645.32711424545</v>
      </c>
      <c r="P36" s="207">
        <v>-124645.3271142454</v>
      </c>
    </row>
    <row r="37" spans="1:16" ht="13">
      <c r="A37" s="58" t="s">
        <v>2881</v>
      </c>
      <c r="B37" s="207"/>
      <c r="C37" s="207"/>
      <c r="D37" s="207">
        <v>0</v>
      </c>
      <c r="E37" t="s">
        <v>2628</v>
      </c>
      <c r="F37" s="207">
        <v>0</v>
      </c>
      <c r="G37" s="207">
        <v>0</v>
      </c>
      <c r="H37" s="207">
        <v>0</v>
      </c>
      <c r="I37" s="207">
        <v>0</v>
      </c>
      <c r="J37" s="207">
        <v>0</v>
      </c>
      <c r="K37" s="207">
        <v>0</v>
      </c>
      <c r="L37" s="207">
        <v>0</v>
      </c>
      <c r="M37" s="207">
        <v>0</v>
      </c>
      <c r="O37" s="207">
        <v>0</v>
      </c>
      <c r="P37" s="207">
        <v>0</v>
      </c>
    </row>
    <row r="38" spans="1:16" ht="13">
      <c r="A38" s="58" t="s">
        <v>2882</v>
      </c>
      <c r="B38" s="207"/>
      <c r="C38" s="207"/>
      <c r="D38" s="207">
        <v>0</v>
      </c>
      <c r="E38" t="s">
        <v>2628</v>
      </c>
      <c r="F38" s="207">
        <v>0</v>
      </c>
      <c r="G38" s="207">
        <v>0</v>
      </c>
      <c r="H38" s="207">
        <v>0</v>
      </c>
      <c r="I38" s="207">
        <v>0</v>
      </c>
      <c r="J38" s="207">
        <v>0</v>
      </c>
      <c r="K38" s="207">
        <v>0</v>
      </c>
      <c r="L38" s="207">
        <v>0</v>
      </c>
      <c r="M38" s="207">
        <v>0</v>
      </c>
      <c r="O38" s="207">
        <v>0</v>
      </c>
      <c r="P38" s="207">
        <v>0</v>
      </c>
    </row>
    <row r="39" spans="1:16" ht="13">
      <c r="A39" s="58" t="s">
        <v>2883</v>
      </c>
      <c r="B39" s="207"/>
      <c r="C39" s="207"/>
      <c r="D39" s="207">
        <v>0</v>
      </c>
      <c r="E39" t="s">
        <v>2628</v>
      </c>
      <c r="F39" s="207">
        <v>0</v>
      </c>
      <c r="G39" s="207">
        <v>0</v>
      </c>
      <c r="H39" s="207">
        <v>0</v>
      </c>
      <c r="I39" s="207">
        <v>0</v>
      </c>
      <c r="J39" s="207">
        <v>0</v>
      </c>
      <c r="K39" s="207">
        <v>0</v>
      </c>
      <c r="L39" s="207">
        <v>0</v>
      </c>
      <c r="M39" s="207">
        <v>0</v>
      </c>
      <c r="O39" s="207">
        <v>0</v>
      </c>
      <c r="P39" s="207">
        <v>0</v>
      </c>
    </row>
    <row r="40" spans="1:16" ht="13">
      <c r="A40" s="58" t="s">
        <v>2884</v>
      </c>
      <c r="B40" s="207"/>
      <c r="C40" s="207"/>
      <c r="D40" s="207">
        <v>0</v>
      </c>
      <c r="E40" t="s">
        <v>2628</v>
      </c>
      <c r="F40" s="207">
        <v>0</v>
      </c>
      <c r="G40" s="207">
        <v>0</v>
      </c>
      <c r="H40" s="207">
        <v>0</v>
      </c>
      <c r="I40" s="207">
        <v>0</v>
      </c>
      <c r="J40" s="207">
        <v>0</v>
      </c>
      <c r="K40" s="207">
        <v>0</v>
      </c>
      <c r="L40" s="207">
        <v>0</v>
      </c>
      <c r="M40" s="207">
        <v>0</v>
      </c>
      <c r="O40" s="207">
        <v>0</v>
      </c>
      <c r="P40" s="207">
        <v>0</v>
      </c>
    </row>
    <row r="41" spans="1:16" ht="13">
      <c r="A41" s="330" t="s">
        <v>2846</v>
      </c>
      <c r="B41" s="207"/>
      <c r="C41" s="207"/>
      <c r="D41" s="207">
        <v>0</v>
      </c>
      <c r="E41" t="s">
        <v>2628</v>
      </c>
      <c r="F41" s="207">
        <v>0</v>
      </c>
      <c r="G41" s="207">
        <v>0</v>
      </c>
      <c r="H41" s="207">
        <v>0</v>
      </c>
      <c r="I41" s="207">
        <v>0</v>
      </c>
      <c r="J41" s="207">
        <v>0</v>
      </c>
      <c r="K41" s="207">
        <v>0</v>
      </c>
      <c r="L41" s="207">
        <v>0</v>
      </c>
      <c r="M41" s="207">
        <v>0</v>
      </c>
      <c r="O41" s="207">
        <v>-1115.0589896657784</v>
      </c>
      <c r="P41" s="207">
        <v>-1115.0589896657784</v>
      </c>
    </row>
    <row r="42" spans="1:16" ht="13">
      <c r="A42" s="58" t="s">
        <v>2847</v>
      </c>
      <c r="B42" s="207"/>
      <c r="C42" s="207"/>
      <c r="D42" s="207">
        <v>0</v>
      </c>
      <c r="E42" t="s">
        <v>2628</v>
      </c>
      <c r="F42" s="207">
        <v>0</v>
      </c>
      <c r="G42" s="207">
        <v>0</v>
      </c>
      <c r="H42" s="207">
        <v>0</v>
      </c>
      <c r="I42" s="207">
        <v>0</v>
      </c>
      <c r="J42" s="207">
        <v>0</v>
      </c>
      <c r="K42" s="207">
        <v>0</v>
      </c>
      <c r="L42" s="207">
        <v>0</v>
      </c>
      <c r="M42" s="207">
        <v>0</v>
      </c>
      <c r="O42" s="207">
        <v>0</v>
      </c>
      <c r="P42" s="207">
        <v>0</v>
      </c>
    </row>
    <row r="43" spans="1:16" ht="13">
      <c r="A43" s="58" t="s">
        <v>2848</v>
      </c>
      <c r="B43" s="207"/>
      <c r="C43" s="207"/>
      <c r="D43" s="207">
        <v>0</v>
      </c>
      <c r="E43" t="s">
        <v>2628</v>
      </c>
      <c r="F43" s="207">
        <v>0</v>
      </c>
      <c r="G43" s="207">
        <v>0</v>
      </c>
      <c r="H43" s="207">
        <v>0</v>
      </c>
      <c r="I43" s="207">
        <v>0</v>
      </c>
      <c r="J43" s="207">
        <v>21157738.235932026</v>
      </c>
      <c r="K43" s="207">
        <v>1202255.8985122687</v>
      </c>
      <c r="L43" s="207">
        <v>21157738.235932026</v>
      </c>
      <c r="M43" s="207">
        <v>1202255.8985122687</v>
      </c>
      <c r="O43" s="207">
        <v>0</v>
      </c>
      <c r="P43" s="207">
        <v>0</v>
      </c>
    </row>
    <row r="44" spans="1:16" ht="13">
      <c r="A44" s="58" t="s">
        <v>2849</v>
      </c>
      <c r="B44" s="207"/>
      <c r="C44" s="207"/>
      <c r="D44" s="207">
        <v>-1170750.8</v>
      </c>
      <c r="E44" t="s">
        <v>2628</v>
      </c>
      <c r="F44" s="207">
        <v>33682.799999999996</v>
      </c>
      <c r="G44" s="207">
        <v>1137068</v>
      </c>
      <c r="H44" s="207">
        <v>0</v>
      </c>
      <c r="I44" s="207">
        <v>0</v>
      </c>
      <c r="J44" s="207">
        <v>0</v>
      </c>
      <c r="K44" s="207">
        <v>0</v>
      </c>
      <c r="L44" s="207">
        <v>0</v>
      </c>
      <c r="M44" s="207">
        <v>0</v>
      </c>
      <c r="O44" s="207">
        <v>0</v>
      </c>
      <c r="P44" s="207">
        <v>0</v>
      </c>
    </row>
    <row r="45" spans="1:16" ht="13">
      <c r="A45" s="330" t="s">
        <v>2850</v>
      </c>
      <c r="B45" s="207"/>
      <c r="C45" s="207"/>
      <c r="D45" s="207">
        <v>0</v>
      </c>
      <c r="E45" t="s">
        <v>2628</v>
      </c>
      <c r="F45" s="207">
        <v>0</v>
      </c>
      <c r="G45" s="207">
        <v>0</v>
      </c>
      <c r="H45" s="207">
        <v>0</v>
      </c>
      <c r="I45" s="207">
        <v>0</v>
      </c>
      <c r="J45" s="207">
        <v>0</v>
      </c>
      <c r="K45" s="207">
        <v>0</v>
      </c>
      <c r="L45" s="207">
        <v>0</v>
      </c>
      <c r="M45" s="207">
        <v>0</v>
      </c>
      <c r="O45" s="207">
        <v>-17338.059488946721</v>
      </c>
      <c r="P45" s="207">
        <v>-17338.059488946721</v>
      </c>
    </row>
    <row r="46" spans="1:16" ht="13">
      <c r="A46" s="330" t="s">
        <v>2714</v>
      </c>
      <c r="B46" s="207"/>
      <c r="C46" s="207"/>
      <c r="D46" s="207">
        <v>-36215291.143920675</v>
      </c>
      <c r="E46" t="s">
        <v>2266</v>
      </c>
      <c r="F46" s="207">
        <v>382623.6</v>
      </c>
      <c r="G46" s="207">
        <v>2753370</v>
      </c>
      <c r="H46" s="207">
        <v>-33079297.543920673</v>
      </c>
      <c r="I46" s="207">
        <v>-33079297.543920673</v>
      </c>
      <c r="J46" s="207">
        <v>10648051.289382018</v>
      </c>
      <c r="K46" s="207">
        <v>60995.225727997386</v>
      </c>
      <c r="L46" s="207">
        <v>-22431246.254538655</v>
      </c>
      <c r="M46" s="207">
        <v>60995.225727997386</v>
      </c>
      <c r="O46" s="207">
        <v>-30859690.793177523</v>
      </c>
      <c r="P46" s="207">
        <v>2219606.7507431507</v>
      </c>
    </row>
    <row r="47" spans="1:16" ht="13">
      <c r="A47" s="58" t="s">
        <v>2723</v>
      </c>
      <c r="B47" s="207"/>
      <c r="C47" s="207"/>
      <c r="D47" s="207">
        <v>0</v>
      </c>
      <c r="E47" t="s">
        <v>2266</v>
      </c>
      <c r="F47" s="207">
        <v>0</v>
      </c>
      <c r="G47" s="207">
        <v>0</v>
      </c>
      <c r="H47" s="207">
        <v>0</v>
      </c>
      <c r="I47" s="207">
        <v>0</v>
      </c>
      <c r="J47" s="207">
        <v>0</v>
      </c>
      <c r="K47" s="207">
        <v>0</v>
      </c>
      <c r="L47" s="207">
        <v>0</v>
      </c>
      <c r="M47" s="207">
        <v>0</v>
      </c>
      <c r="O47" s="207">
        <v>0</v>
      </c>
      <c r="P47" s="207">
        <v>0</v>
      </c>
    </row>
    <row r="48" spans="1:16" ht="13">
      <c r="A48" s="58" t="s">
        <v>2724</v>
      </c>
      <c r="B48" s="207"/>
      <c r="C48" s="207"/>
      <c r="D48" s="207">
        <v>0</v>
      </c>
      <c r="E48" t="s">
        <v>2266</v>
      </c>
      <c r="F48" s="207">
        <v>0</v>
      </c>
      <c r="G48" s="207">
        <v>0</v>
      </c>
      <c r="H48" s="207">
        <v>0</v>
      </c>
      <c r="I48" s="207">
        <v>0</v>
      </c>
      <c r="J48" s="207">
        <v>0</v>
      </c>
      <c r="K48" s="207">
        <v>0</v>
      </c>
      <c r="L48" s="207">
        <v>0</v>
      </c>
      <c r="M48" s="207">
        <v>0</v>
      </c>
      <c r="O48" s="207">
        <v>0</v>
      </c>
      <c r="P48" s="207">
        <v>0</v>
      </c>
    </row>
    <row r="49" spans="1:16" ht="13">
      <c r="A49" s="58" t="s">
        <v>2725</v>
      </c>
      <c r="B49" s="207"/>
      <c r="C49" s="207"/>
      <c r="D49" s="207">
        <v>0</v>
      </c>
      <c r="E49" t="s">
        <v>2266</v>
      </c>
      <c r="F49" s="207">
        <v>0</v>
      </c>
      <c r="G49" s="207">
        <v>0</v>
      </c>
      <c r="H49" s="207">
        <v>0</v>
      </c>
      <c r="I49" s="207">
        <v>0</v>
      </c>
      <c r="J49" s="207">
        <v>0</v>
      </c>
      <c r="K49" s="207">
        <v>0</v>
      </c>
      <c r="L49" s="207">
        <v>0</v>
      </c>
      <c r="M49" s="207">
        <v>0</v>
      </c>
      <c r="O49" s="207">
        <v>0</v>
      </c>
      <c r="P49" s="207">
        <v>0</v>
      </c>
    </row>
    <row r="50" spans="1:16" ht="13">
      <c r="A50" s="58" t="s">
        <v>2726</v>
      </c>
      <c r="B50" s="207"/>
      <c r="C50" s="207"/>
      <c r="D50" s="207">
        <v>0</v>
      </c>
      <c r="E50" t="s">
        <v>2266</v>
      </c>
      <c r="F50" s="207">
        <v>0</v>
      </c>
      <c r="G50" s="207">
        <v>0</v>
      </c>
      <c r="H50" s="207">
        <v>0</v>
      </c>
      <c r="I50" s="207">
        <v>0</v>
      </c>
      <c r="J50" s="207">
        <v>0</v>
      </c>
      <c r="K50" s="207">
        <v>0</v>
      </c>
      <c r="L50" s="207">
        <v>0</v>
      </c>
      <c r="M50" s="207">
        <v>0</v>
      </c>
      <c r="O50" s="207">
        <v>0</v>
      </c>
      <c r="P50" s="207">
        <v>0</v>
      </c>
    </row>
    <row r="51" spans="1:16" ht="13">
      <c r="A51" s="58" t="s">
        <v>2727</v>
      </c>
      <c r="B51" s="207"/>
      <c r="C51" s="207"/>
      <c r="D51" s="207">
        <v>-491635.65922271821</v>
      </c>
      <c r="E51" t="s">
        <v>2266</v>
      </c>
      <c r="F51" s="207">
        <v>2026.5</v>
      </c>
      <c r="G51" s="207">
        <v>176522</v>
      </c>
      <c r="H51" s="207">
        <v>-313087.15922271821</v>
      </c>
      <c r="I51" s="207">
        <v>-313087.15922271821</v>
      </c>
      <c r="J51" s="207">
        <v>311287.57386639121</v>
      </c>
      <c r="K51" s="207">
        <v>0</v>
      </c>
      <c r="L51" s="207">
        <v>-1799.5853563270066</v>
      </c>
      <c r="M51" s="207">
        <v>0</v>
      </c>
      <c r="O51" s="207">
        <v>-1799.7914098792244</v>
      </c>
      <c r="P51" s="207">
        <v>311287.36781283899</v>
      </c>
    </row>
    <row r="52" spans="1:16" ht="13">
      <c r="A52" s="330" t="s">
        <v>2728</v>
      </c>
      <c r="B52" s="207"/>
      <c r="C52" s="207"/>
      <c r="D52" s="207">
        <v>-1857640.5099581149</v>
      </c>
      <c r="E52" t="s">
        <v>2266</v>
      </c>
      <c r="F52" s="207">
        <v>0</v>
      </c>
      <c r="G52" s="207">
        <v>0</v>
      </c>
      <c r="H52" s="207">
        <v>-1857640.5099581149</v>
      </c>
      <c r="I52" s="207">
        <v>-1857640.5099581149</v>
      </c>
      <c r="J52" s="207">
        <v>530623.43999999994</v>
      </c>
      <c r="K52" s="207">
        <v>0</v>
      </c>
      <c r="L52" s="207">
        <v>-1327017.069958115</v>
      </c>
      <c r="M52" s="207">
        <v>0</v>
      </c>
      <c r="O52" s="207">
        <v>-1736111.0389163645</v>
      </c>
      <c r="P52" s="207">
        <v>121529.4710417504</v>
      </c>
    </row>
    <row r="53" spans="1:16" ht="13">
      <c r="A53" s="330" t="s">
        <v>2729</v>
      </c>
      <c r="B53" s="207"/>
      <c r="C53" s="207"/>
      <c r="D53" s="207">
        <v>-9207549.2457511406</v>
      </c>
      <c r="E53" t="s">
        <v>2266</v>
      </c>
      <c r="F53" s="207">
        <v>13012.199999999999</v>
      </c>
      <c r="G53" s="207">
        <v>718824</v>
      </c>
      <c r="H53" s="207">
        <v>-8475713.0457511414</v>
      </c>
      <c r="I53" s="207">
        <v>-8475713.0457511414</v>
      </c>
      <c r="J53" s="207">
        <v>6037810.6310692681</v>
      </c>
      <c r="K53" s="207">
        <v>8313801.2291307105</v>
      </c>
      <c r="L53" s="207">
        <v>-2437902.4146818733</v>
      </c>
      <c r="M53" s="207">
        <v>8313801.2291307105</v>
      </c>
      <c r="O53" s="207">
        <v>-8367836.6359854126</v>
      </c>
      <c r="P53" s="207">
        <v>107876.40976572875</v>
      </c>
    </row>
    <row r="54" spans="1:16" ht="13">
      <c r="A54" s="330" t="s">
        <v>2730</v>
      </c>
      <c r="B54" s="207"/>
      <c r="C54" s="207"/>
      <c r="D54" s="207">
        <v>-4363031.0430083098</v>
      </c>
      <c r="E54" t="s">
        <v>2266</v>
      </c>
      <c r="F54" s="207">
        <v>1945.5</v>
      </c>
      <c r="G54" s="207">
        <v>14781</v>
      </c>
      <c r="H54" s="207">
        <v>-4346304.5430083098</v>
      </c>
      <c r="I54" s="207">
        <v>-4346304.5430083098</v>
      </c>
      <c r="J54" s="207">
        <v>2991508.5370480423</v>
      </c>
      <c r="K54" s="207">
        <v>518627.32052064646</v>
      </c>
      <c r="L54" s="207">
        <v>-1354796.0059602675</v>
      </c>
      <c r="M54" s="207">
        <v>518627.32052064646</v>
      </c>
      <c r="O54" s="207">
        <v>-4060868.8777366197</v>
      </c>
      <c r="P54" s="207">
        <v>285435.66527169012</v>
      </c>
    </row>
    <row r="55" spans="1:16" ht="13">
      <c r="A55" s="330" t="s">
        <v>2731</v>
      </c>
      <c r="B55" s="207"/>
      <c r="C55" s="207"/>
      <c r="D55" s="207">
        <v>-8697965.5471873619</v>
      </c>
      <c r="E55" t="s">
        <v>2266</v>
      </c>
      <c r="F55" s="207">
        <v>3966.8999999999996</v>
      </c>
      <c r="G55" s="207">
        <v>356059</v>
      </c>
      <c r="H55" s="207">
        <v>-8337939.6471873615</v>
      </c>
      <c r="I55" s="207">
        <v>-8337939.6471873615</v>
      </c>
      <c r="J55" s="207">
        <v>2113501.8416410745</v>
      </c>
      <c r="K55" s="207">
        <v>24004.353210529571</v>
      </c>
      <c r="L55" s="207">
        <v>-6224437.8055462874</v>
      </c>
      <c r="M55" s="207">
        <v>24004.353210529571</v>
      </c>
      <c r="O55" s="207">
        <v>-7816350.0718070101</v>
      </c>
      <c r="P55" s="207">
        <v>521589.57538035139</v>
      </c>
    </row>
    <row r="56" spans="1:16" ht="13">
      <c r="A56" s="330" t="s">
        <v>2732</v>
      </c>
      <c r="B56" s="207"/>
      <c r="C56" s="207"/>
      <c r="D56" s="207">
        <v>-4406109.1901844507</v>
      </c>
      <c r="E56" t="s">
        <v>2266</v>
      </c>
      <c r="F56" s="207">
        <v>5276.7</v>
      </c>
      <c r="G56" s="207">
        <v>239643</v>
      </c>
      <c r="H56" s="207">
        <v>-4161189.4901844505</v>
      </c>
      <c r="I56" s="207">
        <v>-4161189.4901844505</v>
      </c>
      <c r="J56" s="207">
        <v>3015250.0688575432</v>
      </c>
      <c r="K56" s="207">
        <v>0</v>
      </c>
      <c r="L56" s="207">
        <v>-1145939.4213269074</v>
      </c>
      <c r="M56" s="207">
        <v>0</v>
      </c>
      <c r="O56" s="207">
        <v>-3992647.5291831065</v>
      </c>
      <c r="P56" s="207">
        <v>168541.96100134403</v>
      </c>
    </row>
    <row r="57" spans="1:16" ht="13">
      <c r="A57" s="330" t="s">
        <v>2715</v>
      </c>
      <c r="B57" s="207"/>
      <c r="C57" s="207"/>
      <c r="D57" s="207">
        <v>4101.0000000002328</v>
      </c>
      <c r="E57" t="s">
        <v>2266</v>
      </c>
      <c r="F57" s="207">
        <v>0</v>
      </c>
      <c r="G57" s="207">
        <v>-4101</v>
      </c>
      <c r="H57" s="207">
        <v>2.3283064365386963E-10</v>
      </c>
      <c r="I57" s="207">
        <v>2.3283064365386963E-10</v>
      </c>
      <c r="J57" s="207">
        <v>0</v>
      </c>
      <c r="K57" s="207">
        <v>0</v>
      </c>
      <c r="L57" s="207">
        <v>2.3283064365386963E-10</v>
      </c>
      <c r="M57" s="207">
        <v>0</v>
      </c>
      <c r="O57" s="207">
        <v>-710294.80787688482</v>
      </c>
      <c r="P57" s="207">
        <v>-710294.80787688505</v>
      </c>
    </row>
    <row r="58" spans="1:16" ht="13">
      <c r="A58" s="330" t="s">
        <v>2733</v>
      </c>
      <c r="B58" s="207"/>
      <c r="C58" s="207"/>
      <c r="D58" s="207">
        <v>-961451.81447063806</v>
      </c>
      <c r="E58" t="s">
        <v>2266</v>
      </c>
      <c r="F58" s="207">
        <v>0</v>
      </c>
      <c r="G58" s="207">
        <v>0</v>
      </c>
      <c r="H58" s="207">
        <v>-961451.81447063806</v>
      </c>
      <c r="I58" s="207">
        <v>-961451.81447063806</v>
      </c>
      <c r="J58" s="207">
        <v>662612.42249999999</v>
      </c>
      <c r="K58" s="207">
        <v>0</v>
      </c>
      <c r="L58" s="207">
        <v>-298839.39197063807</v>
      </c>
      <c r="M58" s="207">
        <v>0</v>
      </c>
      <c r="O58" s="207">
        <v>-898552.27614856395</v>
      </c>
      <c r="P58" s="207">
        <v>62899.538322074106</v>
      </c>
    </row>
    <row r="59" spans="1:16" ht="13">
      <c r="A59" s="58" t="s">
        <v>2734</v>
      </c>
      <c r="B59" s="207"/>
      <c r="C59" s="207"/>
      <c r="D59" s="207">
        <v>-4388.9339949903851</v>
      </c>
      <c r="E59" t="s">
        <v>2266</v>
      </c>
      <c r="F59" s="207">
        <v>30.599999999999998</v>
      </c>
      <c r="G59" s="207">
        <v>2767</v>
      </c>
      <c r="H59" s="207">
        <v>-1591.3339949903852</v>
      </c>
      <c r="I59" s="207">
        <v>-1591.3339949903852</v>
      </c>
      <c r="J59" s="207">
        <v>17212.675869616811</v>
      </c>
      <c r="K59" s="207">
        <v>0</v>
      </c>
      <c r="L59" s="207">
        <v>15621.341874626425</v>
      </c>
      <c r="M59" s="207">
        <v>0</v>
      </c>
      <c r="O59" s="207">
        <v>-1591.3339949903852</v>
      </c>
      <c r="P59" s="207">
        <v>0</v>
      </c>
    </row>
    <row r="60" spans="1:16" ht="13">
      <c r="A60" s="58" t="s">
        <v>2735</v>
      </c>
      <c r="B60" s="207"/>
      <c r="C60" s="207"/>
      <c r="D60" s="207">
        <v>0</v>
      </c>
      <c r="E60" t="s">
        <v>2266</v>
      </c>
      <c r="F60" s="207">
        <v>0</v>
      </c>
      <c r="G60" s="207">
        <v>0</v>
      </c>
      <c r="H60" s="207">
        <v>0</v>
      </c>
      <c r="I60" s="207">
        <v>0</v>
      </c>
      <c r="J60" s="207">
        <v>0</v>
      </c>
      <c r="K60" s="207">
        <v>0</v>
      </c>
      <c r="L60" s="207">
        <v>0</v>
      </c>
      <c r="M60" s="207">
        <v>0</v>
      </c>
      <c r="O60" s="207">
        <v>0</v>
      </c>
      <c r="P60" s="207">
        <v>0</v>
      </c>
    </row>
    <row r="61" spans="1:16" ht="13">
      <c r="A61" s="58" t="s">
        <v>2736</v>
      </c>
      <c r="B61" s="207"/>
      <c r="C61" s="207"/>
      <c r="D61" s="207">
        <v>0</v>
      </c>
      <c r="E61" t="s">
        <v>2266</v>
      </c>
      <c r="F61" s="207">
        <v>0</v>
      </c>
      <c r="G61" s="207">
        <v>0</v>
      </c>
      <c r="H61" s="207">
        <v>0</v>
      </c>
      <c r="I61" s="207">
        <v>0</v>
      </c>
      <c r="J61" s="207">
        <v>0</v>
      </c>
      <c r="K61" s="207">
        <v>0</v>
      </c>
      <c r="L61" s="207">
        <v>0</v>
      </c>
      <c r="M61" s="207">
        <v>0</v>
      </c>
      <c r="O61" s="207">
        <v>0</v>
      </c>
      <c r="P61" s="207">
        <v>0</v>
      </c>
    </row>
    <row r="62" spans="1:16" ht="13">
      <c r="A62" s="330" t="s">
        <v>2737</v>
      </c>
      <c r="B62" s="207"/>
      <c r="C62" s="207"/>
      <c r="D62" s="207">
        <v>0</v>
      </c>
      <c r="E62" t="s">
        <v>2266</v>
      </c>
      <c r="F62" s="207">
        <v>0</v>
      </c>
      <c r="G62" s="207">
        <v>0</v>
      </c>
      <c r="H62" s="207">
        <v>0</v>
      </c>
      <c r="I62" s="207">
        <v>0</v>
      </c>
      <c r="J62" s="207">
        <v>0</v>
      </c>
      <c r="K62" s="207">
        <v>0</v>
      </c>
      <c r="L62" s="207">
        <v>0</v>
      </c>
      <c r="M62" s="207">
        <v>0</v>
      </c>
      <c r="O62" s="207">
        <v>-12612.189644628826</v>
      </c>
      <c r="P62" s="207">
        <v>-12612.189644628826</v>
      </c>
    </row>
    <row r="63" spans="1:16" ht="13">
      <c r="A63" s="58" t="s">
        <v>2738</v>
      </c>
      <c r="B63" s="207"/>
      <c r="C63" s="207"/>
      <c r="D63" s="207">
        <v>-18244.13737396539</v>
      </c>
      <c r="E63" t="s">
        <v>2266</v>
      </c>
      <c r="F63" s="207">
        <v>0</v>
      </c>
      <c r="G63" s="207">
        <v>0</v>
      </c>
      <c r="H63" s="207">
        <v>-18244.13737396539</v>
      </c>
      <c r="I63" s="207">
        <v>-18244.13737396539</v>
      </c>
      <c r="J63" s="207">
        <v>31991.279999999999</v>
      </c>
      <c r="K63" s="207">
        <v>0</v>
      </c>
      <c r="L63" s="207">
        <v>13747.142626034609</v>
      </c>
      <c r="M63" s="207">
        <v>0</v>
      </c>
      <c r="O63" s="207">
        <v>-17792.450197548431</v>
      </c>
      <c r="P63" s="207">
        <v>451.68717641695912</v>
      </c>
    </row>
    <row r="64" spans="1:16" ht="13">
      <c r="A64" s="330" t="s">
        <v>2739</v>
      </c>
      <c r="B64" s="207"/>
      <c r="C64" s="207"/>
      <c r="D64" s="207">
        <v>-20773.908152303891</v>
      </c>
      <c r="E64" t="s">
        <v>2266</v>
      </c>
      <c r="F64" s="207">
        <v>32.1</v>
      </c>
      <c r="G64" s="207">
        <v>2919</v>
      </c>
      <c r="H64" s="207">
        <v>-17822.808152303893</v>
      </c>
      <c r="I64" s="207">
        <v>-17822.808152303893</v>
      </c>
      <c r="J64" s="207">
        <v>17822.808152303765</v>
      </c>
      <c r="K64" s="207">
        <v>0</v>
      </c>
      <c r="L64" s="207">
        <v>-1.2732925824820995E-10</v>
      </c>
      <c r="M64" s="207">
        <v>0</v>
      </c>
      <c r="O64" s="207">
        <v>-1834589.5658983469</v>
      </c>
      <c r="P64" s="207">
        <v>-1816766.7577460431</v>
      </c>
    </row>
    <row r="65" spans="1:16" ht="13">
      <c r="A65" s="58" t="s">
        <v>2740</v>
      </c>
      <c r="B65" s="207"/>
      <c r="C65" s="207"/>
      <c r="D65" s="207">
        <v>0</v>
      </c>
      <c r="E65" t="s">
        <v>2266</v>
      </c>
      <c r="F65" s="207">
        <v>0</v>
      </c>
      <c r="G65" s="207">
        <v>0</v>
      </c>
      <c r="H65" s="207">
        <v>0</v>
      </c>
      <c r="I65" s="207">
        <v>0</v>
      </c>
      <c r="J65" s="207">
        <v>0</v>
      </c>
      <c r="K65" s="207">
        <v>0</v>
      </c>
      <c r="L65" s="207">
        <v>0</v>
      </c>
      <c r="M65" s="207">
        <v>0</v>
      </c>
      <c r="O65" s="207">
        <v>0</v>
      </c>
      <c r="P65" s="207">
        <v>0</v>
      </c>
    </row>
    <row r="66" spans="1:16" ht="13">
      <c r="A66" s="58" t="s">
        <v>2741</v>
      </c>
      <c r="B66" s="207"/>
      <c r="C66" s="207"/>
      <c r="D66" s="207">
        <v>0</v>
      </c>
      <c r="E66" t="s">
        <v>2266</v>
      </c>
      <c r="F66" s="207">
        <v>0</v>
      </c>
      <c r="G66" s="207">
        <v>0</v>
      </c>
      <c r="H66" s="207">
        <v>0</v>
      </c>
      <c r="I66" s="207">
        <v>0</v>
      </c>
      <c r="J66" s="207">
        <v>0</v>
      </c>
      <c r="K66" s="207">
        <v>0</v>
      </c>
      <c r="L66" s="207">
        <v>0</v>
      </c>
      <c r="M66" s="207">
        <v>0</v>
      </c>
      <c r="O66" s="207">
        <v>0</v>
      </c>
      <c r="P66" s="207">
        <v>0</v>
      </c>
    </row>
    <row r="67" spans="1:16" ht="13">
      <c r="A67" s="58" t="s">
        <v>2742</v>
      </c>
      <c r="B67" s="207"/>
      <c r="C67" s="207"/>
      <c r="D67" s="207">
        <v>0</v>
      </c>
      <c r="E67" t="s">
        <v>2266</v>
      </c>
      <c r="F67" s="207">
        <v>0</v>
      </c>
      <c r="G67" s="207">
        <v>0</v>
      </c>
      <c r="H67" s="207">
        <v>0</v>
      </c>
      <c r="I67" s="207">
        <v>0</v>
      </c>
      <c r="J67" s="207">
        <v>0</v>
      </c>
      <c r="K67" s="207">
        <v>0</v>
      </c>
      <c r="L67" s="207">
        <v>0</v>
      </c>
      <c r="M67" s="207">
        <v>0</v>
      </c>
      <c r="O67" s="207">
        <v>0</v>
      </c>
      <c r="P67" s="207">
        <v>0</v>
      </c>
    </row>
    <row r="68" spans="1:16" ht="13">
      <c r="A68" s="330" t="s">
        <v>2716</v>
      </c>
      <c r="B68" s="207"/>
      <c r="C68" s="207"/>
      <c r="D68" s="207">
        <v>50311.999999997905</v>
      </c>
      <c r="E68" t="s">
        <v>2266</v>
      </c>
      <c r="F68" s="207">
        <v>0</v>
      </c>
      <c r="G68" s="207">
        <v>-50312</v>
      </c>
      <c r="H68" s="207">
        <v>-2.0954757928848267E-9</v>
      </c>
      <c r="I68" s="207">
        <v>-2.0954757928848267E-9</v>
      </c>
      <c r="J68" s="207">
        <v>0</v>
      </c>
      <c r="K68" s="207">
        <v>0</v>
      </c>
      <c r="L68" s="207">
        <v>-2.0954757928848267E-9</v>
      </c>
      <c r="M68" s="207">
        <v>0</v>
      </c>
      <c r="O68" s="207">
        <v>-1286983.702888882</v>
      </c>
      <c r="P68" s="207">
        <v>-1286983.7028888799</v>
      </c>
    </row>
    <row r="69" spans="1:16" ht="13">
      <c r="A69" s="58" t="s">
        <v>2743</v>
      </c>
      <c r="B69" s="207"/>
      <c r="C69" s="207"/>
      <c r="D69" s="207">
        <v>0</v>
      </c>
      <c r="E69" t="s">
        <v>2266</v>
      </c>
      <c r="F69" s="207">
        <v>0</v>
      </c>
      <c r="G69" s="207">
        <v>0</v>
      </c>
      <c r="H69" s="207">
        <v>0</v>
      </c>
      <c r="I69" s="207">
        <v>0</v>
      </c>
      <c r="J69" s="207">
        <v>0</v>
      </c>
      <c r="K69" s="207">
        <v>0</v>
      </c>
      <c r="L69" s="207">
        <v>0</v>
      </c>
      <c r="M69" s="207">
        <v>0</v>
      </c>
      <c r="O69" s="207">
        <v>0</v>
      </c>
      <c r="P69" s="207">
        <v>0</v>
      </c>
    </row>
    <row r="70" spans="1:16" ht="13">
      <c r="A70" s="58" t="s">
        <v>2744</v>
      </c>
      <c r="B70" s="207"/>
      <c r="C70" s="207"/>
      <c r="D70" s="207">
        <v>0</v>
      </c>
      <c r="E70" t="s">
        <v>2266</v>
      </c>
      <c r="F70" s="207">
        <v>0</v>
      </c>
      <c r="G70" s="207">
        <v>0</v>
      </c>
      <c r="H70" s="207">
        <v>0</v>
      </c>
      <c r="I70" s="207">
        <v>0</v>
      </c>
      <c r="J70" s="207">
        <v>0</v>
      </c>
      <c r="K70" s="207">
        <v>0</v>
      </c>
      <c r="L70" s="207">
        <v>0</v>
      </c>
      <c r="M70" s="207">
        <v>0</v>
      </c>
      <c r="O70" s="207">
        <v>0</v>
      </c>
      <c r="P70" s="207">
        <v>0</v>
      </c>
    </row>
    <row r="71" spans="1:16" ht="13">
      <c r="A71" s="58" t="s">
        <v>2745</v>
      </c>
      <c r="B71" s="207"/>
      <c r="C71" s="207"/>
      <c r="D71" s="207">
        <v>0</v>
      </c>
      <c r="E71" t="s">
        <v>2266</v>
      </c>
      <c r="F71" s="207">
        <v>0</v>
      </c>
      <c r="G71" s="207">
        <v>0</v>
      </c>
      <c r="H71" s="207">
        <v>0</v>
      </c>
      <c r="I71" s="207">
        <v>0</v>
      </c>
      <c r="J71" s="207">
        <v>0</v>
      </c>
      <c r="K71" s="207">
        <v>0</v>
      </c>
      <c r="L71" s="207">
        <v>0</v>
      </c>
      <c r="M71" s="207">
        <v>0</v>
      </c>
      <c r="O71" s="207">
        <v>0</v>
      </c>
      <c r="P71" s="207">
        <v>0</v>
      </c>
    </row>
    <row r="72" spans="1:16" ht="13">
      <c r="A72" s="58" t="s">
        <v>2746</v>
      </c>
      <c r="B72" s="207"/>
      <c r="C72" s="207"/>
      <c r="D72" s="207">
        <v>0</v>
      </c>
      <c r="E72" t="s">
        <v>2266</v>
      </c>
      <c r="F72" s="207">
        <v>0</v>
      </c>
      <c r="G72" s="207">
        <v>0</v>
      </c>
      <c r="H72" s="207">
        <v>0</v>
      </c>
      <c r="I72" s="207">
        <v>0</v>
      </c>
      <c r="J72" s="207">
        <v>0</v>
      </c>
      <c r="K72" s="207">
        <v>0</v>
      </c>
      <c r="L72" s="207">
        <v>0</v>
      </c>
      <c r="M72" s="207">
        <v>0</v>
      </c>
      <c r="O72" s="207">
        <v>0</v>
      </c>
      <c r="P72" s="207">
        <v>0</v>
      </c>
    </row>
    <row r="73" spans="1:16" ht="13">
      <c r="A73" s="58" t="s">
        <v>2747</v>
      </c>
      <c r="B73" s="207"/>
      <c r="C73" s="207"/>
      <c r="D73" s="207">
        <v>0</v>
      </c>
      <c r="E73" t="s">
        <v>2266</v>
      </c>
      <c r="F73" s="207">
        <v>0</v>
      </c>
      <c r="G73" s="207">
        <v>0</v>
      </c>
      <c r="H73" s="207">
        <v>0</v>
      </c>
      <c r="I73" s="207">
        <v>0</v>
      </c>
      <c r="J73" s="207">
        <v>0</v>
      </c>
      <c r="K73" s="207">
        <v>0</v>
      </c>
      <c r="L73" s="207">
        <v>0</v>
      </c>
      <c r="M73" s="207">
        <v>0</v>
      </c>
      <c r="O73" s="207">
        <v>0</v>
      </c>
      <c r="P73" s="207">
        <v>0</v>
      </c>
    </row>
    <row r="74" spans="1:16" ht="13">
      <c r="A74" s="58" t="s">
        <v>2748</v>
      </c>
      <c r="B74" s="207"/>
      <c r="C74" s="207"/>
      <c r="D74" s="207">
        <v>0</v>
      </c>
      <c r="E74" t="s">
        <v>2266</v>
      </c>
      <c r="F74" s="207">
        <v>0</v>
      </c>
      <c r="G74" s="207">
        <v>0</v>
      </c>
      <c r="H74" s="207">
        <v>0</v>
      </c>
      <c r="I74" s="207">
        <v>0</v>
      </c>
      <c r="J74" s="207">
        <v>0</v>
      </c>
      <c r="K74" s="207">
        <v>0</v>
      </c>
      <c r="L74" s="207">
        <v>0</v>
      </c>
      <c r="M74" s="207">
        <v>0</v>
      </c>
      <c r="O74" s="207">
        <v>0</v>
      </c>
      <c r="P74" s="207">
        <v>0</v>
      </c>
    </row>
    <row r="75" spans="1:16" ht="13">
      <c r="A75" s="58" t="s">
        <v>2749</v>
      </c>
      <c r="B75" s="207"/>
      <c r="C75" s="207"/>
      <c r="D75" s="207">
        <v>0</v>
      </c>
      <c r="E75" t="s">
        <v>2266</v>
      </c>
      <c r="F75" s="207">
        <v>0</v>
      </c>
      <c r="G75" s="207">
        <v>0</v>
      </c>
      <c r="H75" s="207">
        <v>0</v>
      </c>
      <c r="I75" s="207">
        <v>0</v>
      </c>
      <c r="J75" s="207">
        <v>0</v>
      </c>
      <c r="K75" s="207">
        <v>0</v>
      </c>
      <c r="L75" s="207">
        <v>0</v>
      </c>
      <c r="M75" s="207">
        <v>0</v>
      </c>
      <c r="O75" s="207">
        <v>0</v>
      </c>
      <c r="P75" s="207">
        <v>0</v>
      </c>
    </row>
    <row r="76" spans="1:16" ht="13">
      <c r="A76" s="58" t="s">
        <v>2750</v>
      </c>
      <c r="B76" s="207"/>
      <c r="C76" s="207"/>
      <c r="D76" s="207">
        <v>0</v>
      </c>
      <c r="E76" t="s">
        <v>2266</v>
      </c>
      <c r="F76" s="207">
        <v>0</v>
      </c>
      <c r="G76" s="207">
        <v>0</v>
      </c>
      <c r="H76" s="207">
        <v>0</v>
      </c>
      <c r="I76" s="207">
        <v>0</v>
      </c>
      <c r="J76" s="207">
        <v>0</v>
      </c>
      <c r="K76" s="207">
        <v>0</v>
      </c>
      <c r="L76" s="207">
        <v>0</v>
      </c>
      <c r="M76" s="207">
        <v>0</v>
      </c>
      <c r="O76" s="207">
        <v>0</v>
      </c>
      <c r="P76" s="207">
        <v>0</v>
      </c>
    </row>
    <row r="77" spans="1:16" ht="13">
      <c r="A77" s="58" t="s">
        <v>2751</v>
      </c>
      <c r="B77" s="207"/>
      <c r="C77" s="207"/>
      <c r="D77" s="207">
        <v>0</v>
      </c>
      <c r="E77" t="s">
        <v>2266</v>
      </c>
      <c r="F77" s="207">
        <v>0</v>
      </c>
      <c r="G77" s="207">
        <v>0</v>
      </c>
      <c r="H77" s="207">
        <v>0</v>
      </c>
      <c r="I77" s="207">
        <v>0</v>
      </c>
      <c r="J77" s="207">
        <v>0</v>
      </c>
      <c r="K77" s="207">
        <v>0</v>
      </c>
      <c r="L77" s="207">
        <v>0</v>
      </c>
      <c r="M77" s="207">
        <v>0</v>
      </c>
      <c r="O77" s="207">
        <v>0</v>
      </c>
      <c r="P77" s="207">
        <v>0</v>
      </c>
    </row>
    <row r="78" spans="1:16" ht="13">
      <c r="A78" s="58" t="s">
        <v>2752</v>
      </c>
      <c r="B78" s="207"/>
      <c r="C78" s="207"/>
      <c r="D78" s="207">
        <v>0</v>
      </c>
      <c r="E78" t="s">
        <v>2266</v>
      </c>
      <c r="F78" s="207">
        <v>0</v>
      </c>
      <c r="G78" s="207">
        <v>0</v>
      </c>
      <c r="H78" s="207">
        <v>0</v>
      </c>
      <c r="I78" s="207">
        <v>0</v>
      </c>
      <c r="J78" s="207">
        <v>0</v>
      </c>
      <c r="K78" s="207">
        <v>0</v>
      </c>
      <c r="L78" s="207">
        <v>0</v>
      </c>
      <c r="M78" s="207">
        <v>0</v>
      </c>
      <c r="O78" s="207">
        <v>0</v>
      </c>
      <c r="P78" s="207">
        <v>0</v>
      </c>
    </row>
    <row r="79" spans="1:16" ht="13">
      <c r="A79" s="330" t="s">
        <v>2717</v>
      </c>
      <c r="B79" s="207"/>
      <c r="C79" s="207"/>
      <c r="D79" s="207">
        <v>0</v>
      </c>
      <c r="E79" t="s">
        <v>2266</v>
      </c>
      <c r="F79" s="207">
        <v>0</v>
      </c>
      <c r="G79" s="207">
        <v>0</v>
      </c>
      <c r="H79" s="207">
        <v>0</v>
      </c>
      <c r="I79" s="207">
        <v>0</v>
      </c>
      <c r="J79" s="207">
        <v>0</v>
      </c>
      <c r="K79" s="207">
        <v>0</v>
      </c>
      <c r="L79" s="207">
        <v>0</v>
      </c>
      <c r="M79" s="207">
        <v>0</v>
      </c>
      <c r="O79" s="207">
        <v>-451.68717641695747</v>
      </c>
      <c r="P79" s="207">
        <v>-451.68717641695747</v>
      </c>
    </row>
    <row r="80" spans="1:16" ht="13">
      <c r="A80" s="58" t="s">
        <v>2753</v>
      </c>
      <c r="B80" s="207"/>
      <c r="C80" s="207"/>
      <c r="D80" s="207">
        <v>0</v>
      </c>
      <c r="E80" t="s">
        <v>2266</v>
      </c>
      <c r="F80" s="207">
        <v>0</v>
      </c>
      <c r="G80" s="207">
        <v>0</v>
      </c>
      <c r="H80" s="207">
        <v>0</v>
      </c>
      <c r="I80" s="207">
        <v>0</v>
      </c>
      <c r="J80" s="207">
        <v>0</v>
      </c>
      <c r="K80" s="207">
        <v>0</v>
      </c>
      <c r="L80" s="207">
        <v>0</v>
      </c>
      <c r="M80" s="207">
        <v>0</v>
      </c>
      <c r="O80" s="207">
        <v>0</v>
      </c>
      <c r="P80" s="207">
        <v>0</v>
      </c>
    </row>
    <row r="81" spans="1:16" ht="13">
      <c r="A81" s="58" t="s">
        <v>2754</v>
      </c>
      <c r="B81" s="207"/>
      <c r="C81" s="207"/>
      <c r="D81" s="207">
        <v>0</v>
      </c>
      <c r="E81" t="s">
        <v>2266</v>
      </c>
      <c r="F81" s="207">
        <v>0</v>
      </c>
      <c r="G81" s="207">
        <v>0</v>
      </c>
      <c r="H81" s="207">
        <v>0</v>
      </c>
      <c r="I81" s="207">
        <v>0</v>
      </c>
      <c r="J81" s="207">
        <v>0</v>
      </c>
      <c r="K81" s="207">
        <v>0</v>
      </c>
      <c r="L81" s="207">
        <v>0</v>
      </c>
      <c r="M81" s="207">
        <v>0</v>
      </c>
      <c r="O81" s="207">
        <v>0</v>
      </c>
      <c r="P81" s="207">
        <v>0</v>
      </c>
    </row>
    <row r="82" spans="1:16" ht="13">
      <c r="A82" s="58" t="s">
        <v>2755</v>
      </c>
      <c r="B82" s="207"/>
      <c r="C82" s="207"/>
      <c r="D82" s="207">
        <v>0</v>
      </c>
      <c r="E82" t="s">
        <v>2266</v>
      </c>
      <c r="F82" s="207">
        <v>0</v>
      </c>
      <c r="G82" s="207">
        <v>0</v>
      </c>
      <c r="H82" s="207">
        <v>0</v>
      </c>
      <c r="I82" s="207">
        <v>0</v>
      </c>
      <c r="J82" s="207">
        <v>0</v>
      </c>
      <c r="K82" s="207">
        <v>0</v>
      </c>
      <c r="L82" s="207">
        <v>0</v>
      </c>
      <c r="M82" s="207">
        <v>0</v>
      </c>
      <c r="O82" s="207">
        <v>0</v>
      </c>
      <c r="P82" s="207">
        <v>0</v>
      </c>
    </row>
    <row r="83" spans="1:16" ht="13">
      <c r="A83" s="58" t="s">
        <v>2756</v>
      </c>
      <c r="B83" s="207"/>
      <c r="C83" s="207"/>
      <c r="D83" s="207">
        <v>0</v>
      </c>
      <c r="E83" t="s">
        <v>2266</v>
      </c>
      <c r="F83" s="207">
        <v>0</v>
      </c>
      <c r="G83" s="207">
        <v>0</v>
      </c>
      <c r="H83" s="207">
        <v>0</v>
      </c>
      <c r="I83" s="207">
        <v>0</v>
      </c>
      <c r="J83" s="207">
        <v>0</v>
      </c>
      <c r="K83" s="207">
        <v>0</v>
      </c>
      <c r="L83" s="207">
        <v>0</v>
      </c>
      <c r="M83" s="207">
        <v>0</v>
      </c>
      <c r="O83" s="207">
        <v>0</v>
      </c>
      <c r="P83" s="207">
        <v>0</v>
      </c>
    </row>
    <row r="84" spans="1:16" ht="13">
      <c r="A84" s="58" t="s">
        <v>2718</v>
      </c>
      <c r="B84" s="207"/>
      <c r="C84" s="207"/>
      <c r="D84" s="207">
        <v>0</v>
      </c>
      <c r="E84" t="s">
        <v>2266</v>
      </c>
      <c r="F84" s="207">
        <v>0</v>
      </c>
      <c r="G84" s="207">
        <v>0</v>
      </c>
      <c r="H84" s="207">
        <v>0</v>
      </c>
      <c r="I84" s="207">
        <v>0</v>
      </c>
      <c r="J84" s="207">
        <v>0</v>
      </c>
      <c r="K84" s="207">
        <v>0</v>
      </c>
      <c r="L84" s="207">
        <v>0</v>
      </c>
      <c r="M84" s="207">
        <v>0</v>
      </c>
      <c r="O84" s="207">
        <v>0</v>
      </c>
      <c r="P84" s="207">
        <v>0</v>
      </c>
    </row>
    <row r="85" spans="1:16" ht="13">
      <c r="A85" s="58" t="s">
        <v>2719</v>
      </c>
      <c r="B85" s="207"/>
      <c r="C85" s="207"/>
      <c r="D85" s="207">
        <v>0</v>
      </c>
      <c r="E85" t="s">
        <v>2266</v>
      </c>
      <c r="F85" s="207">
        <v>0</v>
      </c>
      <c r="G85" s="207">
        <v>0</v>
      </c>
      <c r="H85" s="207">
        <v>0</v>
      </c>
      <c r="I85" s="207">
        <v>0</v>
      </c>
      <c r="J85" s="207">
        <v>0</v>
      </c>
      <c r="K85" s="207">
        <v>0</v>
      </c>
      <c r="L85" s="207">
        <v>0</v>
      </c>
      <c r="M85" s="207">
        <v>0</v>
      </c>
      <c r="O85" s="207">
        <v>0</v>
      </c>
      <c r="P85" s="207">
        <v>0</v>
      </c>
    </row>
    <row r="86" spans="1:16" ht="13">
      <c r="A86" s="58" t="s">
        <v>2720</v>
      </c>
      <c r="B86" s="207"/>
      <c r="C86" s="207"/>
      <c r="D86" s="207">
        <v>0</v>
      </c>
      <c r="E86" t="s">
        <v>2266</v>
      </c>
      <c r="F86" s="207">
        <v>0</v>
      </c>
      <c r="G86" s="207">
        <v>0</v>
      </c>
      <c r="H86" s="207">
        <v>0</v>
      </c>
      <c r="I86" s="207">
        <v>0</v>
      </c>
      <c r="J86" s="207">
        <v>4779517.7090151617</v>
      </c>
      <c r="K86" s="207">
        <v>3337672.3593258136</v>
      </c>
      <c r="L86" s="207">
        <v>4779517.7090151617</v>
      </c>
      <c r="M86" s="207">
        <v>3337672.3593258136</v>
      </c>
      <c r="O86" s="207">
        <v>0</v>
      </c>
      <c r="P86" s="207">
        <v>0</v>
      </c>
    </row>
    <row r="87" spans="1:16" ht="13">
      <c r="A87" s="58" t="s">
        <v>2721</v>
      </c>
      <c r="B87" s="207"/>
      <c r="C87" s="207"/>
      <c r="D87" s="207">
        <v>-450045</v>
      </c>
      <c r="E87" t="s">
        <v>2266</v>
      </c>
      <c r="F87" s="207">
        <v>11359.199999999999</v>
      </c>
      <c r="G87" s="207">
        <v>438686</v>
      </c>
      <c r="H87" s="207">
        <v>0.20000000001164153</v>
      </c>
      <c r="I87" s="207">
        <v>0.20000000001164153</v>
      </c>
      <c r="J87" s="207">
        <v>0</v>
      </c>
      <c r="K87" s="207">
        <v>0</v>
      </c>
      <c r="L87" s="207">
        <v>0.20000000001164153</v>
      </c>
      <c r="M87" s="207">
        <v>0</v>
      </c>
      <c r="O87" s="207">
        <v>450045.2</v>
      </c>
      <c r="P87" s="207">
        <v>450045</v>
      </c>
    </row>
    <row r="88" spans="1:16" ht="13">
      <c r="A88" s="58" t="s">
        <v>2722</v>
      </c>
      <c r="B88" s="207"/>
      <c r="C88" s="207"/>
      <c r="D88" s="207">
        <v>0</v>
      </c>
      <c r="E88" t="s">
        <v>2266</v>
      </c>
      <c r="F88" s="207">
        <v>0</v>
      </c>
      <c r="G88" s="207">
        <v>0</v>
      </c>
      <c r="H88" s="207">
        <v>0</v>
      </c>
      <c r="I88" s="207">
        <v>0</v>
      </c>
      <c r="J88" s="207">
        <v>0</v>
      </c>
      <c r="K88" s="207">
        <v>0</v>
      </c>
      <c r="L88" s="207">
        <v>0</v>
      </c>
      <c r="M88" s="207">
        <v>0</v>
      </c>
      <c r="O88" s="207">
        <v>0</v>
      </c>
      <c r="P88" s="207">
        <v>0</v>
      </c>
    </row>
    <row r="89" spans="1:16" ht="13">
      <c r="A89" s="331" t="s">
        <v>2629</v>
      </c>
      <c r="B89" s="207"/>
      <c r="C89" s="207"/>
      <c r="D89" s="207">
        <v>-98178622.315730661</v>
      </c>
      <c r="E89" t="s">
        <v>465</v>
      </c>
      <c r="F89" s="207">
        <v>3072062.1</v>
      </c>
      <c r="G89" s="207">
        <v>9287383</v>
      </c>
      <c r="H89" s="207">
        <v>-85819177.215730667</v>
      </c>
      <c r="I89" s="207">
        <v>-85819177.215730667</v>
      </c>
      <c r="J89" s="207">
        <v>57038151.612432398</v>
      </c>
      <c r="K89" s="207">
        <v>30934724.455002025</v>
      </c>
      <c r="L89" s="207">
        <v>-28781025.603298269</v>
      </c>
      <c r="M89" s="207">
        <v>30934724.455002025</v>
      </c>
      <c r="O89" s="207">
        <v>-85771384.13367784</v>
      </c>
      <c r="P89" s="207">
        <v>47793.082052826881</v>
      </c>
    </row>
    <row r="90" spans="1:16" ht="13">
      <c r="A90" s="58" t="s">
        <v>2646</v>
      </c>
      <c r="B90" s="207"/>
      <c r="C90" s="207"/>
      <c r="D90" s="207">
        <v>-128146</v>
      </c>
      <c r="E90" t="s">
        <v>465</v>
      </c>
      <c r="F90" s="207">
        <v>0</v>
      </c>
      <c r="G90" s="207">
        <v>0</v>
      </c>
      <c r="H90" s="207">
        <v>-128146</v>
      </c>
      <c r="I90" s="207">
        <v>-128146</v>
      </c>
      <c r="J90" s="207">
        <v>128145.60000000001</v>
      </c>
      <c r="K90" s="207">
        <v>0</v>
      </c>
      <c r="L90" s="207">
        <v>-0.39999999999417923</v>
      </c>
      <c r="M90" s="207">
        <v>0</v>
      </c>
      <c r="O90" s="207">
        <v>0</v>
      </c>
      <c r="P90" s="207">
        <v>128146</v>
      </c>
    </row>
    <row r="91" spans="1:16" ht="13">
      <c r="A91" s="58" t="s">
        <v>2648</v>
      </c>
      <c r="B91" s="207"/>
      <c r="C91" s="207"/>
      <c r="D91" s="207">
        <v>0</v>
      </c>
      <c r="E91" t="s">
        <v>465</v>
      </c>
      <c r="F91" s="207">
        <v>0</v>
      </c>
      <c r="G91" s="207">
        <v>0</v>
      </c>
      <c r="H91" s="207">
        <v>0</v>
      </c>
      <c r="I91" s="207">
        <v>0</v>
      </c>
      <c r="J91" s="207">
        <v>0</v>
      </c>
      <c r="K91" s="207">
        <v>0</v>
      </c>
      <c r="L91" s="207">
        <v>0</v>
      </c>
      <c r="M91" s="207">
        <v>0</v>
      </c>
      <c r="O91" s="207">
        <v>0</v>
      </c>
      <c r="P91" s="207">
        <v>0</v>
      </c>
    </row>
    <row r="92" spans="1:16" ht="13">
      <c r="A92" s="58" t="s">
        <v>2650</v>
      </c>
      <c r="B92" s="207"/>
      <c r="C92" s="207"/>
      <c r="D92" s="207">
        <v>0</v>
      </c>
      <c r="E92" t="s">
        <v>465</v>
      </c>
      <c r="F92" s="207">
        <v>0</v>
      </c>
      <c r="G92" s="207">
        <v>0</v>
      </c>
      <c r="H92" s="207">
        <v>0</v>
      </c>
      <c r="I92" s="207">
        <v>0</v>
      </c>
      <c r="J92" s="207">
        <v>0</v>
      </c>
      <c r="K92" s="207">
        <v>0</v>
      </c>
      <c r="L92" s="207">
        <v>0</v>
      </c>
      <c r="M92" s="207">
        <v>0</v>
      </c>
      <c r="O92" s="207">
        <v>0</v>
      </c>
      <c r="P92" s="207">
        <v>0</v>
      </c>
    </row>
    <row r="93" spans="1:16" ht="13">
      <c r="A93" s="330" t="s">
        <v>2652</v>
      </c>
      <c r="B93" s="207"/>
      <c r="C93" s="207"/>
      <c r="D93" s="207">
        <v>0</v>
      </c>
      <c r="E93" t="s">
        <v>465</v>
      </c>
      <c r="F93" s="207">
        <v>0</v>
      </c>
      <c r="G93" s="207">
        <v>0</v>
      </c>
      <c r="H93" s="207">
        <v>0</v>
      </c>
      <c r="I93" s="207">
        <v>0</v>
      </c>
      <c r="J93" s="207">
        <v>0</v>
      </c>
      <c r="K93" s="207">
        <v>0</v>
      </c>
      <c r="L93" s="207">
        <v>0</v>
      </c>
      <c r="M93" s="207">
        <v>0</v>
      </c>
      <c r="O93" s="207">
        <v>-15395.014194338133</v>
      </c>
      <c r="P93" s="207">
        <v>-15395.014194338133</v>
      </c>
    </row>
    <row r="94" spans="1:16" ht="13">
      <c r="A94" s="58" t="s">
        <v>2654</v>
      </c>
      <c r="B94" s="207"/>
      <c r="C94" s="207"/>
      <c r="D94" s="207">
        <v>-1944714.9190740397</v>
      </c>
      <c r="E94" t="s">
        <v>465</v>
      </c>
      <c r="F94" s="207">
        <v>19214.399999999998</v>
      </c>
      <c r="G94" s="207">
        <v>292490</v>
      </c>
      <c r="H94" s="207">
        <v>-1633010.5190740395</v>
      </c>
      <c r="I94" s="207">
        <v>-1633010.5190740395</v>
      </c>
      <c r="J94" s="207">
        <v>1633010.9361999999</v>
      </c>
      <c r="K94" s="207">
        <v>0</v>
      </c>
      <c r="L94" s="207">
        <v>0.41712596034631133</v>
      </c>
      <c r="M94" s="207">
        <v>0</v>
      </c>
      <c r="O94" s="207">
        <v>189515.48092596041</v>
      </c>
      <c r="P94" s="207">
        <v>1822526</v>
      </c>
    </row>
    <row r="95" spans="1:16" ht="13">
      <c r="A95" s="330" t="s">
        <v>2656</v>
      </c>
      <c r="B95" s="207"/>
      <c r="C95" s="207"/>
      <c r="D95" s="207">
        <v>-1947039.0192509268</v>
      </c>
      <c r="E95" t="s">
        <v>465</v>
      </c>
      <c r="F95" s="207">
        <v>17929.2</v>
      </c>
      <c r="G95" s="207">
        <v>15497</v>
      </c>
      <c r="H95" s="207">
        <v>-1913612.8192509268</v>
      </c>
      <c r="I95" s="207">
        <v>-1913612.8192509268</v>
      </c>
      <c r="J95" s="207">
        <v>1528616.4710217151</v>
      </c>
      <c r="K95" s="207">
        <v>0</v>
      </c>
      <c r="L95" s="207">
        <v>-384996.34822921176</v>
      </c>
      <c r="M95" s="207">
        <v>0</v>
      </c>
      <c r="O95" s="207">
        <v>-1913761.2161256333</v>
      </c>
      <c r="P95" s="207">
        <v>-148.39687470649369</v>
      </c>
    </row>
    <row r="96" spans="1:16" ht="13">
      <c r="A96" s="58" t="s">
        <v>2658</v>
      </c>
      <c r="B96" s="207"/>
      <c r="C96" s="207"/>
      <c r="D96" s="207">
        <v>-5459497.3655538866</v>
      </c>
      <c r="E96" t="s">
        <v>465</v>
      </c>
      <c r="F96" s="207">
        <v>276023.39999999997</v>
      </c>
      <c r="G96" s="207">
        <v>3841088</v>
      </c>
      <c r="H96" s="207">
        <v>-1342385.9655538867</v>
      </c>
      <c r="I96" s="207">
        <v>-1342385.9655538867</v>
      </c>
      <c r="J96" s="207">
        <v>22049984.675296783</v>
      </c>
      <c r="K96" s="207">
        <v>14387400.847172778</v>
      </c>
      <c r="L96" s="207">
        <v>20707598.709742896</v>
      </c>
      <c r="M96" s="207">
        <v>14387400.847172778</v>
      </c>
      <c r="O96" s="207">
        <v>-1342385.9655538867</v>
      </c>
      <c r="P96" s="207">
        <v>0</v>
      </c>
    </row>
    <row r="97" spans="1:16" ht="13">
      <c r="A97" s="330" t="s">
        <v>2660</v>
      </c>
      <c r="B97" s="207"/>
      <c r="C97" s="207"/>
      <c r="D97" s="207">
        <v>-183651.29999999981</v>
      </c>
      <c r="E97" t="s">
        <v>465</v>
      </c>
      <c r="F97" s="207">
        <v>11589.3</v>
      </c>
      <c r="G97" s="207">
        <v>172062</v>
      </c>
      <c r="H97" s="207">
        <v>0</v>
      </c>
      <c r="I97" s="207">
        <v>0</v>
      </c>
      <c r="J97" s="207">
        <v>0</v>
      </c>
      <c r="K97" s="207">
        <v>0</v>
      </c>
      <c r="L97" s="207">
        <v>0</v>
      </c>
      <c r="M97" s="207">
        <v>0</v>
      </c>
      <c r="O97" s="207">
        <v>-8761586.1402370818</v>
      </c>
      <c r="P97" s="207">
        <v>-8761586.1402370818</v>
      </c>
    </row>
    <row r="98" spans="1:16" ht="13">
      <c r="A98" s="330" t="s">
        <v>2662</v>
      </c>
      <c r="B98" s="207"/>
      <c r="C98" s="207"/>
      <c r="D98" s="207">
        <v>-17266173.796653848</v>
      </c>
      <c r="E98" t="s">
        <v>465</v>
      </c>
      <c r="F98" s="207">
        <v>148171.79999999999</v>
      </c>
      <c r="G98" s="207">
        <v>772511</v>
      </c>
      <c r="H98" s="207">
        <v>-16345490.996653847</v>
      </c>
      <c r="I98" s="207">
        <v>-16345490.996653847</v>
      </c>
      <c r="J98" s="207">
        <v>12663977.550917706</v>
      </c>
      <c r="K98" s="207">
        <v>1749635.8366140029</v>
      </c>
      <c r="L98" s="207">
        <v>-3681513.4457361419</v>
      </c>
      <c r="M98" s="207">
        <v>1749635.8366140029</v>
      </c>
      <c r="O98" s="207">
        <v>-16345490.996653847</v>
      </c>
      <c r="P98" s="207">
        <v>0</v>
      </c>
    </row>
    <row r="99" spans="1:16" ht="13">
      <c r="A99" s="58" t="s">
        <v>2664</v>
      </c>
      <c r="B99" s="207"/>
      <c r="C99" s="207"/>
      <c r="D99" s="207">
        <v>-651179.81747064053</v>
      </c>
      <c r="E99" t="s">
        <v>465</v>
      </c>
      <c r="F99" s="207">
        <v>41248.5</v>
      </c>
      <c r="G99" s="207">
        <v>609931</v>
      </c>
      <c r="H99" s="207">
        <v>-0.31747064052615315</v>
      </c>
      <c r="I99" s="207">
        <v>-0.31747064052615315</v>
      </c>
      <c r="J99" s="207">
        <v>3824444.7220104923</v>
      </c>
      <c r="K99" s="207">
        <v>0</v>
      </c>
      <c r="L99" s="207">
        <v>3824444.4045398519</v>
      </c>
      <c r="M99" s="207">
        <v>0</v>
      </c>
      <c r="O99" s="207">
        <v>258593.68252935947</v>
      </c>
      <c r="P99" s="207">
        <v>258594</v>
      </c>
    </row>
    <row r="100" spans="1:16" ht="13">
      <c r="A100" s="330" t="s">
        <v>2631</v>
      </c>
      <c r="B100" s="207"/>
      <c r="C100" s="207"/>
      <c r="D100" s="207">
        <v>-3698114.4000000041</v>
      </c>
      <c r="E100" t="s">
        <v>465</v>
      </c>
      <c r="F100" s="207">
        <v>1076693.3999999999</v>
      </c>
      <c r="G100" s="207">
        <v>2621421</v>
      </c>
      <c r="H100" s="207">
        <v>-4.1909515857696533E-9</v>
      </c>
      <c r="I100" s="207">
        <v>-4.1909515857696533E-9</v>
      </c>
      <c r="J100" s="207">
        <v>0</v>
      </c>
      <c r="K100" s="207">
        <v>0</v>
      </c>
      <c r="L100" s="207">
        <v>-4.1909515857696533E-9</v>
      </c>
      <c r="M100" s="207">
        <v>0</v>
      </c>
      <c r="O100" s="207">
        <v>-9612683.8913541231</v>
      </c>
      <c r="P100" s="207">
        <v>-9612683.8913541194</v>
      </c>
    </row>
    <row r="101" spans="1:16" ht="13">
      <c r="A101" s="330" t="s">
        <v>2666</v>
      </c>
      <c r="B101" s="207"/>
      <c r="C101" s="207"/>
      <c r="D101" s="207">
        <v>0</v>
      </c>
      <c r="E101" t="s">
        <v>465</v>
      </c>
      <c r="F101" s="207">
        <v>0</v>
      </c>
      <c r="G101" s="207">
        <v>0</v>
      </c>
      <c r="H101" s="207">
        <v>0</v>
      </c>
      <c r="I101" s="207">
        <v>0</v>
      </c>
      <c r="J101" s="207">
        <v>0</v>
      </c>
      <c r="K101" s="207">
        <v>0</v>
      </c>
      <c r="L101" s="207">
        <v>0</v>
      </c>
      <c r="M101" s="207">
        <v>0</v>
      </c>
      <c r="O101" s="207">
        <v>-641311.68660713721</v>
      </c>
      <c r="P101" s="207">
        <v>-641311.68660713721</v>
      </c>
    </row>
    <row r="102" spans="1:16" ht="13">
      <c r="A102" s="58" t="s">
        <v>2668</v>
      </c>
      <c r="B102" s="207"/>
      <c r="C102" s="207"/>
      <c r="D102" s="207">
        <v>-1449217.3318682525</v>
      </c>
      <c r="E102" t="s">
        <v>465</v>
      </c>
      <c r="F102" s="207">
        <v>0</v>
      </c>
      <c r="G102" s="207">
        <v>0</v>
      </c>
      <c r="H102" s="207">
        <v>-1449217.3318682525</v>
      </c>
      <c r="I102" s="207">
        <v>-1449217.3318682525</v>
      </c>
      <c r="J102" s="207">
        <v>2044898.9849999999</v>
      </c>
      <c r="K102" s="207">
        <v>681632.995</v>
      </c>
      <c r="L102" s="207">
        <v>595681.65313174739</v>
      </c>
      <c r="M102" s="207">
        <v>681632.995</v>
      </c>
      <c r="O102" s="207">
        <v>-39746.444484934429</v>
      </c>
      <c r="P102" s="207">
        <v>1409470.887383318</v>
      </c>
    </row>
    <row r="103" spans="1:16" ht="13">
      <c r="A103" s="330" t="s">
        <v>2670</v>
      </c>
      <c r="B103" s="207"/>
      <c r="C103" s="207"/>
      <c r="D103" s="207">
        <v>0</v>
      </c>
      <c r="E103" t="s">
        <v>465</v>
      </c>
      <c r="F103" s="207">
        <v>0</v>
      </c>
      <c r="G103" s="207">
        <v>0</v>
      </c>
      <c r="H103" s="207">
        <v>0</v>
      </c>
      <c r="I103" s="207">
        <v>0</v>
      </c>
      <c r="J103" s="207">
        <v>0</v>
      </c>
      <c r="K103" s="207">
        <v>0</v>
      </c>
      <c r="L103" s="207">
        <v>0</v>
      </c>
      <c r="M103" s="207">
        <v>0</v>
      </c>
      <c r="O103" s="207">
        <v>-53856.839898934057</v>
      </c>
      <c r="P103" s="207">
        <v>-53856.839898934057</v>
      </c>
    </row>
    <row r="104" spans="1:16" ht="13">
      <c r="A104" s="58" t="s">
        <v>2672</v>
      </c>
      <c r="B104" s="207"/>
      <c r="C104" s="207"/>
      <c r="D104" s="207">
        <v>0</v>
      </c>
      <c r="E104" t="s">
        <v>465</v>
      </c>
      <c r="F104" s="207">
        <v>0</v>
      </c>
      <c r="G104" s="207">
        <v>0</v>
      </c>
      <c r="H104" s="207">
        <v>0</v>
      </c>
      <c r="I104" s="207">
        <v>0</v>
      </c>
      <c r="J104" s="207">
        <v>0</v>
      </c>
      <c r="K104" s="207">
        <v>0</v>
      </c>
      <c r="L104" s="207">
        <v>0</v>
      </c>
      <c r="M104" s="207">
        <v>0</v>
      </c>
      <c r="O104" s="207">
        <v>0</v>
      </c>
      <c r="P104" s="207">
        <v>0</v>
      </c>
    </row>
    <row r="105" spans="1:16" ht="13">
      <c r="A105" s="58" t="s">
        <v>2674</v>
      </c>
      <c r="B105" s="207"/>
      <c r="C105" s="207"/>
      <c r="D105" s="207">
        <v>0</v>
      </c>
      <c r="E105" t="s">
        <v>465</v>
      </c>
      <c r="F105" s="207">
        <v>0</v>
      </c>
      <c r="G105" s="207">
        <v>0</v>
      </c>
      <c r="H105" s="207">
        <v>0</v>
      </c>
      <c r="I105" s="207">
        <v>0</v>
      </c>
      <c r="J105" s="207">
        <v>0</v>
      </c>
      <c r="K105" s="207">
        <v>0</v>
      </c>
      <c r="L105" s="207">
        <v>0</v>
      </c>
      <c r="M105" s="207">
        <v>0</v>
      </c>
      <c r="O105" s="207">
        <v>0</v>
      </c>
      <c r="P105" s="207">
        <v>0</v>
      </c>
    </row>
    <row r="106" spans="1:16" ht="13">
      <c r="A106" s="58" t="s">
        <v>2676</v>
      </c>
      <c r="B106" s="207"/>
      <c r="C106" s="207"/>
      <c r="D106" s="207">
        <v>0</v>
      </c>
      <c r="E106" t="s">
        <v>465</v>
      </c>
      <c r="F106" s="207">
        <v>0</v>
      </c>
      <c r="G106" s="207">
        <v>0</v>
      </c>
      <c r="H106" s="207">
        <v>0</v>
      </c>
      <c r="I106" s="207">
        <v>0</v>
      </c>
      <c r="J106" s="207">
        <v>0</v>
      </c>
      <c r="K106" s="207">
        <v>0</v>
      </c>
      <c r="L106" s="207">
        <v>0</v>
      </c>
      <c r="M106" s="207">
        <v>0</v>
      </c>
      <c r="O106" s="207">
        <v>0</v>
      </c>
      <c r="P106" s="207">
        <v>0</v>
      </c>
    </row>
    <row r="107" spans="1:16" ht="13">
      <c r="A107" s="58" t="s">
        <v>2678</v>
      </c>
      <c r="B107" s="207"/>
      <c r="C107" s="207"/>
      <c r="D107" s="207">
        <v>0</v>
      </c>
      <c r="E107" t="s">
        <v>465</v>
      </c>
      <c r="F107" s="207">
        <v>0</v>
      </c>
      <c r="G107" s="207">
        <v>0</v>
      </c>
      <c r="H107" s="207">
        <v>0</v>
      </c>
      <c r="I107" s="207">
        <v>0</v>
      </c>
      <c r="J107" s="207">
        <v>0</v>
      </c>
      <c r="K107" s="207">
        <v>0</v>
      </c>
      <c r="L107" s="207">
        <v>0</v>
      </c>
      <c r="M107" s="207">
        <v>0</v>
      </c>
      <c r="O107" s="207">
        <v>0</v>
      </c>
      <c r="P107" s="207">
        <v>0</v>
      </c>
    </row>
    <row r="108" spans="1:16" ht="13">
      <c r="A108" s="58" t="s">
        <v>2680</v>
      </c>
      <c r="B108" s="207"/>
      <c r="C108" s="207"/>
      <c r="D108" s="207">
        <v>0</v>
      </c>
      <c r="E108" t="s">
        <v>465</v>
      </c>
      <c r="F108" s="207">
        <v>0</v>
      </c>
      <c r="G108" s="207">
        <v>0</v>
      </c>
      <c r="H108" s="207">
        <v>0</v>
      </c>
      <c r="I108" s="207">
        <v>0</v>
      </c>
      <c r="J108" s="207">
        <v>0</v>
      </c>
      <c r="K108" s="207">
        <v>0</v>
      </c>
      <c r="L108" s="207">
        <v>0</v>
      </c>
      <c r="M108" s="207">
        <v>0</v>
      </c>
      <c r="O108" s="207">
        <v>0</v>
      </c>
      <c r="P108" s="207">
        <v>0</v>
      </c>
    </row>
    <row r="109" spans="1:16" ht="13">
      <c r="A109" s="58" t="s">
        <v>2682</v>
      </c>
      <c r="B109" s="207"/>
      <c r="C109" s="207"/>
      <c r="D109" s="207">
        <v>0</v>
      </c>
      <c r="E109" t="s">
        <v>465</v>
      </c>
      <c r="F109" s="207">
        <v>0</v>
      </c>
      <c r="G109" s="207">
        <v>0</v>
      </c>
      <c r="H109" s="207">
        <v>0</v>
      </c>
      <c r="I109" s="207">
        <v>0</v>
      </c>
      <c r="J109" s="207">
        <v>0</v>
      </c>
      <c r="K109" s="207">
        <v>0</v>
      </c>
      <c r="L109" s="207">
        <v>0</v>
      </c>
      <c r="M109" s="207">
        <v>0</v>
      </c>
      <c r="O109" s="207">
        <v>0</v>
      </c>
      <c r="P109" s="207">
        <v>0</v>
      </c>
    </row>
    <row r="110" spans="1:16" ht="13">
      <c r="A110" s="58" t="s">
        <v>2684</v>
      </c>
      <c r="B110" s="207"/>
      <c r="C110" s="207"/>
      <c r="D110" s="207">
        <v>0</v>
      </c>
      <c r="E110" t="s">
        <v>465</v>
      </c>
      <c r="F110" s="207">
        <v>0</v>
      </c>
      <c r="G110" s="207">
        <v>0</v>
      </c>
      <c r="H110" s="207">
        <v>0</v>
      </c>
      <c r="I110" s="207">
        <v>0</v>
      </c>
      <c r="J110" s="207">
        <v>0</v>
      </c>
      <c r="K110" s="207">
        <v>0</v>
      </c>
      <c r="L110" s="207">
        <v>0</v>
      </c>
      <c r="M110" s="207">
        <v>0</v>
      </c>
      <c r="O110" s="207">
        <v>0</v>
      </c>
      <c r="P110" s="207">
        <v>0</v>
      </c>
    </row>
    <row r="111" spans="1:16" ht="13">
      <c r="A111" s="58" t="s">
        <v>2633</v>
      </c>
      <c r="B111" s="207"/>
      <c r="C111" s="207"/>
      <c r="D111" s="207">
        <v>-12353356.548234785</v>
      </c>
      <c r="E111" t="s">
        <v>465</v>
      </c>
      <c r="F111" s="207">
        <v>655803.6</v>
      </c>
      <c r="G111" s="207">
        <v>1241754</v>
      </c>
      <c r="H111" s="207">
        <v>-10455798.948234785</v>
      </c>
      <c r="I111" s="207">
        <v>-10455798.948234785</v>
      </c>
      <c r="J111" s="207">
        <v>15585976.979999999</v>
      </c>
      <c r="K111" s="207">
        <v>5195325.66</v>
      </c>
      <c r="L111" s="207">
        <v>5130178.0317652132</v>
      </c>
      <c r="M111" s="207">
        <v>5195325.66</v>
      </c>
      <c r="O111" s="207">
        <v>-10714392.948234785</v>
      </c>
      <c r="P111" s="207">
        <v>-258594</v>
      </c>
    </row>
    <row r="112" spans="1:16" ht="13">
      <c r="A112" s="58" t="s">
        <v>2686</v>
      </c>
      <c r="B112" s="207"/>
      <c r="C112" s="207"/>
      <c r="D112" s="207">
        <v>0</v>
      </c>
      <c r="E112" t="s">
        <v>465</v>
      </c>
      <c r="F112" s="207">
        <v>0</v>
      </c>
      <c r="G112" s="207">
        <v>0</v>
      </c>
      <c r="H112" s="207">
        <v>0</v>
      </c>
      <c r="I112" s="207">
        <v>0</v>
      </c>
      <c r="J112" s="207">
        <v>0</v>
      </c>
      <c r="K112" s="207">
        <v>0</v>
      </c>
      <c r="L112" s="207">
        <v>0</v>
      </c>
      <c r="M112" s="207">
        <v>0</v>
      </c>
      <c r="O112" s="207">
        <v>0</v>
      </c>
      <c r="P112" s="207">
        <v>0</v>
      </c>
    </row>
    <row r="113" spans="1:16" ht="13">
      <c r="A113" s="58" t="s">
        <v>2688</v>
      </c>
      <c r="B113" s="207"/>
      <c r="C113" s="207"/>
      <c r="D113" s="207">
        <v>0</v>
      </c>
      <c r="E113" t="s">
        <v>465</v>
      </c>
      <c r="F113" s="207">
        <v>0</v>
      </c>
      <c r="G113" s="207">
        <v>0</v>
      </c>
      <c r="H113" s="207">
        <v>0</v>
      </c>
      <c r="I113" s="207">
        <v>0</v>
      </c>
      <c r="J113" s="207">
        <v>0</v>
      </c>
      <c r="K113" s="207">
        <v>0</v>
      </c>
      <c r="L113" s="207">
        <v>0</v>
      </c>
      <c r="M113" s="207">
        <v>0</v>
      </c>
      <c r="O113" s="207">
        <v>0</v>
      </c>
      <c r="P113" s="207">
        <v>0</v>
      </c>
    </row>
    <row r="114" spans="1:16" ht="13">
      <c r="A114" s="58" t="s">
        <v>2690</v>
      </c>
      <c r="B114" s="207"/>
      <c r="C114" s="207"/>
      <c r="D114" s="207">
        <v>0</v>
      </c>
      <c r="E114" t="s">
        <v>465</v>
      </c>
      <c r="F114" s="207">
        <v>0</v>
      </c>
      <c r="G114" s="207">
        <v>0</v>
      </c>
      <c r="H114" s="207">
        <v>0</v>
      </c>
      <c r="I114" s="207">
        <v>0</v>
      </c>
      <c r="J114" s="207">
        <v>0</v>
      </c>
      <c r="K114" s="207">
        <v>0</v>
      </c>
      <c r="L114" s="207">
        <v>0</v>
      </c>
      <c r="M114" s="207">
        <v>0</v>
      </c>
      <c r="O114" s="207">
        <v>0</v>
      </c>
      <c r="P114" s="207">
        <v>0</v>
      </c>
    </row>
    <row r="115" spans="1:16" ht="13">
      <c r="A115" s="58" t="s">
        <v>2692</v>
      </c>
      <c r="B115" s="207"/>
      <c r="C115" s="207"/>
      <c r="D115" s="207">
        <v>0</v>
      </c>
      <c r="E115" t="s">
        <v>465</v>
      </c>
      <c r="F115" s="207">
        <v>0</v>
      </c>
      <c r="G115" s="207">
        <v>0</v>
      </c>
      <c r="H115" s="207">
        <v>0</v>
      </c>
      <c r="I115" s="207">
        <v>0</v>
      </c>
      <c r="J115" s="207">
        <v>0</v>
      </c>
      <c r="K115" s="207">
        <v>0</v>
      </c>
      <c r="L115" s="207">
        <v>0</v>
      </c>
      <c r="M115" s="207">
        <v>0</v>
      </c>
      <c r="O115" s="207">
        <v>0</v>
      </c>
      <c r="P115" s="207">
        <v>0</v>
      </c>
    </row>
    <row r="116" spans="1:16" ht="13">
      <c r="A116" s="58" t="s">
        <v>2694</v>
      </c>
      <c r="B116" s="207"/>
      <c r="C116" s="207"/>
      <c r="D116" s="207">
        <v>0</v>
      </c>
      <c r="E116" t="s">
        <v>465</v>
      </c>
      <c r="F116" s="207">
        <v>0</v>
      </c>
      <c r="G116" s="207">
        <v>0</v>
      </c>
      <c r="H116" s="207">
        <v>0</v>
      </c>
      <c r="I116" s="207">
        <v>0</v>
      </c>
      <c r="J116" s="207">
        <v>0</v>
      </c>
      <c r="K116" s="207">
        <v>0</v>
      </c>
      <c r="L116" s="207">
        <v>0</v>
      </c>
      <c r="M116" s="207">
        <v>0</v>
      </c>
      <c r="O116" s="207">
        <v>0</v>
      </c>
      <c r="P116" s="207">
        <v>0</v>
      </c>
    </row>
    <row r="117" spans="1:16" ht="13">
      <c r="A117" s="58" t="s">
        <v>2696</v>
      </c>
      <c r="B117" s="207"/>
      <c r="C117" s="207"/>
      <c r="D117" s="207">
        <v>0</v>
      </c>
      <c r="E117" t="s">
        <v>465</v>
      </c>
      <c r="F117" s="207">
        <v>0</v>
      </c>
      <c r="G117" s="207">
        <v>0</v>
      </c>
      <c r="H117" s="207">
        <v>0</v>
      </c>
      <c r="I117" s="207">
        <v>0</v>
      </c>
      <c r="J117" s="207">
        <v>0</v>
      </c>
      <c r="K117" s="207">
        <v>0</v>
      </c>
      <c r="L117" s="207">
        <v>0</v>
      </c>
      <c r="M117" s="207">
        <v>0</v>
      </c>
      <c r="O117" s="207">
        <v>0</v>
      </c>
      <c r="P117" s="207">
        <v>0</v>
      </c>
    </row>
    <row r="118" spans="1:16" ht="13">
      <c r="A118" s="58" t="s">
        <v>2698</v>
      </c>
      <c r="B118" s="207"/>
      <c r="C118" s="207"/>
      <c r="D118" s="207">
        <v>0</v>
      </c>
      <c r="E118" t="s">
        <v>465</v>
      </c>
      <c r="F118" s="207">
        <v>0</v>
      </c>
      <c r="G118" s="207">
        <v>0</v>
      </c>
      <c r="H118" s="207">
        <v>0</v>
      </c>
      <c r="I118" s="207">
        <v>0</v>
      </c>
      <c r="J118" s="207">
        <v>0</v>
      </c>
      <c r="K118" s="207">
        <v>0</v>
      </c>
      <c r="L118" s="207">
        <v>0</v>
      </c>
      <c r="M118" s="207">
        <v>0</v>
      </c>
      <c r="O118" s="207">
        <v>0</v>
      </c>
      <c r="P118" s="207">
        <v>0</v>
      </c>
    </row>
    <row r="119" spans="1:16" ht="13">
      <c r="A119" s="58" t="s">
        <v>2700</v>
      </c>
      <c r="B119" s="207"/>
      <c r="C119" s="207"/>
      <c r="D119" s="207">
        <v>0</v>
      </c>
      <c r="E119" t="s">
        <v>465</v>
      </c>
      <c r="F119" s="207">
        <v>0</v>
      </c>
      <c r="G119" s="207">
        <v>0</v>
      </c>
      <c r="H119" s="207">
        <v>0</v>
      </c>
      <c r="I119" s="207">
        <v>0</v>
      </c>
      <c r="J119" s="207">
        <v>0</v>
      </c>
      <c r="K119" s="207">
        <v>0</v>
      </c>
      <c r="L119" s="207">
        <v>0</v>
      </c>
      <c r="M119" s="207">
        <v>0</v>
      </c>
      <c r="O119" s="207">
        <v>0</v>
      </c>
      <c r="P119" s="207">
        <v>0</v>
      </c>
    </row>
    <row r="120" spans="1:16" ht="13">
      <c r="A120" s="58" t="s">
        <v>2702</v>
      </c>
      <c r="B120" s="207"/>
      <c r="C120" s="207"/>
      <c r="D120" s="207">
        <v>0</v>
      </c>
      <c r="E120" t="s">
        <v>465</v>
      </c>
      <c r="F120" s="207">
        <v>0</v>
      </c>
      <c r="G120" s="207">
        <v>0</v>
      </c>
      <c r="H120" s="207">
        <v>0</v>
      </c>
      <c r="I120" s="207">
        <v>0</v>
      </c>
      <c r="J120" s="207">
        <v>0</v>
      </c>
      <c r="K120" s="207">
        <v>0</v>
      </c>
      <c r="L120" s="207">
        <v>0</v>
      </c>
      <c r="M120" s="207">
        <v>0</v>
      </c>
      <c r="O120" s="207">
        <v>0</v>
      </c>
      <c r="P120" s="207">
        <v>0</v>
      </c>
    </row>
    <row r="121" spans="1:16" ht="13">
      <c r="A121" s="58" t="s">
        <v>2704</v>
      </c>
      <c r="B121" s="207"/>
      <c r="C121" s="207"/>
      <c r="D121" s="207">
        <v>0</v>
      </c>
      <c r="E121" t="s">
        <v>465</v>
      </c>
      <c r="F121" s="207">
        <v>0</v>
      </c>
      <c r="G121" s="207">
        <v>0</v>
      </c>
      <c r="H121" s="207">
        <v>0</v>
      </c>
      <c r="I121" s="207">
        <v>0</v>
      </c>
      <c r="J121" s="207">
        <v>0</v>
      </c>
      <c r="K121" s="207">
        <v>0</v>
      </c>
      <c r="L121" s="207">
        <v>0</v>
      </c>
      <c r="M121" s="207">
        <v>0</v>
      </c>
      <c r="O121" s="207">
        <v>0</v>
      </c>
      <c r="P121" s="207">
        <v>0</v>
      </c>
    </row>
    <row r="122" spans="1:16" ht="13">
      <c r="A122" s="330" t="s">
        <v>2634</v>
      </c>
      <c r="B122" s="207"/>
      <c r="C122" s="207"/>
      <c r="D122" s="207">
        <v>0</v>
      </c>
      <c r="E122" t="s">
        <v>465</v>
      </c>
      <c r="F122" s="207">
        <v>0</v>
      </c>
      <c r="G122" s="207">
        <v>0</v>
      </c>
      <c r="H122" s="207">
        <v>0</v>
      </c>
      <c r="I122" s="207">
        <v>0</v>
      </c>
      <c r="J122" s="207">
        <v>0</v>
      </c>
      <c r="K122" s="207">
        <v>0</v>
      </c>
      <c r="L122" s="207">
        <v>0</v>
      </c>
      <c r="M122" s="207">
        <v>0</v>
      </c>
      <c r="O122" s="207">
        <v>-2113.3081233012526</v>
      </c>
      <c r="P122" s="207">
        <v>-2113.3081233012526</v>
      </c>
    </row>
    <row r="123" spans="1:16" ht="13">
      <c r="A123" s="58" t="s">
        <v>2706</v>
      </c>
      <c r="B123" s="207"/>
      <c r="C123" s="207"/>
      <c r="D123" s="207">
        <v>0</v>
      </c>
      <c r="E123" t="s">
        <v>465</v>
      </c>
      <c r="F123" s="207">
        <v>0</v>
      </c>
      <c r="G123" s="207">
        <v>0</v>
      </c>
      <c r="H123" s="207">
        <v>0</v>
      </c>
      <c r="I123" s="207">
        <v>0</v>
      </c>
      <c r="J123" s="207">
        <v>0</v>
      </c>
      <c r="K123" s="207">
        <v>0</v>
      </c>
      <c r="L123" s="207">
        <v>0</v>
      </c>
      <c r="M123" s="207">
        <v>0</v>
      </c>
      <c r="O123" s="207">
        <v>0</v>
      </c>
      <c r="P123" s="207">
        <v>0</v>
      </c>
    </row>
    <row r="124" spans="1:16" ht="13">
      <c r="A124" s="58" t="s">
        <v>2708</v>
      </c>
      <c r="B124" s="207"/>
      <c r="C124" s="207"/>
      <c r="D124" s="207">
        <v>0</v>
      </c>
      <c r="E124" t="s">
        <v>465</v>
      </c>
      <c r="F124" s="207">
        <v>0</v>
      </c>
      <c r="G124" s="207">
        <v>0</v>
      </c>
      <c r="H124" s="207">
        <v>0</v>
      </c>
      <c r="I124" s="207">
        <v>0</v>
      </c>
      <c r="J124" s="207">
        <v>0</v>
      </c>
      <c r="K124" s="207">
        <v>0</v>
      </c>
      <c r="L124" s="207">
        <v>0</v>
      </c>
      <c r="M124" s="207">
        <v>0</v>
      </c>
      <c r="O124" s="207">
        <v>0</v>
      </c>
      <c r="P124" s="207">
        <v>0</v>
      </c>
    </row>
    <row r="125" spans="1:16" ht="13">
      <c r="A125" s="58" t="s">
        <v>2710</v>
      </c>
      <c r="B125" s="207"/>
      <c r="C125" s="207"/>
      <c r="D125" s="207">
        <v>0</v>
      </c>
      <c r="E125" t="s">
        <v>465</v>
      </c>
      <c r="F125" s="207">
        <v>0</v>
      </c>
      <c r="G125" s="207">
        <v>0</v>
      </c>
      <c r="H125" s="207">
        <v>0</v>
      </c>
      <c r="I125" s="207">
        <v>0</v>
      </c>
      <c r="J125" s="207">
        <v>0</v>
      </c>
      <c r="K125" s="207">
        <v>0</v>
      </c>
      <c r="L125" s="207">
        <v>0</v>
      </c>
      <c r="M125" s="207">
        <v>0</v>
      </c>
      <c r="O125" s="207">
        <v>0</v>
      </c>
      <c r="P125" s="207">
        <v>0</v>
      </c>
    </row>
    <row r="126" spans="1:16" ht="13">
      <c r="A126" s="58" t="s">
        <v>2712</v>
      </c>
      <c r="B126" s="207"/>
      <c r="C126" s="207"/>
      <c r="D126" s="207">
        <v>0</v>
      </c>
      <c r="E126" t="s">
        <v>465</v>
      </c>
      <c r="F126" s="207">
        <v>0</v>
      </c>
      <c r="G126" s="207">
        <v>0</v>
      </c>
      <c r="H126" s="207">
        <v>0</v>
      </c>
      <c r="I126" s="207">
        <v>0</v>
      </c>
      <c r="J126" s="207">
        <v>0</v>
      </c>
      <c r="K126" s="207">
        <v>0</v>
      </c>
      <c r="L126" s="207">
        <v>0</v>
      </c>
      <c r="M126" s="207">
        <v>0</v>
      </c>
      <c r="O126" s="207">
        <v>0</v>
      </c>
      <c r="P126" s="207">
        <v>0</v>
      </c>
    </row>
    <row r="127" spans="1:16" ht="13">
      <c r="A127" s="330" t="s">
        <v>2636</v>
      </c>
      <c r="B127" s="207"/>
      <c r="C127" s="207"/>
      <c r="D127" s="207">
        <v>0</v>
      </c>
      <c r="E127" t="s">
        <v>465</v>
      </c>
      <c r="F127" s="207">
        <v>0</v>
      </c>
      <c r="G127" s="207">
        <v>0</v>
      </c>
      <c r="H127" s="207">
        <v>0</v>
      </c>
      <c r="I127" s="207">
        <v>0</v>
      </c>
      <c r="J127" s="207">
        <v>0</v>
      </c>
      <c r="K127" s="207">
        <v>0</v>
      </c>
      <c r="L127" s="207">
        <v>0</v>
      </c>
      <c r="M127" s="207">
        <v>0</v>
      </c>
      <c r="O127" s="207">
        <v>-1407357.5792600168</v>
      </c>
      <c r="P127" s="207">
        <v>-1407357.5792600168</v>
      </c>
    </row>
    <row r="128" spans="1:16" ht="13">
      <c r="A128" s="58" t="s">
        <v>2638</v>
      </c>
      <c r="B128" s="207"/>
      <c r="C128" s="207"/>
      <c r="D128" s="207">
        <v>0</v>
      </c>
      <c r="E128" t="s">
        <v>465</v>
      </c>
      <c r="F128" s="207">
        <v>0</v>
      </c>
      <c r="G128" s="207">
        <v>0</v>
      </c>
      <c r="H128" s="207">
        <v>0</v>
      </c>
      <c r="I128" s="207">
        <v>0</v>
      </c>
      <c r="J128" s="207">
        <v>0</v>
      </c>
      <c r="K128" s="207">
        <v>0</v>
      </c>
      <c r="L128" s="207">
        <v>0</v>
      </c>
      <c r="M128" s="207">
        <v>0</v>
      </c>
      <c r="O128" s="207">
        <v>0</v>
      </c>
      <c r="P128" s="207">
        <v>0</v>
      </c>
    </row>
    <row r="129" spans="1:16" ht="13">
      <c r="A129" s="58" t="s">
        <v>2640</v>
      </c>
      <c r="B129" s="207"/>
      <c r="C129" s="207"/>
      <c r="D129" s="207">
        <v>-15983102.492642891</v>
      </c>
      <c r="E129" t="s">
        <v>465</v>
      </c>
      <c r="F129" s="207">
        <v>0</v>
      </c>
      <c r="G129" s="207">
        <v>0</v>
      </c>
      <c r="H129" s="207">
        <v>-15983102.492642891</v>
      </c>
      <c r="I129" s="207">
        <v>-15983102.492642891</v>
      </c>
      <c r="J129" s="207">
        <v>17973763.68</v>
      </c>
      <c r="K129" s="207">
        <v>5991254.5599999996</v>
      </c>
      <c r="L129" s="207">
        <v>1990661.187357109</v>
      </c>
      <c r="M129" s="207">
        <v>5991254.5599999996</v>
      </c>
      <c r="O129" s="207">
        <v>-9549.4610516874964</v>
      </c>
      <c r="P129" s="207">
        <v>15973553.031591203</v>
      </c>
    </row>
    <row r="130" spans="1:16" ht="13">
      <c r="A130" s="58" t="s">
        <v>2642</v>
      </c>
      <c r="B130" s="207"/>
      <c r="C130" s="207"/>
      <c r="D130" s="207">
        <v>0</v>
      </c>
      <c r="E130" t="s">
        <v>465</v>
      </c>
      <c r="F130" s="207">
        <v>0</v>
      </c>
      <c r="G130" s="207">
        <v>0</v>
      </c>
      <c r="H130" s="207">
        <v>0</v>
      </c>
      <c r="I130" s="207">
        <v>0</v>
      </c>
      <c r="J130" s="207">
        <v>10564910.34</v>
      </c>
      <c r="K130" s="207">
        <v>3521636.78</v>
      </c>
      <c r="L130" s="207">
        <v>10564910.34</v>
      </c>
      <c r="M130" s="207">
        <v>3521636.78</v>
      </c>
      <c r="O130" s="207">
        <v>0</v>
      </c>
      <c r="P130" s="207">
        <v>0</v>
      </c>
    </row>
    <row r="131" spans="1:16" ht="13">
      <c r="A131" s="58" t="s">
        <v>2644</v>
      </c>
      <c r="B131" s="207"/>
      <c r="C131" s="207"/>
      <c r="D131" s="207">
        <v>-656706.70080147532</v>
      </c>
      <c r="E131" t="s">
        <v>465</v>
      </c>
      <c r="F131" s="207">
        <v>0</v>
      </c>
      <c r="G131" s="207">
        <v>0</v>
      </c>
      <c r="H131" s="207">
        <v>-656706.70080147532</v>
      </c>
      <c r="I131" s="207">
        <v>-656706.70080147532</v>
      </c>
      <c r="J131" s="207">
        <v>21392079.434999999</v>
      </c>
      <c r="K131" s="207">
        <v>7130693.1449999996</v>
      </c>
      <c r="L131" s="207">
        <v>20735372.734198522</v>
      </c>
      <c r="M131" s="207">
        <v>7130693.1449999996</v>
      </c>
      <c r="O131" s="207">
        <v>0</v>
      </c>
      <c r="P131" s="207">
        <v>656706.70080147532</v>
      </c>
    </row>
    <row r="132" spans="1:16" ht="13">
      <c r="A132" s="58" t="s">
        <v>2810</v>
      </c>
      <c r="B132" s="207"/>
      <c r="C132" s="207"/>
      <c r="D132" s="207">
        <v>-19204944.03972758</v>
      </c>
      <c r="E132" t="s">
        <v>460</v>
      </c>
      <c r="F132" s="207">
        <v>518314.19999999995</v>
      </c>
      <c r="G132" s="207">
        <v>2804869</v>
      </c>
      <c r="H132" s="207">
        <v>-15881760.839727581</v>
      </c>
      <c r="I132" s="207">
        <v>-15881760.839727581</v>
      </c>
      <c r="J132" s="207">
        <v>38567620.896909878</v>
      </c>
      <c r="K132" s="207">
        <v>64134865.687032342</v>
      </c>
      <c r="L132" s="207">
        <v>22685860.057182297</v>
      </c>
      <c r="M132" s="207">
        <v>64134865.687032342</v>
      </c>
      <c r="O132" s="207">
        <v>-15882008.779727582</v>
      </c>
      <c r="P132" s="207">
        <v>-247.9400000013411</v>
      </c>
    </row>
    <row r="133" spans="1:16" ht="13">
      <c r="A133" s="58" t="s">
        <v>2819</v>
      </c>
      <c r="B133" s="207"/>
      <c r="C133" s="207"/>
      <c r="D133" s="207">
        <v>0</v>
      </c>
      <c r="E133" t="s">
        <v>460</v>
      </c>
      <c r="F133" s="207">
        <v>0</v>
      </c>
      <c r="G133" s="207">
        <v>0</v>
      </c>
      <c r="H133" s="207">
        <v>0</v>
      </c>
      <c r="I133" s="207">
        <v>0</v>
      </c>
      <c r="J133" s="207">
        <v>0</v>
      </c>
      <c r="K133" s="207">
        <v>0</v>
      </c>
      <c r="L133" s="207">
        <v>0</v>
      </c>
      <c r="M133" s="207">
        <v>0</v>
      </c>
      <c r="O133" s="207">
        <v>0</v>
      </c>
      <c r="P133" s="207">
        <v>0</v>
      </c>
    </row>
    <row r="134" spans="1:16" ht="13">
      <c r="A134" s="58" t="s">
        <v>2820</v>
      </c>
      <c r="B134" s="207"/>
      <c r="C134" s="207"/>
      <c r="D134" s="207">
        <v>0</v>
      </c>
      <c r="E134" t="s">
        <v>460</v>
      </c>
      <c r="F134" s="207">
        <v>0</v>
      </c>
      <c r="G134" s="207">
        <v>0</v>
      </c>
      <c r="H134" s="207">
        <v>0</v>
      </c>
      <c r="I134" s="207">
        <v>0</v>
      </c>
      <c r="J134" s="207">
        <v>0</v>
      </c>
      <c r="K134" s="207">
        <v>0</v>
      </c>
      <c r="L134" s="207">
        <v>0</v>
      </c>
      <c r="M134" s="207">
        <v>0</v>
      </c>
      <c r="O134" s="207">
        <v>0</v>
      </c>
      <c r="P134" s="207">
        <v>0</v>
      </c>
    </row>
    <row r="135" spans="1:16" ht="13">
      <c r="A135" s="58" t="s">
        <v>2821</v>
      </c>
      <c r="B135" s="207"/>
      <c r="C135" s="207"/>
      <c r="D135" s="207">
        <v>0</v>
      </c>
      <c r="E135" t="s">
        <v>460</v>
      </c>
      <c r="F135" s="207">
        <v>0</v>
      </c>
      <c r="G135" s="207">
        <v>0</v>
      </c>
      <c r="H135" s="207">
        <v>0</v>
      </c>
      <c r="I135" s="207">
        <v>0</v>
      </c>
      <c r="J135" s="207">
        <v>0</v>
      </c>
      <c r="K135" s="207">
        <v>0</v>
      </c>
      <c r="L135" s="207">
        <v>0</v>
      </c>
      <c r="M135" s="207">
        <v>0</v>
      </c>
      <c r="O135" s="207">
        <v>0</v>
      </c>
      <c r="P135" s="207">
        <v>0</v>
      </c>
    </row>
    <row r="136" spans="1:16" ht="13">
      <c r="A136" s="58" t="s">
        <v>2822</v>
      </c>
      <c r="B136" s="207"/>
      <c r="C136" s="207"/>
      <c r="D136" s="207">
        <v>0</v>
      </c>
      <c r="E136" t="s">
        <v>460</v>
      </c>
      <c r="F136" s="207">
        <v>0</v>
      </c>
      <c r="G136" s="207">
        <v>0</v>
      </c>
      <c r="H136" s="207">
        <v>0</v>
      </c>
      <c r="I136" s="207">
        <v>0</v>
      </c>
      <c r="J136" s="207">
        <v>0</v>
      </c>
      <c r="K136" s="207">
        <v>0</v>
      </c>
      <c r="L136" s="207">
        <v>0</v>
      </c>
      <c r="M136" s="207">
        <v>0</v>
      </c>
      <c r="O136" s="207">
        <v>0</v>
      </c>
      <c r="P136" s="207">
        <v>0</v>
      </c>
    </row>
    <row r="137" spans="1:16" ht="13">
      <c r="A137" s="58" t="s">
        <v>2823</v>
      </c>
      <c r="B137" s="207"/>
      <c r="C137" s="207"/>
      <c r="D137" s="207">
        <v>0</v>
      </c>
      <c r="E137" t="s">
        <v>460</v>
      </c>
      <c r="F137" s="207">
        <v>0</v>
      </c>
      <c r="G137" s="207">
        <v>0</v>
      </c>
      <c r="H137" s="207">
        <v>0</v>
      </c>
      <c r="I137" s="207">
        <v>0</v>
      </c>
      <c r="J137" s="207">
        <v>0</v>
      </c>
      <c r="K137" s="207">
        <v>0</v>
      </c>
      <c r="L137" s="207">
        <v>0</v>
      </c>
      <c r="M137" s="207">
        <v>0</v>
      </c>
      <c r="O137" s="207">
        <v>0</v>
      </c>
      <c r="P137" s="207">
        <v>0</v>
      </c>
    </row>
    <row r="138" spans="1:16" ht="13">
      <c r="A138" s="58" t="s">
        <v>2824</v>
      </c>
      <c r="B138" s="207"/>
      <c r="C138" s="207"/>
      <c r="D138" s="207">
        <v>0</v>
      </c>
      <c r="E138" t="s">
        <v>460</v>
      </c>
      <c r="F138" s="207">
        <v>0</v>
      </c>
      <c r="G138" s="207">
        <v>0</v>
      </c>
      <c r="H138" s="207">
        <v>0</v>
      </c>
      <c r="I138" s="207">
        <v>0</v>
      </c>
      <c r="J138" s="207">
        <v>0</v>
      </c>
      <c r="K138" s="207">
        <v>0</v>
      </c>
      <c r="L138" s="207">
        <v>0</v>
      </c>
      <c r="M138" s="207">
        <v>0</v>
      </c>
      <c r="O138" s="207">
        <v>0</v>
      </c>
      <c r="P138" s="207">
        <v>0</v>
      </c>
    </row>
    <row r="139" spans="1:16" ht="13">
      <c r="A139" s="58" t="s">
        <v>2825</v>
      </c>
      <c r="B139" s="207"/>
      <c r="C139" s="207"/>
      <c r="D139" s="207">
        <v>0</v>
      </c>
      <c r="E139" t="s">
        <v>460</v>
      </c>
      <c r="F139" s="207">
        <v>0</v>
      </c>
      <c r="G139" s="207">
        <v>0</v>
      </c>
      <c r="H139" s="207">
        <v>0</v>
      </c>
      <c r="I139" s="207">
        <v>0</v>
      </c>
      <c r="J139" s="207">
        <v>0</v>
      </c>
      <c r="K139" s="207">
        <v>0</v>
      </c>
      <c r="L139" s="207">
        <v>0</v>
      </c>
      <c r="M139" s="207">
        <v>0</v>
      </c>
      <c r="O139" s="207">
        <v>0</v>
      </c>
      <c r="P139" s="207">
        <v>0</v>
      </c>
    </row>
    <row r="140" spans="1:16" ht="13">
      <c r="A140" s="58" t="s">
        <v>2826</v>
      </c>
      <c r="B140" s="207"/>
      <c r="C140" s="207"/>
      <c r="D140" s="207">
        <v>0</v>
      </c>
      <c r="E140" t="s">
        <v>460</v>
      </c>
      <c r="F140" s="207">
        <v>0</v>
      </c>
      <c r="G140" s="207">
        <v>0</v>
      </c>
      <c r="H140" s="207">
        <v>0</v>
      </c>
      <c r="I140" s="207">
        <v>0</v>
      </c>
      <c r="J140" s="207">
        <v>0</v>
      </c>
      <c r="K140" s="207">
        <v>0</v>
      </c>
      <c r="L140" s="207">
        <v>0</v>
      </c>
      <c r="M140" s="207">
        <v>0</v>
      </c>
      <c r="O140" s="207">
        <v>0</v>
      </c>
      <c r="P140" s="207">
        <v>0</v>
      </c>
    </row>
    <row r="141" spans="1:16" ht="13">
      <c r="A141" s="58" t="s">
        <v>2827</v>
      </c>
      <c r="B141" s="207"/>
      <c r="C141" s="207"/>
      <c r="D141" s="207">
        <v>0</v>
      </c>
      <c r="E141" t="s">
        <v>460</v>
      </c>
      <c r="F141" s="207">
        <v>0</v>
      </c>
      <c r="G141" s="207">
        <v>0</v>
      </c>
      <c r="H141" s="207">
        <v>0</v>
      </c>
      <c r="I141" s="207">
        <v>0</v>
      </c>
      <c r="J141" s="207">
        <v>0</v>
      </c>
      <c r="K141" s="207">
        <v>0</v>
      </c>
      <c r="L141" s="207">
        <v>0</v>
      </c>
      <c r="M141" s="207">
        <v>0</v>
      </c>
      <c r="O141" s="207">
        <v>0</v>
      </c>
      <c r="P141" s="207">
        <v>0</v>
      </c>
    </row>
    <row r="142" spans="1:16" ht="13">
      <c r="A142" s="58" t="s">
        <v>2828</v>
      </c>
      <c r="B142" s="207"/>
      <c r="C142" s="207"/>
      <c r="D142" s="207">
        <v>0</v>
      </c>
      <c r="E142" t="s">
        <v>460</v>
      </c>
      <c r="F142" s="207">
        <v>0</v>
      </c>
      <c r="G142" s="207">
        <v>0</v>
      </c>
      <c r="H142" s="207">
        <v>0</v>
      </c>
      <c r="I142" s="207">
        <v>0</v>
      </c>
      <c r="J142" s="207">
        <v>0</v>
      </c>
      <c r="K142" s="207">
        <v>0</v>
      </c>
      <c r="L142" s="207">
        <v>0</v>
      </c>
      <c r="M142" s="207">
        <v>0</v>
      </c>
      <c r="O142" s="207">
        <v>0</v>
      </c>
      <c r="P142" s="207">
        <v>0</v>
      </c>
    </row>
    <row r="143" spans="1:16" ht="13">
      <c r="A143" s="58" t="s">
        <v>2811</v>
      </c>
      <c r="B143" s="207"/>
      <c r="C143" s="207"/>
      <c r="D143" s="207">
        <v>-328115</v>
      </c>
      <c r="E143" t="s">
        <v>460</v>
      </c>
      <c r="F143" s="207">
        <v>16912.8</v>
      </c>
      <c r="G143" s="207">
        <v>311202</v>
      </c>
      <c r="H143" s="207">
        <v>-0.20000000001164153</v>
      </c>
      <c r="I143" s="207">
        <v>-0.20000000001164153</v>
      </c>
      <c r="J143" s="207">
        <v>2318794.063856306</v>
      </c>
      <c r="K143" s="207">
        <v>603158.71989999991</v>
      </c>
      <c r="L143" s="207">
        <v>2318793.8638563058</v>
      </c>
      <c r="M143" s="207">
        <v>603158.71989999991</v>
      </c>
      <c r="O143" s="207">
        <v>328114.8</v>
      </c>
      <c r="P143" s="207">
        <v>328115</v>
      </c>
    </row>
    <row r="144" spans="1:16" ht="13">
      <c r="A144" s="58" t="s">
        <v>2829</v>
      </c>
      <c r="B144" s="207"/>
      <c r="C144" s="207"/>
      <c r="D144" s="207">
        <v>0</v>
      </c>
      <c r="E144" t="s">
        <v>460</v>
      </c>
      <c r="F144" s="207">
        <v>0</v>
      </c>
      <c r="G144" s="207">
        <v>0</v>
      </c>
      <c r="H144" s="207">
        <v>0</v>
      </c>
      <c r="I144" s="207">
        <v>0</v>
      </c>
      <c r="J144" s="207">
        <v>0</v>
      </c>
      <c r="K144" s="207">
        <v>0</v>
      </c>
      <c r="L144" s="207">
        <v>0</v>
      </c>
      <c r="M144" s="207">
        <v>0</v>
      </c>
      <c r="O144" s="207">
        <v>0</v>
      </c>
      <c r="P144" s="207">
        <v>0</v>
      </c>
    </row>
    <row r="145" spans="1:16" ht="13">
      <c r="A145" s="58" t="s">
        <v>2830</v>
      </c>
      <c r="B145" s="207"/>
      <c r="C145" s="207"/>
      <c r="D145" s="207">
        <v>0</v>
      </c>
      <c r="E145" t="s">
        <v>460</v>
      </c>
      <c r="F145" s="207">
        <v>0</v>
      </c>
      <c r="G145" s="207">
        <v>0</v>
      </c>
      <c r="H145" s="207">
        <v>0</v>
      </c>
      <c r="I145" s="207">
        <v>0</v>
      </c>
      <c r="J145" s="207">
        <v>0</v>
      </c>
      <c r="K145" s="207">
        <v>0</v>
      </c>
      <c r="L145" s="207">
        <v>0</v>
      </c>
      <c r="M145" s="207">
        <v>0</v>
      </c>
      <c r="O145" s="207">
        <v>0</v>
      </c>
      <c r="P145" s="207">
        <v>0</v>
      </c>
    </row>
    <row r="146" spans="1:16" ht="13">
      <c r="A146" s="58" t="s">
        <v>2831</v>
      </c>
      <c r="B146" s="207"/>
      <c r="C146" s="207"/>
      <c r="D146" s="207">
        <v>0</v>
      </c>
      <c r="E146" t="s">
        <v>460</v>
      </c>
      <c r="F146" s="207">
        <v>0</v>
      </c>
      <c r="G146" s="207">
        <v>0</v>
      </c>
      <c r="H146" s="207">
        <v>0</v>
      </c>
      <c r="I146" s="207">
        <v>0</v>
      </c>
      <c r="J146" s="207">
        <v>0</v>
      </c>
      <c r="K146" s="207">
        <v>0</v>
      </c>
      <c r="L146" s="207">
        <v>0</v>
      </c>
      <c r="M146" s="207">
        <v>0</v>
      </c>
      <c r="O146" s="207">
        <v>0</v>
      </c>
      <c r="P146" s="207">
        <v>0</v>
      </c>
    </row>
    <row r="147" spans="1:16" ht="13">
      <c r="A147" s="58" t="s">
        <v>2832</v>
      </c>
      <c r="B147" s="207"/>
      <c r="C147" s="207"/>
      <c r="D147" s="207">
        <v>0</v>
      </c>
      <c r="E147" t="s">
        <v>460</v>
      </c>
      <c r="F147" s="207">
        <v>0</v>
      </c>
      <c r="G147" s="207">
        <v>0</v>
      </c>
      <c r="H147" s="207">
        <v>0</v>
      </c>
      <c r="I147" s="207">
        <v>0</v>
      </c>
      <c r="J147" s="207">
        <v>0</v>
      </c>
      <c r="K147" s="207">
        <v>0</v>
      </c>
      <c r="L147" s="207">
        <v>0</v>
      </c>
      <c r="M147" s="207">
        <v>0</v>
      </c>
      <c r="O147" s="207">
        <v>0</v>
      </c>
      <c r="P147" s="207">
        <v>0</v>
      </c>
    </row>
    <row r="148" spans="1:16" ht="13">
      <c r="A148" s="58" t="s">
        <v>2833</v>
      </c>
      <c r="B148" s="207"/>
      <c r="C148" s="207"/>
      <c r="D148" s="207">
        <v>0</v>
      </c>
      <c r="E148" t="s">
        <v>460</v>
      </c>
      <c r="F148" s="207">
        <v>0</v>
      </c>
      <c r="G148" s="207">
        <v>0</v>
      </c>
      <c r="H148" s="207">
        <v>0</v>
      </c>
      <c r="I148" s="207">
        <v>0</v>
      </c>
      <c r="J148" s="207">
        <v>0</v>
      </c>
      <c r="K148" s="207">
        <v>0</v>
      </c>
      <c r="L148" s="207">
        <v>0</v>
      </c>
      <c r="M148" s="207">
        <v>0</v>
      </c>
      <c r="O148" s="207">
        <v>0</v>
      </c>
      <c r="P148" s="207">
        <v>0</v>
      </c>
    </row>
    <row r="149" spans="1:16" ht="13">
      <c r="A149" s="58" t="s">
        <v>2834</v>
      </c>
      <c r="B149" s="207"/>
      <c r="C149" s="207"/>
      <c r="D149" s="207">
        <v>0</v>
      </c>
      <c r="E149" t="s">
        <v>460</v>
      </c>
      <c r="F149" s="207">
        <v>0</v>
      </c>
      <c r="G149" s="207">
        <v>0</v>
      </c>
      <c r="H149" s="207">
        <v>0</v>
      </c>
      <c r="I149" s="207">
        <v>0</v>
      </c>
      <c r="J149" s="207">
        <v>0</v>
      </c>
      <c r="K149" s="207">
        <v>0</v>
      </c>
      <c r="L149" s="207">
        <v>0</v>
      </c>
      <c r="M149" s="207">
        <v>0</v>
      </c>
      <c r="O149" s="207">
        <v>0</v>
      </c>
      <c r="P149" s="207">
        <v>0</v>
      </c>
    </row>
    <row r="150" spans="1:16" ht="13">
      <c r="A150" s="58" t="s">
        <v>2835</v>
      </c>
      <c r="B150" s="207"/>
      <c r="C150" s="207"/>
      <c r="D150" s="207">
        <v>0</v>
      </c>
      <c r="E150" t="s">
        <v>460</v>
      </c>
      <c r="F150" s="207">
        <v>0</v>
      </c>
      <c r="G150" s="207">
        <v>0</v>
      </c>
      <c r="H150" s="207">
        <v>0</v>
      </c>
      <c r="I150" s="207">
        <v>0</v>
      </c>
      <c r="J150" s="207">
        <v>0</v>
      </c>
      <c r="K150" s="207">
        <v>0</v>
      </c>
      <c r="L150" s="207">
        <v>0</v>
      </c>
      <c r="M150" s="207">
        <v>0</v>
      </c>
      <c r="O150" s="207">
        <v>0</v>
      </c>
      <c r="P150" s="207">
        <v>0</v>
      </c>
    </row>
    <row r="151" spans="1:16" ht="13">
      <c r="A151" s="58" t="s">
        <v>2836</v>
      </c>
      <c r="B151" s="207"/>
      <c r="C151" s="207"/>
      <c r="D151" s="207">
        <v>0</v>
      </c>
      <c r="E151" t="s">
        <v>460</v>
      </c>
      <c r="F151" s="207">
        <v>0</v>
      </c>
      <c r="G151" s="207">
        <v>0</v>
      </c>
      <c r="H151" s="207">
        <v>0</v>
      </c>
      <c r="I151" s="207">
        <v>0</v>
      </c>
      <c r="J151" s="207">
        <v>0</v>
      </c>
      <c r="K151" s="207">
        <v>0</v>
      </c>
      <c r="L151" s="207">
        <v>0</v>
      </c>
      <c r="M151" s="207">
        <v>0</v>
      </c>
      <c r="O151" s="207">
        <v>0</v>
      </c>
      <c r="P151" s="207">
        <v>0</v>
      </c>
    </row>
    <row r="152" spans="1:16" ht="13">
      <c r="A152" s="58" t="s">
        <v>2837</v>
      </c>
      <c r="B152" s="207"/>
      <c r="C152" s="207"/>
      <c r="D152" s="207">
        <v>0</v>
      </c>
      <c r="E152" t="s">
        <v>460</v>
      </c>
      <c r="F152" s="207">
        <v>0</v>
      </c>
      <c r="G152" s="207">
        <v>0</v>
      </c>
      <c r="H152" s="207">
        <v>0</v>
      </c>
      <c r="I152" s="207">
        <v>0</v>
      </c>
      <c r="J152" s="207">
        <v>0</v>
      </c>
      <c r="K152" s="207">
        <v>0</v>
      </c>
      <c r="L152" s="207">
        <v>0</v>
      </c>
      <c r="M152" s="207">
        <v>0</v>
      </c>
      <c r="O152" s="207">
        <v>0</v>
      </c>
      <c r="P152" s="207">
        <v>0</v>
      </c>
    </row>
    <row r="153" spans="1:16" ht="13">
      <c r="A153" s="58" t="s">
        <v>2838</v>
      </c>
      <c r="B153" s="207"/>
      <c r="C153" s="207"/>
      <c r="D153" s="207">
        <v>0</v>
      </c>
      <c r="E153" t="s">
        <v>460</v>
      </c>
      <c r="F153" s="207">
        <v>0</v>
      </c>
      <c r="G153" s="207">
        <v>0</v>
      </c>
      <c r="H153" s="207">
        <v>0</v>
      </c>
      <c r="I153" s="207">
        <v>0</v>
      </c>
      <c r="J153" s="207">
        <v>0</v>
      </c>
      <c r="K153" s="207">
        <v>0</v>
      </c>
      <c r="L153" s="207">
        <v>0</v>
      </c>
      <c r="M153" s="207">
        <v>0</v>
      </c>
      <c r="O153" s="207">
        <v>0</v>
      </c>
      <c r="P153" s="207">
        <v>0</v>
      </c>
    </row>
    <row r="154" spans="1:16" ht="13">
      <c r="A154" s="330" t="s">
        <v>2812</v>
      </c>
      <c r="B154" s="207"/>
      <c r="C154" s="207"/>
      <c r="D154" s="207">
        <v>-142814</v>
      </c>
      <c r="E154" t="s">
        <v>460</v>
      </c>
      <c r="F154" s="207">
        <v>125296.5</v>
      </c>
      <c r="G154" s="207">
        <v>17517</v>
      </c>
      <c r="H154" s="207">
        <v>-0.5</v>
      </c>
      <c r="I154" s="207">
        <v>-0.5</v>
      </c>
      <c r="J154" s="207">
        <v>0</v>
      </c>
      <c r="K154" s="207">
        <v>0</v>
      </c>
      <c r="L154" s="207">
        <v>-0.5</v>
      </c>
      <c r="M154" s="207">
        <v>0</v>
      </c>
      <c r="O154" s="207">
        <v>142813.5</v>
      </c>
      <c r="P154" s="207">
        <v>142814</v>
      </c>
    </row>
    <row r="155" spans="1:16" ht="13">
      <c r="A155" s="58" t="s">
        <v>2839</v>
      </c>
      <c r="B155" s="207"/>
      <c r="C155" s="207"/>
      <c r="D155" s="207">
        <v>0</v>
      </c>
      <c r="E155" t="s">
        <v>460</v>
      </c>
      <c r="F155" s="207">
        <v>0</v>
      </c>
      <c r="G155" s="207">
        <v>0</v>
      </c>
      <c r="H155" s="207">
        <v>0</v>
      </c>
      <c r="I155" s="207">
        <v>0</v>
      </c>
      <c r="J155" s="207">
        <v>0</v>
      </c>
      <c r="K155" s="207">
        <v>0</v>
      </c>
      <c r="L155" s="207">
        <v>0</v>
      </c>
      <c r="M155" s="207">
        <v>0</v>
      </c>
      <c r="O155" s="207">
        <v>0</v>
      </c>
      <c r="P155" s="207">
        <v>0</v>
      </c>
    </row>
    <row r="156" spans="1:16" ht="13">
      <c r="A156" s="58" t="s">
        <v>2840</v>
      </c>
      <c r="B156" s="207"/>
      <c r="C156" s="207"/>
      <c r="D156" s="207">
        <v>0</v>
      </c>
      <c r="E156" t="s">
        <v>460</v>
      </c>
      <c r="F156" s="207">
        <v>0</v>
      </c>
      <c r="G156" s="207">
        <v>0</v>
      </c>
      <c r="H156" s="207">
        <v>0</v>
      </c>
      <c r="I156" s="207">
        <v>0</v>
      </c>
      <c r="J156" s="207">
        <v>0</v>
      </c>
      <c r="K156" s="207">
        <v>0</v>
      </c>
      <c r="L156" s="207">
        <v>0</v>
      </c>
      <c r="M156" s="207">
        <v>0</v>
      </c>
      <c r="O156" s="207">
        <v>0</v>
      </c>
      <c r="P156" s="207">
        <v>0</v>
      </c>
    </row>
    <row r="157" spans="1:16" ht="13">
      <c r="A157" s="58" t="s">
        <v>2841</v>
      </c>
      <c r="B157" s="207"/>
      <c r="C157" s="207"/>
      <c r="D157" s="207">
        <v>0</v>
      </c>
      <c r="E157" t="s">
        <v>460</v>
      </c>
      <c r="F157" s="207">
        <v>0</v>
      </c>
      <c r="G157" s="207">
        <v>0</v>
      </c>
      <c r="H157" s="207">
        <v>0</v>
      </c>
      <c r="I157" s="207">
        <v>0</v>
      </c>
      <c r="J157" s="207">
        <v>0</v>
      </c>
      <c r="K157" s="207">
        <v>0</v>
      </c>
      <c r="L157" s="207">
        <v>0</v>
      </c>
      <c r="M157" s="207">
        <v>0</v>
      </c>
      <c r="O157" s="207">
        <v>0</v>
      </c>
      <c r="P157" s="207">
        <v>0</v>
      </c>
    </row>
    <row r="158" spans="1:16" ht="13">
      <c r="A158" s="58" t="s">
        <v>2813</v>
      </c>
      <c r="B158" s="207"/>
      <c r="C158" s="207"/>
      <c r="D158" s="207">
        <v>-7732.7168000000001</v>
      </c>
      <c r="E158" t="s">
        <v>460</v>
      </c>
      <c r="F158" s="207">
        <v>1023.9</v>
      </c>
      <c r="G158" s="207">
        <v>6709</v>
      </c>
      <c r="H158" s="207">
        <v>0.18319999999948777</v>
      </c>
      <c r="I158" s="207">
        <v>0.18319999999948777</v>
      </c>
      <c r="J158" s="207">
        <v>0</v>
      </c>
      <c r="K158" s="207">
        <v>0</v>
      </c>
      <c r="L158" s="207">
        <v>0.18319999999948777</v>
      </c>
      <c r="M158" s="207">
        <v>0</v>
      </c>
      <c r="O158" s="207">
        <v>7732.9</v>
      </c>
      <c r="P158" s="207">
        <v>7732.7168000000001</v>
      </c>
    </row>
    <row r="159" spans="1:16" ht="13">
      <c r="A159" s="58" t="s">
        <v>2814</v>
      </c>
      <c r="B159" s="207"/>
      <c r="C159" s="207"/>
      <c r="D159" s="207">
        <v>-365515.83052609663</v>
      </c>
      <c r="E159" t="s">
        <v>460</v>
      </c>
      <c r="F159" s="207">
        <v>140503.79999999999</v>
      </c>
      <c r="G159" s="207">
        <v>225012</v>
      </c>
      <c r="H159" s="207">
        <v>-3.0526096641551703E-2</v>
      </c>
      <c r="I159" s="207">
        <v>-3.0526096641551703E-2</v>
      </c>
      <c r="J159" s="207">
        <v>2491123.6690999996</v>
      </c>
      <c r="K159" s="207">
        <v>2491123.6690999996</v>
      </c>
      <c r="L159" s="207">
        <v>2491123.6385739031</v>
      </c>
      <c r="M159" s="207">
        <v>2491123.6690999996</v>
      </c>
      <c r="O159" s="207">
        <v>365531.96947390336</v>
      </c>
      <c r="P159" s="207">
        <v>365532</v>
      </c>
    </row>
    <row r="160" spans="1:16" ht="13">
      <c r="A160" s="58" t="s">
        <v>2815</v>
      </c>
      <c r="B160" s="207"/>
      <c r="C160" s="207"/>
      <c r="D160" s="207">
        <v>0</v>
      </c>
      <c r="E160" t="s">
        <v>460</v>
      </c>
      <c r="F160" s="207">
        <v>0</v>
      </c>
      <c r="G160" s="207">
        <v>0</v>
      </c>
      <c r="H160" s="207">
        <v>0</v>
      </c>
      <c r="I160" s="207">
        <v>0</v>
      </c>
      <c r="J160" s="207">
        <v>0</v>
      </c>
      <c r="K160" s="207">
        <v>0</v>
      </c>
      <c r="L160" s="207">
        <v>0</v>
      </c>
      <c r="M160" s="207">
        <v>0</v>
      </c>
      <c r="O160" s="207">
        <v>0</v>
      </c>
      <c r="P160" s="207">
        <v>0</v>
      </c>
    </row>
    <row r="161" spans="1:16" ht="13">
      <c r="A161" s="58" t="s">
        <v>2816</v>
      </c>
      <c r="B161" s="207"/>
      <c r="C161" s="207"/>
      <c r="D161" s="207">
        <v>0</v>
      </c>
      <c r="E161" t="s">
        <v>460</v>
      </c>
      <c r="F161" s="207">
        <v>0</v>
      </c>
      <c r="G161" s="207">
        <v>0</v>
      </c>
      <c r="H161" s="207">
        <v>0</v>
      </c>
      <c r="I161" s="207">
        <v>0</v>
      </c>
      <c r="J161" s="207">
        <v>0</v>
      </c>
      <c r="K161" s="207">
        <v>0</v>
      </c>
      <c r="L161" s="207">
        <v>0</v>
      </c>
      <c r="M161" s="207">
        <v>0</v>
      </c>
      <c r="O161" s="207">
        <v>0</v>
      </c>
      <c r="P161" s="207">
        <v>0</v>
      </c>
    </row>
    <row r="162" spans="1:16" ht="13">
      <c r="A162" s="58" t="s">
        <v>2817</v>
      </c>
      <c r="B162" s="207"/>
      <c r="C162" s="207"/>
      <c r="D162" s="207">
        <v>0</v>
      </c>
      <c r="E162" t="s">
        <v>460</v>
      </c>
      <c r="F162" s="207">
        <v>0</v>
      </c>
      <c r="G162" s="207">
        <v>0</v>
      </c>
      <c r="H162" s="207">
        <v>0</v>
      </c>
      <c r="I162" s="207">
        <v>0</v>
      </c>
      <c r="J162" s="207">
        <v>0</v>
      </c>
      <c r="K162" s="207">
        <v>0</v>
      </c>
      <c r="L162" s="207">
        <v>0</v>
      </c>
      <c r="M162" s="207">
        <v>0</v>
      </c>
      <c r="O162" s="207">
        <v>0</v>
      </c>
      <c r="P162" s="207">
        <v>0</v>
      </c>
    </row>
    <row r="163" spans="1:16" ht="13">
      <c r="A163" s="58" t="s">
        <v>2818</v>
      </c>
      <c r="B163" s="207"/>
      <c r="C163" s="207"/>
      <c r="D163" s="207">
        <v>0</v>
      </c>
      <c r="E163" t="s">
        <v>460</v>
      </c>
      <c r="F163" s="207">
        <v>0</v>
      </c>
      <c r="G163" s="207">
        <v>0</v>
      </c>
      <c r="H163" s="207">
        <v>0</v>
      </c>
      <c r="I163" s="207">
        <v>0</v>
      </c>
      <c r="J163" s="207">
        <v>0</v>
      </c>
      <c r="K163" s="207">
        <v>0</v>
      </c>
      <c r="L163" s="207">
        <v>0</v>
      </c>
      <c r="M163" s="207">
        <v>0</v>
      </c>
      <c r="O163" s="207">
        <v>0</v>
      </c>
      <c r="P163" s="207">
        <v>0</v>
      </c>
    </row>
    <row r="164" spans="1:16" ht="13">
      <c r="A164" s="58" t="s">
        <v>2311</v>
      </c>
      <c r="B164" s="207"/>
      <c r="C164" s="207"/>
      <c r="D164" s="207">
        <v>0</v>
      </c>
      <c r="E164" t="s">
        <v>466</v>
      </c>
      <c r="F164" s="207">
        <v>27.3</v>
      </c>
      <c r="G164" s="207">
        <v>3936</v>
      </c>
      <c r="H164" s="207">
        <v>3963.3</v>
      </c>
      <c r="I164" s="207">
        <v>3963.3</v>
      </c>
      <c r="J164" s="207">
        <v>21482.486120973164</v>
      </c>
      <c r="K164" s="207">
        <v>0</v>
      </c>
      <c r="L164" s="207">
        <v>25445.786120973164</v>
      </c>
      <c r="M164" s="207">
        <v>0</v>
      </c>
      <c r="O164" s="207">
        <v>3963.3</v>
      </c>
      <c r="P164" s="207">
        <v>0</v>
      </c>
    </row>
    <row r="165" spans="1:16" ht="13">
      <c r="A165" s="330" t="s">
        <v>2322</v>
      </c>
      <c r="B165" s="207"/>
      <c r="C165" s="207"/>
      <c r="D165" s="207">
        <v>-791704.55853711208</v>
      </c>
      <c r="E165" t="s">
        <v>466</v>
      </c>
      <c r="F165" s="207">
        <v>476.4</v>
      </c>
      <c r="G165" s="207">
        <v>31645</v>
      </c>
      <c r="H165" s="207">
        <v>-759583.15853711206</v>
      </c>
      <c r="I165" s="207">
        <v>-759583.15853711206</v>
      </c>
      <c r="J165" s="207">
        <v>729739.69623376615</v>
      </c>
      <c r="K165" s="207">
        <v>0</v>
      </c>
      <c r="L165" s="207">
        <v>-29843.462303345907</v>
      </c>
      <c r="M165" s="207">
        <v>0</v>
      </c>
      <c r="O165" s="207">
        <v>-759583.15853711206</v>
      </c>
      <c r="P165" s="207">
        <v>0</v>
      </c>
    </row>
    <row r="166" spans="1:16" ht="13">
      <c r="A166" s="58" t="s">
        <v>2332</v>
      </c>
      <c r="B166" s="207"/>
      <c r="C166" s="207"/>
      <c r="D166" s="207">
        <v>-827289.95430540969</v>
      </c>
      <c r="E166" t="s">
        <v>466</v>
      </c>
      <c r="F166" s="207">
        <v>66920.399999999994</v>
      </c>
      <c r="G166" s="207">
        <v>760370</v>
      </c>
      <c r="H166" s="207">
        <v>0.44569459033664316</v>
      </c>
      <c r="I166" s="207">
        <v>0.44569459033664316</v>
      </c>
      <c r="J166" s="207">
        <v>10098117.871911068</v>
      </c>
      <c r="K166" s="207">
        <v>0</v>
      </c>
      <c r="L166" s="207">
        <v>10098118.317605658</v>
      </c>
      <c r="M166" s="207">
        <v>0</v>
      </c>
      <c r="O166" s="207">
        <v>50804.132611100562</v>
      </c>
      <c r="P166" s="207">
        <v>50803.686916510225</v>
      </c>
    </row>
    <row r="167" spans="1:16" ht="13">
      <c r="A167" s="58" t="s">
        <v>2333</v>
      </c>
      <c r="B167" s="207"/>
      <c r="C167" s="207"/>
      <c r="D167" s="207">
        <v>-889868.03857955965</v>
      </c>
      <c r="E167" t="s">
        <v>466</v>
      </c>
      <c r="F167" s="207">
        <v>623.1</v>
      </c>
      <c r="G167" s="207">
        <v>87894</v>
      </c>
      <c r="H167" s="207">
        <v>-801350.93857955968</v>
      </c>
      <c r="I167" s="207">
        <v>-801350.93857955968</v>
      </c>
      <c r="J167" s="207">
        <v>529788.32828489854</v>
      </c>
      <c r="K167" s="207">
        <v>0</v>
      </c>
      <c r="L167" s="207">
        <v>-271562.61029466114</v>
      </c>
      <c r="M167" s="207">
        <v>0</v>
      </c>
      <c r="O167" s="207">
        <v>-375491.5707106255</v>
      </c>
      <c r="P167" s="207">
        <v>425859.36786893418</v>
      </c>
    </row>
    <row r="168" spans="1:16" ht="13">
      <c r="A168" s="58" t="s">
        <v>2331</v>
      </c>
      <c r="B168" s="207"/>
      <c r="C168" s="207"/>
      <c r="D168" s="207">
        <v>-34767.083463065974</v>
      </c>
      <c r="E168" t="s">
        <v>466</v>
      </c>
      <c r="F168" s="207">
        <v>44.4</v>
      </c>
      <c r="G168" s="207">
        <v>4827</v>
      </c>
      <c r="H168" s="207">
        <v>-29895.683463065972</v>
      </c>
      <c r="I168" s="207">
        <v>-29895.683463065972</v>
      </c>
      <c r="J168" s="207">
        <v>97331.715867805382</v>
      </c>
      <c r="K168" s="207">
        <v>0</v>
      </c>
      <c r="L168" s="207">
        <v>67436.03240473941</v>
      </c>
      <c r="M168" s="207">
        <v>0</v>
      </c>
      <c r="O168" s="207">
        <v>-26633.113799143161</v>
      </c>
      <c r="P168" s="207">
        <v>3262.5696639228117</v>
      </c>
    </row>
    <row r="169" spans="1:16" ht="13">
      <c r="A169" s="330" t="s">
        <v>2330</v>
      </c>
      <c r="B169" s="207"/>
      <c r="C169" s="207"/>
      <c r="D169" s="207">
        <v>-8717194.0810459536</v>
      </c>
      <c r="E169" t="s">
        <v>466</v>
      </c>
      <c r="F169" s="207">
        <v>1534.2</v>
      </c>
      <c r="G169" s="207">
        <v>118002</v>
      </c>
      <c r="H169" s="207">
        <v>-8597657.8810459543</v>
      </c>
      <c r="I169" s="207">
        <v>-8597657.8810459543</v>
      </c>
      <c r="J169" s="207">
        <v>1345088.0207322976</v>
      </c>
      <c r="K169" s="207">
        <v>0</v>
      </c>
      <c r="L169" s="207">
        <v>-7252569.8603136567</v>
      </c>
      <c r="M169" s="207">
        <v>0</v>
      </c>
      <c r="O169" s="207">
        <v>-8608937.0469068605</v>
      </c>
      <c r="P169" s="207">
        <v>-11279.165860906243</v>
      </c>
    </row>
    <row r="170" spans="1:16" ht="13">
      <c r="A170" s="330" t="s">
        <v>2334</v>
      </c>
      <c r="B170" s="207"/>
      <c r="C170" s="207"/>
      <c r="D170" s="207">
        <v>-1618982.5435921932</v>
      </c>
      <c r="E170" t="s">
        <v>466</v>
      </c>
      <c r="F170" s="207">
        <v>12</v>
      </c>
      <c r="G170" s="207">
        <v>1286</v>
      </c>
      <c r="H170" s="207">
        <v>-1617684.5435921932</v>
      </c>
      <c r="I170" s="207">
        <v>-1617684.5435921932</v>
      </c>
      <c r="J170" s="207">
        <v>1E-3</v>
      </c>
      <c r="K170" s="207">
        <v>0</v>
      </c>
      <c r="L170" s="207">
        <v>-1617684.5425921932</v>
      </c>
      <c r="M170" s="207">
        <v>0</v>
      </c>
      <c r="O170" s="207">
        <v>-2484569.5435921932</v>
      </c>
      <c r="P170" s="207">
        <v>-866885</v>
      </c>
    </row>
    <row r="171" spans="1:16" ht="13">
      <c r="A171" s="58" t="s">
        <v>2329</v>
      </c>
      <c r="B171" s="207"/>
      <c r="C171" s="207"/>
      <c r="D171" s="207">
        <v>163103.49656067049</v>
      </c>
      <c r="E171" t="s">
        <v>466</v>
      </c>
      <c r="F171" s="207">
        <v>1059.5999999999999</v>
      </c>
      <c r="G171" s="207">
        <v>144159</v>
      </c>
      <c r="H171" s="207">
        <v>308322.09656067053</v>
      </c>
      <c r="I171" s="207">
        <v>308322.09656067053</v>
      </c>
      <c r="J171" s="207">
        <v>834988.88268438459</v>
      </c>
      <c r="K171" s="207">
        <v>0</v>
      </c>
      <c r="L171" s="207">
        <v>1143310.979245055</v>
      </c>
      <c r="M171" s="207">
        <v>0</v>
      </c>
      <c r="O171" s="207">
        <v>308322.09656067053</v>
      </c>
      <c r="P171" s="207">
        <v>0</v>
      </c>
    </row>
    <row r="172" spans="1:16" ht="13">
      <c r="A172" s="58" t="s">
        <v>2388</v>
      </c>
      <c r="B172" s="207"/>
      <c r="C172" s="207"/>
      <c r="D172" s="207">
        <v>-2388.571397509626</v>
      </c>
      <c r="E172" t="s">
        <v>466</v>
      </c>
      <c r="F172" s="207">
        <v>19.2</v>
      </c>
      <c r="G172" s="207">
        <v>2369</v>
      </c>
      <c r="H172" s="207">
        <v>-0.37139750962614926</v>
      </c>
      <c r="I172" s="207">
        <v>-0.37139750962614926</v>
      </c>
      <c r="J172" s="207">
        <v>15073.272325385662</v>
      </c>
      <c r="K172" s="207">
        <v>0</v>
      </c>
      <c r="L172" s="207">
        <v>15072.900927876035</v>
      </c>
      <c r="M172" s="207">
        <v>0</v>
      </c>
      <c r="O172" s="207">
        <v>2222.6286024903739</v>
      </c>
      <c r="P172" s="207">
        <v>2223</v>
      </c>
    </row>
    <row r="173" spans="1:16" ht="13">
      <c r="A173" s="58" t="s">
        <v>2389</v>
      </c>
      <c r="B173" s="207"/>
      <c r="C173" s="207"/>
      <c r="D173" s="207">
        <v>-1640642.5433287187</v>
      </c>
      <c r="E173" t="s">
        <v>466</v>
      </c>
      <c r="F173" s="207">
        <v>31520.399999999998</v>
      </c>
      <c r="G173" s="207">
        <v>1609122</v>
      </c>
      <c r="H173" s="207">
        <v>-0.1433287188410759</v>
      </c>
      <c r="I173" s="207">
        <v>-0.1433287188410759</v>
      </c>
      <c r="J173" s="207">
        <v>8356298.5157797392</v>
      </c>
      <c r="K173" s="207">
        <v>1743173.2134562903</v>
      </c>
      <c r="L173" s="207">
        <v>8356298.3724510204</v>
      </c>
      <c r="M173" s="207">
        <v>1743173.2134562903</v>
      </c>
      <c r="O173" s="207">
        <v>1559620.860765815</v>
      </c>
      <c r="P173" s="207">
        <v>1559621.0040945339</v>
      </c>
    </row>
    <row r="174" spans="1:16" ht="13">
      <c r="A174" s="330" t="s">
        <v>2390</v>
      </c>
      <c r="B174" s="207"/>
      <c r="C174" s="207"/>
      <c r="D174" s="207">
        <v>-1358788.4151564834</v>
      </c>
      <c r="E174" t="s">
        <v>466</v>
      </c>
      <c r="F174" s="207">
        <v>19637.399999999998</v>
      </c>
      <c r="G174" s="207">
        <v>-441242</v>
      </c>
      <c r="H174" s="207">
        <v>-1780393.0151564833</v>
      </c>
      <c r="I174" s="207">
        <v>-1780393.0151564833</v>
      </c>
      <c r="J174" s="207">
        <v>672784.50845436449</v>
      </c>
      <c r="K174" s="207">
        <v>0</v>
      </c>
      <c r="L174" s="207">
        <v>-1107608.5067021188</v>
      </c>
      <c r="M174" s="207">
        <v>0</v>
      </c>
      <c r="O174" s="207">
        <v>-1780393.0151564833</v>
      </c>
      <c r="P174" s="207">
        <v>0</v>
      </c>
    </row>
    <row r="175" spans="1:16" ht="13">
      <c r="A175" s="58" t="s">
        <v>2324</v>
      </c>
      <c r="B175" s="207"/>
      <c r="C175" s="207"/>
      <c r="D175" s="207">
        <v>-1526282.0234021726</v>
      </c>
      <c r="E175" t="s">
        <v>466</v>
      </c>
      <c r="F175" s="207">
        <v>11713.199999999999</v>
      </c>
      <c r="G175" s="207">
        <v>1514569</v>
      </c>
      <c r="H175" s="207">
        <v>0.17659782734699547</v>
      </c>
      <c r="I175" s="207">
        <v>0.17659782734699547</v>
      </c>
      <c r="J175" s="207">
        <v>9962248.5948048923</v>
      </c>
      <c r="K175" s="207">
        <v>0</v>
      </c>
      <c r="L175" s="207">
        <v>9962248.7714027204</v>
      </c>
      <c r="M175" s="207">
        <v>0</v>
      </c>
      <c r="O175" s="207">
        <v>1589191.1765978273</v>
      </c>
      <c r="P175" s="207">
        <v>1589191</v>
      </c>
    </row>
    <row r="176" spans="1:16" ht="13">
      <c r="A176" s="330" t="s">
        <v>2391</v>
      </c>
      <c r="B176" s="207"/>
      <c r="C176" s="207"/>
      <c r="D176" s="207">
        <v>-56429.294290748738</v>
      </c>
      <c r="E176" t="s">
        <v>466</v>
      </c>
      <c r="F176" s="207">
        <v>0</v>
      </c>
      <c r="G176" s="207">
        <v>0</v>
      </c>
      <c r="H176" s="207">
        <v>-56429.294290748738</v>
      </c>
      <c r="I176" s="207">
        <v>-56429.294290748738</v>
      </c>
      <c r="J176" s="207">
        <v>1E-3</v>
      </c>
      <c r="K176" s="207">
        <v>0</v>
      </c>
      <c r="L176" s="207">
        <v>-56429.293290748741</v>
      </c>
      <c r="M176" s="207">
        <v>0</v>
      </c>
      <c r="O176" s="207">
        <v>-56429.294290748738</v>
      </c>
      <c r="P176" s="207">
        <v>0</v>
      </c>
    </row>
    <row r="177" spans="1:16" ht="13">
      <c r="A177" s="58" t="s">
        <v>2392</v>
      </c>
      <c r="B177" s="207"/>
      <c r="C177" s="207"/>
      <c r="D177" s="207">
        <v>-662969.0921595227</v>
      </c>
      <c r="E177" t="s">
        <v>466</v>
      </c>
      <c r="F177" s="207">
        <v>14058.9</v>
      </c>
      <c r="G177" s="207">
        <v>24935</v>
      </c>
      <c r="H177" s="207">
        <v>-623975.19215952267</v>
      </c>
      <c r="I177" s="207">
        <v>-623975.19215952267</v>
      </c>
      <c r="J177" s="207">
        <v>636690.95411021146</v>
      </c>
      <c r="K177" s="207">
        <v>0</v>
      </c>
      <c r="L177" s="207">
        <v>12715.761950688786</v>
      </c>
      <c r="M177" s="207">
        <v>0</v>
      </c>
      <c r="O177" s="207">
        <v>-623975.19215952267</v>
      </c>
      <c r="P177" s="207">
        <v>0</v>
      </c>
    </row>
    <row r="178" spans="1:16" ht="13">
      <c r="A178" s="330" t="s">
        <v>2387</v>
      </c>
      <c r="B178" s="207"/>
      <c r="C178" s="207"/>
      <c r="D178" s="207">
        <v>-5496.8921209898381</v>
      </c>
      <c r="E178" t="s">
        <v>466</v>
      </c>
      <c r="F178" s="207">
        <v>18.3</v>
      </c>
      <c r="G178" s="207">
        <v>2149</v>
      </c>
      <c r="H178" s="207">
        <v>-3329.5921209898379</v>
      </c>
      <c r="I178" s="207">
        <v>-3329.5921209898379</v>
      </c>
      <c r="J178" s="207">
        <v>1E-3</v>
      </c>
      <c r="K178" s="207">
        <v>0</v>
      </c>
      <c r="L178" s="207">
        <v>-3329.5911209898377</v>
      </c>
      <c r="M178" s="207">
        <v>0</v>
      </c>
      <c r="O178" s="207">
        <v>-3329.5921209898379</v>
      </c>
      <c r="P178" s="207">
        <v>0</v>
      </c>
    </row>
    <row r="179" spans="1:16" ht="13">
      <c r="A179" s="330" t="s">
        <v>2565</v>
      </c>
      <c r="B179" s="207"/>
      <c r="C179" s="207"/>
      <c r="D179" s="207">
        <v>-4077870.9863623991</v>
      </c>
      <c r="E179" t="s">
        <v>466</v>
      </c>
      <c r="F179" s="207">
        <v>287.39999999999998</v>
      </c>
      <c r="G179" s="207">
        <v>32997</v>
      </c>
      <c r="H179" s="207">
        <v>-4044586.5863623992</v>
      </c>
      <c r="I179" s="207">
        <v>-4044586.5863623992</v>
      </c>
      <c r="J179" s="207">
        <v>286707.38854915067</v>
      </c>
      <c r="K179" s="207">
        <v>0</v>
      </c>
      <c r="L179" s="207">
        <v>-3757879.1978132483</v>
      </c>
      <c r="M179" s="207">
        <v>0</v>
      </c>
      <c r="O179" s="207">
        <v>-5256563.632553475</v>
      </c>
      <c r="P179" s="207">
        <v>-1211977.0461910758</v>
      </c>
    </row>
    <row r="180" spans="1:16" ht="13">
      <c r="A180" s="58" t="s">
        <v>2560</v>
      </c>
      <c r="B180" s="207"/>
      <c r="C180" s="207"/>
      <c r="D180" s="207">
        <v>-6147.4937928038235</v>
      </c>
      <c r="E180" t="s">
        <v>466</v>
      </c>
      <c r="F180" s="207">
        <v>43.5</v>
      </c>
      <c r="G180" s="207">
        <v>5334</v>
      </c>
      <c r="H180" s="207">
        <v>-769.99379280382345</v>
      </c>
      <c r="I180" s="207">
        <v>-769.99379280382345</v>
      </c>
      <c r="J180" s="207">
        <v>48763.327090749706</v>
      </c>
      <c r="K180" s="207">
        <v>0</v>
      </c>
      <c r="L180" s="207">
        <v>47993.333297945879</v>
      </c>
      <c r="M180" s="207">
        <v>0</v>
      </c>
      <c r="O180" s="207">
        <v>-769.99379280382345</v>
      </c>
      <c r="P180" s="207">
        <v>0</v>
      </c>
    </row>
    <row r="181" spans="1:16" ht="13">
      <c r="A181" s="330" t="s">
        <v>2561</v>
      </c>
      <c r="B181" s="207"/>
      <c r="C181" s="207"/>
      <c r="D181" s="207">
        <v>-167215.23500456824</v>
      </c>
      <c r="E181" t="s">
        <v>466</v>
      </c>
      <c r="F181" s="207">
        <v>91.5</v>
      </c>
      <c r="G181" s="207">
        <v>10146</v>
      </c>
      <c r="H181" s="207">
        <v>-156977.73500456824</v>
      </c>
      <c r="I181" s="207">
        <v>-156977.73500456824</v>
      </c>
      <c r="J181" s="207">
        <v>72196.256706677392</v>
      </c>
      <c r="K181" s="207">
        <v>183822.77669161707</v>
      </c>
      <c r="L181" s="207">
        <v>-84781.478297890848</v>
      </c>
      <c r="M181" s="207">
        <v>183822.77669161707</v>
      </c>
      <c r="O181" s="207">
        <v>-156977.73500456824</v>
      </c>
      <c r="P181" s="207">
        <v>0</v>
      </c>
    </row>
    <row r="182" spans="1:16" ht="13">
      <c r="A182" s="58" t="s">
        <v>2562</v>
      </c>
      <c r="B182" s="207"/>
      <c r="C182" s="207"/>
      <c r="D182" s="207">
        <v>-2575768.0398043138</v>
      </c>
      <c r="E182" t="s">
        <v>466</v>
      </c>
      <c r="F182" s="207">
        <v>13501.8</v>
      </c>
      <c r="G182" s="207">
        <v>1703802</v>
      </c>
      <c r="H182" s="207">
        <v>-858464.23980431375</v>
      </c>
      <c r="I182" s="207">
        <v>-858464.23980431375</v>
      </c>
      <c r="J182" s="207">
        <v>14429263.091746662</v>
      </c>
      <c r="K182" s="207">
        <v>0</v>
      </c>
      <c r="L182" s="207">
        <v>13570798.851942347</v>
      </c>
      <c r="M182" s="207">
        <v>0</v>
      </c>
      <c r="O182" s="207">
        <v>94233.968287869589</v>
      </c>
      <c r="P182" s="207">
        <v>952698.20809218334</v>
      </c>
    </row>
    <row r="183" spans="1:16" ht="13">
      <c r="A183" s="58" t="s">
        <v>2563</v>
      </c>
      <c r="B183" s="207"/>
      <c r="C183" s="207"/>
      <c r="D183" s="207">
        <v>-465409.31350873306</v>
      </c>
      <c r="E183" t="s">
        <v>466</v>
      </c>
      <c r="F183" s="207">
        <v>1856.1</v>
      </c>
      <c r="G183" s="207">
        <v>237392</v>
      </c>
      <c r="H183" s="207">
        <v>-226161.21350873305</v>
      </c>
      <c r="I183" s="207">
        <v>-226161.21350873305</v>
      </c>
      <c r="J183" s="207">
        <v>1501489.4945433254</v>
      </c>
      <c r="K183" s="207">
        <v>4129132.0354696852</v>
      </c>
      <c r="L183" s="207">
        <v>1275328.2810345923</v>
      </c>
      <c r="M183" s="207">
        <v>4129132.0354696852</v>
      </c>
      <c r="O183" s="207">
        <v>-226161.21350873305</v>
      </c>
      <c r="P183" s="207">
        <v>0</v>
      </c>
    </row>
    <row r="184" spans="1:16" ht="13">
      <c r="A184" s="330" t="s">
        <v>2558</v>
      </c>
      <c r="B184" s="207"/>
      <c r="C184" s="207"/>
      <c r="D184" s="207">
        <v>-29473.599999999977</v>
      </c>
      <c r="E184" t="s">
        <v>466</v>
      </c>
      <c r="F184" s="207">
        <v>594.6</v>
      </c>
      <c r="G184" s="207">
        <v>28879</v>
      </c>
      <c r="H184" s="207">
        <v>0</v>
      </c>
      <c r="I184" s="207">
        <v>0</v>
      </c>
      <c r="J184" s="207">
        <v>0</v>
      </c>
      <c r="K184" s="207">
        <v>0</v>
      </c>
      <c r="L184" s="207">
        <v>0</v>
      </c>
      <c r="M184" s="207">
        <v>0</v>
      </c>
      <c r="O184" s="207">
        <v>-425859.36786893418</v>
      </c>
      <c r="P184" s="207">
        <v>-425859.36786893418</v>
      </c>
    </row>
    <row r="185" spans="1:16" ht="13">
      <c r="A185" s="330" t="s">
        <v>2564</v>
      </c>
      <c r="B185" s="207"/>
      <c r="C185" s="207"/>
      <c r="D185" s="207">
        <v>-1004302.7329608421</v>
      </c>
      <c r="E185" t="s">
        <v>466</v>
      </c>
      <c r="F185" s="207">
        <v>371.4</v>
      </c>
      <c r="G185" s="207">
        <v>2818</v>
      </c>
      <c r="H185" s="207">
        <v>-1001113.3329608421</v>
      </c>
      <c r="I185" s="207">
        <v>-1001113.3329608421</v>
      </c>
      <c r="J185" s="207">
        <v>706585.22248078254</v>
      </c>
      <c r="K185" s="207">
        <v>460876.97123579431</v>
      </c>
      <c r="L185" s="207">
        <v>-294528.11048005952</v>
      </c>
      <c r="M185" s="207">
        <v>460876.97123579431</v>
      </c>
      <c r="O185" s="207">
        <v>-1001113.3329608421</v>
      </c>
      <c r="P185" s="207">
        <v>0</v>
      </c>
    </row>
    <row r="186" spans="1:16" ht="13">
      <c r="A186" s="58" t="s">
        <v>2314</v>
      </c>
      <c r="B186" s="207"/>
      <c r="C186" s="207"/>
      <c r="D186" s="207">
        <v>-217710.65189919053</v>
      </c>
      <c r="E186" t="s">
        <v>466</v>
      </c>
      <c r="F186" s="207">
        <v>1690.2</v>
      </c>
      <c r="G186" s="207">
        <v>216020</v>
      </c>
      <c r="H186" s="207">
        <v>-0.45189919052063487</v>
      </c>
      <c r="I186" s="207">
        <v>-0.45189919052063487</v>
      </c>
      <c r="J186" s="207">
        <v>2253219.2174758147</v>
      </c>
      <c r="K186" s="207">
        <v>4054680.4356833296</v>
      </c>
      <c r="L186" s="207">
        <v>2253218.7655766243</v>
      </c>
      <c r="M186" s="207">
        <v>4054680.4356833296</v>
      </c>
      <c r="O186" s="207">
        <v>529.3738010309753</v>
      </c>
      <c r="P186" s="207">
        <v>529.82570022149594</v>
      </c>
    </row>
    <row r="187" spans="1:16" ht="13">
      <c r="A187" s="58" t="s">
        <v>2601</v>
      </c>
      <c r="B187" s="207"/>
      <c r="C187" s="207"/>
      <c r="D187" s="207">
        <v>-82701.461253130954</v>
      </c>
      <c r="E187" t="s">
        <v>466</v>
      </c>
      <c r="F187" s="207">
        <v>618</v>
      </c>
      <c r="G187" s="207">
        <v>82083</v>
      </c>
      <c r="H187" s="207">
        <v>-0.46125313095399179</v>
      </c>
      <c r="I187" s="207">
        <v>-0.46125313095399179</v>
      </c>
      <c r="J187" s="207">
        <v>487076.84823255765</v>
      </c>
      <c r="K187" s="207">
        <v>0</v>
      </c>
      <c r="L187" s="207">
        <v>487076.38697942672</v>
      </c>
      <c r="M187" s="207">
        <v>0</v>
      </c>
      <c r="O187" s="207">
        <v>4123.538746869046</v>
      </c>
      <c r="P187" s="207">
        <v>4124</v>
      </c>
    </row>
    <row r="188" spans="1:16" ht="13">
      <c r="A188" s="330" t="s">
        <v>2602</v>
      </c>
      <c r="B188" s="207"/>
      <c r="C188" s="207"/>
      <c r="D188" s="207">
        <v>377</v>
      </c>
      <c r="E188" t="s">
        <v>466</v>
      </c>
      <c r="F188" s="207">
        <v>0</v>
      </c>
      <c r="G188" s="207">
        <v>-377</v>
      </c>
      <c r="H188" s="207">
        <v>0</v>
      </c>
      <c r="I188" s="207">
        <v>0</v>
      </c>
      <c r="J188" s="207">
        <v>0</v>
      </c>
      <c r="K188" s="207">
        <v>0</v>
      </c>
      <c r="L188" s="207">
        <v>0</v>
      </c>
      <c r="M188" s="207">
        <v>0</v>
      </c>
      <c r="O188" s="207">
        <v>-3262.5696639228117</v>
      </c>
      <c r="P188" s="207">
        <v>-3262.5696639228117</v>
      </c>
    </row>
    <row r="189" spans="1:16" ht="13">
      <c r="A189" s="330" t="s">
        <v>2556</v>
      </c>
      <c r="B189" s="207"/>
      <c r="C189" s="207"/>
      <c r="D189" s="207">
        <v>-8816433.209706258</v>
      </c>
      <c r="E189" t="s">
        <v>466</v>
      </c>
      <c r="F189" s="207">
        <v>215168.69999999998</v>
      </c>
      <c r="G189" s="207">
        <v>-1018512</v>
      </c>
      <c r="H189" s="207">
        <v>-9619776.5097062588</v>
      </c>
      <c r="I189" s="207">
        <v>-9619776.5097062588</v>
      </c>
      <c r="J189" s="207">
        <v>9240485.7552966997</v>
      </c>
      <c r="K189" s="207">
        <v>0</v>
      </c>
      <c r="L189" s="207">
        <v>-379290.75440955907</v>
      </c>
      <c r="M189" s="207">
        <v>0</v>
      </c>
      <c r="O189" s="207">
        <v>-9620669.9599791188</v>
      </c>
      <c r="P189" s="207">
        <v>-893.4502728600055</v>
      </c>
    </row>
    <row r="190" spans="1:16" ht="13">
      <c r="A190" s="330" t="s">
        <v>2557</v>
      </c>
      <c r="B190" s="207"/>
      <c r="C190" s="207"/>
      <c r="D190" s="207">
        <v>-44095371.214891195</v>
      </c>
      <c r="E190" t="s">
        <v>466</v>
      </c>
      <c r="F190" s="207">
        <v>114296.09999999999</v>
      </c>
      <c r="G190" s="207">
        <v>717136</v>
      </c>
      <c r="H190" s="207">
        <v>-43263939.114891194</v>
      </c>
      <c r="I190" s="207">
        <v>-43263939.114891194</v>
      </c>
      <c r="J190" s="207">
        <v>17429645.819865275</v>
      </c>
      <c r="K190" s="207">
        <v>0</v>
      </c>
      <c r="L190" s="207">
        <v>-25834293.295025919</v>
      </c>
      <c r="M190" s="207">
        <v>0</v>
      </c>
      <c r="O190" s="207">
        <v>-49382121.827440329</v>
      </c>
      <c r="P190" s="207">
        <v>-6118182.7125491351</v>
      </c>
    </row>
    <row r="191" spans="1:16" ht="13">
      <c r="A191" s="58" t="s">
        <v>2600</v>
      </c>
      <c r="B191" s="207"/>
      <c r="C191" s="207"/>
      <c r="D191" s="207">
        <v>0</v>
      </c>
      <c r="E191" t="s">
        <v>466</v>
      </c>
      <c r="F191" s="207">
        <v>0</v>
      </c>
      <c r="G191" s="207">
        <v>0</v>
      </c>
      <c r="H191" s="207">
        <v>0</v>
      </c>
      <c r="I191" s="207">
        <v>0</v>
      </c>
      <c r="J191" s="207">
        <v>0</v>
      </c>
      <c r="K191" s="207">
        <v>0</v>
      </c>
      <c r="L191" s="207">
        <v>0</v>
      </c>
      <c r="M191" s="207">
        <v>0</v>
      </c>
      <c r="O191" s="207">
        <v>0</v>
      </c>
      <c r="P191" s="207">
        <v>0</v>
      </c>
    </row>
    <row r="192" spans="1:16" ht="13">
      <c r="A192" s="58" t="s">
        <v>2598</v>
      </c>
      <c r="B192" s="207"/>
      <c r="C192" s="207"/>
      <c r="D192" s="207">
        <v>0</v>
      </c>
      <c r="E192" t="s">
        <v>466</v>
      </c>
      <c r="F192" s="207">
        <v>0</v>
      </c>
      <c r="G192" s="207">
        <v>0</v>
      </c>
      <c r="H192" s="207">
        <v>0</v>
      </c>
      <c r="I192" s="207">
        <v>0</v>
      </c>
      <c r="J192" s="207">
        <v>0</v>
      </c>
      <c r="K192" s="207">
        <v>0</v>
      </c>
      <c r="L192" s="207">
        <v>0</v>
      </c>
      <c r="M192" s="207">
        <v>0</v>
      </c>
      <c r="O192" s="207">
        <v>0</v>
      </c>
      <c r="P192" s="207">
        <v>0</v>
      </c>
    </row>
    <row r="193" spans="1:16" ht="13">
      <c r="A193" s="330" t="s">
        <v>2599</v>
      </c>
      <c r="B193" s="207"/>
      <c r="C193" s="207"/>
      <c r="D193" s="207">
        <v>0</v>
      </c>
      <c r="E193" t="s">
        <v>466</v>
      </c>
      <c r="F193" s="207">
        <v>0</v>
      </c>
      <c r="G193" s="207">
        <v>0</v>
      </c>
      <c r="H193" s="207">
        <v>0</v>
      </c>
      <c r="I193" s="207">
        <v>0</v>
      </c>
      <c r="J193" s="207">
        <v>0</v>
      </c>
      <c r="K193" s="207">
        <v>0</v>
      </c>
      <c r="L193" s="207">
        <v>0</v>
      </c>
      <c r="M193" s="207">
        <v>0</v>
      </c>
      <c r="O193" s="207">
        <v>-209.48343906631433</v>
      </c>
      <c r="P193" s="207">
        <v>-209.48343906631433</v>
      </c>
    </row>
    <row r="194" spans="1:16" ht="13">
      <c r="A194" s="58" t="s">
        <v>2757</v>
      </c>
      <c r="B194" s="207"/>
      <c r="C194" s="207"/>
      <c r="D194" s="207">
        <v>0</v>
      </c>
      <c r="E194" t="s">
        <v>466</v>
      </c>
      <c r="F194" s="207">
        <v>0</v>
      </c>
      <c r="G194" s="207">
        <v>0</v>
      </c>
      <c r="H194" s="207">
        <v>0</v>
      </c>
      <c r="I194" s="207">
        <v>0</v>
      </c>
      <c r="J194" s="207">
        <v>1E-3</v>
      </c>
      <c r="K194" s="207">
        <v>0</v>
      </c>
      <c r="L194" s="207">
        <v>1E-3</v>
      </c>
      <c r="M194" s="207">
        <v>0</v>
      </c>
      <c r="O194" s="207">
        <v>0</v>
      </c>
      <c r="P194" s="207">
        <v>0</v>
      </c>
    </row>
    <row r="195" spans="1:16" ht="13">
      <c r="A195" s="58" t="s">
        <v>2758</v>
      </c>
      <c r="B195" s="207"/>
      <c r="C195" s="207"/>
      <c r="D195" s="207">
        <v>0</v>
      </c>
      <c r="E195" t="s">
        <v>466</v>
      </c>
      <c r="F195" s="207">
        <v>0</v>
      </c>
      <c r="G195" s="207">
        <v>0</v>
      </c>
      <c r="H195" s="207">
        <v>0</v>
      </c>
      <c r="I195" s="207">
        <v>0</v>
      </c>
      <c r="J195" s="207">
        <v>0</v>
      </c>
      <c r="K195" s="207">
        <v>0</v>
      </c>
      <c r="L195" s="207">
        <v>0</v>
      </c>
      <c r="M195" s="207">
        <v>0</v>
      </c>
      <c r="O195" s="207">
        <v>0</v>
      </c>
      <c r="P195" s="207">
        <v>0</v>
      </c>
    </row>
    <row r="196" spans="1:16" ht="13">
      <c r="A196" s="58" t="s">
        <v>2759</v>
      </c>
      <c r="B196" s="207"/>
      <c r="C196" s="207"/>
      <c r="D196" s="207">
        <v>0</v>
      </c>
      <c r="E196" t="s">
        <v>466</v>
      </c>
      <c r="F196" s="207">
        <v>0</v>
      </c>
      <c r="G196" s="207">
        <v>0</v>
      </c>
      <c r="H196" s="207">
        <v>0</v>
      </c>
      <c r="I196" s="207">
        <v>0</v>
      </c>
      <c r="J196" s="207">
        <v>0</v>
      </c>
      <c r="K196" s="207">
        <v>0</v>
      </c>
      <c r="L196" s="207">
        <v>0</v>
      </c>
      <c r="M196" s="207">
        <v>0</v>
      </c>
      <c r="O196" s="207">
        <v>0</v>
      </c>
      <c r="P196" s="207">
        <v>0</v>
      </c>
    </row>
    <row r="197" spans="1:16" ht="13">
      <c r="A197" s="58" t="s">
        <v>2312</v>
      </c>
      <c r="B197" s="207"/>
      <c r="C197" s="207"/>
      <c r="D197" s="207">
        <v>-1931212.5199359509</v>
      </c>
      <c r="E197" t="s">
        <v>466</v>
      </c>
      <c r="F197" s="207">
        <v>32707.5</v>
      </c>
      <c r="G197" s="207">
        <v>1898505</v>
      </c>
      <c r="H197" s="207">
        <v>-1.9935950869694352E-2</v>
      </c>
      <c r="I197" s="207">
        <v>-1.9935950869694352E-2</v>
      </c>
      <c r="J197" s="207">
        <v>8792971.074874375</v>
      </c>
      <c r="K197" s="207">
        <v>0</v>
      </c>
      <c r="L197" s="207">
        <v>8792971.0549384244</v>
      </c>
      <c r="M197" s="207">
        <v>0</v>
      </c>
      <c r="O197" s="207">
        <v>1599046.9800640491</v>
      </c>
      <c r="P197" s="207">
        <v>1599047</v>
      </c>
    </row>
    <row r="198" spans="1:16" ht="13">
      <c r="A198" s="58" t="s">
        <v>2760</v>
      </c>
      <c r="B198" s="207"/>
      <c r="C198" s="207"/>
      <c r="D198" s="207">
        <v>0</v>
      </c>
      <c r="E198" t="s">
        <v>466</v>
      </c>
      <c r="F198" s="207">
        <v>0</v>
      </c>
      <c r="G198" s="207">
        <v>0</v>
      </c>
      <c r="H198" s="207">
        <v>0</v>
      </c>
      <c r="I198" s="207">
        <v>0</v>
      </c>
      <c r="J198" s="207">
        <v>0</v>
      </c>
      <c r="K198" s="207">
        <v>0</v>
      </c>
      <c r="L198" s="207">
        <v>0</v>
      </c>
      <c r="M198" s="207">
        <v>0</v>
      </c>
      <c r="O198" s="207">
        <v>0</v>
      </c>
      <c r="P198" s="207">
        <v>0</v>
      </c>
    </row>
    <row r="199" spans="1:16" ht="13">
      <c r="A199" s="58" t="s">
        <v>2761</v>
      </c>
      <c r="B199" s="207"/>
      <c r="C199" s="207"/>
      <c r="D199" s="207">
        <v>0</v>
      </c>
      <c r="E199" t="s">
        <v>466</v>
      </c>
      <c r="F199" s="207">
        <v>0</v>
      </c>
      <c r="G199" s="207">
        <v>0</v>
      </c>
      <c r="H199" s="207">
        <v>0</v>
      </c>
      <c r="I199" s="207">
        <v>0</v>
      </c>
      <c r="J199" s="207">
        <v>0</v>
      </c>
      <c r="K199" s="207">
        <v>0</v>
      </c>
      <c r="L199" s="207">
        <v>0</v>
      </c>
      <c r="M199" s="207">
        <v>0</v>
      </c>
      <c r="O199" s="207">
        <v>0</v>
      </c>
      <c r="P199" s="207">
        <v>0</v>
      </c>
    </row>
    <row r="200" spans="1:16" ht="13">
      <c r="A200" s="58" t="s">
        <v>2762</v>
      </c>
      <c r="B200" s="207"/>
      <c r="C200" s="207"/>
      <c r="D200" s="207">
        <v>0</v>
      </c>
      <c r="E200" t="s">
        <v>466</v>
      </c>
      <c r="F200" s="207">
        <v>0</v>
      </c>
      <c r="G200" s="207">
        <v>0</v>
      </c>
      <c r="H200" s="207">
        <v>0</v>
      </c>
      <c r="I200" s="207">
        <v>0</v>
      </c>
      <c r="J200" s="207">
        <v>0</v>
      </c>
      <c r="K200" s="207">
        <v>0</v>
      </c>
      <c r="L200" s="207">
        <v>0</v>
      </c>
      <c r="M200" s="207">
        <v>0</v>
      </c>
      <c r="O200" s="207">
        <v>0</v>
      </c>
      <c r="P200" s="207">
        <v>0</v>
      </c>
    </row>
    <row r="201" spans="1:16" ht="13">
      <c r="A201" s="58" t="s">
        <v>2763</v>
      </c>
      <c r="B201" s="207"/>
      <c r="C201" s="207"/>
      <c r="D201" s="207">
        <v>0</v>
      </c>
      <c r="E201" t="s">
        <v>466</v>
      </c>
      <c r="F201" s="207">
        <v>0</v>
      </c>
      <c r="G201" s="207">
        <v>0</v>
      </c>
      <c r="H201" s="207">
        <v>0</v>
      </c>
      <c r="I201" s="207">
        <v>0</v>
      </c>
      <c r="J201" s="207">
        <v>0</v>
      </c>
      <c r="K201" s="207">
        <v>0</v>
      </c>
      <c r="L201" s="207">
        <v>0</v>
      </c>
      <c r="M201" s="207">
        <v>0</v>
      </c>
      <c r="O201" s="207">
        <v>0</v>
      </c>
      <c r="P201" s="207">
        <v>0</v>
      </c>
    </row>
    <row r="202" spans="1:16" ht="13">
      <c r="A202" s="58" t="s">
        <v>2764</v>
      </c>
      <c r="B202" s="207"/>
      <c r="C202" s="207"/>
      <c r="D202" s="207">
        <v>0</v>
      </c>
      <c r="E202" t="s">
        <v>466</v>
      </c>
      <c r="F202" s="207">
        <v>0</v>
      </c>
      <c r="G202" s="207">
        <v>0</v>
      </c>
      <c r="H202" s="207">
        <v>0</v>
      </c>
      <c r="I202" s="207">
        <v>0</v>
      </c>
      <c r="J202" s="207">
        <v>0</v>
      </c>
      <c r="K202" s="207">
        <v>0</v>
      </c>
      <c r="L202" s="207">
        <v>0</v>
      </c>
      <c r="M202" s="207">
        <v>0</v>
      </c>
      <c r="O202" s="207">
        <v>0</v>
      </c>
      <c r="P202" s="207">
        <v>0</v>
      </c>
    </row>
    <row r="203" spans="1:16" ht="13">
      <c r="A203" s="58" t="s">
        <v>2766</v>
      </c>
      <c r="B203" s="207"/>
      <c r="C203" s="207"/>
      <c r="D203" s="207">
        <v>0</v>
      </c>
      <c r="E203" t="s">
        <v>466</v>
      </c>
      <c r="F203" s="207">
        <v>0</v>
      </c>
      <c r="G203" s="207">
        <v>0</v>
      </c>
      <c r="H203" s="207">
        <v>0</v>
      </c>
      <c r="I203" s="207">
        <v>0</v>
      </c>
      <c r="J203" s="207">
        <v>0</v>
      </c>
      <c r="K203" s="207">
        <v>0</v>
      </c>
      <c r="L203" s="207">
        <v>0</v>
      </c>
      <c r="M203" s="207">
        <v>0</v>
      </c>
      <c r="O203" s="207">
        <v>0</v>
      </c>
      <c r="P203" s="207">
        <v>0</v>
      </c>
    </row>
    <row r="204" spans="1:16" ht="13">
      <c r="A204" s="58" t="s">
        <v>2768</v>
      </c>
      <c r="B204" s="207"/>
      <c r="C204" s="207"/>
      <c r="D204" s="207">
        <v>0</v>
      </c>
      <c r="E204" t="s">
        <v>466</v>
      </c>
      <c r="F204" s="207">
        <v>0</v>
      </c>
      <c r="G204" s="207">
        <v>0</v>
      </c>
      <c r="H204" s="207">
        <v>0</v>
      </c>
      <c r="I204" s="207">
        <v>0</v>
      </c>
      <c r="J204" s="207">
        <v>0</v>
      </c>
      <c r="K204" s="207">
        <v>0</v>
      </c>
      <c r="L204" s="207">
        <v>0</v>
      </c>
      <c r="M204" s="207">
        <v>0</v>
      </c>
      <c r="O204" s="207">
        <v>0</v>
      </c>
      <c r="P204" s="207">
        <v>0</v>
      </c>
    </row>
    <row r="205" spans="1:16" ht="13">
      <c r="A205" s="58" t="s">
        <v>2770</v>
      </c>
      <c r="B205" s="207"/>
      <c r="C205" s="207"/>
      <c r="D205" s="207">
        <v>0</v>
      </c>
      <c r="E205" t="s">
        <v>466</v>
      </c>
      <c r="F205" s="207">
        <v>0</v>
      </c>
      <c r="G205" s="207">
        <v>0</v>
      </c>
      <c r="H205" s="207">
        <v>0</v>
      </c>
      <c r="I205" s="207">
        <v>0</v>
      </c>
      <c r="J205" s="207">
        <v>0</v>
      </c>
      <c r="K205" s="207">
        <v>0</v>
      </c>
      <c r="L205" s="207">
        <v>0</v>
      </c>
      <c r="M205" s="207">
        <v>0</v>
      </c>
      <c r="O205" s="207">
        <v>0</v>
      </c>
      <c r="P205" s="207">
        <v>0</v>
      </c>
    </row>
    <row r="206" spans="1:16" ht="13">
      <c r="A206" s="58" t="s">
        <v>2772</v>
      </c>
      <c r="B206" s="207"/>
      <c r="C206" s="207"/>
      <c r="D206" s="207">
        <v>0</v>
      </c>
      <c r="E206" t="s">
        <v>466</v>
      </c>
      <c r="F206" s="207">
        <v>0</v>
      </c>
      <c r="G206" s="207">
        <v>0</v>
      </c>
      <c r="H206" s="207">
        <v>0</v>
      </c>
      <c r="I206" s="207">
        <v>0</v>
      </c>
      <c r="J206" s="207">
        <v>0</v>
      </c>
      <c r="K206" s="207">
        <v>0</v>
      </c>
      <c r="L206" s="207">
        <v>0</v>
      </c>
      <c r="M206" s="207">
        <v>0</v>
      </c>
      <c r="O206" s="207">
        <v>0</v>
      </c>
      <c r="P206" s="207">
        <v>0</v>
      </c>
    </row>
    <row r="207" spans="1:16" ht="13">
      <c r="A207" s="58" t="s">
        <v>2774</v>
      </c>
      <c r="B207" s="207"/>
      <c r="C207" s="207"/>
      <c r="D207" s="207">
        <v>0</v>
      </c>
      <c r="E207" t="s">
        <v>466</v>
      </c>
      <c r="F207" s="207">
        <v>0</v>
      </c>
      <c r="G207" s="207">
        <v>0</v>
      </c>
      <c r="H207" s="207">
        <v>0</v>
      </c>
      <c r="I207" s="207">
        <v>0</v>
      </c>
      <c r="J207" s="207">
        <v>0</v>
      </c>
      <c r="K207" s="207">
        <v>0</v>
      </c>
      <c r="L207" s="207">
        <v>0</v>
      </c>
      <c r="M207" s="207">
        <v>0</v>
      </c>
      <c r="O207" s="207">
        <v>0</v>
      </c>
      <c r="P207" s="207">
        <v>0</v>
      </c>
    </row>
    <row r="208" spans="1:16" ht="13">
      <c r="A208" s="58" t="s">
        <v>2310</v>
      </c>
      <c r="B208" s="207"/>
      <c r="C208" s="207"/>
      <c r="D208" s="207">
        <v>-985426.60028413078</v>
      </c>
      <c r="E208" t="s">
        <v>466</v>
      </c>
      <c r="F208" s="207">
        <v>24782.1</v>
      </c>
      <c r="G208" s="207">
        <v>-16050</v>
      </c>
      <c r="H208" s="207">
        <v>-976694.5002841308</v>
      </c>
      <c r="I208" s="207">
        <v>-976694.5002841308</v>
      </c>
      <c r="J208" s="207">
        <v>1437589.3880080003</v>
      </c>
      <c r="K208" s="207">
        <v>0</v>
      </c>
      <c r="L208" s="207">
        <v>460894.88772386953</v>
      </c>
      <c r="M208" s="207">
        <v>0</v>
      </c>
      <c r="O208" s="207">
        <v>-986112.84749558626</v>
      </c>
      <c r="P208" s="207">
        <v>-9418.3472114554606</v>
      </c>
    </row>
    <row r="209" spans="1:16" ht="13">
      <c r="A209" s="58" t="s">
        <v>2776</v>
      </c>
      <c r="B209" s="207"/>
      <c r="C209" s="207"/>
      <c r="D209" s="207">
        <v>0</v>
      </c>
      <c r="E209" t="s">
        <v>466</v>
      </c>
      <c r="F209" s="207">
        <v>0</v>
      </c>
      <c r="G209" s="207">
        <v>0</v>
      </c>
      <c r="H209" s="207">
        <v>0</v>
      </c>
      <c r="I209" s="207">
        <v>0</v>
      </c>
      <c r="J209" s="207">
        <v>0</v>
      </c>
      <c r="K209" s="207">
        <v>0</v>
      </c>
      <c r="L209" s="207">
        <v>0</v>
      </c>
      <c r="M209" s="207">
        <v>0</v>
      </c>
      <c r="O209" s="207">
        <v>0</v>
      </c>
      <c r="P209" s="207">
        <v>0</v>
      </c>
    </row>
    <row r="210" spans="1:16" ht="13">
      <c r="A210" s="58" t="s">
        <v>2325</v>
      </c>
      <c r="B210" s="207"/>
      <c r="C210" s="207"/>
      <c r="D210" s="207">
        <v>-2263392.4503220376</v>
      </c>
      <c r="E210" t="s">
        <v>466</v>
      </c>
      <c r="F210" s="207">
        <v>60639</v>
      </c>
      <c r="G210" s="207">
        <v>2202753</v>
      </c>
      <c r="H210" s="207">
        <v>-0.45032203756272793</v>
      </c>
      <c r="I210" s="207">
        <v>-0.45032203756272793</v>
      </c>
      <c r="J210" s="207">
        <v>21451046.094580017</v>
      </c>
      <c r="K210" s="207">
        <v>0</v>
      </c>
      <c r="L210" s="207">
        <v>21451045.644257978</v>
      </c>
      <c r="M210" s="207">
        <v>0</v>
      </c>
      <c r="O210" s="207">
        <v>1193113.5496779622</v>
      </c>
      <c r="P210" s="207">
        <v>1193113.9999999998</v>
      </c>
    </row>
    <row r="211" spans="1:16" ht="13">
      <c r="A211" s="330" t="s">
        <v>2323</v>
      </c>
      <c r="B211" s="207"/>
      <c r="C211" s="207"/>
      <c r="D211" s="207">
        <v>-3046867.942411765</v>
      </c>
      <c r="E211" t="s">
        <v>466</v>
      </c>
      <c r="F211" s="207">
        <v>6269.4</v>
      </c>
      <c r="G211" s="207">
        <v>150145</v>
      </c>
      <c r="H211" s="207">
        <v>-2890453.5424117651</v>
      </c>
      <c r="I211" s="207">
        <v>-2890453.5424117651</v>
      </c>
      <c r="J211" s="207">
        <v>1356667.9863869864</v>
      </c>
      <c r="K211" s="207">
        <v>131211.66495730457</v>
      </c>
      <c r="L211" s="207">
        <v>-1533785.5560247786</v>
      </c>
      <c r="M211" s="207">
        <v>131211.66495730457</v>
      </c>
      <c r="O211" s="207">
        <v>-2898859.0147717651</v>
      </c>
      <c r="P211" s="207">
        <v>-8405.4723600000143</v>
      </c>
    </row>
    <row r="212" spans="1:16" ht="13">
      <c r="A212" s="58" t="s">
        <v>2313</v>
      </c>
      <c r="B212" s="207"/>
      <c r="C212" s="207"/>
      <c r="D212" s="207">
        <v>-1259862.6637235337</v>
      </c>
      <c r="E212" t="s">
        <v>466</v>
      </c>
      <c r="F212" s="207">
        <v>439.8</v>
      </c>
      <c r="G212" s="207">
        <v>11151</v>
      </c>
      <c r="H212" s="207">
        <v>-1248271.8637235337</v>
      </c>
      <c r="I212" s="207">
        <v>-1248271.8637235337</v>
      </c>
      <c r="J212" s="207">
        <v>1074779.7277888251</v>
      </c>
      <c r="K212" s="207">
        <v>0</v>
      </c>
      <c r="L212" s="207">
        <v>-173492.13593470864</v>
      </c>
      <c r="M212" s="207">
        <v>0</v>
      </c>
      <c r="O212" s="207">
        <v>-36554.380284467596</v>
      </c>
      <c r="P212" s="207">
        <v>1211717.483439066</v>
      </c>
    </row>
    <row r="213" spans="1:16" ht="13">
      <c r="A213" s="58" t="s">
        <v>2309</v>
      </c>
      <c r="B213" s="207"/>
      <c r="C213" s="207"/>
      <c r="D213" s="207">
        <v>-7136.8626117336617</v>
      </c>
      <c r="E213" t="s">
        <v>466</v>
      </c>
      <c r="F213" s="207">
        <v>54</v>
      </c>
      <c r="G213" s="207">
        <v>7083</v>
      </c>
      <c r="H213" s="207">
        <v>0.13738826633834833</v>
      </c>
      <c r="I213" s="207">
        <v>0.13738826633834833</v>
      </c>
      <c r="J213" s="207">
        <v>42528.776137104214</v>
      </c>
      <c r="K213" s="207">
        <v>0</v>
      </c>
      <c r="L213" s="207">
        <v>42528.913525370554</v>
      </c>
      <c r="M213" s="207">
        <v>0</v>
      </c>
      <c r="O213" s="207">
        <v>2841.1373882663383</v>
      </c>
      <c r="P213" s="207">
        <v>2841</v>
      </c>
    </row>
    <row r="214" spans="1:16" ht="13">
      <c r="A214" s="330" t="s">
        <v>2778</v>
      </c>
      <c r="B214" s="207"/>
      <c r="C214" s="207"/>
      <c r="D214" s="207">
        <v>-114517586.07400519</v>
      </c>
      <c r="E214" t="s">
        <v>461</v>
      </c>
      <c r="F214" s="207">
        <v>2660459.4</v>
      </c>
      <c r="G214" s="207">
        <v>8232209</v>
      </c>
      <c r="H214" s="207">
        <v>-103624917.67400518</v>
      </c>
      <c r="I214" s="207">
        <v>-103624917.67400518</v>
      </c>
      <c r="J214" s="207">
        <v>71267514.74106282</v>
      </c>
      <c r="K214" s="207">
        <v>17982604.001874171</v>
      </c>
      <c r="L214" s="207">
        <v>-32357402.932942361</v>
      </c>
      <c r="M214" s="207">
        <v>17982604.001874171</v>
      </c>
      <c r="O214" s="207">
        <v>-103624687.65114063</v>
      </c>
      <c r="P214" s="207">
        <v>230.0228645503521</v>
      </c>
    </row>
    <row r="215" spans="1:16" ht="13">
      <c r="A215" s="58" t="s">
        <v>2787</v>
      </c>
      <c r="B215" s="207"/>
      <c r="C215" s="207"/>
      <c r="D215" s="207">
        <v>0</v>
      </c>
      <c r="E215" t="s">
        <v>461</v>
      </c>
      <c r="F215" s="207">
        <v>0</v>
      </c>
      <c r="G215" s="207">
        <v>0</v>
      </c>
      <c r="H215" s="207">
        <v>0</v>
      </c>
      <c r="I215" s="207">
        <v>0</v>
      </c>
      <c r="J215" s="207">
        <v>0</v>
      </c>
      <c r="K215" s="207">
        <v>0</v>
      </c>
      <c r="L215" s="207">
        <v>0</v>
      </c>
      <c r="M215" s="207">
        <v>0</v>
      </c>
      <c r="O215" s="207">
        <v>0</v>
      </c>
      <c r="P215" s="207">
        <v>0</v>
      </c>
    </row>
    <row r="216" spans="1:16" ht="13">
      <c r="A216" s="58" t="s">
        <v>2788</v>
      </c>
      <c r="B216" s="207"/>
      <c r="C216" s="207"/>
      <c r="D216" s="207">
        <v>0</v>
      </c>
      <c r="E216" t="s">
        <v>461</v>
      </c>
      <c r="F216" s="207">
        <v>0</v>
      </c>
      <c r="G216" s="207">
        <v>0</v>
      </c>
      <c r="H216" s="207">
        <v>0</v>
      </c>
      <c r="I216" s="207">
        <v>0</v>
      </c>
      <c r="J216" s="207">
        <v>0</v>
      </c>
      <c r="K216" s="207">
        <v>0</v>
      </c>
      <c r="L216" s="207">
        <v>0</v>
      </c>
      <c r="M216" s="207">
        <v>0</v>
      </c>
      <c r="O216" s="207">
        <v>0</v>
      </c>
      <c r="P216" s="207">
        <v>0</v>
      </c>
    </row>
    <row r="217" spans="1:16" ht="13">
      <c r="A217" s="58" t="s">
        <v>2789</v>
      </c>
      <c r="B217" s="207"/>
      <c r="C217" s="207"/>
      <c r="D217" s="207">
        <v>0</v>
      </c>
      <c r="E217" t="s">
        <v>461</v>
      </c>
      <c r="F217" s="207">
        <v>0</v>
      </c>
      <c r="G217" s="207">
        <v>0</v>
      </c>
      <c r="H217" s="207">
        <v>0</v>
      </c>
      <c r="I217" s="207">
        <v>0</v>
      </c>
      <c r="J217" s="207">
        <v>375342.68410599919</v>
      </c>
      <c r="K217" s="207">
        <v>365941.94062895095</v>
      </c>
      <c r="L217" s="207">
        <v>375342.68410599919</v>
      </c>
      <c r="M217" s="207">
        <v>365941.94062895095</v>
      </c>
      <c r="O217" s="207">
        <v>0</v>
      </c>
      <c r="P217" s="207">
        <v>0</v>
      </c>
    </row>
    <row r="218" spans="1:16" ht="13">
      <c r="A218" s="58" t="s">
        <v>2790</v>
      </c>
      <c r="B218" s="207"/>
      <c r="C218" s="207"/>
      <c r="D218" s="207">
        <v>0</v>
      </c>
      <c r="E218" t="s">
        <v>461</v>
      </c>
      <c r="F218" s="207">
        <v>0</v>
      </c>
      <c r="G218" s="207">
        <v>0</v>
      </c>
      <c r="H218" s="207">
        <v>0</v>
      </c>
      <c r="I218" s="207">
        <v>0</v>
      </c>
      <c r="J218" s="207">
        <v>0</v>
      </c>
      <c r="K218" s="207">
        <v>0</v>
      </c>
      <c r="L218" s="207">
        <v>0</v>
      </c>
      <c r="M218" s="207">
        <v>0</v>
      </c>
      <c r="O218" s="207">
        <v>0</v>
      </c>
      <c r="P218" s="207">
        <v>0</v>
      </c>
    </row>
    <row r="219" spans="1:16" ht="13">
      <c r="A219" s="58" t="s">
        <v>2791</v>
      </c>
      <c r="B219" s="207"/>
      <c r="C219" s="207"/>
      <c r="D219" s="207">
        <v>0</v>
      </c>
      <c r="E219" t="s">
        <v>461</v>
      </c>
      <c r="F219" s="207">
        <v>0</v>
      </c>
      <c r="G219" s="207">
        <v>0</v>
      </c>
      <c r="H219" s="207">
        <v>0</v>
      </c>
      <c r="I219" s="207">
        <v>0</v>
      </c>
      <c r="J219" s="207">
        <v>0</v>
      </c>
      <c r="K219" s="207">
        <v>0</v>
      </c>
      <c r="L219" s="207">
        <v>0</v>
      </c>
      <c r="M219" s="207">
        <v>0</v>
      </c>
      <c r="O219" s="207">
        <v>0</v>
      </c>
      <c r="P219" s="207">
        <v>0</v>
      </c>
    </row>
    <row r="220" spans="1:16" ht="13">
      <c r="A220" s="58" t="s">
        <v>2792</v>
      </c>
      <c r="B220" s="207"/>
      <c r="C220" s="207"/>
      <c r="D220" s="207">
        <v>0</v>
      </c>
      <c r="E220" t="s">
        <v>461</v>
      </c>
      <c r="F220" s="207">
        <v>0</v>
      </c>
      <c r="G220" s="207">
        <v>0</v>
      </c>
      <c r="H220" s="207">
        <v>0</v>
      </c>
      <c r="I220" s="207">
        <v>0</v>
      </c>
      <c r="J220" s="207">
        <v>0</v>
      </c>
      <c r="K220" s="207">
        <v>0</v>
      </c>
      <c r="L220" s="207">
        <v>0</v>
      </c>
      <c r="M220" s="207">
        <v>0</v>
      </c>
      <c r="O220" s="207">
        <v>0</v>
      </c>
      <c r="P220" s="207">
        <v>0</v>
      </c>
    </row>
    <row r="221" spans="1:16" ht="13">
      <c r="A221" s="58" t="s">
        <v>2793</v>
      </c>
      <c r="B221" s="207"/>
      <c r="C221" s="207"/>
      <c r="D221" s="207">
        <v>0</v>
      </c>
      <c r="E221" t="s">
        <v>461</v>
      </c>
      <c r="F221" s="207">
        <v>0</v>
      </c>
      <c r="G221" s="207">
        <v>0</v>
      </c>
      <c r="H221" s="207">
        <v>0</v>
      </c>
      <c r="I221" s="207">
        <v>0</v>
      </c>
      <c r="J221" s="207">
        <v>0</v>
      </c>
      <c r="K221" s="207">
        <v>0</v>
      </c>
      <c r="L221" s="207">
        <v>0</v>
      </c>
      <c r="M221" s="207">
        <v>0</v>
      </c>
      <c r="O221" s="207">
        <v>0</v>
      </c>
      <c r="P221" s="207">
        <v>0</v>
      </c>
    </row>
    <row r="222" spans="1:16" ht="13">
      <c r="A222" s="58" t="s">
        <v>2794</v>
      </c>
      <c r="B222" s="207"/>
      <c r="C222" s="207"/>
      <c r="D222" s="207">
        <v>0</v>
      </c>
      <c r="E222" t="s">
        <v>461</v>
      </c>
      <c r="F222" s="207">
        <v>0</v>
      </c>
      <c r="G222" s="207">
        <v>0</v>
      </c>
      <c r="H222" s="207">
        <v>0</v>
      </c>
      <c r="I222" s="207">
        <v>0</v>
      </c>
      <c r="J222" s="207">
        <v>0</v>
      </c>
      <c r="K222" s="207">
        <v>0</v>
      </c>
      <c r="L222" s="207">
        <v>0</v>
      </c>
      <c r="M222" s="207">
        <v>0</v>
      </c>
      <c r="O222" s="207">
        <v>0</v>
      </c>
      <c r="P222" s="207">
        <v>0</v>
      </c>
    </row>
    <row r="223" spans="1:16" ht="13">
      <c r="A223" s="58" t="s">
        <v>2795</v>
      </c>
      <c r="B223" s="207"/>
      <c r="C223" s="207"/>
      <c r="D223" s="207">
        <v>0</v>
      </c>
      <c r="E223" t="s">
        <v>461</v>
      </c>
      <c r="F223" s="207">
        <v>0</v>
      </c>
      <c r="G223" s="207">
        <v>0</v>
      </c>
      <c r="H223" s="207">
        <v>0</v>
      </c>
      <c r="I223" s="207">
        <v>0</v>
      </c>
      <c r="J223" s="207">
        <v>0</v>
      </c>
      <c r="K223" s="207">
        <v>0</v>
      </c>
      <c r="L223" s="207">
        <v>0</v>
      </c>
      <c r="M223" s="207">
        <v>0</v>
      </c>
      <c r="O223" s="207">
        <v>0</v>
      </c>
      <c r="P223" s="207">
        <v>0</v>
      </c>
    </row>
    <row r="224" spans="1:16" ht="13">
      <c r="A224" s="58" t="s">
        <v>2796</v>
      </c>
      <c r="B224" s="207"/>
      <c r="C224" s="207"/>
      <c r="D224" s="207">
        <v>0</v>
      </c>
      <c r="E224" t="s">
        <v>461</v>
      </c>
      <c r="F224" s="207">
        <v>0</v>
      </c>
      <c r="G224" s="207">
        <v>0</v>
      </c>
      <c r="H224" s="207">
        <v>0</v>
      </c>
      <c r="I224" s="207">
        <v>0</v>
      </c>
      <c r="J224" s="207">
        <v>0</v>
      </c>
      <c r="K224" s="207">
        <v>0</v>
      </c>
      <c r="L224" s="207">
        <v>0</v>
      </c>
      <c r="M224" s="207">
        <v>0</v>
      </c>
      <c r="O224" s="207">
        <v>0</v>
      </c>
      <c r="P224" s="207">
        <v>0</v>
      </c>
    </row>
    <row r="225" spans="1:16" ht="13">
      <c r="A225" s="58" t="s">
        <v>2779</v>
      </c>
      <c r="B225" s="207"/>
      <c r="C225" s="207"/>
      <c r="D225" s="207">
        <v>-10567713.682906006</v>
      </c>
      <c r="E225" t="s">
        <v>461</v>
      </c>
      <c r="F225" s="207">
        <v>187052.1</v>
      </c>
      <c r="G225" s="207">
        <v>3199625</v>
      </c>
      <c r="H225" s="207">
        <v>-7181036.5829060059</v>
      </c>
      <c r="I225" s="207">
        <v>-7181036.5829060059</v>
      </c>
      <c r="J225" s="207">
        <v>32957078.193011794</v>
      </c>
      <c r="K225" s="207">
        <v>10139201.325638993</v>
      </c>
      <c r="L225" s="207">
        <v>25776041.61010579</v>
      </c>
      <c r="M225" s="207">
        <v>10139201.325638993</v>
      </c>
      <c r="O225" s="207">
        <v>-7509484.7994765267</v>
      </c>
      <c r="P225" s="207">
        <v>-328448.21657052077</v>
      </c>
    </row>
    <row r="226" spans="1:16" ht="13">
      <c r="A226" s="58" t="s">
        <v>2797</v>
      </c>
      <c r="B226" s="207"/>
      <c r="C226" s="207"/>
      <c r="D226" s="207">
        <v>0</v>
      </c>
      <c r="E226" t="s">
        <v>461</v>
      </c>
      <c r="F226" s="207">
        <v>0</v>
      </c>
      <c r="G226" s="207">
        <v>0</v>
      </c>
      <c r="H226" s="207">
        <v>0</v>
      </c>
      <c r="I226" s="207">
        <v>0</v>
      </c>
      <c r="J226" s="207">
        <v>0</v>
      </c>
      <c r="K226" s="207">
        <v>0</v>
      </c>
      <c r="L226" s="207">
        <v>0</v>
      </c>
      <c r="M226" s="207">
        <v>0</v>
      </c>
      <c r="O226" s="207">
        <v>0</v>
      </c>
      <c r="P226" s="207">
        <v>0</v>
      </c>
    </row>
    <row r="227" spans="1:16" ht="13">
      <c r="A227" s="58" t="s">
        <v>2798</v>
      </c>
      <c r="B227" s="207"/>
      <c r="C227" s="207"/>
      <c r="D227" s="207">
        <v>0</v>
      </c>
      <c r="E227" t="s">
        <v>461</v>
      </c>
      <c r="F227" s="207">
        <v>0</v>
      </c>
      <c r="G227" s="207">
        <v>0</v>
      </c>
      <c r="H227" s="207">
        <v>0</v>
      </c>
      <c r="I227" s="207">
        <v>0</v>
      </c>
      <c r="J227" s="207">
        <v>0</v>
      </c>
      <c r="K227" s="207">
        <v>0</v>
      </c>
      <c r="L227" s="207">
        <v>0</v>
      </c>
      <c r="M227" s="207">
        <v>0</v>
      </c>
      <c r="O227" s="207">
        <v>0</v>
      </c>
      <c r="P227" s="207">
        <v>0</v>
      </c>
    </row>
    <row r="228" spans="1:16" ht="13">
      <c r="A228" s="58" t="s">
        <v>2799</v>
      </c>
      <c r="B228" s="207"/>
      <c r="C228" s="207"/>
      <c r="D228" s="207">
        <v>0</v>
      </c>
      <c r="E228" t="s">
        <v>461</v>
      </c>
      <c r="F228" s="207">
        <v>0</v>
      </c>
      <c r="G228" s="207">
        <v>0</v>
      </c>
      <c r="H228" s="207">
        <v>0</v>
      </c>
      <c r="I228" s="207">
        <v>0</v>
      </c>
      <c r="J228" s="207">
        <v>0</v>
      </c>
      <c r="K228" s="207">
        <v>0</v>
      </c>
      <c r="L228" s="207">
        <v>0</v>
      </c>
      <c r="M228" s="207">
        <v>0</v>
      </c>
      <c r="O228" s="207">
        <v>0</v>
      </c>
      <c r="P228" s="207">
        <v>0</v>
      </c>
    </row>
    <row r="229" spans="1:16" ht="13">
      <c r="A229" s="58" t="s">
        <v>2800</v>
      </c>
      <c r="B229" s="207"/>
      <c r="C229" s="207"/>
      <c r="D229" s="207">
        <v>0</v>
      </c>
      <c r="E229" t="s">
        <v>461</v>
      </c>
      <c r="F229" s="207">
        <v>0</v>
      </c>
      <c r="G229" s="207">
        <v>0</v>
      </c>
      <c r="H229" s="207">
        <v>0</v>
      </c>
      <c r="I229" s="207">
        <v>0</v>
      </c>
      <c r="J229" s="207">
        <v>0</v>
      </c>
      <c r="K229" s="207">
        <v>0</v>
      </c>
      <c r="L229" s="207">
        <v>0</v>
      </c>
      <c r="M229" s="207">
        <v>0</v>
      </c>
      <c r="O229" s="207">
        <v>0</v>
      </c>
      <c r="P229" s="207">
        <v>0</v>
      </c>
    </row>
    <row r="230" spans="1:16" ht="13">
      <c r="A230" s="58" t="s">
        <v>2801</v>
      </c>
      <c r="B230" s="207"/>
      <c r="C230" s="207"/>
      <c r="D230" s="207">
        <v>0</v>
      </c>
      <c r="E230" t="s">
        <v>461</v>
      </c>
      <c r="F230" s="207">
        <v>0</v>
      </c>
      <c r="G230" s="207">
        <v>0</v>
      </c>
      <c r="H230" s="207">
        <v>0</v>
      </c>
      <c r="I230" s="207">
        <v>0</v>
      </c>
      <c r="J230" s="207">
        <v>0</v>
      </c>
      <c r="K230" s="207">
        <v>0</v>
      </c>
      <c r="L230" s="207">
        <v>0</v>
      </c>
      <c r="M230" s="207">
        <v>0</v>
      </c>
      <c r="O230" s="207">
        <v>0</v>
      </c>
      <c r="P230" s="207">
        <v>0</v>
      </c>
    </row>
    <row r="231" spans="1:16" ht="13">
      <c r="A231" s="58" t="s">
        <v>2802</v>
      </c>
      <c r="B231" s="207"/>
      <c r="C231" s="207"/>
      <c r="D231" s="207">
        <v>0</v>
      </c>
      <c r="E231" t="s">
        <v>461</v>
      </c>
      <c r="F231" s="207">
        <v>0</v>
      </c>
      <c r="G231" s="207">
        <v>0</v>
      </c>
      <c r="H231" s="207">
        <v>0</v>
      </c>
      <c r="I231" s="207">
        <v>0</v>
      </c>
      <c r="J231" s="207">
        <v>0</v>
      </c>
      <c r="K231" s="207">
        <v>0</v>
      </c>
      <c r="L231" s="207">
        <v>0</v>
      </c>
      <c r="M231" s="207">
        <v>0</v>
      </c>
      <c r="O231" s="207">
        <v>0</v>
      </c>
      <c r="P231" s="207">
        <v>0</v>
      </c>
    </row>
    <row r="232" spans="1:16" ht="13">
      <c r="A232" s="58" t="s">
        <v>2803</v>
      </c>
      <c r="B232" s="207"/>
      <c r="C232" s="207"/>
      <c r="D232" s="207">
        <v>0</v>
      </c>
      <c r="E232" t="s">
        <v>461</v>
      </c>
      <c r="F232" s="207">
        <v>0</v>
      </c>
      <c r="G232" s="207">
        <v>0</v>
      </c>
      <c r="H232" s="207">
        <v>0</v>
      </c>
      <c r="I232" s="207">
        <v>0</v>
      </c>
      <c r="J232" s="207">
        <v>0</v>
      </c>
      <c r="K232" s="207">
        <v>0</v>
      </c>
      <c r="L232" s="207">
        <v>0</v>
      </c>
      <c r="M232" s="207">
        <v>0</v>
      </c>
      <c r="O232" s="207">
        <v>0</v>
      </c>
      <c r="P232" s="207">
        <v>0</v>
      </c>
    </row>
    <row r="233" spans="1:16" ht="13">
      <c r="A233" s="58" t="s">
        <v>2804</v>
      </c>
      <c r="B233" s="207"/>
      <c r="C233" s="207"/>
      <c r="D233" s="207">
        <v>0</v>
      </c>
      <c r="E233" t="s">
        <v>461</v>
      </c>
      <c r="F233" s="207">
        <v>0</v>
      </c>
      <c r="G233" s="207">
        <v>0</v>
      </c>
      <c r="H233" s="207">
        <v>0</v>
      </c>
      <c r="I233" s="207">
        <v>0</v>
      </c>
      <c r="J233" s="207">
        <v>0</v>
      </c>
      <c r="K233" s="207">
        <v>0</v>
      </c>
      <c r="L233" s="207">
        <v>0</v>
      </c>
      <c r="M233" s="207">
        <v>0</v>
      </c>
      <c r="O233" s="207">
        <v>0</v>
      </c>
      <c r="P233" s="207">
        <v>0</v>
      </c>
    </row>
    <row r="234" spans="1:16" ht="13">
      <c r="A234" s="58" t="s">
        <v>2805</v>
      </c>
      <c r="B234" s="207"/>
      <c r="C234" s="207"/>
      <c r="D234" s="207">
        <v>0</v>
      </c>
      <c r="E234" t="s">
        <v>461</v>
      </c>
      <c r="F234" s="207">
        <v>0</v>
      </c>
      <c r="G234" s="207">
        <v>0</v>
      </c>
      <c r="H234" s="207">
        <v>0</v>
      </c>
      <c r="I234" s="207">
        <v>0</v>
      </c>
      <c r="J234" s="207">
        <v>0</v>
      </c>
      <c r="K234" s="207">
        <v>0</v>
      </c>
      <c r="L234" s="207">
        <v>0</v>
      </c>
      <c r="M234" s="207">
        <v>0</v>
      </c>
      <c r="O234" s="207">
        <v>0</v>
      </c>
      <c r="P234" s="207">
        <v>0</v>
      </c>
    </row>
    <row r="235" spans="1:16" ht="13">
      <c r="A235" s="58" t="s">
        <v>2806</v>
      </c>
      <c r="B235" s="207"/>
      <c r="C235" s="207"/>
      <c r="D235" s="207">
        <v>0</v>
      </c>
      <c r="E235" t="s">
        <v>461</v>
      </c>
      <c r="F235" s="207">
        <v>0</v>
      </c>
      <c r="G235" s="207">
        <v>0</v>
      </c>
      <c r="H235" s="207">
        <v>0</v>
      </c>
      <c r="I235" s="207">
        <v>0</v>
      </c>
      <c r="J235" s="207">
        <v>0</v>
      </c>
      <c r="K235" s="207">
        <v>0</v>
      </c>
      <c r="L235" s="207">
        <v>0</v>
      </c>
      <c r="M235" s="207">
        <v>0</v>
      </c>
      <c r="O235" s="207">
        <v>0</v>
      </c>
      <c r="P235" s="207">
        <v>0</v>
      </c>
    </row>
    <row r="236" spans="1:16" ht="13">
      <c r="A236" s="58" t="s">
        <v>2780</v>
      </c>
      <c r="B236" s="207"/>
      <c r="C236" s="207"/>
      <c r="D236" s="207">
        <v>-5928499.1103554238</v>
      </c>
      <c r="E236" t="s">
        <v>461</v>
      </c>
      <c r="F236" s="207">
        <v>178399.8</v>
      </c>
      <c r="G236" s="207">
        <v>1192219</v>
      </c>
      <c r="H236" s="207">
        <v>-4557880.3103554239</v>
      </c>
      <c r="I236" s="207">
        <v>-4557880.3103554239</v>
      </c>
      <c r="J236" s="207">
        <v>11693130.369173825</v>
      </c>
      <c r="K236" s="207">
        <v>6284979.5322684292</v>
      </c>
      <c r="L236" s="207">
        <v>7135250.0588184008</v>
      </c>
      <c r="M236" s="207">
        <v>6284979.5322684292</v>
      </c>
      <c r="O236" s="207">
        <v>-4700694.3103554239</v>
      </c>
      <c r="P236" s="207">
        <v>-142814</v>
      </c>
    </row>
    <row r="237" spans="1:16" ht="13">
      <c r="A237" s="58" t="s">
        <v>2807</v>
      </c>
      <c r="B237" s="207"/>
      <c r="C237" s="207"/>
      <c r="D237" s="207">
        <v>0</v>
      </c>
      <c r="E237" t="s">
        <v>461</v>
      </c>
      <c r="F237" s="207">
        <v>0</v>
      </c>
      <c r="G237" s="207">
        <v>0</v>
      </c>
      <c r="H237" s="207">
        <v>0</v>
      </c>
      <c r="I237" s="207">
        <v>0</v>
      </c>
      <c r="J237" s="207">
        <v>0</v>
      </c>
      <c r="K237" s="207">
        <v>0</v>
      </c>
      <c r="L237" s="207">
        <v>0</v>
      </c>
      <c r="M237" s="207">
        <v>0</v>
      </c>
      <c r="O237" s="207">
        <v>0</v>
      </c>
      <c r="P237" s="207">
        <v>0</v>
      </c>
    </row>
    <row r="238" spans="1:16" ht="13">
      <c r="A238" s="58" t="s">
        <v>2808</v>
      </c>
      <c r="B238" s="207"/>
      <c r="C238" s="207"/>
      <c r="D238" s="207">
        <v>0</v>
      </c>
      <c r="E238" t="s">
        <v>461</v>
      </c>
      <c r="F238" s="207">
        <v>0</v>
      </c>
      <c r="G238" s="207">
        <v>0</v>
      </c>
      <c r="H238" s="207">
        <v>0</v>
      </c>
      <c r="I238" s="207">
        <v>0</v>
      </c>
      <c r="J238" s="207">
        <v>0</v>
      </c>
      <c r="K238" s="207">
        <v>0</v>
      </c>
      <c r="L238" s="207">
        <v>0</v>
      </c>
      <c r="M238" s="207">
        <v>0</v>
      </c>
      <c r="O238" s="207">
        <v>0</v>
      </c>
      <c r="P238" s="207">
        <v>0</v>
      </c>
    </row>
    <row r="239" spans="1:16" ht="13">
      <c r="A239" s="58" t="s">
        <v>2809</v>
      </c>
      <c r="B239" s="207"/>
      <c r="C239" s="207"/>
      <c r="D239" s="207">
        <v>0</v>
      </c>
      <c r="E239" t="s">
        <v>461</v>
      </c>
      <c r="F239" s="207">
        <v>0</v>
      </c>
      <c r="G239" s="207">
        <v>0</v>
      </c>
      <c r="H239" s="207">
        <v>0</v>
      </c>
      <c r="I239" s="207">
        <v>0</v>
      </c>
      <c r="J239" s="207">
        <v>0</v>
      </c>
      <c r="K239" s="207">
        <v>0</v>
      </c>
      <c r="L239" s="207">
        <v>0</v>
      </c>
      <c r="M239" s="207">
        <v>0</v>
      </c>
      <c r="O239" s="207">
        <v>0</v>
      </c>
      <c r="P239" s="207">
        <v>0</v>
      </c>
    </row>
    <row r="240" spans="1:16" ht="13">
      <c r="A240" s="58" t="s">
        <v>2781</v>
      </c>
      <c r="B240" s="207"/>
      <c r="C240" s="207"/>
      <c r="D240" s="207">
        <v>-13802835.879595431</v>
      </c>
      <c r="E240" t="s">
        <v>461</v>
      </c>
      <c r="F240" s="207">
        <v>317499.3</v>
      </c>
      <c r="G240" s="207">
        <v>2559250</v>
      </c>
      <c r="H240" s="207">
        <v>-10926086.579595432</v>
      </c>
      <c r="I240" s="207">
        <v>-10926086.579595432</v>
      </c>
      <c r="J240" s="207">
        <v>18422484.233344056</v>
      </c>
      <c r="K240" s="207">
        <v>5690925.7558391578</v>
      </c>
      <c r="L240" s="207">
        <v>7496397.653748624</v>
      </c>
      <c r="M240" s="207">
        <v>5690925.7558391578</v>
      </c>
      <c r="O240" s="207">
        <v>-10938546.179595429</v>
      </c>
      <c r="P240" s="207">
        <v>-12459.599999997765</v>
      </c>
    </row>
    <row r="241" spans="1:16" ht="13">
      <c r="A241" s="58" t="s">
        <v>2782</v>
      </c>
      <c r="B241" s="207"/>
      <c r="C241" s="207"/>
      <c r="D241" s="207">
        <v>-18108741.242430154</v>
      </c>
      <c r="E241" t="s">
        <v>461</v>
      </c>
      <c r="F241" s="207">
        <v>231087.3</v>
      </c>
      <c r="G241" s="207">
        <v>848090</v>
      </c>
      <c r="H241" s="207">
        <v>-17029563.942430153</v>
      </c>
      <c r="I241" s="207">
        <v>-17029563.942430153</v>
      </c>
      <c r="J241" s="207">
        <v>22973038.111937769</v>
      </c>
      <c r="K241" s="207">
        <v>2714677.4715500004</v>
      </c>
      <c r="L241" s="207">
        <v>5943474.1695076153</v>
      </c>
      <c r="M241" s="207">
        <v>2714677.4715500004</v>
      </c>
      <c r="O241" s="207">
        <v>-17395095.942430153</v>
      </c>
      <c r="P241" s="207">
        <v>-365532</v>
      </c>
    </row>
    <row r="242" spans="1:16" ht="13">
      <c r="A242" s="58" t="s">
        <v>2783</v>
      </c>
      <c r="B242" s="207"/>
      <c r="C242" s="207"/>
      <c r="D242" s="207">
        <v>0</v>
      </c>
      <c r="E242" t="s">
        <v>461</v>
      </c>
      <c r="F242" s="207">
        <v>0</v>
      </c>
      <c r="G242" s="207">
        <v>0</v>
      </c>
      <c r="H242" s="207">
        <v>0</v>
      </c>
      <c r="I242" s="207">
        <v>0</v>
      </c>
      <c r="J242" s="207">
        <v>1559291.4726480001</v>
      </c>
      <c r="K242" s="207">
        <v>439800.15895199997</v>
      </c>
      <c r="L242" s="207">
        <v>1559291.4726480001</v>
      </c>
      <c r="M242" s="207">
        <v>439800.15895199997</v>
      </c>
      <c r="O242" s="207">
        <v>0</v>
      </c>
      <c r="P242" s="207">
        <v>0</v>
      </c>
    </row>
    <row r="243" spans="1:16" ht="13">
      <c r="A243" s="330" t="s">
        <v>2784</v>
      </c>
      <c r="B243" s="207"/>
      <c r="C243" s="207"/>
      <c r="D243" s="207">
        <v>0</v>
      </c>
      <c r="E243" t="s">
        <v>461</v>
      </c>
      <c r="F243" s="207">
        <v>0</v>
      </c>
      <c r="G243" s="207">
        <v>0</v>
      </c>
      <c r="H243" s="207">
        <v>0</v>
      </c>
      <c r="I243" s="207">
        <v>0</v>
      </c>
      <c r="J243" s="207">
        <v>0</v>
      </c>
      <c r="K243" s="207">
        <v>0</v>
      </c>
      <c r="L243" s="207">
        <v>0</v>
      </c>
      <c r="M243" s="207">
        <v>0</v>
      </c>
      <c r="O243" s="207">
        <v>-2382.3452447561835</v>
      </c>
      <c r="P243" s="207">
        <v>-2382.3452447561835</v>
      </c>
    </row>
    <row r="244" spans="1:16" ht="13">
      <c r="A244" s="58" t="s">
        <v>2785</v>
      </c>
      <c r="B244" s="207"/>
      <c r="C244" s="207"/>
      <c r="D244" s="207">
        <v>0</v>
      </c>
      <c r="E244" t="s">
        <v>461</v>
      </c>
      <c r="F244" s="207">
        <v>0</v>
      </c>
      <c r="G244" s="207">
        <v>0</v>
      </c>
      <c r="H244" s="207">
        <v>0</v>
      </c>
      <c r="I244" s="207">
        <v>0</v>
      </c>
      <c r="J244" s="207">
        <v>1793748.125</v>
      </c>
      <c r="K244" s="207">
        <v>0</v>
      </c>
      <c r="L244" s="207">
        <v>1793748.125</v>
      </c>
      <c r="M244" s="207">
        <v>0</v>
      </c>
      <c r="O244" s="207">
        <v>0</v>
      </c>
      <c r="P244" s="207">
        <v>0</v>
      </c>
    </row>
    <row r="245" spans="1:16" ht="13">
      <c r="A245" s="58" t="s">
        <v>2786</v>
      </c>
      <c r="B245" s="207"/>
      <c r="C245" s="207"/>
      <c r="D245" s="207">
        <v>0</v>
      </c>
      <c r="E245" t="s">
        <v>461</v>
      </c>
      <c r="F245" s="207">
        <v>0</v>
      </c>
      <c r="G245" s="207">
        <v>0</v>
      </c>
      <c r="H245" s="207">
        <v>0</v>
      </c>
      <c r="I245" s="207">
        <v>0</v>
      </c>
      <c r="J245" s="207">
        <v>0</v>
      </c>
      <c r="K245" s="207">
        <v>0</v>
      </c>
      <c r="L245" s="207">
        <v>0</v>
      </c>
      <c r="M245" s="207">
        <v>0</v>
      </c>
      <c r="O245" s="207">
        <v>0</v>
      </c>
      <c r="P245" s="207">
        <v>0</v>
      </c>
    </row>
    <row r="246" spans="1:16">
      <c r="A246" s="208" t="s">
        <v>2960</v>
      </c>
      <c r="B246" s="209"/>
      <c r="C246" s="208"/>
      <c r="D246" s="207">
        <v>0</v>
      </c>
      <c r="E246" t="s">
        <v>2628</v>
      </c>
      <c r="F246" s="207">
        <v>0</v>
      </c>
      <c r="G246" s="207">
        <v>0</v>
      </c>
      <c r="H246" s="207">
        <v>0</v>
      </c>
      <c r="I246" s="207">
        <v>0</v>
      </c>
      <c r="J246" s="207">
        <v>0</v>
      </c>
      <c r="K246" s="207">
        <v>0</v>
      </c>
      <c r="L246" s="207">
        <v>0</v>
      </c>
      <c r="M246" s="207">
        <v>0</v>
      </c>
      <c r="O246" s="207">
        <v>0</v>
      </c>
      <c r="P246" s="207">
        <v>0</v>
      </c>
    </row>
    <row r="247" spans="1:16">
      <c r="A247" s="208" t="s">
        <v>2961</v>
      </c>
      <c r="B247" s="209"/>
      <c r="C247" s="208"/>
      <c r="D247" s="207">
        <v>0</v>
      </c>
      <c r="E247" t="s">
        <v>2628</v>
      </c>
      <c r="F247" s="207">
        <v>0</v>
      </c>
      <c r="G247" s="207">
        <v>0</v>
      </c>
      <c r="H247" s="207">
        <v>0</v>
      </c>
      <c r="I247" s="207">
        <v>0</v>
      </c>
      <c r="J247" s="207">
        <v>0</v>
      </c>
      <c r="K247" s="207">
        <v>0</v>
      </c>
      <c r="L247" s="207">
        <v>0</v>
      </c>
      <c r="M247" s="207">
        <v>0</v>
      </c>
      <c r="O247" s="207">
        <v>0</v>
      </c>
      <c r="P247" s="207">
        <v>0</v>
      </c>
    </row>
    <row r="248" spans="1:16">
      <c r="A248" s="208" t="s">
        <v>2962</v>
      </c>
      <c r="B248" s="209"/>
      <c r="C248" s="208"/>
      <c r="D248" s="207">
        <v>0</v>
      </c>
      <c r="E248" t="s">
        <v>2266</v>
      </c>
      <c r="F248" s="207">
        <v>0</v>
      </c>
      <c r="G248" s="207">
        <v>0</v>
      </c>
      <c r="H248" s="207">
        <v>0</v>
      </c>
      <c r="I248" s="207">
        <v>0</v>
      </c>
      <c r="J248" s="207">
        <v>0</v>
      </c>
      <c r="K248" s="207">
        <v>0</v>
      </c>
      <c r="L248" s="207">
        <v>0</v>
      </c>
      <c r="M248" s="207">
        <v>0</v>
      </c>
      <c r="O248" s="207">
        <v>0</v>
      </c>
      <c r="P248" s="207">
        <v>0</v>
      </c>
    </row>
    <row r="249" spans="1:16">
      <c r="A249" s="208" t="s">
        <v>2963</v>
      </c>
      <c r="B249" s="209"/>
      <c r="C249" s="208"/>
      <c r="D249" s="207">
        <v>0</v>
      </c>
      <c r="E249" t="s">
        <v>2266</v>
      </c>
      <c r="F249" s="207">
        <v>0</v>
      </c>
      <c r="G249" s="207">
        <v>0</v>
      </c>
      <c r="H249" s="207">
        <v>0</v>
      </c>
      <c r="I249" s="207">
        <v>0</v>
      </c>
      <c r="J249" s="207">
        <v>0</v>
      </c>
      <c r="K249" s="207">
        <v>0</v>
      </c>
      <c r="L249" s="207">
        <v>0</v>
      </c>
      <c r="M249" s="207">
        <v>0</v>
      </c>
      <c r="O249" s="207">
        <v>0</v>
      </c>
      <c r="P249" s="207">
        <v>0</v>
      </c>
    </row>
    <row r="250" spans="1:16" ht="14.5" thickBot="1">
      <c r="A250" s="210" t="s">
        <v>2964</v>
      </c>
      <c r="B250" s="211">
        <v>0</v>
      </c>
      <c r="C250" s="211">
        <v>0</v>
      </c>
      <c r="D250" s="211">
        <v>-537762680.674878</v>
      </c>
      <c r="F250" s="211">
        <v>11326122.000000004</v>
      </c>
      <c r="G250" s="211">
        <v>79346386</v>
      </c>
      <c r="H250" s="211">
        <v>-447090172.67487788</v>
      </c>
      <c r="I250" s="211">
        <v>-447090172.67487788</v>
      </c>
      <c r="J250" s="211">
        <v>699155361.3567642</v>
      </c>
      <c r="K250" s="211">
        <v>232961601.38826966</v>
      </c>
      <c r="L250" s="211">
        <v>252065188.68188614</v>
      </c>
      <c r="M250" s="211">
        <v>232961601.38826966</v>
      </c>
      <c r="O250" s="207">
        <v>-447224377.25999999</v>
      </c>
      <c r="P250" s="207">
        <v>-134204.58512204091</v>
      </c>
    </row>
    <row r="251" spans="1:16" ht="14.5" thickBot="1">
      <c r="A251" s="211">
        <v>-537896885.25999987</v>
      </c>
      <c r="C251" s="207"/>
      <c r="D251" s="207">
        <v>134204.58512198925</v>
      </c>
      <c r="F251" s="327">
        <v>0</v>
      </c>
      <c r="G251" s="207">
        <v>0</v>
      </c>
      <c r="H251" s="207">
        <v>0</v>
      </c>
      <c r="I251" s="207">
        <v>0</v>
      </c>
      <c r="J251" s="207">
        <v>-2.0012855529785156E-3</v>
      </c>
      <c r="K251" s="207">
        <v>0</v>
      </c>
    </row>
    <row r="252" spans="1:16" ht="14.5" thickBot="1">
      <c r="A252" s="328" t="s">
        <v>4355</v>
      </c>
      <c r="B252" s="328"/>
      <c r="C252" s="328"/>
      <c r="D252" s="328"/>
      <c r="E252" s="328"/>
      <c r="F252" s="211">
        <v>11326122.000000004</v>
      </c>
      <c r="G252" s="211">
        <v>79346386</v>
      </c>
      <c r="H252" s="211">
        <v>-447090172.67487788</v>
      </c>
      <c r="I252" s="211">
        <v>-447090172.67487788</v>
      </c>
      <c r="J252" s="211">
        <v>699155361.3567642</v>
      </c>
      <c r="K252" s="211">
        <v>232961601.38826966</v>
      </c>
      <c r="L252" s="211">
        <v>252065188.68188614</v>
      </c>
      <c r="M252" s="211">
        <v>232961601.38826966</v>
      </c>
    </row>
    <row r="253" spans="1:16" ht="13">
      <c r="A253" s="328"/>
      <c r="B253" s="328"/>
      <c r="C253" s="328"/>
      <c r="D253" s="328"/>
      <c r="E253" s="328"/>
      <c r="F253" s="328"/>
      <c r="G253" s="328"/>
      <c r="H253" s="329"/>
      <c r="I253" s="329"/>
      <c r="J253" s="328"/>
      <c r="K253" s="328"/>
      <c r="L253" s="328"/>
      <c r="M253" s="328"/>
    </row>
    <row r="254" spans="1:16">
      <c r="A254" s="207">
        <v>123349.87979102135</v>
      </c>
      <c r="B254" s="207">
        <v>0</v>
      </c>
      <c r="C254" s="207">
        <v>0</v>
      </c>
      <c r="D254" s="207">
        <v>-39247322.384734608</v>
      </c>
      <c r="E254" t="s">
        <v>2628</v>
      </c>
      <c r="F254" s="207">
        <v>589488.00000000012</v>
      </c>
      <c r="G254" s="207">
        <v>26311063</v>
      </c>
      <c r="H254" s="207">
        <v>-12346771.384734612</v>
      </c>
      <c r="J254" s="207">
        <v>183240395.21026036</v>
      </c>
      <c r="K254" s="207">
        <v>29564021.261287093</v>
      </c>
      <c r="L254" s="207">
        <v>170893623.8255257</v>
      </c>
      <c r="M254" s="207">
        <v>29564021.261287093</v>
      </c>
    </row>
    <row r="255" spans="1:16">
      <c r="A255" s="207">
        <v>-514203.28118251264</v>
      </c>
      <c r="B255" s="207">
        <v>0</v>
      </c>
      <c r="C255" s="207">
        <v>0</v>
      </c>
      <c r="D255" s="207">
        <v>-66639713.133224688</v>
      </c>
      <c r="E255" t="s">
        <v>2266</v>
      </c>
      <c r="F255" s="207">
        <v>420273.3</v>
      </c>
      <c r="G255" s="207">
        <v>4649158</v>
      </c>
      <c r="H255" s="207">
        <v>-61570281.833224669</v>
      </c>
      <c r="J255" s="207">
        <v>31157190.277401421</v>
      </c>
      <c r="K255" s="207">
        <v>12255100.487915697</v>
      </c>
      <c r="L255" s="207">
        <v>-30413091.555823248</v>
      </c>
      <c r="M255" s="207">
        <v>12255100.487915697</v>
      </c>
    </row>
    <row r="256" spans="1:16">
      <c r="A256" s="207">
        <v>456257.15472084284</v>
      </c>
      <c r="B256" s="207">
        <v>0</v>
      </c>
      <c r="C256" s="207">
        <v>0</v>
      </c>
      <c r="D256" s="207">
        <v>-159899522.00728139</v>
      </c>
      <c r="E256" t="s">
        <v>465</v>
      </c>
      <c r="F256" s="207">
        <v>5318735.6999999993</v>
      </c>
      <c r="G256" s="207">
        <v>18854137</v>
      </c>
      <c r="H256" s="207">
        <v>-135726649.30728137</v>
      </c>
      <c r="J256" s="207">
        <v>166427960.9878791</v>
      </c>
      <c r="K256" s="207">
        <v>69592304.278788805</v>
      </c>
      <c r="L256" s="207">
        <v>30701311.680597674</v>
      </c>
      <c r="M256" s="207">
        <v>69592304.278788805</v>
      </c>
    </row>
    <row r="257" spans="1:13">
      <c r="A257" s="207">
        <v>-843945.77679999918</v>
      </c>
      <c r="B257" s="207">
        <v>0</v>
      </c>
      <c r="C257" s="207">
        <v>0</v>
      </c>
      <c r="D257" s="207">
        <v>-20049121.587053675</v>
      </c>
      <c r="E257" t="s">
        <v>460</v>
      </c>
      <c r="F257" s="207">
        <v>802051.2</v>
      </c>
      <c r="G257" s="207">
        <v>3365309</v>
      </c>
      <c r="H257" s="207">
        <v>-15881761.387053676</v>
      </c>
      <c r="J257" s="207">
        <v>43377538.629866183</v>
      </c>
      <c r="K257" s="207">
        <v>67229148.076032341</v>
      </c>
      <c r="L257" s="207">
        <v>27495777.242812507</v>
      </c>
      <c r="M257" s="207">
        <v>67229148.076032341</v>
      </c>
    </row>
    <row r="258" spans="1:13">
      <c r="A258" s="207">
        <v>851406.13895073533</v>
      </c>
      <c r="B258" s="207">
        <v>0</v>
      </c>
      <c r="C258" s="207">
        <v>0</v>
      </c>
      <c r="D258" s="207">
        <v>-162925375.9892922</v>
      </c>
      <c r="E258" t="s">
        <v>461</v>
      </c>
      <c r="F258" s="207">
        <v>3574497.8999999994</v>
      </c>
      <c r="G258" s="207">
        <v>16031393</v>
      </c>
      <c r="H258" s="207">
        <v>-143319485.0892922</v>
      </c>
      <c r="J258" s="207">
        <v>161041627.93028423</v>
      </c>
      <c r="K258" s="207">
        <v>43618130.186751693</v>
      </c>
      <c r="L258" s="207">
        <v>17722142.840992071</v>
      </c>
      <c r="M258" s="207">
        <v>43618130.186751693</v>
      </c>
    </row>
    <row r="259" spans="1:13">
      <c r="A259" s="207">
        <v>61340.46964199841</v>
      </c>
      <c r="B259" s="207">
        <v>0</v>
      </c>
      <c r="C259" s="207">
        <v>0</v>
      </c>
      <c r="D259" s="207">
        <v>-89001625.573291346</v>
      </c>
      <c r="E259" t="s">
        <v>466</v>
      </c>
      <c r="F259" s="207">
        <v>621075.89999999991</v>
      </c>
      <c r="G259" s="207">
        <v>10135326</v>
      </c>
      <c r="H259" s="207">
        <v>-78245223.67329134</v>
      </c>
      <c r="J259" s="207">
        <v>113910648.32107279</v>
      </c>
      <c r="K259" s="207">
        <v>10702897.097494021</v>
      </c>
      <c r="L259" s="207">
        <v>35665424.647781432</v>
      </c>
      <c r="M259" s="207">
        <v>10702897.097494021</v>
      </c>
    </row>
    <row r="260" spans="1:13" ht="14.5" thickBot="1">
      <c r="B260" s="211">
        <v>0</v>
      </c>
      <c r="C260" s="211">
        <v>0</v>
      </c>
      <c r="D260" s="211">
        <v>-537762680.67487788</v>
      </c>
      <c r="F260" s="211">
        <v>11326121.999999998</v>
      </c>
      <c r="G260" s="211">
        <v>79346386</v>
      </c>
      <c r="H260" s="211">
        <v>-447090172.67487788</v>
      </c>
      <c r="J260" s="211">
        <v>699155361.35676408</v>
      </c>
      <c r="K260" s="211">
        <v>232961601.38826966</v>
      </c>
      <c r="L260" s="211">
        <v>252065188.68188614</v>
      </c>
      <c r="M260" s="211">
        <v>232961601.38826966</v>
      </c>
    </row>
    <row r="261" spans="1:13">
      <c r="J261" s="207">
        <v>0</v>
      </c>
      <c r="K261" s="207">
        <v>0</v>
      </c>
      <c r="L261" s="207">
        <v>0</v>
      </c>
      <c r="M261" s="207">
        <v>0</v>
      </c>
    </row>
    <row r="262" spans="1:13">
      <c r="B262" s="207"/>
      <c r="C262" s="207"/>
    </row>
    <row r="263" spans="1:13">
      <c r="B263" s="207"/>
    </row>
  </sheetData>
  <autoFilter ref="A2:V252" xr:uid="{00000000-0009-0000-0000-00000A000000}"/>
  <sortState xmlns:xlrd2="http://schemas.microsoft.com/office/spreadsheetml/2017/richdata2" ref="A2:M100">
    <sortCondition ref="A2:A100"/>
  </sortState>
  <pageMargins left="0.51181102362204722" right="0.31496062992125984" top="0.55118110236220474" bottom="0.74803149606299213" header="0.31496062992125984" footer="0.31496062992125984"/>
  <pageSetup paperSize="8" scale="66" orientation="portrait" r:id="rId1"/>
  <headerFooter>
    <oddFooter>&amp;L&amp;F&amp;C&amp;A&amp;R&amp;D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152"/>
  <sheetViews>
    <sheetView zoomScaleNormal="100" workbookViewId="0">
      <pane xSplit="1" ySplit="2" topLeftCell="B3" activePane="bottomRight" state="frozen"/>
      <selection pane="topRight" activeCell="B1" sqref="B1"/>
      <selection pane="bottomLeft" activeCell="A3" sqref="A3"/>
      <selection pane="bottomRight" activeCell="D9" sqref="D9"/>
    </sheetView>
  </sheetViews>
  <sheetFormatPr defaultColWidth="21.54296875" defaultRowHeight="12.5"/>
  <cols>
    <col min="1" max="3" width="21.54296875" style="223"/>
    <col min="4" max="4" width="25.453125" style="223" customWidth="1"/>
    <col min="5" max="6" width="21.54296875" style="223"/>
    <col min="7" max="8" width="15" style="243" customWidth="1"/>
    <col min="9" max="19" width="21.54296875" style="223"/>
    <col min="20" max="25" width="0" style="223" hidden="1" customWidth="1"/>
    <col min="26" max="16384" width="21.54296875" style="223"/>
  </cols>
  <sheetData>
    <row r="1" spans="1:23" ht="13">
      <c r="Q1" s="246">
        <v>50000</v>
      </c>
      <c r="R1" s="247">
        <v>50000</v>
      </c>
    </row>
    <row r="2" spans="1:23" ht="56">
      <c r="A2" s="224" t="s">
        <v>3025</v>
      </c>
      <c r="B2" s="224" t="s">
        <v>2954</v>
      </c>
      <c r="C2" s="224" t="s">
        <v>3026</v>
      </c>
      <c r="D2" s="224" t="s">
        <v>3028</v>
      </c>
      <c r="E2" s="224" t="s">
        <v>2955</v>
      </c>
      <c r="F2" s="224" t="s">
        <v>2956</v>
      </c>
      <c r="I2" s="224" t="s">
        <v>3029</v>
      </c>
      <c r="J2" s="224" t="s">
        <v>3000</v>
      </c>
      <c r="K2" s="224" t="s">
        <v>3037</v>
      </c>
      <c r="L2" s="224" t="s">
        <v>3038</v>
      </c>
      <c r="M2" s="224" t="s">
        <v>2965</v>
      </c>
      <c r="N2" s="224" t="s">
        <v>2966</v>
      </c>
      <c r="O2" s="224" t="s">
        <v>2967</v>
      </c>
      <c r="P2" s="224" t="s">
        <v>2968</v>
      </c>
      <c r="Q2" s="246" t="s">
        <v>3039</v>
      </c>
      <c r="R2" s="247" t="s">
        <v>3040</v>
      </c>
    </row>
    <row r="3" spans="1:23">
      <c r="A3" s="228" t="s">
        <v>2987</v>
      </c>
      <c r="B3" s="229"/>
      <c r="C3" s="229">
        <f>SUMIF(Historic_capex_list!$T$9:$T$586,$A3,Historic_capex_list!P$9:P$586)</f>
        <v>0</v>
      </c>
      <c r="D3" s="223" t="e">
        <f>IF(COUNTIF(#REF!,$A3)=0,0,+$B3)</f>
        <v>#REF!</v>
      </c>
      <c r="E3" s="223">
        <f>SUMIF(Rev_and_int_data!$B$7:$B$150,$A3,Rev_and_int_data!Q$7:Q$150)</f>
        <v>0</v>
      </c>
      <c r="F3" s="223" t="e">
        <f t="shared" ref="F3:F35" si="0">+E3+D3</f>
        <v>#REF!</v>
      </c>
      <c r="G3" s="243" t="str">
        <f t="shared" ref="G3:G35" si="1">LEFT(A3,3)</f>
        <v>(bl</v>
      </c>
      <c r="I3" s="223">
        <f>SUMIF(Rev_and_int_data!$B$7:$B$150,Aggregation_of_rev_to_allocate!$A3,Rev_and_int_data!E$7:E$150)*3/10</f>
        <v>0</v>
      </c>
      <c r="J3" s="223">
        <f>SUMIF(Rev_and_int_data!$B$7:$B$150,Aggregation_of_rev_to_allocate!$A3,Rev_and_int_data!S$7:S$150)</f>
        <v>0</v>
      </c>
      <c r="K3" s="223" t="e">
        <f t="shared" ref="K3:K35" si="2">+J3+I3+F3</f>
        <v>#REF!</v>
      </c>
      <c r="M3" s="223">
        <f>SUMIF(Historic_capex_list!$T$9:$T$586,$A3,Historic_capex_list!P$9:P$586)</f>
        <v>0</v>
      </c>
      <c r="N3" s="223">
        <f>SUMIF(Historic_capex_list!$T$9:$T$586,$A3,Historic_capex_list!Q$9:Q$586)</f>
        <v>0</v>
      </c>
      <c r="O3" s="223" t="e">
        <f>IF(M3=K3,+K3,+M3+K3)</f>
        <v>#REF!</v>
      </c>
      <c r="P3" s="223">
        <f>+N3</f>
        <v>0</v>
      </c>
      <c r="Q3" s="243" t="e">
        <f>IF(O3&lt;=Q$1,"Y","")</f>
        <v>#REF!</v>
      </c>
      <c r="R3" s="243" t="e">
        <f>IF((P3+O3)&lt;=R$1,"Y","")</f>
        <v>#REF!</v>
      </c>
      <c r="S3" s="245" t="s">
        <v>2259</v>
      </c>
      <c r="T3" s="245" t="s">
        <v>2259</v>
      </c>
      <c r="U3" s="245" t="s">
        <v>2259</v>
      </c>
      <c r="V3" s="245" t="s">
        <v>2259</v>
      </c>
      <c r="W3" s="245" t="s">
        <v>2259</v>
      </c>
    </row>
    <row r="4" spans="1:23">
      <c r="A4" s="228" t="s">
        <v>2970</v>
      </c>
      <c r="B4" s="229">
        <v>-2974.6599999999744</v>
      </c>
      <c r="C4" s="229">
        <f>SUMIF(Historic_capex_list!$T$9:$T$586,$A4,Historic_capex_list!P$9:P$586)</f>
        <v>0</v>
      </c>
      <c r="D4" s="223" t="e">
        <f>IF(COUNTIF(#REF!,$A4)=0,0,+$B4)</f>
        <v>#REF!</v>
      </c>
      <c r="E4" s="223">
        <f>SUMIF(Rev_and_int_data!$B$7:$B$150,$A4,Rev_and_int_data!Q$7:Q$150)</f>
        <v>0</v>
      </c>
      <c r="F4" s="223" t="e">
        <f t="shared" si="0"/>
        <v>#REF!</v>
      </c>
      <c r="G4" s="243" t="str">
        <f t="shared" si="1"/>
        <v>ALL</v>
      </c>
      <c r="I4" s="223">
        <f>SUMIF(Rev_and_int_data!$B$7:$B$150,Aggregation_of_rev_to_allocate!$A4,Rev_and_int_data!E$7:E$150)*3/10</f>
        <v>0</v>
      </c>
      <c r="J4" s="223">
        <f>SUMIF(Rev_and_int_data!$B$7:$B$150,Aggregation_of_rev_to_allocate!$A4,Rev_and_int_data!S$7:S$150)</f>
        <v>0</v>
      </c>
      <c r="K4" s="223" t="e">
        <f t="shared" si="2"/>
        <v>#REF!</v>
      </c>
      <c r="M4" s="223">
        <f>SUMIF(Historic_capex_list!$T$9:$T$586,$A4,Historic_capex_list!P$9:P$586)</f>
        <v>0</v>
      </c>
      <c r="N4" s="223">
        <f>SUMIF(Historic_capex_list!$T$9:$T$586,$A4,Historic_capex_list!Q$9:Q$586)</f>
        <v>0</v>
      </c>
      <c r="O4" s="223" t="e">
        <f>IF(M4=K4,+K4,+M4+K4)</f>
        <v>#REF!</v>
      </c>
      <c r="P4" s="223">
        <f t="shared" ref="P4:P69" si="3">+N4</f>
        <v>0</v>
      </c>
      <c r="Q4" s="243" t="e">
        <f t="shared" ref="Q4:Q69" si="4">IF(O4&lt;=Q$1,"Y","")</f>
        <v>#REF!</v>
      </c>
      <c r="R4" s="243" t="e">
        <f t="shared" ref="R4:R69" si="5">IF((P4+O4)&lt;=R$1,"Y","")</f>
        <v>#REF!</v>
      </c>
    </row>
    <row r="5" spans="1:23">
      <c r="A5" s="226" t="s">
        <v>2842</v>
      </c>
      <c r="B5" s="223">
        <v>-5763023.3499999922</v>
      </c>
      <c r="C5" s="223">
        <f>SUMIF(Historic_capex_list!$T$9:$T$586,$A5,Historic_capex_list!P$9:P$586)</f>
        <v>62036078.817807756</v>
      </c>
      <c r="D5" s="223" t="e">
        <f>IF(COUNTIF(#REF!,$A5)=0,0,+$B5)</f>
        <v>#REF!</v>
      </c>
      <c r="E5" s="223">
        <f>SUMIF(Rev_and_int_data!$B$7:$B$150,$A5,Rev_and_int_data!Q$7:Q$150)</f>
        <v>-7616289.9910217272</v>
      </c>
      <c r="F5" s="223" t="e">
        <f t="shared" si="0"/>
        <v>#REF!</v>
      </c>
      <c r="G5" s="243" t="str">
        <f t="shared" si="1"/>
        <v xml:space="preserve">CI </v>
      </c>
      <c r="I5" s="223">
        <f>SUMIF(Rev_and_int_data!$B$7:$B$150,Aggregation_of_rev_to_allocate!$A5,Rev_and_int_data!E$7:E$150)*3/10</f>
        <v>207490.9547070101</v>
      </c>
      <c r="J5" s="223">
        <f>SUMIF(Rev_and_int_data!$B$7:$B$150,Aggregation_of_rev_to_allocate!$A5,Rev_and_int_data!S$7:S$150)</f>
        <v>9473028.1050535999</v>
      </c>
      <c r="K5" s="223" t="e">
        <f t="shared" si="2"/>
        <v>#REF!</v>
      </c>
      <c r="M5" s="223">
        <f>SUMIF(Historic_capex_list!$T$9:$T$586,$A5,Historic_capex_list!P$9:P$586)</f>
        <v>62036078.817807756</v>
      </c>
      <c r="N5" s="223">
        <f>SUMIF(Historic_capex_list!$T$9:$T$586,$A5,Historic_capex_list!Q$9:Q$586)</f>
        <v>17861651.408251837</v>
      </c>
      <c r="O5" s="223" t="e">
        <f>IF(M5=K5,+K5,+M5+K5)</f>
        <v>#REF!</v>
      </c>
      <c r="P5" s="223">
        <f t="shared" si="3"/>
        <v>17861651.408251837</v>
      </c>
      <c r="Q5" s="243" t="e">
        <f t="shared" si="4"/>
        <v>#REF!</v>
      </c>
      <c r="R5" s="243" t="e">
        <f t="shared" si="5"/>
        <v>#REF!</v>
      </c>
    </row>
    <row r="6" spans="1:23">
      <c r="A6" s="226" t="s">
        <v>2851</v>
      </c>
      <c r="B6" s="223">
        <v>-21584.7</v>
      </c>
      <c r="C6" s="223">
        <f>SUMIF(Historic_capex_list!$T$9:$T$586,$A6,Historic_capex_list!P$9:P$586)</f>
        <v>1326525.042544916</v>
      </c>
      <c r="D6" s="223" t="e">
        <f>IF(COUNTIF(#REF!,$A6)=0,0,+$B6)+($B$82+$B$78)*$C6/($C$6+$C$7+$C$8+$C$10+$C$21+$C$22)</f>
        <v>#REF!</v>
      </c>
      <c r="E6" s="223">
        <f>SUMIF(Rev_and_int_data!$B$7:$B$150,$A6,Rev_and_int_data!Q$7:Q$150)</f>
        <v>-119007.22502752613</v>
      </c>
      <c r="F6" s="223" t="e">
        <f t="shared" si="0"/>
        <v>#REF!</v>
      </c>
      <c r="G6" s="243" t="str">
        <f t="shared" si="1"/>
        <v xml:space="preserve">CI </v>
      </c>
      <c r="I6" s="223">
        <f>SUMIF(Rev_and_int_data!$B$7:$B$150,Aggregation_of_rev_to_allocate!$A6,Rev_and_int_data!E$7:E$150)*3/10</f>
        <v>3436.7224456711651</v>
      </c>
      <c r="J6" s="223">
        <f>SUMIF(Rev_and_int_data!$B$7:$B$150,Aggregation_of_rev_to_allocate!$A6,Rev_and_int_data!S$7:S$150)</f>
        <v>18506.809768759766</v>
      </c>
      <c r="K6" s="223" t="e">
        <f t="shared" si="2"/>
        <v>#REF!</v>
      </c>
      <c r="M6" s="223">
        <f>SUMIF(Historic_capex_list!$T$9:$T$586,$A6,Historic_capex_list!P$9:P$586)</f>
        <v>1326525.042544916</v>
      </c>
      <c r="N6" s="223">
        <f>SUMIF(Historic_capex_list!$T$9:$T$586,$A6,Historic_capex_list!Q$9:Q$586)</f>
        <v>0</v>
      </c>
      <c r="O6" s="223" t="e">
        <f>IF(M6=K6,+K6,+M6+K6)</f>
        <v>#REF!</v>
      </c>
      <c r="P6" s="223">
        <f t="shared" si="3"/>
        <v>0</v>
      </c>
      <c r="Q6" s="243" t="e">
        <f t="shared" si="4"/>
        <v>#REF!</v>
      </c>
      <c r="R6" s="243" t="e">
        <f t="shared" si="5"/>
        <v>#REF!</v>
      </c>
    </row>
    <row r="7" spans="1:23">
      <c r="A7" s="226" t="s">
        <v>2852</v>
      </c>
      <c r="B7" s="223">
        <v>-1921.4</v>
      </c>
      <c r="C7" s="223">
        <f>SUMIF(Historic_capex_list!$T$9:$T$586,$A7,Historic_capex_list!P$9:P$586)</f>
        <v>4531666.4425128326</v>
      </c>
      <c r="D7" s="223" t="e">
        <f>IF(COUNTIF(#REF!,$A7)=0,0,+$B7)+($B$82+$B$78)*$C7/($C$6+$C$7+$C$8+$C$10+$C$21+$C$22)</f>
        <v>#REF!</v>
      </c>
      <c r="E7" s="223">
        <f>SUMIF(Rev_and_int_data!$B$7:$B$150,$A7,Rev_and_int_data!Q$7:Q$150)</f>
        <v>-160009.85075721197</v>
      </c>
      <c r="F7" s="223" t="e">
        <f t="shared" si="0"/>
        <v>#REF!</v>
      </c>
      <c r="G7" s="243" t="str">
        <f t="shared" si="1"/>
        <v xml:space="preserve">CI </v>
      </c>
      <c r="I7" s="223">
        <f>SUMIF(Rev_and_int_data!$B$7:$B$150,Aggregation_of_rev_to_allocate!$A7,Rev_and_int_data!E$7:E$150)*3/10</f>
        <v>3991.7669757324024</v>
      </c>
      <c r="J7" s="223">
        <f>SUMIF(Rev_and_int_data!$B$7:$B$150,Aggregation_of_rev_to_allocate!$A7,Rev_and_int_data!S$7:S$150)</f>
        <v>239477.65715965602</v>
      </c>
      <c r="K7" s="223" t="e">
        <f t="shared" si="2"/>
        <v>#REF!</v>
      </c>
      <c r="M7" s="223">
        <f>SUMIF(Historic_capex_list!$T$9:$T$586,$A7,Historic_capex_list!P$9:P$586)</f>
        <v>4531666.4425128326</v>
      </c>
      <c r="N7" s="223">
        <f>SUMIF(Historic_capex_list!$T$9:$T$586,$A7,Historic_capex_list!Q$9:Q$586)</f>
        <v>1078489.2567645961</v>
      </c>
      <c r="O7" s="223" t="e">
        <f t="shared" ref="O7:O67" si="6">+M7+K7</f>
        <v>#REF!</v>
      </c>
      <c r="P7" s="223">
        <f t="shared" si="3"/>
        <v>1078489.2567645961</v>
      </c>
      <c r="Q7" s="243" t="e">
        <f t="shared" si="4"/>
        <v>#REF!</v>
      </c>
      <c r="R7" s="243" t="e">
        <f t="shared" si="5"/>
        <v>#REF!</v>
      </c>
    </row>
    <row r="8" spans="1:23">
      <c r="A8" s="226" t="s">
        <v>2853</v>
      </c>
      <c r="B8" s="223">
        <v>-214.20000000000002</v>
      </c>
      <c r="C8" s="223">
        <f>SUMIF(Historic_capex_list!$T$9:$T$586,$A8,Historic_capex_list!P$9:P$586)</f>
        <v>46225.930622504668</v>
      </c>
      <c r="D8" s="223" t="e">
        <f>IF(COUNTIF(#REF!,$A8)=0,0,+$B8)+($B$82+$B$78)*$C8/($C$6+$C$7+$C$8+$C$10+$C$21+$C$22)+$B$81*$C8/($C$8+$C$10+$C$21)</f>
        <v>#REF!</v>
      </c>
      <c r="E8" s="223">
        <f>SUMIF(Rev_and_int_data!$B$7:$B$150,$A8,Rev_and_int_data!Q$7:Q$150)</f>
        <v>-102.72316605169743</v>
      </c>
      <c r="F8" s="223" t="e">
        <f t="shared" si="0"/>
        <v>#REF!</v>
      </c>
      <c r="G8" s="243" t="str">
        <f t="shared" si="1"/>
        <v xml:space="preserve">CI </v>
      </c>
      <c r="I8" s="223">
        <f>SUMIF(Rev_and_int_data!$B$7:$B$150,Aggregation_of_rev_to_allocate!$A8,Rev_and_int_data!E$7:E$150)*3/10</f>
        <v>200.04578446345073</v>
      </c>
      <c r="J8" s="223">
        <f>SUMIF(Rev_and_int_data!$B$7:$B$150,Aggregation_of_rev_to_allocate!$A8,Rev_and_int_data!S$7:S$150)</f>
        <v>12995.270799105881</v>
      </c>
      <c r="K8" s="223" t="e">
        <f t="shared" si="2"/>
        <v>#REF!</v>
      </c>
      <c r="M8" s="223">
        <f>SUMIF(Historic_capex_list!$T$9:$T$586,$A8,Historic_capex_list!P$9:P$586)</f>
        <v>46225.930622504668</v>
      </c>
      <c r="N8" s="223">
        <f>SUMIF(Historic_capex_list!$T$9:$T$586,$A8,Historic_capex_list!Q$9:Q$586)</f>
        <v>0</v>
      </c>
      <c r="O8" s="223" t="e">
        <f t="shared" si="6"/>
        <v>#REF!</v>
      </c>
      <c r="P8" s="223">
        <f t="shared" si="3"/>
        <v>0</v>
      </c>
      <c r="Q8" s="243" t="e">
        <f t="shared" si="4"/>
        <v>#REF!</v>
      </c>
      <c r="R8" s="243" t="e">
        <f t="shared" si="5"/>
        <v>#REF!</v>
      </c>
    </row>
    <row r="9" spans="1:23">
      <c r="A9" s="240" t="s">
        <v>2854</v>
      </c>
      <c r="B9" s="223">
        <v>0</v>
      </c>
      <c r="C9" s="223">
        <f>SUMIF(Historic_capex_list!$T$9:$T$586,$A9,Historic_capex_list!P$9:P$586)</f>
        <v>0</v>
      </c>
      <c r="D9" s="223" t="e">
        <f>IF(COUNTIF(#REF!,$A9)=0,0,+$B9)+($B$82+$B$78)*$C9/($C$6+$C$7+$C$8+$C$10+$C$21+$C$22)</f>
        <v>#REF!</v>
      </c>
      <c r="E9" s="223">
        <f>SUMIF(Rev_and_int_data!$B$7:$B$150,$A9,Rev_and_int_data!Q$7:Q$150)</f>
        <v>2.2218770927819292E-2</v>
      </c>
      <c r="F9" s="223" t="e">
        <f t="shared" si="0"/>
        <v>#REF!</v>
      </c>
      <c r="G9" s="243" t="str">
        <f t="shared" si="1"/>
        <v xml:space="preserve">CI </v>
      </c>
      <c r="I9" s="223">
        <f>SUMIF(Rev_and_int_data!$B$7:$B$150,Aggregation_of_rev_to_allocate!$A9,Rev_and_int_data!E$7:E$150)*3/10</f>
        <v>0</v>
      </c>
      <c r="J9" s="223">
        <f>SUMIF(Rev_and_int_data!$B$7:$B$150,Aggregation_of_rev_to_allocate!$A9,Rev_and_int_data!S$7:S$150)</f>
        <v>0</v>
      </c>
      <c r="K9" s="223" t="e">
        <f t="shared" si="2"/>
        <v>#REF!</v>
      </c>
      <c r="M9" s="223">
        <f>SUMIF(Historic_capex_list!$T$9:$T$586,$A9,Historic_capex_list!P$9:P$586)</f>
        <v>0</v>
      </c>
      <c r="N9" s="223">
        <f>SUMIF(Historic_capex_list!$T$9:$T$586,$A9,Historic_capex_list!Q$9:Q$586)</f>
        <v>0</v>
      </c>
      <c r="O9" s="223" t="e">
        <f t="shared" si="6"/>
        <v>#REF!</v>
      </c>
      <c r="P9" s="223">
        <f t="shared" si="3"/>
        <v>0</v>
      </c>
      <c r="Q9" s="243" t="e">
        <f t="shared" si="4"/>
        <v>#REF!</v>
      </c>
      <c r="R9" s="243" t="e">
        <f t="shared" si="5"/>
        <v>#REF!</v>
      </c>
    </row>
    <row r="10" spans="1:23">
      <c r="A10" s="226" t="s">
        <v>2855</v>
      </c>
      <c r="B10" s="223">
        <v>-39942.6</v>
      </c>
      <c r="C10" s="223">
        <f>SUMIF(Historic_capex_list!$T$9:$T$586,$A10,Historic_capex_list!P$9:P$586)</f>
        <v>4055179.4336544084</v>
      </c>
      <c r="D10" s="223" t="e">
        <f>IF(COUNTIF(#REF!,$A10)=0,0,+$B10)+($B$82+$B$78)*$C10/($C$6+$C$7+$C$8+$C$10+$C$21+$C$22)+$B$81*$C10/($C$8+$C$10+$C$21)</f>
        <v>#REF!</v>
      </c>
      <c r="E10" s="223">
        <f>SUMIF(Rev_and_int_data!$B$7:$B$150,$A10,Rev_and_int_data!Q$7:Q$150)</f>
        <v>-436533.20820622158</v>
      </c>
      <c r="F10" s="223" t="e">
        <f t="shared" si="0"/>
        <v>#REF!</v>
      </c>
      <c r="G10" s="243" t="str">
        <f t="shared" si="1"/>
        <v xml:space="preserve">CI </v>
      </c>
      <c r="I10" s="223">
        <f>SUMIF(Rev_and_int_data!$B$7:$B$150,Aggregation_of_rev_to_allocate!$A10,Rev_and_int_data!E$7:E$150)*3/10</f>
        <v>12753.196046823101</v>
      </c>
      <c r="J10" s="223">
        <f>SUMIF(Rev_and_int_data!$B$7:$B$150,Aggregation_of_rev_to_allocate!$A10,Rev_and_int_data!S$7:S$150)</f>
        <v>771744.85376968142</v>
      </c>
      <c r="K10" s="223" t="e">
        <f t="shared" si="2"/>
        <v>#REF!</v>
      </c>
      <c r="M10" s="223">
        <f>SUMIF(Historic_capex_list!$T$9:$T$586,$A10,Historic_capex_list!P$9:P$586)</f>
        <v>4055179.4336544084</v>
      </c>
      <c r="N10" s="223">
        <f>SUMIF(Historic_capex_list!$T$9:$T$586,$A10,Historic_capex_list!Q$9:Q$586)</f>
        <v>0</v>
      </c>
      <c r="O10" s="223" t="e">
        <f t="shared" si="6"/>
        <v>#REF!</v>
      </c>
      <c r="P10" s="223">
        <f t="shared" si="3"/>
        <v>0</v>
      </c>
      <c r="Q10" s="243" t="e">
        <f t="shared" si="4"/>
        <v>#REF!</v>
      </c>
      <c r="R10" s="243" t="e">
        <f t="shared" si="5"/>
        <v>#REF!</v>
      </c>
    </row>
    <row r="11" spans="1:23">
      <c r="A11" s="226" t="s">
        <v>2856</v>
      </c>
      <c r="B11" s="223">
        <v>-307636.31</v>
      </c>
      <c r="C11" s="223">
        <f>SUMIF(Historic_capex_list!$T$9:$T$586,$A11,Historic_capex_list!P$9:P$586)</f>
        <v>473742.6507055955</v>
      </c>
      <c r="D11" s="223" t="e">
        <f>IF(COUNTIF(#REF!,$A11)=0,0,+$B11)+$B$84*$C11/($C$11+$C$12+$C$18+$C$19)</f>
        <v>#REF!</v>
      </c>
      <c r="E11" s="223">
        <f>SUMIF(Rev_and_int_data!$B$7:$B$150,$A11,Rev_and_int_data!Q$7:Q$150)</f>
        <v>-59004.265624630483</v>
      </c>
      <c r="F11" s="223" t="e">
        <f t="shared" si="0"/>
        <v>#REF!</v>
      </c>
      <c r="G11" s="243" t="str">
        <f t="shared" si="1"/>
        <v xml:space="preserve">CI </v>
      </c>
      <c r="I11" s="223">
        <f>SUMIF(Rev_and_int_data!$B$7:$B$150,Aggregation_of_rev_to_allocate!$A11,Rev_and_int_data!E$7:E$150)*3/10</f>
        <v>3354.9835290913747</v>
      </c>
      <c r="J11" s="223">
        <f>SUMIF(Rev_and_int_data!$B$7:$B$150,Aggregation_of_rev_to_allocate!$A11,Rev_and_int_data!S$7:S$150)</f>
        <v>111356.58560354947</v>
      </c>
      <c r="K11" s="223" t="e">
        <f t="shared" si="2"/>
        <v>#REF!</v>
      </c>
      <c r="M11" s="223">
        <f>SUMIF(Historic_capex_list!$T$9:$T$586,$A11,Historic_capex_list!P$9:P$586)</f>
        <v>473742.6507055955</v>
      </c>
      <c r="N11" s="223">
        <f>SUMIF(Historic_capex_list!$T$9:$T$586,$A11,Historic_capex_list!Q$9:Q$586)</f>
        <v>0</v>
      </c>
      <c r="O11" s="223" t="e">
        <f t="shared" si="6"/>
        <v>#REF!</v>
      </c>
      <c r="P11" s="223">
        <f t="shared" si="3"/>
        <v>0</v>
      </c>
      <c r="Q11" s="243" t="e">
        <f t="shared" si="4"/>
        <v>#REF!</v>
      </c>
      <c r="R11" s="243" t="e">
        <f t="shared" si="5"/>
        <v>#REF!</v>
      </c>
    </row>
    <row r="12" spans="1:23">
      <c r="A12" s="226" t="s">
        <v>2857</v>
      </c>
      <c r="B12" s="223">
        <v>-510237.07000000007</v>
      </c>
      <c r="C12" s="223">
        <f>SUMIF(Historic_capex_list!$T$9:$T$586,$A12,Historic_capex_list!P$9:P$586)</f>
        <v>24219759.437002495</v>
      </c>
      <c r="D12" s="223" t="e">
        <f>IF(COUNTIF(#REF!,$A12)=0,0,+$B12)+$B$84*$C12/($C$11+$C$12+$C$18+$C$19)</f>
        <v>#REF!</v>
      </c>
      <c r="E12" s="223">
        <f>SUMIF(Rev_and_int_data!$B$7:$B$150,$A12,Rev_and_int_data!Q$7:Q$150)</f>
        <v>-2752198.9832904711</v>
      </c>
      <c r="F12" s="223" t="e">
        <f t="shared" si="0"/>
        <v>#REF!</v>
      </c>
      <c r="G12" s="243" t="str">
        <f t="shared" si="1"/>
        <v xml:space="preserve">CI </v>
      </c>
      <c r="I12" s="223">
        <f>SUMIF(Rev_and_int_data!$B$7:$B$150,Aggregation_of_rev_to_allocate!$A12,Rev_and_int_data!E$7:E$150)*3/10</f>
        <v>65964.307198607683</v>
      </c>
      <c r="J12" s="223">
        <f>SUMIF(Rev_and_int_data!$B$7:$B$150,Aggregation_of_rev_to_allocate!$A12,Rev_and_int_data!S$7:S$150)</f>
        <v>3266142.0120324749</v>
      </c>
      <c r="K12" s="223" t="e">
        <f t="shared" si="2"/>
        <v>#REF!</v>
      </c>
      <c r="M12" s="223">
        <f>SUMIF(Historic_capex_list!$T$9:$T$586,$A12,Historic_capex_list!P$9:P$586)</f>
        <v>24219759.437002495</v>
      </c>
      <c r="N12" s="223">
        <f>SUMIF(Historic_capex_list!$T$9:$T$586,$A12,Historic_capex_list!Q$9:Q$586)</f>
        <v>4205139.5241994383</v>
      </c>
      <c r="O12" s="223" t="e">
        <f t="shared" si="6"/>
        <v>#REF!</v>
      </c>
      <c r="P12" s="223">
        <f t="shared" si="3"/>
        <v>4205139.5241994383</v>
      </c>
      <c r="Q12" s="243" t="e">
        <f t="shared" si="4"/>
        <v>#REF!</v>
      </c>
      <c r="R12" s="243" t="e">
        <f t="shared" si="5"/>
        <v>#REF!</v>
      </c>
    </row>
    <row r="13" spans="1:23">
      <c r="A13" s="226" t="s">
        <v>2858</v>
      </c>
      <c r="B13" s="223">
        <v>-1506025.4500000002</v>
      </c>
      <c r="C13" s="223">
        <f>SUMIF(Historic_capex_list!$T$9:$T$586,$A13,Historic_capex_list!P$9:P$586)</f>
        <v>5533949.1504521091</v>
      </c>
      <c r="D13" s="223" t="e">
        <f>IF(COUNTIF(#REF!,$A13)=0,0,+$B13)+$B$79*$C13/($C$13+$C$20)</f>
        <v>#REF!</v>
      </c>
      <c r="E13" s="223">
        <f>SUMIF(Rev_and_int_data!$B$7:$B$150,$A13,Rev_and_int_data!Q$7:Q$150)</f>
        <v>-378986.8691762719</v>
      </c>
      <c r="F13" s="223" t="e">
        <f t="shared" si="0"/>
        <v>#REF!</v>
      </c>
      <c r="G13" s="243" t="str">
        <f t="shared" si="1"/>
        <v xml:space="preserve">CI </v>
      </c>
      <c r="I13" s="223">
        <f>SUMIF(Rev_and_int_data!$B$7:$B$150,Aggregation_of_rev_to_allocate!$A13,Rev_and_int_data!E$7:E$150)*3/10</f>
        <v>16838.571798099489</v>
      </c>
      <c r="J13" s="223">
        <f>SUMIF(Rev_and_int_data!$B$7:$B$150,Aggregation_of_rev_to_allocate!$A13,Rev_and_int_data!S$7:S$150)</f>
        <v>629602.01349055092</v>
      </c>
      <c r="K13" s="223" t="e">
        <f t="shared" si="2"/>
        <v>#REF!</v>
      </c>
      <c r="M13" s="223">
        <f>SUMIF(Historic_capex_list!$T$9:$T$586,$A13,Historic_capex_list!P$9:P$586)</f>
        <v>5533949.1504521091</v>
      </c>
      <c r="N13" s="223">
        <f>SUMIF(Historic_capex_list!$T$9:$T$586,$A13,Historic_capex_list!Q$9:Q$586)</f>
        <v>2301947.3894573585</v>
      </c>
      <c r="O13" s="223" t="e">
        <f t="shared" si="6"/>
        <v>#REF!</v>
      </c>
      <c r="P13" s="223">
        <f t="shared" si="3"/>
        <v>2301947.3894573585</v>
      </c>
      <c r="Q13" s="243" t="e">
        <f t="shared" si="4"/>
        <v>#REF!</v>
      </c>
      <c r="R13" s="243" t="e">
        <f t="shared" si="5"/>
        <v>#REF!</v>
      </c>
    </row>
    <row r="14" spans="1:23">
      <c r="A14" s="226" t="s">
        <v>2859</v>
      </c>
      <c r="B14" s="223">
        <v>-2024904.5999999989</v>
      </c>
      <c r="C14" s="223">
        <f>SUMIF(Historic_capex_list!$T$9:$T$586,$A14,Historic_capex_list!P$9:P$586)</f>
        <v>45799204.082418963</v>
      </c>
      <c r="D14" s="223" t="e">
        <f>IF(COUNTIF(#REF!,$A14)=0,0,+$B14)</f>
        <v>#REF!</v>
      </c>
      <c r="E14" s="223">
        <f>SUMIF(Rev_and_int_data!$B$7:$B$150,$A14,Rev_and_int_data!Q$7:Q$150)</f>
        <v>-6840470.0474990178</v>
      </c>
      <c r="F14" s="223" t="e">
        <f t="shared" si="0"/>
        <v>#REF!</v>
      </c>
      <c r="G14" s="243" t="str">
        <f t="shared" si="1"/>
        <v xml:space="preserve">CI </v>
      </c>
      <c r="I14" s="223">
        <f>SUMIF(Rev_and_int_data!$B$7:$B$150,Aggregation_of_rev_to_allocate!$A14,Rev_and_int_data!E$7:E$150)*3/10</f>
        <v>181157.88223829126</v>
      </c>
      <c r="J14" s="223">
        <f>SUMIF(Rev_and_int_data!$B$7:$B$150,Aggregation_of_rev_to_allocate!$A14,Rev_and_int_data!S$7:S$150)</f>
        <v>9804583.7402414195</v>
      </c>
      <c r="K14" s="223" t="e">
        <f t="shared" si="2"/>
        <v>#REF!</v>
      </c>
      <c r="M14" s="223">
        <f>SUMIF(Historic_capex_list!$T$9:$T$586,$A14,Historic_capex_list!P$9:P$586)</f>
        <v>45799204.082418963</v>
      </c>
      <c r="N14" s="223">
        <f>SUMIF(Historic_capex_list!$T$9:$T$586,$A14,Historic_capex_list!Q$9:Q$586)</f>
        <v>12.115384615384613</v>
      </c>
      <c r="O14" s="223" t="e">
        <f t="shared" si="6"/>
        <v>#REF!</v>
      </c>
      <c r="P14" s="223">
        <f t="shared" si="3"/>
        <v>12.115384615384613</v>
      </c>
      <c r="Q14" s="243" t="e">
        <f t="shared" si="4"/>
        <v>#REF!</v>
      </c>
      <c r="R14" s="243" t="e">
        <f t="shared" si="5"/>
        <v>#REF!</v>
      </c>
    </row>
    <row r="15" spans="1:23">
      <c r="A15" s="226" t="s">
        <v>2860</v>
      </c>
      <c r="B15" s="227">
        <f>-798152.54-B30*0.39</f>
        <v>-743729.32700000005</v>
      </c>
      <c r="C15" s="223">
        <f>SUMIF(Historic_capex_list!$T$9:$T$586,$A15,Historic_capex_list!P$9:P$586)</f>
        <v>9700790.2249138243</v>
      </c>
      <c r="D15" s="223" t="e">
        <f>IF(COUNTIF(#REF!,$A15)=0,0,+$B15)+$B$80*$C15/($C$15+$C$17)</f>
        <v>#REF!</v>
      </c>
      <c r="E15" s="223">
        <f>SUMIF(Rev_and_int_data!$B$7:$B$150,$A15,Rev_and_int_data!Q$7:Q$150)</f>
        <v>-1319126.3363022397</v>
      </c>
      <c r="F15" s="223" t="e">
        <f t="shared" si="0"/>
        <v>#REF!</v>
      </c>
      <c r="G15" s="243" t="str">
        <f t="shared" si="1"/>
        <v xml:space="preserve">CI </v>
      </c>
      <c r="I15" s="223">
        <f>SUMIF(Rev_and_int_data!$B$7:$B$150,Aggregation_of_rev_to_allocate!$A15,Rev_and_int_data!E$7:E$150)*3/10</f>
        <v>36829.57753361349</v>
      </c>
      <c r="J15" s="223">
        <f>SUMIF(Rev_and_int_data!$B$7:$B$150,Aggregation_of_rev_to_allocate!$A15,Rev_and_int_data!S$7:S$150)</f>
        <v>1951943.4535289449</v>
      </c>
      <c r="K15" s="223" t="e">
        <f t="shared" si="2"/>
        <v>#REF!</v>
      </c>
      <c r="M15" s="223">
        <f>SUMIF(Historic_capex_list!$T$9:$T$586,$A15,Historic_capex_list!P$9:P$586)</f>
        <v>9700790.2249138243</v>
      </c>
      <c r="N15" s="223">
        <f>SUMIF(Historic_capex_list!$T$9:$T$586,$A15,Historic_capex_list!Q$9:Q$586)</f>
        <v>581323.6875</v>
      </c>
      <c r="O15" s="223" t="e">
        <f t="shared" si="6"/>
        <v>#REF!</v>
      </c>
      <c r="P15" s="223">
        <f t="shared" si="3"/>
        <v>581323.6875</v>
      </c>
      <c r="Q15" s="243" t="e">
        <f t="shared" si="4"/>
        <v>#REF!</v>
      </c>
      <c r="R15" s="243" t="e">
        <f t="shared" si="5"/>
        <v>#REF!</v>
      </c>
    </row>
    <row r="16" spans="1:23">
      <c r="A16" s="226" t="s">
        <v>2843</v>
      </c>
      <c r="B16" s="223">
        <v>-1776662.8299999973</v>
      </c>
      <c r="C16" s="223">
        <f>SUMIF(Historic_capex_list!$T$9:$T$586,$A16,Historic_capex_list!P$9:P$586)</f>
        <v>0</v>
      </c>
      <c r="D16" s="223" t="e">
        <f>IF(COUNTIF(#REF!,$A16)=0,0,+$B16)</f>
        <v>#REF!</v>
      </c>
      <c r="E16" s="223">
        <f>SUMIF(Rev_and_int_data!$B$7:$B$150,$A16,Rev_and_int_data!Q$7:Q$150)</f>
        <v>0</v>
      </c>
      <c r="F16" s="223" t="e">
        <f t="shared" si="0"/>
        <v>#REF!</v>
      </c>
      <c r="G16" s="243" t="str">
        <f t="shared" si="1"/>
        <v xml:space="preserve">CI </v>
      </c>
      <c r="I16" s="223">
        <f>SUMIF(Rev_and_int_data!$B$7:$B$150,Aggregation_of_rev_to_allocate!$A16,Rev_and_int_data!E$7:E$150)*3/10</f>
        <v>0</v>
      </c>
      <c r="J16" s="223">
        <f>SUMIF(Rev_and_int_data!$B$7:$B$150,Aggregation_of_rev_to_allocate!$A16,Rev_and_int_data!S$7:S$150)</f>
        <v>-33342.010674469981</v>
      </c>
      <c r="K16" s="223" t="e">
        <f t="shared" si="2"/>
        <v>#REF!</v>
      </c>
      <c r="M16" s="223">
        <f>SUMIF(Historic_capex_list!$T$9:$T$586,$A16,Historic_capex_list!P$9:P$586)</f>
        <v>0</v>
      </c>
      <c r="N16" s="223">
        <f>SUMIF(Historic_capex_list!$T$9:$T$586,$A16,Historic_capex_list!Q$9:Q$586)</f>
        <v>0</v>
      </c>
      <c r="O16" s="223">
        <f>+M16</f>
        <v>0</v>
      </c>
      <c r="P16" s="223">
        <f t="shared" si="3"/>
        <v>0</v>
      </c>
      <c r="Q16" s="243" t="str">
        <f t="shared" si="4"/>
        <v>Y</v>
      </c>
      <c r="R16" s="243" t="str">
        <f t="shared" si="5"/>
        <v>Y</v>
      </c>
    </row>
    <row r="17" spans="1:18">
      <c r="A17" s="226" t="s">
        <v>2861</v>
      </c>
      <c r="B17" s="223">
        <v>-88.57</v>
      </c>
      <c r="C17" s="223">
        <f>SUMIF(Historic_capex_list!$T$9:$T$586,$A17,Historic_capex_list!P$9:P$586)</f>
        <v>-150.98679953781314</v>
      </c>
      <c r="D17" s="223" t="e">
        <f>IF(COUNTIF(#REF!,$A17)=0,0,+$B17)+$B$80*$C17/($C$15+$C$17)</f>
        <v>#REF!</v>
      </c>
      <c r="E17" s="223">
        <f>SUMIF(Rev_and_int_data!$B$7:$B$150,$A17,Rev_and_int_data!Q$7:Q$150)</f>
        <v>0</v>
      </c>
      <c r="F17" s="223" t="e">
        <f t="shared" si="0"/>
        <v>#REF!</v>
      </c>
      <c r="G17" s="243" t="str">
        <f t="shared" si="1"/>
        <v xml:space="preserve">CI </v>
      </c>
      <c r="I17" s="223">
        <f>SUMIF(Rev_and_int_data!$B$7:$B$150,Aggregation_of_rev_to_allocate!$A17,Rev_and_int_data!E$7:E$150)*3/10</f>
        <v>0</v>
      </c>
      <c r="J17" s="223">
        <f>SUMIF(Rev_and_int_data!$B$7:$B$150,Aggregation_of_rev_to_allocate!$A17,Rev_and_int_data!S$7:S$150)</f>
        <v>0</v>
      </c>
      <c r="K17" s="223" t="e">
        <f t="shared" si="2"/>
        <v>#REF!</v>
      </c>
      <c r="M17" s="223">
        <f>SUMIF(Historic_capex_list!$T$9:$T$586,$A17,Historic_capex_list!P$9:P$586)</f>
        <v>-150.98679953781314</v>
      </c>
      <c r="N17" s="223">
        <f>SUMIF(Historic_capex_list!$T$9:$T$586,$A17,Historic_capex_list!Q$9:Q$586)</f>
        <v>0</v>
      </c>
      <c r="O17" s="223" t="e">
        <f t="shared" si="6"/>
        <v>#REF!</v>
      </c>
      <c r="P17" s="223">
        <f t="shared" si="3"/>
        <v>0</v>
      </c>
      <c r="Q17" s="243" t="e">
        <f t="shared" si="4"/>
        <v>#REF!</v>
      </c>
      <c r="R17" s="243" t="e">
        <f t="shared" si="5"/>
        <v>#REF!</v>
      </c>
    </row>
    <row r="18" spans="1:18">
      <c r="A18" s="226" t="s">
        <v>2862</v>
      </c>
      <c r="B18" s="223">
        <v>-15439.840000000002</v>
      </c>
      <c r="C18" s="223">
        <f>SUMIF(Historic_capex_list!$T$9:$T$586,$A18,Historic_capex_list!P$9:P$586)</f>
        <v>528506.95100382227</v>
      </c>
      <c r="D18" s="223" t="e">
        <f>IF(COUNTIF(#REF!,$A18)=0,0,+$B18)+$B$83*$C18/($C$26+$C$18)+$B$84*$C18/($C$11+$C$12+$C$18+$C$19)</f>
        <v>#REF!</v>
      </c>
      <c r="E18" s="223">
        <f>SUMIF(Rev_and_int_data!$B$7:$B$150,$A18,Rev_and_int_data!Q$7:Q$150)</f>
        <v>-85517.005484945999</v>
      </c>
      <c r="F18" s="223" t="e">
        <f t="shared" si="0"/>
        <v>#REF!</v>
      </c>
      <c r="G18" s="243" t="str">
        <f t="shared" si="1"/>
        <v xml:space="preserve">CI </v>
      </c>
      <c r="I18" s="223">
        <f>SUMIF(Rev_and_int_data!$B$7:$B$150,Aggregation_of_rev_to_allocate!$A18,Rev_and_int_data!E$7:E$150)*3/10</f>
        <v>1601.1419490728615</v>
      </c>
      <c r="J18" s="223">
        <f>SUMIF(Rev_and_int_data!$B$7:$B$150,Aggregation_of_rev_to_allocate!$A18,Rev_and_int_data!S$7:S$150)</f>
        <v>92219.356749549595</v>
      </c>
      <c r="K18" s="223" t="e">
        <f t="shared" si="2"/>
        <v>#REF!</v>
      </c>
      <c r="M18" s="223">
        <f>SUMIF(Historic_capex_list!$T$9:$T$586,$A18,Historic_capex_list!P$9:P$586)</f>
        <v>528506.95100382227</v>
      </c>
      <c r="N18" s="223">
        <f>SUMIF(Historic_capex_list!$T$9:$T$586,$A18,Historic_capex_list!Q$9:Q$586)</f>
        <v>25181.153076050636</v>
      </c>
      <c r="O18" s="223" t="e">
        <f t="shared" si="6"/>
        <v>#REF!</v>
      </c>
      <c r="P18" s="223">
        <f t="shared" si="3"/>
        <v>25181.153076050636</v>
      </c>
      <c r="Q18" s="243" t="e">
        <f t="shared" si="4"/>
        <v>#REF!</v>
      </c>
      <c r="R18" s="243" t="e">
        <f t="shared" si="5"/>
        <v>#REF!</v>
      </c>
    </row>
    <row r="19" spans="1:18">
      <c r="A19" s="226" t="s">
        <v>2863</v>
      </c>
      <c r="B19" s="223">
        <v>-21186</v>
      </c>
      <c r="C19" s="223">
        <f>SUMIF(Historic_capex_list!$T$9:$T$586,$A19,Historic_capex_list!P$9:P$586)</f>
        <v>318077.78114756668</v>
      </c>
      <c r="D19" s="223" t="e">
        <f>IF(COUNTIF(#REF!,$A19)=0,0,+$B19)+$B$84*$C19/($C$11+$C$12+$C$18+$C$19)</f>
        <v>#REF!</v>
      </c>
      <c r="E19" s="223">
        <f>SUMIF(Rev_and_int_data!$B$7:$B$150,$A19,Rev_and_int_data!Q$7:Q$150)</f>
        <v>-52604.488469158183</v>
      </c>
      <c r="F19" s="223" t="e">
        <f t="shared" si="0"/>
        <v>#REF!</v>
      </c>
      <c r="G19" s="243" t="str">
        <f t="shared" si="1"/>
        <v xml:space="preserve">CI </v>
      </c>
      <c r="I19" s="223">
        <f>SUMIF(Rev_and_int_data!$B$7:$B$150,Aggregation_of_rev_to_allocate!$A19,Rev_and_int_data!E$7:E$150)*3/10</f>
        <v>1487.8958983231294</v>
      </c>
      <c r="J19" s="223">
        <f>SUMIF(Rev_and_int_data!$B$7:$B$150,Aggregation_of_rev_to_allocate!$A19,Rev_and_int_data!S$7:S$150)</f>
        <v>74746.08935290933</v>
      </c>
      <c r="K19" s="223" t="e">
        <f t="shared" si="2"/>
        <v>#REF!</v>
      </c>
      <c r="M19" s="223">
        <f>SUMIF(Historic_capex_list!$T$9:$T$586,$A19,Historic_capex_list!P$9:P$586)</f>
        <v>318077.78114756668</v>
      </c>
      <c r="N19" s="223">
        <f>SUMIF(Historic_capex_list!$T$9:$T$586,$A19,Historic_capex_list!Q$9:Q$586)</f>
        <v>12432.472078085008</v>
      </c>
      <c r="O19" s="223" t="e">
        <f t="shared" si="6"/>
        <v>#REF!</v>
      </c>
      <c r="P19" s="223">
        <f t="shared" si="3"/>
        <v>12432.472078085008</v>
      </c>
      <c r="Q19" s="243" t="e">
        <f t="shared" si="4"/>
        <v>#REF!</v>
      </c>
      <c r="R19" s="243" t="e">
        <f t="shared" si="5"/>
        <v>#REF!</v>
      </c>
    </row>
    <row r="20" spans="1:18">
      <c r="A20" s="226" t="s">
        <v>2864</v>
      </c>
      <c r="B20" s="223">
        <v>-86268.159999999989</v>
      </c>
      <c r="C20" s="223">
        <f>SUMIF(Historic_capex_list!$T$9:$T$586,$A20,Historic_capex_list!P$9:P$586)</f>
        <v>0</v>
      </c>
      <c r="D20" s="223" t="e">
        <f>IF(COUNTIF(#REF!,$A20)=0,0,+$B20)</f>
        <v>#REF!</v>
      </c>
      <c r="E20" s="223">
        <f>SUMIF(Rev_and_int_data!$B$7:$B$150,$A20,Rev_and_int_data!Q$7:Q$150)</f>
        <v>0</v>
      </c>
      <c r="F20" s="223" t="e">
        <f t="shared" si="0"/>
        <v>#REF!</v>
      </c>
      <c r="G20" s="243" t="str">
        <f t="shared" si="1"/>
        <v xml:space="preserve">CI </v>
      </c>
      <c r="I20" s="223">
        <f>SUMIF(Rev_and_int_data!$B$7:$B$150,Aggregation_of_rev_to_allocate!$A20,Rev_and_int_data!E$7:E$150)*3/10</f>
        <v>0</v>
      </c>
      <c r="J20" s="223">
        <f>SUMIF(Rev_and_int_data!$B$7:$B$150,Aggregation_of_rev_to_allocate!$A20,Rev_and_int_data!S$7:S$150)</f>
        <v>0</v>
      </c>
      <c r="K20" s="223" t="e">
        <f t="shared" si="2"/>
        <v>#REF!</v>
      </c>
      <c r="M20" s="223">
        <f>SUMIF(Historic_capex_list!$T$9:$T$586,$A20,Historic_capex_list!P$9:P$586)</f>
        <v>0</v>
      </c>
      <c r="N20" s="223">
        <f>SUMIF(Historic_capex_list!$T$9:$T$586,$A20,Historic_capex_list!Q$9:Q$586)</f>
        <v>0</v>
      </c>
      <c r="O20" s="223">
        <f>+M20</f>
        <v>0</v>
      </c>
      <c r="P20" s="223">
        <f t="shared" si="3"/>
        <v>0</v>
      </c>
      <c r="Q20" s="243" t="str">
        <f t="shared" si="4"/>
        <v>Y</v>
      </c>
      <c r="R20" s="243" t="str">
        <f t="shared" si="5"/>
        <v>Y</v>
      </c>
    </row>
    <row r="21" spans="1:18">
      <c r="A21" s="226" t="s">
        <v>2865</v>
      </c>
      <c r="B21" s="223">
        <v>-11849.999999999998</v>
      </c>
      <c r="C21" s="223">
        <f>SUMIF(Historic_capex_list!$T$9:$T$586,$A21,Historic_capex_list!P$9:P$586)</f>
        <v>270267.0430734657</v>
      </c>
      <c r="D21" s="223" t="e">
        <f>IF(COUNTIF(#REF!,$A21)=0,0,+$B21)+($B$82+$B$78)*$C21/($C$6+$C$7+$C$8+$C$10+$C$21+$C$22)+$B$81*$C21/($C$8+$C$10+$C$21)</f>
        <v>#REF!</v>
      </c>
      <c r="E21" s="223">
        <f>SUMIF(Rev_and_int_data!$B$7:$B$150,$A21,Rev_and_int_data!Q$7:Q$150)</f>
        <v>-25024.089830089593</v>
      </c>
      <c r="F21" s="223" t="e">
        <f t="shared" si="0"/>
        <v>#REF!</v>
      </c>
      <c r="G21" s="243" t="str">
        <f t="shared" si="1"/>
        <v xml:space="preserve">CI </v>
      </c>
      <c r="I21" s="223">
        <f>SUMIF(Rev_and_int_data!$B$7:$B$150,Aggregation_of_rev_to_allocate!$A21,Rev_and_int_data!E$7:E$150)*3/10</f>
        <v>997.46876682968343</v>
      </c>
      <c r="J21" s="223">
        <f>SUMIF(Rev_and_int_data!$B$7:$B$150,Aggregation_of_rev_to_allocate!$A21,Rev_and_int_data!S$7:S$150)</f>
        <v>55294.992455937172</v>
      </c>
      <c r="K21" s="223" t="e">
        <f t="shared" si="2"/>
        <v>#REF!</v>
      </c>
      <c r="M21" s="223">
        <f>SUMIF(Historic_capex_list!$T$9:$T$586,$A21,Historic_capex_list!P$9:P$586)</f>
        <v>270267.0430734657</v>
      </c>
      <c r="N21" s="223">
        <f>SUMIF(Historic_capex_list!$T$9:$T$586,$A21,Historic_capex_list!Q$9:Q$586)</f>
        <v>0</v>
      </c>
      <c r="O21" s="223" t="e">
        <f t="shared" si="6"/>
        <v>#REF!</v>
      </c>
      <c r="P21" s="223">
        <f t="shared" si="3"/>
        <v>0</v>
      </c>
      <c r="Q21" s="243" t="e">
        <f t="shared" si="4"/>
        <v>#REF!</v>
      </c>
      <c r="R21" s="243" t="e">
        <f t="shared" si="5"/>
        <v>#REF!</v>
      </c>
    </row>
    <row r="22" spans="1:18">
      <c r="A22" s="226" t="s">
        <v>2866</v>
      </c>
      <c r="B22" s="223">
        <v>-8180.87</v>
      </c>
      <c r="C22" s="223">
        <f>SUMIF(Historic_capex_list!$T$9:$T$586,$A22,Historic_capex_list!P$9:P$586)</f>
        <v>-9448.5974265617788</v>
      </c>
      <c r="D22" s="223" t="e">
        <f>IF(COUNTIF(#REF!,$A22)=0,0,+$B22)+($B$82+$B$78)*$C22/($C$6+$C$7+$C$8+$C$10+$C$21+$C$22)</f>
        <v>#REF!</v>
      </c>
      <c r="E22" s="223">
        <f>SUMIF(Rev_and_int_data!$B$7:$B$150,$A22,Rev_and_int_data!Q$7:Q$150)</f>
        <v>0</v>
      </c>
      <c r="F22" s="223" t="e">
        <f t="shared" si="0"/>
        <v>#REF!</v>
      </c>
      <c r="G22" s="243" t="str">
        <f t="shared" si="1"/>
        <v xml:space="preserve">CI </v>
      </c>
      <c r="I22" s="223">
        <f>SUMIF(Rev_and_int_data!$B$7:$B$150,Aggregation_of_rev_to_allocate!$A22,Rev_and_int_data!E$7:E$150)*3/10</f>
        <v>0</v>
      </c>
      <c r="J22" s="223">
        <f>SUMIF(Rev_and_int_data!$B$7:$B$150,Aggregation_of_rev_to_allocate!$A22,Rev_and_int_data!S$7:S$150)</f>
        <v>0</v>
      </c>
      <c r="K22" s="223" t="e">
        <f t="shared" si="2"/>
        <v>#REF!</v>
      </c>
      <c r="M22" s="223">
        <f>SUMIF(Historic_capex_list!$T$9:$T$586,$A22,Historic_capex_list!P$9:P$586)</f>
        <v>-9448.5974265617788</v>
      </c>
      <c r="N22" s="223">
        <f>SUMIF(Historic_capex_list!$T$9:$T$586,$A22,Historic_capex_list!Q$9:Q$586)</f>
        <v>0</v>
      </c>
      <c r="O22" s="223" t="e">
        <f t="shared" si="6"/>
        <v>#REF!</v>
      </c>
      <c r="P22" s="223">
        <f t="shared" si="3"/>
        <v>0</v>
      </c>
      <c r="Q22" s="243" t="e">
        <f t="shared" si="4"/>
        <v>#REF!</v>
      </c>
      <c r="R22" s="243" t="e">
        <f t="shared" si="5"/>
        <v>#REF!</v>
      </c>
    </row>
    <row r="23" spans="1:18">
      <c r="A23" s="226" t="s">
        <v>2867</v>
      </c>
      <c r="B23" s="223">
        <v>-2259.09</v>
      </c>
      <c r="C23" s="223">
        <f>SUMIF(Historic_capex_list!$T$9:$T$586,$A23,Historic_capex_list!P$9:P$586)</f>
        <v>261984.53266569448</v>
      </c>
      <c r="D23" s="223" t="e">
        <f>IF(COUNTIF(#REF!,$A23)=0,0,+$B23)</f>
        <v>#REF!</v>
      </c>
      <c r="E23" s="223">
        <f>SUMIF(Rev_and_int_data!$B$7:$B$150,$A23,Rev_and_int_data!Q$7:Q$150)</f>
        <v>-31593.659305140147</v>
      </c>
      <c r="F23" s="223" t="e">
        <f t="shared" si="0"/>
        <v>#REF!</v>
      </c>
      <c r="G23" s="243" t="str">
        <f t="shared" si="1"/>
        <v xml:space="preserve">CI </v>
      </c>
      <c r="I23" s="223">
        <f>SUMIF(Rev_and_int_data!$B$7:$B$150,Aggregation_of_rev_to_allocate!$A23,Rev_and_int_data!E$7:E$150)*3/10</f>
        <v>807.44392185394747</v>
      </c>
      <c r="J23" s="223">
        <f>SUMIF(Rev_and_int_data!$B$7:$B$150,Aggregation_of_rev_to_allocate!$A23,Rev_and_int_data!S$7:S$150)</f>
        <v>47175.588322793497</v>
      </c>
      <c r="K23" s="223" t="e">
        <f t="shared" si="2"/>
        <v>#REF!</v>
      </c>
      <c r="M23" s="223">
        <f>SUMIF(Historic_capex_list!$T$9:$T$586,$A23,Historic_capex_list!P$9:P$586)</f>
        <v>261984.53266569448</v>
      </c>
      <c r="N23" s="223">
        <f>SUMIF(Historic_capex_list!$T$9:$T$586,$A23,Historic_capex_list!Q$9:Q$586)</f>
        <v>0</v>
      </c>
      <c r="O23" s="223" t="e">
        <f t="shared" si="6"/>
        <v>#REF!</v>
      </c>
      <c r="P23" s="223">
        <f t="shared" si="3"/>
        <v>0</v>
      </c>
      <c r="Q23" s="243" t="e">
        <f t="shared" si="4"/>
        <v>#REF!</v>
      </c>
      <c r="R23" s="243" t="e">
        <f t="shared" si="5"/>
        <v>#REF!</v>
      </c>
    </row>
    <row r="24" spans="1:18">
      <c r="A24" s="226" t="s">
        <v>2844</v>
      </c>
      <c r="B24" s="223">
        <v>-5947061.0299999667</v>
      </c>
      <c r="C24" s="223">
        <f>SUMIF(Historic_capex_list!$T$9:$T$586,$A24,Historic_capex_list!P$9:P$586)</f>
        <v>0</v>
      </c>
      <c r="D24" s="223" t="e">
        <f>IF(COUNTIF(#REF!,$A24)=0,0,+$B24)</f>
        <v>#REF!</v>
      </c>
      <c r="E24" s="223">
        <f>SUMIF(Rev_and_int_data!$B$7:$B$150,$A24,Rev_and_int_data!Q$7:Q$150)</f>
        <v>-466026.37405283033</v>
      </c>
      <c r="F24" s="223" t="e">
        <f t="shared" si="0"/>
        <v>#REF!</v>
      </c>
      <c r="G24" s="243" t="str">
        <f t="shared" si="1"/>
        <v xml:space="preserve">CI </v>
      </c>
      <c r="I24" s="223">
        <f>SUMIF(Rev_and_int_data!$B$7:$B$150,Aggregation_of_rev_to_allocate!$A24,Rev_and_int_data!E$7:E$150)*3/10</f>
        <v>18892.746682209225</v>
      </c>
      <c r="J24" s="223">
        <f>SUMIF(Rev_and_int_data!$B$7:$B$150,Aggregation_of_rev_to_allocate!$A24,Rev_and_int_data!S$7:S$150)</f>
        <v>766667.43591177976</v>
      </c>
      <c r="K24" s="223" t="e">
        <f t="shared" si="2"/>
        <v>#REF!</v>
      </c>
      <c r="M24" s="223">
        <f>SUMIF(Historic_capex_list!$T$9:$T$586,$A24,Historic_capex_list!P$9:P$586)</f>
        <v>0</v>
      </c>
      <c r="N24" s="223">
        <f>SUMIF(Historic_capex_list!$T$9:$T$586,$A24,Historic_capex_list!Q$9:Q$586)</f>
        <v>0</v>
      </c>
      <c r="O24" s="223" t="e">
        <f t="shared" si="6"/>
        <v>#REF!</v>
      </c>
      <c r="P24" s="223">
        <f t="shared" si="3"/>
        <v>0</v>
      </c>
      <c r="Q24" s="243" t="e">
        <f t="shared" si="4"/>
        <v>#REF!</v>
      </c>
      <c r="R24" s="243" t="e">
        <f t="shared" si="5"/>
        <v>#REF!</v>
      </c>
    </row>
    <row r="25" spans="1:18">
      <c r="A25" s="226" t="s">
        <v>2845</v>
      </c>
      <c r="B25" s="223">
        <v>-209328.5</v>
      </c>
      <c r="C25" s="223">
        <f>SUMIF(Historic_capex_list!$T$9:$T$586,$A25,Historic_capex_list!P$9:P$586)</f>
        <v>0</v>
      </c>
      <c r="D25" s="223" t="e">
        <f>IF(COUNTIF(#REF!,$A25)=0,0,+$B25)</f>
        <v>#REF!</v>
      </c>
      <c r="E25" s="223">
        <f>SUMIF(Rev_and_int_data!$B$7:$B$150,$A25,Rev_and_int_data!Q$7:Q$150)</f>
        <v>0</v>
      </c>
      <c r="F25" s="223" t="e">
        <f t="shared" si="0"/>
        <v>#REF!</v>
      </c>
      <c r="G25" s="243" t="str">
        <f t="shared" si="1"/>
        <v xml:space="preserve">CI </v>
      </c>
      <c r="I25" s="223">
        <f>SUMIF(Rev_and_int_data!$B$7:$B$150,Aggregation_of_rev_to_allocate!$A25,Rev_and_int_data!E$7:E$150)*3/10</f>
        <v>0</v>
      </c>
      <c r="J25" s="223">
        <f>SUMIF(Rev_and_int_data!$B$7:$B$150,Aggregation_of_rev_to_allocate!$A25,Rev_and_int_data!S$7:S$150)</f>
        <v>-7913.0893181331767</v>
      </c>
      <c r="K25" s="223" t="e">
        <f t="shared" si="2"/>
        <v>#REF!</v>
      </c>
      <c r="M25" s="223">
        <f>SUMIF(Historic_capex_list!$T$9:$T$586,$A25,Historic_capex_list!P$9:P$586)</f>
        <v>0</v>
      </c>
      <c r="N25" s="223">
        <f>SUMIF(Historic_capex_list!$T$9:$T$586,$A25,Historic_capex_list!Q$9:Q$586)</f>
        <v>0</v>
      </c>
      <c r="O25" s="223">
        <f>+M25</f>
        <v>0</v>
      </c>
      <c r="P25" s="223">
        <f t="shared" si="3"/>
        <v>0</v>
      </c>
      <c r="Q25" s="243" t="str">
        <f t="shared" si="4"/>
        <v>Y</v>
      </c>
      <c r="R25" s="243" t="str">
        <f t="shared" si="5"/>
        <v>Y</v>
      </c>
    </row>
    <row r="26" spans="1:18">
      <c r="A26" s="240" t="s">
        <v>2846</v>
      </c>
      <c r="C26" s="223">
        <f>SUMIF(Historic_capex_list!$T$9:$T$586,$A26,Historic_capex_list!P$9:P$586)</f>
        <v>0</v>
      </c>
      <c r="D26" s="223" t="e">
        <f>IF(COUNTIF(#REF!,$A26)=0,0,+$B26)+$B$83*$C26/($C$26+$C$18)</f>
        <v>#REF!</v>
      </c>
      <c r="E26" s="223">
        <f>SUMIF(Rev_and_int_data!$B$7:$B$150,$A26,Rev_and_int_data!Q$7:Q$150)</f>
        <v>-7.7958541503921584E-3</v>
      </c>
      <c r="F26" s="223" t="e">
        <f t="shared" si="0"/>
        <v>#REF!</v>
      </c>
      <c r="G26" s="243" t="str">
        <f t="shared" si="1"/>
        <v xml:space="preserve">CI </v>
      </c>
      <c r="I26" s="223">
        <f>SUMIF(Rev_and_int_data!$B$7:$B$150,Aggregation_of_rev_to_allocate!$A26,Rev_and_int_data!E$7:E$150)*3/10</f>
        <v>0</v>
      </c>
      <c r="J26" s="223">
        <f>SUMIF(Rev_and_int_data!$B$7:$B$150,Aggregation_of_rev_to_allocate!$A26,Rev_and_int_data!S$7:S$150)</f>
        <v>0</v>
      </c>
      <c r="K26" s="223" t="e">
        <f t="shared" si="2"/>
        <v>#REF!</v>
      </c>
      <c r="M26" s="223">
        <f>SUMIF(Historic_capex_list!$T$9:$T$586,$A26,Historic_capex_list!P$9:P$586)</f>
        <v>0</v>
      </c>
      <c r="N26" s="223">
        <f>SUMIF(Historic_capex_list!$T$9:$T$586,$A26,Historic_capex_list!Q$9:Q$586)</f>
        <v>0</v>
      </c>
      <c r="O26" s="223">
        <f>+M26</f>
        <v>0</v>
      </c>
      <c r="P26" s="223">
        <f t="shared" si="3"/>
        <v>0</v>
      </c>
      <c r="Q26" s="243" t="str">
        <f t="shared" si="4"/>
        <v>Y</v>
      </c>
      <c r="R26" s="243" t="str">
        <f t="shared" si="5"/>
        <v>Y</v>
      </c>
    </row>
    <row r="27" spans="1:18">
      <c r="A27" s="240" t="s">
        <v>2847</v>
      </c>
      <c r="C27" s="223">
        <f>SUMIF(Historic_capex_list!$T$9:$T$586,$A27,Historic_capex_list!P$9:P$586)</f>
        <v>0</v>
      </c>
      <c r="D27" s="223" t="e">
        <f>IF(COUNTIF(#REF!,$A27)=0,0,+$B27)+$B$69*$C27/($C$17+$C$24)</f>
        <v>#REF!</v>
      </c>
      <c r="E27" s="223">
        <f>SUMIF(Rev_and_int_data!$B$7:$B$150,$A27,Rev_and_int_data!Q$7:Q$150)</f>
        <v>-5.6467960317764987E-17</v>
      </c>
      <c r="F27" s="223" t="e">
        <f t="shared" si="0"/>
        <v>#REF!</v>
      </c>
      <c r="G27" s="243" t="str">
        <f t="shared" si="1"/>
        <v xml:space="preserve">CI </v>
      </c>
      <c r="I27" s="223">
        <f>SUMIF(Rev_and_int_data!$B$7:$B$150,Aggregation_of_rev_to_allocate!$A27,Rev_and_int_data!E$7:E$150)*3/10</f>
        <v>0</v>
      </c>
      <c r="J27" s="223">
        <f>SUMIF(Rev_and_int_data!$B$7:$B$150,Aggregation_of_rev_to_allocate!$A27,Rev_and_int_data!S$7:S$150)</f>
        <v>0</v>
      </c>
      <c r="K27" s="223" t="e">
        <f t="shared" si="2"/>
        <v>#REF!</v>
      </c>
      <c r="M27" s="223">
        <f>SUMIF(Historic_capex_list!$T$9:$T$586,$A27,Historic_capex_list!P$9:P$586)</f>
        <v>0</v>
      </c>
      <c r="N27" s="223">
        <f>SUMIF(Historic_capex_list!$T$9:$T$586,$A27,Historic_capex_list!Q$9:Q$586)</f>
        <v>0</v>
      </c>
      <c r="O27" s="223">
        <f>+M27</f>
        <v>0</v>
      </c>
      <c r="P27" s="223">
        <f t="shared" si="3"/>
        <v>0</v>
      </c>
      <c r="Q27" s="243" t="str">
        <f t="shared" si="4"/>
        <v>Y</v>
      </c>
      <c r="R27" s="243" t="str">
        <f t="shared" si="5"/>
        <v>Y</v>
      </c>
    </row>
    <row r="28" spans="1:18">
      <c r="A28" s="240" t="s">
        <v>2848</v>
      </c>
      <c r="C28" s="223">
        <f>SUMIF(Historic_capex_list!$T$9:$T$586,$A28,Historic_capex_list!P$9:P$586)</f>
        <v>21718824.586997613</v>
      </c>
      <c r="D28" s="223" t="e">
        <f>IF(COUNTIF(#REF!,$A28)=0,0,+$B28)+$B$69*$C28/($C$17+$C$24)</f>
        <v>#REF!</v>
      </c>
      <c r="E28" s="223">
        <f>SUMIF(Rev_and_int_data!$B$7:$B$150,$A28,Rev_and_int_data!Q$7:Q$150)</f>
        <v>-0.41890499939818338</v>
      </c>
      <c r="F28" s="223" t="e">
        <f>+E28+D28</f>
        <v>#REF!</v>
      </c>
      <c r="G28" s="243" t="str">
        <f>LEFT(A28,3)</f>
        <v xml:space="preserve">CI </v>
      </c>
      <c r="I28" s="223">
        <f>SUMIF(Rev_and_int_data!$B$7:$B$150,Aggregation_of_rev_to_allocate!$A28,Rev_and_int_data!E$7:E$150)*3/10</f>
        <v>0</v>
      </c>
      <c r="J28" s="223">
        <f>SUMIF(Rev_and_int_data!$B$7:$B$150,Aggregation_of_rev_to_allocate!$A28,Rev_and_int_data!S$7:S$150)</f>
        <v>0</v>
      </c>
      <c r="K28" s="223" t="e">
        <f>+J28+I28+F28</f>
        <v>#REF!</v>
      </c>
      <c r="M28" s="223">
        <f>SUMIF(Historic_capex_list!$T$9:$T$586,$A28,Historic_capex_list!P$9:P$586)</f>
        <v>21718824.586997613</v>
      </c>
      <c r="N28" s="223">
        <f>SUMIF(Historic_capex_list!$T$9:$T$586,$A28,Historic_capex_list!Q$9:Q$586)</f>
        <v>404375.16984667844</v>
      </c>
      <c r="O28" s="223" t="e">
        <f>+M28+K28</f>
        <v>#REF!</v>
      </c>
      <c r="P28" s="223">
        <f>+N28</f>
        <v>404375.16984667844</v>
      </c>
      <c r="Q28" s="243" t="e">
        <f>IF(O28&lt;=Q$1,"Y","")</f>
        <v>#REF!</v>
      </c>
      <c r="R28" s="243" t="e">
        <f>IF((P28+O28)&lt;=R$1,"Y","")</f>
        <v>#REF!</v>
      </c>
    </row>
    <row r="29" spans="1:18">
      <c r="A29" s="236" t="s">
        <v>2849</v>
      </c>
      <c r="B29" s="237"/>
      <c r="C29" s="237">
        <f>SUMIF(Historic_capex_list!$T$9:$T$586,$A29,Historic_capex_list!P$9:P$586)</f>
        <v>0</v>
      </c>
      <c r="D29" s="237" t="e">
        <f>IF(COUNTIF(#REF!,$A29)=0,0,+$B29)</f>
        <v>#REF!</v>
      </c>
      <c r="E29" s="237">
        <f>SUMIF(Rev_and_int_data!$B$7:$B$150,$A29,Rev_and_int_data!Q$7:Q$150)</f>
        <v>-1293075.1857213948</v>
      </c>
      <c r="F29" s="223" t="e">
        <f t="shared" si="0"/>
        <v>#REF!</v>
      </c>
      <c r="G29" s="243" t="str">
        <f t="shared" si="1"/>
        <v xml:space="preserve">CI </v>
      </c>
      <c r="I29" s="223">
        <f>SUMIF(Rev_and_int_data!$B$7:$B$150,Aggregation_of_rev_to_allocate!$A29,Rev_and_int_data!E$7:E$150)*3/10</f>
        <v>33682.694524307677</v>
      </c>
      <c r="J29" s="223">
        <f>SUMIF(Rev_and_int_data!$B$7:$B$150,Aggregation_of_rev_to_allocate!$A29,Rev_and_int_data!S$7:S$150)</f>
        <v>1275148.2459089896</v>
      </c>
      <c r="K29" s="223" t="e">
        <f t="shared" si="2"/>
        <v>#REF!</v>
      </c>
      <c r="M29" s="223">
        <f>SUMIF(Historic_capex_list!$T$9:$T$586,$A29,Historic_capex_list!P$9:P$586)</f>
        <v>0</v>
      </c>
      <c r="N29" s="223">
        <f>SUMIF(Historic_capex_list!$T$9:$T$586,$A29,Historic_capex_list!Q$9:Q$586)</f>
        <v>0</v>
      </c>
      <c r="O29" s="223" t="e">
        <f t="shared" si="6"/>
        <v>#REF!</v>
      </c>
      <c r="P29" s="223">
        <f t="shared" si="3"/>
        <v>0</v>
      </c>
      <c r="Q29" s="243" t="e">
        <f t="shared" si="4"/>
        <v>#REF!</v>
      </c>
      <c r="R29" s="243" t="e">
        <f t="shared" si="5"/>
        <v>#REF!</v>
      </c>
    </row>
    <row r="30" spans="1:18">
      <c r="A30" s="228" t="s">
        <v>2971</v>
      </c>
      <c r="B30" s="229">
        <v>-139546.69999999998</v>
      </c>
      <c r="C30" s="229">
        <f>SUMIF(Historic_capex_list!$T$9:$T$586,$A30,Historic_capex_list!P$9:P$586)</f>
        <v>0</v>
      </c>
      <c r="D30" s="223" t="e">
        <f>IF(COUNTIF(#REF!,$A30)=0,0,+$B30)</f>
        <v>#REF!</v>
      </c>
      <c r="E30" s="223">
        <f>SUMIF(Rev_and_int_data!$B$7:$B$150,$A30,Rev_and_int_data!Q$7:Q$150)</f>
        <v>0</v>
      </c>
      <c r="F30" s="223" t="e">
        <f t="shared" si="0"/>
        <v>#REF!</v>
      </c>
      <c r="G30" s="243" t="str">
        <f t="shared" si="1"/>
        <v>MCC</v>
      </c>
      <c r="I30" s="223">
        <f>SUMIF(Rev_and_int_data!$B$7:$B$150,Aggregation_of_rev_to_allocate!$A30,Rev_and_int_data!E$7:E$150)*3/10</f>
        <v>0</v>
      </c>
      <c r="J30" s="223">
        <f>SUMIF(Rev_and_int_data!$B$7:$B$150,Aggregation_of_rev_to_allocate!$A30,Rev_and_int_data!S$7:S$150)</f>
        <v>0</v>
      </c>
      <c r="K30" s="223" t="e">
        <f t="shared" si="2"/>
        <v>#REF!</v>
      </c>
      <c r="M30" s="223">
        <f>SUMIF(Historic_capex_list!$T$9:$T$586,$A30,Historic_capex_list!P$9:P$586)</f>
        <v>0</v>
      </c>
      <c r="N30" s="223">
        <f>SUMIF(Historic_capex_list!$T$9:$T$586,$A30,Historic_capex_list!Q$9:Q$586)</f>
        <v>0</v>
      </c>
      <c r="O30" s="223" t="e">
        <f t="shared" si="6"/>
        <v>#REF!</v>
      </c>
      <c r="P30" s="223">
        <f t="shared" si="3"/>
        <v>0</v>
      </c>
      <c r="Q30" s="243" t="e">
        <f t="shared" si="4"/>
        <v>#REF!</v>
      </c>
      <c r="R30" s="243" t="e">
        <f t="shared" si="5"/>
        <v>#REF!</v>
      </c>
    </row>
    <row r="31" spans="1:18">
      <c r="A31" s="228" t="str">
        <f>+A30</f>
        <v>MCC DC</v>
      </c>
      <c r="B31" s="229">
        <f>-B30</f>
        <v>139546.69999999998</v>
      </c>
      <c r="C31" s="229">
        <f>SUMIF(Historic_capex_list!$T$9:$T$586,$A31,Historic_capex_list!P$9:P$586)</f>
        <v>0</v>
      </c>
      <c r="D31" s="223" t="e">
        <f>IF(COUNTIF(#REF!,$A31)=0,0,+$B31)</f>
        <v>#REF!</v>
      </c>
      <c r="E31" s="223">
        <f>SUMIF(Rev_and_int_data!$B$7:$B$150,$A31,Rev_and_int_data!Q$7:Q$150)</f>
        <v>0</v>
      </c>
      <c r="F31" s="223" t="e">
        <f t="shared" si="0"/>
        <v>#REF!</v>
      </c>
      <c r="G31" s="243" t="str">
        <f t="shared" si="1"/>
        <v>MCC</v>
      </c>
      <c r="I31" s="223">
        <f>SUMIF(Rev_and_int_data!$B$7:$B$150,Aggregation_of_rev_to_allocate!$A31,Rev_and_int_data!E$7:E$150)*3/10</f>
        <v>0</v>
      </c>
      <c r="J31" s="223">
        <f>SUMIF(Rev_and_int_data!$B$7:$B$150,Aggregation_of_rev_to_allocate!$A31,Rev_and_int_data!S$7:S$150)</f>
        <v>0</v>
      </c>
      <c r="K31" s="223" t="e">
        <f t="shared" si="2"/>
        <v>#REF!</v>
      </c>
      <c r="M31" s="223">
        <f>SUMIF(Historic_capex_list!$T$9:$T$586,$A31,Historic_capex_list!P$9:P$586)</f>
        <v>0</v>
      </c>
      <c r="N31" s="223">
        <f>SUMIF(Historic_capex_list!$T$9:$T$586,$A31,Historic_capex_list!Q$9:Q$586)</f>
        <v>0</v>
      </c>
      <c r="O31" s="223" t="e">
        <f t="shared" si="6"/>
        <v>#REF!</v>
      </c>
      <c r="P31" s="223">
        <f t="shared" si="3"/>
        <v>0</v>
      </c>
      <c r="Q31" s="243" t="e">
        <f t="shared" si="4"/>
        <v>#REF!</v>
      </c>
      <c r="R31" s="243" t="e">
        <f t="shared" si="5"/>
        <v>#REF!</v>
      </c>
    </row>
    <row r="32" spans="1:18">
      <c r="A32" s="228" t="s">
        <v>2990</v>
      </c>
      <c r="B32" s="229">
        <v>-272334.47000000003</v>
      </c>
      <c r="C32" s="229">
        <f>SUMIF(Historic_capex_list!$T$9:$T$586,$A32,Historic_capex_list!P$9:P$586)</f>
        <v>0</v>
      </c>
      <c r="D32" s="223" t="e">
        <f>IF(COUNTIF(#REF!,$A32)=0,0,+$B32)</f>
        <v>#REF!</v>
      </c>
      <c r="E32" s="223">
        <f>SUMIF(Rev_and_int_data!$B$7:$B$150,$A32,Rev_and_int_data!Q$7:Q$150)</f>
        <v>0</v>
      </c>
      <c r="F32" s="223" t="e">
        <f t="shared" si="0"/>
        <v>#REF!</v>
      </c>
      <c r="G32" s="243" t="str">
        <f t="shared" si="1"/>
        <v>NOT</v>
      </c>
      <c r="I32" s="223">
        <f>SUMIF(Rev_and_int_data!$B$7:$B$150,Aggregation_of_rev_to_allocate!$A32,Rev_and_int_data!E$7:E$150)*3/10</f>
        <v>0</v>
      </c>
      <c r="J32" s="223">
        <f>SUMIF(Rev_and_int_data!$B$7:$B$150,Aggregation_of_rev_to_allocate!$A32,Rev_and_int_data!S$7:S$150)</f>
        <v>0</v>
      </c>
      <c r="K32" s="223" t="e">
        <f t="shared" si="2"/>
        <v>#REF!</v>
      </c>
      <c r="M32" s="223">
        <f>SUMIF(Historic_capex_list!$T$9:$T$586,$A32,Historic_capex_list!P$9:P$586)</f>
        <v>0</v>
      </c>
      <c r="N32" s="223">
        <f>SUMIF(Historic_capex_list!$T$9:$T$586,$A32,Historic_capex_list!Q$9:Q$586)</f>
        <v>0</v>
      </c>
      <c r="O32" s="223" t="e">
        <f t="shared" si="6"/>
        <v>#REF!</v>
      </c>
      <c r="P32" s="223">
        <f t="shared" si="3"/>
        <v>0</v>
      </c>
      <c r="Q32" s="243" t="e">
        <f t="shared" si="4"/>
        <v>#REF!</v>
      </c>
      <c r="R32" s="243" t="e">
        <f t="shared" si="5"/>
        <v>#REF!</v>
      </c>
    </row>
    <row r="33" spans="1:18">
      <c r="A33" s="226" t="s">
        <v>2714</v>
      </c>
      <c r="B33" s="223">
        <v>-14996645.429999897</v>
      </c>
      <c r="C33" s="223">
        <f>SUMIF(Historic_capex_list!$T$9:$T$586,$A33,Historic_capex_list!P$9:P$586)</f>
        <v>-22370251.03170405</v>
      </c>
      <c r="D33" s="223" t="e">
        <f>IF(COUNTIF(#REF!,$A33)=0,0,+$B33)</f>
        <v>#REF!</v>
      </c>
      <c r="E33" s="223">
        <f>SUMIF(Rev_and_int_data!$B$7:$B$150,$A33,Rev_and_int_data!Q$7:Q$150)</f>
        <v>-20131870.652138993</v>
      </c>
      <c r="F33" s="223" t="e">
        <f t="shared" si="0"/>
        <v>#REF!</v>
      </c>
      <c r="G33" s="243" t="str">
        <f t="shared" si="1"/>
        <v>OSD</v>
      </c>
      <c r="I33" s="223">
        <f>SUMIF(Rev_and_int_data!$B$7:$B$150,Aggregation_of_rev_to_allocate!$A33,Rev_and_int_data!E$7:E$150)*3/10</f>
        <v>382623.54375862435</v>
      </c>
      <c r="J33" s="223">
        <f>SUMIF(Rev_and_int_data!$B$7:$B$150,Aggregation_of_rev_to_allocate!$A33,Rev_and_int_data!S$7:S$150)</f>
        <v>3144203.1303633163</v>
      </c>
      <c r="K33" s="223" t="e">
        <f t="shared" si="2"/>
        <v>#REF!</v>
      </c>
      <c r="M33" s="223">
        <f>SUMIF(Historic_capex_list!$T$9:$T$586,$A33,Historic_capex_list!P$9:P$586)</f>
        <v>-22370251.03170405</v>
      </c>
      <c r="N33" s="223">
        <f>SUMIF(Historic_capex_list!$T$9:$T$586,$A33,Historic_capex_list!Q$9:Q$586)</f>
        <v>0</v>
      </c>
      <c r="O33" s="223" t="e">
        <f t="shared" si="6"/>
        <v>#REF!</v>
      </c>
      <c r="P33" s="223">
        <f t="shared" si="3"/>
        <v>0</v>
      </c>
      <c r="Q33" s="243" t="e">
        <f t="shared" si="4"/>
        <v>#REF!</v>
      </c>
      <c r="R33" s="243" t="e">
        <f t="shared" si="5"/>
        <v>#REF!</v>
      </c>
    </row>
    <row r="34" spans="1:18">
      <c r="A34" s="226" t="s">
        <v>2727</v>
      </c>
      <c r="B34" s="223">
        <v>-19830.13</v>
      </c>
      <c r="C34" s="223">
        <f>SUMIF(Historic_capex_list!$T$9:$T$586,$A34,Historic_capex_list!P$9:P$586)</f>
        <v>0</v>
      </c>
      <c r="D34" s="223" t="e">
        <f>IF(COUNTIF(#REF!,$A34)=0,0,+$B34)+$B$85*$C34/($C$34+$C$43+$C$44)</f>
        <v>#REF!</v>
      </c>
      <c r="E34" s="223">
        <f>SUMIF(Rev_and_int_data!$B$7:$B$150,$A34,Rev_and_int_data!Q$7:Q$150)</f>
        <v>-118007.06003458233</v>
      </c>
      <c r="F34" s="223" t="e">
        <f t="shared" si="0"/>
        <v>#REF!</v>
      </c>
      <c r="G34" s="243" t="str">
        <f t="shared" si="1"/>
        <v>OSD</v>
      </c>
      <c r="I34" s="223">
        <f>SUMIF(Rev_and_int_data!$B$7:$B$150,Aggregation_of_rev_to_allocate!$A34,Rev_and_int_data!E$7:E$150)*3/10</f>
        <v>2026.436320471744</v>
      </c>
      <c r="J34" s="223">
        <f>SUMIF(Rev_and_int_data!$B$7:$B$150,Aggregation_of_rev_to_allocate!$A34,Rev_and_int_data!S$7:S$150)</f>
        <v>191888.56788686593</v>
      </c>
      <c r="K34" s="223" t="e">
        <f t="shared" si="2"/>
        <v>#REF!</v>
      </c>
      <c r="M34" s="223">
        <f>SUMIF(Historic_capex_list!$T$9:$T$586,$A34,Historic_capex_list!P$9:P$586)</f>
        <v>0</v>
      </c>
      <c r="N34" s="223">
        <f>SUMIF(Historic_capex_list!$T$9:$T$586,$A34,Historic_capex_list!Q$9:Q$586)</f>
        <v>0</v>
      </c>
      <c r="O34" s="223" t="e">
        <f t="shared" si="6"/>
        <v>#REF!</v>
      </c>
      <c r="P34" s="223">
        <f t="shared" si="3"/>
        <v>0</v>
      </c>
      <c r="Q34" s="243" t="e">
        <f t="shared" si="4"/>
        <v>#REF!</v>
      </c>
      <c r="R34" s="243" t="e">
        <f t="shared" si="5"/>
        <v>#REF!</v>
      </c>
    </row>
    <row r="35" spans="1:18">
      <c r="A35" s="226" t="s">
        <v>2728</v>
      </c>
      <c r="B35" s="223">
        <v>-2437474.3100000028</v>
      </c>
      <c r="C35" s="223">
        <f>SUMIF(Historic_capex_list!$T$9:$T$586,$A35,Historic_capex_list!P$9:P$586)</f>
        <v>-1327017.0664572511</v>
      </c>
      <c r="D35" s="223" t="e">
        <f>IF(COUNTIF(#REF!,$A35)=0,0,+$B35)+$B$86*$C35/($C$35+$C$36)</f>
        <v>#REF!</v>
      </c>
      <c r="E35" s="223">
        <f>SUMIF(Rev_and_int_data!$B$7:$B$150,$A35,Rev_and_int_data!Q$7:Q$150)</f>
        <v>0</v>
      </c>
      <c r="F35" s="223" t="e">
        <f t="shared" si="0"/>
        <v>#REF!</v>
      </c>
      <c r="G35" s="243" t="str">
        <f t="shared" si="1"/>
        <v>OSD</v>
      </c>
      <c r="I35" s="223">
        <f>SUMIF(Rev_and_int_data!$B$7:$B$150,Aggregation_of_rev_to_allocate!$A35,Rev_and_int_data!E$7:E$150)*3/10</f>
        <v>0</v>
      </c>
      <c r="J35" s="223">
        <f>SUMIF(Rev_and_int_data!$B$7:$B$150,Aggregation_of_rev_to_allocate!$A35,Rev_and_int_data!S$7:S$150)</f>
        <v>0</v>
      </c>
      <c r="K35" s="223" t="e">
        <f t="shared" si="2"/>
        <v>#REF!</v>
      </c>
      <c r="M35" s="223">
        <f>SUMIF(Historic_capex_list!$T$9:$T$586,$A35,Historic_capex_list!P$9:P$586)</f>
        <v>-1327017.0664572511</v>
      </c>
      <c r="N35" s="223">
        <f>SUMIF(Historic_capex_list!$T$9:$T$586,$A35,Historic_capex_list!Q$9:Q$586)</f>
        <v>0</v>
      </c>
      <c r="O35" s="223" t="e">
        <f t="shared" si="6"/>
        <v>#REF!</v>
      </c>
      <c r="P35" s="223">
        <f t="shared" si="3"/>
        <v>0</v>
      </c>
      <c r="Q35" s="243" t="e">
        <f t="shared" si="4"/>
        <v>#REF!</v>
      </c>
      <c r="R35" s="243" t="e">
        <f t="shared" si="5"/>
        <v>#REF!</v>
      </c>
    </row>
    <row r="36" spans="1:18">
      <c r="A36" s="226" t="s">
        <v>2729</v>
      </c>
      <c r="B36" s="223">
        <v>-1458779.4399999995</v>
      </c>
      <c r="C36" s="223">
        <f>SUMIF(Historic_capex_list!$T$9:$T$586,$A36,Historic_capex_list!P$9:P$586)</f>
        <v>0</v>
      </c>
      <c r="D36" s="223" t="e">
        <f>IF(COUNTIF(#REF!,$A36)=0,0,+$B36)+$B$86*$C36/($C$35+$C$36)</f>
        <v>#REF!</v>
      </c>
      <c r="E36" s="223">
        <f>SUMIF(Rev_and_int_data!$B$7:$B$150,$A36,Rev_and_int_data!Q$7:Q$150)</f>
        <v>-523320.92968306097</v>
      </c>
      <c r="F36" s="223" t="e">
        <f t="shared" ref="F36:F68" si="7">+E36+D36</f>
        <v>#REF!</v>
      </c>
      <c r="G36" s="243" t="str">
        <f t="shared" ref="G36:G68" si="8">LEFT(A36,3)</f>
        <v>OSD</v>
      </c>
      <c r="I36" s="223">
        <f>SUMIF(Rev_and_int_data!$B$7:$B$150,Aggregation_of_rev_to_allocate!$A36,Rev_and_int_data!E$7:E$150)*3/10</f>
        <v>13012.136483913893</v>
      </c>
      <c r="J36" s="223">
        <f>SUMIF(Rev_and_int_data!$B$7:$B$150,Aggregation_of_rev_to_allocate!$A36,Rev_and_int_data!S$7:S$150)</f>
        <v>769634.05007728818</v>
      </c>
      <c r="K36" s="223" t="e">
        <f t="shared" ref="K36:K68" si="9">+J36+I36+F36</f>
        <v>#REF!</v>
      </c>
      <c r="M36" s="223">
        <f>SUMIF(Historic_capex_list!$T$9:$T$586,$A36,Historic_capex_list!P$9:P$586)</f>
        <v>0</v>
      </c>
      <c r="N36" s="223">
        <f>SUMIF(Historic_capex_list!$T$9:$T$586,$A36,Historic_capex_list!Q$9:Q$586)</f>
        <v>0</v>
      </c>
      <c r="O36" s="223" t="e">
        <f t="shared" si="6"/>
        <v>#REF!</v>
      </c>
      <c r="P36" s="223">
        <f t="shared" si="3"/>
        <v>0</v>
      </c>
      <c r="Q36" s="243" t="e">
        <f t="shared" si="4"/>
        <v>#REF!</v>
      </c>
      <c r="R36" s="243" t="e">
        <f t="shared" si="5"/>
        <v>#REF!</v>
      </c>
    </row>
    <row r="37" spans="1:18">
      <c r="A37" s="226" t="s">
        <v>2730</v>
      </c>
      <c r="B37" s="223">
        <v>-2308260.35</v>
      </c>
      <c r="C37" s="223">
        <f>SUMIF(Historic_capex_list!$T$9:$T$586,$A37,Historic_capex_list!P$9:P$586)</f>
        <v>-836168.68398673984</v>
      </c>
      <c r="D37" s="223" t="e">
        <f>IF(COUNTIF(#REF!,$A37)=0,0,+$B37)</f>
        <v>#REF!</v>
      </c>
      <c r="E37" s="223">
        <f>SUMIF(Rev_and_int_data!$B$7:$B$150,$A37,Rev_and_int_data!Q$7:Q$150)</f>
        <v>0</v>
      </c>
      <c r="F37" s="223" t="e">
        <f t="shared" si="7"/>
        <v>#REF!</v>
      </c>
      <c r="G37" s="243" t="str">
        <f t="shared" si="8"/>
        <v>OSD</v>
      </c>
      <c r="I37" s="223">
        <f>SUMIF(Rev_and_int_data!$B$7:$B$150,Aggregation_of_rev_to_allocate!$A37,Rev_and_int_data!E$7:E$150)*3/10</f>
        <v>1945.4268295286715</v>
      </c>
      <c r="J37" s="223">
        <f>SUMIF(Rev_and_int_data!$B$7:$B$150,Aggregation_of_rev_to_allocate!$A37,Rev_and_int_data!S$7:S$150)</f>
        <v>12464.049056871892</v>
      </c>
      <c r="K37" s="223" t="e">
        <f t="shared" si="9"/>
        <v>#REF!</v>
      </c>
      <c r="M37" s="223">
        <f>SUMIF(Historic_capex_list!$T$9:$T$586,$A37,Historic_capex_list!P$9:P$586)</f>
        <v>-836168.68398673984</v>
      </c>
      <c r="N37" s="223">
        <f>SUMIF(Historic_capex_list!$T$9:$T$586,$A37,Historic_capex_list!Q$9:Q$586)</f>
        <v>0</v>
      </c>
      <c r="O37" s="223" t="e">
        <f t="shared" si="6"/>
        <v>#REF!</v>
      </c>
      <c r="P37" s="223">
        <f t="shared" si="3"/>
        <v>0</v>
      </c>
      <c r="Q37" s="243" t="e">
        <f t="shared" si="4"/>
        <v>#REF!</v>
      </c>
      <c r="R37" s="243" t="e">
        <f t="shared" si="5"/>
        <v>#REF!</v>
      </c>
    </row>
    <row r="38" spans="1:18">
      <c r="A38" s="226" t="s">
        <v>2731</v>
      </c>
      <c r="B38" s="223">
        <v>-4694338.5800000066</v>
      </c>
      <c r="C38" s="223">
        <f>SUMIF(Historic_capex_list!$T$9:$T$586,$A38,Historic_capex_list!P$9:P$586)</f>
        <v>-300433.44839067</v>
      </c>
      <c r="D38" s="223" t="e">
        <f>IF(COUNTIF(#REF!,$A38)=0,0,+$B38)</f>
        <v>#REF!</v>
      </c>
      <c r="E38" s="223">
        <f>SUMIF(Rev_and_int_data!$B$7:$B$150,$A38,Rev_and_int_data!Q$7:Q$150)</f>
        <v>-268921.70257401338</v>
      </c>
      <c r="F38" s="223" t="e">
        <f t="shared" si="7"/>
        <v>#REF!</v>
      </c>
      <c r="G38" s="243" t="str">
        <f t="shared" si="8"/>
        <v>OSD</v>
      </c>
      <c r="I38" s="223">
        <f>SUMIF(Rev_and_int_data!$B$7:$B$150,Aggregation_of_rev_to_allocate!$A38,Rev_and_int_data!E$7:E$150)*3/10</f>
        <v>3966.8536232501233</v>
      </c>
      <c r="J38" s="223">
        <f>SUMIF(Rev_and_int_data!$B$7:$B$150,Aggregation_of_rev_to_allocate!$A38,Rev_and_int_data!S$7:S$150)</f>
        <v>384849.13004954299</v>
      </c>
      <c r="K38" s="223" t="e">
        <f t="shared" si="9"/>
        <v>#REF!</v>
      </c>
      <c r="M38" s="223">
        <f>SUMIF(Historic_capex_list!$T$9:$T$586,$A38,Historic_capex_list!P$9:P$586)</f>
        <v>-300433.44839067</v>
      </c>
      <c r="N38" s="223">
        <f>SUMIF(Historic_capex_list!$T$9:$T$586,$A38,Historic_capex_list!Q$9:Q$586)</f>
        <v>0</v>
      </c>
      <c r="O38" s="223" t="e">
        <f t="shared" si="6"/>
        <v>#REF!</v>
      </c>
      <c r="P38" s="223">
        <f t="shared" si="3"/>
        <v>0</v>
      </c>
      <c r="Q38" s="243" t="e">
        <f t="shared" si="4"/>
        <v>#REF!</v>
      </c>
      <c r="R38" s="243" t="e">
        <f t="shared" si="5"/>
        <v>#REF!</v>
      </c>
    </row>
    <row r="39" spans="1:18">
      <c r="A39" s="226" t="s">
        <v>2732</v>
      </c>
      <c r="B39" s="223">
        <v>-82970.400000000038</v>
      </c>
      <c r="C39" s="223">
        <f>SUMIF(Historic_capex_list!$T$9:$T$586,$A39,Historic_capex_list!P$9:P$586)</f>
        <v>-1145939.4199468594</v>
      </c>
      <c r="D39" s="223" t="e">
        <f>IF(COUNTIF(#REF!,$A39)=0,0,+$B39)+$B$87*$C39/($C$39+$C$41)</f>
        <v>#REF!</v>
      </c>
      <c r="E39" s="223">
        <f>SUMIF(Rev_and_int_data!$B$7:$B$150,$A39,Rev_and_int_data!Q$7:Q$150)</f>
        <v>-129549.8951642521</v>
      </c>
      <c r="F39" s="223" t="e">
        <f t="shared" si="7"/>
        <v>#REF!</v>
      </c>
      <c r="G39" s="243" t="str">
        <f t="shared" si="8"/>
        <v>OSD</v>
      </c>
      <c r="I39" s="223">
        <f>SUMIF(Rev_and_int_data!$B$7:$B$150,Aggregation_of_rev_to_allocate!$A39,Rev_and_int_data!E$7:E$150)*3/10</f>
        <v>5276.8405403112074</v>
      </c>
      <c r="J39" s="223">
        <f>SUMIF(Rev_and_int_data!$B$7:$B$150,Aggregation_of_rev_to_allocate!$A39,Rev_and_int_data!S$7:S$150)</f>
        <v>253324.13640853495</v>
      </c>
      <c r="K39" s="223" t="e">
        <f t="shared" si="9"/>
        <v>#REF!</v>
      </c>
      <c r="M39" s="223">
        <f>SUMIF(Historic_capex_list!$T$9:$T$586,$A39,Historic_capex_list!P$9:P$586)</f>
        <v>-1145939.4199468594</v>
      </c>
      <c r="N39" s="223">
        <f>SUMIF(Historic_capex_list!$T$9:$T$586,$A39,Historic_capex_list!Q$9:Q$586)</f>
        <v>0</v>
      </c>
      <c r="O39" s="223" t="e">
        <f t="shared" si="6"/>
        <v>#REF!</v>
      </c>
      <c r="P39" s="223">
        <f t="shared" si="3"/>
        <v>0</v>
      </c>
      <c r="Q39" s="243" t="e">
        <f t="shared" si="4"/>
        <v>#REF!</v>
      </c>
      <c r="R39" s="243" t="e">
        <f t="shared" si="5"/>
        <v>#REF!</v>
      </c>
    </row>
    <row r="40" spans="1:18">
      <c r="A40" s="226" t="s">
        <v>2715</v>
      </c>
      <c r="B40" s="223">
        <v>-341021.19999999995</v>
      </c>
      <c r="C40" s="223">
        <f>SUMIF(Historic_capex_list!$T$9:$T$586,$A40,Historic_capex_list!P$9:P$586)</f>
        <v>0</v>
      </c>
      <c r="D40" s="223" t="e">
        <f>IF(COUNTIF(#REF!,$A40)=0,0,+$B40)</f>
        <v>#REF!</v>
      </c>
      <c r="E40" s="223">
        <f>SUMIF(Rev_and_int_data!$B$7:$B$150,$A40,Rev_and_int_data!Q$7:Q$150)</f>
        <v>0</v>
      </c>
      <c r="F40" s="223" t="e">
        <f t="shared" si="7"/>
        <v>#REF!</v>
      </c>
      <c r="G40" s="243" t="str">
        <f t="shared" si="8"/>
        <v>OSD</v>
      </c>
      <c r="I40" s="223">
        <f>SUMIF(Rev_and_int_data!$B$7:$B$150,Aggregation_of_rev_to_allocate!$A40,Rev_and_int_data!E$7:E$150)*3/10</f>
        <v>0</v>
      </c>
      <c r="J40" s="223">
        <f>SUMIF(Rev_and_int_data!$B$7:$B$150,Aggregation_of_rev_to_allocate!$A40,Rev_and_int_data!S$7:S$150)</f>
        <v>-4536.0521525028817</v>
      </c>
      <c r="K40" s="223" t="e">
        <f t="shared" si="9"/>
        <v>#REF!</v>
      </c>
      <c r="M40" s="223">
        <f>SUMIF(Historic_capex_list!$T$9:$T$586,$A40,Historic_capex_list!P$9:P$586)</f>
        <v>0</v>
      </c>
      <c r="N40" s="223">
        <f>SUMIF(Historic_capex_list!$T$9:$T$586,$A40,Historic_capex_list!Q$9:Q$586)</f>
        <v>0</v>
      </c>
      <c r="O40" s="223">
        <f>+M40</f>
        <v>0</v>
      </c>
      <c r="P40" s="223">
        <f t="shared" si="3"/>
        <v>0</v>
      </c>
      <c r="Q40" s="243" t="str">
        <f t="shared" si="4"/>
        <v>Y</v>
      </c>
      <c r="R40" s="243" t="str">
        <f t="shared" si="5"/>
        <v>Y</v>
      </c>
    </row>
    <row r="41" spans="1:18">
      <c r="A41" s="226" t="s">
        <v>2733</v>
      </c>
      <c r="B41" s="223">
        <v>-1618</v>
      </c>
      <c r="C41" s="223">
        <f>SUMIF(Historic_capex_list!$T$9:$T$586,$A41,Historic_capex_list!P$9:P$586)</f>
        <v>-298839.39051963616</v>
      </c>
      <c r="D41" s="223" t="e">
        <f>IF(COUNTIF(#REF!,$A41)=0,0,+$B41)+$B$87*$C41/($C$39+$C$41)</f>
        <v>#REF!</v>
      </c>
      <c r="E41" s="223">
        <f>SUMIF(Rev_and_int_data!$B$7:$B$150,$A41,Rev_and_int_data!Q$7:Q$150)</f>
        <v>0</v>
      </c>
      <c r="F41" s="223" t="e">
        <f t="shared" si="7"/>
        <v>#REF!</v>
      </c>
      <c r="G41" s="243" t="str">
        <f t="shared" si="8"/>
        <v>OSD</v>
      </c>
      <c r="I41" s="223">
        <f>SUMIF(Rev_and_int_data!$B$7:$B$150,Aggregation_of_rev_to_allocate!$A41,Rev_and_int_data!E$7:E$150)*3/10</f>
        <v>0</v>
      </c>
      <c r="J41" s="223">
        <f>SUMIF(Rev_and_int_data!$B$7:$B$150,Aggregation_of_rev_to_allocate!$A41,Rev_and_int_data!S$7:S$150)</f>
        <v>0</v>
      </c>
      <c r="K41" s="223" t="e">
        <f t="shared" si="9"/>
        <v>#REF!</v>
      </c>
      <c r="M41" s="223">
        <f>SUMIF(Historic_capex_list!$T$9:$T$586,$A41,Historic_capex_list!P$9:P$586)</f>
        <v>-298839.39051963616</v>
      </c>
      <c r="N41" s="223">
        <f>SUMIF(Historic_capex_list!$T$9:$T$586,$A41,Historic_capex_list!Q$9:Q$586)</f>
        <v>0</v>
      </c>
      <c r="O41" s="223" t="e">
        <f t="shared" si="6"/>
        <v>#REF!</v>
      </c>
      <c r="P41" s="223">
        <f t="shared" si="3"/>
        <v>0</v>
      </c>
      <c r="Q41" s="243" t="e">
        <f t="shared" si="4"/>
        <v>#REF!</v>
      </c>
      <c r="R41" s="243" t="e">
        <f t="shared" si="5"/>
        <v>#REF!</v>
      </c>
    </row>
    <row r="42" spans="1:18">
      <c r="A42" s="226" t="s">
        <v>2734</v>
      </c>
      <c r="B42" s="223">
        <v>-2838.12</v>
      </c>
      <c r="C42" s="223">
        <f>SUMIF(Historic_capex_list!$T$9:$T$586,$A42,Historic_capex_list!P$9:P$586)</f>
        <v>0</v>
      </c>
      <c r="D42" s="223" t="e">
        <f>IF(COUNTIF(#REF!,$A42)=0,0,+$B42)</f>
        <v>#REF!</v>
      </c>
      <c r="E42" s="223">
        <f>SUMIF(Rev_and_int_data!$B$7:$B$150,$A42,Rev_and_int_data!Q$7:Q$150)</f>
        <v>-2748.7849569021596</v>
      </c>
      <c r="F42" s="223" t="e">
        <f t="shared" si="7"/>
        <v>#REF!</v>
      </c>
      <c r="G42" s="243" t="str">
        <f t="shared" si="8"/>
        <v>OSD</v>
      </c>
      <c r="I42" s="223">
        <f>SUMIF(Rev_and_int_data!$B$7:$B$150,Aggregation_of_rev_to_allocate!$A42,Rev_and_int_data!E$7:E$150)*3/10</f>
        <v>30.741296782452462</v>
      </c>
      <c r="J42" s="223">
        <f>SUMIF(Rev_and_int_data!$B$7:$B$150,Aggregation_of_rev_to_allocate!$A42,Rev_and_int_data!S$7:S$150)</f>
        <v>2970.2840220144972</v>
      </c>
      <c r="K42" s="223" t="e">
        <f t="shared" si="9"/>
        <v>#REF!</v>
      </c>
      <c r="M42" s="223">
        <f>SUMIF(Historic_capex_list!$T$9:$T$586,$A42,Historic_capex_list!P$9:P$586)</f>
        <v>0</v>
      </c>
      <c r="N42" s="223">
        <f>SUMIF(Historic_capex_list!$T$9:$T$586,$A42,Historic_capex_list!Q$9:Q$586)</f>
        <v>0</v>
      </c>
      <c r="O42" s="223" t="e">
        <f t="shared" si="6"/>
        <v>#REF!</v>
      </c>
      <c r="P42" s="223">
        <f t="shared" si="3"/>
        <v>0</v>
      </c>
      <c r="Q42" s="243" t="e">
        <f t="shared" si="4"/>
        <v>#REF!</v>
      </c>
      <c r="R42" s="243" t="e">
        <f t="shared" si="5"/>
        <v>#REF!</v>
      </c>
    </row>
    <row r="43" spans="1:18">
      <c r="A43" s="226" t="s">
        <v>2737</v>
      </c>
      <c r="B43" s="223">
        <v>-10983.9</v>
      </c>
      <c r="C43" s="223">
        <f>SUMIF(Historic_capex_list!$T$9:$T$586,$A43,Historic_capex_list!P$9:P$586)</f>
        <v>0</v>
      </c>
      <c r="D43" s="223" t="e">
        <f>IF(COUNTIF(#REF!,$A43)=0,0,+$B43)+$B$85*$C43/($C$34+$C$43+$C$44)</f>
        <v>#REF!</v>
      </c>
      <c r="E43" s="223">
        <f>SUMIF(Rev_and_int_data!$B$7:$B$150,$A43,Rev_and_int_data!Q$7:Q$150)</f>
        <v>0</v>
      </c>
      <c r="F43" s="223" t="e">
        <f t="shared" si="7"/>
        <v>#REF!</v>
      </c>
      <c r="G43" s="243" t="str">
        <f t="shared" si="8"/>
        <v>OSD</v>
      </c>
      <c r="I43" s="223">
        <f>SUMIF(Rev_and_int_data!$B$7:$B$150,Aggregation_of_rev_to_allocate!$A43,Rev_and_int_data!E$7:E$150)*3/10</f>
        <v>0</v>
      </c>
      <c r="J43" s="223">
        <f>SUMIF(Rev_and_int_data!$B$7:$B$150,Aggregation_of_rev_to_allocate!$A43,Rev_and_int_data!S$7:S$150)</f>
        <v>0</v>
      </c>
      <c r="K43" s="223" t="e">
        <f t="shared" si="9"/>
        <v>#REF!</v>
      </c>
      <c r="M43" s="223">
        <f>SUMIF(Historic_capex_list!$T$9:$T$586,$A43,Historic_capex_list!P$9:P$586)</f>
        <v>0</v>
      </c>
      <c r="N43" s="223">
        <f>SUMIF(Historic_capex_list!$T$9:$T$586,$A43,Historic_capex_list!Q$9:Q$586)</f>
        <v>0</v>
      </c>
      <c r="O43" s="223" t="e">
        <f t="shared" si="6"/>
        <v>#REF!</v>
      </c>
      <c r="P43" s="223">
        <f t="shared" si="3"/>
        <v>0</v>
      </c>
      <c r="Q43" s="243" t="e">
        <f t="shared" si="4"/>
        <v>#REF!</v>
      </c>
      <c r="R43" s="243" t="e">
        <f t="shared" si="5"/>
        <v>#REF!</v>
      </c>
    </row>
    <row r="44" spans="1:18">
      <c r="A44" s="240" t="s">
        <v>2738</v>
      </c>
      <c r="B44" s="223">
        <v>-15405.22</v>
      </c>
      <c r="C44" s="223">
        <f>SUMIF(Historic_capex_list!$T$9:$T$586,$A44,Historic_capex_list!P$9:P$586)</f>
        <v>13747.142626034609</v>
      </c>
      <c r="D44" s="223" t="e">
        <f>IF(COUNTIF(#REF!,$A44)=0,0,+$B44)+$B$85*$C44/($C$34+$C$43+$C$44)</f>
        <v>#REF!</v>
      </c>
      <c r="E44" s="223">
        <f>SUMIF(Rev_and_int_data!$B$7:$B$150,$A44,Rev_and_int_data!Q$7:Q$150)</f>
        <v>0</v>
      </c>
      <c r="F44" s="223" t="e">
        <f t="shared" si="7"/>
        <v>#REF!</v>
      </c>
      <c r="G44" s="243" t="str">
        <f t="shared" si="8"/>
        <v>OSD</v>
      </c>
      <c r="I44" s="223">
        <f>SUMIF(Rev_and_int_data!$B$7:$B$150,Aggregation_of_rev_to_allocate!$A44,Rev_and_int_data!E$7:E$150)*3/10</f>
        <v>0</v>
      </c>
      <c r="J44" s="223">
        <f>SUMIF(Rev_and_int_data!$B$7:$B$150,Aggregation_of_rev_to_allocate!$A44,Rev_and_int_data!S$7:S$150)</f>
        <v>0</v>
      </c>
      <c r="K44" s="223" t="e">
        <f t="shared" si="9"/>
        <v>#REF!</v>
      </c>
      <c r="M44" s="223">
        <f>SUMIF(Historic_capex_list!$T$9:$T$586,$A44,Historic_capex_list!P$9:P$586)</f>
        <v>13747.142626034609</v>
      </c>
      <c r="N44" s="223">
        <f>SUMIF(Historic_capex_list!$T$9:$T$586,$A44,Historic_capex_list!Q$9:Q$586)</f>
        <v>0</v>
      </c>
      <c r="O44" s="223" t="e">
        <f t="shared" si="6"/>
        <v>#REF!</v>
      </c>
      <c r="P44" s="223">
        <f t="shared" si="3"/>
        <v>0</v>
      </c>
      <c r="Q44" s="243" t="e">
        <f t="shared" si="4"/>
        <v>#REF!</v>
      </c>
      <c r="R44" s="243" t="e">
        <f t="shared" si="5"/>
        <v>#REF!</v>
      </c>
    </row>
    <row r="45" spans="1:18">
      <c r="A45" s="226" t="s">
        <v>2739</v>
      </c>
      <c r="B45" s="223">
        <v>-255.33999999999997</v>
      </c>
      <c r="C45" s="223">
        <f>SUMIF(Historic_capex_list!$T$9:$T$586,$A45,Historic_capex_list!P$9:P$586)</f>
        <v>0</v>
      </c>
      <c r="D45" s="223" t="e">
        <f>IF(COUNTIF(#REF!,$A45)=0,0,+$B45)</f>
        <v>#REF!</v>
      </c>
      <c r="E45" s="223">
        <f>SUMIF(Rev_and_int_data!$B$7:$B$150,$A45,Rev_and_int_data!Q$7:Q$150)</f>
        <v>-2145.3512126164264</v>
      </c>
      <c r="F45" s="223" t="e">
        <f t="shared" si="7"/>
        <v>#REF!</v>
      </c>
      <c r="G45" s="243" t="str">
        <f t="shared" si="8"/>
        <v>OSD</v>
      </c>
      <c r="I45" s="223">
        <f>SUMIF(Rev_and_int_data!$B$7:$B$150,Aggregation_of_rev_to_allocate!$A45,Rev_and_int_data!E$7:E$150)*3/10</f>
        <v>32.215630453170135</v>
      </c>
      <c r="J45" s="223">
        <f>SUMIF(Rev_and_int_data!$B$7:$B$150,Aggregation_of_rev_to_allocate!$A45,Rev_and_int_data!S$7:S$150)</f>
        <v>3138.8388884779533</v>
      </c>
      <c r="K45" s="223" t="e">
        <f t="shared" si="9"/>
        <v>#REF!</v>
      </c>
      <c r="M45" s="223">
        <f>SUMIF(Historic_capex_list!$T$9:$T$586,$A45,Historic_capex_list!P$9:P$586)</f>
        <v>0</v>
      </c>
      <c r="N45" s="223">
        <f>SUMIF(Historic_capex_list!$T$9:$T$586,$A45,Historic_capex_list!Q$9:Q$586)</f>
        <v>0</v>
      </c>
      <c r="O45" s="223" t="e">
        <f t="shared" si="6"/>
        <v>#REF!</v>
      </c>
      <c r="P45" s="223">
        <f t="shared" si="3"/>
        <v>0</v>
      </c>
      <c r="Q45" s="243" t="e">
        <f t="shared" si="4"/>
        <v>#REF!</v>
      </c>
      <c r="R45" s="243" t="e">
        <f t="shared" si="5"/>
        <v>#REF!</v>
      </c>
    </row>
    <row r="46" spans="1:18">
      <c r="A46" s="226" t="s">
        <v>2716</v>
      </c>
      <c r="B46" s="223">
        <v>-845619.81000000751</v>
      </c>
      <c r="C46" s="223">
        <f>SUMIF(Historic_capex_list!$T$9:$T$586,$A46,Historic_capex_list!P$9:P$586)</f>
        <v>0</v>
      </c>
      <c r="D46" s="223" t="e">
        <f>IF(COUNTIF(#REF!,$A46)=0,0,+$B46)</f>
        <v>#REF!</v>
      </c>
      <c r="E46" s="223">
        <f>SUMIF(Rev_and_int_data!$B$7:$B$150,$A46,Rev_and_int_data!Q$7:Q$150)</f>
        <v>0</v>
      </c>
      <c r="F46" s="223" t="e">
        <f t="shared" si="7"/>
        <v>#REF!</v>
      </c>
      <c r="G46" s="243" t="str">
        <f t="shared" si="8"/>
        <v>OSD</v>
      </c>
      <c r="I46" s="223">
        <f>SUMIF(Rev_and_int_data!$B$7:$B$150,Aggregation_of_rev_to_allocate!$A46,Rev_and_int_data!E$7:E$150)*3/10</f>
        <v>0</v>
      </c>
      <c r="J46" s="223">
        <f>SUMIF(Rev_and_int_data!$B$7:$B$150,Aggregation_of_rev_to_allocate!$A46,Rev_and_int_data!S$7:S$150)</f>
        <v>-55649.727164871678</v>
      </c>
      <c r="K46" s="223" t="e">
        <f t="shared" si="9"/>
        <v>#REF!</v>
      </c>
      <c r="M46" s="223">
        <f>SUMIF(Historic_capex_list!$T$9:$T$586,$A46,Historic_capex_list!P$9:P$586)</f>
        <v>0</v>
      </c>
      <c r="N46" s="223">
        <f>SUMIF(Historic_capex_list!$T$9:$T$586,$A46,Historic_capex_list!Q$9:Q$586)</f>
        <v>0</v>
      </c>
      <c r="O46" s="223">
        <f>+M46</f>
        <v>0</v>
      </c>
      <c r="P46" s="223">
        <f t="shared" si="3"/>
        <v>0</v>
      </c>
      <c r="Q46" s="243" t="str">
        <f t="shared" si="4"/>
        <v>Y</v>
      </c>
      <c r="R46" s="243" t="str">
        <f t="shared" si="5"/>
        <v>Y</v>
      </c>
    </row>
    <row r="47" spans="1:18">
      <c r="A47" s="226" t="s">
        <v>2717</v>
      </c>
      <c r="B47" s="223">
        <v>-391.20000000000005</v>
      </c>
      <c r="C47" s="223">
        <f>SUMIF(Historic_capex_list!$T$9:$T$586,$A47,Historic_capex_list!P$9:P$586)</f>
        <v>0</v>
      </c>
      <c r="D47" s="223" t="e">
        <f>IF(COUNTIF(#REF!,$A47)=0,0,+$B47)</f>
        <v>#REF!</v>
      </c>
      <c r="E47" s="223">
        <f>SUMIF(Rev_and_int_data!$B$7:$B$150,$A47,Rev_and_int_data!Q$7:Q$150)</f>
        <v>-0.43204801648450231</v>
      </c>
      <c r="F47" s="223" t="e">
        <f t="shared" si="7"/>
        <v>#REF!</v>
      </c>
      <c r="G47" s="243" t="str">
        <f t="shared" si="8"/>
        <v>OSD</v>
      </c>
      <c r="I47" s="223">
        <f>SUMIF(Rev_and_int_data!$B$7:$B$150,Aggregation_of_rev_to_allocate!$A47,Rev_and_int_data!E$7:E$150)*3/10</f>
        <v>0</v>
      </c>
      <c r="J47" s="223">
        <f>SUMIF(Rev_and_int_data!$B$7:$B$150,Aggregation_of_rev_to_allocate!$A47,Rev_and_int_data!S$7:S$150)</f>
        <v>0</v>
      </c>
      <c r="K47" s="223" t="e">
        <f t="shared" si="9"/>
        <v>#REF!</v>
      </c>
      <c r="M47" s="223">
        <f>SUMIF(Historic_capex_list!$T$9:$T$586,$A47,Historic_capex_list!P$9:P$586)</f>
        <v>0</v>
      </c>
      <c r="N47" s="223">
        <f>SUMIF(Historic_capex_list!$T$9:$T$586,$A47,Historic_capex_list!Q$9:Q$586)</f>
        <v>0</v>
      </c>
      <c r="O47" s="223">
        <f>+M47</f>
        <v>0</v>
      </c>
      <c r="P47" s="223">
        <f t="shared" si="3"/>
        <v>0</v>
      </c>
      <c r="Q47" s="243" t="str">
        <f t="shared" si="4"/>
        <v>Y</v>
      </c>
      <c r="R47" s="243" t="str">
        <f t="shared" si="5"/>
        <v>Y</v>
      </c>
    </row>
    <row r="48" spans="1:18">
      <c r="A48" s="240" t="s">
        <v>2720</v>
      </c>
      <c r="B48" s="223">
        <v>0</v>
      </c>
      <c r="C48" s="223">
        <f>SUMIF(Historic_capex_list!$T$9:$T$586,$A48,Historic_capex_list!P$9:P$586)</f>
        <v>5804927.498029355</v>
      </c>
      <c r="D48" s="223" t="e">
        <f>IF(COUNTIF(#REF!,$A48)=0,0,+$B48)</f>
        <v>#REF!</v>
      </c>
      <c r="E48" s="223">
        <f>SUMIF(Rev_and_int_data!$B$7:$B$150,$A48,Rev_and_int_data!Q$7:Q$150)</f>
        <v>0</v>
      </c>
      <c r="F48" s="223" t="e">
        <f>+E48+D48</f>
        <v>#REF!</v>
      </c>
      <c r="G48" s="243" t="str">
        <f>LEFT(A48,3)</f>
        <v>OSD</v>
      </c>
      <c r="I48" s="223">
        <f>SUMIF(Rev_and_int_data!$B$7:$B$150,Aggregation_of_rev_to_allocate!$A48,Rev_and_int_data!E$7:E$150)*3/10</f>
        <v>0</v>
      </c>
      <c r="J48" s="223">
        <f>SUMIF(Rev_and_int_data!$B$7:$B$150,Aggregation_of_rev_to_allocate!$A48,Rev_and_int_data!S$7:S$150)</f>
        <v>0</v>
      </c>
      <c r="K48" s="223" t="e">
        <f>+J48+I48+F48</f>
        <v>#REF!</v>
      </c>
      <c r="M48" s="223">
        <f>SUMIF(Historic_capex_list!$T$9:$T$586,$A48,Historic_capex_list!P$9:P$586)</f>
        <v>5804927.498029355</v>
      </c>
      <c r="N48" s="223">
        <f>SUMIF(Historic_capex_list!$T$9:$T$586,$A48,Historic_capex_list!Q$9:Q$586)</f>
        <v>2312262.5703116208</v>
      </c>
      <c r="O48" s="223" t="e">
        <f>+M48+K48</f>
        <v>#REF!</v>
      </c>
      <c r="P48" s="223">
        <f>+N48</f>
        <v>2312262.5703116208</v>
      </c>
      <c r="Q48" s="243" t="e">
        <f>IF(O48&lt;=Q$1,"Y","")</f>
        <v>#REF!</v>
      </c>
      <c r="R48" s="243" t="e">
        <f>IF((P48+O48)&lt;=R$1,"Y","")</f>
        <v>#REF!</v>
      </c>
    </row>
    <row r="49" spans="1:18">
      <c r="A49" s="236" t="s">
        <v>2721</v>
      </c>
      <c r="B49" s="237"/>
      <c r="C49" s="237">
        <f>SUMIF(Historic_capex_list!$T$9:$T$586,$A49,Historic_capex_list!P$9:P$586)</f>
        <v>0</v>
      </c>
      <c r="D49" s="237" t="e">
        <f>IF(COUNTIF(#REF!,$A49)=0,0,+$B49)</f>
        <v>#REF!</v>
      </c>
      <c r="E49" s="237">
        <f>SUMIF(Rev_and_int_data!$B$7:$B$150,$A49,Rev_and_int_data!Q$7:Q$150)</f>
        <v>-698916.16440620204</v>
      </c>
      <c r="F49" s="223" t="e">
        <f t="shared" si="7"/>
        <v>#REF!</v>
      </c>
      <c r="G49" s="243" t="str">
        <f t="shared" si="8"/>
        <v>OSD</v>
      </c>
      <c r="I49" s="223">
        <f>SUMIF(Rev_and_int_data!$B$7:$B$150,Aggregation_of_rev_to_allocate!$A49,Rev_and_int_data!E$7:E$150)*3/10</f>
        <v>11359.105516664393</v>
      </c>
      <c r="J49" s="223">
        <f>SUMIF(Rev_and_int_data!$B$7:$B$150,Aggregation_of_rev_to_allocate!$A49,Rev_and_int_data!S$7:S$150)</f>
        <v>492737.63900318404</v>
      </c>
      <c r="K49" s="223" t="e">
        <f t="shared" si="9"/>
        <v>#REF!</v>
      </c>
      <c r="M49" s="223">
        <f>SUMIF(Historic_capex_list!$T$9:$T$586,$A49,Historic_capex_list!P$9:P$586)</f>
        <v>0</v>
      </c>
      <c r="N49" s="223">
        <f>SUMIF(Historic_capex_list!$T$9:$T$586,$A49,Historic_capex_list!Q$9:Q$586)</f>
        <v>0</v>
      </c>
      <c r="O49" s="223" t="e">
        <f t="shared" si="6"/>
        <v>#REF!</v>
      </c>
      <c r="P49" s="223">
        <f t="shared" si="3"/>
        <v>0</v>
      </c>
      <c r="Q49" s="243" t="e">
        <f t="shared" si="4"/>
        <v>#REF!</v>
      </c>
      <c r="R49" s="243" t="e">
        <f t="shared" si="5"/>
        <v>#REF!</v>
      </c>
    </row>
    <row r="50" spans="1:18">
      <c r="A50" s="226" t="s">
        <v>2629</v>
      </c>
      <c r="B50" s="223">
        <v>-69488481.139998928</v>
      </c>
      <c r="C50" s="223">
        <f>SUMIF(Historic_capex_list!$T$9:$T$586,$A50,Historic_capex_list!P$9:P$586)</f>
        <v>724412.60425713297</v>
      </c>
      <c r="D50" s="223" t="e">
        <f>IF(COUNTIF(#REF!,$A50)=0,0,+$B50)</f>
        <v>#REF!</v>
      </c>
      <c r="E50" s="223">
        <f>SUMIF(Rev_and_int_data!$B$7:$B$150,$A50,Rev_and_int_data!Q$7:Q$150)</f>
        <v>-22512537.000532128</v>
      </c>
      <c r="F50" s="223" t="e">
        <f t="shared" si="7"/>
        <v>#REF!</v>
      </c>
      <c r="G50" s="243" t="str">
        <f t="shared" si="8"/>
        <v>OSL</v>
      </c>
      <c r="I50" s="223">
        <f>SUMIF(Rev_and_int_data!$B$7:$B$150,Aggregation_of_rev_to_allocate!$A50,Rev_and_int_data!E$7:E$150)*3/10</f>
        <v>3072062.0809132485</v>
      </c>
      <c r="J50" s="223">
        <f>SUMIF(Rev_and_int_data!$B$7:$B$150,Aggregation_of_rev_to_allocate!$A50,Rev_and_int_data!S$7:S$150)</f>
        <v>10028461.840690529</v>
      </c>
      <c r="K50" s="223" t="e">
        <f t="shared" si="9"/>
        <v>#REF!</v>
      </c>
      <c r="M50" s="223">
        <f>SUMIF(Historic_capex_list!$T$9:$T$586,$A50,Historic_capex_list!P$9:P$586)</f>
        <v>724412.60425713297</v>
      </c>
      <c r="N50" s="223">
        <f>SUMIF(Historic_capex_list!$T$9:$T$586,$A50,Historic_capex_list!Q$9:Q$586)</f>
        <v>1428127.7262988675</v>
      </c>
      <c r="O50" s="223" t="e">
        <f t="shared" si="6"/>
        <v>#REF!</v>
      </c>
      <c r="P50" s="223">
        <f t="shared" si="3"/>
        <v>1428127.7262988675</v>
      </c>
      <c r="Q50" s="243" t="e">
        <f t="shared" si="4"/>
        <v>#REF!</v>
      </c>
      <c r="R50" s="243" t="e">
        <f t="shared" si="5"/>
        <v>#REF!</v>
      </c>
    </row>
    <row r="51" spans="1:18">
      <c r="A51" s="240" t="s">
        <v>2650</v>
      </c>
      <c r="B51" s="223">
        <v>0</v>
      </c>
      <c r="C51" s="223">
        <f>SUMIF(Historic_capex_list!$T$9:$T$586,$A51,Historic_capex_list!P$9:P$586)</f>
        <v>0</v>
      </c>
      <c r="D51" s="223" t="e">
        <f>IF(COUNTIF(#REF!,$A51)=0,0,+$B51)+$B$89*$C51/($C$51+$C$53+$C$64)</f>
        <v>#REF!</v>
      </c>
      <c r="E51" s="223">
        <f>SUMIF(Rev_and_int_data!$B$7:$B$150,$A51,Rev_and_int_data!Q$7:Q$150)</f>
        <v>-2.467666610202117E-3</v>
      </c>
      <c r="F51" s="223" t="e">
        <f t="shared" si="7"/>
        <v>#REF!</v>
      </c>
      <c r="G51" s="243" t="str">
        <f t="shared" si="8"/>
        <v>OSL</v>
      </c>
      <c r="I51" s="223">
        <f>SUMIF(Rev_and_int_data!$B$7:$B$150,Aggregation_of_rev_to_allocate!$A51,Rev_and_int_data!E$7:E$150)*3/10</f>
        <v>0</v>
      </c>
      <c r="J51" s="223">
        <f>SUMIF(Rev_and_int_data!$B$7:$B$150,Aggregation_of_rev_to_allocate!$A51,Rev_and_int_data!S$7:S$150)</f>
        <v>0</v>
      </c>
      <c r="K51" s="223" t="e">
        <f t="shared" si="9"/>
        <v>#REF!</v>
      </c>
      <c r="M51" s="223">
        <f>SUMIF(Historic_capex_list!$T$9:$T$586,$A51,Historic_capex_list!P$9:P$586)</f>
        <v>0</v>
      </c>
      <c r="N51" s="223">
        <f>SUMIF(Historic_capex_list!$T$9:$T$586,$A51,Historic_capex_list!Q$9:Q$586)</f>
        <v>0</v>
      </c>
      <c r="O51" s="223">
        <f>+M51</f>
        <v>0</v>
      </c>
      <c r="P51" s="223">
        <f t="shared" si="3"/>
        <v>0</v>
      </c>
      <c r="Q51" s="243" t="str">
        <f t="shared" si="4"/>
        <v>Y</v>
      </c>
      <c r="R51" s="243" t="str">
        <f t="shared" si="5"/>
        <v>Y</v>
      </c>
    </row>
    <row r="52" spans="1:18">
      <c r="A52" s="226" t="s">
        <v>2652</v>
      </c>
      <c r="B52" s="223">
        <v>-13728</v>
      </c>
      <c r="C52" s="223">
        <f>SUMIF(Historic_capex_list!$T$9:$T$586,$A52,Historic_capex_list!P$9:P$586)</f>
        <v>0</v>
      </c>
      <c r="D52" s="223" t="e">
        <f>IF(COUNTIF(#REF!,$A52)=0,0,+$B52)</f>
        <v>#REF!</v>
      </c>
      <c r="E52" s="223">
        <f>SUMIF(Rev_and_int_data!$B$7:$B$150,$A52,Rev_and_int_data!Q$7:Q$150)</f>
        <v>0</v>
      </c>
      <c r="F52" s="223" t="e">
        <f t="shared" si="7"/>
        <v>#REF!</v>
      </c>
      <c r="G52" s="243" t="str">
        <f t="shared" si="8"/>
        <v>OSL</v>
      </c>
      <c r="I52" s="223">
        <f>SUMIF(Rev_and_int_data!$B$7:$B$150,Aggregation_of_rev_to_allocate!$A52,Rev_and_int_data!E$7:E$150)*3/10</f>
        <v>0</v>
      </c>
      <c r="J52" s="223">
        <f>SUMIF(Rev_and_int_data!$B$7:$B$150,Aggregation_of_rev_to_allocate!$A52,Rev_and_int_data!S$7:S$150)</f>
        <v>0</v>
      </c>
      <c r="K52" s="223" t="e">
        <f t="shared" si="9"/>
        <v>#REF!</v>
      </c>
      <c r="M52" s="223">
        <f>SUMIF(Historic_capex_list!$T$9:$T$586,$A52,Historic_capex_list!P$9:P$586)</f>
        <v>0</v>
      </c>
      <c r="N52" s="223">
        <f>SUMIF(Historic_capex_list!$T$9:$T$586,$A52,Historic_capex_list!Q$9:Q$586)</f>
        <v>0</v>
      </c>
      <c r="O52" s="223">
        <f>+M52</f>
        <v>0</v>
      </c>
      <c r="P52" s="223">
        <f t="shared" si="3"/>
        <v>0</v>
      </c>
      <c r="Q52" s="243" t="str">
        <f t="shared" si="4"/>
        <v>Y</v>
      </c>
      <c r="R52" s="243" t="str">
        <f t="shared" si="5"/>
        <v>Y</v>
      </c>
    </row>
    <row r="53" spans="1:18">
      <c r="A53" s="226" t="s">
        <v>2654</v>
      </c>
      <c r="B53" s="223">
        <v>-13033.1</v>
      </c>
      <c r="C53" s="223">
        <f>SUMIF(Historic_capex_list!$T$9:$T$586,$A53,Historic_capex_list!P$9:P$586)</f>
        <v>0</v>
      </c>
      <c r="D53" s="223" t="e">
        <f>IF(COUNTIF(#REF!,$A53)=0,0,+$B53)+$B$89*$C53/($C$51+$C$53+$C$64)</f>
        <v>#REF!</v>
      </c>
      <c r="E53" s="223">
        <f>SUMIF(Rev_and_int_data!$B$7:$B$150,$A53,Rev_and_int_data!Q$7:Q$150)</f>
        <v>-178970.88964007393</v>
      </c>
      <c r="F53" s="223" t="e">
        <f t="shared" si="7"/>
        <v>#REF!</v>
      </c>
      <c r="G53" s="243" t="str">
        <f t="shared" si="8"/>
        <v>OSL</v>
      </c>
      <c r="I53" s="223">
        <f>SUMIF(Rev_and_int_data!$B$7:$B$150,Aggregation_of_rev_to_allocate!$A53,Rev_and_int_data!E$7:E$150)*3/10</f>
        <v>19214.547233600089</v>
      </c>
      <c r="J53" s="223">
        <f>SUMIF(Rev_and_int_data!$B$7:$B$150,Aggregation_of_rev_to_allocate!$A53,Rev_and_int_data!S$7:S$150)</f>
        <v>315795.11326393025</v>
      </c>
      <c r="K53" s="223" t="e">
        <f t="shared" si="9"/>
        <v>#REF!</v>
      </c>
      <c r="M53" s="223">
        <f>SUMIF(Historic_capex_list!$T$9:$T$586,$A53,Historic_capex_list!P$9:P$586)</f>
        <v>0</v>
      </c>
      <c r="N53" s="223">
        <f>SUMIF(Historic_capex_list!$T$9:$T$586,$A53,Historic_capex_list!Q$9:Q$586)</f>
        <v>0</v>
      </c>
      <c r="O53" s="223" t="e">
        <f t="shared" si="6"/>
        <v>#REF!</v>
      </c>
      <c r="P53" s="223">
        <f t="shared" si="3"/>
        <v>0</v>
      </c>
      <c r="Q53" s="243" t="e">
        <f t="shared" si="4"/>
        <v>#REF!</v>
      </c>
      <c r="R53" s="243" t="e">
        <f t="shared" si="5"/>
        <v>#REF!</v>
      </c>
    </row>
    <row r="54" spans="1:18">
      <c r="A54" s="226" t="s">
        <v>2656</v>
      </c>
      <c r="B54" s="223">
        <v>-696372.62999999989</v>
      </c>
      <c r="C54" s="223">
        <f>SUMIF(Historic_capex_list!$T$9:$T$586,$A54,Historic_capex_list!P$9:P$586)</f>
        <v>0</v>
      </c>
      <c r="D54" s="223" t="e">
        <f>IF(COUNTIF(#REF!,$A54)=0,0,+$B54)</f>
        <v>#REF!</v>
      </c>
      <c r="E54" s="223">
        <f>SUMIF(Rev_and_int_data!$B$7:$B$150,$A54,Rev_and_int_data!Q$7:Q$150)</f>
        <v>0</v>
      </c>
      <c r="F54" s="223" t="e">
        <f t="shared" si="7"/>
        <v>#REF!</v>
      </c>
      <c r="G54" s="243" t="str">
        <f t="shared" si="8"/>
        <v>OSL</v>
      </c>
      <c r="I54" s="223">
        <f>SUMIF(Rev_and_int_data!$B$7:$B$150,Aggregation_of_rev_to_allocate!$A54,Rev_and_int_data!E$7:E$150)*3/10</f>
        <v>17929.348875716259</v>
      </c>
      <c r="J54" s="223">
        <f>SUMIF(Rev_and_int_data!$B$7:$B$150,Aggregation_of_rev_to_allocate!$A54,Rev_and_int_data!S$7:S$150)</f>
        <v>11496.0783020524</v>
      </c>
      <c r="K54" s="223" t="e">
        <f t="shared" si="9"/>
        <v>#REF!</v>
      </c>
      <c r="M54" s="223">
        <f>SUMIF(Historic_capex_list!$T$9:$T$586,$A54,Historic_capex_list!P$9:P$586)</f>
        <v>0</v>
      </c>
      <c r="N54" s="223">
        <f>SUMIF(Historic_capex_list!$T$9:$T$586,$A54,Historic_capex_list!Q$9:Q$586)</f>
        <v>0</v>
      </c>
      <c r="O54" s="223" t="e">
        <f t="shared" si="6"/>
        <v>#REF!</v>
      </c>
      <c r="P54" s="223">
        <f t="shared" si="3"/>
        <v>0</v>
      </c>
      <c r="Q54" s="243" t="e">
        <f t="shared" si="4"/>
        <v>#REF!</v>
      </c>
      <c r="R54" s="243" t="e">
        <f t="shared" si="5"/>
        <v>#REF!</v>
      </c>
    </row>
    <row r="55" spans="1:18">
      <c r="A55" s="226" t="s">
        <v>2658</v>
      </c>
      <c r="B55" s="223">
        <v>-3027163.689999999</v>
      </c>
      <c r="C55" s="223">
        <f>SUMIF(Historic_capex_list!$T$9:$T$586,$A55,Historic_capex_list!P$9:P$586)</f>
        <v>26563212.082307369</v>
      </c>
      <c r="D55" s="223" t="e">
        <f>IF(COUNTIF(#REF!,$A55)=0,0,+$B55)</f>
        <v>#REF!</v>
      </c>
      <c r="E55" s="223">
        <f>SUMIF(Rev_and_int_data!$B$7:$B$150,$A55,Rev_and_int_data!Q$7:Q$150)</f>
        <v>-2965819.5970602506</v>
      </c>
      <c r="F55" s="223" t="e">
        <f t="shared" si="7"/>
        <v>#REF!</v>
      </c>
      <c r="G55" s="243" t="str">
        <f t="shared" si="8"/>
        <v>OSL</v>
      </c>
      <c r="I55" s="223">
        <f>SUMIF(Rev_and_int_data!$B$7:$B$150,Aggregation_of_rev_to_allocate!$A55,Rev_and_int_data!E$7:E$150)*3/10</f>
        <v>276023.4966533886</v>
      </c>
      <c r="J55" s="223">
        <f>SUMIF(Rev_and_int_data!$B$7:$B$150,Aggregation_of_rev_to_allocate!$A55,Rev_and_int_data!S$7:S$150)</f>
        <v>4129112.9750860687</v>
      </c>
      <c r="K55" s="223" t="e">
        <f t="shared" si="9"/>
        <v>#REF!</v>
      </c>
      <c r="M55" s="223">
        <f>SUMIF(Historic_capex_list!$T$9:$T$586,$A55,Historic_capex_list!P$9:P$586)</f>
        <v>26563212.082307369</v>
      </c>
      <c r="N55" s="223">
        <f>SUMIF(Historic_capex_list!$T$9:$T$586,$A55,Historic_capex_list!Q$9:Q$586)</f>
        <v>8531787.4746083058</v>
      </c>
      <c r="O55" s="223" t="e">
        <f t="shared" si="6"/>
        <v>#REF!</v>
      </c>
      <c r="P55" s="223">
        <f t="shared" si="3"/>
        <v>8531787.4746083058</v>
      </c>
      <c r="Q55" s="243" t="e">
        <f t="shared" si="4"/>
        <v>#REF!</v>
      </c>
      <c r="R55" s="243" t="e">
        <f t="shared" si="5"/>
        <v>#REF!</v>
      </c>
    </row>
    <row r="56" spans="1:18">
      <c r="A56" s="226" t="s">
        <v>2660</v>
      </c>
      <c r="B56" s="223">
        <v>-7888684.5700000031</v>
      </c>
      <c r="C56" s="223">
        <f>SUMIF(Historic_capex_list!$T$9:$T$586,$A56,Historic_capex_list!P$9:P$586)</f>
        <v>0</v>
      </c>
      <c r="D56" s="223" t="e">
        <f>IF(COUNTIF(#REF!,$A56)=0,0,+$B56)</f>
        <v>#REF!</v>
      </c>
      <c r="E56" s="223">
        <f>SUMIF(Rev_and_int_data!$B$7:$B$150,$A56,Rev_and_int_data!Q$7:Q$150)</f>
        <v>-124599.78982972281</v>
      </c>
      <c r="F56" s="223" t="e">
        <f t="shared" si="7"/>
        <v>#REF!</v>
      </c>
      <c r="G56" s="243" t="str">
        <f t="shared" si="8"/>
        <v>OSL</v>
      </c>
      <c r="I56" s="223">
        <f>SUMIF(Rev_and_int_data!$B$7:$B$150,Aggregation_of_rev_to_allocate!$A56,Rev_and_int_data!E$7:E$150)*3/10</f>
        <v>11589.349875017511</v>
      </c>
      <c r="J56" s="223">
        <f>SUMIF(Rev_and_int_data!$B$7:$B$150,Aggregation_of_rev_to_allocate!$A56,Rev_and_int_data!S$7:S$150)</f>
        <v>185319.52659020532</v>
      </c>
      <c r="K56" s="223" t="e">
        <f t="shared" si="9"/>
        <v>#REF!</v>
      </c>
      <c r="M56" s="223">
        <f>SUMIF(Historic_capex_list!$T$9:$T$586,$A56,Historic_capex_list!P$9:P$586)</f>
        <v>0</v>
      </c>
      <c r="N56" s="223">
        <f>SUMIF(Historic_capex_list!$T$9:$T$586,$A56,Historic_capex_list!Q$9:Q$586)</f>
        <v>0</v>
      </c>
      <c r="O56" s="223" t="e">
        <f t="shared" si="6"/>
        <v>#REF!</v>
      </c>
      <c r="P56" s="223">
        <f t="shared" si="3"/>
        <v>0</v>
      </c>
      <c r="Q56" s="243" t="e">
        <f t="shared" si="4"/>
        <v>#REF!</v>
      </c>
      <c r="R56" s="243" t="e">
        <f t="shared" si="5"/>
        <v>#REF!</v>
      </c>
    </row>
    <row r="57" spans="1:18">
      <c r="A57" s="226" t="s">
        <v>2662</v>
      </c>
      <c r="B57" s="223">
        <v>-1089570.9999999995</v>
      </c>
      <c r="C57" s="223">
        <f>SUMIF(Historic_capex_list!$T$9:$T$586,$A57,Historic_capex_list!P$9:P$586)</f>
        <v>-1931877.6078314297</v>
      </c>
      <c r="D57" s="223" t="e">
        <f>IF(COUNTIF(#REF!,$A57)=0,0,+$B57)</f>
        <v>#REF!</v>
      </c>
      <c r="E57" s="223">
        <f>SUMIF(Rev_and_int_data!$B$7:$B$150,$A57,Rev_and_int_data!Q$7:Q$150)</f>
        <v>-300294.34600949998</v>
      </c>
      <c r="F57" s="223" t="e">
        <f t="shared" si="7"/>
        <v>#REF!</v>
      </c>
      <c r="G57" s="243" t="str">
        <f t="shared" si="8"/>
        <v>OSL</v>
      </c>
      <c r="I57" s="223">
        <f>SUMIF(Rev_and_int_data!$B$7:$B$150,Aggregation_of_rev_to_allocate!$A57,Rev_and_int_data!E$7:E$150)*3/10</f>
        <v>148171.74209177512</v>
      </c>
      <c r="J57" s="223">
        <f>SUMIF(Rev_and_int_data!$B$7:$B$150,Aggregation_of_rev_to_allocate!$A57,Rev_and_int_data!S$7:S$150)</f>
        <v>804662.98521121754</v>
      </c>
      <c r="K57" s="223" t="e">
        <f t="shared" si="9"/>
        <v>#REF!</v>
      </c>
      <c r="M57" s="223">
        <f>SUMIF(Historic_capex_list!$T$9:$T$586,$A57,Historic_capex_list!P$9:P$586)</f>
        <v>-1931877.6078314297</v>
      </c>
      <c r="N57" s="223">
        <f>SUMIF(Historic_capex_list!$T$9:$T$586,$A57,Historic_capex_list!Q$9:Q$586)</f>
        <v>0</v>
      </c>
      <c r="O57" s="223" t="e">
        <f t="shared" si="6"/>
        <v>#REF!</v>
      </c>
      <c r="P57" s="223">
        <f t="shared" si="3"/>
        <v>0</v>
      </c>
      <c r="Q57" s="243" t="e">
        <f t="shared" si="4"/>
        <v>#REF!</v>
      </c>
      <c r="R57" s="243" t="e">
        <f t="shared" si="5"/>
        <v>#REF!</v>
      </c>
    </row>
    <row r="58" spans="1:18">
      <c r="A58" s="226" t="s">
        <v>2664</v>
      </c>
      <c r="B58" s="223">
        <v>-288123.44999999995</v>
      </c>
      <c r="C58" s="223">
        <f>SUMIF(Historic_capex_list!$T$9:$T$586,$A58,Historic_capex_list!P$9:P$586)</f>
        <v>3824444.4045398524</v>
      </c>
      <c r="D58" s="223" t="e">
        <f>IF(COUNTIF(#REF!,$A58)=0,0,+$B58)+$B$88*$C58/($C$58+$C$60)</f>
        <v>#REF!</v>
      </c>
      <c r="E58" s="223">
        <f>SUMIF(Rev_and_int_data!$B$7:$B$150,$A58,Rev_and_int_data!Q$7:Q$150)</f>
        <v>-442740.68539628695</v>
      </c>
      <c r="F58" s="223" t="e">
        <f t="shared" si="7"/>
        <v>#REF!</v>
      </c>
      <c r="G58" s="243" t="str">
        <f t="shared" si="8"/>
        <v>OSL</v>
      </c>
      <c r="I58" s="223">
        <f>SUMIF(Rev_and_int_data!$B$7:$B$150,Aggregation_of_rev_to_allocate!$A58,Rev_and_int_data!E$7:E$150)*3/10</f>
        <v>41248.573677401007</v>
      </c>
      <c r="J58" s="223">
        <f>SUMIF(Rev_and_int_data!$B$7:$B$150,Aggregation_of_rev_to_allocate!$A58,Rev_and_int_data!S$7:S$150)</f>
        <v>656684.8643398229</v>
      </c>
      <c r="K58" s="223" t="e">
        <f t="shared" si="9"/>
        <v>#REF!</v>
      </c>
      <c r="M58" s="223">
        <f>SUMIF(Historic_capex_list!$T$9:$T$586,$A58,Historic_capex_list!P$9:P$586)</f>
        <v>3824444.4045398524</v>
      </c>
      <c r="N58" s="223">
        <f>SUMIF(Historic_capex_list!$T$9:$T$586,$A58,Historic_capex_list!Q$9:Q$586)</f>
        <v>0</v>
      </c>
      <c r="O58" s="223" t="e">
        <f t="shared" si="6"/>
        <v>#REF!</v>
      </c>
      <c r="P58" s="223">
        <f t="shared" si="3"/>
        <v>0</v>
      </c>
      <c r="Q58" s="243" t="e">
        <f t="shared" si="4"/>
        <v>#REF!</v>
      </c>
      <c r="R58" s="243" t="e">
        <f t="shared" si="5"/>
        <v>#REF!</v>
      </c>
    </row>
    <row r="59" spans="1:18">
      <c r="A59" s="226" t="s">
        <v>2631</v>
      </c>
      <c r="B59" s="223">
        <v>-5498937.9199999981</v>
      </c>
      <c r="C59" s="223">
        <f>SUMIF(Historic_capex_list!$T$9:$T$586,$A59,Historic_capex_list!P$9:P$586)</f>
        <v>0</v>
      </c>
      <c r="D59" s="223" t="e">
        <f>IF(COUNTIF(#REF!,$A59)=0,0,+$B59)</f>
        <v>#REF!</v>
      </c>
      <c r="E59" s="223">
        <f>SUMIF(Rev_and_int_data!$B$7:$B$150,$A59,Rev_and_int_data!Q$7:Q$150)</f>
        <v>-8264739.9807627518</v>
      </c>
      <c r="F59" s="223" t="e">
        <f t="shared" si="7"/>
        <v>#REF!</v>
      </c>
      <c r="G59" s="243" t="str">
        <f t="shared" si="8"/>
        <v>OSL</v>
      </c>
      <c r="I59" s="223">
        <f>SUMIF(Rev_and_int_data!$B$7:$B$150,Aggregation_of_rev_to_allocate!$A59,Rev_and_int_data!E$7:E$150)*3/10</f>
        <v>1076693.5077557331</v>
      </c>
      <c r="J59" s="223">
        <f>SUMIF(Rev_and_int_data!$B$7:$B$150,Aggregation_of_rev_to_allocate!$A59,Rev_and_int_data!S$7:S$150)</f>
        <v>2896427.2767899903</v>
      </c>
      <c r="K59" s="223" t="e">
        <f t="shared" si="9"/>
        <v>#REF!</v>
      </c>
      <c r="M59" s="223">
        <f>SUMIF(Historic_capex_list!$T$9:$T$586,$A59,Historic_capex_list!P$9:P$586)</f>
        <v>0</v>
      </c>
      <c r="N59" s="223">
        <f>SUMIF(Historic_capex_list!$T$9:$T$586,$A59,Historic_capex_list!Q$9:Q$586)</f>
        <v>0</v>
      </c>
      <c r="O59" s="223" t="e">
        <f t="shared" si="6"/>
        <v>#REF!</v>
      </c>
      <c r="P59" s="223">
        <f t="shared" si="3"/>
        <v>0</v>
      </c>
      <c r="Q59" s="243" t="e">
        <f t="shared" si="4"/>
        <v>#REF!</v>
      </c>
      <c r="R59" s="243" t="e">
        <f t="shared" si="5"/>
        <v>#REF!</v>
      </c>
    </row>
    <row r="60" spans="1:18">
      <c r="A60" s="236" t="s">
        <v>2666</v>
      </c>
      <c r="B60" s="237"/>
      <c r="C60" s="237">
        <f>SUMIF(Historic_capex_list!$T$9:$T$586,$A60,Historic_capex_list!P$9:P$586)</f>
        <v>0</v>
      </c>
      <c r="D60" s="237" t="e">
        <f>IF(COUNTIF(#REF!,$A60)=0,0,+$B60)+$B$88*$C60/($C$58+$C$60)</f>
        <v>#REF!</v>
      </c>
      <c r="E60" s="237">
        <f>SUMIF(Rev_and_int_data!$B$7:$B$150,$A60,Rev_and_int_data!Q$7:Q$150)</f>
        <v>0</v>
      </c>
      <c r="F60" s="223" t="e">
        <f t="shared" si="7"/>
        <v>#REF!</v>
      </c>
      <c r="G60" s="243" t="str">
        <f t="shared" si="8"/>
        <v>OSL</v>
      </c>
      <c r="I60" s="223">
        <f>SUMIF(Rev_and_int_data!$B$7:$B$150,Aggregation_of_rev_to_allocate!$A60,Rev_and_int_data!E$7:E$150)*3/10</f>
        <v>0</v>
      </c>
      <c r="J60" s="223">
        <f>SUMIF(Rev_and_int_data!$B$7:$B$150,Aggregation_of_rev_to_allocate!$A60,Rev_and_int_data!S$7:S$150)</f>
        <v>0</v>
      </c>
      <c r="K60" s="223" t="e">
        <f t="shared" si="9"/>
        <v>#REF!</v>
      </c>
      <c r="M60" s="223">
        <f>SUMIF(Historic_capex_list!$T$9:$T$586,$A60,Historic_capex_list!P$9:P$586)</f>
        <v>0</v>
      </c>
      <c r="N60" s="223">
        <f>SUMIF(Historic_capex_list!$T$9:$T$586,$A60,Historic_capex_list!Q$9:Q$586)</f>
        <v>0</v>
      </c>
      <c r="O60" s="223" t="e">
        <f t="shared" si="6"/>
        <v>#REF!</v>
      </c>
      <c r="P60" s="223">
        <f t="shared" si="3"/>
        <v>0</v>
      </c>
      <c r="Q60" s="243" t="e">
        <f t="shared" si="4"/>
        <v>#REF!</v>
      </c>
      <c r="R60" s="243" t="e">
        <f t="shared" si="5"/>
        <v>#REF!</v>
      </c>
    </row>
    <row r="61" spans="1:18">
      <c r="A61" s="226" t="s">
        <v>2668</v>
      </c>
      <c r="B61" s="223">
        <v>-109081.43</v>
      </c>
      <c r="C61" s="223">
        <f>SUMIF(Historic_capex_list!$T$9:$T$586,$A61,Historic_capex_list!P$9:P$586)</f>
        <v>1277314.6481317473</v>
      </c>
      <c r="D61" s="223" t="e">
        <f>IF(COUNTIF(#REF!,$A61)=0,0,+$B61)</f>
        <v>#REF!</v>
      </c>
      <c r="E61" s="223">
        <f>SUMIF(Rev_and_int_data!$B$7:$B$150,$A61,Rev_and_int_data!Q$7:Q$150)</f>
        <v>0</v>
      </c>
      <c r="F61" s="223" t="e">
        <f t="shared" si="7"/>
        <v>#REF!</v>
      </c>
      <c r="G61" s="243" t="str">
        <f t="shared" si="8"/>
        <v>OSL</v>
      </c>
      <c r="I61" s="223">
        <f>SUMIF(Rev_and_int_data!$B$7:$B$150,Aggregation_of_rev_to_allocate!$A61,Rev_and_int_data!E$7:E$150)*3/10</f>
        <v>0</v>
      </c>
      <c r="J61" s="223">
        <f>SUMIF(Rev_and_int_data!$B$7:$B$150,Aggregation_of_rev_to_allocate!$A61,Rev_and_int_data!S$7:S$150)</f>
        <v>0</v>
      </c>
      <c r="K61" s="223" t="e">
        <f t="shared" si="9"/>
        <v>#REF!</v>
      </c>
      <c r="M61" s="223">
        <f>SUMIF(Historic_capex_list!$T$9:$T$586,$A61,Historic_capex_list!P$9:P$586)</f>
        <v>1277314.6481317473</v>
      </c>
      <c r="N61" s="223">
        <f>SUMIF(Historic_capex_list!$T$9:$T$586,$A61,Historic_capex_list!Q$9:Q$586)</f>
        <v>0</v>
      </c>
      <c r="O61" s="223" t="e">
        <f t="shared" si="6"/>
        <v>#REF!</v>
      </c>
      <c r="P61" s="223">
        <f t="shared" si="3"/>
        <v>0</v>
      </c>
      <c r="Q61" s="243" t="e">
        <f t="shared" si="4"/>
        <v>#REF!</v>
      </c>
      <c r="R61" s="243" t="e">
        <f t="shared" si="5"/>
        <v>#REF!</v>
      </c>
    </row>
    <row r="62" spans="1:18">
      <c r="A62" s="226" t="s">
        <v>2670</v>
      </c>
      <c r="B62" s="223">
        <v>-398500</v>
      </c>
      <c r="C62" s="223">
        <f>SUMIF(Historic_capex_list!$T$9:$T$586,$A62,Historic_capex_list!P$9:P$586)</f>
        <v>0</v>
      </c>
      <c r="D62" s="223" t="e">
        <f>IF(COUNTIF(#REF!,$A62)=0,0,+$B62)</f>
        <v>#REF!</v>
      </c>
      <c r="E62" s="223">
        <f>SUMIF(Rev_and_int_data!$B$7:$B$150,$A62,Rev_and_int_data!Q$7:Q$150)</f>
        <v>0</v>
      </c>
      <c r="F62" s="223" t="e">
        <f t="shared" si="7"/>
        <v>#REF!</v>
      </c>
      <c r="G62" s="243" t="str">
        <f t="shared" si="8"/>
        <v>OSL</v>
      </c>
      <c r="I62" s="223">
        <f>SUMIF(Rev_and_int_data!$B$7:$B$150,Aggregation_of_rev_to_allocate!$A62,Rev_and_int_data!E$7:E$150)*3/10</f>
        <v>0</v>
      </c>
      <c r="J62" s="223">
        <f>SUMIF(Rev_and_int_data!$B$7:$B$150,Aggregation_of_rev_to_allocate!$A62,Rev_and_int_data!S$7:S$150)</f>
        <v>0</v>
      </c>
      <c r="K62" s="223" t="e">
        <f t="shared" si="9"/>
        <v>#REF!</v>
      </c>
      <c r="M62" s="223">
        <f>SUMIF(Historic_capex_list!$T$9:$T$586,$A62,Historic_capex_list!P$9:P$586)</f>
        <v>0</v>
      </c>
      <c r="N62" s="223">
        <f>SUMIF(Historic_capex_list!$T$9:$T$586,$A62,Historic_capex_list!Q$9:Q$586)</f>
        <v>0</v>
      </c>
      <c r="O62" s="223">
        <f>+M62</f>
        <v>0</v>
      </c>
      <c r="P62" s="223">
        <f t="shared" si="3"/>
        <v>0</v>
      </c>
      <c r="Q62" s="243" t="str">
        <f t="shared" si="4"/>
        <v>Y</v>
      </c>
      <c r="R62" s="243" t="str">
        <f t="shared" si="5"/>
        <v>Y</v>
      </c>
    </row>
    <row r="63" spans="1:18">
      <c r="A63" s="226" t="s">
        <v>2672</v>
      </c>
      <c r="B63" s="223">
        <v>-374551.82</v>
      </c>
      <c r="C63" s="223">
        <f>SUMIF(Historic_capex_list!$T$9:$T$586,$A63,Historic_capex_list!P$9:P$586)</f>
        <v>0</v>
      </c>
      <c r="D63" s="223" t="e">
        <f>IF(COUNTIF(#REF!,$A63)=0,0,+$B63)</f>
        <v>#REF!</v>
      </c>
      <c r="E63" s="223">
        <f>SUMIF(Rev_and_int_data!$B$7:$B$150,$A63,Rev_and_int_data!Q$7:Q$150)</f>
        <v>0</v>
      </c>
      <c r="F63" s="223" t="e">
        <f t="shared" si="7"/>
        <v>#REF!</v>
      </c>
      <c r="G63" s="243" t="str">
        <f t="shared" si="8"/>
        <v>OSL</v>
      </c>
      <c r="I63" s="223">
        <f>SUMIF(Rev_and_int_data!$B$7:$B$150,Aggregation_of_rev_to_allocate!$A63,Rev_and_int_data!E$7:E$150)*3/10</f>
        <v>0</v>
      </c>
      <c r="J63" s="223">
        <f>SUMIF(Rev_and_int_data!$B$7:$B$150,Aggregation_of_rev_to_allocate!$A63,Rev_and_int_data!S$7:S$150)</f>
        <v>0</v>
      </c>
      <c r="K63" s="223" t="e">
        <f t="shared" si="9"/>
        <v>#REF!</v>
      </c>
      <c r="M63" s="223">
        <f>SUMIF(Historic_capex_list!$T$9:$T$586,$A63,Historic_capex_list!P$9:P$586)</f>
        <v>0</v>
      </c>
      <c r="N63" s="223">
        <f>SUMIF(Historic_capex_list!$T$9:$T$586,$A63,Historic_capex_list!Q$9:Q$586)</f>
        <v>0</v>
      </c>
      <c r="O63" s="223" t="e">
        <f t="shared" si="6"/>
        <v>#REF!</v>
      </c>
      <c r="P63" s="223">
        <f t="shared" si="3"/>
        <v>0</v>
      </c>
      <c r="Q63" s="243" t="e">
        <f t="shared" si="4"/>
        <v>#REF!</v>
      </c>
      <c r="R63" s="243" t="e">
        <f t="shared" si="5"/>
        <v>#REF!</v>
      </c>
    </row>
    <row r="64" spans="1:18">
      <c r="A64" s="226" t="s">
        <v>2674</v>
      </c>
      <c r="B64" s="223">
        <v>-3400.6</v>
      </c>
      <c r="C64" s="223">
        <f>SUMIF(Historic_capex_list!$T$9:$T$586,$A64,Historic_capex_list!P$9:P$586)</f>
        <v>0</v>
      </c>
      <c r="D64" s="223" t="e">
        <f>IF(COUNTIF(#REF!,$A64)=0,0,+$B64)+$B$89*$C64/($C$51+$C$53+$C$64)</f>
        <v>#REF!</v>
      </c>
      <c r="E64" s="223">
        <f>SUMIF(Rev_and_int_data!$B$7:$B$150,$A64,Rev_and_int_data!Q$7:Q$150)</f>
        <v>0</v>
      </c>
      <c r="F64" s="223" t="e">
        <f t="shared" si="7"/>
        <v>#REF!</v>
      </c>
      <c r="G64" s="243" t="str">
        <f t="shared" si="8"/>
        <v>OSL</v>
      </c>
      <c r="I64" s="223">
        <f>SUMIF(Rev_and_int_data!$B$7:$B$150,Aggregation_of_rev_to_allocate!$A64,Rev_and_int_data!E$7:E$150)*3/10</f>
        <v>0</v>
      </c>
      <c r="J64" s="223">
        <f>SUMIF(Rev_and_int_data!$B$7:$B$150,Aggregation_of_rev_to_allocate!$A64,Rev_and_int_data!S$7:S$150)</f>
        <v>0</v>
      </c>
      <c r="K64" s="223" t="e">
        <f t="shared" si="9"/>
        <v>#REF!</v>
      </c>
      <c r="M64" s="223">
        <f>SUMIF(Historic_capex_list!$T$9:$T$586,$A64,Historic_capex_list!P$9:P$586)</f>
        <v>0</v>
      </c>
      <c r="N64" s="223">
        <f>SUMIF(Historic_capex_list!$T$9:$T$586,$A64,Historic_capex_list!Q$9:Q$586)</f>
        <v>0</v>
      </c>
      <c r="O64" s="223">
        <f>+M64</f>
        <v>0</v>
      </c>
      <c r="P64" s="223">
        <f t="shared" si="3"/>
        <v>0</v>
      </c>
      <c r="Q64" s="243" t="str">
        <f t="shared" si="4"/>
        <v>Y</v>
      </c>
      <c r="R64" s="243" t="str">
        <f t="shared" si="5"/>
        <v>Y</v>
      </c>
    </row>
    <row r="65" spans="1:18">
      <c r="A65" s="236" t="s">
        <v>2676</v>
      </c>
      <c r="B65" s="237"/>
      <c r="C65" s="237">
        <f>SUMIF(Historic_capex_list!$T$9:$T$586,$A65,Historic_capex_list!P$9:P$586)</f>
        <v>0</v>
      </c>
      <c r="D65" s="237" t="e">
        <f>IF(COUNTIF(#REF!,$A65)=0,0,+$B65)</f>
        <v>#REF!</v>
      </c>
      <c r="E65" s="237">
        <f>SUMIF(Rev_and_int_data!$B$7:$B$150,$A65,Rev_and_int_data!Q$7:Q$150)</f>
        <v>0</v>
      </c>
      <c r="F65" s="223" t="e">
        <f t="shared" si="7"/>
        <v>#REF!</v>
      </c>
      <c r="G65" s="243" t="str">
        <f t="shared" si="8"/>
        <v>OSL</v>
      </c>
      <c r="I65" s="223">
        <f>SUMIF(Rev_and_int_data!$B$7:$B$150,Aggregation_of_rev_to_allocate!$A65,Rev_and_int_data!E$7:E$150)*3/10</f>
        <v>0</v>
      </c>
      <c r="J65" s="223">
        <f>SUMIF(Rev_and_int_data!$B$7:$B$150,Aggregation_of_rev_to_allocate!$A65,Rev_and_int_data!S$7:S$150)</f>
        <v>0</v>
      </c>
      <c r="K65" s="223" t="e">
        <f t="shared" si="9"/>
        <v>#REF!</v>
      </c>
      <c r="M65" s="223">
        <f>SUMIF(Historic_capex_list!$T$9:$T$586,$A65,Historic_capex_list!P$9:P$586)</f>
        <v>0</v>
      </c>
      <c r="N65" s="223">
        <f>SUMIF(Historic_capex_list!$T$9:$T$586,$A65,Historic_capex_list!Q$9:Q$586)</f>
        <v>0</v>
      </c>
      <c r="O65" s="223" t="e">
        <f t="shared" si="6"/>
        <v>#REF!</v>
      </c>
      <c r="P65" s="223">
        <f t="shared" si="3"/>
        <v>0</v>
      </c>
      <c r="Q65" s="243" t="e">
        <f t="shared" si="4"/>
        <v>#REF!</v>
      </c>
      <c r="R65" s="243" t="e">
        <f t="shared" si="5"/>
        <v>#REF!</v>
      </c>
    </row>
    <row r="66" spans="1:18">
      <c r="A66" s="226" t="s">
        <v>2678</v>
      </c>
      <c r="B66" s="223">
        <v>-32150.28</v>
      </c>
      <c r="C66" s="223">
        <f>SUMIF(Historic_capex_list!$T$9:$T$586,$A66,Historic_capex_list!P$9:P$586)</f>
        <v>0</v>
      </c>
      <c r="D66" s="223" t="e">
        <f>IF(COUNTIF(#REF!,$A66)=0,0,+$B66)</f>
        <v>#REF!</v>
      </c>
      <c r="E66" s="223">
        <f>SUMIF(Rev_and_int_data!$B$7:$B$150,$A66,Rev_and_int_data!Q$7:Q$150)</f>
        <v>0</v>
      </c>
      <c r="F66" s="223" t="e">
        <f t="shared" si="7"/>
        <v>#REF!</v>
      </c>
      <c r="G66" s="243" t="str">
        <f t="shared" si="8"/>
        <v>OSL</v>
      </c>
      <c r="I66" s="223">
        <f>SUMIF(Rev_and_int_data!$B$7:$B$150,Aggregation_of_rev_to_allocate!$A66,Rev_and_int_data!E$7:E$150)*3/10</f>
        <v>0</v>
      </c>
      <c r="J66" s="223">
        <f>SUMIF(Rev_and_int_data!$B$7:$B$150,Aggregation_of_rev_to_allocate!$A66,Rev_and_int_data!S$7:S$150)</f>
        <v>0</v>
      </c>
      <c r="K66" s="223" t="e">
        <f t="shared" si="9"/>
        <v>#REF!</v>
      </c>
      <c r="M66" s="223">
        <f>SUMIF(Historic_capex_list!$T$9:$T$586,$A66,Historic_capex_list!P$9:P$586)</f>
        <v>0</v>
      </c>
      <c r="N66" s="223">
        <f>SUMIF(Historic_capex_list!$T$9:$T$586,$A66,Historic_capex_list!Q$9:Q$586)</f>
        <v>0</v>
      </c>
      <c r="O66" s="223" t="e">
        <f t="shared" si="6"/>
        <v>#REF!</v>
      </c>
      <c r="P66" s="223">
        <f t="shared" si="3"/>
        <v>0</v>
      </c>
      <c r="Q66" s="243" t="e">
        <f t="shared" si="4"/>
        <v>#REF!</v>
      </c>
      <c r="R66" s="243" t="e">
        <f t="shared" si="5"/>
        <v>#REF!</v>
      </c>
    </row>
    <row r="67" spans="1:18">
      <c r="A67" s="226" t="s">
        <v>2633</v>
      </c>
      <c r="B67" s="223">
        <v>-6710169.4400000274</v>
      </c>
      <c r="C67" s="223">
        <f>SUMIF(Historic_capex_list!$T$9:$T$586,$A67,Historic_capex_list!P$9:P$586)</f>
        <v>10325503.691765213</v>
      </c>
      <c r="D67" s="223" t="e">
        <f>IF(COUNTIF(#REF!,$A67)=0,0,+$B67)</f>
        <v>#REF!</v>
      </c>
      <c r="E67" s="223">
        <f>SUMIF(Rev_and_int_data!$B$7:$B$150,$A67,Rev_and_int_data!Q$7:Q$150)</f>
        <v>-5236618.5917437766</v>
      </c>
      <c r="F67" s="223" t="e">
        <f t="shared" si="7"/>
        <v>#REF!</v>
      </c>
      <c r="G67" s="243" t="str">
        <f t="shared" si="8"/>
        <v>OSL</v>
      </c>
      <c r="I67" s="223">
        <f>SUMIF(Rev_and_int_data!$B$7:$B$150,Aggregation_of_rev_to_allocate!$A67,Rev_and_int_data!E$7:E$150)*3/10</f>
        <v>655803.65292412043</v>
      </c>
      <c r="J67" s="223">
        <f>SUMIF(Rev_and_int_data!$B$7:$B$150,Aggregation_of_rev_to_allocate!$A67,Rev_and_int_data!S$7:S$150)</f>
        <v>1360640.5824220425</v>
      </c>
      <c r="K67" s="223" t="e">
        <f t="shared" si="9"/>
        <v>#REF!</v>
      </c>
      <c r="M67" s="223">
        <f>SUMIF(Historic_capex_list!$T$9:$T$586,$A67,Historic_capex_list!P$9:P$586)</f>
        <v>10325503.691765213</v>
      </c>
      <c r="N67" s="223">
        <f>SUMIF(Historic_capex_list!$T$9:$T$586,$A67,Historic_capex_list!Q$9:Q$586)</f>
        <v>0</v>
      </c>
      <c r="O67" s="223" t="e">
        <f t="shared" si="6"/>
        <v>#REF!</v>
      </c>
      <c r="P67" s="223">
        <f t="shared" si="3"/>
        <v>0</v>
      </c>
      <c r="Q67" s="243" t="e">
        <f t="shared" si="4"/>
        <v>#REF!</v>
      </c>
      <c r="R67" s="243" t="e">
        <f t="shared" si="5"/>
        <v>#REF!</v>
      </c>
    </row>
    <row r="68" spans="1:18">
      <c r="A68" s="226" t="s">
        <v>2634</v>
      </c>
      <c r="B68" s="223">
        <v>-1553.4</v>
      </c>
      <c r="C68" s="223">
        <f>SUMIF(Historic_capex_list!$T$9:$T$586,$A68,Historic_capex_list!P$9:P$586)</f>
        <v>0</v>
      </c>
      <c r="D68" s="223" t="e">
        <f>IF(COUNTIF(#REF!,$A68)=0,0,+$B68)</f>
        <v>#REF!</v>
      </c>
      <c r="E68" s="223">
        <f>SUMIF(Rev_and_int_data!$B$7:$B$150,$A68,Rev_and_int_data!Q$7:Q$150)</f>
        <v>0.16857985435103121</v>
      </c>
      <c r="F68" s="223" t="e">
        <f t="shared" si="7"/>
        <v>#REF!</v>
      </c>
      <c r="G68" s="243" t="str">
        <f t="shared" si="8"/>
        <v>OSL</v>
      </c>
      <c r="I68" s="223">
        <f>SUMIF(Rev_and_int_data!$B$7:$B$150,Aggregation_of_rev_to_allocate!$A68,Rev_and_int_data!E$7:E$150)*3/10</f>
        <v>0</v>
      </c>
      <c r="J68" s="223">
        <f>SUMIF(Rev_and_int_data!$B$7:$B$150,Aggregation_of_rev_to_allocate!$A68,Rev_and_int_data!S$7:S$150)</f>
        <v>0</v>
      </c>
      <c r="K68" s="223" t="e">
        <f t="shared" si="9"/>
        <v>#REF!</v>
      </c>
      <c r="M68" s="223">
        <f>SUMIF(Historic_capex_list!$T$9:$T$586,$A68,Historic_capex_list!P$9:P$586)</f>
        <v>0</v>
      </c>
      <c r="N68" s="223">
        <f>SUMIF(Historic_capex_list!$T$9:$T$586,$A68,Historic_capex_list!Q$9:Q$586)</f>
        <v>0</v>
      </c>
      <c r="O68" s="223">
        <f>+M68</f>
        <v>0</v>
      </c>
      <c r="P68" s="223">
        <f t="shared" si="3"/>
        <v>0</v>
      </c>
      <c r="Q68" s="243" t="str">
        <f t="shared" si="4"/>
        <v>Y</v>
      </c>
      <c r="R68" s="243" t="str">
        <f t="shared" si="5"/>
        <v>Y</v>
      </c>
    </row>
    <row r="69" spans="1:18">
      <c r="A69" s="226" t="s">
        <v>2636</v>
      </c>
      <c r="B69" s="223">
        <v>-5171.3</v>
      </c>
      <c r="C69" s="223">
        <f>SUMIF(Historic_capex_list!$T$9:$T$586,$A69,Historic_capex_list!P$9:P$586)</f>
        <v>0</v>
      </c>
      <c r="D69" s="223" t="e">
        <f>IF(COUNTIF(#REF!,$A69)=0,0,+$B69)</f>
        <v>#REF!</v>
      </c>
      <c r="E69" s="223">
        <f>SUMIF(Rev_and_int_data!$B$7:$B$150,$A69,Rev_and_int_data!Q$7:Q$150)</f>
        <v>-0.41702795277545662</v>
      </c>
      <c r="F69" s="223" t="e">
        <f t="shared" ref="F69:F101" si="10">+E69+D69</f>
        <v>#REF!</v>
      </c>
      <c r="G69" s="243" t="str">
        <f t="shared" ref="G69:G101" si="11">LEFT(A69,3)</f>
        <v>OSL</v>
      </c>
      <c r="I69" s="223">
        <f>SUMIF(Rev_and_int_data!$B$7:$B$150,Aggregation_of_rev_to_allocate!$A69,Rev_and_int_data!E$7:E$150)*3/10</f>
        <v>0</v>
      </c>
      <c r="J69" s="223">
        <f>SUMIF(Rev_and_int_data!$B$7:$B$150,Aggregation_of_rev_to_allocate!$A69,Rev_and_int_data!S$7:S$150)</f>
        <v>0</v>
      </c>
      <c r="K69" s="223" t="e">
        <f t="shared" ref="K69:K101" si="12">+J69+I69+F69</f>
        <v>#REF!</v>
      </c>
      <c r="M69" s="223">
        <f>SUMIF(Historic_capex_list!$T$9:$T$586,$A69,Historic_capex_list!P$9:P$586)</f>
        <v>0</v>
      </c>
      <c r="N69" s="223">
        <f>SUMIF(Historic_capex_list!$T$9:$T$586,$A69,Historic_capex_list!Q$9:Q$586)</f>
        <v>0</v>
      </c>
      <c r="O69" s="223">
        <f>+M69</f>
        <v>0</v>
      </c>
      <c r="P69" s="223">
        <f t="shared" si="3"/>
        <v>0</v>
      </c>
      <c r="Q69" s="243" t="str">
        <f t="shared" si="4"/>
        <v>Y</v>
      </c>
      <c r="R69" s="243" t="str">
        <f t="shared" si="5"/>
        <v>Y</v>
      </c>
    </row>
    <row r="70" spans="1:18">
      <c r="A70" s="226" t="s">
        <v>2640</v>
      </c>
      <c r="B70" s="223">
        <v>-2850.15</v>
      </c>
      <c r="C70" s="223">
        <f>SUMIF(Historic_capex_list!$T$9:$T$586,$A70,Historic_capex_list!P$9:P$586)</f>
        <v>7981915.7473571096</v>
      </c>
      <c r="D70" s="223" t="e">
        <f>IF(COUNTIF(#REF!,$A70)=0,0,+$B70)</f>
        <v>#REF!</v>
      </c>
      <c r="E70" s="223">
        <f>SUMIF(Rev_and_int_data!$B$7:$B$150,$A70,Rev_and_int_data!Q$7:Q$150)</f>
        <v>0.21184726225118208</v>
      </c>
      <c r="F70" s="223" t="e">
        <f t="shared" si="10"/>
        <v>#REF!</v>
      </c>
      <c r="G70" s="243" t="str">
        <f t="shared" si="11"/>
        <v>OSL</v>
      </c>
      <c r="I70" s="223">
        <f>SUMIF(Rev_and_int_data!$B$7:$B$150,Aggregation_of_rev_to_allocate!$A70,Rev_and_int_data!E$7:E$150)*3/10</f>
        <v>0</v>
      </c>
      <c r="J70" s="223">
        <f>SUMIF(Rev_and_int_data!$B$7:$B$150,Aggregation_of_rev_to_allocate!$A70,Rev_and_int_data!S$7:S$150)</f>
        <v>0</v>
      </c>
      <c r="K70" s="223" t="e">
        <f t="shared" si="12"/>
        <v>#REF!</v>
      </c>
      <c r="M70" s="223">
        <f>SUMIF(Historic_capex_list!$T$9:$T$586,$A70,Historic_capex_list!P$9:P$586)</f>
        <v>7981915.7473571096</v>
      </c>
      <c r="N70" s="223">
        <f>SUMIF(Historic_capex_list!$T$9:$T$586,$A70,Historic_capex_list!Q$9:Q$586)</f>
        <v>0</v>
      </c>
      <c r="O70" s="223">
        <f>+M70</f>
        <v>7981915.7473571096</v>
      </c>
      <c r="P70" s="223">
        <f t="shared" ref="P70:P134" si="13">+N70</f>
        <v>0</v>
      </c>
      <c r="Q70" s="243" t="str">
        <f t="shared" ref="Q70:Q134" si="14">IF(O70&lt;=Q$1,"Y","")</f>
        <v/>
      </c>
      <c r="R70" s="243" t="str">
        <f t="shared" ref="R70:R134" si="15">IF((P70+O70)&lt;=R$1,"Y","")</f>
        <v/>
      </c>
    </row>
    <row r="71" spans="1:18">
      <c r="A71" s="240" t="s">
        <v>2642</v>
      </c>
      <c r="B71" s="223">
        <v>0</v>
      </c>
      <c r="C71" s="223">
        <f>SUMIF(Historic_capex_list!$T$9:$T$586,$A71,Historic_capex_list!P$9:P$586)</f>
        <v>13245346.442865649</v>
      </c>
      <c r="D71" s="223" t="e">
        <f>IF(COUNTIF(#REF!,$A71)=0,0,+$B71)</f>
        <v>#REF!</v>
      </c>
      <c r="E71" s="223">
        <f>SUMIF(Rev_and_int_data!$B$7:$B$150,$A71,Rev_and_int_data!Q$7:Q$150)</f>
        <v>0</v>
      </c>
      <c r="F71" s="223" t="e">
        <f>+E71+D71</f>
        <v>#REF!</v>
      </c>
      <c r="G71" s="243" t="str">
        <f>LEFT(A71,3)</f>
        <v>OSL</v>
      </c>
      <c r="I71" s="223">
        <f>SUMIF(Rev_and_int_data!$B$7:$B$150,Aggregation_of_rev_to_allocate!$A71,Rev_and_int_data!E$7:E$150)*3/10</f>
        <v>0</v>
      </c>
      <c r="J71" s="223">
        <f>SUMIF(Rev_and_int_data!$B$7:$B$150,Aggregation_of_rev_to_allocate!$A71,Rev_and_int_data!S$7:S$150)</f>
        <v>0</v>
      </c>
      <c r="K71" s="223" t="e">
        <f>+J71+I71+F71</f>
        <v>#REF!</v>
      </c>
      <c r="M71" s="223">
        <f>SUMIF(Historic_capex_list!$T$9:$T$586,$A71,Historic_capex_list!P$9:P$586)</f>
        <v>13245346.442865649</v>
      </c>
      <c r="N71" s="223">
        <f>SUMIF(Historic_capex_list!$T$9:$T$586,$A71,Historic_capex_list!Q$9:Q$586)</f>
        <v>454404.74580645119</v>
      </c>
      <c r="O71" s="223" t="e">
        <f>+M71+K71</f>
        <v>#REF!</v>
      </c>
      <c r="P71" s="223">
        <f>+N71</f>
        <v>454404.74580645119</v>
      </c>
      <c r="Q71" s="243" t="e">
        <f>IF(O71&lt;=Q$1,"Y","")</f>
        <v>#REF!</v>
      </c>
      <c r="R71" s="243" t="e">
        <f>IF((P71+O71)&lt;=R$1,"Y","")</f>
        <v>#REF!</v>
      </c>
    </row>
    <row r="72" spans="1:18">
      <c r="A72" s="226" t="s">
        <v>2810</v>
      </c>
      <c r="B72" s="223">
        <v>-13384995.239999995</v>
      </c>
      <c r="C72" s="223">
        <f>SUMIF(Historic_capex_list!$T$9:$T$586,$A72,Historic_capex_list!P$9:P$586)</f>
        <v>22174439.876989812</v>
      </c>
      <c r="D72" s="223" t="e">
        <f>IF(COUNTIF(#REF!,$A72)=0,0,+$B72)</f>
        <v>#REF!</v>
      </c>
      <c r="E72" s="223">
        <f>SUMIF(Rev_and_int_data!$B$7:$B$150,$A72,Rev_and_int_data!Q$7:Q$150)</f>
        <v>-5782713.812182162</v>
      </c>
      <c r="F72" s="223" t="e">
        <f t="shared" si="10"/>
        <v>#REF!</v>
      </c>
      <c r="G72" s="243" t="str">
        <f t="shared" si="11"/>
        <v>PTR</v>
      </c>
      <c r="I72" s="223">
        <f>SUMIF(Rev_and_int_data!$B$7:$B$150,Aggregation_of_rev_to_allocate!$A72,Rev_and_int_data!E$7:E$150)*3/10</f>
        <v>518314.28975849284</v>
      </c>
      <c r="J72" s="223">
        <f>SUMIF(Rev_and_int_data!$B$7:$B$150,Aggregation_of_rev_to_allocate!$A72,Rev_and_int_data!S$7:S$150)</f>
        <v>3037140.3497380903</v>
      </c>
      <c r="K72" s="223" t="e">
        <f t="shared" si="12"/>
        <v>#REF!</v>
      </c>
      <c r="M72" s="223">
        <f>SUMIF(Historic_capex_list!$T$9:$T$586,$A72,Historic_capex_list!P$9:P$586)</f>
        <v>22174439.876989812</v>
      </c>
      <c r="N72" s="223">
        <f>SUMIF(Historic_capex_list!$T$9:$T$586,$A72,Historic_capex_list!Q$9:Q$586)</f>
        <v>6334762.2325534867</v>
      </c>
      <c r="O72" s="223" t="e">
        <f t="shared" ref="O72:O134" si="16">+M72+K72</f>
        <v>#REF!</v>
      </c>
      <c r="P72" s="223">
        <f t="shared" si="13"/>
        <v>6334762.2325534867</v>
      </c>
      <c r="Q72" s="243" t="e">
        <f t="shared" si="14"/>
        <v>#REF!</v>
      </c>
      <c r="R72" s="243" t="e">
        <f t="shared" si="15"/>
        <v>#REF!</v>
      </c>
    </row>
    <row r="73" spans="1:18">
      <c r="A73" s="236" t="s">
        <v>2811</v>
      </c>
      <c r="B73" s="237"/>
      <c r="C73" s="237">
        <f>SUMIF(Historic_capex_list!$T$9:$T$586,$A73,Historic_capex_list!P$9:P$586)</f>
        <v>0</v>
      </c>
      <c r="D73" s="237" t="e">
        <f>IF(COUNTIF(#REF!,$A73)=0,0,+$B73)</f>
        <v>#REF!</v>
      </c>
      <c r="E73" s="237">
        <f>SUMIF(Rev_and_int_data!$B$7:$B$150,$A73,Rev_and_int_data!Q$7:Q$150)</f>
        <v>-286656.18025050248</v>
      </c>
      <c r="F73" s="223" t="e">
        <f t="shared" si="10"/>
        <v>#REF!</v>
      </c>
      <c r="G73" s="243" t="str">
        <f t="shared" si="11"/>
        <v>PTR</v>
      </c>
      <c r="I73" s="223">
        <f>SUMIF(Rev_and_int_data!$B$7:$B$150,Aggregation_of_rev_to_allocate!$A73,Rev_and_int_data!E$7:E$150)*3/10</f>
        <v>16912.703143013881</v>
      </c>
      <c r="J73" s="223">
        <f>SUMIF(Rev_and_int_data!$B$7:$B$150,Aggregation_of_rev_to_allocate!$A73,Rev_and_int_data!S$7:S$150)</f>
        <v>335863.48415028123</v>
      </c>
      <c r="K73" s="223" t="e">
        <f t="shared" si="12"/>
        <v>#REF!</v>
      </c>
      <c r="M73" s="223">
        <f>SUMIF(Historic_capex_list!$T$9:$T$586,$A73,Historic_capex_list!P$9:P$586)</f>
        <v>0</v>
      </c>
      <c r="N73" s="223">
        <f>SUMIF(Historic_capex_list!$T$9:$T$586,$A73,Historic_capex_list!Q$9:Q$586)</f>
        <v>0</v>
      </c>
      <c r="O73" s="223" t="e">
        <f t="shared" si="16"/>
        <v>#REF!</v>
      </c>
      <c r="P73" s="223">
        <f t="shared" si="13"/>
        <v>0</v>
      </c>
      <c r="Q73" s="243" t="e">
        <f t="shared" si="14"/>
        <v>#REF!</v>
      </c>
      <c r="R73" s="243" t="e">
        <f t="shared" si="15"/>
        <v>#REF!</v>
      </c>
    </row>
    <row r="74" spans="1:18">
      <c r="A74" s="236" t="s">
        <v>2812</v>
      </c>
      <c r="B74" s="237"/>
      <c r="C74" s="237">
        <f>SUMIF(Historic_capex_list!$T$9:$T$586,$A74,Historic_capex_list!P$9:P$586)</f>
        <v>0</v>
      </c>
      <c r="D74" s="237" t="e">
        <f>IF(COUNTIF(#REF!,$A74)=0,0,+$B74)</f>
        <v>#REF!</v>
      </c>
      <c r="E74" s="237">
        <f>SUMIF(Rev_and_int_data!$B$7:$B$150,$A74,Rev_and_int_data!Q$7:Q$150)</f>
        <v>-1476244.8240783405</v>
      </c>
      <c r="F74" s="223" t="e">
        <f t="shared" si="10"/>
        <v>#REF!</v>
      </c>
      <c r="G74" s="243" t="str">
        <f t="shared" si="11"/>
        <v>PTR</v>
      </c>
      <c r="I74" s="223">
        <f>SUMIF(Rev_and_int_data!$B$7:$B$150,Aggregation_of_rev_to_allocate!$A74,Rev_and_int_data!E$7:E$150)*3/10</f>
        <v>125296.47460551471</v>
      </c>
      <c r="J74" s="223">
        <f>SUMIF(Rev_and_int_data!$B$7:$B$150,Aggregation_of_rev_to_allocate!$A74,Rev_and_int_data!S$7:S$150)</f>
        <v>0</v>
      </c>
      <c r="K74" s="223" t="e">
        <f t="shared" si="12"/>
        <v>#REF!</v>
      </c>
      <c r="M74" s="223">
        <f>SUMIF(Historic_capex_list!$T$9:$T$586,$A74,Historic_capex_list!P$9:P$586)</f>
        <v>0</v>
      </c>
      <c r="N74" s="223">
        <f>SUMIF(Historic_capex_list!$T$9:$T$586,$A74,Historic_capex_list!Q$9:Q$586)</f>
        <v>0</v>
      </c>
      <c r="O74" s="223">
        <f>+M74</f>
        <v>0</v>
      </c>
      <c r="P74" s="223">
        <f t="shared" si="13"/>
        <v>0</v>
      </c>
      <c r="Q74" s="243" t="str">
        <f t="shared" si="14"/>
        <v>Y</v>
      </c>
      <c r="R74" s="243" t="str">
        <f t="shared" si="15"/>
        <v>Y</v>
      </c>
    </row>
    <row r="75" spans="1:18">
      <c r="A75" s="236" t="s">
        <v>2813</v>
      </c>
      <c r="B75" s="237"/>
      <c r="C75" s="237">
        <f>SUMIF(Historic_capex_list!$T$9:$T$586,$A75,Historic_capex_list!P$9:P$586)</f>
        <v>0</v>
      </c>
      <c r="D75" s="237" t="e">
        <f>IF(COUNTIF(#REF!,$A75)=0,0,+$B75)</f>
        <v>#REF!</v>
      </c>
      <c r="E75" s="237">
        <f>SUMIF(Rev_and_int_data!$B$7:$B$150,$A75,Rev_and_int_data!Q$7:Q$150)</f>
        <v>-13736.915753172283</v>
      </c>
      <c r="F75" s="223" t="e">
        <f t="shared" si="10"/>
        <v>#REF!</v>
      </c>
      <c r="G75" s="243" t="str">
        <f t="shared" si="11"/>
        <v>PTR</v>
      </c>
      <c r="I75" s="223">
        <f>SUMIF(Rev_and_int_data!$B$7:$B$150,Aggregation_of_rev_to_allocate!$A75,Rev_and_int_data!E$7:E$150)*3/10</f>
        <v>1023.9247424211751</v>
      </c>
      <c r="J75" s="223">
        <f>SUMIF(Rev_and_int_data!$B$7:$B$150,Aggregation_of_rev_to_allocate!$A75,Rev_and_int_data!S$7:S$150)</f>
        <v>0</v>
      </c>
      <c r="K75" s="223" t="e">
        <f t="shared" si="12"/>
        <v>#REF!</v>
      </c>
      <c r="M75" s="223">
        <f>SUMIF(Historic_capex_list!$T$9:$T$586,$A75,Historic_capex_list!P$9:P$586)</f>
        <v>0</v>
      </c>
      <c r="N75" s="223">
        <f>SUMIF(Historic_capex_list!$T$9:$T$586,$A75,Historic_capex_list!Q$9:Q$586)</f>
        <v>0</v>
      </c>
      <c r="O75" s="223" t="e">
        <f t="shared" si="16"/>
        <v>#REF!</v>
      </c>
      <c r="P75" s="223">
        <f t="shared" si="13"/>
        <v>0</v>
      </c>
      <c r="Q75" s="243" t="e">
        <f t="shared" si="14"/>
        <v>#REF!</v>
      </c>
      <c r="R75" s="243" t="e">
        <f t="shared" si="15"/>
        <v>#REF!</v>
      </c>
    </row>
    <row r="76" spans="1:18">
      <c r="A76" s="236" t="s">
        <v>2814</v>
      </c>
      <c r="B76" s="237"/>
      <c r="C76" s="237">
        <f>SUMIF(Historic_capex_list!$T$9:$T$586,$A76,Historic_capex_list!P$9:P$586)</f>
        <v>0</v>
      </c>
      <c r="D76" s="237" t="e">
        <f>IF(COUNTIF(#REF!,$A76)=0,0,+$B76)</f>
        <v>#REF!</v>
      </c>
      <c r="E76" s="237">
        <f>SUMIF(Rev_and_int_data!$B$7:$B$150,$A76,Rev_and_int_data!Q$7:Q$150)</f>
        <v>-1475944.5417586607</v>
      </c>
      <c r="F76" s="223" t="e">
        <f t="shared" si="10"/>
        <v>#REF!</v>
      </c>
      <c r="G76" s="243" t="str">
        <f t="shared" si="11"/>
        <v>PTR</v>
      </c>
      <c r="I76" s="223">
        <f>SUMIF(Rev_and_int_data!$B$7:$B$150,Aggregation_of_rev_to_allocate!$A76,Rev_and_int_data!E$7:E$150)*3/10</f>
        <v>140503.80775055746</v>
      </c>
      <c r="J76" s="223">
        <f>SUMIF(Rev_and_int_data!$B$7:$B$150,Aggregation_of_rev_to_allocate!$A76,Rev_and_int_data!S$7:S$150)</f>
        <v>0</v>
      </c>
      <c r="K76" s="223" t="e">
        <f t="shared" si="12"/>
        <v>#REF!</v>
      </c>
      <c r="M76" s="223">
        <f>SUMIF(Historic_capex_list!$T$9:$T$586,$A76,Historic_capex_list!P$9:P$586)</f>
        <v>0</v>
      </c>
      <c r="N76" s="223">
        <f>SUMIF(Historic_capex_list!$T$9:$T$586,$A76,Historic_capex_list!Q$9:Q$586)</f>
        <v>0</v>
      </c>
      <c r="O76" s="223" t="e">
        <f t="shared" si="16"/>
        <v>#REF!</v>
      </c>
      <c r="P76" s="223">
        <f t="shared" si="13"/>
        <v>0</v>
      </c>
      <c r="Q76" s="243" t="e">
        <f t="shared" si="14"/>
        <v>#REF!</v>
      </c>
      <c r="R76" s="243" t="e">
        <f t="shared" si="15"/>
        <v>#REF!</v>
      </c>
    </row>
    <row r="77" spans="1:18">
      <c r="A77" s="228" t="s">
        <v>2989</v>
      </c>
      <c r="B77" s="229">
        <v>8.8475644588470459E-9</v>
      </c>
      <c r="C77" s="229">
        <f>SUMIF(Historic_capex_list!$T$9:$T$586,$A77,Historic_capex_list!P$9:P$586)</f>
        <v>0</v>
      </c>
      <c r="D77" s="223" t="e">
        <f>IF(COUNTIF(#REF!,$A77)=0,0,+$B77)</f>
        <v>#REF!</v>
      </c>
      <c r="E77" s="223">
        <f>SUMIF(Rev_and_int_data!$B$7:$B$150,$A77,Rev_and_int_data!Q$7:Q$150)</f>
        <v>0</v>
      </c>
      <c r="F77" s="223" t="e">
        <f t="shared" si="10"/>
        <v>#REF!</v>
      </c>
      <c r="G77" s="243" t="str">
        <f t="shared" si="11"/>
        <v>REA</v>
      </c>
      <c r="I77" s="223">
        <f>SUMIF(Rev_and_int_data!$B$7:$B$150,Aggregation_of_rev_to_allocate!$A77,Rev_and_int_data!E$7:E$150)*3/10</f>
        <v>0</v>
      </c>
      <c r="J77" s="223">
        <f>SUMIF(Rev_and_int_data!$B$7:$B$150,Aggregation_of_rev_to_allocate!$A77,Rev_and_int_data!S$7:S$150)</f>
        <v>0</v>
      </c>
      <c r="K77" s="223" t="e">
        <f t="shared" si="12"/>
        <v>#REF!</v>
      </c>
      <c r="M77" s="223">
        <f>SUMIF(Historic_capex_list!$T$9:$T$586,$A77,Historic_capex_list!P$9:P$586)</f>
        <v>0</v>
      </c>
      <c r="N77" s="223">
        <f>SUMIF(Historic_capex_list!$T$9:$T$586,$A77,Historic_capex_list!Q$9:Q$586)</f>
        <v>0</v>
      </c>
      <c r="O77" s="223" t="e">
        <f t="shared" si="16"/>
        <v>#REF!</v>
      </c>
      <c r="P77" s="223">
        <f t="shared" si="13"/>
        <v>0</v>
      </c>
      <c r="Q77" s="243" t="e">
        <f t="shared" si="14"/>
        <v>#REF!</v>
      </c>
      <c r="R77" s="243" t="e">
        <f t="shared" si="15"/>
        <v>#REF!</v>
      </c>
    </row>
    <row r="78" spans="1:18" ht="25">
      <c r="A78" s="225" t="s">
        <v>2972</v>
      </c>
      <c r="B78" s="241">
        <v>-103209.00000000001</v>
      </c>
      <c r="C78" s="223">
        <f>SUMIF(Historic_capex_list!$T$9:$T$586,$A78,Historic_capex_list!P$9:P$586)</f>
        <v>0</v>
      </c>
      <c r="D78" s="223" t="e">
        <f>IF(COUNTIF(#REF!,$A78)=0,0,+$B78)</f>
        <v>#REF!</v>
      </c>
      <c r="E78" s="223">
        <f>SUMIF(Rev_and_int_data!$B$7:$B$150,$A78,Rev_and_int_data!Q$7:Q$150)</f>
        <v>0</v>
      </c>
      <c r="F78" s="223" t="e">
        <f t="shared" si="10"/>
        <v>#REF!</v>
      </c>
      <c r="G78" s="243" t="str">
        <f t="shared" si="11"/>
        <v>SPL</v>
      </c>
      <c r="I78" s="223">
        <f>SUMIF(Rev_and_int_data!$B$7:$B$150,Aggregation_of_rev_to_allocate!$A78,Rev_and_int_data!E$7:E$150)*3/10</f>
        <v>0</v>
      </c>
      <c r="J78" s="223">
        <f>SUMIF(Rev_and_int_data!$B$7:$B$150,Aggregation_of_rev_to_allocate!$A78,Rev_and_int_data!S$7:S$150)</f>
        <v>0</v>
      </c>
      <c r="K78" s="223" t="e">
        <f t="shared" si="12"/>
        <v>#REF!</v>
      </c>
      <c r="M78" s="223">
        <f>SUMIF(Historic_capex_list!$T$9:$T$586,$A78,Historic_capex_list!P$9:P$586)</f>
        <v>0</v>
      </c>
      <c r="N78" s="223">
        <f>SUMIF(Historic_capex_list!$T$9:$T$586,$A78,Historic_capex_list!Q$9:Q$586)</f>
        <v>0</v>
      </c>
      <c r="O78" s="223" t="e">
        <f t="shared" si="16"/>
        <v>#REF!</v>
      </c>
      <c r="P78" s="223">
        <f t="shared" si="13"/>
        <v>0</v>
      </c>
      <c r="Q78" s="243" t="e">
        <f t="shared" si="14"/>
        <v>#REF!</v>
      </c>
      <c r="R78" s="243" t="e">
        <f t="shared" si="15"/>
        <v>#REF!</v>
      </c>
    </row>
    <row r="79" spans="1:18">
      <c r="A79" s="225" t="s">
        <v>2991</v>
      </c>
      <c r="B79" s="241">
        <v>-185440.37000000002</v>
      </c>
      <c r="C79" s="223">
        <f>SUMIF(Historic_capex_list!$T$9:$T$586,$A79,Historic_capex_list!P$9:P$586)</f>
        <v>0</v>
      </c>
      <c r="D79" s="223" t="e">
        <f>IF(COUNTIF(#REF!,$A79)=0,0,+$B79)</f>
        <v>#REF!</v>
      </c>
      <c r="E79" s="223">
        <f>SUMIF(Rev_and_int_data!$B$7:$B$150,$A79,Rev_and_int_data!Q$7:Q$150)</f>
        <v>0</v>
      </c>
      <c r="F79" s="223" t="e">
        <f t="shared" si="10"/>
        <v>#REF!</v>
      </c>
      <c r="G79" s="243" t="str">
        <f t="shared" si="11"/>
        <v>SPL</v>
      </c>
      <c r="I79" s="223">
        <f>SUMIF(Rev_and_int_data!$B$7:$B$150,Aggregation_of_rev_to_allocate!$A79,Rev_and_int_data!E$7:E$150)*3/10</f>
        <v>0</v>
      </c>
      <c r="J79" s="223">
        <f>SUMIF(Rev_and_int_data!$B$7:$B$150,Aggregation_of_rev_to_allocate!$A79,Rev_and_int_data!S$7:S$150)</f>
        <v>0</v>
      </c>
      <c r="K79" s="223" t="e">
        <f t="shared" si="12"/>
        <v>#REF!</v>
      </c>
      <c r="M79" s="223">
        <f>SUMIF(Historic_capex_list!$T$9:$T$586,$A79,Historic_capex_list!P$9:P$586)</f>
        <v>0</v>
      </c>
      <c r="N79" s="223">
        <f>SUMIF(Historic_capex_list!$T$9:$T$586,$A79,Historic_capex_list!Q$9:Q$586)</f>
        <v>0</v>
      </c>
      <c r="O79" s="223" t="e">
        <f t="shared" si="16"/>
        <v>#REF!</v>
      </c>
      <c r="P79" s="223">
        <f t="shared" si="13"/>
        <v>0</v>
      </c>
      <c r="Q79" s="243" t="e">
        <f t="shared" si="14"/>
        <v>#REF!</v>
      </c>
      <c r="R79" s="243" t="e">
        <f t="shared" si="15"/>
        <v>#REF!</v>
      </c>
    </row>
    <row r="80" spans="1:18">
      <c r="A80" s="225" t="s">
        <v>2973</v>
      </c>
      <c r="B80" s="241">
        <v>-511927.16</v>
      </c>
      <c r="C80" s="223">
        <f>SUMIF(Historic_capex_list!$T$9:$T$586,$A80,Historic_capex_list!P$9:P$586)</f>
        <v>0</v>
      </c>
      <c r="D80" s="223" t="e">
        <f>IF(COUNTIF(#REF!,$A80)=0,0,+$B80)</f>
        <v>#REF!</v>
      </c>
      <c r="E80" s="223">
        <f>SUMIF(Rev_and_int_data!$B$7:$B$150,$A80,Rev_and_int_data!Q$7:Q$150)</f>
        <v>0</v>
      </c>
      <c r="F80" s="223" t="e">
        <f t="shared" si="10"/>
        <v>#REF!</v>
      </c>
      <c r="G80" s="243" t="str">
        <f t="shared" si="11"/>
        <v>SPL</v>
      </c>
      <c r="I80" s="223">
        <f>SUMIF(Rev_and_int_data!$B$7:$B$150,Aggregation_of_rev_to_allocate!$A80,Rev_and_int_data!E$7:E$150)*3/10</f>
        <v>0</v>
      </c>
      <c r="J80" s="223">
        <f>SUMIF(Rev_and_int_data!$B$7:$B$150,Aggregation_of_rev_to_allocate!$A80,Rev_and_int_data!S$7:S$150)</f>
        <v>0</v>
      </c>
      <c r="K80" s="223" t="e">
        <f t="shared" si="12"/>
        <v>#REF!</v>
      </c>
      <c r="M80" s="223">
        <f>SUMIF(Historic_capex_list!$T$9:$T$586,$A80,Historic_capex_list!P$9:P$586)</f>
        <v>0</v>
      </c>
      <c r="N80" s="223">
        <f>SUMIF(Historic_capex_list!$T$9:$T$586,$A80,Historic_capex_list!Q$9:Q$586)</f>
        <v>0</v>
      </c>
      <c r="O80" s="223" t="e">
        <f t="shared" si="16"/>
        <v>#REF!</v>
      </c>
      <c r="P80" s="223">
        <f t="shared" si="13"/>
        <v>0</v>
      </c>
      <c r="Q80" s="243" t="e">
        <f t="shared" si="14"/>
        <v>#REF!</v>
      </c>
      <c r="R80" s="243" t="e">
        <f t="shared" si="15"/>
        <v>#REF!</v>
      </c>
    </row>
    <row r="81" spans="1:18" ht="25">
      <c r="A81" s="225" t="s">
        <v>2974</v>
      </c>
      <c r="B81" s="241">
        <v>-10306.52</v>
      </c>
      <c r="C81" s="223">
        <f>SUMIF(Historic_capex_list!$T$9:$T$586,$A81,Historic_capex_list!P$9:P$586)</f>
        <v>0</v>
      </c>
      <c r="D81" s="223" t="e">
        <f>IF(COUNTIF(#REF!,$A81)=0,0,+$B81)</f>
        <v>#REF!</v>
      </c>
      <c r="E81" s="223">
        <f>SUMIF(Rev_and_int_data!$B$7:$B$150,$A81,Rev_and_int_data!Q$7:Q$150)</f>
        <v>0</v>
      </c>
      <c r="F81" s="223" t="e">
        <f t="shared" si="10"/>
        <v>#REF!</v>
      </c>
      <c r="G81" s="243" t="str">
        <f t="shared" si="11"/>
        <v>SPL</v>
      </c>
      <c r="I81" s="223">
        <f>SUMIF(Rev_and_int_data!$B$7:$B$150,Aggregation_of_rev_to_allocate!$A81,Rev_and_int_data!E$7:E$150)*3/10</f>
        <v>0</v>
      </c>
      <c r="J81" s="223">
        <f>SUMIF(Rev_and_int_data!$B$7:$B$150,Aggregation_of_rev_to_allocate!$A81,Rev_and_int_data!S$7:S$150)</f>
        <v>0</v>
      </c>
      <c r="K81" s="223" t="e">
        <f t="shared" si="12"/>
        <v>#REF!</v>
      </c>
      <c r="M81" s="223">
        <f>SUMIF(Historic_capex_list!$T$9:$T$586,$A81,Historic_capex_list!P$9:P$586)</f>
        <v>0</v>
      </c>
      <c r="N81" s="223">
        <f>SUMIF(Historic_capex_list!$T$9:$T$586,$A81,Historic_capex_list!Q$9:Q$586)</f>
        <v>0</v>
      </c>
      <c r="O81" s="223" t="e">
        <f t="shared" si="16"/>
        <v>#REF!</v>
      </c>
      <c r="P81" s="223">
        <f t="shared" si="13"/>
        <v>0</v>
      </c>
      <c r="Q81" s="243" t="e">
        <f t="shared" si="14"/>
        <v>#REF!</v>
      </c>
      <c r="R81" s="243" t="e">
        <f t="shared" si="15"/>
        <v>#REF!</v>
      </c>
    </row>
    <row r="82" spans="1:18" ht="25">
      <c r="A82" s="225" t="s">
        <v>2975</v>
      </c>
      <c r="B82" s="241">
        <v>2841</v>
      </c>
      <c r="C82" s="223">
        <f>SUMIF(Historic_capex_list!$T$9:$T$586,$A82,Historic_capex_list!P$9:P$586)</f>
        <v>0</v>
      </c>
      <c r="D82" s="223" t="e">
        <f>IF(COUNTIF(#REF!,$A82)=0,0,+$B82)</f>
        <v>#REF!</v>
      </c>
      <c r="E82" s="223">
        <f>SUMIF(Rev_and_int_data!$B$7:$B$150,$A82,Rev_and_int_data!Q$7:Q$150)</f>
        <v>0</v>
      </c>
      <c r="F82" s="223" t="e">
        <f t="shared" si="10"/>
        <v>#REF!</v>
      </c>
      <c r="G82" s="243" t="str">
        <f t="shared" si="11"/>
        <v>SPL</v>
      </c>
      <c r="I82" s="223">
        <f>SUMIF(Rev_and_int_data!$B$7:$B$150,Aggregation_of_rev_to_allocate!$A82,Rev_and_int_data!E$7:E$150)*3/10</f>
        <v>0</v>
      </c>
      <c r="J82" s="223">
        <f>SUMIF(Rev_and_int_data!$B$7:$B$150,Aggregation_of_rev_to_allocate!$A82,Rev_and_int_data!S$7:S$150)</f>
        <v>0</v>
      </c>
      <c r="K82" s="223" t="e">
        <f t="shared" si="12"/>
        <v>#REF!</v>
      </c>
      <c r="M82" s="223">
        <f>SUMIF(Historic_capex_list!$T$9:$T$586,$A82,Historic_capex_list!P$9:P$586)</f>
        <v>0</v>
      </c>
      <c r="N82" s="223">
        <f>SUMIF(Historic_capex_list!$T$9:$T$586,$A82,Historic_capex_list!Q$9:Q$586)</f>
        <v>0</v>
      </c>
      <c r="O82" s="223" t="e">
        <f t="shared" si="16"/>
        <v>#REF!</v>
      </c>
      <c r="P82" s="223">
        <f t="shared" si="13"/>
        <v>0</v>
      </c>
      <c r="Q82" s="243" t="e">
        <f t="shared" si="14"/>
        <v>#REF!</v>
      </c>
      <c r="R82" s="243" t="e">
        <f t="shared" si="15"/>
        <v>#REF!</v>
      </c>
    </row>
    <row r="83" spans="1:18">
      <c r="A83" s="225" t="s">
        <v>2976</v>
      </c>
      <c r="B83" s="241">
        <v>-142738.64000000007</v>
      </c>
      <c r="C83" s="223">
        <f>SUMIF(Historic_capex_list!$T$9:$T$586,$A83,Historic_capex_list!P$9:P$586)</f>
        <v>0</v>
      </c>
      <c r="D83" s="223" t="e">
        <f>IF(COUNTIF(#REF!,$A83)=0,0,+$B83)</f>
        <v>#REF!</v>
      </c>
      <c r="E83" s="223">
        <f>SUMIF(Rev_and_int_data!$B$7:$B$150,$A83,Rev_and_int_data!Q$7:Q$150)</f>
        <v>0</v>
      </c>
      <c r="F83" s="223" t="e">
        <f t="shared" si="10"/>
        <v>#REF!</v>
      </c>
      <c r="G83" s="243" t="str">
        <f t="shared" si="11"/>
        <v>SPL</v>
      </c>
      <c r="I83" s="223">
        <f>SUMIF(Rev_and_int_data!$B$7:$B$150,Aggregation_of_rev_to_allocate!$A83,Rev_and_int_data!E$7:E$150)*3/10</f>
        <v>0</v>
      </c>
      <c r="J83" s="223">
        <f>SUMIF(Rev_and_int_data!$B$7:$B$150,Aggregation_of_rev_to_allocate!$A83,Rev_and_int_data!S$7:S$150)</f>
        <v>0</v>
      </c>
      <c r="K83" s="223" t="e">
        <f t="shared" si="12"/>
        <v>#REF!</v>
      </c>
      <c r="M83" s="223">
        <f>SUMIF(Historic_capex_list!$T$9:$T$586,$A83,Historic_capex_list!P$9:P$586)</f>
        <v>0</v>
      </c>
      <c r="N83" s="223">
        <f>SUMIF(Historic_capex_list!$T$9:$T$586,$A83,Historic_capex_list!Q$9:Q$586)</f>
        <v>0</v>
      </c>
      <c r="O83" s="223" t="e">
        <f t="shared" si="16"/>
        <v>#REF!</v>
      </c>
      <c r="P83" s="223">
        <f t="shared" si="13"/>
        <v>0</v>
      </c>
      <c r="Q83" s="243" t="e">
        <f t="shared" si="14"/>
        <v>#REF!</v>
      </c>
      <c r="R83" s="243" t="e">
        <f t="shared" si="15"/>
        <v>#REF!</v>
      </c>
    </row>
    <row r="84" spans="1:18" ht="25">
      <c r="A84" s="225" t="s">
        <v>2977</v>
      </c>
      <c r="B84" s="241">
        <v>-23938.38</v>
      </c>
      <c r="C84" s="223">
        <f>SUMIF(Historic_capex_list!$T$9:$T$586,$A84,Historic_capex_list!P$9:P$586)</f>
        <v>0</v>
      </c>
      <c r="D84" s="223" t="e">
        <f>IF(COUNTIF(#REF!,$A84)=0,0,+$B84)</f>
        <v>#REF!</v>
      </c>
      <c r="E84" s="223">
        <f>SUMIF(Rev_and_int_data!$B$7:$B$150,$A84,Rev_and_int_data!Q$7:Q$150)</f>
        <v>0</v>
      </c>
      <c r="F84" s="223" t="e">
        <f t="shared" si="10"/>
        <v>#REF!</v>
      </c>
      <c r="G84" s="243" t="str">
        <f t="shared" si="11"/>
        <v>SPL</v>
      </c>
      <c r="I84" s="223">
        <f>SUMIF(Rev_and_int_data!$B$7:$B$150,Aggregation_of_rev_to_allocate!$A84,Rev_and_int_data!E$7:E$150)*3/10</f>
        <v>0</v>
      </c>
      <c r="J84" s="223">
        <f>SUMIF(Rev_and_int_data!$B$7:$B$150,Aggregation_of_rev_to_allocate!$A84,Rev_and_int_data!S$7:S$150)</f>
        <v>0</v>
      </c>
      <c r="K84" s="223" t="e">
        <f t="shared" si="12"/>
        <v>#REF!</v>
      </c>
      <c r="M84" s="223">
        <f>SUMIF(Historic_capex_list!$T$9:$T$586,$A84,Historic_capex_list!P$9:P$586)</f>
        <v>0</v>
      </c>
      <c r="N84" s="223">
        <f>SUMIF(Historic_capex_list!$T$9:$T$586,$A84,Historic_capex_list!Q$9:Q$586)</f>
        <v>0</v>
      </c>
      <c r="O84" s="223" t="e">
        <f t="shared" si="16"/>
        <v>#REF!</v>
      </c>
      <c r="P84" s="223">
        <f t="shared" si="13"/>
        <v>0</v>
      </c>
      <c r="Q84" s="243" t="e">
        <f t="shared" si="14"/>
        <v>#REF!</v>
      </c>
      <c r="R84" s="243" t="e">
        <f t="shared" si="15"/>
        <v>#REF!</v>
      </c>
    </row>
    <row r="85" spans="1:18" ht="25">
      <c r="A85" s="225" t="s">
        <v>2978</v>
      </c>
      <c r="B85" s="241">
        <v>-604767.57000000007</v>
      </c>
      <c r="C85" s="223">
        <f>SUMIF(Historic_capex_list!$T$9:$T$586,$A85,Historic_capex_list!P$9:P$586)</f>
        <v>0</v>
      </c>
      <c r="D85" s="223" t="e">
        <f>IF(COUNTIF(#REF!,$A85)=0,0,+$B85)</f>
        <v>#REF!</v>
      </c>
      <c r="E85" s="223">
        <f>SUMIF(Rev_and_int_data!$B$7:$B$150,$A85,Rev_and_int_data!Q$7:Q$150)</f>
        <v>0</v>
      </c>
      <c r="F85" s="223" t="e">
        <f t="shared" si="10"/>
        <v>#REF!</v>
      </c>
      <c r="G85" s="243" t="str">
        <f t="shared" si="11"/>
        <v>SPL</v>
      </c>
      <c r="I85" s="223">
        <f>SUMIF(Rev_and_int_data!$B$7:$B$150,Aggregation_of_rev_to_allocate!$A85,Rev_and_int_data!E$7:E$150)*3/10</f>
        <v>0</v>
      </c>
      <c r="J85" s="223">
        <f>SUMIF(Rev_and_int_data!$B$7:$B$150,Aggregation_of_rev_to_allocate!$A85,Rev_and_int_data!S$7:S$150)</f>
        <v>0</v>
      </c>
      <c r="K85" s="223" t="e">
        <f t="shared" si="12"/>
        <v>#REF!</v>
      </c>
      <c r="M85" s="223">
        <f>SUMIF(Historic_capex_list!$T$9:$T$586,$A85,Historic_capex_list!P$9:P$586)</f>
        <v>0</v>
      </c>
      <c r="N85" s="223">
        <f>SUMIF(Historic_capex_list!$T$9:$T$586,$A85,Historic_capex_list!Q$9:Q$586)</f>
        <v>0</v>
      </c>
      <c r="O85" s="223" t="e">
        <f t="shared" si="16"/>
        <v>#REF!</v>
      </c>
      <c r="P85" s="223">
        <f t="shared" si="13"/>
        <v>0</v>
      </c>
      <c r="Q85" s="243" t="e">
        <f t="shared" si="14"/>
        <v>#REF!</v>
      </c>
      <c r="R85" s="243" t="e">
        <f t="shared" si="15"/>
        <v>#REF!</v>
      </c>
    </row>
    <row r="86" spans="1:18">
      <c r="A86" s="225" t="s">
        <v>2979</v>
      </c>
      <c r="B86" s="241">
        <v>-2296247.4000000008</v>
      </c>
      <c r="C86" s="223">
        <f>SUMIF(Historic_capex_list!$T$9:$T$586,$A86,Historic_capex_list!P$9:P$586)</f>
        <v>0</v>
      </c>
      <c r="D86" s="223" t="e">
        <f>IF(COUNTIF(#REF!,$A86)=0,0,+$B86)</f>
        <v>#REF!</v>
      </c>
      <c r="E86" s="223">
        <f>SUMIF(Rev_and_int_data!$B$7:$B$150,$A86,Rev_and_int_data!Q$7:Q$150)</f>
        <v>0</v>
      </c>
      <c r="F86" s="223" t="e">
        <f t="shared" si="10"/>
        <v>#REF!</v>
      </c>
      <c r="G86" s="243" t="str">
        <f t="shared" si="11"/>
        <v>Spl</v>
      </c>
      <c r="I86" s="223">
        <f>SUMIF(Rev_and_int_data!$B$7:$B$150,Aggregation_of_rev_to_allocate!$A86,Rev_and_int_data!E$7:E$150)*3/10</f>
        <v>0</v>
      </c>
      <c r="J86" s="223">
        <f>SUMIF(Rev_and_int_data!$B$7:$B$150,Aggregation_of_rev_to_allocate!$A86,Rev_and_int_data!S$7:S$150)</f>
        <v>0</v>
      </c>
      <c r="K86" s="223" t="e">
        <f t="shared" si="12"/>
        <v>#REF!</v>
      </c>
      <c r="M86" s="223">
        <f>SUMIF(Historic_capex_list!$T$9:$T$586,$A86,Historic_capex_list!P$9:P$586)</f>
        <v>0</v>
      </c>
      <c r="N86" s="223">
        <f>SUMIF(Historic_capex_list!$T$9:$T$586,$A86,Historic_capex_list!Q$9:Q$586)</f>
        <v>0</v>
      </c>
      <c r="O86" s="223" t="e">
        <f t="shared" si="16"/>
        <v>#REF!</v>
      </c>
      <c r="P86" s="223">
        <f t="shared" si="13"/>
        <v>0</v>
      </c>
      <c r="Q86" s="243" t="e">
        <f t="shared" si="14"/>
        <v>#REF!</v>
      </c>
      <c r="R86" s="243" t="e">
        <f t="shared" si="15"/>
        <v>#REF!</v>
      </c>
    </row>
    <row r="87" spans="1:18">
      <c r="A87" s="225" t="s">
        <v>2980</v>
      </c>
      <c r="B87" s="241">
        <v>-3071160.1300000004</v>
      </c>
      <c r="C87" s="223">
        <f>SUMIF(Historic_capex_list!$T$9:$T$586,$A87,Historic_capex_list!P$9:P$586)</f>
        <v>0</v>
      </c>
      <c r="D87" s="223" t="e">
        <f>IF(COUNTIF(#REF!,$A87)=0,0,+$B87)</f>
        <v>#REF!</v>
      </c>
      <c r="E87" s="223">
        <f>SUMIF(Rev_and_int_data!$B$7:$B$150,$A87,Rev_and_int_data!Q$7:Q$150)</f>
        <v>0</v>
      </c>
      <c r="F87" s="223" t="e">
        <f t="shared" si="10"/>
        <v>#REF!</v>
      </c>
      <c r="G87" s="243" t="str">
        <f t="shared" si="11"/>
        <v>SPL</v>
      </c>
      <c r="I87" s="223">
        <f>SUMIF(Rev_and_int_data!$B$7:$B$150,Aggregation_of_rev_to_allocate!$A87,Rev_and_int_data!E$7:E$150)*3/10</f>
        <v>0</v>
      </c>
      <c r="J87" s="223">
        <f>SUMIF(Rev_and_int_data!$B$7:$B$150,Aggregation_of_rev_to_allocate!$A87,Rev_and_int_data!S$7:S$150)</f>
        <v>0</v>
      </c>
      <c r="K87" s="223" t="e">
        <f t="shared" si="12"/>
        <v>#REF!</v>
      </c>
      <c r="M87" s="223">
        <f>SUMIF(Historic_capex_list!$T$9:$T$586,$A87,Historic_capex_list!P$9:P$586)</f>
        <v>0</v>
      </c>
      <c r="N87" s="223">
        <f>SUMIF(Historic_capex_list!$T$9:$T$586,$A87,Historic_capex_list!Q$9:Q$586)</f>
        <v>0</v>
      </c>
      <c r="O87" s="223" t="e">
        <f t="shared" si="16"/>
        <v>#REF!</v>
      </c>
      <c r="P87" s="223">
        <f t="shared" si="13"/>
        <v>0</v>
      </c>
      <c r="Q87" s="243" t="e">
        <f t="shared" si="14"/>
        <v>#REF!</v>
      </c>
      <c r="R87" s="243" t="e">
        <f t="shared" si="15"/>
        <v>#REF!</v>
      </c>
    </row>
    <row r="88" spans="1:18">
      <c r="A88" s="225" t="s">
        <v>2981</v>
      </c>
      <c r="B88" s="241">
        <v>-522600</v>
      </c>
      <c r="C88" s="223">
        <f>SUMIF(Historic_capex_list!$T$9:$T$586,$A88,Historic_capex_list!P$9:P$586)</f>
        <v>0</v>
      </c>
      <c r="D88" s="223" t="e">
        <f>IF(COUNTIF(#REF!,$A88)=0,0,+$B88)</f>
        <v>#REF!</v>
      </c>
      <c r="E88" s="223">
        <f>SUMIF(Rev_and_int_data!$B$7:$B$150,$A88,Rev_and_int_data!Q$7:Q$150)</f>
        <v>0</v>
      </c>
      <c r="F88" s="223" t="e">
        <f t="shared" si="10"/>
        <v>#REF!</v>
      </c>
      <c r="G88" s="243" t="str">
        <f t="shared" si="11"/>
        <v>SPL</v>
      </c>
      <c r="I88" s="223">
        <f>SUMIF(Rev_and_int_data!$B$7:$B$150,Aggregation_of_rev_to_allocate!$A88,Rev_and_int_data!E$7:E$150)*3/10</f>
        <v>0</v>
      </c>
      <c r="J88" s="223">
        <f>SUMIF(Rev_and_int_data!$B$7:$B$150,Aggregation_of_rev_to_allocate!$A88,Rev_and_int_data!S$7:S$150)</f>
        <v>0</v>
      </c>
      <c r="K88" s="223" t="e">
        <f t="shared" si="12"/>
        <v>#REF!</v>
      </c>
      <c r="M88" s="223">
        <f>SUMIF(Historic_capex_list!$T$9:$T$586,$A88,Historic_capex_list!P$9:P$586)</f>
        <v>0</v>
      </c>
      <c r="N88" s="223">
        <f>SUMIF(Historic_capex_list!$T$9:$T$586,$A88,Historic_capex_list!Q$9:Q$586)</f>
        <v>0</v>
      </c>
      <c r="O88" s="223" t="e">
        <f t="shared" si="16"/>
        <v>#REF!</v>
      </c>
      <c r="P88" s="223">
        <f t="shared" si="13"/>
        <v>0</v>
      </c>
      <c r="Q88" s="243" t="e">
        <f t="shared" si="14"/>
        <v>#REF!</v>
      </c>
      <c r="R88" s="243" t="e">
        <f t="shared" si="15"/>
        <v>#REF!</v>
      </c>
    </row>
    <row r="89" spans="1:18" ht="25">
      <c r="A89" s="225" t="s">
        <v>2988</v>
      </c>
      <c r="B89" s="241">
        <v>-45236.470000000008</v>
      </c>
      <c r="C89" s="223">
        <f>SUMIF(Historic_capex_list!$T$9:$T$586,$A89,Historic_capex_list!P$9:P$586)</f>
        <v>0</v>
      </c>
      <c r="D89" s="223" t="e">
        <f>IF(COUNTIF(#REF!,$A89)=0,0,+$B89)</f>
        <v>#REF!</v>
      </c>
      <c r="E89" s="223">
        <f>SUMIF(Rev_and_int_data!$B$7:$B$150,$A89,Rev_and_int_data!Q$7:Q$150)</f>
        <v>0</v>
      </c>
      <c r="F89" s="223" t="e">
        <f t="shared" si="10"/>
        <v>#REF!</v>
      </c>
      <c r="G89" s="243" t="str">
        <f t="shared" si="11"/>
        <v>SPL</v>
      </c>
      <c r="I89" s="223">
        <f>SUMIF(Rev_and_int_data!$B$7:$B$150,Aggregation_of_rev_to_allocate!$A89,Rev_and_int_data!E$7:E$150)*3/10</f>
        <v>0</v>
      </c>
      <c r="J89" s="223">
        <f>SUMIF(Rev_and_int_data!$B$7:$B$150,Aggregation_of_rev_to_allocate!$A89,Rev_and_int_data!S$7:S$150)</f>
        <v>0</v>
      </c>
      <c r="K89" s="223" t="e">
        <f t="shared" si="12"/>
        <v>#REF!</v>
      </c>
      <c r="M89" s="223">
        <f>SUMIF(Historic_capex_list!$T$9:$T$586,$A89,Historic_capex_list!P$9:P$586)</f>
        <v>0</v>
      </c>
      <c r="N89" s="223">
        <f>SUMIF(Historic_capex_list!$T$9:$T$586,$A89,Historic_capex_list!Q$9:Q$586)</f>
        <v>0</v>
      </c>
      <c r="O89" s="223" t="e">
        <f t="shared" si="16"/>
        <v>#REF!</v>
      </c>
      <c r="P89" s="223">
        <f t="shared" si="13"/>
        <v>0</v>
      </c>
      <c r="Q89" s="243" t="e">
        <f t="shared" si="14"/>
        <v>#REF!</v>
      </c>
      <c r="R89" s="243" t="e">
        <f t="shared" si="15"/>
        <v>#REF!</v>
      </c>
    </row>
    <row r="90" spans="1:18" ht="25">
      <c r="A90" s="225" t="s">
        <v>2982</v>
      </c>
      <c r="B90" s="241">
        <v>-176268.36</v>
      </c>
      <c r="C90" s="223">
        <f>SUMIF(Historic_capex_list!$T$9:$T$586,$A90,Historic_capex_list!P$9:P$586)</f>
        <v>0</v>
      </c>
      <c r="D90" s="223" t="e">
        <f>IF(COUNTIF(#REF!,$A90)=0,0,+$B90)</f>
        <v>#REF!</v>
      </c>
      <c r="E90" s="223">
        <f>SUMIF(Rev_and_int_data!$B$7:$B$150,$A90,Rev_and_int_data!Q$7:Q$150)</f>
        <v>0</v>
      </c>
      <c r="F90" s="223" t="e">
        <f t="shared" si="10"/>
        <v>#REF!</v>
      </c>
      <c r="G90" s="243" t="str">
        <f t="shared" si="11"/>
        <v>SPL</v>
      </c>
      <c r="I90" s="223">
        <f>SUMIF(Rev_and_int_data!$B$7:$B$150,Aggregation_of_rev_to_allocate!$A90,Rev_and_int_data!E$7:E$150)*3/10</f>
        <v>0</v>
      </c>
      <c r="J90" s="223">
        <f>SUMIF(Rev_and_int_data!$B$7:$B$150,Aggregation_of_rev_to_allocate!$A90,Rev_and_int_data!S$7:S$150)</f>
        <v>0</v>
      </c>
      <c r="K90" s="223" t="e">
        <f t="shared" si="12"/>
        <v>#REF!</v>
      </c>
      <c r="M90" s="223">
        <f>SUMIF(Historic_capex_list!$T$9:$T$586,$A90,Historic_capex_list!P$9:P$586)</f>
        <v>0</v>
      </c>
      <c r="N90" s="223">
        <f>SUMIF(Historic_capex_list!$T$9:$T$586,$A90,Historic_capex_list!Q$9:Q$586)</f>
        <v>0</v>
      </c>
      <c r="O90" s="223" t="e">
        <f t="shared" si="16"/>
        <v>#REF!</v>
      </c>
      <c r="P90" s="223">
        <f t="shared" si="13"/>
        <v>0</v>
      </c>
      <c r="Q90" s="243" t="e">
        <f t="shared" si="14"/>
        <v>#REF!</v>
      </c>
      <c r="R90" s="243" t="e">
        <f t="shared" si="15"/>
        <v>#REF!</v>
      </c>
    </row>
    <row r="91" spans="1:18" ht="25">
      <c r="A91" s="225" t="s">
        <v>2983</v>
      </c>
      <c r="B91" s="241">
        <v>-49236.66</v>
      </c>
      <c r="C91" s="223">
        <f>SUMIF(Historic_capex_list!$T$9:$T$586,$A91,Historic_capex_list!P$9:P$586)</f>
        <v>0</v>
      </c>
      <c r="D91" s="223" t="e">
        <f>IF(COUNTIF(#REF!,$A91)=0,0,+$B91)</f>
        <v>#REF!</v>
      </c>
      <c r="E91" s="223">
        <f>SUMIF(Rev_and_int_data!$B$7:$B$150,$A91,Rev_and_int_data!Q$7:Q$150)</f>
        <v>0</v>
      </c>
      <c r="F91" s="223" t="e">
        <f t="shared" si="10"/>
        <v>#REF!</v>
      </c>
      <c r="G91" s="243" t="str">
        <f t="shared" si="11"/>
        <v>SPL</v>
      </c>
      <c r="I91" s="223">
        <f>SUMIF(Rev_and_int_data!$B$7:$B$150,Aggregation_of_rev_to_allocate!$A91,Rev_and_int_data!E$7:E$150)*3/10</f>
        <v>0</v>
      </c>
      <c r="J91" s="223">
        <f>SUMIF(Rev_and_int_data!$B$7:$B$150,Aggregation_of_rev_to_allocate!$A91,Rev_and_int_data!S$7:S$150)</f>
        <v>0</v>
      </c>
      <c r="K91" s="223" t="e">
        <f t="shared" si="12"/>
        <v>#REF!</v>
      </c>
      <c r="M91" s="223">
        <f>SUMIF(Historic_capex_list!$T$9:$T$586,$A91,Historic_capex_list!P$9:P$586)</f>
        <v>0</v>
      </c>
      <c r="N91" s="223">
        <f>SUMIF(Historic_capex_list!$T$9:$T$586,$A91,Historic_capex_list!Q$9:Q$586)</f>
        <v>0</v>
      </c>
      <c r="O91" s="223" t="e">
        <f t="shared" si="16"/>
        <v>#REF!</v>
      </c>
      <c r="P91" s="223">
        <f t="shared" si="13"/>
        <v>0</v>
      </c>
      <c r="Q91" s="243" t="e">
        <f t="shared" si="14"/>
        <v>#REF!</v>
      </c>
      <c r="R91" s="243" t="e">
        <f t="shared" si="15"/>
        <v>#REF!</v>
      </c>
    </row>
    <row r="92" spans="1:18" ht="25">
      <c r="A92" s="225" t="s">
        <v>2984</v>
      </c>
      <c r="B92" s="241">
        <v>-3081427.82</v>
      </c>
      <c r="C92" s="223">
        <f>SUMIF(Historic_capex_list!$T$9:$T$586,$A92,Historic_capex_list!P$9:P$586)</f>
        <v>0</v>
      </c>
      <c r="D92" s="223" t="e">
        <f>IF(COUNTIF(#REF!,$A92)=0,0,+$B92)</f>
        <v>#REF!</v>
      </c>
      <c r="E92" s="223">
        <f>SUMIF(Rev_and_int_data!$B$7:$B$150,$A92,Rev_and_int_data!Q$7:Q$150)</f>
        <v>0</v>
      </c>
      <c r="F92" s="223" t="e">
        <f t="shared" si="10"/>
        <v>#REF!</v>
      </c>
      <c r="G92" s="243" t="str">
        <f t="shared" si="11"/>
        <v>SPL</v>
      </c>
      <c r="I92" s="223">
        <f>SUMIF(Rev_and_int_data!$B$7:$B$150,Aggregation_of_rev_to_allocate!$A92,Rev_and_int_data!E$7:E$150)*3/10</f>
        <v>0</v>
      </c>
      <c r="J92" s="223">
        <f>SUMIF(Rev_and_int_data!$B$7:$B$150,Aggregation_of_rev_to_allocate!$A92,Rev_and_int_data!S$7:S$150)</f>
        <v>0</v>
      </c>
      <c r="K92" s="223" t="e">
        <f t="shared" si="12"/>
        <v>#REF!</v>
      </c>
      <c r="M92" s="223">
        <f>SUMIF(Historic_capex_list!$T$9:$T$586,$A92,Historic_capex_list!P$9:P$586)</f>
        <v>0</v>
      </c>
      <c r="N92" s="223">
        <f>SUMIF(Historic_capex_list!$T$9:$T$586,$A92,Historic_capex_list!Q$9:Q$586)</f>
        <v>0</v>
      </c>
      <c r="O92" s="223" t="e">
        <f t="shared" si="16"/>
        <v>#REF!</v>
      </c>
      <c r="P92" s="223">
        <f t="shared" si="13"/>
        <v>0</v>
      </c>
      <c r="Q92" s="243" t="e">
        <f t="shared" si="14"/>
        <v>#REF!</v>
      </c>
      <c r="R92" s="243" t="e">
        <f t="shared" si="15"/>
        <v>#REF!</v>
      </c>
    </row>
    <row r="93" spans="1:18">
      <c r="A93" s="236" t="s">
        <v>2311</v>
      </c>
      <c r="B93" s="237"/>
      <c r="C93" s="237">
        <f>SUMIF(Historic_capex_list!$T$9:$T$586,$A93,Historic_capex_list!P$9:P$586)</f>
        <v>0</v>
      </c>
      <c r="D93" s="237" t="e">
        <f>IF(COUNTIF(#REF!,$A93)=0,0,+$B93)</f>
        <v>#REF!</v>
      </c>
      <c r="E93" s="237">
        <f>SUMIF(Rev_and_int_data!$B$7:$B$150,$A93,Rev_and_int_data!Q$7:Q$150)</f>
        <v>0</v>
      </c>
      <c r="F93" s="223" t="e">
        <f t="shared" si="10"/>
        <v>#REF!</v>
      </c>
      <c r="G93" s="243" t="str">
        <f t="shared" si="11"/>
        <v>STW</v>
      </c>
      <c r="I93" s="223">
        <f>SUMIF(Rev_and_int_data!$B$7:$B$150,Aggregation_of_rev_to_allocate!$A93,Rev_and_int_data!E$7:E$150)*3/10</f>
        <v>0</v>
      </c>
      <c r="J93" s="223">
        <f>SUMIF(Rev_and_int_data!$B$7:$B$150,Aggregation_of_rev_to_allocate!$A93,Rev_and_int_data!S$7:S$150)</f>
        <v>0</v>
      </c>
      <c r="K93" s="223" t="e">
        <f t="shared" si="12"/>
        <v>#REF!</v>
      </c>
      <c r="M93" s="223">
        <f>SUMIF(Historic_capex_list!$T$9:$T$586,$A93,Historic_capex_list!P$9:P$586)</f>
        <v>0</v>
      </c>
      <c r="N93" s="223">
        <f>SUMIF(Historic_capex_list!$T$9:$T$586,$A93,Historic_capex_list!Q$9:Q$586)</f>
        <v>0</v>
      </c>
      <c r="O93" s="223" t="e">
        <f t="shared" si="16"/>
        <v>#REF!</v>
      </c>
      <c r="P93" s="223">
        <f t="shared" si="13"/>
        <v>0</v>
      </c>
      <c r="Q93" s="243" t="e">
        <f t="shared" si="14"/>
        <v>#REF!</v>
      </c>
      <c r="R93" s="243" t="e">
        <f t="shared" si="15"/>
        <v>#REF!</v>
      </c>
    </row>
    <row r="94" spans="1:18">
      <c r="A94" s="226" t="s">
        <v>2322</v>
      </c>
      <c r="B94" s="223">
        <v>-349686.18</v>
      </c>
      <c r="C94" s="223">
        <f>SUMIF(Historic_capex_list!$T$9:$T$586,$A94,Historic_capex_list!P$9:P$586)</f>
        <v>0</v>
      </c>
      <c r="D94" s="223" t="e">
        <f>IF(COUNTIF(#REF!,$A94)=0,0,+$B94)</f>
        <v>#REF!</v>
      </c>
      <c r="E94" s="223">
        <f>SUMIF(Rev_and_int_data!$B$7:$B$150,$A94,Rev_and_int_data!Q$7:Q$150)</f>
        <v>0</v>
      </c>
      <c r="F94" s="223" t="e">
        <f t="shared" si="10"/>
        <v>#REF!</v>
      </c>
      <c r="G94" s="243" t="str">
        <f t="shared" si="11"/>
        <v>STW</v>
      </c>
      <c r="I94" s="223">
        <f>SUMIF(Rev_and_int_data!$B$7:$B$150,Aggregation_of_rev_to_allocate!$A94,Rev_and_int_data!E$7:E$150)*3/10</f>
        <v>0</v>
      </c>
      <c r="J94" s="223">
        <f>SUMIF(Rev_and_int_data!$B$7:$B$150,Aggregation_of_rev_to_allocate!$A94,Rev_and_int_data!S$7:S$150)</f>
        <v>0</v>
      </c>
      <c r="K94" s="223" t="e">
        <f t="shared" si="12"/>
        <v>#REF!</v>
      </c>
      <c r="M94" s="223">
        <f>SUMIF(Historic_capex_list!$T$9:$T$586,$A94,Historic_capex_list!P$9:P$586)</f>
        <v>0</v>
      </c>
      <c r="N94" s="223">
        <f>SUMIF(Historic_capex_list!$T$9:$T$586,$A94,Historic_capex_list!Q$9:Q$586)</f>
        <v>0</v>
      </c>
      <c r="O94" s="223" t="e">
        <f t="shared" si="16"/>
        <v>#REF!</v>
      </c>
      <c r="P94" s="223">
        <f t="shared" si="13"/>
        <v>0</v>
      </c>
      <c r="Q94" s="243" t="e">
        <f t="shared" si="14"/>
        <v>#REF!</v>
      </c>
      <c r="R94" s="243" t="e">
        <f t="shared" si="15"/>
        <v>#REF!</v>
      </c>
    </row>
    <row r="95" spans="1:18">
      <c r="A95" s="226" t="s">
        <v>2332</v>
      </c>
      <c r="B95" s="223">
        <v>-692259.4</v>
      </c>
      <c r="C95" s="223">
        <f>SUMIF(Historic_capex_list!$T$9:$T$586,$A95,Historic_capex_list!P$9:P$586)</f>
        <v>0</v>
      </c>
      <c r="D95" s="223" t="e">
        <f>IF(COUNTIF(#REF!,$A95)=0,0,+$B95)</f>
        <v>#REF!</v>
      </c>
      <c r="E95" s="223">
        <f>SUMIF(Rev_and_int_data!$B$7:$B$150,$A95,Rev_and_int_data!Q$7:Q$150)</f>
        <v>0</v>
      </c>
      <c r="F95" s="223" t="e">
        <f t="shared" si="10"/>
        <v>#REF!</v>
      </c>
      <c r="G95" s="243" t="str">
        <f t="shared" si="11"/>
        <v>STW</v>
      </c>
      <c r="I95" s="223">
        <f>SUMIF(Rev_and_int_data!$B$7:$B$150,Aggregation_of_rev_to_allocate!$A95,Rev_and_int_data!E$7:E$150)*3/10</f>
        <v>0</v>
      </c>
      <c r="J95" s="223">
        <f>SUMIF(Rev_and_int_data!$B$7:$B$150,Aggregation_of_rev_to_allocate!$A95,Rev_and_int_data!S$7:S$150)</f>
        <v>0</v>
      </c>
      <c r="K95" s="223" t="e">
        <f t="shared" si="12"/>
        <v>#REF!</v>
      </c>
      <c r="M95" s="223">
        <f>SUMIF(Historic_capex_list!$T$9:$T$586,$A95,Historic_capex_list!P$9:P$586)</f>
        <v>0</v>
      </c>
      <c r="N95" s="223">
        <f>SUMIF(Historic_capex_list!$T$9:$T$586,$A95,Historic_capex_list!Q$9:Q$586)</f>
        <v>0</v>
      </c>
      <c r="O95" s="223" t="e">
        <f t="shared" si="16"/>
        <v>#REF!</v>
      </c>
      <c r="P95" s="223">
        <f t="shared" si="13"/>
        <v>0</v>
      </c>
      <c r="Q95" s="243" t="e">
        <f t="shared" si="14"/>
        <v>#REF!</v>
      </c>
      <c r="R95" s="243" t="e">
        <f t="shared" si="15"/>
        <v>#REF!</v>
      </c>
    </row>
    <row r="96" spans="1:18">
      <c r="A96" s="226" t="s">
        <v>2333</v>
      </c>
      <c r="B96" s="223">
        <v>-36359.25</v>
      </c>
      <c r="C96" s="223">
        <f>SUMIF(Historic_capex_list!$T$9:$T$586,$A96,Historic_capex_list!P$9:P$586)</f>
        <v>0</v>
      </c>
      <c r="D96" s="223" t="e">
        <f>IF(COUNTIF(#REF!,$A96)=0,0,+$B96)</f>
        <v>#REF!</v>
      </c>
      <c r="E96" s="223">
        <f>SUMIF(Rev_and_int_data!$B$7:$B$150,$A96,Rev_and_int_data!Q$7:Q$150)</f>
        <v>0</v>
      </c>
      <c r="F96" s="223" t="e">
        <f t="shared" si="10"/>
        <v>#REF!</v>
      </c>
      <c r="G96" s="243" t="str">
        <f t="shared" si="11"/>
        <v>STW</v>
      </c>
      <c r="I96" s="223">
        <f>SUMIF(Rev_and_int_data!$B$7:$B$150,Aggregation_of_rev_to_allocate!$A96,Rev_and_int_data!E$7:E$150)*3/10</f>
        <v>0</v>
      </c>
      <c r="J96" s="223">
        <f>SUMIF(Rev_and_int_data!$B$7:$B$150,Aggregation_of_rev_to_allocate!$A96,Rev_and_int_data!S$7:S$150)</f>
        <v>0</v>
      </c>
      <c r="K96" s="223" t="e">
        <f t="shared" si="12"/>
        <v>#REF!</v>
      </c>
      <c r="M96" s="223">
        <f>SUMIF(Historic_capex_list!$T$9:$T$586,$A96,Historic_capex_list!P$9:P$586)</f>
        <v>0</v>
      </c>
      <c r="N96" s="223">
        <f>SUMIF(Historic_capex_list!$T$9:$T$586,$A96,Historic_capex_list!Q$9:Q$586)</f>
        <v>0</v>
      </c>
      <c r="O96" s="223" t="e">
        <f t="shared" si="16"/>
        <v>#REF!</v>
      </c>
      <c r="P96" s="223">
        <f t="shared" si="13"/>
        <v>0</v>
      </c>
      <c r="Q96" s="243" t="e">
        <f t="shared" si="14"/>
        <v>#REF!</v>
      </c>
      <c r="R96" s="243" t="e">
        <f t="shared" si="15"/>
        <v>#REF!</v>
      </c>
    </row>
    <row r="97" spans="1:18">
      <c r="A97" s="226" t="s">
        <v>2331</v>
      </c>
      <c r="B97" s="223">
        <v>-24626.280000000006</v>
      </c>
      <c r="C97" s="223">
        <f>SUMIF(Historic_capex_list!$T$9:$T$586,$A97,Historic_capex_list!P$9:P$586)</f>
        <v>0</v>
      </c>
      <c r="D97" s="223" t="e">
        <f>IF(COUNTIF(#REF!,$A97)=0,0,+$B97)+$B$90*$C97/($C$97+$C$113+$C$126)</f>
        <v>#REF!</v>
      </c>
      <c r="E97" s="223">
        <f>SUMIF(Rev_and_int_data!$B$7:$B$150,$A97,Rev_and_int_data!Q$7:Q$150)</f>
        <v>0</v>
      </c>
      <c r="F97" s="223" t="e">
        <f t="shared" si="10"/>
        <v>#REF!</v>
      </c>
      <c r="G97" s="243" t="str">
        <f t="shared" si="11"/>
        <v>STW</v>
      </c>
      <c r="I97" s="223">
        <f>SUMIF(Rev_and_int_data!$B$7:$B$150,Aggregation_of_rev_to_allocate!$A97,Rev_and_int_data!E$7:E$150)*3/10</f>
        <v>0</v>
      </c>
      <c r="J97" s="223">
        <f>SUMIF(Rev_and_int_data!$B$7:$B$150,Aggregation_of_rev_to_allocate!$A97,Rev_and_int_data!S$7:S$150)</f>
        <v>0</v>
      </c>
      <c r="K97" s="223" t="e">
        <f t="shared" si="12"/>
        <v>#REF!</v>
      </c>
      <c r="M97" s="223">
        <f>SUMIF(Historic_capex_list!$T$9:$T$586,$A97,Historic_capex_list!P$9:P$586)</f>
        <v>0</v>
      </c>
      <c r="N97" s="223">
        <f>SUMIF(Historic_capex_list!$T$9:$T$586,$A97,Historic_capex_list!Q$9:Q$586)</f>
        <v>0</v>
      </c>
      <c r="O97" s="223" t="e">
        <f t="shared" si="16"/>
        <v>#REF!</v>
      </c>
      <c r="P97" s="223">
        <f t="shared" si="13"/>
        <v>0</v>
      </c>
      <c r="Q97" s="243" t="e">
        <f t="shared" si="14"/>
        <v>#REF!</v>
      </c>
      <c r="R97" s="243" t="e">
        <f t="shared" si="15"/>
        <v>#REF!</v>
      </c>
    </row>
    <row r="98" spans="1:18">
      <c r="A98" s="226" t="s">
        <v>2330</v>
      </c>
      <c r="B98" s="223">
        <v>-3106544.9900000007</v>
      </c>
      <c r="C98" s="223">
        <f>SUMIF(Historic_capex_list!$T$9:$T$586,$A98,Historic_capex_list!P$9:P$586)</f>
        <v>0</v>
      </c>
      <c r="D98" s="223" t="e">
        <f>IF(COUNTIF(#REF!,$A98)=0,0,+$B98)</f>
        <v>#REF!</v>
      </c>
      <c r="E98" s="223">
        <f>SUMIF(Rev_and_int_data!$B$7:$B$150,$A98,Rev_and_int_data!Q$7:Q$150)</f>
        <v>0</v>
      </c>
      <c r="F98" s="223" t="e">
        <f t="shared" si="10"/>
        <v>#REF!</v>
      </c>
      <c r="G98" s="243" t="str">
        <f t="shared" si="11"/>
        <v>STW</v>
      </c>
      <c r="I98" s="223">
        <f>SUMIF(Rev_and_int_data!$B$7:$B$150,Aggregation_of_rev_to_allocate!$A98,Rev_and_int_data!E$7:E$150)*3/10</f>
        <v>0</v>
      </c>
      <c r="J98" s="223">
        <f>SUMIF(Rev_and_int_data!$B$7:$B$150,Aggregation_of_rev_to_allocate!$A98,Rev_and_int_data!S$7:S$150)</f>
        <v>0</v>
      </c>
      <c r="K98" s="223" t="e">
        <f t="shared" si="12"/>
        <v>#REF!</v>
      </c>
      <c r="M98" s="223">
        <f>SUMIF(Historic_capex_list!$T$9:$T$586,$A98,Historic_capex_list!P$9:P$586)</f>
        <v>0</v>
      </c>
      <c r="N98" s="223">
        <f>SUMIF(Historic_capex_list!$T$9:$T$586,$A98,Historic_capex_list!Q$9:Q$586)</f>
        <v>0</v>
      </c>
      <c r="O98" s="223" t="e">
        <f t="shared" si="16"/>
        <v>#REF!</v>
      </c>
      <c r="P98" s="223">
        <f t="shared" si="13"/>
        <v>0</v>
      </c>
      <c r="Q98" s="243" t="e">
        <f t="shared" si="14"/>
        <v>#REF!</v>
      </c>
      <c r="R98" s="243" t="e">
        <f t="shared" si="15"/>
        <v>#REF!</v>
      </c>
    </row>
    <row r="99" spans="1:18">
      <c r="A99" s="226" t="s">
        <v>2334</v>
      </c>
      <c r="B99" s="223">
        <v>-169792.49000000002</v>
      </c>
      <c r="C99" s="223">
        <f>SUMIF(Historic_capex_list!$T$9:$T$586,$A99,Historic_capex_list!P$9:P$586)</f>
        <v>0</v>
      </c>
      <c r="D99" s="223" t="e">
        <f>IF(COUNTIF(#REF!,$A99)=0,0,+$B99)</f>
        <v>#REF!</v>
      </c>
      <c r="E99" s="223">
        <f>SUMIF(Rev_and_int_data!$B$7:$B$150,$A99,Rev_and_int_data!Q$7:Q$150)</f>
        <v>0</v>
      </c>
      <c r="F99" s="223" t="e">
        <f t="shared" si="10"/>
        <v>#REF!</v>
      </c>
      <c r="G99" s="243" t="str">
        <f t="shared" si="11"/>
        <v>STW</v>
      </c>
      <c r="I99" s="223">
        <f>SUMIF(Rev_and_int_data!$B$7:$B$150,Aggregation_of_rev_to_allocate!$A99,Rev_and_int_data!E$7:E$150)*3/10</f>
        <v>0</v>
      </c>
      <c r="J99" s="223">
        <f>SUMIF(Rev_and_int_data!$B$7:$B$150,Aggregation_of_rev_to_allocate!$A99,Rev_and_int_data!S$7:S$150)</f>
        <v>0</v>
      </c>
      <c r="K99" s="223" t="e">
        <f t="shared" si="12"/>
        <v>#REF!</v>
      </c>
      <c r="M99" s="223">
        <f>SUMIF(Historic_capex_list!$T$9:$T$586,$A99,Historic_capex_list!P$9:P$586)</f>
        <v>0</v>
      </c>
      <c r="N99" s="223">
        <f>SUMIF(Historic_capex_list!$T$9:$T$586,$A99,Historic_capex_list!Q$9:Q$586)</f>
        <v>0</v>
      </c>
      <c r="O99" s="223" t="e">
        <f t="shared" si="16"/>
        <v>#REF!</v>
      </c>
      <c r="P99" s="223">
        <f t="shared" si="13"/>
        <v>0</v>
      </c>
      <c r="Q99" s="243" t="e">
        <f t="shared" si="14"/>
        <v>#REF!</v>
      </c>
      <c r="R99" s="243" t="e">
        <f t="shared" si="15"/>
        <v>#REF!</v>
      </c>
    </row>
    <row r="100" spans="1:18">
      <c r="A100" s="226" t="s">
        <v>2329</v>
      </c>
      <c r="B100" s="223">
        <v>598049.65999999992</v>
      </c>
      <c r="C100" s="223">
        <f>SUMIF(Historic_capex_list!$T$9:$T$586,$A100,Historic_capex_list!P$9:P$586)</f>
        <v>0</v>
      </c>
      <c r="D100" s="223" t="e">
        <f>IF(COUNTIF(#REF!,$A100)=0,0,+$B100)</f>
        <v>#REF!</v>
      </c>
      <c r="E100" s="223">
        <f>SUMIF(Rev_and_int_data!$B$7:$B$150,$A100,Rev_and_int_data!Q$7:Q$150)</f>
        <v>0</v>
      </c>
      <c r="F100" s="223" t="e">
        <f t="shared" si="10"/>
        <v>#REF!</v>
      </c>
      <c r="G100" s="243" t="str">
        <f t="shared" si="11"/>
        <v>STW</v>
      </c>
      <c r="I100" s="223">
        <f>SUMIF(Rev_and_int_data!$B$7:$B$150,Aggregation_of_rev_to_allocate!$A100,Rev_and_int_data!E$7:E$150)*3/10</f>
        <v>0</v>
      </c>
      <c r="J100" s="223">
        <f>SUMIF(Rev_and_int_data!$B$7:$B$150,Aggregation_of_rev_to_allocate!$A100,Rev_and_int_data!S$7:S$150)</f>
        <v>0</v>
      </c>
      <c r="K100" s="223" t="e">
        <f t="shared" si="12"/>
        <v>#REF!</v>
      </c>
      <c r="M100" s="223">
        <f>SUMIF(Historic_capex_list!$T$9:$T$586,$A100,Historic_capex_list!P$9:P$586)</f>
        <v>0</v>
      </c>
      <c r="N100" s="223">
        <f>SUMIF(Historic_capex_list!$T$9:$T$586,$A100,Historic_capex_list!Q$9:Q$586)</f>
        <v>0</v>
      </c>
      <c r="O100" s="223" t="e">
        <f t="shared" si="16"/>
        <v>#REF!</v>
      </c>
      <c r="P100" s="223">
        <f t="shared" si="13"/>
        <v>0</v>
      </c>
      <c r="Q100" s="243" t="e">
        <f t="shared" si="14"/>
        <v>#REF!</v>
      </c>
      <c r="R100" s="243" t="e">
        <f t="shared" si="15"/>
        <v>#REF!</v>
      </c>
    </row>
    <row r="101" spans="1:18">
      <c r="A101" s="226" t="s">
        <v>2388</v>
      </c>
      <c r="B101" s="223">
        <v>-96.4</v>
      </c>
      <c r="C101" s="223">
        <f>SUMIF(Historic_capex_list!$T$9:$T$586,$A101,Historic_capex_list!P$9:P$586)</f>
        <v>0</v>
      </c>
      <c r="D101" s="223" t="e">
        <f>IF(COUNTIF(#REF!,$A101)=0,0,+$B101)</f>
        <v>#REF!</v>
      </c>
      <c r="E101" s="223">
        <f>SUMIF(Rev_and_int_data!$B$7:$B$150,$A101,Rev_and_int_data!Q$7:Q$150)</f>
        <v>0</v>
      </c>
      <c r="F101" s="223" t="e">
        <f t="shared" si="10"/>
        <v>#REF!</v>
      </c>
      <c r="G101" s="243" t="str">
        <f t="shared" si="11"/>
        <v>STW</v>
      </c>
      <c r="I101" s="223">
        <f>SUMIF(Rev_and_int_data!$B$7:$B$150,Aggregation_of_rev_to_allocate!$A101,Rev_and_int_data!E$7:E$150)*3/10</f>
        <v>0</v>
      </c>
      <c r="J101" s="223">
        <f>SUMIF(Rev_and_int_data!$B$7:$B$150,Aggregation_of_rev_to_allocate!$A101,Rev_and_int_data!S$7:S$150)</f>
        <v>0</v>
      </c>
      <c r="K101" s="223" t="e">
        <f t="shared" si="12"/>
        <v>#REF!</v>
      </c>
      <c r="M101" s="223">
        <f>SUMIF(Historic_capex_list!$T$9:$T$586,$A101,Historic_capex_list!P$9:P$586)</f>
        <v>0</v>
      </c>
      <c r="N101" s="223">
        <f>SUMIF(Historic_capex_list!$T$9:$T$586,$A101,Historic_capex_list!Q$9:Q$586)</f>
        <v>0</v>
      </c>
      <c r="O101" s="223" t="e">
        <f t="shared" si="16"/>
        <v>#REF!</v>
      </c>
      <c r="P101" s="223">
        <f t="shared" si="13"/>
        <v>0</v>
      </c>
      <c r="Q101" s="243" t="e">
        <f t="shared" si="14"/>
        <v>#REF!</v>
      </c>
      <c r="R101" s="243" t="e">
        <f t="shared" si="15"/>
        <v>#REF!</v>
      </c>
    </row>
    <row r="102" spans="1:18">
      <c r="A102" s="236" t="s">
        <v>2389</v>
      </c>
      <c r="B102" s="237"/>
      <c r="C102" s="237">
        <f>SUMIF(Historic_capex_list!$T$9:$T$586,$A102,Historic_capex_list!P$9:P$586)</f>
        <v>0</v>
      </c>
      <c r="D102" s="237" t="e">
        <f>IF(COUNTIF(#REF!,$A102)=0,0,+$B102)</f>
        <v>#REF!</v>
      </c>
      <c r="E102" s="237">
        <f>SUMIF(Rev_and_int_data!$B$7:$B$150,$A102,Rev_and_int_data!Q$7:Q$150)</f>
        <v>0</v>
      </c>
      <c r="F102" s="223" t="e">
        <f t="shared" ref="F102:F133" si="17">+E102+D102</f>
        <v>#REF!</v>
      </c>
      <c r="G102" s="243" t="str">
        <f t="shared" ref="G102:G137" si="18">LEFT(A102,3)</f>
        <v>STW</v>
      </c>
      <c r="I102" s="223">
        <f>SUMIF(Rev_and_int_data!$B$7:$B$150,Aggregation_of_rev_to_allocate!$A102,Rev_and_int_data!E$7:E$150)*3/10</f>
        <v>0</v>
      </c>
      <c r="J102" s="223">
        <f>SUMIF(Rev_and_int_data!$B$7:$B$150,Aggregation_of_rev_to_allocate!$A102,Rev_and_int_data!S$7:S$150)</f>
        <v>0</v>
      </c>
      <c r="K102" s="223" t="e">
        <f t="shared" ref="K102:K133" si="19">+J102+I102+F102</f>
        <v>#REF!</v>
      </c>
      <c r="M102" s="223">
        <f>SUMIF(Historic_capex_list!$T$9:$T$586,$A102,Historic_capex_list!P$9:P$586)</f>
        <v>0</v>
      </c>
      <c r="N102" s="223">
        <f>SUMIF(Historic_capex_list!$T$9:$T$586,$A102,Historic_capex_list!Q$9:Q$586)</f>
        <v>0</v>
      </c>
      <c r="O102" s="223" t="e">
        <f t="shared" si="16"/>
        <v>#REF!</v>
      </c>
      <c r="P102" s="223">
        <f t="shared" si="13"/>
        <v>0</v>
      </c>
      <c r="Q102" s="243" t="e">
        <f t="shared" si="14"/>
        <v>#REF!</v>
      </c>
      <c r="R102" s="243" t="e">
        <f t="shared" si="15"/>
        <v>#REF!</v>
      </c>
    </row>
    <row r="103" spans="1:18">
      <c r="A103" s="226" t="s">
        <v>2390</v>
      </c>
      <c r="B103" s="223">
        <v>-416061.8</v>
      </c>
      <c r="C103" s="223">
        <f>SUMIF(Historic_capex_list!$T$9:$T$586,$A103,Historic_capex_list!P$9:P$586)</f>
        <v>0</v>
      </c>
      <c r="D103" s="223" t="e">
        <f>IF(COUNTIF(#REF!,$A103)=0,0,+$B103)</f>
        <v>#REF!</v>
      </c>
      <c r="E103" s="223">
        <f>SUMIF(Rev_and_int_data!$B$7:$B$150,$A103,Rev_and_int_data!Q$7:Q$150)</f>
        <v>0</v>
      </c>
      <c r="F103" s="223" t="e">
        <f t="shared" si="17"/>
        <v>#REF!</v>
      </c>
      <c r="G103" s="243" t="str">
        <f t="shared" si="18"/>
        <v>STW</v>
      </c>
      <c r="I103" s="223">
        <f>SUMIF(Rev_and_int_data!$B$7:$B$150,Aggregation_of_rev_to_allocate!$A103,Rev_and_int_data!E$7:E$150)*3/10</f>
        <v>0</v>
      </c>
      <c r="J103" s="223">
        <f>SUMIF(Rev_and_int_data!$B$7:$B$150,Aggregation_of_rev_to_allocate!$A103,Rev_and_int_data!S$7:S$150)</f>
        <v>0</v>
      </c>
      <c r="K103" s="223" t="e">
        <f t="shared" si="19"/>
        <v>#REF!</v>
      </c>
      <c r="M103" s="223">
        <f>SUMIF(Historic_capex_list!$T$9:$T$586,$A103,Historic_capex_list!P$9:P$586)</f>
        <v>0</v>
      </c>
      <c r="N103" s="223">
        <f>SUMIF(Historic_capex_list!$T$9:$T$586,$A103,Historic_capex_list!Q$9:Q$586)</f>
        <v>0</v>
      </c>
      <c r="O103" s="223" t="e">
        <f t="shared" si="16"/>
        <v>#REF!</v>
      </c>
      <c r="P103" s="223">
        <f t="shared" si="13"/>
        <v>0</v>
      </c>
      <c r="Q103" s="243" t="e">
        <f t="shared" si="14"/>
        <v>#REF!</v>
      </c>
      <c r="R103" s="243" t="e">
        <f t="shared" si="15"/>
        <v>#REF!</v>
      </c>
    </row>
    <row r="104" spans="1:18">
      <c r="A104" s="226" t="s">
        <v>2324</v>
      </c>
      <c r="B104" s="223">
        <v>84821.809999999983</v>
      </c>
      <c r="C104" s="223">
        <f>SUMIF(Historic_capex_list!$T$9:$T$586,$A104,Historic_capex_list!P$9:P$586)</f>
        <v>0</v>
      </c>
      <c r="D104" s="223" t="e">
        <f>IF(COUNTIF(#REF!,$A104)=0,0,+$B104)+$B$91*$C104/($C$104+$C$111)</f>
        <v>#REF!</v>
      </c>
      <c r="E104" s="223">
        <f>SUMIF(Rev_and_int_data!$B$7:$B$150,$A104,Rev_and_int_data!Q$7:Q$150)</f>
        <v>0</v>
      </c>
      <c r="F104" s="223" t="e">
        <f t="shared" si="17"/>
        <v>#REF!</v>
      </c>
      <c r="G104" s="243" t="str">
        <f t="shared" si="18"/>
        <v>STW</v>
      </c>
      <c r="I104" s="223">
        <f>SUMIF(Rev_and_int_data!$B$7:$B$150,Aggregation_of_rev_to_allocate!$A104,Rev_and_int_data!E$7:E$150)*3/10</f>
        <v>0</v>
      </c>
      <c r="J104" s="223">
        <f>SUMIF(Rev_and_int_data!$B$7:$B$150,Aggregation_of_rev_to_allocate!$A104,Rev_and_int_data!S$7:S$150)</f>
        <v>0</v>
      </c>
      <c r="K104" s="223" t="e">
        <f t="shared" si="19"/>
        <v>#REF!</v>
      </c>
      <c r="M104" s="223">
        <f>SUMIF(Historic_capex_list!$T$9:$T$586,$A104,Historic_capex_list!P$9:P$586)</f>
        <v>0</v>
      </c>
      <c r="N104" s="223">
        <f>SUMIF(Historic_capex_list!$T$9:$T$586,$A104,Historic_capex_list!Q$9:Q$586)</f>
        <v>0</v>
      </c>
      <c r="O104" s="223" t="e">
        <f t="shared" si="16"/>
        <v>#REF!</v>
      </c>
      <c r="P104" s="223">
        <f t="shared" si="13"/>
        <v>0</v>
      </c>
      <c r="Q104" s="243" t="e">
        <f t="shared" si="14"/>
        <v>#REF!</v>
      </c>
      <c r="R104" s="243" t="e">
        <f t="shared" si="15"/>
        <v>#REF!</v>
      </c>
    </row>
    <row r="105" spans="1:18">
      <c r="A105" s="226" t="s">
        <v>2391</v>
      </c>
      <c r="B105" s="223">
        <v>-39978.910000000003</v>
      </c>
      <c r="C105" s="223">
        <f>SUMIF(Historic_capex_list!$T$9:$T$586,$A105,Historic_capex_list!P$9:P$586)</f>
        <v>0</v>
      </c>
      <c r="D105" s="223" t="e">
        <f>IF(COUNTIF(#REF!,$A105)=0,0,+$B105)</f>
        <v>#REF!</v>
      </c>
      <c r="E105" s="223">
        <f>SUMIF(Rev_and_int_data!$B$7:$B$150,$A105,Rev_and_int_data!Q$7:Q$150)</f>
        <v>0</v>
      </c>
      <c r="F105" s="223" t="e">
        <f t="shared" si="17"/>
        <v>#REF!</v>
      </c>
      <c r="G105" s="243" t="str">
        <f t="shared" si="18"/>
        <v>STW</v>
      </c>
      <c r="I105" s="223">
        <f>SUMIF(Rev_and_int_data!$B$7:$B$150,Aggregation_of_rev_to_allocate!$A105,Rev_and_int_data!E$7:E$150)*3/10</f>
        <v>0</v>
      </c>
      <c r="J105" s="223">
        <f>SUMIF(Rev_and_int_data!$B$7:$B$150,Aggregation_of_rev_to_allocate!$A105,Rev_and_int_data!S$7:S$150)</f>
        <v>0</v>
      </c>
      <c r="K105" s="223" t="e">
        <f t="shared" si="19"/>
        <v>#REF!</v>
      </c>
      <c r="M105" s="223">
        <f>SUMIF(Historic_capex_list!$T$9:$T$586,$A105,Historic_capex_list!P$9:P$586)</f>
        <v>0</v>
      </c>
      <c r="N105" s="223">
        <f>SUMIF(Historic_capex_list!$T$9:$T$586,$A105,Historic_capex_list!Q$9:Q$586)</f>
        <v>0</v>
      </c>
      <c r="O105" s="223">
        <f>+M105</f>
        <v>0</v>
      </c>
      <c r="P105" s="223">
        <f t="shared" si="13"/>
        <v>0</v>
      </c>
      <c r="Q105" s="243" t="str">
        <f t="shared" si="14"/>
        <v>Y</v>
      </c>
      <c r="R105" s="243" t="str">
        <f t="shared" si="15"/>
        <v>Y</v>
      </c>
    </row>
    <row r="106" spans="1:18">
      <c r="A106" s="226" t="s">
        <v>2392</v>
      </c>
      <c r="B106" s="223">
        <v>-268115.14999999997</v>
      </c>
      <c r="C106" s="223">
        <f>SUMIF(Historic_capex_list!$T$9:$T$586,$A106,Historic_capex_list!P$9:P$586)</f>
        <v>0</v>
      </c>
      <c r="D106" s="223" t="e">
        <f>IF(COUNTIF(#REF!,$A106)=0,0,+$B106)</f>
        <v>#REF!</v>
      </c>
      <c r="E106" s="223">
        <f>SUMIF(Rev_and_int_data!$B$7:$B$150,$A106,Rev_and_int_data!Q$7:Q$150)</f>
        <v>0</v>
      </c>
      <c r="F106" s="223" t="e">
        <f t="shared" si="17"/>
        <v>#REF!</v>
      </c>
      <c r="G106" s="243" t="str">
        <f t="shared" si="18"/>
        <v>STW</v>
      </c>
      <c r="I106" s="223">
        <f>SUMIF(Rev_and_int_data!$B$7:$B$150,Aggregation_of_rev_to_allocate!$A106,Rev_and_int_data!E$7:E$150)*3/10</f>
        <v>0</v>
      </c>
      <c r="J106" s="223">
        <f>SUMIF(Rev_and_int_data!$B$7:$B$150,Aggregation_of_rev_to_allocate!$A106,Rev_and_int_data!S$7:S$150)</f>
        <v>0</v>
      </c>
      <c r="K106" s="223" t="e">
        <f t="shared" si="19"/>
        <v>#REF!</v>
      </c>
      <c r="M106" s="223">
        <f>SUMIF(Historic_capex_list!$T$9:$T$586,$A106,Historic_capex_list!P$9:P$586)</f>
        <v>0</v>
      </c>
      <c r="N106" s="223">
        <f>SUMIF(Historic_capex_list!$T$9:$T$586,$A106,Historic_capex_list!Q$9:Q$586)</f>
        <v>0</v>
      </c>
      <c r="O106" s="223" t="e">
        <f t="shared" si="16"/>
        <v>#REF!</v>
      </c>
      <c r="P106" s="223">
        <f t="shared" si="13"/>
        <v>0</v>
      </c>
      <c r="Q106" s="243" t="e">
        <f t="shared" si="14"/>
        <v>#REF!</v>
      </c>
      <c r="R106" s="243" t="e">
        <f t="shared" si="15"/>
        <v>#REF!</v>
      </c>
    </row>
    <row r="107" spans="1:18">
      <c r="A107" s="226" t="s">
        <v>2387</v>
      </c>
      <c r="B107" s="223">
        <v>-4105.0700000000015</v>
      </c>
      <c r="C107" s="223">
        <f>SUMIF(Historic_capex_list!$T$9:$T$586,$A107,Historic_capex_list!P$9:P$586)</f>
        <v>0</v>
      </c>
      <c r="D107" s="223" t="e">
        <f>IF(COUNTIF(#REF!,$A107)=0,0,+$B107)+$B$92*$C107/($C$107+$C$108)</f>
        <v>#REF!</v>
      </c>
      <c r="E107" s="223">
        <f>SUMIF(Rev_and_int_data!$B$7:$B$150,$A107,Rev_and_int_data!Q$7:Q$150)</f>
        <v>0</v>
      </c>
      <c r="F107" s="223" t="e">
        <f t="shared" si="17"/>
        <v>#REF!</v>
      </c>
      <c r="G107" s="243" t="str">
        <f t="shared" si="18"/>
        <v>STW</v>
      </c>
      <c r="I107" s="223">
        <f>SUMIF(Rev_and_int_data!$B$7:$B$150,Aggregation_of_rev_to_allocate!$A107,Rev_and_int_data!E$7:E$150)*3/10</f>
        <v>0</v>
      </c>
      <c r="J107" s="223">
        <f>SUMIF(Rev_and_int_data!$B$7:$B$150,Aggregation_of_rev_to_allocate!$A107,Rev_and_int_data!S$7:S$150)</f>
        <v>0</v>
      </c>
      <c r="K107" s="223" t="e">
        <f t="shared" si="19"/>
        <v>#REF!</v>
      </c>
      <c r="M107" s="223">
        <f>SUMIF(Historic_capex_list!$T$9:$T$586,$A107,Historic_capex_list!P$9:P$586)</f>
        <v>0</v>
      </c>
      <c r="N107" s="223">
        <f>SUMIF(Historic_capex_list!$T$9:$T$586,$A107,Historic_capex_list!Q$9:Q$586)</f>
        <v>0</v>
      </c>
      <c r="O107" s="223" t="e">
        <f t="shared" si="16"/>
        <v>#REF!</v>
      </c>
      <c r="P107" s="223">
        <f t="shared" si="13"/>
        <v>0</v>
      </c>
      <c r="Q107" s="243" t="e">
        <f t="shared" si="14"/>
        <v>#REF!</v>
      </c>
      <c r="R107" s="243" t="e">
        <f t="shared" si="15"/>
        <v>#REF!</v>
      </c>
    </row>
    <row r="108" spans="1:18">
      <c r="A108" s="226" t="s">
        <v>2565</v>
      </c>
      <c r="B108" s="223">
        <v>-5263.92</v>
      </c>
      <c r="C108" s="223">
        <f>SUMIF(Historic_capex_list!$T$9:$T$586,$A108,Historic_capex_list!P$9:P$586)</f>
        <v>0</v>
      </c>
      <c r="D108" s="223" t="e">
        <f>IF(COUNTIF(#REF!,$A108)=0,0,+$B108)+$B$92*$C108/($C$107+$C$108)</f>
        <v>#REF!</v>
      </c>
      <c r="E108" s="223">
        <f>SUMIF(Rev_and_int_data!$B$7:$B$150,$A108,Rev_and_int_data!Q$7:Q$150)</f>
        <v>0</v>
      </c>
      <c r="F108" s="223" t="e">
        <f t="shared" si="17"/>
        <v>#REF!</v>
      </c>
      <c r="G108" s="243" t="str">
        <f t="shared" si="18"/>
        <v>STW</v>
      </c>
      <c r="I108" s="223">
        <f>SUMIF(Rev_and_int_data!$B$7:$B$150,Aggregation_of_rev_to_allocate!$A108,Rev_and_int_data!E$7:E$150)*3/10</f>
        <v>0</v>
      </c>
      <c r="J108" s="223">
        <f>SUMIF(Rev_and_int_data!$B$7:$B$150,Aggregation_of_rev_to_allocate!$A108,Rev_and_int_data!S$7:S$150)</f>
        <v>0</v>
      </c>
      <c r="K108" s="223" t="e">
        <f t="shared" si="19"/>
        <v>#REF!</v>
      </c>
      <c r="M108" s="223">
        <f>SUMIF(Historic_capex_list!$T$9:$T$586,$A108,Historic_capex_list!P$9:P$586)</f>
        <v>0</v>
      </c>
      <c r="N108" s="223">
        <f>SUMIF(Historic_capex_list!$T$9:$T$586,$A108,Historic_capex_list!Q$9:Q$586)</f>
        <v>0</v>
      </c>
      <c r="O108" s="223" t="e">
        <f t="shared" si="16"/>
        <v>#REF!</v>
      </c>
      <c r="P108" s="223">
        <f t="shared" si="13"/>
        <v>0</v>
      </c>
      <c r="Q108" s="243" t="e">
        <f t="shared" si="14"/>
        <v>#REF!</v>
      </c>
      <c r="R108" s="243" t="e">
        <f t="shared" si="15"/>
        <v>#REF!</v>
      </c>
    </row>
    <row r="109" spans="1:18">
      <c r="A109" s="226" t="s">
        <v>2560</v>
      </c>
      <c r="B109" s="223">
        <v>-4479.55</v>
      </c>
      <c r="C109" s="223">
        <f>SUMIF(Historic_capex_list!$T$9:$T$586,$A109,Historic_capex_list!P$9:P$586)</f>
        <v>0</v>
      </c>
      <c r="D109" s="223" t="e">
        <f>IF(COUNTIF(#REF!,$A109)=0,0,+$B109)</f>
        <v>#REF!</v>
      </c>
      <c r="E109" s="223">
        <f>SUMIF(Rev_and_int_data!$B$7:$B$150,$A109,Rev_and_int_data!Q$7:Q$150)</f>
        <v>0</v>
      </c>
      <c r="F109" s="223" t="e">
        <f t="shared" si="17"/>
        <v>#REF!</v>
      </c>
      <c r="G109" s="243" t="str">
        <f t="shared" si="18"/>
        <v>STW</v>
      </c>
      <c r="I109" s="223">
        <f>SUMIF(Rev_and_int_data!$B$7:$B$150,Aggregation_of_rev_to_allocate!$A109,Rev_and_int_data!E$7:E$150)*3/10</f>
        <v>0</v>
      </c>
      <c r="J109" s="223">
        <f>SUMIF(Rev_and_int_data!$B$7:$B$150,Aggregation_of_rev_to_allocate!$A109,Rev_and_int_data!S$7:S$150)</f>
        <v>0</v>
      </c>
      <c r="K109" s="223" t="e">
        <f t="shared" si="19"/>
        <v>#REF!</v>
      </c>
      <c r="M109" s="223">
        <f>SUMIF(Historic_capex_list!$T$9:$T$586,$A109,Historic_capex_list!P$9:P$586)</f>
        <v>0</v>
      </c>
      <c r="N109" s="223">
        <f>SUMIF(Historic_capex_list!$T$9:$T$586,$A109,Historic_capex_list!Q$9:Q$586)</f>
        <v>0</v>
      </c>
      <c r="O109" s="223" t="e">
        <f t="shared" si="16"/>
        <v>#REF!</v>
      </c>
      <c r="P109" s="223">
        <f t="shared" si="13"/>
        <v>0</v>
      </c>
      <c r="Q109" s="243" t="e">
        <f t="shared" si="14"/>
        <v>#REF!</v>
      </c>
      <c r="R109" s="243" t="e">
        <f t="shared" si="15"/>
        <v>#REF!</v>
      </c>
    </row>
    <row r="110" spans="1:18">
      <c r="A110" s="226" t="s">
        <v>2561</v>
      </c>
      <c r="B110" s="223">
        <v>0</v>
      </c>
      <c r="C110" s="223">
        <f>SUMIF(Historic_capex_list!$T$9:$T$586,$A110,Historic_capex_list!P$9:P$586)</f>
        <v>0</v>
      </c>
      <c r="D110" s="223" t="e">
        <f>IF(COUNTIF(#REF!,$A110)=0,0,+$B110)</f>
        <v>#REF!</v>
      </c>
      <c r="E110" s="223">
        <f>SUMIF(Rev_and_int_data!$B$7:$B$150,$A110,Rev_and_int_data!Q$7:Q$150)</f>
        <v>0</v>
      </c>
      <c r="F110" s="223" t="e">
        <f t="shared" si="17"/>
        <v>#REF!</v>
      </c>
      <c r="G110" s="243" t="str">
        <f t="shared" si="18"/>
        <v>STW</v>
      </c>
      <c r="I110" s="223">
        <f>SUMIF(Rev_and_int_data!$B$7:$B$150,Aggregation_of_rev_to_allocate!$A110,Rev_and_int_data!E$7:E$150)*3/10</f>
        <v>0</v>
      </c>
      <c r="J110" s="223">
        <f>SUMIF(Rev_and_int_data!$B$7:$B$150,Aggregation_of_rev_to_allocate!$A110,Rev_and_int_data!S$7:S$150)</f>
        <v>0</v>
      </c>
      <c r="K110" s="223" t="e">
        <f t="shared" si="19"/>
        <v>#REF!</v>
      </c>
      <c r="M110" s="223">
        <f>SUMIF(Historic_capex_list!$T$9:$T$586,$A110,Historic_capex_list!P$9:P$586)</f>
        <v>0</v>
      </c>
      <c r="N110" s="223">
        <f>SUMIF(Historic_capex_list!$T$9:$T$586,$A110,Historic_capex_list!Q$9:Q$586)</f>
        <v>0</v>
      </c>
      <c r="O110" s="223" t="e">
        <f t="shared" si="16"/>
        <v>#REF!</v>
      </c>
      <c r="P110" s="223">
        <f t="shared" si="13"/>
        <v>0</v>
      </c>
      <c r="Q110" s="243" t="e">
        <f t="shared" si="14"/>
        <v>#REF!</v>
      </c>
      <c r="R110" s="243" t="e">
        <f t="shared" si="15"/>
        <v>#REF!</v>
      </c>
    </row>
    <row r="111" spans="1:18">
      <c r="A111" s="226" t="s">
        <v>2562</v>
      </c>
      <c r="B111" s="223">
        <v>-1252497.0399999996</v>
      </c>
      <c r="C111" s="223">
        <f>SUMIF(Historic_capex_list!$T$9:$T$586,$A111,Historic_capex_list!P$9:P$586)</f>
        <v>0</v>
      </c>
      <c r="D111" s="223" t="e">
        <f>IF(COUNTIF(#REF!,$A111)=0,0,+$B111)+$B$91*$C111/($C$104+$C$111)</f>
        <v>#REF!</v>
      </c>
      <c r="E111" s="223">
        <f>SUMIF(Rev_and_int_data!$B$7:$B$150,$A111,Rev_and_int_data!Q$7:Q$150)</f>
        <v>0</v>
      </c>
      <c r="F111" s="223" t="e">
        <f t="shared" si="17"/>
        <v>#REF!</v>
      </c>
      <c r="G111" s="243" t="str">
        <f t="shared" si="18"/>
        <v>STW</v>
      </c>
      <c r="I111" s="223">
        <f>SUMIF(Rev_and_int_data!$B$7:$B$150,Aggregation_of_rev_to_allocate!$A111,Rev_and_int_data!E$7:E$150)*3/10</f>
        <v>0</v>
      </c>
      <c r="J111" s="223">
        <f>SUMIF(Rev_and_int_data!$B$7:$B$150,Aggregation_of_rev_to_allocate!$A111,Rev_and_int_data!S$7:S$150)</f>
        <v>0</v>
      </c>
      <c r="K111" s="223" t="e">
        <f t="shared" si="19"/>
        <v>#REF!</v>
      </c>
      <c r="M111" s="223">
        <f>SUMIF(Historic_capex_list!$T$9:$T$586,$A111,Historic_capex_list!P$9:P$586)</f>
        <v>0</v>
      </c>
      <c r="N111" s="223">
        <f>SUMIF(Historic_capex_list!$T$9:$T$586,$A111,Historic_capex_list!Q$9:Q$586)</f>
        <v>0</v>
      </c>
      <c r="O111" s="223" t="e">
        <f t="shared" si="16"/>
        <v>#REF!</v>
      </c>
      <c r="P111" s="223">
        <f t="shared" si="13"/>
        <v>0</v>
      </c>
      <c r="Q111" s="243" t="e">
        <f t="shared" si="14"/>
        <v>#REF!</v>
      </c>
      <c r="R111" s="243" t="e">
        <f t="shared" si="15"/>
        <v>#REF!</v>
      </c>
    </row>
    <row r="112" spans="1:18">
      <c r="A112" s="226" t="s">
        <v>2563</v>
      </c>
      <c r="B112" s="223">
        <v>-180544.6599999998</v>
      </c>
      <c r="C112" s="223">
        <f>SUMIF(Historic_capex_list!$T$9:$T$586,$A112,Historic_capex_list!P$9:P$586)</f>
        <v>0</v>
      </c>
      <c r="D112" s="223" t="e">
        <f>IF(COUNTIF(#REF!,$A112)=0,0,+$B112)</f>
        <v>#REF!</v>
      </c>
      <c r="E112" s="223">
        <f>SUMIF(Rev_and_int_data!$B$7:$B$150,$A112,Rev_and_int_data!Q$7:Q$150)</f>
        <v>0</v>
      </c>
      <c r="F112" s="223" t="e">
        <f t="shared" si="17"/>
        <v>#REF!</v>
      </c>
      <c r="G112" s="243" t="str">
        <f t="shared" si="18"/>
        <v>STW</v>
      </c>
      <c r="I112" s="223">
        <f>SUMIF(Rev_and_int_data!$B$7:$B$150,Aggregation_of_rev_to_allocate!$A112,Rev_and_int_data!E$7:E$150)*3/10</f>
        <v>0</v>
      </c>
      <c r="J112" s="223">
        <f>SUMIF(Rev_and_int_data!$B$7:$B$150,Aggregation_of_rev_to_allocate!$A112,Rev_and_int_data!S$7:S$150)</f>
        <v>0</v>
      </c>
      <c r="K112" s="223" t="e">
        <f t="shared" si="19"/>
        <v>#REF!</v>
      </c>
      <c r="M112" s="223">
        <f>SUMIF(Historic_capex_list!$T$9:$T$586,$A112,Historic_capex_list!P$9:P$586)</f>
        <v>0</v>
      </c>
      <c r="N112" s="223">
        <f>SUMIF(Historic_capex_list!$T$9:$T$586,$A112,Historic_capex_list!Q$9:Q$586)</f>
        <v>0</v>
      </c>
      <c r="O112" s="223" t="e">
        <f t="shared" si="16"/>
        <v>#REF!</v>
      </c>
      <c r="P112" s="223">
        <f t="shared" si="13"/>
        <v>0</v>
      </c>
      <c r="Q112" s="243" t="e">
        <f t="shared" si="14"/>
        <v>#REF!</v>
      </c>
      <c r="R112" s="243" t="e">
        <f t="shared" si="15"/>
        <v>#REF!</v>
      </c>
    </row>
    <row r="113" spans="1:18">
      <c r="A113" s="226" t="s">
        <v>2558</v>
      </c>
      <c r="B113" s="223">
        <v>-611194.83000000007</v>
      </c>
      <c r="C113" s="223">
        <f>SUMIF(Historic_capex_list!$T$9:$T$586,$A113,Historic_capex_list!P$9:P$586)</f>
        <v>0</v>
      </c>
      <c r="D113" s="223" t="e">
        <f>IF(COUNTIF(#REF!,$A113)=0,0,+$B113)+$B$90*$C113/($C$97+$C$113+$C$126)</f>
        <v>#REF!</v>
      </c>
      <c r="E113" s="223">
        <f>SUMIF(Rev_and_int_data!$B$7:$B$150,$A113,Rev_and_int_data!Q$7:Q$150)</f>
        <v>0</v>
      </c>
      <c r="F113" s="223" t="e">
        <f t="shared" si="17"/>
        <v>#REF!</v>
      </c>
      <c r="G113" s="243" t="str">
        <f t="shared" si="18"/>
        <v>STW</v>
      </c>
      <c r="I113" s="223">
        <f>SUMIF(Rev_and_int_data!$B$7:$B$150,Aggregation_of_rev_to_allocate!$A113,Rev_and_int_data!E$7:E$150)*3/10</f>
        <v>0</v>
      </c>
      <c r="J113" s="223">
        <f>SUMIF(Rev_and_int_data!$B$7:$B$150,Aggregation_of_rev_to_allocate!$A113,Rev_and_int_data!S$7:S$150)</f>
        <v>0</v>
      </c>
      <c r="K113" s="223" t="e">
        <f t="shared" si="19"/>
        <v>#REF!</v>
      </c>
      <c r="M113" s="223">
        <f>SUMIF(Historic_capex_list!$T$9:$T$586,$A113,Historic_capex_list!P$9:P$586)</f>
        <v>0</v>
      </c>
      <c r="N113" s="223">
        <f>SUMIF(Historic_capex_list!$T$9:$T$586,$A113,Historic_capex_list!Q$9:Q$586)</f>
        <v>0</v>
      </c>
      <c r="O113" s="223">
        <f>+M113</f>
        <v>0</v>
      </c>
      <c r="P113" s="223">
        <f t="shared" si="13"/>
        <v>0</v>
      </c>
      <c r="Q113" s="243" t="str">
        <f t="shared" si="14"/>
        <v>Y</v>
      </c>
      <c r="R113" s="243" t="str">
        <f t="shared" si="15"/>
        <v>Y</v>
      </c>
    </row>
    <row r="114" spans="1:18">
      <c r="A114" s="226" t="s">
        <v>2564</v>
      </c>
      <c r="B114" s="223">
        <v>-750180.15999999968</v>
      </c>
      <c r="C114" s="223">
        <f>SUMIF(Historic_capex_list!$T$9:$T$586,$A114,Historic_capex_list!P$9:P$586)</f>
        <v>0</v>
      </c>
      <c r="D114" s="223" t="e">
        <f>IF(COUNTIF(#REF!,$A114)=0,0,+$B114)</f>
        <v>#REF!</v>
      </c>
      <c r="E114" s="223">
        <f>SUMIF(Rev_and_int_data!$B$7:$B$150,$A114,Rev_and_int_data!Q$7:Q$150)</f>
        <v>0</v>
      </c>
      <c r="F114" s="223" t="e">
        <f t="shared" si="17"/>
        <v>#REF!</v>
      </c>
      <c r="G114" s="243" t="str">
        <f t="shared" si="18"/>
        <v>STW</v>
      </c>
      <c r="I114" s="223">
        <f>SUMIF(Rev_and_int_data!$B$7:$B$150,Aggregation_of_rev_to_allocate!$A114,Rev_and_int_data!E$7:E$150)*3/10</f>
        <v>0</v>
      </c>
      <c r="J114" s="223">
        <f>SUMIF(Rev_and_int_data!$B$7:$B$150,Aggregation_of_rev_to_allocate!$A114,Rev_and_int_data!S$7:S$150)</f>
        <v>0</v>
      </c>
      <c r="K114" s="223" t="e">
        <f t="shared" si="19"/>
        <v>#REF!</v>
      </c>
      <c r="M114" s="223">
        <f>SUMIF(Historic_capex_list!$T$9:$T$586,$A114,Historic_capex_list!P$9:P$586)</f>
        <v>0</v>
      </c>
      <c r="N114" s="223">
        <f>SUMIF(Historic_capex_list!$T$9:$T$586,$A114,Historic_capex_list!Q$9:Q$586)</f>
        <v>0</v>
      </c>
      <c r="O114" s="223" t="e">
        <f t="shared" si="16"/>
        <v>#REF!</v>
      </c>
      <c r="P114" s="223">
        <f t="shared" si="13"/>
        <v>0</v>
      </c>
      <c r="Q114" s="243" t="e">
        <f t="shared" si="14"/>
        <v>#REF!</v>
      </c>
      <c r="R114" s="243" t="e">
        <f t="shared" si="15"/>
        <v>#REF!</v>
      </c>
    </row>
    <row r="115" spans="1:18">
      <c r="A115" s="226" t="s">
        <v>2314</v>
      </c>
      <c r="B115" s="223">
        <v>-94228.430000000008</v>
      </c>
      <c r="C115" s="223">
        <f>SUMIF(Historic_capex_list!$T$9:$T$586,$A115,Historic_capex_list!P$9:P$586)</f>
        <v>0</v>
      </c>
      <c r="D115" s="223" t="e">
        <f>IF(COUNTIF(#REF!,$A115)=0,0,+$B115)</f>
        <v>#REF!</v>
      </c>
      <c r="E115" s="223">
        <f>SUMIF(Rev_and_int_data!$B$7:$B$150,$A115,Rev_and_int_data!Q$7:Q$150)</f>
        <v>0</v>
      </c>
      <c r="F115" s="223" t="e">
        <f t="shared" si="17"/>
        <v>#REF!</v>
      </c>
      <c r="G115" s="243" t="str">
        <f t="shared" si="18"/>
        <v>STW</v>
      </c>
      <c r="I115" s="223">
        <f>SUMIF(Rev_and_int_data!$B$7:$B$150,Aggregation_of_rev_to_allocate!$A115,Rev_and_int_data!E$7:E$150)*3/10</f>
        <v>0</v>
      </c>
      <c r="J115" s="223">
        <f>SUMIF(Rev_and_int_data!$B$7:$B$150,Aggregation_of_rev_to_allocate!$A115,Rev_and_int_data!S$7:S$150)</f>
        <v>0</v>
      </c>
      <c r="K115" s="223" t="e">
        <f t="shared" si="19"/>
        <v>#REF!</v>
      </c>
      <c r="M115" s="223">
        <f>SUMIF(Historic_capex_list!$T$9:$T$586,$A115,Historic_capex_list!P$9:P$586)</f>
        <v>0</v>
      </c>
      <c r="N115" s="223">
        <f>SUMIF(Historic_capex_list!$T$9:$T$586,$A115,Historic_capex_list!Q$9:Q$586)</f>
        <v>0</v>
      </c>
      <c r="O115" s="223" t="e">
        <f t="shared" si="16"/>
        <v>#REF!</v>
      </c>
      <c r="P115" s="223">
        <f t="shared" si="13"/>
        <v>0</v>
      </c>
      <c r="Q115" s="243" t="e">
        <f t="shared" si="14"/>
        <v>#REF!</v>
      </c>
      <c r="R115" s="243" t="e">
        <f t="shared" si="15"/>
        <v>#REF!</v>
      </c>
    </row>
    <row r="116" spans="1:18">
      <c r="A116" s="226" t="s">
        <v>2601</v>
      </c>
      <c r="B116" s="223">
        <v>-8380.7999999999993</v>
      </c>
      <c r="C116" s="223">
        <f>SUMIF(Historic_capex_list!$T$9:$T$586,$A116,Historic_capex_list!P$9:P$586)</f>
        <v>0</v>
      </c>
      <c r="D116" s="223" t="e">
        <f>IF(COUNTIF(#REF!,$A116)=0,0,+$B116)</f>
        <v>#REF!</v>
      </c>
      <c r="E116" s="223">
        <f>SUMIF(Rev_and_int_data!$B$7:$B$150,$A116,Rev_and_int_data!Q$7:Q$150)</f>
        <v>0</v>
      </c>
      <c r="F116" s="223" t="e">
        <f t="shared" si="17"/>
        <v>#REF!</v>
      </c>
      <c r="G116" s="243" t="str">
        <f t="shared" si="18"/>
        <v>STW</v>
      </c>
      <c r="I116" s="223">
        <f>SUMIF(Rev_and_int_data!$B$7:$B$150,Aggregation_of_rev_to_allocate!$A116,Rev_and_int_data!E$7:E$150)*3/10</f>
        <v>0</v>
      </c>
      <c r="J116" s="223">
        <f>SUMIF(Rev_and_int_data!$B$7:$B$150,Aggregation_of_rev_to_allocate!$A116,Rev_and_int_data!S$7:S$150)</f>
        <v>0</v>
      </c>
      <c r="K116" s="223" t="e">
        <f t="shared" si="19"/>
        <v>#REF!</v>
      </c>
      <c r="M116" s="223">
        <f>SUMIF(Historic_capex_list!$T$9:$T$586,$A116,Historic_capex_list!P$9:P$586)</f>
        <v>0</v>
      </c>
      <c r="N116" s="223">
        <f>SUMIF(Historic_capex_list!$T$9:$T$586,$A116,Historic_capex_list!Q$9:Q$586)</f>
        <v>0</v>
      </c>
      <c r="O116" s="223" t="e">
        <f t="shared" si="16"/>
        <v>#REF!</v>
      </c>
      <c r="P116" s="223">
        <f t="shared" si="13"/>
        <v>0</v>
      </c>
      <c r="Q116" s="243" t="e">
        <f t="shared" si="14"/>
        <v>#REF!</v>
      </c>
      <c r="R116" s="243" t="e">
        <f t="shared" si="15"/>
        <v>#REF!</v>
      </c>
    </row>
    <row r="117" spans="1:18">
      <c r="A117" s="226" t="s">
        <v>2602</v>
      </c>
      <c r="B117" s="223">
        <v>-128330.41</v>
      </c>
      <c r="C117" s="223">
        <f>SUMIF(Historic_capex_list!$T$9:$T$586,$A117,Historic_capex_list!P$9:P$586)</f>
        <v>0</v>
      </c>
      <c r="D117" s="223" t="e">
        <f>IF(COUNTIF(#REF!,$A117)=0,0,+$B117)</f>
        <v>#REF!</v>
      </c>
      <c r="E117" s="223">
        <f>SUMIF(Rev_and_int_data!$B$7:$B$150,$A117,Rev_and_int_data!Q$7:Q$150)</f>
        <v>0</v>
      </c>
      <c r="F117" s="223" t="e">
        <f t="shared" si="17"/>
        <v>#REF!</v>
      </c>
      <c r="G117" s="243" t="str">
        <f t="shared" si="18"/>
        <v>STW</v>
      </c>
      <c r="I117" s="223">
        <f>SUMIF(Rev_and_int_data!$B$7:$B$150,Aggregation_of_rev_to_allocate!$A117,Rev_and_int_data!E$7:E$150)*3/10</f>
        <v>0</v>
      </c>
      <c r="J117" s="223">
        <f>SUMIF(Rev_and_int_data!$B$7:$B$150,Aggregation_of_rev_to_allocate!$A117,Rev_and_int_data!S$7:S$150)</f>
        <v>0</v>
      </c>
      <c r="K117" s="223" t="e">
        <f t="shared" si="19"/>
        <v>#REF!</v>
      </c>
      <c r="M117" s="223">
        <f>SUMIF(Historic_capex_list!$T$9:$T$586,$A117,Historic_capex_list!P$9:P$586)</f>
        <v>0</v>
      </c>
      <c r="N117" s="223">
        <f>SUMIF(Historic_capex_list!$T$9:$T$586,$A117,Historic_capex_list!Q$9:Q$586)</f>
        <v>0</v>
      </c>
      <c r="O117" s="223">
        <f>+M117</f>
        <v>0</v>
      </c>
      <c r="P117" s="223">
        <f t="shared" si="13"/>
        <v>0</v>
      </c>
      <c r="Q117" s="243" t="str">
        <f t="shared" si="14"/>
        <v>Y</v>
      </c>
      <c r="R117" s="243" t="str">
        <f t="shared" si="15"/>
        <v>Y</v>
      </c>
    </row>
    <row r="118" spans="1:18">
      <c r="A118" s="226" t="s">
        <v>2556</v>
      </c>
      <c r="B118" s="223">
        <v>-2027563.5100000007</v>
      </c>
      <c r="C118" s="223">
        <f>SUMIF(Historic_capex_list!$T$9:$T$586,$A118,Historic_capex_list!P$9:P$586)</f>
        <v>0</v>
      </c>
      <c r="D118" s="223" t="e">
        <f>IF(COUNTIF(#REF!,$A118)=0,0,+$B118)</f>
        <v>#REF!</v>
      </c>
      <c r="E118" s="223">
        <f>SUMIF(Rev_and_int_data!$B$7:$B$150,$A118,Rev_and_int_data!Q$7:Q$150)</f>
        <v>0</v>
      </c>
      <c r="F118" s="223" t="e">
        <f t="shared" si="17"/>
        <v>#REF!</v>
      </c>
      <c r="G118" s="243" t="str">
        <f t="shared" si="18"/>
        <v>STW</v>
      </c>
      <c r="I118" s="223">
        <f>SUMIF(Rev_and_int_data!$B$7:$B$150,Aggregation_of_rev_to_allocate!$A118,Rev_and_int_data!E$7:E$150)*3/10</f>
        <v>0</v>
      </c>
      <c r="J118" s="223">
        <f>SUMIF(Rev_and_int_data!$B$7:$B$150,Aggregation_of_rev_to_allocate!$A118,Rev_and_int_data!S$7:S$150)</f>
        <v>0</v>
      </c>
      <c r="K118" s="223" t="e">
        <f t="shared" si="19"/>
        <v>#REF!</v>
      </c>
      <c r="M118" s="223">
        <f>SUMIF(Historic_capex_list!$T$9:$T$586,$A118,Historic_capex_list!P$9:P$586)</f>
        <v>0</v>
      </c>
      <c r="N118" s="223">
        <f>SUMIF(Historic_capex_list!$T$9:$T$586,$A118,Historic_capex_list!Q$9:Q$586)</f>
        <v>0</v>
      </c>
      <c r="O118" s="223" t="e">
        <f t="shared" si="16"/>
        <v>#REF!</v>
      </c>
      <c r="P118" s="223">
        <f t="shared" si="13"/>
        <v>0</v>
      </c>
      <c r="Q118" s="243" t="e">
        <f t="shared" si="14"/>
        <v>#REF!</v>
      </c>
      <c r="R118" s="243" t="e">
        <f t="shared" si="15"/>
        <v>#REF!</v>
      </c>
    </row>
    <row r="119" spans="1:18">
      <c r="A119" s="226" t="s">
        <v>2557</v>
      </c>
      <c r="B119" s="223">
        <v>-31609897.069999892</v>
      </c>
      <c r="C119" s="223">
        <f>SUMIF(Historic_capex_list!$T$9:$T$586,$A119,Historic_capex_list!P$9:P$586)</f>
        <v>0</v>
      </c>
      <c r="D119" s="223" t="e">
        <f>IF(COUNTIF(#REF!,$A119)=0,0,+$B119)</f>
        <v>#REF!</v>
      </c>
      <c r="E119" s="223">
        <f>SUMIF(Rev_and_int_data!$B$7:$B$150,$A119,Rev_and_int_data!Q$7:Q$150)</f>
        <v>0</v>
      </c>
      <c r="F119" s="223" t="e">
        <f t="shared" si="17"/>
        <v>#REF!</v>
      </c>
      <c r="G119" s="243" t="str">
        <f t="shared" si="18"/>
        <v>STW</v>
      </c>
      <c r="I119" s="223">
        <f>SUMIF(Rev_and_int_data!$B$7:$B$150,Aggregation_of_rev_to_allocate!$A119,Rev_and_int_data!E$7:E$150)*3/10</f>
        <v>0</v>
      </c>
      <c r="J119" s="223">
        <f>SUMIF(Rev_and_int_data!$B$7:$B$150,Aggregation_of_rev_to_allocate!$A119,Rev_and_int_data!S$7:S$150)</f>
        <v>0</v>
      </c>
      <c r="K119" s="223" t="e">
        <f t="shared" si="19"/>
        <v>#REF!</v>
      </c>
      <c r="M119" s="223">
        <f>SUMIF(Historic_capex_list!$T$9:$T$586,$A119,Historic_capex_list!P$9:P$586)</f>
        <v>0</v>
      </c>
      <c r="N119" s="223">
        <f>SUMIF(Historic_capex_list!$T$9:$T$586,$A119,Historic_capex_list!Q$9:Q$586)</f>
        <v>0</v>
      </c>
      <c r="O119" s="223" t="e">
        <f t="shared" si="16"/>
        <v>#REF!</v>
      </c>
      <c r="P119" s="223">
        <f t="shared" si="13"/>
        <v>0</v>
      </c>
      <c r="Q119" s="243" t="e">
        <f t="shared" si="14"/>
        <v>#REF!</v>
      </c>
      <c r="R119" s="243" t="e">
        <f t="shared" si="15"/>
        <v>#REF!</v>
      </c>
    </row>
    <row r="120" spans="1:18">
      <c r="A120" s="226" t="s">
        <v>2599</v>
      </c>
      <c r="B120" s="223">
        <v>-186.8</v>
      </c>
      <c r="C120" s="223">
        <f>SUMIF(Historic_capex_list!$T$9:$T$586,$A120,Historic_capex_list!P$9:P$586)</f>
        <v>0</v>
      </c>
      <c r="D120" s="223" t="e">
        <f>IF(COUNTIF(#REF!,$A120)=0,0,+$B120)</f>
        <v>#REF!</v>
      </c>
      <c r="E120" s="223">
        <f>SUMIF(Rev_and_int_data!$B$7:$B$150,$A120,Rev_and_int_data!Q$7:Q$150)</f>
        <v>0</v>
      </c>
      <c r="F120" s="223" t="e">
        <f t="shared" si="17"/>
        <v>#REF!</v>
      </c>
      <c r="G120" s="243" t="str">
        <f t="shared" si="18"/>
        <v>STW</v>
      </c>
      <c r="I120" s="223">
        <f>SUMIF(Rev_and_int_data!$B$7:$B$150,Aggregation_of_rev_to_allocate!$A120,Rev_and_int_data!E$7:E$150)*3/10</f>
        <v>0</v>
      </c>
      <c r="J120" s="223">
        <f>SUMIF(Rev_and_int_data!$B$7:$B$150,Aggregation_of_rev_to_allocate!$A120,Rev_and_int_data!S$7:S$150)</f>
        <v>0</v>
      </c>
      <c r="K120" s="223" t="e">
        <f t="shared" si="19"/>
        <v>#REF!</v>
      </c>
      <c r="M120" s="223">
        <f>SUMIF(Historic_capex_list!$T$9:$T$586,$A120,Historic_capex_list!P$9:P$586)</f>
        <v>0</v>
      </c>
      <c r="N120" s="223">
        <f>SUMIF(Historic_capex_list!$T$9:$T$586,$A120,Historic_capex_list!Q$9:Q$586)</f>
        <v>0</v>
      </c>
      <c r="O120" s="223">
        <f>+M120</f>
        <v>0</v>
      </c>
      <c r="P120" s="223">
        <f t="shared" si="13"/>
        <v>0</v>
      </c>
      <c r="Q120" s="243" t="str">
        <f t="shared" si="14"/>
        <v>Y</v>
      </c>
      <c r="R120" s="243" t="str">
        <f t="shared" si="15"/>
        <v>Y</v>
      </c>
    </row>
    <row r="121" spans="1:18">
      <c r="A121" s="226" t="s">
        <v>2312</v>
      </c>
      <c r="B121" s="223">
        <v>-459430.52999999997</v>
      </c>
      <c r="C121" s="223">
        <f>SUMIF(Historic_capex_list!$T$9:$T$586,$A121,Historic_capex_list!P$9:P$586)</f>
        <v>0</v>
      </c>
      <c r="D121" s="223" t="e">
        <f>IF(COUNTIF(#REF!,$A121)=0,0,+$B121)</f>
        <v>#REF!</v>
      </c>
      <c r="E121" s="223">
        <f>SUMIF(Rev_and_int_data!$B$7:$B$150,$A121,Rev_and_int_data!Q$7:Q$150)</f>
        <v>0</v>
      </c>
      <c r="F121" s="223" t="e">
        <f t="shared" si="17"/>
        <v>#REF!</v>
      </c>
      <c r="G121" s="243" t="str">
        <f t="shared" si="18"/>
        <v>STW</v>
      </c>
      <c r="I121" s="223">
        <f>SUMIF(Rev_and_int_data!$B$7:$B$150,Aggregation_of_rev_to_allocate!$A121,Rev_and_int_data!E$7:E$150)*3/10</f>
        <v>0</v>
      </c>
      <c r="J121" s="223">
        <f>SUMIF(Rev_and_int_data!$B$7:$B$150,Aggregation_of_rev_to_allocate!$A121,Rev_and_int_data!S$7:S$150)</f>
        <v>0</v>
      </c>
      <c r="K121" s="223" t="e">
        <f t="shared" si="19"/>
        <v>#REF!</v>
      </c>
      <c r="M121" s="223">
        <f>SUMIF(Historic_capex_list!$T$9:$T$586,$A121,Historic_capex_list!P$9:P$586)</f>
        <v>0</v>
      </c>
      <c r="N121" s="223">
        <f>SUMIF(Historic_capex_list!$T$9:$T$586,$A121,Historic_capex_list!Q$9:Q$586)</f>
        <v>0</v>
      </c>
      <c r="O121" s="223" t="e">
        <f t="shared" si="16"/>
        <v>#REF!</v>
      </c>
      <c r="P121" s="223">
        <f t="shared" si="13"/>
        <v>0</v>
      </c>
      <c r="Q121" s="243" t="e">
        <f t="shared" si="14"/>
        <v>#REF!</v>
      </c>
      <c r="R121" s="243" t="e">
        <f t="shared" si="15"/>
        <v>#REF!</v>
      </c>
    </row>
    <row r="122" spans="1:18">
      <c r="A122" s="226" t="s">
        <v>2310</v>
      </c>
      <c r="B122" s="223">
        <v>-896673.60000000009</v>
      </c>
      <c r="C122" s="223">
        <f>SUMIF(Historic_capex_list!$T$9:$T$586,$A122,Historic_capex_list!P$9:P$586)</f>
        <v>0</v>
      </c>
      <c r="D122" s="223" t="e">
        <f>IF(COUNTIF(#REF!,$A122)=0,0,+$B122)</f>
        <v>#REF!</v>
      </c>
      <c r="E122" s="223">
        <f>SUMIF(Rev_and_int_data!$B$7:$B$150,$A122,Rev_and_int_data!Q$7:Q$150)</f>
        <v>0</v>
      </c>
      <c r="F122" s="223" t="e">
        <f t="shared" si="17"/>
        <v>#REF!</v>
      </c>
      <c r="G122" s="243" t="str">
        <f t="shared" si="18"/>
        <v>STW</v>
      </c>
      <c r="I122" s="223">
        <f>SUMIF(Rev_and_int_data!$B$7:$B$150,Aggregation_of_rev_to_allocate!$A122,Rev_and_int_data!E$7:E$150)*3/10</f>
        <v>0</v>
      </c>
      <c r="J122" s="223">
        <f>SUMIF(Rev_and_int_data!$B$7:$B$150,Aggregation_of_rev_to_allocate!$A122,Rev_and_int_data!S$7:S$150)</f>
        <v>0</v>
      </c>
      <c r="K122" s="223" t="e">
        <f t="shared" si="19"/>
        <v>#REF!</v>
      </c>
      <c r="M122" s="223">
        <f>SUMIF(Historic_capex_list!$T$9:$T$586,$A122,Historic_capex_list!P$9:P$586)</f>
        <v>0</v>
      </c>
      <c r="N122" s="223">
        <f>SUMIF(Historic_capex_list!$T$9:$T$586,$A122,Historic_capex_list!Q$9:Q$586)</f>
        <v>0</v>
      </c>
      <c r="O122" s="223" t="e">
        <f t="shared" si="16"/>
        <v>#REF!</v>
      </c>
      <c r="P122" s="223">
        <f t="shared" si="13"/>
        <v>0</v>
      </c>
      <c r="Q122" s="243" t="e">
        <f t="shared" si="14"/>
        <v>#REF!</v>
      </c>
      <c r="R122" s="243" t="e">
        <f t="shared" si="15"/>
        <v>#REF!</v>
      </c>
    </row>
    <row r="123" spans="1:18">
      <c r="A123" s="226" t="s">
        <v>2325</v>
      </c>
      <c r="B123" s="223">
        <v>-878500.28</v>
      </c>
      <c r="C123" s="223">
        <f>SUMIF(Historic_capex_list!$T$9:$T$586,$A123,Historic_capex_list!P$9:P$586)</f>
        <v>0</v>
      </c>
      <c r="D123" s="223" t="e">
        <f>IF(COUNTIF(#REF!,$A123)=0,0,+$B123)</f>
        <v>#REF!</v>
      </c>
      <c r="E123" s="223">
        <f>SUMIF(Rev_and_int_data!$B$7:$B$150,$A123,Rev_and_int_data!Q$7:Q$150)</f>
        <v>0</v>
      </c>
      <c r="F123" s="223" t="e">
        <f t="shared" si="17"/>
        <v>#REF!</v>
      </c>
      <c r="G123" s="243" t="str">
        <f t="shared" si="18"/>
        <v>STW</v>
      </c>
      <c r="I123" s="223">
        <f>SUMIF(Rev_and_int_data!$B$7:$B$150,Aggregation_of_rev_to_allocate!$A123,Rev_and_int_data!E$7:E$150)*3/10</f>
        <v>0</v>
      </c>
      <c r="J123" s="223">
        <f>SUMIF(Rev_and_int_data!$B$7:$B$150,Aggregation_of_rev_to_allocate!$A123,Rev_and_int_data!S$7:S$150)</f>
        <v>0</v>
      </c>
      <c r="K123" s="223" t="e">
        <f t="shared" si="19"/>
        <v>#REF!</v>
      </c>
      <c r="M123" s="223">
        <f>SUMIF(Historic_capex_list!$T$9:$T$586,$A123,Historic_capex_list!P$9:P$586)</f>
        <v>0</v>
      </c>
      <c r="N123" s="223">
        <f>SUMIF(Historic_capex_list!$T$9:$T$586,$A123,Historic_capex_list!Q$9:Q$586)</f>
        <v>0</v>
      </c>
      <c r="O123" s="223" t="e">
        <f t="shared" si="16"/>
        <v>#REF!</v>
      </c>
      <c r="P123" s="223">
        <f t="shared" si="13"/>
        <v>0</v>
      </c>
      <c r="Q123" s="243" t="e">
        <f t="shared" si="14"/>
        <v>#REF!</v>
      </c>
      <c r="R123" s="243" t="e">
        <f t="shared" si="15"/>
        <v>#REF!</v>
      </c>
    </row>
    <row r="124" spans="1:18">
      <c r="A124" s="226" t="s">
        <v>2323</v>
      </c>
      <c r="B124" s="223">
        <v>-81407</v>
      </c>
      <c r="C124" s="223">
        <f>SUMIF(Historic_capex_list!$T$9:$T$586,$A124,Historic_capex_list!P$9:P$586)</f>
        <v>0</v>
      </c>
      <c r="D124" s="223" t="e">
        <f>IF(COUNTIF(#REF!,$A124)=0,0,+$B124)</f>
        <v>#REF!</v>
      </c>
      <c r="E124" s="223">
        <f>SUMIF(Rev_and_int_data!$B$7:$B$150,$A124,Rev_and_int_data!Q$7:Q$150)</f>
        <v>0</v>
      </c>
      <c r="F124" s="223" t="e">
        <f t="shared" si="17"/>
        <v>#REF!</v>
      </c>
      <c r="G124" s="243" t="str">
        <f t="shared" si="18"/>
        <v>STW</v>
      </c>
      <c r="I124" s="223">
        <f>SUMIF(Rev_and_int_data!$B$7:$B$150,Aggregation_of_rev_to_allocate!$A124,Rev_and_int_data!E$7:E$150)*3/10</f>
        <v>0</v>
      </c>
      <c r="J124" s="223">
        <f>SUMIF(Rev_and_int_data!$B$7:$B$150,Aggregation_of_rev_to_allocate!$A124,Rev_and_int_data!S$7:S$150)</f>
        <v>0</v>
      </c>
      <c r="K124" s="223" t="e">
        <f t="shared" si="19"/>
        <v>#REF!</v>
      </c>
      <c r="M124" s="223">
        <f>SUMIF(Historic_capex_list!$T$9:$T$586,$A124,Historic_capex_list!P$9:P$586)</f>
        <v>0</v>
      </c>
      <c r="N124" s="223">
        <f>SUMIF(Historic_capex_list!$T$9:$T$586,$A124,Historic_capex_list!Q$9:Q$586)</f>
        <v>0</v>
      </c>
      <c r="O124" s="223" t="e">
        <f t="shared" si="16"/>
        <v>#REF!</v>
      </c>
      <c r="P124" s="223">
        <f t="shared" si="13"/>
        <v>0</v>
      </c>
      <c r="Q124" s="243" t="e">
        <f t="shared" si="14"/>
        <v>#REF!</v>
      </c>
      <c r="R124" s="243" t="e">
        <f t="shared" si="15"/>
        <v>#REF!</v>
      </c>
    </row>
    <row r="125" spans="1:18">
      <c r="A125" s="226" t="s">
        <v>2313</v>
      </c>
      <c r="B125" s="223">
        <v>-4577.6000000000004</v>
      </c>
      <c r="C125" s="223">
        <f>SUMIF(Historic_capex_list!$T$9:$T$586,$A125,Historic_capex_list!P$9:P$586)</f>
        <v>0</v>
      </c>
      <c r="D125" s="223" t="e">
        <f>IF(COUNTIF(#REF!,$A125)=0,0,+$B125)</f>
        <v>#REF!</v>
      </c>
      <c r="E125" s="223">
        <f>SUMIF(Rev_and_int_data!$B$7:$B$150,$A125,Rev_and_int_data!Q$7:Q$150)</f>
        <v>0</v>
      </c>
      <c r="F125" s="223" t="e">
        <f t="shared" si="17"/>
        <v>#REF!</v>
      </c>
      <c r="G125" s="243" t="str">
        <f t="shared" si="18"/>
        <v>STW</v>
      </c>
      <c r="I125" s="223">
        <f>SUMIF(Rev_and_int_data!$B$7:$B$150,Aggregation_of_rev_to_allocate!$A125,Rev_and_int_data!E$7:E$150)*3/10</f>
        <v>0</v>
      </c>
      <c r="J125" s="223">
        <f>SUMIF(Rev_and_int_data!$B$7:$B$150,Aggregation_of_rev_to_allocate!$A125,Rev_and_int_data!S$7:S$150)</f>
        <v>0</v>
      </c>
      <c r="K125" s="223" t="e">
        <f t="shared" si="19"/>
        <v>#REF!</v>
      </c>
      <c r="M125" s="223">
        <f>SUMIF(Historic_capex_list!$T$9:$T$586,$A125,Historic_capex_list!P$9:P$586)</f>
        <v>0</v>
      </c>
      <c r="N125" s="223">
        <f>SUMIF(Historic_capex_list!$T$9:$T$586,$A125,Historic_capex_list!Q$9:Q$586)</f>
        <v>0</v>
      </c>
      <c r="O125" s="223" t="e">
        <f t="shared" si="16"/>
        <v>#REF!</v>
      </c>
      <c r="P125" s="223">
        <f t="shared" si="13"/>
        <v>0</v>
      </c>
      <c r="Q125" s="243" t="e">
        <f t="shared" si="14"/>
        <v>#REF!</v>
      </c>
      <c r="R125" s="243" t="e">
        <f t="shared" si="15"/>
        <v>#REF!</v>
      </c>
    </row>
    <row r="126" spans="1:18">
      <c r="A126" s="226" t="s">
        <v>2309</v>
      </c>
      <c r="B126" s="223">
        <v>-793.96</v>
      </c>
      <c r="C126" s="223">
        <f>SUMIF(Historic_capex_list!$T$9:$T$586,$A126,Historic_capex_list!P$9:P$586)</f>
        <v>0</v>
      </c>
      <c r="D126" s="223" t="e">
        <f>IF(COUNTIF(#REF!,$A126)=0,0,+$B126)+$B$90*$C126/($C$97+$C$113+$C$126)</f>
        <v>#REF!</v>
      </c>
      <c r="E126" s="223">
        <f>SUMIF(Rev_and_int_data!$B$7:$B$150,$A126,Rev_and_int_data!Q$7:Q$150)</f>
        <v>0</v>
      </c>
      <c r="F126" s="223" t="e">
        <f t="shared" si="17"/>
        <v>#REF!</v>
      </c>
      <c r="G126" s="243" t="str">
        <f t="shared" si="18"/>
        <v>STW</v>
      </c>
      <c r="I126" s="223">
        <f>SUMIF(Rev_and_int_data!$B$7:$B$150,Aggregation_of_rev_to_allocate!$A126,Rev_and_int_data!E$7:E$150)*3/10</f>
        <v>0</v>
      </c>
      <c r="J126" s="223">
        <f>SUMIF(Rev_and_int_data!$B$7:$B$150,Aggregation_of_rev_to_allocate!$A126,Rev_and_int_data!S$7:S$150)</f>
        <v>0</v>
      </c>
      <c r="K126" s="223" t="e">
        <f t="shared" si="19"/>
        <v>#REF!</v>
      </c>
      <c r="M126" s="223">
        <f>SUMIF(Historic_capex_list!$T$9:$T$586,$A126,Historic_capex_list!P$9:P$586)</f>
        <v>0</v>
      </c>
      <c r="N126" s="223">
        <f>SUMIF(Historic_capex_list!$T$9:$T$586,$A126,Historic_capex_list!Q$9:Q$586)</f>
        <v>0</v>
      </c>
      <c r="O126" s="223" t="e">
        <f t="shared" si="16"/>
        <v>#REF!</v>
      </c>
      <c r="P126" s="223">
        <f t="shared" si="13"/>
        <v>0</v>
      </c>
      <c r="Q126" s="243" t="e">
        <f t="shared" si="14"/>
        <v>#REF!</v>
      </c>
      <c r="R126" s="243" t="e">
        <f t="shared" si="15"/>
        <v>#REF!</v>
      </c>
    </row>
    <row r="127" spans="1:18">
      <c r="A127" s="226" t="s">
        <v>2778</v>
      </c>
      <c r="B127" s="223">
        <v>-61464102.55000072</v>
      </c>
      <c r="C127" s="223">
        <f>SUMIF(Historic_capex_list!$T$9:$T$586,$A127,Historic_capex_list!P$9:P$586)</f>
        <v>-12709203.931614164</v>
      </c>
      <c r="D127" s="223" t="e">
        <f>IF(COUNTIF(#REF!,$A127)=0,0,+$B127)</f>
        <v>#REF!</v>
      </c>
      <c r="E127" s="223">
        <f>SUMIF(Rev_and_int_data!$B$7:$B$150,$A127,Rev_and_int_data!Q$7:Q$150)</f>
        <v>-30675833.456658963</v>
      </c>
      <c r="F127" s="223" t="e">
        <f t="shared" si="17"/>
        <v>#REF!</v>
      </c>
      <c r="G127" s="243" t="str">
        <f t="shared" si="18"/>
        <v>TRA</v>
      </c>
      <c r="I127" s="223">
        <f>SUMIF(Rev_and_int_data!$B$7:$B$150,Aggregation_of_rev_to_allocate!$A127,Rev_and_int_data!E$7:E$150)*3/10</f>
        <v>2660459.4</v>
      </c>
      <c r="J127" s="223">
        <f>SUMIF(Rev_and_int_data!$B$7:$B$150,Aggregation_of_rev_to_allocate!$A127,Rev_and_int_data!S$7:S$150)</f>
        <v>8844137.7279689815</v>
      </c>
      <c r="K127" s="223" t="e">
        <f t="shared" si="19"/>
        <v>#REF!</v>
      </c>
      <c r="M127" s="223">
        <f>SUMIF(Historic_capex_list!$T$9:$T$586,$A127,Historic_capex_list!P$9:P$586)</f>
        <v>-12709203.931614164</v>
      </c>
      <c r="N127" s="223">
        <f>SUMIF(Historic_capex_list!$T$9:$T$586,$A127,Historic_capex_list!Q$9:Q$586)</f>
        <v>0</v>
      </c>
      <c r="O127" s="223" t="e">
        <f t="shared" si="16"/>
        <v>#REF!</v>
      </c>
      <c r="P127" s="223">
        <f t="shared" si="13"/>
        <v>0</v>
      </c>
      <c r="Q127" s="243" t="e">
        <f t="shared" si="14"/>
        <v>#REF!</v>
      </c>
      <c r="R127" s="243" t="e">
        <f t="shared" si="15"/>
        <v>#REF!</v>
      </c>
    </row>
    <row r="128" spans="1:18">
      <c r="A128" s="226" t="s">
        <v>2791</v>
      </c>
      <c r="B128" s="223">
        <v>-1883.1499999999999</v>
      </c>
      <c r="C128" s="223">
        <f>SUMIF(Historic_capex_list!$T$9:$T$586,$A128,Historic_capex_list!P$9:P$586)</f>
        <v>0</v>
      </c>
      <c r="D128" s="223" t="e">
        <f>IF(COUNTIF(#REF!,$A128)=0,0,+$B128)</f>
        <v>#REF!</v>
      </c>
      <c r="E128" s="223">
        <f>SUMIF(Rev_and_int_data!$B$7:$B$150,$A128,Rev_and_int_data!Q$7:Q$150)</f>
        <v>5.3841230783805722E-3</v>
      </c>
      <c r="F128" s="223" t="e">
        <f t="shared" si="17"/>
        <v>#REF!</v>
      </c>
      <c r="G128" s="243" t="str">
        <f t="shared" si="18"/>
        <v>TRA</v>
      </c>
      <c r="I128" s="223">
        <f>SUMIF(Rev_and_int_data!$B$7:$B$150,Aggregation_of_rev_to_allocate!$A128,Rev_and_int_data!E$7:E$150)*3/10</f>
        <v>0</v>
      </c>
      <c r="J128" s="223">
        <f>SUMIF(Rev_and_int_data!$B$7:$B$150,Aggregation_of_rev_to_allocate!$A128,Rev_and_int_data!S$7:S$150)</f>
        <v>0</v>
      </c>
      <c r="K128" s="223" t="e">
        <f t="shared" si="19"/>
        <v>#REF!</v>
      </c>
      <c r="M128" s="223">
        <f>SUMIF(Historic_capex_list!$T$9:$T$586,$A128,Historic_capex_list!P$9:P$586)</f>
        <v>0</v>
      </c>
      <c r="N128" s="223">
        <f>SUMIF(Historic_capex_list!$T$9:$T$586,$A128,Historic_capex_list!Q$9:Q$586)</f>
        <v>0</v>
      </c>
      <c r="O128" s="223">
        <f>+M128</f>
        <v>0</v>
      </c>
      <c r="P128" s="223">
        <f t="shared" si="13"/>
        <v>0</v>
      </c>
      <c r="Q128" s="243" t="str">
        <f t="shared" si="14"/>
        <v>Y</v>
      </c>
      <c r="R128" s="243" t="str">
        <f t="shared" si="15"/>
        <v>Y</v>
      </c>
    </row>
    <row r="129" spans="1:24">
      <c r="A129" s="226" t="s">
        <v>2779</v>
      </c>
      <c r="B129" s="223">
        <v>-7326279.5999999903</v>
      </c>
      <c r="C129" s="223">
        <f>SUMIF(Historic_capex_list!$T$9:$T$586,$A129,Historic_capex_list!P$9:P$586)</f>
        <v>28805268.647306841</v>
      </c>
      <c r="D129" s="223" t="e">
        <f>IF(COUNTIF(#REF!,$A129)=0,0,+$B129)</f>
        <v>#REF!</v>
      </c>
      <c r="E129" s="223">
        <f>SUMIF(Rev_and_int_data!$B$7:$B$150,$A129,Rev_and_int_data!Q$7:Q$150)</f>
        <v>-2904386.1687729466</v>
      </c>
      <c r="F129" s="223" t="e">
        <f t="shared" si="17"/>
        <v>#REF!</v>
      </c>
      <c r="G129" s="243" t="str">
        <f t="shared" si="18"/>
        <v>TRA</v>
      </c>
      <c r="I129" s="223">
        <f>SUMIF(Rev_and_int_data!$B$7:$B$150,Aggregation_of_rev_to_allocate!$A129,Rev_and_int_data!E$7:E$150)*3/10</f>
        <v>187052.1</v>
      </c>
      <c r="J129" s="223">
        <f>SUMIF(Rev_and_int_data!$B$7:$B$150,Aggregation_of_rev_to_allocate!$A129,Rev_and_int_data!S$7:S$150)</f>
        <v>3464362.1085122591</v>
      </c>
      <c r="K129" s="223" t="e">
        <f t="shared" si="19"/>
        <v>#REF!</v>
      </c>
      <c r="M129" s="223">
        <f>SUMIF(Historic_capex_list!$T$9:$T$586,$A129,Historic_capex_list!P$9:P$586)</f>
        <v>28805268.647306841</v>
      </c>
      <c r="N129" s="223">
        <f>SUMIF(Historic_capex_list!$T$9:$T$586,$A129,Historic_capex_list!Q$9:Q$586)</f>
        <v>7018115.5133220181</v>
      </c>
      <c r="O129" s="223" t="e">
        <f t="shared" si="16"/>
        <v>#REF!</v>
      </c>
      <c r="P129" s="223">
        <f t="shared" si="13"/>
        <v>7018115.5133220181</v>
      </c>
      <c r="Q129" s="243" t="e">
        <f t="shared" si="14"/>
        <v>#REF!</v>
      </c>
      <c r="R129" s="243" t="e">
        <f t="shared" si="15"/>
        <v>#REF!</v>
      </c>
    </row>
    <row r="130" spans="1:24">
      <c r="A130" s="226" t="s">
        <v>2780</v>
      </c>
      <c r="B130" s="223">
        <v>-3044213.9800000028</v>
      </c>
      <c r="C130" s="223">
        <f>SUMIF(Historic_capex_list!$T$9:$T$586,$A130,Historic_capex_list!P$9:P$586)</f>
        <v>9045061.2086327039</v>
      </c>
      <c r="D130" s="223" t="e">
        <f>IF(COUNTIF(#REF!,$A130)=0,0,+$B130)</f>
        <v>#REF!</v>
      </c>
      <c r="E130" s="223">
        <f>SUMIF(Rev_and_int_data!$B$7:$B$150,$A130,Rev_and_int_data!Q$7:Q$150)</f>
        <v>-2301675.6398208728</v>
      </c>
      <c r="F130" s="223" t="e">
        <f t="shared" si="17"/>
        <v>#REF!</v>
      </c>
      <c r="G130" s="243" t="str">
        <f t="shared" si="18"/>
        <v>TRA</v>
      </c>
      <c r="I130" s="223">
        <f>SUMIF(Rev_and_int_data!$B$7:$B$150,Aggregation_of_rev_to_allocate!$A130,Rev_and_int_data!E$7:E$150)*3/10</f>
        <v>178399.8</v>
      </c>
      <c r="J130" s="223">
        <f>SUMIF(Rev_and_int_data!$B$7:$B$150,Aggregation_of_rev_to_allocate!$A130,Rev_and_int_data!S$7:S$150)</f>
        <v>0</v>
      </c>
      <c r="K130" s="223" t="e">
        <f t="shared" si="19"/>
        <v>#REF!</v>
      </c>
      <c r="M130" s="223">
        <f>SUMIF(Historic_capex_list!$T$9:$T$586,$A130,Historic_capex_list!P$9:P$586)</f>
        <v>9045061.2086327039</v>
      </c>
      <c r="N130" s="223">
        <f>SUMIF(Historic_capex_list!$T$9:$T$586,$A130,Historic_capex_list!Q$9:Q$586)</f>
        <v>4375168.1879990194</v>
      </c>
      <c r="O130" s="223" t="e">
        <f t="shared" si="16"/>
        <v>#REF!</v>
      </c>
      <c r="P130" s="223">
        <f t="shared" si="13"/>
        <v>4375168.1879990194</v>
      </c>
      <c r="Q130" s="243" t="e">
        <f t="shared" si="14"/>
        <v>#REF!</v>
      </c>
      <c r="R130" s="243" t="e">
        <f t="shared" si="15"/>
        <v>#REF!</v>
      </c>
    </row>
    <row r="131" spans="1:24">
      <c r="A131" s="226" t="s">
        <v>2781</v>
      </c>
      <c r="B131" s="223">
        <v>-6301814.4699999988</v>
      </c>
      <c r="C131" s="223">
        <f>SUMIF(Historic_capex_list!$T$9:$T$586,$A131,Historic_capex_list!P$9:P$586)</f>
        <v>12067993.911491549</v>
      </c>
      <c r="D131" s="223" t="e">
        <f>IF(COUNTIF(#REF!,$A131)=0,0,+$B131)</f>
        <v>#REF!</v>
      </c>
      <c r="E131" s="223">
        <f>SUMIF(Rev_and_int_data!$B$7:$B$150,$A131,Rev_and_int_data!Q$7:Q$150)</f>
        <v>-3793413.5872460431</v>
      </c>
      <c r="F131" s="223" t="e">
        <f t="shared" si="17"/>
        <v>#REF!</v>
      </c>
      <c r="G131" s="243" t="str">
        <f t="shared" si="18"/>
        <v>TRA</v>
      </c>
      <c r="I131" s="223">
        <f>SUMIF(Rev_and_int_data!$B$7:$B$150,Aggregation_of_rev_to_allocate!$A131,Rev_and_int_data!E$7:E$150)*3/10</f>
        <v>317499.3</v>
      </c>
      <c r="J131" s="223">
        <f>SUMIF(Rev_and_int_data!$B$7:$B$150,Aggregation_of_rev_to_allocate!$A131,Rev_and_int_data!S$7:S$150)</f>
        <v>0</v>
      </c>
      <c r="K131" s="223" t="e">
        <f t="shared" si="19"/>
        <v>#REF!</v>
      </c>
      <c r="M131" s="223">
        <f>SUMIF(Historic_capex_list!$T$9:$T$586,$A131,Historic_capex_list!P$9:P$586)</f>
        <v>12067993.911491549</v>
      </c>
      <c r="N131" s="223">
        <f>SUMIF(Historic_capex_list!$T$9:$T$586,$A131,Historic_capex_list!Q$9:Q$586)</f>
        <v>743404.76646776916</v>
      </c>
      <c r="O131" s="223" t="e">
        <f t="shared" si="16"/>
        <v>#REF!</v>
      </c>
      <c r="P131" s="223">
        <f t="shared" si="13"/>
        <v>743404.76646776916</v>
      </c>
      <c r="Q131" s="243" t="e">
        <f t="shared" si="14"/>
        <v>#REF!</v>
      </c>
      <c r="R131" s="243" t="e">
        <f t="shared" si="15"/>
        <v>#REF!</v>
      </c>
    </row>
    <row r="132" spans="1:24">
      <c r="A132" s="226" t="s">
        <v>2782</v>
      </c>
      <c r="B132" s="227">
        <f>-6330916.40999999-B30*0.71</f>
        <v>-6231838.2529999902</v>
      </c>
      <c r="C132" s="223">
        <f>SUMIF(Historic_capex_list!$T$9:$T$586,$A132,Historic_capex_list!P$9:P$586)</f>
        <v>8464771.4475167505</v>
      </c>
      <c r="D132" s="223" t="e">
        <f>IF(COUNTIF(#REF!,$A132)=0,0,+$B132)</f>
        <v>#REF!</v>
      </c>
      <c r="E132" s="223">
        <f>SUMIF(Rev_and_int_data!$B$7:$B$150,$A132,Rev_and_int_data!Q$7:Q$150)</f>
        <v>-2341055.6873670933</v>
      </c>
      <c r="F132" s="223" t="e">
        <f t="shared" si="17"/>
        <v>#REF!</v>
      </c>
      <c r="G132" s="243" t="str">
        <f t="shared" si="18"/>
        <v>TRA</v>
      </c>
      <c r="I132" s="223">
        <f>SUMIF(Rev_and_int_data!$B$7:$B$150,Aggregation_of_rev_to_allocate!$A132,Rev_and_int_data!E$7:E$150)*3/10</f>
        <v>231087.3</v>
      </c>
      <c r="J132" s="223">
        <f>SUMIF(Rev_and_int_data!$B$7:$B$150,Aggregation_of_rev_to_allocate!$A132,Rev_and_int_data!S$7:S$150)</f>
        <v>0</v>
      </c>
      <c r="K132" s="223" t="e">
        <f t="shared" si="19"/>
        <v>#REF!</v>
      </c>
      <c r="M132" s="223">
        <f>SUMIF(Historic_capex_list!$T$9:$T$586,$A132,Historic_capex_list!P$9:P$586)</f>
        <v>8464771.4475167505</v>
      </c>
      <c r="N132" s="223">
        <f>SUMIF(Historic_capex_list!$T$9:$T$586,$A132,Historic_capex_list!Q$9:Q$586)</f>
        <v>0</v>
      </c>
      <c r="O132" s="223" t="e">
        <f t="shared" si="16"/>
        <v>#REF!</v>
      </c>
      <c r="P132" s="223">
        <f t="shared" si="13"/>
        <v>0</v>
      </c>
      <c r="Q132" s="243" t="e">
        <f t="shared" si="14"/>
        <v>#REF!</v>
      </c>
      <c r="R132" s="243" t="e">
        <f t="shared" si="15"/>
        <v>#REF!</v>
      </c>
    </row>
    <row r="133" spans="1:24">
      <c r="A133" s="236" t="s">
        <v>2783</v>
      </c>
      <c r="B133" s="237"/>
      <c r="C133" s="237">
        <f>SUMIF(Historic_capex_list!$T$9:$T$586,$A133,Historic_capex_list!P$9:P$586)</f>
        <v>7404043.0799999991</v>
      </c>
      <c r="D133" s="237" t="e">
        <f>IF(COUNTIF(#REF!,$A133)=0,0,+$B133)</f>
        <v>#REF!</v>
      </c>
      <c r="E133" s="237">
        <f>SUMIF(Rev_and_int_data!$B$7:$B$150,$A133,Rev_and_int_data!Q$7:Q$150)</f>
        <v>0</v>
      </c>
      <c r="F133" s="223" t="e">
        <f t="shared" si="17"/>
        <v>#REF!</v>
      </c>
      <c r="G133" s="243" t="str">
        <f t="shared" si="18"/>
        <v>TRA</v>
      </c>
      <c r="I133" s="223">
        <f>SUMIF(Rev_and_int_data!$B$7:$B$150,Aggregation_of_rev_to_allocate!$A133,Rev_and_int_data!E$7:E$150)*3/10</f>
        <v>0</v>
      </c>
      <c r="J133" s="223">
        <f>SUMIF(Rev_and_int_data!$B$7:$B$150,Aggregation_of_rev_to_allocate!$A133,Rev_and_int_data!S$7:S$150)</f>
        <v>0</v>
      </c>
      <c r="K133" s="223" t="e">
        <f t="shared" si="19"/>
        <v>#REF!</v>
      </c>
      <c r="M133" s="223">
        <f>SUMIF(Historic_capex_list!$T$9:$T$586,$A133,Historic_capex_list!P$9:P$586)</f>
        <v>7404043.0799999991</v>
      </c>
      <c r="N133" s="223">
        <f>SUMIF(Historic_capex_list!$T$9:$T$586,$A133,Historic_capex_list!Q$9:Q$586)</f>
        <v>0</v>
      </c>
      <c r="O133" s="223" t="e">
        <f t="shared" si="16"/>
        <v>#REF!</v>
      </c>
      <c r="P133" s="223">
        <f t="shared" si="13"/>
        <v>0</v>
      </c>
      <c r="Q133" s="243" t="e">
        <f t="shared" si="14"/>
        <v>#REF!</v>
      </c>
      <c r="R133" s="243" t="e">
        <f t="shared" si="15"/>
        <v>#REF!</v>
      </c>
    </row>
    <row r="134" spans="1:24">
      <c r="A134" s="236" t="s">
        <v>2784</v>
      </c>
      <c r="B134" s="237"/>
      <c r="C134" s="237">
        <f>SUMIF(Historic_capex_list!$T$9:$T$586,$A134,Historic_capex_list!P$9:P$586)</f>
        <v>0</v>
      </c>
      <c r="D134" s="237" t="e">
        <f>IF(COUNTIF(#REF!,$A134)=0,0,+$B134)</f>
        <v>#REF!</v>
      </c>
      <c r="E134" s="237">
        <f>SUMIF(Rev_and_int_data!$B$7:$B$150,$A134,Rev_and_int_data!Q$7:Q$150)</f>
        <v>0.23633489734212007</v>
      </c>
      <c r="F134" s="223" t="e">
        <f>+E134+D134</f>
        <v>#REF!</v>
      </c>
      <c r="G134" s="243" t="str">
        <f t="shared" si="18"/>
        <v>TRA</v>
      </c>
      <c r="I134" s="223">
        <f>SUMIF(Rev_and_int_data!$B$7:$B$150,Aggregation_of_rev_to_allocate!$A134,Rev_and_int_data!E$7:E$150)*3/10</f>
        <v>0</v>
      </c>
      <c r="J134" s="223">
        <f>SUMIF(Rev_and_int_data!$B$7:$B$150,Aggregation_of_rev_to_allocate!$A134,Rev_and_int_data!S$7:S$150)</f>
        <v>6.2226811594197337E-2</v>
      </c>
      <c r="K134" s="223" t="e">
        <f>+J134+I134+F134</f>
        <v>#REF!</v>
      </c>
      <c r="M134" s="223">
        <f>SUMIF(Historic_capex_list!$T$9:$T$586,$A134,Historic_capex_list!P$9:P$586)</f>
        <v>0</v>
      </c>
      <c r="N134" s="223">
        <f>SUMIF(Historic_capex_list!$T$9:$T$586,$A134,Historic_capex_list!Q$9:Q$586)</f>
        <v>0</v>
      </c>
      <c r="O134" s="223" t="e">
        <f t="shared" si="16"/>
        <v>#REF!</v>
      </c>
      <c r="P134" s="223">
        <f t="shared" si="13"/>
        <v>0</v>
      </c>
      <c r="Q134" s="243" t="e">
        <f t="shared" si="14"/>
        <v>#REF!</v>
      </c>
      <c r="R134" s="243" t="e">
        <f t="shared" si="15"/>
        <v>#REF!</v>
      </c>
    </row>
    <row r="135" spans="1:24">
      <c r="A135" s="271" t="s">
        <v>2785</v>
      </c>
      <c r="B135" s="237"/>
      <c r="C135" s="237">
        <f>SUMIF(Historic_capex_list!$T$9:$T$586,$A135,Historic_capex_list!P$9:P$586)</f>
        <v>0</v>
      </c>
      <c r="D135" s="237" t="e">
        <f>IF(COUNTIF(#REF!,$A135)=0,0,+$B135)</f>
        <v>#REF!</v>
      </c>
      <c r="E135" s="237">
        <f>SUMIF(Rev_and_int_data!$B$7:$B$150,$A135,Rev_and_int_data!Q$7:Q$150)</f>
        <v>0</v>
      </c>
      <c r="F135" s="223" t="e">
        <f>+E135+D135</f>
        <v>#REF!</v>
      </c>
      <c r="G135" s="243" t="str">
        <f t="shared" si="18"/>
        <v>TRA</v>
      </c>
      <c r="I135" s="223">
        <f>SUMIF(Rev_and_int_data!$B$7:$B$150,Aggregation_of_rev_to_allocate!$A135,Rev_and_int_data!E$7:E$150)*3/10</f>
        <v>0</v>
      </c>
      <c r="J135" s="223">
        <f>SUMIF(Rev_and_int_data!$B$7:$B$150,Aggregation_of_rev_to_allocate!$A135,Rev_and_int_data!S$7:S$150)</f>
        <v>0</v>
      </c>
      <c r="K135" s="223" t="e">
        <f>+J135+I135+F135</f>
        <v>#REF!</v>
      </c>
      <c r="M135" s="223">
        <f>SUMIF(Historic_capex_list!$T$9:$T$586,$A135,Historic_capex_list!P$9:P$586)</f>
        <v>0</v>
      </c>
      <c r="N135" s="223">
        <f>SUMIF(Historic_capex_list!$T$9:$T$586,$A135,Historic_capex_list!Q$9:Q$586)</f>
        <v>0</v>
      </c>
      <c r="O135" s="223" t="e">
        <f>+M135+K135</f>
        <v>#REF!</v>
      </c>
      <c r="P135" s="223">
        <f>+N135</f>
        <v>0</v>
      </c>
      <c r="Q135" s="243" t="e">
        <f>IF(O135&lt;=Q$1,"Y","")</f>
        <v>#REF!</v>
      </c>
      <c r="R135" s="243" t="e">
        <f>IF((P135+O135)&lt;=R$1,"Y","")</f>
        <v>#REF!</v>
      </c>
    </row>
    <row r="136" spans="1:24">
      <c r="A136" s="228" t="s">
        <v>2985</v>
      </c>
      <c r="B136" s="229">
        <v>-64075.42</v>
      </c>
      <c r="C136" s="229">
        <f>SUMIF(Historic_capex_list!$T$9:$T$586,$A136,Historic_capex_list!P$9:P$586)</f>
        <v>0</v>
      </c>
      <c r="D136" s="223" t="e">
        <f>IF(COUNTIF(#REF!,$A136)=0,0,+$B136)</f>
        <v>#REF!</v>
      </c>
      <c r="E136" s="223">
        <f>SUMIF(Rev_and_int_data!$B$7:$B$150,$A136,Rev_and_int_data!Q$7:Q$150)</f>
        <v>0</v>
      </c>
      <c r="F136" s="223" t="e">
        <f>+E136+D136</f>
        <v>#REF!</v>
      </c>
      <c r="G136" s="243" t="str">
        <f t="shared" si="18"/>
        <v>UNK</v>
      </c>
      <c r="I136" s="223">
        <f>SUMIF(Rev_and_int_data!$B$7:$B$150,Aggregation_of_rev_to_allocate!$A136,Rev_and_int_data!E$7:E$150)*3/10</f>
        <v>0</v>
      </c>
      <c r="J136" s="223">
        <f>SUMIF(Rev_and_int_data!$B$7:$B$150,Aggregation_of_rev_to_allocate!$A136,Rev_and_int_data!S$7:S$150)</f>
        <v>0</v>
      </c>
      <c r="K136" s="223" t="e">
        <f>+J136+I136+F136</f>
        <v>#REF!</v>
      </c>
      <c r="M136" s="223">
        <f>SUMIF(Historic_capex_list!$T$9:$T$586,$A136,Historic_capex_list!P$9:P$586)</f>
        <v>0</v>
      </c>
      <c r="N136" s="223">
        <f>SUMIF(Historic_capex_list!$T$9:$T$586,$A136,Historic_capex_list!Q$9:Q$586)</f>
        <v>0</v>
      </c>
      <c r="O136" s="223" t="e">
        <f>+M136+K136</f>
        <v>#REF!</v>
      </c>
      <c r="P136" s="223">
        <f>+N136</f>
        <v>0</v>
      </c>
      <c r="Q136" s="243" t="e">
        <f>IF(O136&lt;=Q$1,"Y","")</f>
        <v>#REF!</v>
      </c>
      <c r="R136" s="243" t="e">
        <f>IF((P136+O136)&lt;=R$1,"Y","")</f>
        <v>#REF!</v>
      </c>
    </row>
    <row r="137" spans="1:24">
      <c r="A137" s="228" t="s">
        <v>2986</v>
      </c>
      <c r="B137" s="229">
        <v>440950.01999999996</v>
      </c>
      <c r="C137" s="229">
        <f>SUMIF(Historic_capex_list!$T$9:$T$586,$A137,Historic_capex_list!P$9:P$586)</f>
        <v>0</v>
      </c>
      <c r="D137" s="223" t="e">
        <f>IF(COUNTIF(#REF!,$A137)=0,0,+$B137)</f>
        <v>#REF!</v>
      </c>
      <c r="E137" s="223">
        <f>SUMIF(Rev_and_int_data!$B$7:$B$150,$A137,Rev_and_int_data!Q$7:Q$150)</f>
        <v>0</v>
      </c>
      <c r="F137" s="223" t="e">
        <f>+E137+D137</f>
        <v>#REF!</v>
      </c>
      <c r="G137" s="243" t="str">
        <f t="shared" si="18"/>
        <v>WAT</v>
      </c>
      <c r="I137" s="223">
        <f>SUMIF(Rev_and_int_data!$B$7:$B$150,Aggregation_of_rev_to_allocate!$A137,Rev_and_int_data!E$7:E$150)*3/10</f>
        <v>0</v>
      </c>
      <c r="J137" s="223">
        <f>SUMIF(Rev_and_int_data!$B$7:$B$150,Aggregation_of_rev_to_allocate!$A137,Rev_and_int_data!S$7:S$150)</f>
        <v>0</v>
      </c>
      <c r="K137" s="223" t="e">
        <f>+J137+I137+F137</f>
        <v>#REF!</v>
      </c>
      <c r="M137" s="223">
        <f>SUMIF(Historic_capex_list!$T$9:$T$586,$A137,Historic_capex_list!P$9:P$586)</f>
        <v>0</v>
      </c>
      <c r="N137" s="223">
        <f>SUMIF(Historic_capex_list!$T$9:$T$586,$A137,Historic_capex_list!Q$9:Q$586)</f>
        <v>0</v>
      </c>
      <c r="O137" s="223" t="e">
        <f>+M137+K137</f>
        <v>#REF!</v>
      </c>
      <c r="P137" s="223">
        <f>+N137</f>
        <v>0</v>
      </c>
      <c r="Q137" s="243" t="e">
        <f>IF(O137&lt;=Q$1,"Y","")</f>
        <v>#REF!</v>
      </c>
      <c r="R137" s="243" t="e">
        <f>IF((P137+O137)&lt;=R$1,"Y","")</f>
        <v>#REF!</v>
      </c>
    </row>
    <row r="138" spans="1:24" ht="13.5" thickBot="1">
      <c r="A138" s="238" t="s">
        <v>2992</v>
      </c>
      <c r="B138" s="238">
        <f>SUM(B3:B137)</f>
        <v>-293749609.09999943</v>
      </c>
      <c r="C138" s="238">
        <f>SUM(C3:C137)</f>
        <v>297613854.3766638</v>
      </c>
      <c r="D138" s="238" t="e">
        <f>SUM(D3:D137)</f>
        <v>#REF!</v>
      </c>
      <c r="E138" s="238">
        <f>SUM(E3:E137)</f>
        <v>-134589033.17184836</v>
      </c>
      <c r="F138" s="238" t="e">
        <f>SUM(F3:F137)</f>
        <v>#REF!</v>
      </c>
      <c r="G138" s="244"/>
      <c r="H138" s="244"/>
      <c r="I138" s="238">
        <f t="shared" ref="I138:X138" si="20">SUM(I3:I137)</f>
        <v>10705046.100000001</v>
      </c>
      <c r="J138" s="238">
        <f t="shared" si="20"/>
        <v>69814506.131888106</v>
      </c>
      <c r="K138" s="238" t="e">
        <f t="shared" si="20"/>
        <v>#REF!</v>
      </c>
      <c r="L138" s="238">
        <f t="shared" si="20"/>
        <v>0</v>
      </c>
      <c r="M138" s="238">
        <f t="shared" si="20"/>
        <v>297613854.3766638</v>
      </c>
      <c r="N138" s="238">
        <f t="shared" si="20"/>
        <v>57668585.393926196</v>
      </c>
      <c r="O138" s="238" t="e">
        <f t="shared" si="20"/>
        <v>#REF!</v>
      </c>
      <c r="P138" s="238">
        <f t="shared" si="20"/>
        <v>57668585.393926196</v>
      </c>
      <c r="Q138" s="238" t="e">
        <f t="shared" si="20"/>
        <v>#REF!</v>
      </c>
      <c r="R138" s="238" t="e">
        <f t="shared" si="20"/>
        <v>#REF!</v>
      </c>
      <c r="S138" s="238">
        <f t="shared" si="20"/>
        <v>0</v>
      </c>
      <c r="T138" s="238">
        <f t="shared" si="20"/>
        <v>0</v>
      </c>
      <c r="U138" s="238">
        <f t="shared" si="20"/>
        <v>0</v>
      </c>
      <c r="V138" s="238">
        <f t="shared" si="20"/>
        <v>0</v>
      </c>
      <c r="W138" s="238">
        <f t="shared" si="20"/>
        <v>0</v>
      </c>
      <c r="X138" s="238">
        <f t="shared" si="20"/>
        <v>0</v>
      </c>
    </row>
    <row r="139" spans="1:24">
      <c r="B139" s="223">
        <f>+B138+293749609</f>
        <v>-9.9999427795410156E-2</v>
      </c>
      <c r="C139" s="223">
        <f>+C138-Historic_capex_list!P588</f>
        <v>-63609018.084340692</v>
      </c>
      <c r="D139" s="223" t="e">
        <f>+D138-B141</f>
        <v>#REF!</v>
      </c>
      <c r="E139" s="223">
        <f>+E138-Rev_and_int_data!Q151</f>
        <v>43410966.828151584</v>
      </c>
      <c r="F139" s="223" t="e">
        <f>+F138-E138-B141</f>
        <v>#REF!</v>
      </c>
      <c r="I139" s="223">
        <f>+I138-Rev_and_int_data!E151*0.3</f>
        <v>-621075.5999999959</v>
      </c>
      <c r="J139" s="223">
        <f>+J138-Rev_and_int_data!S151</f>
        <v>-10877965.867226914</v>
      </c>
      <c r="K139" s="223" t="e">
        <f>+F138+I138+J138-K138</f>
        <v>#REF!</v>
      </c>
      <c r="M139" s="223">
        <f>+M138-Historic_capex_list!P588</f>
        <v>-63609018.084340692</v>
      </c>
      <c r="N139" s="223">
        <f>+N138-Historic_capex_list!Q588</f>
        <v>-8955998.4981979281</v>
      </c>
      <c r="O139" s="223" t="e">
        <f>+O138-M138-K138</f>
        <v>#REF!</v>
      </c>
      <c r="P139" s="223">
        <f>+P138-N138</f>
        <v>0</v>
      </c>
    </row>
    <row r="141" spans="1:24" ht="26.5" thickBot="1">
      <c r="A141" s="238" t="s">
        <v>3027</v>
      </c>
      <c r="B141" s="238">
        <f>+B138-B137-B136-B77-B32-B4</f>
        <v>-293851174.56999934</v>
      </c>
      <c r="C141" s="239"/>
      <c r="D141" s="239"/>
    </row>
    <row r="142" spans="1:24">
      <c r="B142" s="223">
        <f>+B141-B138</f>
        <v>-101565.4699999094</v>
      </c>
    </row>
    <row r="143" spans="1:24">
      <c r="B143" s="223">
        <f>-B137-B136-B77-B32-B4</f>
        <v>-101565.47000000882</v>
      </c>
    </row>
    <row r="145" spans="2:16">
      <c r="B145" s="248" t="s">
        <v>2628</v>
      </c>
      <c r="C145" s="223">
        <f t="shared" ref="C145:F150" si="21">SUMIF($G$3:$G$137,$G145,C$3:C$137)</f>
        <v>180811182.52329749</v>
      </c>
      <c r="D145" s="223" t="e">
        <f t="shared" si="21"/>
        <v>#REF!</v>
      </c>
      <c r="E145" s="223">
        <f t="shared" si="21"/>
        <v>-21635570.707417011</v>
      </c>
      <c r="F145" s="223" t="e">
        <f t="shared" si="21"/>
        <v>#REF!</v>
      </c>
      <c r="G145" s="248" t="s">
        <v>2628</v>
      </c>
      <c r="H145" s="248"/>
      <c r="I145" s="223">
        <f t="shared" ref="I145:P150" si="22">SUMIF($G$3:$G$137,$G145,I$3:I$137)</f>
        <v>589487.39999999991</v>
      </c>
      <c r="J145" s="223">
        <f t="shared" si="22"/>
        <v>28549377.110157099</v>
      </c>
      <c r="K145" s="223" t="e">
        <f t="shared" si="22"/>
        <v>#REF!</v>
      </c>
      <c r="L145" s="223">
        <f t="shared" si="22"/>
        <v>0</v>
      </c>
      <c r="M145" s="223">
        <f t="shared" si="22"/>
        <v>180811182.52329749</v>
      </c>
      <c r="N145" s="223">
        <f t="shared" si="22"/>
        <v>26470552.176558658</v>
      </c>
      <c r="O145" s="223" t="e">
        <f t="shared" si="22"/>
        <v>#REF!</v>
      </c>
      <c r="P145" s="223">
        <f t="shared" si="22"/>
        <v>26470552.176558658</v>
      </c>
    </row>
    <row r="146" spans="2:16">
      <c r="B146" s="248" t="s">
        <v>2266</v>
      </c>
      <c r="C146" s="223">
        <f t="shared" si="21"/>
        <v>-20459974.400349818</v>
      </c>
      <c r="D146" s="223" t="e">
        <f t="shared" si="21"/>
        <v>#REF!</v>
      </c>
      <c r="E146" s="223">
        <f t="shared" si="21"/>
        <v>-21875480.972218636</v>
      </c>
      <c r="F146" s="223" t="e">
        <f t="shared" si="21"/>
        <v>#REF!</v>
      </c>
      <c r="G146" s="248" t="s">
        <v>2266</v>
      </c>
      <c r="H146" s="248"/>
      <c r="I146" s="223">
        <f t="shared" si="22"/>
        <v>420273.3</v>
      </c>
      <c r="J146" s="223">
        <f t="shared" si="22"/>
        <v>5195024.046438721</v>
      </c>
      <c r="K146" s="223" t="e">
        <f t="shared" si="22"/>
        <v>#REF!</v>
      </c>
      <c r="L146" s="223">
        <f t="shared" si="22"/>
        <v>0</v>
      </c>
      <c r="M146" s="223">
        <f t="shared" si="22"/>
        <v>-20459974.400349818</v>
      </c>
      <c r="N146" s="223">
        <f t="shared" si="22"/>
        <v>2312262.5703116208</v>
      </c>
      <c r="O146" s="223" t="e">
        <f t="shared" si="22"/>
        <v>#REF!</v>
      </c>
      <c r="P146" s="223">
        <f t="shared" si="22"/>
        <v>2312262.5703116208</v>
      </c>
    </row>
    <row r="147" spans="2:16">
      <c r="B147" s="248" t="s">
        <v>465</v>
      </c>
      <c r="C147" s="223">
        <f t="shared" si="21"/>
        <v>62010272.013392642</v>
      </c>
      <c r="D147" s="223" t="e">
        <f t="shared" si="21"/>
        <v>#REF!</v>
      </c>
      <c r="E147" s="223">
        <f t="shared" si="21"/>
        <v>-40026320.920042992</v>
      </c>
      <c r="F147" s="223" t="e">
        <f t="shared" si="21"/>
        <v>#REF!</v>
      </c>
      <c r="G147" s="248" t="s">
        <v>465</v>
      </c>
      <c r="H147" s="248"/>
      <c r="I147" s="223">
        <f t="shared" si="22"/>
        <v>5318736.3000000007</v>
      </c>
      <c r="J147" s="223">
        <f t="shared" si="22"/>
        <v>20388601.242695861</v>
      </c>
      <c r="K147" s="223" t="e">
        <f t="shared" si="22"/>
        <v>#REF!</v>
      </c>
      <c r="L147" s="223">
        <f t="shared" si="22"/>
        <v>0</v>
      </c>
      <c r="M147" s="223">
        <f t="shared" si="22"/>
        <v>62010272.013392642</v>
      </c>
      <c r="N147" s="223">
        <f t="shared" si="22"/>
        <v>10414319.946713625</v>
      </c>
      <c r="O147" s="223" t="e">
        <f t="shared" si="22"/>
        <v>#REF!</v>
      </c>
      <c r="P147" s="223">
        <f t="shared" si="22"/>
        <v>10414319.946713625</v>
      </c>
    </row>
    <row r="148" spans="2:16">
      <c r="B148" s="248" t="s">
        <v>460</v>
      </c>
      <c r="C148" s="223">
        <f t="shared" si="21"/>
        <v>22174439.876989812</v>
      </c>
      <c r="D148" s="223" t="e">
        <f t="shared" si="21"/>
        <v>#REF!</v>
      </c>
      <c r="E148" s="223">
        <f t="shared" si="21"/>
        <v>-9035296.2740228381</v>
      </c>
      <c r="F148" s="223" t="e">
        <f t="shared" si="21"/>
        <v>#REF!</v>
      </c>
      <c r="G148" s="248" t="s">
        <v>460</v>
      </c>
      <c r="H148" s="248"/>
      <c r="I148" s="223">
        <f t="shared" si="22"/>
        <v>802051.2</v>
      </c>
      <c r="J148" s="223">
        <f t="shared" si="22"/>
        <v>3373003.8338883715</v>
      </c>
      <c r="K148" s="223" t="e">
        <f t="shared" si="22"/>
        <v>#REF!</v>
      </c>
      <c r="L148" s="223">
        <f t="shared" si="22"/>
        <v>0</v>
      </c>
      <c r="M148" s="223">
        <f t="shared" si="22"/>
        <v>22174439.876989812</v>
      </c>
      <c r="N148" s="223">
        <f t="shared" si="22"/>
        <v>6334762.2325534867</v>
      </c>
      <c r="O148" s="223" t="e">
        <f t="shared" si="22"/>
        <v>#REF!</v>
      </c>
      <c r="P148" s="223">
        <f t="shared" si="22"/>
        <v>6334762.2325534867</v>
      </c>
    </row>
    <row r="149" spans="2:16">
      <c r="B149" s="248" t="s">
        <v>461</v>
      </c>
      <c r="C149" s="223">
        <f t="shared" si="21"/>
        <v>53077934.363333672</v>
      </c>
      <c r="D149" s="223" t="e">
        <f t="shared" si="21"/>
        <v>#REF!</v>
      </c>
      <c r="E149" s="223">
        <f t="shared" si="21"/>
        <v>-42016364.298146904</v>
      </c>
      <c r="F149" s="223" t="e">
        <f t="shared" si="21"/>
        <v>#REF!</v>
      </c>
      <c r="G149" s="248" t="s">
        <v>461</v>
      </c>
      <c r="H149" s="248"/>
      <c r="I149" s="223">
        <f t="shared" si="22"/>
        <v>3574497.8999999994</v>
      </c>
      <c r="J149" s="223">
        <f t="shared" si="22"/>
        <v>12308499.898708051</v>
      </c>
      <c r="K149" s="223" t="e">
        <f t="shared" si="22"/>
        <v>#REF!</v>
      </c>
      <c r="L149" s="223">
        <f t="shared" si="22"/>
        <v>0</v>
      </c>
      <c r="M149" s="223">
        <f t="shared" si="22"/>
        <v>53077934.363333672</v>
      </c>
      <c r="N149" s="223">
        <f t="shared" si="22"/>
        <v>12136688.467788806</v>
      </c>
      <c r="O149" s="223" t="e">
        <f t="shared" si="22"/>
        <v>#REF!</v>
      </c>
      <c r="P149" s="223">
        <f t="shared" si="22"/>
        <v>12136688.467788806</v>
      </c>
    </row>
    <row r="150" spans="2:16">
      <c r="B150" s="248" t="s">
        <v>466</v>
      </c>
      <c r="C150" s="223">
        <f t="shared" si="21"/>
        <v>0</v>
      </c>
      <c r="D150" s="223" t="e">
        <f t="shared" si="21"/>
        <v>#REF!</v>
      </c>
      <c r="E150" s="223">
        <f t="shared" si="21"/>
        <v>0</v>
      </c>
      <c r="F150" s="223" t="e">
        <f t="shared" si="21"/>
        <v>#REF!</v>
      </c>
      <c r="G150" s="248" t="s">
        <v>466</v>
      </c>
      <c r="H150" s="248"/>
      <c r="I150" s="223">
        <f t="shared" si="22"/>
        <v>0</v>
      </c>
      <c r="J150" s="223">
        <f t="shared" si="22"/>
        <v>0</v>
      </c>
      <c r="K150" s="223" t="e">
        <f t="shared" si="22"/>
        <v>#REF!</v>
      </c>
      <c r="L150" s="223">
        <f t="shared" si="22"/>
        <v>0</v>
      </c>
      <c r="M150" s="223">
        <f t="shared" si="22"/>
        <v>0</v>
      </c>
      <c r="N150" s="223">
        <f t="shared" si="22"/>
        <v>0</v>
      </c>
      <c r="O150" s="223" t="e">
        <f t="shared" si="22"/>
        <v>#REF!</v>
      </c>
      <c r="P150" s="223">
        <f t="shared" si="22"/>
        <v>0</v>
      </c>
    </row>
    <row r="151" spans="2:16" ht="13.5" thickBot="1">
      <c r="B151" s="239"/>
      <c r="C151" s="238">
        <f>SUM(C145:C150)</f>
        <v>297613854.3766638</v>
      </c>
      <c r="D151" s="238" t="e">
        <f>SUM(D145:D150)</f>
        <v>#REF!</v>
      </c>
      <c r="E151" s="238">
        <f>SUM(E145:E150)</f>
        <v>-134589033.17184836</v>
      </c>
      <c r="F151" s="238" t="e">
        <f>SUM(F145:F150)</f>
        <v>#REF!</v>
      </c>
      <c r="I151" s="238">
        <f>SUM(I145:I150)</f>
        <v>10705046.100000001</v>
      </c>
      <c r="J151" s="238">
        <f t="shared" ref="J151:P151" si="23">SUM(J145:J150)</f>
        <v>69814506.131888106</v>
      </c>
      <c r="K151" s="238" t="e">
        <f t="shared" si="23"/>
        <v>#REF!</v>
      </c>
      <c r="L151" s="238">
        <f t="shared" si="23"/>
        <v>0</v>
      </c>
      <c r="M151" s="238">
        <f t="shared" si="23"/>
        <v>297613854.3766638</v>
      </c>
      <c r="N151" s="238">
        <f t="shared" si="23"/>
        <v>57668585.393926203</v>
      </c>
      <c r="O151" s="238" t="e">
        <f t="shared" si="23"/>
        <v>#REF!</v>
      </c>
      <c r="P151" s="238">
        <f t="shared" si="23"/>
        <v>57668585.393926203</v>
      </c>
    </row>
    <row r="152" spans="2:16">
      <c r="C152" s="223">
        <f>+C151-C138</f>
        <v>0</v>
      </c>
      <c r="D152" s="223" t="e">
        <f>+D151-D138</f>
        <v>#REF!</v>
      </c>
      <c r="E152" s="223">
        <f>+E151-E138</f>
        <v>0</v>
      </c>
      <c r="F152" s="223" t="e">
        <f>+F151-F138</f>
        <v>#REF!</v>
      </c>
      <c r="I152" s="223">
        <f t="shared" ref="I152:P152" si="24">+I151-I138</f>
        <v>0</v>
      </c>
      <c r="J152" s="223">
        <f t="shared" si="24"/>
        <v>0</v>
      </c>
      <c r="K152" s="223" t="e">
        <f t="shared" si="24"/>
        <v>#REF!</v>
      </c>
      <c r="L152" s="223">
        <f t="shared" si="24"/>
        <v>0</v>
      </c>
      <c r="M152" s="223">
        <f t="shared" si="24"/>
        <v>0</v>
      </c>
      <c r="N152" s="223">
        <f t="shared" si="24"/>
        <v>0</v>
      </c>
      <c r="O152" s="223" t="e">
        <f t="shared" si="24"/>
        <v>#REF!</v>
      </c>
      <c r="P152" s="223">
        <f t="shared" si="24"/>
        <v>0</v>
      </c>
    </row>
  </sheetData>
  <autoFilter ref="A2:X139" xr:uid="{00000000-0009-0000-0000-00000B000000}"/>
  <sortState xmlns:xlrd2="http://schemas.microsoft.com/office/spreadsheetml/2017/richdata2" ref="A32:G46">
    <sortCondition ref="A32:A46"/>
  </sortState>
  <pageMargins left="0.51181102362204722" right="0.31496062992125984" top="0.55118110236220474" bottom="0.74803149606299213" header="0.31496062992125984" footer="0.31496062992125984"/>
  <pageSetup paperSize="8" scale="36" orientation="portrait" r:id="rId1"/>
  <headerFooter>
    <oddFooter>&amp;L&amp;F&amp;C&amp;A&amp;R&amp;D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S158"/>
  <sheetViews>
    <sheetView workbookViewId="0">
      <pane xSplit="2" ySplit="6" topLeftCell="C7" activePane="bottomRight" state="frozen"/>
      <selection pane="topRight" activeCell="C1" sqref="C1"/>
      <selection pane="bottomLeft" activeCell="A7" sqref="A7"/>
      <selection pane="bottomRight" activeCell="E7" sqref="E7"/>
    </sheetView>
  </sheetViews>
  <sheetFormatPr defaultRowHeight="12.5"/>
  <cols>
    <col min="1" max="2" width="15.54296875" customWidth="1"/>
    <col min="3" max="4" width="13.54296875" customWidth="1"/>
    <col min="5" max="5" width="17.453125" customWidth="1"/>
    <col min="6" max="14" width="13.54296875" customWidth="1"/>
    <col min="15" max="19" width="14.453125" customWidth="1"/>
  </cols>
  <sheetData>
    <row r="2" spans="1:19" ht="13">
      <c r="A2" s="235"/>
    </row>
    <row r="5" spans="1:19" ht="42">
      <c r="A5" s="230" t="s">
        <v>2993</v>
      </c>
      <c r="B5" s="230" t="s">
        <v>3025</v>
      </c>
      <c r="C5" s="204" t="s">
        <v>2994</v>
      </c>
      <c r="D5" s="204" t="s">
        <v>2995</v>
      </c>
      <c r="E5" s="230" t="s">
        <v>3030</v>
      </c>
      <c r="F5" s="230" t="s">
        <v>3031</v>
      </c>
      <c r="G5" s="230" t="s">
        <v>3032</v>
      </c>
      <c r="H5" s="230" t="s">
        <v>3033</v>
      </c>
      <c r="I5" s="204" t="s">
        <v>3034</v>
      </c>
      <c r="J5" s="204" t="s">
        <v>2996</v>
      </c>
      <c r="K5" s="204" t="s">
        <v>2997</v>
      </c>
      <c r="L5" s="204" t="s">
        <v>2998</v>
      </c>
      <c r="M5" s="204" t="s">
        <v>2999</v>
      </c>
      <c r="N5" s="204" t="s">
        <v>3000</v>
      </c>
      <c r="O5" s="230" t="s">
        <v>3001</v>
      </c>
      <c r="P5" s="204" t="s">
        <v>3002</v>
      </c>
      <c r="Q5" s="230" t="s">
        <v>3003</v>
      </c>
      <c r="R5" s="204" t="s">
        <v>3004</v>
      </c>
      <c r="S5" s="230" t="s">
        <v>3005</v>
      </c>
    </row>
    <row r="6" spans="1:19" ht="72.5">
      <c r="C6" s="231" t="s">
        <v>3006</v>
      </c>
      <c r="D6" s="231" t="s">
        <v>3007</v>
      </c>
      <c r="E6" s="242" t="s">
        <v>3035</v>
      </c>
      <c r="F6" s="242" t="s">
        <v>3036</v>
      </c>
      <c r="G6" s="242" t="s">
        <v>3036</v>
      </c>
      <c r="H6" s="242" t="s">
        <v>3036</v>
      </c>
      <c r="J6" s="231" t="s">
        <v>3008</v>
      </c>
      <c r="K6" s="231" t="s">
        <v>3009</v>
      </c>
      <c r="L6" s="231" t="s">
        <v>3008</v>
      </c>
      <c r="M6" s="231" t="s">
        <v>3009</v>
      </c>
      <c r="P6" s="232">
        <v>52072175.521940142</v>
      </c>
      <c r="Q6" s="233">
        <v>-195109430</v>
      </c>
      <c r="R6" s="233">
        <v>31640696.477174871</v>
      </c>
      <c r="S6" s="207"/>
    </row>
    <row r="7" spans="1:19">
      <c r="A7" s="155" t="s">
        <v>3010</v>
      </c>
      <c r="B7" s="155">
        <f>IF(ISERROR(VLOOKUP($A7,Funding_Area_Names!$A$2:$K$249,7,FALSE))=TRUE,0,VLOOKUP($A7,Funding_Area_Names!$A$2:$K$249,7,FALSE))</f>
        <v>0</v>
      </c>
      <c r="C7" s="207">
        <v>0</v>
      </c>
      <c r="D7" s="234">
        <v>0</v>
      </c>
      <c r="E7" s="234">
        <v>0</v>
      </c>
      <c r="F7" s="234">
        <v>0</v>
      </c>
      <c r="G7" s="234">
        <v>0</v>
      </c>
      <c r="H7" s="234">
        <v>0</v>
      </c>
      <c r="I7" s="207">
        <v>0</v>
      </c>
      <c r="J7" s="207">
        <v>0</v>
      </c>
      <c r="K7" s="207">
        <v>0</v>
      </c>
      <c r="L7" s="207">
        <v>0</v>
      </c>
      <c r="M7" s="207">
        <v>0</v>
      </c>
      <c r="N7" s="207">
        <v>0</v>
      </c>
      <c r="O7" s="234">
        <v>0</v>
      </c>
      <c r="P7" s="207"/>
      <c r="Q7" s="234">
        <f>D7*$Q$153/$D$151</f>
        <v>0</v>
      </c>
      <c r="R7" s="207">
        <v>0</v>
      </c>
      <c r="S7" s="234">
        <v>0</v>
      </c>
    </row>
    <row r="8" spans="1:19">
      <c r="A8" s="155" t="s">
        <v>2268</v>
      </c>
      <c r="B8" s="155" t="str">
        <f>IF(ISERROR(VLOOKUP($A8,Funding_Area_Names!$A$2:$K$249,7,FALSE))=TRUE,0,VLOOKUP($A8,Funding_Area_Names!$A$2:$K$249,7,FALSE))</f>
        <v>CI A1</v>
      </c>
      <c r="C8" s="207">
        <v>-9811720.4784236755</v>
      </c>
      <c r="D8" s="234">
        <v>-8348370.7801289568</v>
      </c>
      <c r="E8" s="234">
        <v>691636.51569003367</v>
      </c>
      <c r="F8" s="234">
        <v>957219</v>
      </c>
      <c r="G8" s="234">
        <v>1017325</v>
      </c>
      <c r="H8" s="234">
        <v>1091323</v>
      </c>
      <c r="I8" s="207">
        <v>3065867</v>
      </c>
      <c r="J8" s="207">
        <v>3184981</v>
      </c>
      <c r="K8" s="207">
        <v>1091323</v>
      </c>
      <c r="L8" s="207">
        <v>5512651</v>
      </c>
      <c r="M8" s="207">
        <v>1974544</v>
      </c>
      <c r="N8" s="207">
        <v>8697632</v>
      </c>
      <c r="O8" s="234">
        <v>3065867</v>
      </c>
      <c r="P8" s="207"/>
      <c r="Q8" s="234">
        <f t="shared" ref="Q8:Q71" si="0">D8*$Q$153/$D$151</f>
        <v>-7616289.9910217272</v>
      </c>
      <c r="R8" s="207">
        <v>3960377.105053599</v>
      </c>
      <c r="S8" s="234">
        <v>9473028.1050535999</v>
      </c>
    </row>
    <row r="9" spans="1:19">
      <c r="A9" s="155" t="s">
        <v>2450</v>
      </c>
      <c r="B9" s="155" t="str">
        <f>IF(ISERROR(VLOOKUP($A9,Funding_Area_Names!$A$2:$K$249,7,FALSE))=TRUE,0,VLOOKUP($A9,Funding_Area_Names!$A$2:$K$249,7,FALSE))</f>
        <v>CI A5</v>
      </c>
      <c r="C9" s="207">
        <v>-1.0043044829487343E-2</v>
      </c>
      <c r="D9" s="234">
        <v>-8.5451947171131925E-3</v>
      </c>
      <c r="E9" s="234">
        <v>0</v>
      </c>
      <c r="F9" s="234">
        <v>0</v>
      </c>
      <c r="G9" s="234">
        <v>0</v>
      </c>
      <c r="H9" s="234">
        <v>0</v>
      </c>
      <c r="I9" s="207">
        <v>0</v>
      </c>
      <c r="J9" s="207">
        <v>0</v>
      </c>
      <c r="K9" s="207">
        <v>0</v>
      </c>
      <c r="L9" s="207">
        <v>0</v>
      </c>
      <c r="M9" s="207">
        <v>0</v>
      </c>
      <c r="N9" s="207">
        <v>0</v>
      </c>
      <c r="O9" s="234">
        <v>0</v>
      </c>
      <c r="P9" s="207"/>
      <c r="Q9" s="234">
        <f t="shared" si="0"/>
        <v>-7.7958541503921584E-3</v>
      </c>
      <c r="R9" s="207">
        <v>0</v>
      </c>
      <c r="S9" s="234">
        <v>0</v>
      </c>
    </row>
    <row r="10" spans="1:19">
      <c r="A10" s="155" t="s">
        <v>2549</v>
      </c>
      <c r="B10" s="155" t="str">
        <f>IF(ISERROR(VLOOKUP($A10,Funding_Area_Names!$A$2:$K$249,7,FALSE))=TRUE,0,VLOOKUP($A10,Funding_Area_Names!$A$2:$K$249,7,FALSE))</f>
        <v>CI A14</v>
      </c>
      <c r="C10" s="207">
        <v>-562365.90564671846</v>
      </c>
      <c r="D10" s="234">
        <v>-478492.95184936636</v>
      </c>
      <c r="E10" s="234">
        <v>42510.653489410332</v>
      </c>
      <c r="F10" s="234">
        <v>0</v>
      </c>
      <c r="G10" s="234">
        <v>0</v>
      </c>
      <c r="H10" s="234">
        <v>0</v>
      </c>
      <c r="I10" s="207">
        <v>0</v>
      </c>
      <c r="J10" s="207">
        <v>233559</v>
      </c>
      <c r="K10" s="207">
        <v>0</v>
      </c>
      <c r="L10" s="207">
        <v>481325</v>
      </c>
      <c r="M10" s="207">
        <v>0</v>
      </c>
      <c r="N10" s="207">
        <v>714884</v>
      </c>
      <c r="O10" s="234">
        <v>0</v>
      </c>
      <c r="P10" s="207"/>
      <c r="Q10" s="234">
        <f t="shared" si="0"/>
        <v>-436533.20820622158</v>
      </c>
      <c r="R10" s="207">
        <v>290419.85376968136</v>
      </c>
      <c r="S10" s="234">
        <v>771744.85376968142</v>
      </c>
    </row>
    <row r="11" spans="1:19">
      <c r="A11" s="155" t="s">
        <v>2447</v>
      </c>
      <c r="B11" s="155" t="str">
        <f>IF(ISERROR(VLOOKUP($A11,Funding_Area_Names!$A$2:$K$249,7,FALSE))=TRUE,0,VLOOKUP($A11,Funding_Area_Names!$A$2:$K$249,7,FALSE))</f>
        <v>CI A2</v>
      </c>
      <c r="C11" s="207">
        <v>0</v>
      </c>
      <c r="D11" s="234">
        <v>0</v>
      </c>
      <c r="E11" s="234">
        <v>0</v>
      </c>
      <c r="F11" s="234">
        <v>0</v>
      </c>
      <c r="G11" s="234">
        <v>0</v>
      </c>
      <c r="H11" s="234">
        <v>0</v>
      </c>
      <c r="I11" s="207">
        <v>0</v>
      </c>
      <c r="J11" s="207">
        <v>-13136</v>
      </c>
      <c r="K11" s="207">
        <v>0</v>
      </c>
      <c r="L11" s="207">
        <v>-17008</v>
      </c>
      <c r="M11" s="207">
        <v>0</v>
      </c>
      <c r="N11" s="207">
        <v>-30144</v>
      </c>
      <c r="O11" s="234">
        <v>0</v>
      </c>
      <c r="P11" s="207"/>
      <c r="Q11" s="234">
        <f t="shared" si="0"/>
        <v>0</v>
      </c>
      <c r="R11" s="207">
        <v>-16334.010674469982</v>
      </c>
      <c r="S11" s="234">
        <v>-33342.010674469981</v>
      </c>
    </row>
    <row r="12" spans="1:19">
      <c r="A12" s="155" t="s">
        <v>2451</v>
      </c>
      <c r="B12" s="155" t="str">
        <f>IF(ISERROR(VLOOKUP($A12,Funding_Area_Names!$A$2:$K$249,7,FALSE))=TRUE,0,VLOOKUP($A12,Funding_Area_Names!$A$2:$K$249,7,FALSE))</f>
        <v>CI A6</v>
      </c>
      <c r="C12" s="207">
        <v>-7.2745108612954022E-17</v>
      </c>
      <c r="D12" s="234">
        <v>-6.1895682870009802E-17</v>
      </c>
      <c r="E12" s="234">
        <v>0</v>
      </c>
      <c r="F12" s="234">
        <v>0</v>
      </c>
      <c r="G12" s="234">
        <v>0</v>
      </c>
      <c r="H12" s="234">
        <v>0</v>
      </c>
      <c r="I12" s="207">
        <v>0</v>
      </c>
      <c r="J12" s="207">
        <v>0</v>
      </c>
      <c r="K12" s="207">
        <v>0</v>
      </c>
      <c r="L12" s="207">
        <v>0</v>
      </c>
      <c r="M12" s="207">
        <v>0</v>
      </c>
      <c r="N12" s="207">
        <v>0</v>
      </c>
      <c r="O12" s="234">
        <v>0</v>
      </c>
      <c r="P12" s="207"/>
      <c r="Q12" s="234">
        <f t="shared" si="0"/>
        <v>-5.6467960317764987E-17</v>
      </c>
      <c r="R12" s="207">
        <v>0</v>
      </c>
      <c r="S12" s="234">
        <v>0</v>
      </c>
    </row>
    <row r="13" spans="1:19">
      <c r="A13" s="155" t="s">
        <v>2452</v>
      </c>
      <c r="B13" s="155" t="str">
        <f>IF(ISERROR(VLOOKUP($A13,Funding_Area_Names!$A$2:$K$249,7,FALSE))=TRUE,0,VLOOKUP($A13,Funding_Area_Names!$A$2:$K$249,7,FALSE))</f>
        <v>CI A7</v>
      </c>
      <c r="C13" s="207">
        <v>-0.53965628487812245</v>
      </c>
      <c r="D13" s="234">
        <v>-0.45917031267825792</v>
      </c>
      <c r="E13" s="234">
        <v>0</v>
      </c>
      <c r="F13" s="234">
        <v>0</v>
      </c>
      <c r="G13" s="234">
        <v>0</v>
      </c>
      <c r="H13" s="234">
        <v>0</v>
      </c>
      <c r="I13" s="207">
        <v>0</v>
      </c>
      <c r="J13" s="207">
        <v>0</v>
      </c>
      <c r="K13" s="207">
        <v>0</v>
      </c>
      <c r="L13" s="207">
        <v>0</v>
      </c>
      <c r="M13" s="207">
        <v>0</v>
      </c>
      <c r="N13" s="207">
        <v>0</v>
      </c>
      <c r="O13" s="234">
        <v>0</v>
      </c>
      <c r="P13" s="207"/>
      <c r="Q13" s="234">
        <f t="shared" si="0"/>
        <v>-0.41890499939818338</v>
      </c>
      <c r="R13" s="207">
        <v>0</v>
      </c>
      <c r="S13" s="234">
        <v>0</v>
      </c>
    </row>
    <row r="14" spans="1:19">
      <c r="A14" s="155" t="s">
        <v>2407</v>
      </c>
      <c r="B14" s="155" t="str">
        <f>IF(ISERROR(VLOOKUP($A14,Funding_Area_Names!$A$2:$K$249,7,FALSE))=TRUE,0,VLOOKUP($A14,Funding_Area_Names!$A$2:$K$249,7,FALSE))</f>
        <v>CI A8</v>
      </c>
      <c r="C14" s="207">
        <v>-1665810.0328165295</v>
      </c>
      <c r="D14" s="234">
        <v>-1417366.0810856489</v>
      </c>
      <c r="E14" s="234">
        <v>112275.64841435892</v>
      </c>
      <c r="F14" s="234">
        <v>28993</v>
      </c>
      <c r="G14" s="234">
        <v>30814</v>
      </c>
      <c r="H14" s="234">
        <v>33055</v>
      </c>
      <c r="I14" s="207">
        <v>92862</v>
      </c>
      <c r="J14" s="207">
        <v>567172</v>
      </c>
      <c r="K14" s="207">
        <v>33055</v>
      </c>
      <c r="L14" s="207">
        <v>569896</v>
      </c>
      <c r="M14" s="207">
        <v>59807</v>
      </c>
      <c r="N14" s="207">
        <v>1137068</v>
      </c>
      <c r="O14" s="234">
        <v>92862</v>
      </c>
      <c r="P14" s="207"/>
      <c r="Q14" s="234">
        <f t="shared" si="0"/>
        <v>-1293075.1857213948</v>
      </c>
      <c r="R14" s="207">
        <v>705252.24590898969</v>
      </c>
      <c r="S14" s="234">
        <v>1275148.2459089896</v>
      </c>
    </row>
    <row r="15" spans="1:19">
      <c r="A15" s="155" t="s">
        <v>2453</v>
      </c>
      <c r="B15" s="155" t="str">
        <f>IF(ISERROR(VLOOKUP($A15,Funding_Area_Names!$A$2:$K$249,7,FALSE))=TRUE,0,VLOOKUP($A15,Funding_Area_Names!$A$2:$K$249,7,FALSE))</f>
        <v>CI A9</v>
      </c>
      <c r="C15" s="207">
        <v>0</v>
      </c>
      <c r="D15" s="234">
        <v>0</v>
      </c>
      <c r="E15" s="234">
        <v>0</v>
      </c>
      <c r="F15" s="234">
        <v>0</v>
      </c>
      <c r="G15" s="234">
        <v>0</v>
      </c>
      <c r="H15" s="234">
        <v>0</v>
      </c>
      <c r="I15" s="207">
        <v>0</v>
      </c>
      <c r="J15" s="207">
        <v>0</v>
      </c>
      <c r="K15" s="207">
        <v>0</v>
      </c>
      <c r="L15" s="207">
        <v>0</v>
      </c>
      <c r="M15" s="207">
        <v>0</v>
      </c>
      <c r="N15" s="207">
        <v>0</v>
      </c>
      <c r="O15" s="234">
        <v>0</v>
      </c>
      <c r="P15" s="207"/>
      <c r="Q15" s="234">
        <f t="shared" si="0"/>
        <v>0</v>
      </c>
      <c r="R15" s="207">
        <v>0</v>
      </c>
      <c r="S15" s="234">
        <v>0</v>
      </c>
    </row>
    <row r="16" spans="1:19">
      <c r="A16" s="155" t="s">
        <v>2595</v>
      </c>
      <c r="B16" s="155" t="str">
        <f>IF(ISERROR(VLOOKUP($A16,Funding_Area_Names!$A$2:$K$249,7,FALSE))=TRUE,0,VLOOKUP($A16,Funding_Area_Names!$A$2:$K$249,7,FALSE))</f>
        <v>CI A10</v>
      </c>
      <c r="C16" s="207">
        <v>-153311.6029273342</v>
      </c>
      <c r="D16" s="234">
        <v>-130446.24629776606</v>
      </c>
      <c r="E16" s="234">
        <v>11455.74148557055</v>
      </c>
      <c r="F16" s="234">
        <v>0</v>
      </c>
      <c r="G16" s="234">
        <v>0</v>
      </c>
      <c r="H16" s="234">
        <v>0</v>
      </c>
      <c r="I16" s="207">
        <v>0</v>
      </c>
      <c r="J16" s="207">
        <v>16031</v>
      </c>
      <c r="K16" s="207">
        <v>0</v>
      </c>
      <c r="L16" s="207">
        <v>-1427</v>
      </c>
      <c r="M16" s="207">
        <v>0</v>
      </c>
      <c r="N16" s="207">
        <v>14604</v>
      </c>
      <c r="O16" s="234">
        <v>0</v>
      </c>
      <c r="P16" s="207"/>
      <c r="Q16" s="234">
        <f t="shared" si="0"/>
        <v>-119007.22502752613</v>
      </c>
      <c r="R16" s="207">
        <v>19933.809768759766</v>
      </c>
      <c r="S16" s="234">
        <v>18506.809768759766</v>
      </c>
    </row>
    <row r="17" spans="1:19">
      <c r="A17" s="155" t="s">
        <v>2553</v>
      </c>
      <c r="B17" s="155" t="str">
        <f>IF(ISERROR(VLOOKUP($A17,Funding_Area_Names!$A$2:$K$249,7,FALSE))=TRUE,0,VLOOKUP($A17,Funding_Area_Names!$A$2:$K$249,7,FALSE))</f>
        <v>CI A11</v>
      </c>
      <c r="C17" s="207">
        <v>-206133.42339574452</v>
      </c>
      <c r="D17" s="234">
        <v>-175390.06053721739</v>
      </c>
      <c r="E17" s="234">
        <v>13305.889919108009</v>
      </c>
      <c r="F17" s="234">
        <v>0</v>
      </c>
      <c r="G17" s="234">
        <v>0</v>
      </c>
      <c r="H17" s="234">
        <v>0</v>
      </c>
      <c r="I17" s="207">
        <v>0</v>
      </c>
      <c r="J17" s="207">
        <v>71240</v>
      </c>
      <c r="K17" s="207">
        <v>0</v>
      </c>
      <c r="L17" s="207">
        <v>150894</v>
      </c>
      <c r="M17" s="207">
        <v>0</v>
      </c>
      <c r="N17" s="207">
        <v>222134</v>
      </c>
      <c r="O17" s="234">
        <v>0</v>
      </c>
      <c r="P17" s="207"/>
      <c r="Q17" s="234">
        <f t="shared" si="0"/>
        <v>-160009.85075721197</v>
      </c>
      <c r="R17" s="207">
        <v>88583.657159656024</v>
      </c>
      <c r="S17" s="234">
        <v>239477.65715965602</v>
      </c>
    </row>
    <row r="18" spans="1:19">
      <c r="A18" s="155" t="s">
        <v>2550</v>
      </c>
      <c r="B18" s="155" t="str">
        <f>IF(ISERROR(VLOOKUP($A18,Funding_Area_Names!$A$2:$K$249,7,FALSE))=TRUE,0,VLOOKUP($A18,Funding_Area_Names!$A$2:$K$249,7,FALSE))</f>
        <v>CI A12</v>
      </c>
      <c r="C18" s="207">
        <v>-132.33358933891469</v>
      </c>
      <c r="D18" s="234">
        <v>-112.59695716933729</v>
      </c>
      <c r="E18" s="234">
        <v>666.8192815448358</v>
      </c>
      <c r="F18" s="234">
        <v>0</v>
      </c>
      <c r="G18" s="234">
        <v>0</v>
      </c>
      <c r="H18" s="234">
        <v>0</v>
      </c>
      <c r="I18" s="207">
        <v>0</v>
      </c>
      <c r="J18" s="207">
        <v>4236</v>
      </c>
      <c r="K18" s="207">
        <v>0</v>
      </c>
      <c r="L18" s="207">
        <v>7728</v>
      </c>
      <c r="M18" s="207">
        <v>0</v>
      </c>
      <c r="N18" s="207">
        <v>11964</v>
      </c>
      <c r="O18" s="234">
        <v>0</v>
      </c>
      <c r="P18" s="207"/>
      <c r="Q18" s="234">
        <f t="shared" si="0"/>
        <v>-102.72316605169743</v>
      </c>
      <c r="R18" s="207">
        <v>5267.2707991058805</v>
      </c>
      <c r="S18" s="234">
        <v>12995.270799105881</v>
      </c>
    </row>
    <row r="19" spans="1:19">
      <c r="A19" s="155" t="s">
        <v>2596</v>
      </c>
      <c r="B19" s="155" t="str">
        <f>IF(ISERROR(VLOOKUP($A19,Funding_Area_Names!$A$2:$K$249,7,FALSE))=TRUE,0,VLOOKUP($A19,Funding_Area_Names!$A$2:$K$249,7,FALSE))</f>
        <v>CI A13</v>
      </c>
      <c r="C19" s="207">
        <v>2.862343345314821E-2</v>
      </c>
      <c r="D19" s="234">
        <v>2.4354447927120191E-2</v>
      </c>
      <c r="E19" s="234">
        <v>0</v>
      </c>
      <c r="F19" s="234">
        <v>0</v>
      </c>
      <c r="G19" s="234">
        <v>0</v>
      </c>
      <c r="H19" s="234">
        <v>0</v>
      </c>
      <c r="I19" s="207">
        <v>0</v>
      </c>
      <c r="J19" s="207">
        <v>0</v>
      </c>
      <c r="K19" s="207">
        <v>0</v>
      </c>
      <c r="L19" s="207">
        <v>0</v>
      </c>
      <c r="M19" s="207">
        <v>0</v>
      </c>
      <c r="N19" s="207">
        <v>0</v>
      </c>
      <c r="O19" s="234">
        <v>0</v>
      </c>
      <c r="P19" s="207"/>
      <c r="Q19" s="234">
        <f t="shared" si="0"/>
        <v>2.2218770927819292E-2</v>
      </c>
      <c r="R19" s="207">
        <v>0</v>
      </c>
      <c r="S19" s="234">
        <v>0</v>
      </c>
    </row>
    <row r="20" spans="1:19">
      <c r="A20" s="155" t="s">
        <v>2460</v>
      </c>
      <c r="B20" s="155" t="str">
        <f>IF(ISERROR(VLOOKUP($A20,Funding_Area_Names!$A$2:$K$249,7,FALSE))=TRUE,0,VLOOKUP($A20,Funding_Area_Names!$A$2:$K$249,7,FALSE))</f>
        <v>CI A21</v>
      </c>
      <c r="C20" s="207">
        <v>-110167.67415096193</v>
      </c>
      <c r="D20" s="234">
        <v>-93736.933682442061</v>
      </c>
      <c r="E20" s="234">
        <v>5337.1398302428715</v>
      </c>
      <c r="F20" s="234">
        <v>5992</v>
      </c>
      <c r="G20" s="234">
        <v>6368</v>
      </c>
      <c r="H20" s="234">
        <v>6832</v>
      </c>
      <c r="I20" s="207">
        <v>19192</v>
      </c>
      <c r="J20" s="207">
        <v>26068</v>
      </c>
      <c r="K20" s="207">
        <v>6832</v>
      </c>
      <c r="L20" s="207">
        <v>59805</v>
      </c>
      <c r="M20" s="207">
        <v>12360</v>
      </c>
      <c r="N20" s="207">
        <v>85873</v>
      </c>
      <c r="O20" s="234">
        <v>19192</v>
      </c>
      <c r="P20" s="207"/>
      <c r="Q20" s="234">
        <f t="shared" si="0"/>
        <v>-85517.005484945999</v>
      </c>
      <c r="R20" s="207">
        <v>32414.356749549595</v>
      </c>
      <c r="S20" s="234">
        <v>92219.356749549595</v>
      </c>
    </row>
    <row r="21" spans="1:19">
      <c r="A21" s="155" t="s">
        <v>2449</v>
      </c>
      <c r="B21" s="155" t="str">
        <f>IF(ISERROR(VLOOKUP($A21,Funding_Area_Names!$A$2:$K$249,7,FALSE))=TRUE,0,VLOOKUP($A21,Funding_Area_Names!$A$2:$K$249,7,FALSE))</f>
        <v>CI A4</v>
      </c>
      <c r="C21" s="207">
        <v>0</v>
      </c>
      <c r="D21" s="234">
        <v>0</v>
      </c>
      <c r="E21" s="234">
        <v>0</v>
      </c>
      <c r="F21" s="234">
        <v>0</v>
      </c>
      <c r="G21" s="234">
        <v>0</v>
      </c>
      <c r="H21" s="234">
        <v>0</v>
      </c>
      <c r="I21" s="207">
        <v>0</v>
      </c>
      <c r="J21" s="207">
        <v>-3118</v>
      </c>
      <c r="K21" s="207">
        <v>0</v>
      </c>
      <c r="L21" s="207">
        <v>-4036</v>
      </c>
      <c r="M21" s="207">
        <v>0</v>
      </c>
      <c r="N21" s="207">
        <v>-7154</v>
      </c>
      <c r="O21" s="234">
        <v>0</v>
      </c>
      <c r="P21" s="207"/>
      <c r="Q21" s="234">
        <f t="shared" si="0"/>
        <v>0</v>
      </c>
      <c r="R21" s="207">
        <v>-3877.0893181331767</v>
      </c>
      <c r="S21" s="234">
        <v>-7913.0893181331767</v>
      </c>
    </row>
    <row r="22" spans="1:19">
      <c r="A22" s="155" t="s">
        <v>2461</v>
      </c>
      <c r="B22" s="155" t="str">
        <f>IF(ISERROR(VLOOKUP($A22,Funding_Area_Names!$A$2:$K$249,7,FALSE))=TRUE,0,VLOOKUP($A22,Funding_Area_Names!$A$2:$K$249,7,FALSE))</f>
        <v>CI A22</v>
      </c>
      <c r="C22" s="207">
        <v>-67767.973301736245</v>
      </c>
      <c r="D22" s="234">
        <v>-57660.852587972047</v>
      </c>
      <c r="E22" s="234">
        <v>4959.6529944104313</v>
      </c>
      <c r="F22" s="234">
        <v>3402</v>
      </c>
      <c r="G22" s="234">
        <v>3616</v>
      </c>
      <c r="H22" s="234">
        <v>3879</v>
      </c>
      <c r="I22" s="207">
        <v>10897</v>
      </c>
      <c r="J22" s="207">
        <v>21335</v>
      </c>
      <c r="K22" s="207">
        <v>3879</v>
      </c>
      <c r="L22" s="207">
        <v>48217</v>
      </c>
      <c r="M22" s="207">
        <v>7018</v>
      </c>
      <c r="N22" s="207">
        <v>69552</v>
      </c>
      <c r="O22" s="234">
        <v>10897</v>
      </c>
      <c r="P22" s="207"/>
      <c r="Q22" s="234">
        <f t="shared" si="0"/>
        <v>-52604.488469158183</v>
      </c>
      <c r="R22" s="207">
        <v>26529.089352909337</v>
      </c>
      <c r="S22" s="234">
        <v>74746.08935290933</v>
      </c>
    </row>
    <row r="23" spans="1:19">
      <c r="A23" s="155" t="s">
        <v>2462</v>
      </c>
      <c r="B23" s="155" t="str">
        <f>IF(ISERROR(VLOOKUP($A23,Funding_Area_Names!$A$2:$K$249,7,FALSE))=TRUE,0,VLOOKUP($A23,Funding_Area_Names!$A$2:$K$249,7,FALSE))</f>
        <v>CI A23</v>
      </c>
      <c r="C23" s="207">
        <v>0</v>
      </c>
      <c r="D23" s="234">
        <v>0</v>
      </c>
      <c r="E23" s="234">
        <v>0</v>
      </c>
      <c r="F23" s="234">
        <v>0</v>
      </c>
      <c r="G23" s="234">
        <v>0</v>
      </c>
      <c r="H23" s="234">
        <v>0</v>
      </c>
      <c r="I23" s="207">
        <v>0</v>
      </c>
      <c r="J23" s="207">
        <v>0</v>
      </c>
      <c r="K23" s="207">
        <v>0</v>
      </c>
      <c r="L23" s="207">
        <v>0</v>
      </c>
      <c r="M23" s="207">
        <v>0</v>
      </c>
      <c r="N23" s="207">
        <v>0</v>
      </c>
      <c r="O23" s="234">
        <v>0</v>
      </c>
      <c r="P23" s="207"/>
      <c r="Q23" s="234">
        <f t="shared" si="0"/>
        <v>0</v>
      </c>
      <c r="R23" s="207">
        <v>0</v>
      </c>
      <c r="S23" s="234">
        <v>0</v>
      </c>
    </row>
    <row r="24" spans="1:19">
      <c r="A24" s="155" t="s">
        <v>2551</v>
      </c>
      <c r="B24" s="155" t="str">
        <f>IF(ISERROR(VLOOKUP($A24,Funding_Area_Names!$A$2:$K$249,7,FALSE))=TRUE,0,VLOOKUP($A24,Funding_Area_Names!$A$2:$K$249,7,FALSE))</f>
        <v>CI A24</v>
      </c>
      <c r="C24" s="207">
        <v>-32237.398382839921</v>
      </c>
      <c r="D24" s="234">
        <v>-27429.415185492006</v>
      </c>
      <c r="E24" s="234">
        <v>3324.8958894322782</v>
      </c>
      <c r="F24" s="234">
        <v>0</v>
      </c>
      <c r="G24" s="234">
        <v>0</v>
      </c>
      <c r="H24" s="234">
        <v>0</v>
      </c>
      <c r="I24" s="207">
        <v>0</v>
      </c>
      <c r="J24" s="207">
        <v>16385</v>
      </c>
      <c r="K24" s="207">
        <v>0</v>
      </c>
      <c r="L24" s="207">
        <v>34921</v>
      </c>
      <c r="M24" s="207">
        <v>0</v>
      </c>
      <c r="N24" s="207">
        <v>51306</v>
      </c>
      <c r="O24" s="234">
        <v>0</v>
      </c>
      <c r="P24" s="207"/>
      <c r="Q24" s="234">
        <f t="shared" si="0"/>
        <v>-25024.089830089593</v>
      </c>
      <c r="R24" s="207">
        <v>20373.992455937168</v>
      </c>
      <c r="S24" s="234">
        <v>55294.992455937172</v>
      </c>
    </row>
    <row r="25" spans="1:19">
      <c r="A25" s="155" t="s">
        <v>2597</v>
      </c>
      <c r="B25" s="155" t="str">
        <f>IF(ISERROR(VLOOKUP($A25,Funding_Area_Names!$A$2:$K$249,7,FALSE))=TRUE,0,VLOOKUP($A25,Funding_Area_Names!$A$2:$K$249,7,FALSE))</f>
        <v>CI A25</v>
      </c>
      <c r="C25" s="207">
        <v>0</v>
      </c>
      <c r="D25" s="234">
        <v>0</v>
      </c>
      <c r="E25" s="234">
        <v>0</v>
      </c>
      <c r="F25" s="234">
        <v>0</v>
      </c>
      <c r="G25" s="234">
        <v>0</v>
      </c>
      <c r="H25" s="234">
        <v>0</v>
      </c>
      <c r="I25" s="207">
        <v>0</v>
      </c>
      <c r="J25" s="207">
        <v>0</v>
      </c>
      <c r="K25" s="207">
        <v>0</v>
      </c>
      <c r="L25" s="207">
        <v>0</v>
      </c>
      <c r="M25" s="207">
        <v>0</v>
      </c>
      <c r="N25" s="207">
        <v>0</v>
      </c>
      <c r="O25" s="234">
        <v>0</v>
      </c>
      <c r="P25" s="207"/>
      <c r="Q25" s="234">
        <f t="shared" si="0"/>
        <v>0</v>
      </c>
      <c r="R25" s="207">
        <v>0</v>
      </c>
      <c r="S25" s="234">
        <v>0</v>
      </c>
    </row>
    <row r="26" spans="1:19">
      <c r="A26" s="155" t="s">
        <v>2552</v>
      </c>
      <c r="B26" s="155" t="str">
        <f>IF(ISERROR(VLOOKUP($A26,Funding_Area_Names!$A$2:$K$249,7,FALSE))=TRUE,0,VLOOKUP($A26,Funding_Area_Names!$A$2:$K$249,7,FALSE))</f>
        <v>CI A26</v>
      </c>
      <c r="C26" s="207">
        <v>-40700.676360538535</v>
      </c>
      <c r="D26" s="234">
        <v>-34630.454262022977</v>
      </c>
      <c r="E26" s="234">
        <v>2691.4797395131582</v>
      </c>
      <c r="F26" s="234">
        <v>0</v>
      </c>
      <c r="G26" s="234">
        <v>0</v>
      </c>
      <c r="H26" s="234">
        <v>0</v>
      </c>
      <c r="I26" s="207">
        <v>0</v>
      </c>
      <c r="J26" s="207">
        <v>13697</v>
      </c>
      <c r="K26" s="207">
        <v>0</v>
      </c>
      <c r="L26" s="207">
        <v>30144</v>
      </c>
      <c r="M26" s="207">
        <v>0</v>
      </c>
      <c r="N26" s="207">
        <v>43841</v>
      </c>
      <c r="O26" s="234">
        <v>0</v>
      </c>
      <c r="P26" s="207"/>
      <c r="Q26" s="234">
        <f t="shared" si="0"/>
        <v>-31593.659305140147</v>
      </c>
      <c r="R26" s="207">
        <v>17031.588322793494</v>
      </c>
      <c r="S26" s="234">
        <v>47175.588322793497</v>
      </c>
    </row>
    <row r="27" spans="1:19">
      <c r="A27" s="155" t="s">
        <v>2454</v>
      </c>
      <c r="B27" s="155" t="str">
        <f>IF(ISERROR(VLOOKUP($A27,Funding_Area_Names!$A$2:$K$249,7,FALSE))=TRUE,0,VLOOKUP($A27,Funding_Area_Names!$A$2:$K$249,7,FALSE))</f>
        <v>CI A15</v>
      </c>
      <c r="C27" s="207">
        <v>-76012.515545757604</v>
      </c>
      <c r="D27" s="234">
        <v>-64675.778840394647</v>
      </c>
      <c r="E27" s="234">
        <v>11183.278430304583</v>
      </c>
      <c r="F27" s="234">
        <v>4266</v>
      </c>
      <c r="G27" s="234">
        <v>4533</v>
      </c>
      <c r="H27" s="234">
        <v>4863</v>
      </c>
      <c r="I27" s="207">
        <v>13662</v>
      </c>
      <c r="J27" s="207">
        <v>27026</v>
      </c>
      <c r="K27" s="207">
        <v>4863</v>
      </c>
      <c r="L27" s="207">
        <v>77751</v>
      </c>
      <c r="M27" s="207">
        <v>8799</v>
      </c>
      <c r="N27" s="207">
        <v>104777</v>
      </c>
      <c r="O27" s="234">
        <v>13662</v>
      </c>
      <c r="P27" s="207"/>
      <c r="Q27" s="234">
        <f t="shared" si="0"/>
        <v>-59004.265624630483</v>
      </c>
      <c r="R27" s="207">
        <v>33605.585603549458</v>
      </c>
      <c r="S27" s="234">
        <v>111356.58560354947</v>
      </c>
    </row>
    <row r="28" spans="1:19">
      <c r="A28" s="155" t="s">
        <v>2448</v>
      </c>
      <c r="B28" s="155" t="str">
        <f>IF(ISERROR(VLOOKUP($A28,Funding_Area_Names!$A$2:$K$249,7,FALSE))=TRUE,0,VLOOKUP($A28,Funding_Area_Names!$A$2:$K$249,7,FALSE))</f>
        <v>CI A3</v>
      </c>
      <c r="C28" s="207">
        <v>-600360.61168493959</v>
      </c>
      <c r="D28" s="234">
        <v>-510821.01239558717</v>
      </c>
      <c r="E28" s="234">
        <v>62975.822274030746</v>
      </c>
      <c r="F28" s="234">
        <v>245633</v>
      </c>
      <c r="G28" s="234">
        <v>261057</v>
      </c>
      <c r="H28" s="234">
        <v>280046</v>
      </c>
      <c r="I28" s="207">
        <v>786736</v>
      </c>
      <c r="J28" s="207">
        <v>201428</v>
      </c>
      <c r="K28" s="207">
        <v>280046</v>
      </c>
      <c r="L28" s="207">
        <v>516201</v>
      </c>
      <c r="M28" s="207">
        <v>506690</v>
      </c>
      <c r="N28" s="207">
        <v>717629</v>
      </c>
      <c r="O28" s="234">
        <v>786736</v>
      </c>
      <c r="P28" s="207"/>
      <c r="Q28" s="234">
        <f t="shared" si="0"/>
        <v>-466026.37405283033</v>
      </c>
      <c r="R28" s="207">
        <v>250466.43591177982</v>
      </c>
      <c r="S28" s="234">
        <v>766667.43591177976</v>
      </c>
    </row>
    <row r="29" spans="1:19">
      <c r="A29" s="155" t="s">
        <v>2455</v>
      </c>
      <c r="B29" s="155" t="str">
        <f>IF(ISERROR(VLOOKUP($A29,Funding_Area_Names!$A$2:$K$249,7,FALSE))=TRUE,0,VLOOKUP($A29,Funding_Area_Names!$A$2:$K$249,7,FALSE))</f>
        <v>CI A16</v>
      </c>
      <c r="C29" s="207">
        <v>-3545532.9506729264</v>
      </c>
      <c r="D29" s="234">
        <v>-3016741.4318897943</v>
      </c>
      <c r="E29" s="234">
        <v>219881.02399535896</v>
      </c>
      <c r="F29" s="234">
        <v>74875.522825131717</v>
      </c>
      <c r="G29" s="234">
        <v>79141.522825131717</v>
      </c>
      <c r="H29" s="234">
        <v>83708.522825131717</v>
      </c>
      <c r="I29" s="207">
        <v>237725.56847539515</v>
      </c>
      <c r="J29" s="207">
        <v>1098327</v>
      </c>
      <c r="K29" s="207">
        <v>83708.522825131717</v>
      </c>
      <c r="L29" s="207">
        <v>1900423</v>
      </c>
      <c r="M29" s="207">
        <v>154017.04565026343</v>
      </c>
      <c r="N29" s="207">
        <v>2998750</v>
      </c>
      <c r="O29" s="234">
        <v>237725.56847539515</v>
      </c>
      <c r="P29" s="207"/>
      <c r="Q29" s="234">
        <f t="shared" si="0"/>
        <v>-2752198.9832904711</v>
      </c>
      <c r="R29" s="207">
        <v>1365719.0120324749</v>
      </c>
      <c r="S29" s="234">
        <v>3266142.0120324749</v>
      </c>
    </row>
    <row r="30" spans="1:19">
      <c r="A30" s="155" t="s">
        <v>2456</v>
      </c>
      <c r="B30" s="155" t="str">
        <f>IF(ISERROR(VLOOKUP($A30,Funding_Area_Names!$A$2:$K$249,7,FALSE))=TRUE,0,VLOOKUP($A30,Funding_Area_Names!$A$2:$K$249,7,FALSE))</f>
        <v>CI A17</v>
      </c>
      <c r="C30" s="207">
        <v>-488231.57071671082</v>
      </c>
      <c r="D30" s="234">
        <v>-415415.23608127516</v>
      </c>
      <c r="E30" s="234">
        <v>56128.572660331629</v>
      </c>
      <c r="F30" s="234">
        <v>1229420.7869584805</v>
      </c>
      <c r="G30" s="234">
        <v>0</v>
      </c>
      <c r="H30" s="234">
        <v>0</v>
      </c>
      <c r="I30" s="207">
        <v>1229420.7869584805</v>
      </c>
      <c r="J30" s="207">
        <v>165555</v>
      </c>
      <c r="K30" s="207">
        <v>0</v>
      </c>
      <c r="L30" s="207">
        <v>423742</v>
      </c>
      <c r="M30" s="207">
        <v>1229420.7869584805</v>
      </c>
      <c r="N30" s="207">
        <v>589297</v>
      </c>
      <c r="O30" s="234">
        <v>1229420.7869584805</v>
      </c>
      <c r="P30" s="207"/>
      <c r="Q30" s="234">
        <f t="shared" si="0"/>
        <v>-378986.8691762719</v>
      </c>
      <c r="R30" s="207">
        <v>205860.01349055098</v>
      </c>
      <c r="S30" s="234">
        <v>629602.01349055092</v>
      </c>
    </row>
    <row r="31" spans="1:19">
      <c r="A31" s="155" t="s">
        <v>2457</v>
      </c>
      <c r="B31" s="155" t="str">
        <f>IF(ISERROR(VLOOKUP($A31,Funding_Area_Names!$A$2:$K$249,7,FALSE))=TRUE,0,VLOOKUP($A31,Funding_Area_Names!$A$2:$K$249,7,FALSE))</f>
        <v>CI A18</v>
      </c>
      <c r="C31" s="207">
        <v>-8812266.8814092986</v>
      </c>
      <c r="D31" s="234">
        <v>-7497978.7185371136</v>
      </c>
      <c r="E31" s="234">
        <v>603859.60746097087</v>
      </c>
      <c r="F31" s="234">
        <v>0</v>
      </c>
      <c r="G31" s="234">
        <v>0</v>
      </c>
      <c r="H31" s="234">
        <v>0</v>
      </c>
      <c r="I31" s="207">
        <v>0</v>
      </c>
      <c r="J31" s="207">
        <v>2989920</v>
      </c>
      <c r="K31" s="207">
        <v>0</v>
      </c>
      <c r="L31" s="207">
        <v>6086756</v>
      </c>
      <c r="M31" s="207">
        <v>0</v>
      </c>
      <c r="N31" s="207">
        <v>9076676</v>
      </c>
      <c r="O31" s="234">
        <v>0</v>
      </c>
      <c r="P31" s="207"/>
      <c r="Q31" s="234">
        <f t="shared" si="0"/>
        <v>-6840470.0474990178</v>
      </c>
      <c r="R31" s="207">
        <v>3717827.7402414195</v>
      </c>
      <c r="S31" s="234">
        <v>9804583.7402414195</v>
      </c>
    </row>
    <row r="32" spans="1:19">
      <c r="A32" s="155" t="s">
        <v>2458</v>
      </c>
      <c r="B32" s="155" t="str">
        <f>IF(ISERROR(VLOOKUP($A32,Funding_Area_Names!$A$2:$K$249,7,FALSE))=TRUE,0,VLOOKUP($A32,Funding_Area_Names!$A$2:$K$249,7,FALSE))</f>
        <v>CI A19</v>
      </c>
      <c r="C32" s="207">
        <v>-1699370.5469174751</v>
      </c>
      <c r="D32" s="234">
        <v>-1445921.2785051591</v>
      </c>
      <c r="E32" s="234">
        <v>122765.25844537829</v>
      </c>
      <c r="F32" s="234">
        <v>0</v>
      </c>
      <c r="G32" s="234">
        <v>0</v>
      </c>
      <c r="H32" s="234">
        <v>0</v>
      </c>
      <c r="I32" s="207">
        <v>0</v>
      </c>
      <c r="J32" s="207">
        <v>573289</v>
      </c>
      <c r="K32" s="207">
        <v>0</v>
      </c>
      <c r="L32" s="207">
        <v>1239085</v>
      </c>
      <c r="M32" s="207">
        <v>0</v>
      </c>
      <c r="N32" s="207">
        <v>1812374</v>
      </c>
      <c r="O32" s="234">
        <v>0</v>
      </c>
      <c r="P32" s="207"/>
      <c r="Q32" s="234">
        <f t="shared" si="0"/>
        <v>-1319126.3363022397</v>
      </c>
      <c r="R32" s="207">
        <v>712858.45352894499</v>
      </c>
      <c r="S32" s="234">
        <v>1951943.4535289449</v>
      </c>
    </row>
    <row r="33" spans="1:19">
      <c r="A33" s="155" t="s">
        <v>2459</v>
      </c>
      <c r="B33" s="155" t="str">
        <f>IF(ISERROR(VLOOKUP($A33,Funding_Area_Names!$A$2:$K$249,7,FALSE))=TRUE,0,VLOOKUP($A33,Funding_Area_Names!$A$2:$K$249,7,FALSE))</f>
        <v>CI A20</v>
      </c>
      <c r="C33" s="207">
        <v>0</v>
      </c>
      <c r="D33" s="234">
        <v>0</v>
      </c>
      <c r="E33" s="234">
        <v>0</v>
      </c>
      <c r="F33" s="234">
        <v>0</v>
      </c>
      <c r="G33" s="234">
        <v>0</v>
      </c>
      <c r="H33" s="234">
        <v>0</v>
      </c>
      <c r="I33" s="207">
        <v>0</v>
      </c>
      <c r="J33" s="207">
        <v>0</v>
      </c>
      <c r="K33" s="207">
        <v>0</v>
      </c>
      <c r="L33" s="207">
        <v>0</v>
      </c>
      <c r="M33" s="207">
        <v>0</v>
      </c>
      <c r="N33" s="207">
        <v>0</v>
      </c>
      <c r="O33" s="234">
        <v>0</v>
      </c>
      <c r="P33" s="207"/>
      <c r="Q33" s="234">
        <f t="shared" si="0"/>
        <v>0</v>
      </c>
      <c r="R33" s="207">
        <v>0</v>
      </c>
      <c r="S33" s="234">
        <v>0</v>
      </c>
    </row>
    <row r="34" spans="1:19">
      <c r="A34" s="155" t="s">
        <v>3011</v>
      </c>
      <c r="B34" s="155">
        <f>IF(ISERROR(VLOOKUP($A34,Funding_Area_Names!$A$2:$K$249,7,FALSE))=TRUE,0,VLOOKUP($A34,Funding_Area_Names!$A$2:$K$249,7,FALSE))</f>
        <v>0</v>
      </c>
      <c r="C34" s="207">
        <v>0</v>
      </c>
      <c r="D34" s="234">
        <v>0</v>
      </c>
      <c r="E34" s="234">
        <v>0</v>
      </c>
      <c r="F34" s="234">
        <v>0</v>
      </c>
      <c r="G34" s="234">
        <v>0</v>
      </c>
      <c r="H34" s="234">
        <v>0</v>
      </c>
      <c r="I34" s="207">
        <v>0</v>
      </c>
      <c r="J34" s="207">
        <v>0</v>
      </c>
      <c r="K34" s="207">
        <v>0</v>
      </c>
      <c r="L34" s="207">
        <v>0</v>
      </c>
      <c r="M34" s="207">
        <v>0</v>
      </c>
      <c r="N34" s="207">
        <v>0</v>
      </c>
      <c r="O34" s="234">
        <v>0</v>
      </c>
      <c r="P34" s="207"/>
      <c r="Q34" s="234">
        <f t="shared" si="0"/>
        <v>0</v>
      </c>
      <c r="R34" s="207">
        <v>0</v>
      </c>
      <c r="S34" s="234">
        <v>0</v>
      </c>
    </row>
    <row r="35" spans="1:19">
      <c r="A35" s="155" t="s">
        <v>2267</v>
      </c>
      <c r="B35" s="155" t="str">
        <f>IF(ISERROR(VLOOKUP($A35,Funding_Area_Names!$A$2:$K$249,7,FALSE))=TRUE,0,VLOOKUP($A35,Funding_Area_Names!$A$2:$K$249,7,FALSE))</f>
        <v>OSD A1</v>
      </c>
      <c r="C35" s="207">
        <v>-25934974.610922121</v>
      </c>
      <c r="D35" s="234">
        <v>-22066953.97625038</v>
      </c>
      <c r="E35" s="234">
        <v>1275411.8125287478</v>
      </c>
      <c r="F35" s="234">
        <v>3498</v>
      </c>
      <c r="G35" s="234">
        <v>3718</v>
      </c>
      <c r="H35" s="234">
        <v>3988</v>
      </c>
      <c r="I35" s="207">
        <v>11204</v>
      </c>
      <c r="J35" s="207">
        <v>1605368</v>
      </c>
      <c r="K35" s="207">
        <v>3988</v>
      </c>
      <c r="L35" s="207">
        <v>1148002</v>
      </c>
      <c r="M35" s="207">
        <v>7216</v>
      </c>
      <c r="N35" s="207">
        <v>2753370</v>
      </c>
      <c r="O35" s="234">
        <v>11204</v>
      </c>
      <c r="P35" s="207"/>
      <c r="Q35" s="234">
        <f t="shared" si="0"/>
        <v>-20131870.652138993</v>
      </c>
      <c r="R35" s="207">
        <v>1996201.1303633165</v>
      </c>
      <c r="S35" s="234">
        <v>3144203.1303633163</v>
      </c>
    </row>
    <row r="36" spans="1:19">
      <c r="A36" s="155" t="s">
        <v>2436</v>
      </c>
      <c r="B36" s="155" t="str">
        <f>IF(ISERROR(VLOOKUP($A36,Funding_Area_Names!$A$2:$K$249,7,FALSE))=TRUE,0,VLOOKUP($A36,Funding_Area_Names!$A$2:$K$249,7,FALSE))</f>
        <v>OSD A5</v>
      </c>
      <c r="C36" s="207">
        <v>-0.40928280131966344</v>
      </c>
      <c r="D36" s="234">
        <v>-0.34824112517882738</v>
      </c>
      <c r="E36" s="234">
        <v>0</v>
      </c>
      <c r="F36" s="234">
        <v>0</v>
      </c>
      <c r="G36" s="234">
        <v>0</v>
      </c>
      <c r="H36" s="234">
        <v>0</v>
      </c>
      <c r="I36" s="207">
        <v>0</v>
      </c>
      <c r="J36" s="207">
        <v>0</v>
      </c>
      <c r="K36" s="207">
        <v>0</v>
      </c>
      <c r="L36" s="207">
        <v>0</v>
      </c>
      <c r="M36" s="207">
        <v>0</v>
      </c>
      <c r="N36" s="207">
        <v>0</v>
      </c>
      <c r="O36" s="234">
        <v>0</v>
      </c>
      <c r="P36" s="207"/>
      <c r="Q36" s="234">
        <f t="shared" si="0"/>
        <v>-0.31770335386573201</v>
      </c>
      <c r="R36" s="207">
        <v>0</v>
      </c>
      <c r="S36" s="234">
        <v>0</v>
      </c>
    </row>
    <row r="37" spans="1:19">
      <c r="A37" s="155" t="s">
        <v>2547</v>
      </c>
      <c r="B37" s="155" t="str">
        <f>IF(ISERROR(VLOOKUP($A37,Funding_Area_Names!$A$2:$K$249,7,FALSE))=TRUE,0,VLOOKUP($A37,Funding_Area_Names!$A$2:$K$249,7,FALSE))</f>
        <v>OSD A14</v>
      </c>
      <c r="C37" s="207">
        <v>-152023.13579246443</v>
      </c>
      <c r="D37" s="234">
        <v>-129349.9450523772</v>
      </c>
      <c r="E37" s="234">
        <v>6754.7877349058126</v>
      </c>
      <c r="F37" s="234">
        <v>0</v>
      </c>
      <c r="G37" s="234">
        <v>0</v>
      </c>
      <c r="H37" s="234">
        <v>0</v>
      </c>
      <c r="I37" s="207">
        <v>0</v>
      </c>
      <c r="J37" s="207">
        <v>63119</v>
      </c>
      <c r="K37" s="207">
        <v>0</v>
      </c>
      <c r="L37" s="207">
        <v>113403</v>
      </c>
      <c r="M37" s="207">
        <v>0</v>
      </c>
      <c r="N37" s="207">
        <v>176522</v>
      </c>
      <c r="O37" s="234">
        <v>0</v>
      </c>
      <c r="P37" s="207"/>
      <c r="Q37" s="234">
        <f t="shared" si="0"/>
        <v>-118007.06003458233</v>
      </c>
      <c r="R37" s="207">
        <v>78485.567886865931</v>
      </c>
      <c r="S37" s="234">
        <v>191888.56788686593</v>
      </c>
    </row>
    <row r="38" spans="1:19">
      <c r="A38" s="155" t="s">
        <v>2433</v>
      </c>
      <c r="B38" s="155" t="str">
        <f>IF(ISERROR(VLOOKUP($A38,Funding_Area_Names!$A$2:$K$249,7,FALSE))=TRUE,0,VLOOKUP($A38,Funding_Area_Names!$A$2:$K$249,7,FALSE))</f>
        <v>OSD A2</v>
      </c>
      <c r="C38" s="207">
        <v>0</v>
      </c>
      <c r="D38" s="234">
        <v>0</v>
      </c>
      <c r="E38" s="234">
        <v>0</v>
      </c>
      <c r="F38" s="234">
        <v>0</v>
      </c>
      <c r="G38" s="234">
        <v>0</v>
      </c>
      <c r="H38" s="234">
        <v>0</v>
      </c>
      <c r="I38" s="207">
        <v>0</v>
      </c>
      <c r="J38" s="207">
        <v>-1787</v>
      </c>
      <c r="K38" s="207">
        <v>0</v>
      </c>
      <c r="L38" s="207">
        <v>-2314</v>
      </c>
      <c r="M38" s="207">
        <v>0</v>
      </c>
      <c r="N38" s="207">
        <v>-4101</v>
      </c>
      <c r="O38" s="234">
        <v>0</v>
      </c>
      <c r="P38" s="207"/>
      <c r="Q38" s="234">
        <f t="shared" si="0"/>
        <v>0</v>
      </c>
      <c r="R38" s="207">
        <v>-2222.0521525028821</v>
      </c>
      <c r="S38" s="234">
        <v>-4536.0521525028817</v>
      </c>
    </row>
    <row r="39" spans="1:19">
      <c r="A39" s="155" t="s">
        <v>2437</v>
      </c>
      <c r="B39" s="155" t="str">
        <f>IF(ISERROR(VLOOKUP($A39,Funding_Area_Names!$A$2:$K$249,7,FALSE))=TRUE,0,VLOOKUP($A39,Funding_Area_Names!$A$2:$K$249,7,FALSE))</f>
        <v>OSD A6</v>
      </c>
      <c r="C39" s="207">
        <v>-6.7076658591165391E-17</v>
      </c>
      <c r="D39" s="234">
        <v>-5.7072642646372674E-17</v>
      </c>
      <c r="E39" s="234">
        <v>0</v>
      </c>
      <c r="F39" s="234">
        <v>0</v>
      </c>
      <c r="G39" s="234">
        <v>0</v>
      </c>
      <c r="H39" s="234">
        <v>0</v>
      </c>
      <c r="I39" s="207">
        <v>0</v>
      </c>
      <c r="J39" s="207">
        <v>0</v>
      </c>
      <c r="K39" s="207">
        <v>0</v>
      </c>
      <c r="L39" s="207">
        <v>0</v>
      </c>
      <c r="M39" s="207">
        <v>0</v>
      </c>
      <c r="N39" s="207">
        <v>0</v>
      </c>
      <c r="O39" s="234">
        <v>0</v>
      </c>
      <c r="P39" s="207"/>
      <c r="Q39" s="234">
        <f t="shared" si="0"/>
        <v>-5.2067859513783293E-17</v>
      </c>
      <c r="R39" s="207">
        <v>0</v>
      </c>
      <c r="S39" s="234">
        <v>0</v>
      </c>
    </row>
    <row r="40" spans="1:19">
      <c r="A40" s="155" t="s">
        <v>2438</v>
      </c>
      <c r="B40" s="155" t="str">
        <f>IF(ISERROR(VLOOKUP($A40,Funding_Area_Names!$A$2:$K$249,7,FALSE))=TRUE,0,VLOOKUP($A40,Funding_Area_Names!$A$2:$K$249,7,FALSE))</f>
        <v>OSD A7</v>
      </c>
      <c r="C40" s="207">
        <v>0</v>
      </c>
      <c r="D40" s="234">
        <v>0</v>
      </c>
      <c r="E40" s="234">
        <v>0</v>
      </c>
      <c r="F40" s="234">
        <v>0</v>
      </c>
      <c r="G40" s="234">
        <v>0</v>
      </c>
      <c r="H40" s="234">
        <v>0</v>
      </c>
      <c r="I40" s="207">
        <v>0</v>
      </c>
      <c r="J40" s="207">
        <v>0</v>
      </c>
      <c r="K40" s="207">
        <v>0</v>
      </c>
      <c r="L40" s="207">
        <v>0</v>
      </c>
      <c r="M40" s="207">
        <v>0</v>
      </c>
      <c r="N40" s="207">
        <v>0</v>
      </c>
      <c r="O40" s="234">
        <v>0</v>
      </c>
      <c r="P40" s="207"/>
      <c r="Q40" s="234">
        <f t="shared" si="0"/>
        <v>0</v>
      </c>
      <c r="R40" s="207">
        <v>0</v>
      </c>
      <c r="S40" s="234">
        <v>0</v>
      </c>
    </row>
    <row r="41" spans="1:19">
      <c r="A41" s="155" t="s">
        <v>2409</v>
      </c>
      <c r="B41" s="155" t="str">
        <f>IF(ISERROR(VLOOKUP($A41,Funding_Area_Names!$A$2:$K$249,7,FALSE))=TRUE,0,VLOOKUP($A41,Funding_Area_Names!$A$2:$K$249,7,FALSE))</f>
        <v>OSD A8</v>
      </c>
      <c r="C41" s="207">
        <v>-900381.95119796332</v>
      </c>
      <c r="D41" s="234">
        <v>-766096.2609835976</v>
      </c>
      <c r="E41" s="234">
        <v>37863.685055547976</v>
      </c>
      <c r="F41" s="234">
        <v>46636</v>
      </c>
      <c r="G41" s="234">
        <v>139886</v>
      </c>
      <c r="H41" s="234">
        <v>252981</v>
      </c>
      <c r="I41" s="207">
        <v>439503</v>
      </c>
      <c r="J41" s="207">
        <v>222020</v>
      </c>
      <c r="K41" s="207">
        <v>252981</v>
      </c>
      <c r="L41" s="207">
        <v>216666</v>
      </c>
      <c r="M41" s="207">
        <v>186522</v>
      </c>
      <c r="N41" s="207">
        <v>438686</v>
      </c>
      <c r="O41" s="234">
        <v>439503</v>
      </c>
      <c r="P41" s="207"/>
      <c r="Q41" s="234">
        <f t="shared" si="0"/>
        <v>-698916.16440620204</v>
      </c>
      <c r="R41" s="207">
        <v>276071.63900318404</v>
      </c>
      <c r="S41" s="234">
        <v>492737.63900318404</v>
      </c>
    </row>
    <row r="42" spans="1:19">
      <c r="A42" s="155" t="s">
        <v>2439</v>
      </c>
      <c r="B42" s="155" t="str">
        <f>IF(ISERROR(VLOOKUP($A42,Funding_Area_Names!$A$2:$K$249,7,FALSE))=TRUE,0,VLOOKUP($A42,Funding_Area_Names!$A$2:$K$249,7,FALSE))</f>
        <v>OSD A9</v>
      </c>
      <c r="C42" s="207">
        <v>0</v>
      </c>
      <c r="D42" s="234">
        <v>0</v>
      </c>
      <c r="E42" s="234">
        <v>0</v>
      </c>
      <c r="F42" s="234">
        <v>0</v>
      </c>
      <c r="G42" s="234">
        <v>0</v>
      </c>
      <c r="H42" s="234">
        <v>0</v>
      </c>
      <c r="I42" s="207">
        <v>0</v>
      </c>
      <c r="J42" s="207">
        <v>0</v>
      </c>
      <c r="K42" s="207">
        <v>0</v>
      </c>
      <c r="L42" s="207">
        <v>0</v>
      </c>
      <c r="M42" s="207">
        <v>0</v>
      </c>
      <c r="N42" s="207">
        <v>0</v>
      </c>
      <c r="O42" s="234">
        <v>0</v>
      </c>
      <c r="P42" s="207"/>
      <c r="Q42" s="234">
        <f t="shared" si="0"/>
        <v>0</v>
      </c>
      <c r="R42" s="207">
        <v>0</v>
      </c>
      <c r="S42" s="234">
        <v>0</v>
      </c>
    </row>
    <row r="43" spans="1:19">
      <c r="A43" s="155" t="s">
        <v>2589</v>
      </c>
      <c r="B43" s="155" t="str">
        <f>IF(ISERROR(VLOOKUP($A43,Funding_Area_Names!$A$2:$K$249,7,FALSE))=TRUE,0,VLOOKUP($A43,Funding_Area_Names!$A$2:$K$249,7,FALSE))</f>
        <v>OSD A10</v>
      </c>
      <c r="C43" s="207">
        <v>0</v>
      </c>
      <c r="D43" s="234">
        <v>0</v>
      </c>
      <c r="E43" s="234">
        <v>0</v>
      </c>
      <c r="F43" s="234">
        <v>0</v>
      </c>
      <c r="G43" s="234">
        <v>0</v>
      </c>
      <c r="H43" s="234">
        <v>0</v>
      </c>
      <c r="I43" s="207">
        <v>0</v>
      </c>
      <c r="J43" s="207">
        <v>0</v>
      </c>
      <c r="K43" s="207">
        <v>0</v>
      </c>
      <c r="L43" s="207">
        <v>0</v>
      </c>
      <c r="M43" s="207">
        <v>0</v>
      </c>
      <c r="N43" s="207">
        <v>0</v>
      </c>
      <c r="O43" s="234">
        <v>0</v>
      </c>
      <c r="P43" s="207"/>
      <c r="Q43" s="234">
        <f t="shared" si="0"/>
        <v>0</v>
      </c>
      <c r="R43" s="207">
        <v>0</v>
      </c>
      <c r="S43" s="234">
        <v>0</v>
      </c>
    </row>
    <row r="44" spans="1:19">
      <c r="A44" s="155" t="s">
        <v>2590</v>
      </c>
      <c r="B44" s="155" t="str">
        <f>IF(ISERROR(VLOOKUP($A44,Funding_Area_Names!$A$2:$K$249,7,FALSE))=TRUE,0,VLOOKUP($A44,Funding_Area_Names!$A$2:$K$249,7,FALSE))</f>
        <v>OSD A11</v>
      </c>
      <c r="C44" s="207">
        <v>5.6458725915780578E-2</v>
      </c>
      <c r="D44" s="234">
        <v>4.803830059724E-2</v>
      </c>
      <c r="E44" s="234">
        <v>0</v>
      </c>
      <c r="F44" s="234">
        <v>0</v>
      </c>
      <c r="G44" s="234">
        <v>0</v>
      </c>
      <c r="H44" s="234">
        <v>0</v>
      </c>
      <c r="I44" s="207">
        <v>0</v>
      </c>
      <c r="J44" s="207">
        <v>0</v>
      </c>
      <c r="K44" s="207">
        <v>0</v>
      </c>
      <c r="L44" s="207">
        <v>0</v>
      </c>
      <c r="M44" s="207">
        <v>0</v>
      </c>
      <c r="N44" s="207">
        <v>0</v>
      </c>
      <c r="O44" s="234">
        <v>0</v>
      </c>
      <c r="P44" s="207"/>
      <c r="Q44" s="234">
        <f t="shared" si="0"/>
        <v>4.3825752073124911E-2</v>
      </c>
      <c r="R44" s="207">
        <v>0</v>
      </c>
      <c r="S44" s="234">
        <v>0</v>
      </c>
    </row>
    <row r="45" spans="1:19">
      <c r="A45" s="155" t="s">
        <v>2591</v>
      </c>
      <c r="B45" s="155" t="str">
        <f>IF(ISERROR(VLOOKUP($A45,Funding_Area_Names!$A$2:$K$249,7,FALSE))=TRUE,0,VLOOKUP($A45,Funding_Area_Names!$A$2:$K$249,7,FALSE))</f>
        <v>OSD A12</v>
      </c>
      <c r="C45" s="207">
        <v>6.7681820690435924E-4</v>
      </c>
      <c r="D45" s="234">
        <v>5.7587549037958253E-4</v>
      </c>
      <c r="E45" s="234">
        <v>0</v>
      </c>
      <c r="F45" s="234">
        <v>0</v>
      </c>
      <c r="G45" s="234">
        <v>0</v>
      </c>
      <c r="H45" s="234">
        <v>0</v>
      </c>
      <c r="I45" s="207">
        <v>0</v>
      </c>
      <c r="J45" s="207">
        <v>0</v>
      </c>
      <c r="K45" s="207">
        <v>0</v>
      </c>
      <c r="L45" s="207">
        <v>0</v>
      </c>
      <c r="M45" s="207">
        <v>0</v>
      </c>
      <c r="N45" s="207">
        <v>0</v>
      </c>
      <c r="O45" s="234">
        <v>0</v>
      </c>
      <c r="P45" s="207"/>
      <c r="Q45" s="234">
        <f t="shared" si="0"/>
        <v>5.2537613014176556E-4</v>
      </c>
      <c r="R45" s="207">
        <v>0</v>
      </c>
      <c r="S45" s="234">
        <v>0</v>
      </c>
    </row>
    <row r="46" spans="1:19">
      <c r="A46" s="155" t="s">
        <v>2592</v>
      </c>
      <c r="B46" s="155" t="str">
        <f>IF(ISERROR(VLOOKUP($A46,Funding_Area_Names!$A$2:$K$249,7,FALSE))=TRUE,0,VLOOKUP($A46,Funding_Area_Names!$A$2:$K$249,7,FALSE))</f>
        <v>OSD A13</v>
      </c>
      <c r="C46" s="207">
        <v>0.15262429161238059</v>
      </c>
      <c r="D46" s="234">
        <v>0.12986144267324082</v>
      </c>
      <c r="E46" s="234">
        <v>0</v>
      </c>
      <c r="F46" s="234">
        <v>0</v>
      </c>
      <c r="G46" s="234">
        <v>0</v>
      </c>
      <c r="H46" s="234">
        <v>0</v>
      </c>
      <c r="I46" s="207">
        <v>0</v>
      </c>
      <c r="J46" s="207">
        <v>0</v>
      </c>
      <c r="K46" s="207">
        <v>0</v>
      </c>
      <c r="L46" s="207">
        <v>0</v>
      </c>
      <c r="M46" s="207">
        <v>0</v>
      </c>
      <c r="N46" s="207">
        <v>0</v>
      </c>
      <c r="O46" s="234">
        <v>0</v>
      </c>
      <c r="P46" s="207"/>
      <c r="Q46" s="234">
        <f t="shared" si="0"/>
        <v>0.11847370368432149</v>
      </c>
      <c r="R46" s="207">
        <v>0</v>
      </c>
      <c r="S46" s="234">
        <v>0</v>
      </c>
    </row>
    <row r="47" spans="1:19">
      <c r="A47" s="155" t="s">
        <v>2444</v>
      </c>
      <c r="B47" s="155" t="str">
        <f>IF(ISERROR(VLOOKUP($A47,Funding_Area_Names!$A$2:$K$249,7,FALSE))=TRUE,0,VLOOKUP($A47,Funding_Area_Names!$A$2:$K$249,7,FALSE))</f>
        <v>OSD A21</v>
      </c>
      <c r="C47" s="207">
        <v>-3541.1348155352716</v>
      </c>
      <c r="D47" s="234">
        <v>-3012.9992479424432</v>
      </c>
      <c r="E47" s="234">
        <v>102.47098927484154</v>
      </c>
      <c r="F47" s="234">
        <v>0</v>
      </c>
      <c r="G47" s="234">
        <v>0</v>
      </c>
      <c r="H47" s="234">
        <v>0</v>
      </c>
      <c r="I47" s="207">
        <v>0</v>
      </c>
      <c r="J47" s="207">
        <v>835</v>
      </c>
      <c r="K47" s="207">
        <v>0</v>
      </c>
      <c r="L47" s="207">
        <v>1932</v>
      </c>
      <c r="M47" s="207">
        <v>0</v>
      </c>
      <c r="N47" s="207">
        <v>2767</v>
      </c>
      <c r="O47" s="234">
        <v>0</v>
      </c>
      <c r="P47" s="207"/>
      <c r="Q47" s="234">
        <f t="shared" si="0"/>
        <v>-2748.7849569021596</v>
      </c>
      <c r="R47" s="207">
        <v>1038.2840220144972</v>
      </c>
      <c r="S47" s="234">
        <v>2970.2840220144972</v>
      </c>
    </row>
    <row r="48" spans="1:19">
      <c r="A48" s="155" t="s">
        <v>2435</v>
      </c>
      <c r="B48" s="155" t="str">
        <f>IF(ISERROR(VLOOKUP($A48,Funding_Area_Names!$A$2:$K$249,7,FALSE))=TRUE,0,VLOOKUP($A48,Funding_Area_Names!$A$2:$K$249,7,FALSE))</f>
        <v>OSD A4</v>
      </c>
      <c r="C48" s="207">
        <v>-0.55658783686027169</v>
      </c>
      <c r="D48" s="234">
        <v>-0.473576641735516</v>
      </c>
      <c r="E48" s="234">
        <v>0</v>
      </c>
      <c r="F48" s="234">
        <v>0</v>
      </c>
      <c r="G48" s="234">
        <v>0</v>
      </c>
      <c r="H48" s="234">
        <v>0</v>
      </c>
      <c r="I48" s="207">
        <v>0</v>
      </c>
      <c r="J48" s="207">
        <v>0</v>
      </c>
      <c r="K48" s="207">
        <v>0</v>
      </c>
      <c r="L48" s="207">
        <v>0</v>
      </c>
      <c r="M48" s="207">
        <v>0</v>
      </c>
      <c r="N48" s="207">
        <v>0</v>
      </c>
      <c r="O48" s="234">
        <v>0</v>
      </c>
      <c r="P48" s="207"/>
      <c r="Q48" s="234">
        <f t="shared" si="0"/>
        <v>-0.43204801648450231</v>
      </c>
      <c r="R48" s="207">
        <v>0</v>
      </c>
      <c r="S48" s="234">
        <v>0</v>
      </c>
    </row>
    <row r="49" spans="1:19">
      <c r="A49" s="155" t="s">
        <v>2445</v>
      </c>
      <c r="B49" s="155" t="str">
        <f>IF(ISERROR(VLOOKUP($A49,Funding_Area_Names!$A$2:$K$249,7,FALSE))=TRUE,0,VLOOKUP($A49,Funding_Area_Names!$A$2:$K$249,7,FALSE))</f>
        <v>OSD A22</v>
      </c>
      <c r="C49" s="207">
        <v>0</v>
      </c>
      <c r="D49" s="234">
        <v>0</v>
      </c>
      <c r="E49" s="234">
        <v>0</v>
      </c>
      <c r="F49" s="234">
        <v>0</v>
      </c>
      <c r="G49" s="234">
        <v>0</v>
      </c>
      <c r="H49" s="234">
        <v>0</v>
      </c>
      <c r="I49" s="207">
        <v>0</v>
      </c>
      <c r="J49" s="207">
        <v>0</v>
      </c>
      <c r="K49" s="207">
        <v>0</v>
      </c>
      <c r="L49" s="207">
        <v>0</v>
      </c>
      <c r="M49" s="207">
        <v>0</v>
      </c>
      <c r="N49" s="207">
        <v>0</v>
      </c>
      <c r="O49" s="234">
        <v>0</v>
      </c>
      <c r="P49" s="207"/>
      <c r="Q49" s="234">
        <f t="shared" si="0"/>
        <v>0</v>
      </c>
      <c r="R49" s="207">
        <v>0</v>
      </c>
      <c r="S49" s="234">
        <v>0</v>
      </c>
    </row>
    <row r="50" spans="1:19">
      <c r="A50" s="155" t="s">
        <v>2446</v>
      </c>
      <c r="B50" s="155" t="str">
        <f>IF(ISERROR(VLOOKUP($A50,Funding_Area_Names!$A$2:$K$249,7,FALSE))=TRUE,0,VLOOKUP($A50,Funding_Area_Names!$A$2:$K$249,7,FALSE))</f>
        <v>OSD A23</v>
      </c>
      <c r="C50" s="207">
        <v>0</v>
      </c>
      <c r="D50" s="234">
        <v>0</v>
      </c>
      <c r="E50" s="234">
        <v>0</v>
      </c>
      <c r="F50" s="234">
        <v>0</v>
      </c>
      <c r="G50" s="234">
        <v>0</v>
      </c>
      <c r="H50" s="234">
        <v>0</v>
      </c>
      <c r="I50" s="207">
        <v>0</v>
      </c>
      <c r="J50" s="207">
        <v>0</v>
      </c>
      <c r="K50" s="207">
        <v>0</v>
      </c>
      <c r="L50" s="207">
        <v>0</v>
      </c>
      <c r="M50" s="207">
        <v>0</v>
      </c>
      <c r="N50" s="207">
        <v>0</v>
      </c>
      <c r="O50" s="234">
        <v>0</v>
      </c>
      <c r="P50" s="207"/>
      <c r="Q50" s="234">
        <f t="shared" si="0"/>
        <v>0</v>
      </c>
      <c r="R50" s="207">
        <v>0</v>
      </c>
      <c r="S50" s="234">
        <v>0</v>
      </c>
    </row>
    <row r="51" spans="1:19">
      <c r="A51" s="155" t="s">
        <v>2593</v>
      </c>
      <c r="B51" s="155" t="str">
        <f>IF(ISERROR(VLOOKUP($A51,Funding_Area_Names!$A$2:$K$249,7,FALSE))=TRUE,0,VLOOKUP($A51,Funding_Area_Names!$A$2:$K$249,7,FALSE))</f>
        <v>OSD A24</v>
      </c>
      <c r="C51" s="207">
        <v>0</v>
      </c>
      <c r="D51" s="234">
        <v>0</v>
      </c>
      <c r="E51" s="234">
        <v>0</v>
      </c>
      <c r="F51" s="234">
        <v>0</v>
      </c>
      <c r="G51" s="234">
        <v>0</v>
      </c>
      <c r="H51" s="234">
        <v>0</v>
      </c>
      <c r="I51" s="207">
        <v>0</v>
      </c>
      <c r="J51" s="207">
        <v>0</v>
      </c>
      <c r="K51" s="207">
        <v>0</v>
      </c>
      <c r="L51" s="207">
        <v>0</v>
      </c>
      <c r="M51" s="207">
        <v>0</v>
      </c>
      <c r="N51" s="207">
        <v>0</v>
      </c>
      <c r="O51" s="234">
        <v>0</v>
      </c>
      <c r="P51" s="207"/>
      <c r="Q51" s="234">
        <f t="shared" si="0"/>
        <v>0</v>
      </c>
      <c r="R51" s="207">
        <v>0</v>
      </c>
      <c r="S51" s="234">
        <v>0</v>
      </c>
    </row>
    <row r="52" spans="1:19">
      <c r="A52" s="155" t="s">
        <v>2594</v>
      </c>
      <c r="B52" s="155" t="str">
        <f>IF(ISERROR(VLOOKUP($A52,Funding_Area_Names!$A$2:$K$249,7,FALSE))=TRUE,0,VLOOKUP($A52,Funding_Area_Names!$A$2:$K$249,7,FALSE))</f>
        <v>OSD A25</v>
      </c>
      <c r="C52" s="207">
        <v>0</v>
      </c>
      <c r="D52" s="234">
        <v>0</v>
      </c>
      <c r="E52" s="234">
        <v>0</v>
      </c>
      <c r="F52" s="234">
        <v>0</v>
      </c>
      <c r="G52" s="234">
        <v>0</v>
      </c>
      <c r="H52" s="234">
        <v>0</v>
      </c>
      <c r="I52" s="207">
        <v>0</v>
      </c>
      <c r="J52" s="207">
        <v>0</v>
      </c>
      <c r="K52" s="207">
        <v>0</v>
      </c>
      <c r="L52" s="207">
        <v>0</v>
      </c>
      <c r="M52" s="207">
        <v>0</v>
      </c>
      <c r="N52" s="207">
        <v>0</v>
      </c>
      <c r="O52" s="234">
        <v>0</v>
      </c>
      <c r="P52" s="207"/>
      <c r="Q52" s="234">
        <f t="shared" si="0"/>
        <v>0</v>
      </c>
      <c r="R52" s="207">
        <v>0</v>
      </c>
      <c r="S52" s="234">
        <v>0</v>
      </c>
    </row>
    <row r="53" spans="1:19">
      <c r="A53" s="155" t="s">
        <v>2554</v>
      </c>
      <c r="B53" s="155" t="str">
        <f>IF(ISERROR(VLOOKUP($A53,Funding_Area_Names!$A$2:$K$249,7,FALSE))=TRUE,0,VLOOKUP($A53,Funding_Area_Names!$A$2:$K$249,7,FALSE))</f>
        <v>OSD A26</v>
      </c>
      <c r="C53" s="207">
        <v>-2763.7585295535537</v>
      </c>
      <c r="D53" s="234">
        <v>-2351.5632148505606</v>
      </c>
      <c r="E53" s="234">
        <v>107.38543484390044</v>
      </c>
      <c r="F53" s="234">
        <v>0</v>
      </c>
      <c r="G53" s="234">
        <v>0</v>
      </c>
      <c r="H53" s="234">
        <v>0</v>
      </c>
      <c r="I53" s="207">
        <v>0</v>
      </c>
      <c r="J53" s="207">
        <v>903</v>
      </c>
      <c r="K53" s="207">
        <v>0</v>
      </c>
      <c r="L53" s="207">
        <v>2016</v>
      </c>
      <c r="M53" s="207">
        <v>0</v>
      </c>
      <c r="N53" s="207">
        <v>2919</v>
      </c>
      <c r="O53" s="234">
        <v>0</v>
      </c>
      <c r="P53" s="207"/>
      <c r="Q53" s="234">
        <f t="shared" si="0"/>
        <v>-2145.3512126164264</v>
      </c>
      <c r="R53" s="207">
        <v>1122.8388884779533</v>
      </c>
      <c r="S53" s="234">
        <v>3138.8388884779533</v>
      </c>
    </row>
    <row r="54" spans="1:19">
      <c r="A54" s="155" t="s">
        <v>2440</v>
      </c>
      <c r="B54" s="155" t="str">
        <f>IF(ISERROR(VLOOKUP($A54,Funding_Area_Names!$A$2:$K$249,7,FALSE))=TRUE,0,VLOOKUP($A54,Funding_Area_Names!$A$2:$K$249,7,FALSE))</f>
        <v>OSD A15</v>
      </c>
      <c r="C54" s="207">
        <v>0</v>
      </c>
      <c r="D54" s="234">
        <v>0</v>
      </c>
      <c r="E54" s="234">
        <v>0</v>
      </c>
      <c r="F54" s="234">
        <v>0</v>
      </c>
      <c r="G54" s="234">
        <v>0</v>
      </c>
      <c r="H54" s="234">
        <v>0</v>
      </c>
      <c r="I54" s="207">
        <v>0</v>
      </c>
      <c r="J54" s="207">
        <v>0</v>
      </c>
      <c r="K54" s="207">
        <v>0</v>
      </c>
      <c r="L54" s="207">
        <v>0</v>
      </c>
      <c r="M54" s="207">
        <v>0</v>
      </c>
      <c r="N54" s="207">
        <v>0</v>
      </c>
      <c r="O54" s="234">
        <v>0</v>
      </c>
      <c r="P54" s="207"/>
      <c r="Q54" s="234">
        <f t="shared" si="0"/>
        <v>0</v>
      </c>
      <c r="R54" s="207">
        <v>0</v>
      </c>
      <c r="S54" s="234">
        <v>0</v>
      </c>
    </row>
    <row r="55" spans="1:19">
      <c r="A55" s="155" t="s">
        <v>2434</v>
      </c>
      <c r="B55" s="155" t="str">
        <f>IF(ISERROR(VLOOKUP($A55,Funding_Area_Names!$A$2:$K$249,7,FALSE))=TRUE,0,VLOOKUP($A55,Funding_Area_Names!$A$2:$K$249,7,FALSE))</f>
        <v>OSD A3</v>
      </c>
      <c r="C55" s="207">
        <v>0</v>
      </c>
      <c r="D55" s="234">
        <v>0</v>
      </c>
      <c r="E55" s="234">
        <v>0</v>
      </c>
      <c r="F55" s="234">
        <v>0</v>
      </c>
      <c r="G55" s="234">
        <v>0</v>
      </c>
      <c r="H55" s="234">
        <v>0</v>
      </c>
      <c r="I55" s="207">
        <v>0</v>
      </c>
      <c r="J55" s="207">
        <v>-21925</v>
      </c>
      <c r="K55" s="207">
        <v>0</v>
      </c>
      <c r="L55" s="207">
        <v>-28387</v>
      </c>
      <c r="M55" s="207">
        <v>0</v>
      </c>
      <c r="N55" s="207">
        <v>-50312</v>
      </c>
      <c r="O55" s="234">
        <v>0</v>
      </c>
      <c r="P55" s="207"/>
      <c r="Q55" s="234">
        <f t="shared" si="0"/>
        <v>0</v>
      </c>
      <c r="R55" s="207">
        <v>-27262.727164871678</v>
      </c>
      <c r="S55" s="234">
        <v>-55649.727164871678</v>
      </c>
    </row>
    <row r="56" spans="1:19">
      <c r="A56" s="155" t="s">
        <v>2441</v>
      </c>
      <c r="B56" s="155" t="str">
        <f>IF(ISERROR(VLOOKUP($A56,Funding_Area_Names!$A$2:$K$249,7,FALSE))=TRUE,0,VLOOKUP($A56,Funding_Area_Names!$A$2:$K$249,7,FALSE))</f>
        <v>OSD A16</v>
      </c>
      <c r="C56" s="207">
        <v>-674170.5854965992</v>
      </c>
      <c r="D56" s="234">
        <v>-573622.74324456241</v>
      </c>
      <c r="E56" s="234">
        <v>43373.788279712979</v>
      </c>
      <c r="F56" s="234">
        <v>473714</v>
      </c>
      <c r="G56" s="234">
        <v>503459</v>
      </c>
      <c r="H56" s="234">
        <v>540080</v>
      </c>
      <c r="I56" s="207">
        <v>1517253</v>
      </c>
      <c r="J56" s="207">
        <v>208705</v>
      </c>
      <c r="K56" s="207">
        <v>540080</v>
      </c>
      <c r="L56" s="207">
        <v>510119</v>
      </c>
      <c r="M56" s="207">
        <v>977173</v>
      </c>
      <c r="N56" s="207">
        <v>718824</v>
      </c>
      <c r="O56" s="234">
        <v>1517253</v>
      </c>
      <c r="P56" s="207"/>
      <c r="Q56" s="234">
        <f t="shared" si="0"/>
        <v>-523320.92968306097</v>
      </c>
      <c r="R56" s="207">
        <v>259515.05007728818</v>
      </c>
      <c r="S56" s="234">
        <v>769634.05007728818</v>
      </c>
    </row>
    <row r="57" spans="1:19">
      <c r="A57" s="155" t="s">
        <v>2442</v>
      </c>
      <c r="B57" s="155" t="str">
        <f>IF(ISERROR(VLOOKUP($A57,Funding_Area_Names!$A$2:$K$249,7,FALSE))=TRUE,0,VLOOKUP($A57,Funding_Area_Names!$A$2:$K$249,7,FALSE))</f>
        <v>OSD A17</v>
      </c>
      <c r="C57" s="207">
        <v>0</v>
      </c>
      <c r="D57" s="234">
        <v>0</v>
      </c>
      <c r="E57" s="234">
        <v>6484.7560984289048</v>
      </c>
      <c r="F57" s="234">
        <v>29546</v>
      </c>
      <c r="G57" s="234">
        <v>31401</v>
      </c>
      <c r="H57" s="234">
        <v>33685</v>
      </c>
      <c r="I57" s="207">
        <v>94632</v>
      </c>
      <c r="J57" s="207">
        <v>-9517</v>
      </c>
      <c r="K57" s="207">
        <v>33685</v>
      </c>
      <c r="L57" s="207">
        <v>24298</v>
      </c>
      <c r="M57" s="207">
        <v>60947</v>
      </c>
      <c r="N57" s="207">
        <v>14781</v>
      </c>
      <c r="O57" s="234">
        <v>94632</v>
      </c>
      <c r="P57" s="207"/>
      <c r="Q57" s="234">
        <f t="shared" si="0"/>
        <v>0</v>
      </c>
      <c r="R57" s="207">
        <v>-11833.950943128108</v>
      </c>
      <c r="S57" s="234">
        <v>12464.049056871892</v>
      </c>
    </row>
    <row r="58" spans="1:19">
      <c r="A58" s="155" t="s">
        <v>2408</v>
      </c>
      <c r="B58" s="155" t="str">
        <f>IF(ISERROR(VLOOKUP($A58,Funding_Area_Names!$A$2:$K$249,7,FALSE))=TRUE,0,VLOOKUP($A58,Funding_Area_Names!$A$2:$K$249,7,FALSE))</f>
        <v>OSD A18</v>
      </c>
      <c r="C58" s="207">
        <v>-346439.61552782753</v>
      </c>
      <c r="D58" s="234">
        <v>-294770.56238115329</v>
      </c>
      <c r="E58" s="234">
        <v>13222.845410833745</v>
      </c>
      <c r="F58" s="234">
        <v>1465</v>
      </c>
      <c r="G58" s="234">
        <v>1557</v>
      </c>
      <c r="H58" s="234">
        <v>1670</v>
      </c>
      <c r="I58" s="207">
        <v>4692</v>
      </c>
      <c r="J58" s="207">
        <v>118257</v>
      </c>
      <c r="K58" s="207">
        <v>1670</v>
      </c>
      <c r="L58" s="207">
        <v>237802</v>
      </c>
      <c r="M58" s="207">
        <v>3022</v>
      </c>
      <c r="N58" s="207">
        <v>356059</v>
      </c>
      <c r="O58" s="234">
        <v>4692</v>
      </c>
      <c r="P58" s="207"/>
      <c r="Q58" s="234">
        <f t="shared" si="0"/>
        <v>-268921.70257401338</v>
      </c>
      <c r="R58" s="207">
        <v>147047.13004954299</v>
      </c>
      <c r="S58" s="234">
        <v>384849.13004954299</v>
      </c>
    </row>
    <row r="59" spans="1:19">
      <c r="A59" s="155" t="s">
        <v>2410</v>
      </c>
      <c r="B59" s="155" t="str">
        <f>IF(ISERROR(VLOOKUP($A59,Funding_Area_Names!$A$2:$K$249,7,FALSE))=TRUE,0,VLOOKUP($A59,Funding_Area_Names!$A$2:$K$249,7,FALSE))</f>
        <v>OSD A19</v>
      </c>
      <c r="C59" s="207">
        <v>-166893.24603700041</v>
      </c>
      <c r="D59" s="234">
        <v>-142002.282034028</v>
      </c>
      <c r="E59" s="234">
        <v>17589.468467704024</v>
      </c>
      <c r="F59" s="234">
        <v>0</v>
      </c>
      <c r="G59" s="234">
        <v>0</v>
      </c>
      <c r="H59" s="234">
        <v>0</v>
      </c>
      <c r="I59" s="207">
        <v>0</v>
      </c>
      <c r="J59" s="207">
        <v>56196</v>
      </c>
      <c r="K59" s="207">
        <v>0</v>
      </c>
      <c r="L59" s="207">
        <v>183447</v>
      </c>
      <c r="M59" s="207">
        <v>0</v>
      </c>
      <c r="N59" s="207">
        <v>239643</v>
      </c>
      <c r="O59" s="234">
        <v>0</v>
      </c>
      <c r="P59" s="207"/>
      <c r="Q59" s="234">
        <f t="shared" si="0"/>
        <v>-129549.8951642521</v>
      </c>
      <c r="R59" s="207">
        <v>69877.136408534949</v>
      </c>
      <c r="S59" s="234">
        <v>253324.13640853495</v>
      </c>
    </row>
    <row r="60" spans="1:19">
      <c r="A60" s="155" t="s">
        <v>2443</v>
      </c>
      <c r="B60" s="155" t="str">
        <f>IF(ISERROR(VLOOKUP($A60,Funding_Area_Names!$A$2:$K$249,7,FALSE))=TRUE,0,VLOOKUP($A60,Funding_Area_Names!$A$2:$K$249,7,FALSE))</f>
        <v>OSD A20</v>
      </c>
      <c r="C60" s="207">
        <v>0</v>
      </c>
      <c r="D60" s="234">
        <v>0</v>
      </c>
      <c r="E60" s="234">
        <v>0</v>
      </c>
      <c r="F60" s="234">
        <v>0</v>
      </c>
      <c r="G60" s="234">
        <v>0</v>
      </c>
      <c r="H60" s="234">
        <v>0</v>
      </c>
      <c r="I60" s="207">
        <v>0</v>
      </c>
      <c r="J60" s="207">
        <v>0</v>
      </c>
      <c r="K60" s="207">
        <v>0</v>
      </c>
      <c r="L60" s="207">
        <v>0</v>
      </c>
      <c r="M60" s="207">
        <v>0</v>
      </c>
      <c r="N60" s="207">
        <v>0</v>
      </c>
      <c r="O60" s="234">
        <v>0</v>
      </c>
      <c r="P60" s="207"/>
      <c r="Q60" s="234">
        <f t="shared" si="0"/>
        <v>0</v>
      </c>
      <c r="R60" s="207">
        <v>0</v>
      </c>
      <c r="S60" s="234">
        <v>0</v>
      </c>
    </row>
    <row r="61" spans="1:19">
      <c r="A61" s="155" t="s">
        <v>3012</v>
      </c>
      <c r="B61" s="155">
        <f>IF(ISERROR(VLOOKUP($A61,Funding_Area_Names!$A$2:$K$249,7,FALSE))=TRUE,0,VLOOKUP($A61,Funding_Area_Names!$A$2:$K$249,7,FALSE))</f>
        <v>0</v>
      </c>
      <c r="C61" s="207">
        <v>0</v>
      </c>
      <c r="D61" s="234">
        <v>0</v>
      </c>
      <c r="E61" s="234">
        <v>0</v>
      </c>
      <c r="F61" s="234">
        <v>0</v>
      </c>
      <c r="G61" s="234">
        <v>0</v>
      </c>
      <c r="H61" s="234">
        <v>0</v>
      </c>
      <c r="I61" s="207">
        <v>0</v>
      </c>
      <c r="J61" s="207">
        <v>0</v>
      </c>
      <c r="K61" s="207">
        <v>0</v>
      </c>
      <c r="L61" s="207">
        <v>0</v>
      </c>
      <c r="M61" s="207">
        <v>0</v>
      </c>
      <c r="N61" s="207">
        <v>0</v>
      </c>
      <c r="O61" s="234">
        <v>0</v>
      </c>
      <c r="P61" s="207"/>
      <c r="Q61" s="234">
        <f t="shared" si="0"/>
        <v>0</v>
      </c>
      <c r="R61" s="207">
        <v>0</v>
      </c>
      <c r="S61" s="234">
        <v>0</v>
      </c>
    </row>
    <row r="62" spans="1:19">
      <c r="A62" s="155" t="s">
        <v>853</v>
      </c>
      <c r="B62" s="155" t="str">
        <f>IF(ISERROR(VLOOKUP($A62,Funding_Area_Names!$A$2:$K$249,7,FALSE))=TRUE,0,VLOOKUP($A62,Funding_Area_Names!$A$2:$K$249,7,FALSE))</f>
        <v>OSL A1</v>
      </c>
      <c r="C62" s="207">
        <v>-29001878.942343134</v>
      </c>
      <c r="D62" s="234">
        <v>-24676450.910268165</v>
      </c>
      <c r="E62" s="234">
        <v>10240206.936377496</v>
      </c>
      <c r="F62" s="234">
        <v>1695302</v>
      </c>
      <c r="G62" s="234">
        <v>1932882</v>
      </c>
      <c r="H62" s="234">
        <v>2420847</v>
      </c>
      <c r="I62" s="207">
        <v>6049031</v>
      </c>
      <c r="J62" s="207">
        <v>3044021</v>
      </c>
      <c r="K62" s="207">
        <v>2420847</v>
      </c>
      <c r="L62" s="207">
        <v>6243362</v>
      </c>
      <c r="M62" s="207">
        <v>3628184</v>
      </c>
      <c r="N62" s="207">
        <v>9287383</v>
      </c>
      <c r="O62" s="234">
        <v>6049031</v>
      </c>
      <c r="P62" s="207"/>
      <c r="Q62" s="234">
        <f t="shared" si="0"/>
        <v>-22512537.000532128</v>
      </c>
      <c r="R62" s="207">
        <v>3785099.840690529</v>
      </c>
      <c r="S62" s="234">
        <v>10028461.840690529</v>
      </c>
    </row>
    <row r="63" spans="1:19">
      <c r="A63" s="155" t="s">
        <v>2411</v>
      </c>
      <c r="B63" s="155" t="str">
        <f>IF(ISERROR(VLOOKUP($A63,Funding_Area_Names!$A$2:$K$249,7,FALSE))=TRUE,0,VLOOKUP($A63,Funding_Area_Names!$A$2:$K$249,7,FALSE))</f>
        <v>OSL A5</v>
      </c>
      <c r="C63" s="207">
        <v>-0.53723817096585347</v>
      </c>
      <c r="D63" s="234">
        <v>-0.45711284359599019</v>
      </c>
      <c r="E63" s="234">
        <v>0</v>
      </c>
      <c r="F63" s="234">
        <v>0</v>
      </c>
      <c r="G63" s="234">
        <v>0</v>
      </c>
      <c r="H63" s="234">
        <v>0</v>
      </c>
      <c r="I63" s="207">
        <v>0</v>
      </c>
      <c r="J63" s="207">
        <v>0</v>
      </c>
      <c r="K63" s="207">
        <v>0</v>
      </c>
      <c r="L63" s="207">
        <v>0</v>
      </c>
      <c r="M63" s="207">
        <v>0</v>
      </c>
      <c r="N63" s="207">
        <v>0</v>
      </c>
      <c r="O63" s="234">
        <v>0</v>
      </c>
      <c r="P63" s="207"/>
      <c r="Q63" s="234">
        <f t="shared" si="0"/>
        <v>-0.41702795277545662</v>
      </c>
      <c r="R63" s="207">
        <v>0</v>
      </c>
      <c r="S63" s="234">
        <v>0</v>
      </c>
    </row>
    <row r="64" spans="1:19">
      <c r="A64" s="155" t="s">
        <v>2555</v>
      </c>
      <c r="B64" s="155" t="str">
        <f>IF(ISERROR(VLOOKUP($A64,Funding_Area_Names!$A$2:$K$249,7,FALSE))=TRUE,0,VLOOKUP($A64,Funding_Area_Names!$A$2:$K$249,7,FALSE))</f>
        <v>OSL A14</v>
      </c>
      <c r="C64" s="207">
        <v>-230560.06861519825</v>
      </c>
      <c r="D64" s="234">
        <v>-196173.64193408837</v>
      </c>
      <c r="E64" s="234">
        <v>64048.490778666957</v>
      </c>
      <c r="F64" s="234">
        <v>0</v>
      </c>
      <c r="G64" s="234">
        <v>0</v>
      </c>
      <c r="H64" s="234">
        <v>0</v>
      </c>
      <c r="I64" s="207">
        <v>0</v>
      </c>
      <c r="J64" s="207">
        <v>95727</v>
      </c>
      <c r="K64" s="207">
        <v>0</v>
      </c>
      <c r="L64" s="207">
        <v>196763</v>
      </c>
      <c r="M64" s="207">
        <v>0</v>
      </c>
      <c r="N64" s="207">
        <v>292490</v>
      </c>
      <c r="O64" s="234">
        <v>0</v>
      </c>
      <c r="P64" s="207"/>
      <c r="Q64" s="234">
        <f t="shared" si="0"/>
        <v>-178970.88964007393</v>
      </c>
      <c r="R64" s="207">
        <v>119032.11326393027</v>
      </c>
      <c r="S64" s="234">
        <v>315795.11326393025</v>
      </c>
    </row>
    <row r="65" spans="1:19">
      <c r="A65" s="155" t="s">
        <v>2428</v>
      </c>
      <c r="B65" s="155" t="str">
        <f>IF(ISERROR(VLOOKUP($A65,Funding_Area_Names!$A$2:$K$249,7,FALSE))=TRUE,0,VLOOKUP($A65,Funding_Area_Names!$A$2:$K$249,7,FALSE))</f>
        <v>OSL A2</v>
      </c>
      <c r="C65" s="207">
        <v>-10647089.148875536</v>
      </c>
      <c r="D65" s="234">
        <v>-9059150.0378923118</v>
      </c>
      <c r="E65" s="234">
        <v>3588978.3591857771</v>
      </c>
      <c r="F65" s="234">
        <v>6837</v>
      </c>
      <c r="G65" s="234">
        <v>61905</v>
      </c>
      <c r="H65" s="234">
        <v>211145</v>
      </c>
      <c r="I65" s="207">
        <v>279887</v>
      </c>
      <c r="J65" s="207">
        <v>1129603</v>
      </c>
      <c r="K65" s="207">
        <v>211145</v>
      </c>
      <c r="L65" s="207">
        <v>1491818</v>
      </c>
      <c r="M65" s="207">
        <v>68742</v>
      </c>
      <c r="N65" s="207">
        <v>2621421</v>
      </c>
      <c r="O65" s="234">
        <v>279887</v>
      </c>
      <c r="P65" s="207"/>
      <c r="Q65" s="234">
        <f t="shared" si="0"/>
        <v>-8264739.9807627518</v>
      </c>
      <c r="R65" s="207">
        <v>1404609.2767899905</v>
      </c>
      <c r="S65" s="234">
        <v>2896427.2767899903</v>
      </c>
    </row>
    <row r="66" spans="1:19">
      <c r="A66" s="155" t="s">
        <v>2412</v>
      </c>
      <c r="B66" s="155" t="str">
        <f>IF(ISERROR(VLOOKUP($A66,Funding_Area_Names!$A$2:$K$249,7,FALSE))=TRUE,0,VLOOKUP($A66,Funding_Area_Names!$A$2:$K$249,7,FALSE))</f>
        <v>OSL A6</v>
      </c>
      <c r="C66" s="207">
        <v>-6.7076658591165391E-17</v>
      </c>
      <c r="D66" s="234">
        <v>-5.7072642646372674E-17</v>
      </c>
      <c r="E66" s="234">
        <v>0</v>
      </c>
      <c r="F66" s="234">
        <v>0</v>
      </c>
      <c r="G66" s="234">
        <v>0</v>
      </c>
      <c r="H66" s="234">
        <v>0</v>
      </c>
      <c r="I66" s="207">
        <v>0</v>
      </c>
      <c r="J66" s="207">
        <v>0</v>
      </c>
      <c r="K66" s="207">
        <v>0</v>
      </c>
      <c r="L66" s="207">
        <v>0</v>
      </c>
      <c r="M66" s="207">
        <v>0</v>
      </c>
      <c r="N66" s="207">
        <v>0</v>
      </c>
      <c r="O66" s="234">
        <v>0</v>
      </c>
      <c r="P66" s="207"/>
      <c r="Q66" s="234">
        <f t="shared" si="0"/>
        <v>-5.2067859513783293E-17</v>
      </c>
      <c r="R66" s="207">
        <v>0</v>
      </c>
      <c r="S66" s="234">
        <v>0</v>
      </c>
    </row>
    <row r="67" spans="1:19">
      <c r="A67" s="155" t="s">
        <v>2413</v>
      </c>
      <c r="B67" s="155" t="str">
        <f>IF(ISERROR(VLOOKUP($A67,Funding_Area_Names!$A$2:$K$249,7,FALSE))=TRUE,0,VLOOKUP($A67,Funding_Area_Names!$A$2:$K$249,7,FALSE))</f>
        <v>OSL A7</v>
      </c>
      <c r="C67" s="207">
        <v>0.27291320626948334</v>
      </c>
      <c r="D67" s="234">
        <v>0.23221010440948681</v>
      </c>
      <c r="E67" s="234">
        <v>0</v>
      </c>
      <c r="F67" s="234">
        <v>0</v>
      </c>
      <c r="G67" s="234">
        <v>0</v>
      </c>
      <c r="H67" s="234">
        <v>0</v>
      </c>
      <c r="I67" s="207">
        <v>0</v>
      </c>
      <c r="J67" s="207">
        <v>0</v>
      </c>
      <c r="K67" s="207">
        <v>0</v>
      </c>
      <c r="L67" s="207">
        <v>0</v>
      </c>
      <c r="M67" s="207">
        <v>0</v>
      </c>
      <c r="N67" s="207">
        <v>0</v>
      </c>
      <c r="O67" s="234">
        <v>0</v>
      </c>
      <c r="P67" s="207"/>
      <c r="Q67" s="234">
        <f t="shared" si="0"/>
        <v>0.21184726225118208</v>
      </c>
      <c r="R67" s="207">
        <v>0</v>
      </c>
      <c r="S67" s="234">
        <v>0</v>
      </c>
    </row>
    <row r="68" spans="1:19">
      <c r="A68" s="155" t="s">
        <v>2414</v>
      </c>
      <c r="B68" s="155" t="str">
        <f>IF(ISERROR(VLOOKUP($A68,Funding_Area_Names!$A$2:$K$249,7,FALSE))=TRUE,0,VLOOKUP($A68,Funding_Area_Names!$A$2:$K$249,7,FALSE))</f>
        <v>OSL A8</v>
      </c>
      <c r="C68" s="207">
        <v>0</v>
      </c>
      <c r="D68" s="234">
        <v>0</v>
      </c>
      <c r="E68" s="234">
        <v>0</v>
      </c>
      <c r="F68" s="234">
        <v>0</v>
      </c>
      <c r="G68" s="234">
        <v>0</v>
      </c>
      <c r="H68" s="234">
        <v>0</v>
      </c>
      <c r="I68" s="207">
        <v>0</v>
      </c>
      <c r="J68" s="207">
        <v>0</v>
      </c>
      <c r="K68" s="207">
        <v>0</v>
      </c>
      <c r="L68" s="207">
        <v>0</v>
      </c>
      <c r="M68" s="207">
        <v>0</v>
      </c>
      <c r="N68" s="207">
        <v>0</v>
      </c>
      <c r="O68" s="234">
        <v>0</v>
      </c>
      <c r="P68" s="207"/>
      <c r="Q68" s="234">
        <f t="shared" si="0"/>
        <v>0</v>
      </c>
      <c r="R68" s="207">
        <v>0</v>
      </c>
      <c r="S68" s="234">
        <v>0</v>
      </c>
    </row>
    <row r="69" spans="1:19">
      <c r="A69" s="155" t="s">
        <v>2415</v>
      </c>
      <c r="B69" s="155" t="str">
        <f>IF(ISERROR(VLOOKUP($A69,Funding_Area_Names!$A$2:$K$249,7,FALSE))=TRUE,0,VLOOKUP($A69,Funding_Area_Names!$A$2:$K$249,7,FALSE))</f>
        <v>OSL A9</v>
      </c>
      <c r="C69" s="207">
        <v>0</v>
      </c>
      <c r="D69" s="234">
        <v>0</v>
      </c>
      <c r="E69" s="234">
        <v>0</v>
      </c>
      <c r="F69" s="234">
        <v>0</v>
      </c>
      <c r="G69" s="234">
        <v>0</v>
      </c>
      <c r="H69" s="234">
        <v>0</v>
      </c>
      <c r="I69" s="207">
        <v>0</v>
      </c>
      <c r="J69" s="207">
        <v>0</v>
      </c>
      <c r="K69" s="207">
        <v>0</v>
      </c>
      <c r="L69" s="207">
        <v>0</v>
      </c>
      <c r="M69" s="207">
        <v>0</v>
      </c>
      <c r="N69" s="207">
        <v>0</v>
      </c>
      <c r="O69" s="234">
        <v>0</v>
      </c>
      <c r="P69" s="207"/>
      <c r="Q69" s="234">
        <f t="shared" si="0"/>
        <v>0</v>
      </c>
      <c r="R69" s="207">
        <v>0</v>
      </c>
      <c r="S69" s="234">
        <v>0</v>
      </c>
    </row>
    <row r="70" spans="1:19">
      <c r="A70" s="155" t="s">
        <v>2575</v>
      </c>
      <c r="B70" s="155" t="str">
        <f>IF(ISERROR(VLOOKUP($A70,Funding_Area_Names!$A$2:$K$249,7,FALSE))=TRUE,0,VLOOKUP($A70,Funding_Area_Names!$A$2:$K$249,7,FALSE))</f>
        <v>OSL A10</v>
      </c>
      <c r="C70" s="207">
        <v>2.7918648495727953E-2</v>
      </c>
      <c r="D70" s="234">
        <v>2.3754776732069289E-2</v>
      </c>
      <c r="E70" s="234">
        <v>0</v>
      </c>
      <c r="F70" s="234">
        <v>0</v>
      </c>
      <c r="G70" s="234">
        <v>0</v>
      </c>
      <c r="H70" s="234">
        <v>0</v>
      </c>
      <c r="I70" s="207">
        <v>0</v>
      </c>
      <c r="J70" s="207">
        <v>0</v>
      </c>
      <c r="K70" s="207">
        <v>0</v>
      </c>
      <c r="L70" s="207">
        <v>0</v>
      </c>
      <c r="M70" s="207">
        <v>0</v>
      </c>
      <c r="N70" s="207">
        <v>0</v>
      </c>
      <c r="O70" s="234">
        <v>0</v>
      </c>
      <c r="P70" s="207"/>
      <c r="Q70" s="234">
        <f t="shared" si="0"/>
        <v>2.1671685772995868E-2</v>
      </c>
      <c r="R70" s="207">
        <v>0</v>
      </c>
      <c r="S70" s="234">
        <v>0</v>
      </c>
    </row>
    <row r="71" spans="1:19">
      <c r="A71" s="155" t="s">
        <v>2576</v>
      </c>
      <c r="B71" s="155" t="str">
        <f>IF(ISERROR(VLOOKUP($A71,Funding_Area_Names!$A$2:$K$249,7,FALSE))=TRUE,0,VLOOKUP($A71,Funding_Area_Names!$A$2:$K$249,7,FALSE))</f>
        <v>OSL A11</v>
      </c>
      <c r="C71" s="207">
        <v>-0.28392923347553467</v>
      </c>
      <c r="D71" s="234">
        <v>-0.24158316796570417</v>
      </c>
      <c r="E71" s="234">
        <v>0</v>
      </c>
      <c r="F71" s="234">
        <v>0</v>
      </c>
      <c r="G71" s="234">
        <v>0</v>
      </c>
      <c r="H71" s="234">
        <v>0</v>
      </c>
      <c r="I71" s="207">
        <v>0</v>
      </c>
      <c r="J71" s="207">
        <v>0</v>
      </c>
      <c r="K71" s="207">
        <v>0</v>
      </c>
      <c r="L71" s="207">
        <v>0</v>
      </c>
      <c r="M71" s="207">
        <v>0</v>
      </c>
      <c r="N71" s="207">
        <v>0</v>
      </c>
      <c r="O71" s="234">
        <v>0</v>
      </c>
      <c r="P71" s="207"/>
      <c r="Q71" s="234">
        <f t="shared" si="0"/>
        <v>-0.22039838821678348</v>
      </c>
      <c r="R71" s="207">
        <v>0</v>
      </c>
      <c r="S71" s="234">
        <v>0</v>
      </c>
    </row>
    <row r="72" spans="1:19">
      <c r="A72" s="155" t="s">
        <v>2577</v>
      </c>
      <c r="B72" s="155" t="str">
        <f>IF(ISERROR(VLOOKUP($A72,Funding_Area_Names!$A$2:$K$249,7,FALSE))=TRUE,0,VLOOKUP($A72,Funding_Area_Names!$A$2:$K$249,7,FALSE))</f>
        <v>OSL A12</v>
      </c>
      <c r="C72" s="207">
        <v>-3.1789828173276256E-3</v>
      </c>
      <c r="D72" s="234">
        <v>-2.704859695205434E-3</v>
      </c>
      <c r="E72" s="234">
        <v>0</v>
      </c>
      <c r="F72" s="234">
        <v>0</v>
      </c>
      <c r="G72" s="234">
        <v>0</v>
      </c>
      <c r="H72" s="234">
        <v>0</v>
      </c>
      <c r="I72" s="207">
        <v>0</v>
      </c>
      <c r="J72" s="207">
        <v>0</v>
      </c>
      <c r="K72" s="207">
        <v>0</v>
      </c>
      <c r="L72" s="207">
        <v>0</v>
      </c>
      <c r="M72" s="207">
        <v>0</v>
      </c>
      <c r="N72" s="207">
        <v>0</v>
      </c>
      <c r="O72" s="234">
        <v>0</v>
      </c>
      <c r="P72" s="207"/>
      <c r="Q72" s="234">
        <f t="shared" ref="Q72:Q135" si="1">D72*$Q$153/$D$151</f>
        <v>-2.467666610202117E-3</v>
      </c>
      <c r="R72" s="207">
        <v>0</v>
      </c>
      <c r="S72" s="234">
        <v>0</v>
      </c>
    </row>
    <row r="73" spans="1:19">
      <c r="A73" s="155" t="s">
        <v>2578</v>
      </c>
      <c r="B73" s="155" t="str">
        <f>IF(ISERROR(VLOOKUP($A73,Funding_Area_Names!$A$2:$K$249,7,FALSE))=TRUE,0,VLOOKUP($A73,Funding_Area_Names!$A$2:$K$249,7,FALSE))</f>
        <v>OSL A13</v>
      </c>
      <c r="C73" s="207">
        <v>0</v>
      </c>
      <c r="D73" s="234">
        <v>0</v>
      </c>
      <c r="E73" s="234">
        <v>0</v>
      </c>
      <c r="F73" s="234">
        <v>0</v>
      </c>
      <c r="G73" s="234">
        <v>0</v>
      </c>
      <c r="H73" s="234">
        <v>0</v>
      </c>
      <c r="I73" s="207">
        <v>0</v>
      </c>
      <c r="J73" s="207">
        <v>0</v>
      </c>
      <c r="K73" s="207">
        <v>0</v>
      </c>
      <c r="L73" s="207">
        <v>0</v>
      </c>
      <c r="M73" s="207">
        <v>0</v>
      </c>
      <c r="N73" s="207">
        <v>0</v>
      </c>
      <c r="O73" s="234">
        <v>0</v>
      </c>
      <c r="P73" s="207"/>
      <c r="Q73" s="234">
        <f t="shared" si="1"/>
        <v>0</v>
      </c>
      <c r="R73" s="207">
        <v>0</v>
      </c>
      <c r="S73" s="234">
        <v>0</v>
      </c>
    </row>
    <row r="74" spans="1:19">
      <c r="A74" s="155" t="s">
        <v>2422</v>
      </c>
      <c r="B74" s="155" t="str">
        <f>IF(ISERROR(VLOOKUP($A74,Funding_Area_Names!$A$2:$K$249,7,FALSE))=TRUE,0,VLOOKUP($A74,Funding_Area_Names!$A$2:$K$249,7,FALSE))</f>
        <v>OSL A21</v>
      </c>
      <c r="C74" s="207">
        <v>0</v>
      </c>
      <c r="D74" s="234">
        <v>0</v>
      </c>
      <c r="E74" s="234">
        <v>0</v>
      </c>
      <c r="F74" s="234">
        <v>0</v>
      </c>
      <c r="G74" s="234">
        <v>0</v>
      </c>
      <c r="H74" s="234">
        <v>0</v>
      </c>
      <c r="I74" s="207">
        <v>0</v>
      </c>
      <c r="J74" s="207">
        <v>0</v>
      </c>
      <c r="K74" s="207">
        <v>0</v>
      </c>
      <c r="L74" s="207">
        <v>0</v>
      </c>
      <c r="M74" s="207">
        <v>0</v>
      </c>
      <c r="N74" s="207">
        <v>0</v>
      </c>
      <c r="O74" s="234">
        <v>0</v>
      </c>
      <c r="P74" s="207"/>
      <c r="Q74" s="234">
        <f t="shared" si="1"/>
        <v>0</v>
      </c>
      <c r="R74" s="207">
        <v>0</v>
      </c>
      <c r="S74" s="234">
        <v>0</v>
      </c>
    </row>
    <row r="75" spans="1:19">
      <c r="A75" s="155" t="s">
        <v>2430</v>
      </c>
      <c r="B75" s="155" t="str">
        <f>IF(ISERROR(VLOOKUP($A75,Funding_Area_Names!$A$2:$K$249,7,FALSE))=TRUE,0,VLOOKUP($A75,Funding_Area_Names!$A$2:$K$249,7,FALSE))</f>
        <v>OSL A4</v>
      </c>
      <c r="C75" s="207">
        <v>0.21717376979284383</v>
      </c>
      <c r="D75" s="234">
        <v>0.18478381624670065</v>
      </c>
      <c r="E75" s="234">
        <v>0</v>
      </c>
      <c r="F75" s="234">
        <v>0</v>
      </c>
      <c r="G75" s="234">
        <v>0</v>
      </c>
      <c r="H75" s="234">
        <v>0</v>
      </c>
      <c r="I75" s="207">
        <v>0</v>
      </c>
      <c r="J75" s="207">
        <v>0</v>
      </c>
      <c r="K75" s="207">
        <v>0</v>
      </c>
      <c r="L75" s="207">
        <v>0</v>
      </c>
      <c r="M75" s="207">
        <v>0</v>
      </c>
      <c r="N75" s="207">
        <v>0</v>
      </c>
      <c r="O75" s="234">
        <v>0</v>
      </c>
      <c r="P75" s="207"/>
      <c r="Q75" s="234">
        <f t="shared" si="1"/>
        <v>0.16857985435103121</v>
      </c>
      <c r="R75" s="207">
        <v>0</v>
      </c>
      <c r="S75" s="234">
        <v>0</v>
      </c>
    </row>
    <row r="76" spans="1:19">
      <c r="A76" s="155" t="s">
        <v>2423</v>
      </c>
      <c r="B76" s="155" t="str">
        <f>IF(ISERROR(VLOOKUP($A76,Funding_Area_Names!$A$2:$K$249,7,FALSE))=TRUE,0,VLOOKUP($A76,Funding_Area_Names!$A$2:$K$249,7,FALSE))</f>
        <v>OSL A22</v>
      </c>
      <c r="C76" s="207">
        <v>0</v>
      </c>
      <c r="D76" s="234">
        <v>0</v>
      </c>
      <c r="E76" s="234">
        <v>0</v>
      </c>
      <c r="F76" s="234">
        <v>0</v>
      </c>
      <c r="G76" s="234">
        <v>0</v>
      </c>
      <c r="H76" s="234">
        <v>0</v>
      </c>
      <c r="I76" s="207">
        <v>0</v>
      </c>
      <c r="J76" s="207">
        <v>0</v>
      </c>
      <c r="K76" s="207">
        <v>0</v>
      </c>
      <c r="L76" s="207">
        <v>0</v>
      </c>
      <c r="M76" s="207">
        <v>0</v>
      </c>
      <c r="N76" s="207">
        <v>0</v>
      </c>
      <c r="O76" s="234">
        <v>0</v>
      </c>
      <c r="P76" s="207"/>
      <c r="Q76" s="234">
        <f t="shared" si="1"/>
        <v>0</v>
      </c>
      <c r="R76" s="207">
        <v>0</v>
      </c>
      <c r="S76" s="234">
        <v>0</v>
      </c>
    </row>
    <row r="77" spans="1:19">
      <c r="A77" s="155" t="s">
        <v>2424</v>
      </c>
      <c r="B77" s="155" t="str">
        <f>IF(ISERROR(VLOOKUP($A77,Funding_Area_Names!$A$2:$K$249,7,FALSE))=TRUE,0,VLOOKUP($A77,Funding_Area_Names!$A$2:$K$249,7,FALSE))</f>
        <v>OSL A23</v>
      </c>
      <c r="C77" s="207">
        <v>0</v>
      </c>
      <c r="D77" s="234">
        <v>0</v>
      </c>
      <c r="E77" s="234">
        <v>0</v>
      </c>
      <c r="F77" s="234">
        <v>0</v>
      </c>
      <c r="G77" s="234">
        <v>0</v>
      </c>
      <c r="H77" s="234">
        <v>0</v>
      </c>
      <c r="I77" s="207">
        <v>0</v>
      </c>
      <c r="J77" s="207">
        <v>0</v>
      </c>
      <c r="K77" s="207">
        <v>0</v>
      </c>
      <c r="L77" s="207">
        <v>0</v>
      </c>
      <c r="M77" s="207">
        <v>0</v>
      </c>
      <c r="N77" s="207">
        <v>0</v>
      </c>
      <c r="O77" s="234">
        <v>0</v>
      </c>
      <c r="P77" s="207"/>
      <c r="Q77" s="234">
        <f t="shared" si="1"/>
        <v>0</v>
      </c>
      <c r="R77" s="207">
        <v>0</v>
      </c>
      <c r="S77" s="234">
        <v>0</v>
      </c>
    </row>
    <row r="78" spans="1:19">
      <c r="A78" s="155" t="s">
        <v>2579</v>
      </c>
      <c r="B78" s="155" t="str">
        <f>IF(ISERROR(VLOOKUP($A78,Funding_Area_Names!$A$2:$K$249,7,FALSE))=TRUE,0,VLOOKUP($A78,Funding_Area_Names!$A$2:$K$249,7,FALSE))</f>
        <v>OSL A24</v>
      </c>
      <c r="C78" s="207">
        <v>0</v>
      </c>
      <c r="D78" s="234">
        <v>0</v>
      </c>
      <c r="E78" s="234">
        <v>0</v>
      </c>
      <c r="F78" s="234">
        <v>0</v>
      </c>
      <c r="G78" s="234">
        <v>0</v>
      </c>
      <c r="H78" s="234">
        <v>0</v>
      </c>
      <c r="I78" s="207">
        <v>0</v>
      </c>
      <c r="J78" s="207">
        <v>0</v>
      </c>
      <c r="K78" s="207">
        <v>0</v>
      </c>
      <c r="L78" s="207">
        <v>0</v>
      </c>
      <c r="M78" s="207">
        <v>0</v>
      </c>
      <c r="N78" s="207">
        <v>0</v>
      </c>
      <c r="O78" s="234">
        <v>0</v>
      </c>
      <c r="P78" s="207"/>
      <c r="Q78" s="234">
        <f t="shared" si="1"/>
        <v>0</v>
      </c>
      <c r="R78" s="207">
        <v>0</v>
      </c>
      <c r="S78" s="234">
        <v>0</v>
      </c>
    </row>
    <row r="79" spans="1:19">
      <c r="A79" s="155" t="s">
        <v>2580</v>
      </c>
      <c r="B79" s="155" t="str">
        <f>IF(ISERROR(VLOOKUP($A79,Funding_Area_Names!$A$2:$K$249,7,FALSE))=TRUE,0,VLOOKUP($A79,Funding_Area_Names!$A$2:$K$249,7,FALSE))</f>
        <v>OSL A25</v>
      </c>
      <c r="C79" s="207">
        <v>0</v>
      </c>
      <c r="D79" s="234">
        <v>0</v>
      </c>
      <c r="E79" s="234">
        <v>0</v>
      </c>
      <c r="F79" s="234">
        <v>0</v>
      </c>
      <c r="G79" s="234">
        <v>0</v>
      </c>
      <c r="H79" s="234">
        <v>0</v>
      </c>
      <c r="I79" s="207">
        <v>0</v>
      </c>
      <c r="J79" s="207">
        <v>0</v>
      </c>
      <c r="K79" s="207">
        <v>0</v>
      </c>
      <c r="L79" s="207">
        <v>0</v>
      </c>
      <c r="M79" s="207">
        <v>0</v>
      </c>
      <c r="N79" s="207">
        <v>0</v>
      </c>
      <c r="O79" s="234">
        <v>0</v>
      </c>
      <c r="P79" s="207"/>
      <c r="Q79" s="234">
        <f t="shared" si="1"/>
        <v>0</v>
      </c>
      <c r="R79" s="207">
        <v>0</v>
      </c>
      <c r="S79" s="234">
        <v>0</v>
      </c>
    </row>
    <row r="80" spans="1:19">
      <c r="A80" s="155" t="s">
        <v>2581</v>
      </c>
      <c r="B80" s="155" t="str">
        <f>IF(ISERROR(VLOOKUP($A80,Funding_Area_Names!$A$2:$K$249,7,FALSE))=TRUE,0,VLOOKUP($A80,Funding_Area_Names!$A$2:$K$249,7,FALSE))</f>
        <v>OSL A26</v>
      </c>
      <c r="C80" s="207">
        <v>0</v>
      </c>
      <c r="D80" s="234">
        <v>0</v>
      </c>
      <c r="E80" s="234">
        <v>0</v>
      </c>
      <c r="F80" s="234">
        <v>0</v>
      </c>
      <c r="G80" s="234">
        <v>0</v>
      </c>
      <c r="H80" s="234">
        <v>0</v>
      </c>
      <c r="I80" s="207">
        <v>0</v>
      </c>
      <c r="J80" s="207">
        <v>0</v>
      </c>
      <c r="K80" s="207">
        <v>0</v>
      </c>
      <c r="L80" s="207">
        <v>0</v>
      </c>
      <c r="M80" s="207">
        <v>0</v>
      </c>
      <c r="N80" s="207">
        <v>0</v>
      </c>
      <c r="O80" s="234">
        <v>0</v>
      </c>
      <c r="P80" s="207"/>
      <c r="Q80" s="234">
        <f t="shared" si="1"/>
        <v>0</v>
      </c>
      <c r="R80" s="207">
        <v>0</v>
      </c>
      <c r="S80" s="234">
        <v>0</v>
      </c>
    </row>
    <row r="81" spans="1:19">
      <c r="A81" s="155" t="s">
        <v>2416</v>
      </c>
      <c r="B81" s="155" t="str">
        <f>IF(ISERROR(VLOOKUP($A81,Funding_Area_Names!$A$2:$K$249,7,FALSE))=TRUE,0,VLOOKUP($A81,Funding_Area_Names!$A$2:$K$249,7,FALSE))</f>
        <v>OSL A15</v>
      </c>
      <c r="C81" s="207">
        <v>0</v>
      </c>
      <c r="D81" s="234">
        <v>0</v>
      </c>
      <c r="E81" s="234">
        <v>59764.496252387529</v>
      </c>
      <c r="F81" s="234">
        <v>0</v>
      </c>
      <c r="G81" s="234">
        <v>0</v>
      </c>
      <c r="H81" s="234">
        <v>0</v>
      </c>
      <c r="I81" s="207">
        <v>0</v>
      </c>
      <c r="J81" s="207">
        <v>-16434</v>
      </c>
      <c r="K81" s="207">
        <v>0</v>
      </c>
      <c r="L81" s="207">
        <v>31931</v>
      </c>
      <c r="M81" s="207">
        <v>0</v>
      </c>
      <c r="N81" s="207">
        <v>15497</v>
      </c>
      <c r="O81" s="234">
        <v>0</v>
      </c>
      <c r="P81" s="207"/>
      <c r="Q81" s="234">
        <f t="shared" si="1"/>
        <v>0</v>
      </c>
      <c r="R81" s="207">
        <v>-20434.9216979476</v>
      </c>
      <c r="S81" s="234">
        <v>11496.0783020524</v>
      </c>
    </row>
    <row r="82" spans="1:19">
      <c r="A82" s="155" t="s">
        <v>2429</v>
      </c>
      <c r="B82" s="155" t="str">
        <f>IF(ISERROR(VLOOKUP($A82,Funding_Area_Names!$A$2:$K$249,7,FALSE))=TRUE,0,VLOOKUP($A82,Funding_Area_Names!$A$2:$K$249,7,FALSE))</f>
        <v>OSL A3</v>
      </c>
      <c r="C82" s="207">
        <v>-6746097.894759112</v>
      </c>
      <c r="D82" s="234">
        <v>-5739964.4301265785</v>
      </c>
      <c r="E82" s="234">
        <v>2186012.1764137349</v>
      </c>
      <c r="F82" s="234">
        <v>4102</v>
      </c>
      <c r="G82" s="234">
        <v>37143</v>
      </c>
      <c r="H82" s="234">
        <v>126687</v>
      </c>
      <c r="I82" s="207">
        <v>167932</v>
      </c>
      <c r="J82" s="207">
        <v>488333</v>
      </c>
      <c r="K82" s="207">
        <v>126687</v>
      </c>
      <c r="L82" s="207">
        <v>753421</v>
      </c>
      <c r="M82" s="207">
        <v>41245</v>
      </c>
      <c r="N82" s="207">
        <v>1241754</v>
      </c>
      <c r="O82" s="234">
        <v>167932</v>
      </c>
      <c r="P82" s="207"/>
      <c r="Q82" s="234">
        <f t="shared" si="1"/>
        <v>-5236618.5917437766</v>
      </c>
      <c r="R82" s="207">
        <v>607219.5824220425</v>
      </c>
      <c r="S82" s="234">
        <v>1360640.5824220425</v>
      </c>
    </row>
    <row r="83" spans="1:19">
      <c r="A83" s="155" t="s">
        <v>2417</v>
      </c>
      <c r="B83" s="155" t="str">
        <f>IF(ISERROR(VLOOKUP($A83,Funding_Area_Names!$A$2:$K$249,7,FALSE))=TRUE,0,VLOOKUP($A83,Funding_Area_Names!$A$2:$K$249,7,FALSE))</f>
        <v>OSL A16</v>
      </c>
      <c r="C83" s="207">
        <v>-3820730.6851616572</v>
      </c>
      <c r="D83" s="234">
        <v>-3250895.3430632311</v>
      </c>
      <c r="E83" s="234">
        <v>920078.32217796205</v>
      </c>
      <c r="F83" s="234">
        <v>790078</v>
      </c>
      <c r="G83" s="234">
        <v>839689</v>
      </c>
      <c r="H83" s="234">
        <v>900766</v>
      </c>
      <c r="I83" s="207">
        <v>2530533</v>
      </c>
      <c r="J83" s="207">
        <v>1183078</v>
      </c>
      <c r="K83" s="207">
        <v>900766</v>
      </c>
      <c r="L83" s="207">
        <v>2658010</v>
      </c>
      <c r="M83" s="207">
        <v>1629767</v>
      </c>
      <c r="N83" s="207">
        <v>3841088</v>
      </c>
      <c r="O83" s="234">
        <v>2530533</v>
      </c>
      <c r="P83" s="207"/>
      <c r="Q83" s="234">
        <f t="shared" si="1"/>
        <v>-2965819.5970602506</v>
      </c>
      <c r="R83" s="207">
        <v>1471102.9750860687</v>
      </c>
      <c r="S83" s="234">
        <v>4129112.9750860687</v>
      </c>
    </row>
    <row r="84" spans="1:19">
      <c r="A84" s="155" t="s">
        <v>2418</v>
      </c>
      <c r="B84" s="155" t="str">
        <f>IF(ISERROR(VLOOKUP($A84,Funding_Area_Names!$A$2:$K$249,7,FALSE))=TRUE,0,VLOOKUP($A84,Funding_Area_Names!$A$2:$K$249,7,FALSE))</f>
        <v>OSL A17</v>
      </c>
      <c r="C84" s="207">
        <v>-160516.25015863837</v>
      </c>
      <c r="D84" s="234">
        <v>-136576.37062807311</v>
      </c>
      <c r="E84" s="234">
        <v>38631.16625005837</v>
      </c>
      <c r="F84" s="234">
        <v>1214</v>
      </c>
      <c r="G84" s="234">
        <v>1290</v>
      </c>
      <c r="H84" s="234">
        <v>1384</v>
      </c>
      <c r="I84" s="207">
        <v>3888</v>
      </c>
      <c r="J84" s="207">
        <v>54456</v>
      </c>
      <c r="K84" s="207">
        <v>1384</v>
      </c>
      <c r="L84" s="207">
        <v>117606</v>
      </c>
      <c r="M84" s="207">
        <v>2504</v>
      </c>
      <c r="N84" s="207">
        <v>172062</v>
      </c>
      <c r="O84" s="234">
        <v>3888</v>
      </c>
      <c r="P84" s="207"/>
      <c r="Q84" s="234">
        <f t="shared" si="1"/>
        <v>-124599.78982972281</v>
      </c>
      <c r="R84" s="207">
        <v>67713.526590205336</v>
      </c>
      <c r="S84" s="234">
        <v>185319.52659020532</v>
      </c>
    </row>
    <row r="85" spans="1:19">
      <c r="A85" s="155" t="s">
        <v>2419</v>
      </c>
      <c r="B85" s="155" t="str">
        <f>IF(ISERROR(VLOOKUP($A85,Funding_Area_Names!$A$2:$K$249,7,FALSE))=TRUE,0,VLOOKUP($A85,Funding_Area_Names!$A$2:$K$249,7,FALSE))</f>
        <v>OSL A18</v>
      </c>
      <c r="C85" s="207">
        <v>-386855.56718160037</v>
      </c>
      <c r="D85" s="234">
        <v>-329158.75664121524</v>
      </c>
      <c r="E85" s="234">
        <v>493905.8069725837</v>
      </c>
      <c r="F85" s="234">
        <v>99675</v>
      </c>
      <c r="G85" s="234">
        <v>105934</v>
      </c>
      <c r="H85" s="234">
        <v>113640</v>
      </c>
      <c r="I85" s="207">
        <v>319249</v>
      </c>
      <c r="J85" s="207">
        <v>132066</v>
      </c>
      <c r="K85" s="207">
        <v>113640</v>
      </c>
      <c r="L85" s="207">
        <v>640445</v>
      </c>
      <c r="M85" s="207">
        <v>205609</v>
      </c>
      <c r="N85" s="207">
        <v>772511</v>
      </c>
      <c r="O85" s="234">
        <v>319249</v>
      </c>
      <c r="P85" s="207"/>
      <c r="Q85" s="234">
        <f t="shared" si="1"/>
        <v>-300294.34600949998</v>
      </c>
      <c r="R85" s="207">
        <v>164217.98521121748</v>
      </c>
      <c r="S85" s="234">
        <v>804662.98521121754</v>
      </c>
    </row>
    <row r="86" spans="1:19">
      <c r="A86" s="155" t="s">
        <v>2420</v>
      </c>
      <c r="B86" s="155" t="str">
        <f>IF(ISERROR(VLOOKUP($A86,Funding_Area_Names!$A$2:$K$249,7,FALSE))=TRUE,0,VLOOKUP($A86,Funding_Area_Names!$A$2:$K$249,7,FALSE))</f>
        <v>OSL A19</v>
      </c>
      <c r="C86" s="207">
        <v>-570362.71657919476</v>
      </c>
      <c r="D86" s="234">
        <v>-485297.09418808355</v>
      </c>
      <c r="E86" s="234">
        <v>137495.24559133669</v>
      </c>
      <c r="F86" s="234">
        <v>0</v>
      </c>
      <c r="G86" s="234">
        <v>0</v>
      </c>
      <c r="H86" s="234">
        <v>0</v>
      </c>
      <c r="I86" s="207">
        <v>0</v>
      </c>
      <c r="J86" s="207">
        <v>192044</v>
      </c>
      <c r="K86" s="207">
        <v>0</v>
      </c>
      <c r="L86" s="207">
        <v>417887</v>
      </c>
      <c r="M86" s="207">
        <v>0</v>
      </c>
      <c r="N86" s="207">
        <v>609931</v>
      </c>
      <c r="O86" s="234">
        <v>0</v>
      </c>
      <c r="P86" s="207"/>
      <c r="Q86" s="234">
        <f t="shared" si="1"/>
        <v>-442740.68539628695</v>
      </c>
      <c r="R86" s="207">
        <v>238797.86433982287</v>
      </c>
      <c r="S86" s="234">
        <v>656684.8643398229</v>
      </c>
    </row>
    <row r="87" spans="1:19">
      <c r="A87" s="155" t="s">
        <v>2421</v>
      </c>
      <c r="B87" s="155" t="str">
        <f>IF(ISERROR(VLOOKUP($A87,Funding_Area_Names!$A$2:$K$249,7,FALSE))=TRUE,0,VLOOKUP($A87,Funding_Area_Names!$A$2:$K$249,7,FALSE))</f>
        <v>OSL A20</v>
      </c>
      <c r="C87" s="207">
        <v>0</v>
      </c>
      <c r="D87" s="234">
        <v>0</v>
      </c>
      <c r="E87" s="234">
        <v>0</v>
      </c>
      <c r="F87" s="234">
        <v>0</v>
      </c>
      <c r="G87" s="234">
        <v>0</v>
      </c>
      <c r="H87" s="234">
        <v>0</v>
      </c>
      <c r="I87" s="207">
        <v>0</v>
      </c>
      <c r="J87" s="207">
        <v>0</v>
      </c>
      <c r="K87" s="207">
        <v>0</v>
      </c>
      <c r="L87" s="207">
        <v>0</v>
      </c>
      <c r="M87" s="207">
        <v>0</v>
      </c>
      <c r="N87" s="207">
        <v>0</v>
      </c>
      <c r="O87" s="234">
        <v>0</v>
      </c>
      <c r="P87" s="207"/>
      <c r="Q87" s="234">
        <f t="shared" si="1"/>
        <v>0</v>
      </c>
      <c r="R87" s="207">
        <v>0</v>
      </c>
      <c r="S87" s="234">
        <v>0</v>
      </c>
    </row>
    <row r="88" spans="1:19">
      <c r="A88" s="155" t="s">
        <v>3013</v>
      </c>
      <c r="B88" s="155">
        <f>IF(ISERROR(VLOOKUP($A88,Funding_Area_Names!$A$2:$K$249,7,FALSE))=TRUE,0,VLOOKUP($A88,Funding_Area_Names!$A$2:$K$249,7,FALSE))</f>
        <v>0</v>
      </c>
      <c r="C88" s="207">
        <v>0</v>
      </c>
      <c r="D88" s="234">
        <v>0</v>
      </c>
      <c r="E88" s="234">
        <v>0</v>
      </c>
      <c r="F88" s="234">
        <v>0</v>
      </c>
      <c r="G88" s="234">
        <v>0</v>
      </c>
      <c r="H88" s="234">
        <v>0</v>
      </c>
      <c r="I88" s="207">
        <v>0</v>
      </c>
      <c r="J88" s="207">
        <v>0</v>
      </c>
      <c r="K88" s="207">
        <v>0</v>
      </c>
      <c r="L88" s="207">
        <v>0</v>
      </c>
      <c r="M88" s="207">
        <v>0</v>
      </c>
      <c r="N88" s="207">
        <v>0</v>
      </c>
      <c r="O88" s="234">
        <v>0</v>
      </c>
      <c r="P88" s="207"/>
      <c r="Q88" s="234">
        <f t="shared" si="1"/>
        <v>0</v>
      </c>
      <c r="R88" s="207">
        <v>0</v>
      </c>
      <c r="S88" s="234">
        <v>0</v>
      </c>
    </row>
    <row r="89" spans="1:19">
      <c r="A89" s="155" t="s">
        <v>3014</v>
      </c>
      <c r="B89" s="155">
        <f>IF(ISERROR(VLOOKUP($A89,Funding_Area_Names!$A$2:$K$249,7,FALSE))=TRUE,0,VLOOKUP($A89,Funding_Area_Names!$A$2:$K$249,7,FALSE))</f>
        <v>0</v>
      </c>
      <c r="C89" s="207">
        <v>0</v>
      </c>
      <c r="D89" s="234">
        <v>0</v>
      </c>
      <c r="E89" s="234">
        <v>0</v>
      </c>
      <c r="F89" s="234">
        <v>0</v>
      </c>
      <c r="G89" s="234">
        <v>0</v>
      </c>
      <c r="H89" s="234">
        <v>0</v>
      </c>
      <c r="I89" s="207">
        <v>0</v>
      </c>
      <c r="J89" s="207">
        <v>0</v>
      </c>
      <c r="K89" s="207">
        <v>0</v>
      </c>
      <c r="L89" s="207">
        <v>0</v>
      </c>
      <c r="M89" s="207">
        <v>0</v>
      </c>
      <c r="N89" s="207">
        <v>0</v>
      </c>
      <c r="O89" s="234">
        <v>0</v>
      </c>
      <c r="P89" s="207"/>
      <c r="Q89" s="234">
        <f t="shared" si="1"/>
        <v>0</v>
      </c>
      <c r="R89" s="207">
        <v>0</v>
      </c>
      <c r="S89" s="234">
        <v>0</v>
      </c>
    </row>
    <row r="90" spans="1:19">
      <c r="A90" s="155" t="s">
        <v>3015</v>
      </c>
      <c r="B90" s="155">
        <f>IF(ISERROR(VLOOKUP($A90,Funding_Area_Names!$A$2:$K$249,7,FALSE))=TRUE,0,VLOOKUP($A90,Funding_Area_Names!$A$2:$K$249,7,FALSE))</f>
        <v>0</v>
      </c>
      <c r="C90" s="207">
        <v>0</v>
      </c>
      <c r="D90" s="234">
        <v>0</v>
      </c>
      <c r="E90" s="234">
        <v>0</v>
      </c>
      <c r="F90" s="234">
        <v>0</v>
      </c>
      <c r="G90" s="234">
        <v>0</v>
      </c>
      <c r="H90" s="234">
        <v>0</v>
      </c>
      <c r="I90" s="207">
        <v>0</v>
      </c>
      <c r="J90" s="207">
        <v>0</v>
      </c>
      <c r="K90" s="207">
        <v>0</v>
      </c>
      <c r="L90" s="207">
        <v>0</v>
      </c>
      <c r="M90" s="207">
        <v>0</v>
      </c>
      <c r="N90" s="207">
        <v>0</v>
      </c>
      <c r="O90" s="234">
        <v>0</v>
      </c>
      <c r="P90" s="207"/>
      <c r="Q90" s="234">
        <f t="shared" si="1"/>
        <v>0</v>
      </c>
      <c r="R90" s="207">
        <v>0</v>
      </c>
      <c r="S90" s="234">
        <v>0</v>
      </c>
    </row>
    <row r="91" spans="1:19">
      <c r="A91" s="155" t="s">
        <v>942</v>
      </c>
      <c r="B91" s="155" t="str">
        <f>IF(ISERROR(VLOOKUP($A91,Funding_Area_Names!$A$2:$K$249,7,FALSE))=TRUE,0,VLOOKUP($A91,Funding_Area_Names!$A$2:$K$249,7,FALSE))</f>
        <v>PTR A1</v>
      </c>
      <c r="C91" s="207">
        <v>-7449607.5646720091</v>
      </c>
      <c r="D91" s="234">
        <v>-6338550.5379100488</v>
      </c>
      <c r="E91" s="234">
        <v>1727714.2991949762</v>
      </c>
      <c r="F91" s="234">
        <v>1144678</v>
      </c>
      <c r="G91" s="234">
        <v>2167436</v>
      </c>
      <c r="H91" s="234">
        <v>3430098</v>
      </c>
      <c r="I91" s="207">
        <v>6742212</v>
      </c>
      <c r="J91" s="207">
        <v>954067</v>
      </c>
      <c r="K91" s="207">
        <v>3430098</v>
      </c>
      <c r="L91" s="207">
        <v>1850802</v>
      </c>
      <c r="M91" s="207">
        <v>3312114</v>
      </c>
      <c r="N91" s="207">
        <v>2804869</v>
      </c>
      <c r="O91" s="234">
        <v>6742212</v>
      </c>
      <c r="P91" s="207"/>
      <c r="Q91" s="234">
        <f t="shared" si="1"/>
        <v>-5782713.812182162</v>
      </c>
      <c r="R91" s="207">
        <v>1186338.3497380901</v>
      </c>
      <c r="S91" s="234">
        <v>3037140.3497380903</v>
      </c>
    </row>
    <row r="92" spans="1:19">
      <c r="A92" s="155" t="s">
        <v>2353</v>
      </c>
      <c r="B92" s="155" t="str">
        <f>IF(ISERROR(VLOOKUP($A92,Funding_Area_Names!$A$2:$K$249,7,FALSE))=TRUE,0,VLOOKUP($A92,Funding_Area_Names!$A$2:$K$249,7,FALSE))</f>
        <v>PTR A3</v>
      </c>
      <c r="C92" s="207">
        <v>-1901779.1587047114</v>
      </c>
      <c r="D92" s="234">
        <v>-1618142.0571144682</v>
      </c>
      <c r="E92" s="234">
        <v>417654.91535171575</v>
      </c>
      <c r="F92" s="234">
        <v>13619</v>
      </c>
      <c r="G92" s="234">
        <v>42831</v>
      </c>
      <c r="H92" s="234">
        <v>79054</v>
      </c>
      <c r="I92" s="207">
        <v>135504</v>
      </c>
      <c r="J92" s="207">
        <v>0</v>
      </c>
      <c r="K92" s="207">
        <v>0</v>
      </c>
      <c r="L92" s="207">
        <v>0</v>
      </c>
      <c r="M92" s="207">
        <v>0</v>
      </c>
      <c r="N92" s="207">
        <v>0</v>
      </c>
      <c r="O92" s="234">
        <v>0</v>
      </c>
      <c r="P92" s="207"/>
      <c r="Q92" s="234">
        <f t="shared" si="1"/>
        <v>-1476244.8240783405</v>
      </c>
      <c r="R92" s="207">
        <v>0</v>
      </c>
      <c r="S92" s="234">
        <v>0</v>
      </c>
    </row>
    <row r="93" spans="1:19">
      <c r="A93" s="155" t="s">
        <v>3016</v>
      </c>
      <c r="B93" s="155">
        <f>IF(ISERROR(VLOOKUP($A93,Funding_Area_Names!$A$2:$K$249,7,FALSE))=TRUE,0,VLOOKUP($A93,Funding_Area_Names!$A$2:$K$249,7,FALSE))</f>
        <v>0</v>
      </c>
      <c r="C93" s="207">
        <v>0</v>
      </c>
      <c r="D93" s="234">
        <v>0</v>
      </c>
      <c r="E93" s="234">
        <v>0</v>
      </c>
      <c r="F93" s="234">
        <v>0</v>
      </c>
      <c r="G93" s="234">
        <v>0</v>
      </c>
      <c r="H93" s="234">
        <v>0</v>
      </c>
      <c r="I93" s="207">
        <v>0</v>
      </c>
      <c r="J93" s="207">
        <v>0</v>
      </c>
      <c r="K93" s="207">
        <v>0</v>
      </c>
      <c r="L93" s="207">
        <v>0</v>
      </c>
      <c r="M93" s="207">
        <v>0</v>
      </c>
      <c r="N93" s="207">
        <v>0</v>
      </c>
      <c r="O93" s="234">
        <v>0</v>
      </c>
      <c r="P93" s="207"/>
      <c r="Q93" s="234">
        <f t="shared" si="1"/>
        <v>0</v>
      </c>
      <c r="R93" s="207">
        <v>0</v>
      </c>
      <c r="S93" s="234">
        <v>0</v>
      </c>
    </row>
    <row r="94" spans="1:19">
      <c r="A94" s="155" t="s">
        <v>2383</v>
      </c>
      <c r="B94" s="155" t="str">
        <f>IF(ISERROR(VLOOKUP($A94,Funding_Area_Names!$A$2:$K$249,7,FALSE))=TRUE,0,VLOOKUP($A94,Funding_Area_Names!$A$2:$K$249,7,FALSE))</f>
        <v>PTR A7</v>
      </c>
      <c r="C94" s="207">
        <v>0</v>
      </c>
      <c r="D94" s="234">
        <v>0</v>
      </c>
      <c r="E94" s="234">
        <v>0</v>
      </c>
      <c r="F94" s="234">
        <v>0</v>
      </c>
      <c r="G94" s="234">
        <v>0</v>
      </c>
      <c r="H94" s="234">
        <v>0</v>
      </c>
      <c r="I94" s="207">
        <v>0</v>
      </c>
      <c r="J94" s="207">
        <v>7.9974000638954754E-6</v>
      </c>
      <c r="K94" s="207">
        <v>0</v>
      </c>
      <c r="L94" s="207">
        <v>4.964378623754438E-7</v>
      </c>
      <c r="M94" s="207">
        <v>0</v>
      </c>
      <c r="N94" s="207">
        <v>8.4938379262709189E-6</v>
      </c>
      <c r="O94" s="234">
        <v>0</v>
      </c>
      <c r="P94" s="207"/>
      <c r="Q94" s="234">
        <f t="shared" si="1"/>
        <v>0</v>
      </c>
      <c r="R94" s="207">
        <v>9.94439844790466E-6</v>
      </c>
      <c r="S94" s="234">
        <v>1.0440836310280103E-5</v>
      </c>
    </row>
    <row r="95" spans="1:19">
      <c r="A95" s="155" t="s">
        <v>2382</v>
      </c>
      <c r="B95" s="155" t="str">
        <f>IF(ISERROR(VLOOKUP($A95,Funding_Area_Names!$A$2:$K$249,7,FALSE))=TRUE,0,VLOOKUP($A95,Funding_Area_Names!$A$2:$K$249,7,FALSE))</f>
        <v>PTR A14</v>
      </c>
      <c r="C95" s="207">
        <v>6.9385841181066991E-3</v>
      </c>
      <c r="D95" s="234">
        <v>5.9037426753493312E-3</v>
      </c>
      <c r="E95" s="234">
        <v>0</v>
      </c>
      <c r="F95" s="234">
        <v>0</v>
      </c>
      <c r="G95" s="234">
        <v>0</v>
      </c>
      <c r="H95" s="234">
        <v>0</v>
      </c>
      <c r="I95" s="207">
        <v>0</v>
      </c>
      <c r="J95" s="207">
        <v>0</v>
      </c>
      <c r="K95" s="207">
        <v>0</v>
      </c>
      <c r="L95" s="207">
        <v>0</v>
      </c>
      <c r="M95" s="207">
        <v>0</v>
      </c>
      <c r="N95" s="207">
        <v>0</v>
      </c>
      <c r="O95" s="234">
        <v>0</v>
      </c>
      <c r="P95" s="207"/>
      <c r="Q95" s="234">
        <f t="shared" si="1"/>
        <v>5.3860348841784887E-3</v>
      </c>
      <c r="R95" s="207">
        <v>0</v>
      </c>
      <c r="S95" s="234">
        <v>0</v>
      </c>
    </row>
    <row r="96" spans="1:19">
      <c r="A96" s="155" t="s">
        <v>2352</v>
      </c>
      <c r="B96" s="155" t="str">
        <f>IF(ISERROR(VLOOKUP($A96,Funding_Area_Names!$A$2:$K$249,7,FALSE))=TRUE,0,VLOOKUP($A96,Funding_Area_Names!$A$2:$K$249,7,FALSE))</f>
        <v>PTR A2</v>
      </c>
      <c r="C96" s="207">
        <v>-369286.13765312452</v>
      </c>
      <c r="D96" s="234">
        <v>-314209.68502613931</v>
      </c>
      <c r="E96" s="234">
        <v>56375.677143379602</v>
      </c>
      <c r="F96" s="234">
        <v>156</v>
      </c>
      <c r="G96" s="234">
        <v>4107</v>
      </c>
      <c r="H96" s="234">
        <v>10045</v>
      </c>
      <c r="I96" s="207">
        <v>14308</v>
      </c>
      <c r="J96" s="207">
        <v>101298.39077633405</v>
      </c>
      <c r="K96" s="207">
        <v>10045</v>
      </c>
      <c r="L96" s="207">
        <v>209903.60319357662</v>
      </c>
      <c r="M96" s="207">
        <v>4263</v>
      </c>
      <c r="N96" s="207">
        <v>311201.99396991066</v>
      </c>
      <c r="O96" s="234">
        <v>14308</v>
      </c>
      <c r="P96" s="207"/>
      <c r="Q96" s="234">
        <f t="shared" si="1"/>
        <v>-286656.18025050248</v>
      </c>
      <c r="R96" s="207">
        <v>125959.88095670463</v>
      </c>
      <c r="S96" s="234">
        <v>335863.48415028123</v>
      </c>
    </row>
    <row r="97" spans="1:19">
      <c r="A97" s="155" t="s">
        <v>3017</v>
      </c>
      <c r="B97" s="155">
        <f>IF(ISERROR(VLOOKUP($A97,Funding_Area_Names!$A$2:$K$249,7,FALSE))=TRUE,0,VLOOKUP($A97,Funding_Area_Names!$A$2:$K$249,7,FALSE))</f>
        <v>0</v>
      </c>
      <c r="C97" s="207">
        <v>0</v>
      </c>
      <c r="D97" s="234">
        <v>0</v>
      </c>
      <c r="E97" s="234">
        <v>0</v>
      </c>
      <c r="F97" s="234">
        <v>0</v>
      </c>
      <c r="G97" s="234">
        <v>0</v>
      </c>
      <c r="H97" s="234">
        <v>0</v>
      </c>
      <c r="I97" s="207">
        <v>0</v>
      </c>
      <c r="J97" s="207">
        <v>0</v>
      </c>
      <c r="K97" s="207">
        <v>0</v>
      </c>
      <c r="L97" s="207">
        <v>0</v>
      </c>
      <c r="M97" s="207">
        <v>0</v>
      </c>
      <c r="N97" s="207">
        <v>0</v>
      </c>
      <c r="O97" s="234">
        <v>0</v>
      </c>
      <c r="P97" s="207"/>
      <c r="Q97" s="234">
        <f t="shared" si="1"/>
        <v>0</v>
      </c>
      <c r="R97" s="207">
        <v>0</v>
      </c>
      <c r="S97" s="234">
        <v>0</v>
      </c>
    </row>
    <row r="98" spans="1:19">
      <c r="A98" s="155" t="s">
        <v>2355</v>
      </c>
      <c r="B98" s="155" t="str">
        <f>IF(ISERROR(VLOOKUP($A98,Funding_Area_Names!$A$2:$K$249,7,FALSE))=TRUE,0,VLOOKUP($A98,Funding_Area_Names!$A$2:$K$249,7,FALSE))</f>
        <v>PTR A5</v>
      </c>
      <c r="C98" s="207">
        <v>-1901392.3186305035</v>
      </c>
      <c r="D98" s="234">
        <v>-1617812.911540132</v>
      </c>
      <c r="E98" s="234">
        <v>468346.02583519154</v>
      </c>
      <c r="F98" s="234">
        <v>28804</v>
      </c>
      <c r="G98" s="234">
        <v>100631</v>
      </c>
      <c r="H98" s="234">
        <v>169609</v>
      </c>
      <c r="I98" s="207">
        <v>299044</v>
      </c>
      <c r="J98" s="207">
        <v>0</v>
      </c>
      <c r="K98" s="207">
        <v>0</v>
      </c>
      <c r="L98" s="207">
        <v>0</v>
      </c>
      <c r="M98" s="207">
        <v>0</v>
      </c>
      <c r="N98" s="207">
        <v>0</v>
      </c>
      <c r="O98" s="234">
        <v>0</v>
      </c>
      <c r="P98" s="207"/>
      <c r="Q98" s="234">
        <f t="shared" si="1"/>
        <v>-1475944.5417586607</v>
      </c>
      <c r="R98" s="207">
        <v>0</v>
      </c>
      <c r="S98" s="234">
        <v>0</v>
      </c>
    </row>
    <row r="99" spans="1:19">
      <c r="A99" s="155" t="s">
        <v>3018</v>
      </c>
      <c r="B99" s="155">
        <f>IF(ISERROR(VLOOKUP($A99,Funding_Area_Names!$A$2:$K$249,7,FALSE))=TRUE,0,VLOOKUP($A99,Funding_Area_Names!$A$2:$K$249,7,FALSE))</f>
        <v>0</v>
      </c>
      <c r="C99" s="207">
        <v>0</v>
      </c>
      <c r="D99" s="234">
        <v>0</v>
      </c>
      <c r="E99" s="234">
        <v>0</v>
      </c>
      <c r="F99" s="234">
        <v>0</v>
      </c>
      <c r="G99" s="234">
        <v>0</v>
      </c>
      <c r="H99" s="234">
        <v>0</v>
      </c>
      <c r="I99" s="207">
        <v>0</v>
      </c>
      <c r="J99" s="207">
        <v>0</v>
      </c>
      <c r="K99" s="207">
        <v>0</v>
      </c>
      <c r="L99" s="207">
        <v>0</v>
      </c>
      <c r="M99" s="207">
        <v>0</v>
      </c>
      <c r="N99" s="207">
        <v>0</v>
      </c>
      <c r="O99" s="234">
        <v>0</v>
      </c>
      <c r="P99" s="207"/>
      <c r="Q99" s="234">
        <f t="shared" si="1"/>
        <v>0</v>
      </c>
      <c r="R99" s="207">
        <v>0</v>
      </c>
      <c r="S99" s="234">
        <v>0</v>
      </c>
    </row>
    <row r="100" spans="1:19">
      <c r="A100" s="155" t="s">
        <v>2354</v>
      </c>
      <c r="B100" s="155" t="str">
        <f>IF(ISERROR(VLOOKUP($A100,Funding_Area_Names!$A$2:$K$249,7,FALSE))=TRUE,0,VLOOKUP($A100,Funding_Area_Names!$A$2:$K$249,7,FALSE))</f>
        <v>PTR A4</v>
      </c>
      <c r="C100" s="207">
        <v>-17696.644660939459</v>
      </c>
      <c r="D100" s="234">
        <v>-15057.313497525083</v>
      </c>
      <c r="E100" s="234">
        <v>3413.0824747372503</v>
      </c>
      <c r="F100" s="234">
        <v>835</v>
      </c>
      <c r="G100" s="234">
        <v>2184</v>
      </c>
      <c r="H100" s="234">
        <v>4533</v>
      </c>
      <c r="I100" s="207">
        <v>7552</v>
      </c>
      <c r="J100" s="207">
        <v>0</v>
      </c>
      <c r="K100" s="207">
        <v>0</v>
      </c>
      <c r="L100" s="207">
        <v>0</v>
      </c>
      <c r="M100" s="207">
        <v>0</v>
      </c>
      <c r="N100" s="207">
        <v>0</v>
      </c>
      <c r="O100" s="234">
        <v>0</v>
      </c>
      <c r="P100" s="207"/>
      <c r="Q100" s="234">
        <f t="shared" si="1"/>
        <v>-13736.915753172283</v>
      </c>
      <c r="R100" s="207">
        <v>0</v>
      </c>
      <c r="S100" s="234">
        <v>0</v>
      </c>
    </row>
    <row r="101" spans="1:19">
      <c r="A101" s="155" t="s">
        <v>2311</v>
      </c>
      <c r="B101" s="155" t="str">
        <f>IF(ISERROR(VLOOKUP($A101,Funding_Area_Names!$A$2:$K$249,7,FALSE))=TRUE,0,VLOOKUP($A101,Funding_Area_Names!$A$2:$K$249,7,FALSE))</f>
        <v>STW A1</v>
      </c>
      <c r="C101" s="207">
        <v>0</v>
      </c>
      <c r="D101" s="234">
        <v>0</v>
      </c>
      <c r="E101" s="234">
        <v>90.874744352196387</v>
      </c>
      <c r="F101" s="234">
        <v>0</v>
      </c>
      <c r="G101" s="234">
        <v>0</v>
      </c>
      <c r="H101" s="234">
        <v>0</v>
      </c>
      <c r="I101" s="207">
        <v>0</v>
      </c>
      <c r="J101" s="207">
        <v>1401</v>
      </c>
      <c r="K101" s="207">
        <v>0</v>
      </c>
      <c r="L101" s="207">
        <v>2535</v>
      </c>
      <c r="M101" s="207">
        <v>0</v>
      </c>
      <c r="N101" s="207">
        <v>3936</v>
      </c>
      <c r="O101" s="234">
        <v>0</v>
      </c>
      <c r="P101" s="207"/>
      <c r="Q101" s="234">
        <f t="shared" si="1"/>
        <v>0</v>
      </c>
      <c r="R101" s="207">
        <v>1742.0789399309108</v>
      </c>
      <c r="S101" s="234">
        <v>4277.0789399309106</v>
      </c>
    </row>
    <row r="102" spans="1:19">
      <c r="A102" s="155" t="s">
        <v>2322</v>
      </c>
      <c r="B102" s="155" t="str">
        <f>IF(ISERROR(VLOOKUP($A102,Funding_Area_Names!$A$2:$K$249,7,FALSE))=TRUE,0,VLOOKUP($A102,Funding_Area_Names!$A$2:$K$249,7,FALSE))</f>
        <v>STW A10</v>
      </c>
      <c r="C102" s="207">
        <v>-21624.675972441219</v>
      </c>
      <c r="D102" s="234">
        <v>-18399.506326650735</v>
      </c>
      <c r="E102" s="234">
        <v>1587.7013534004109</v>
      </c>
      <c r="F102" s="234">
        <v>0</v>
      </c>
      <c r="G102" s="234">
        <v>0</v>
      </c>
      <c r="H102" s="234">
        <v>0</v>
      </c>
      <c r="I102" s="207">
        <v>0</v>
      </c>
      <c r="J102" s="207">
        <v>7611</v>
      </c>
      <c r="K102" s="207">
        <v>0</v>
      </c>
      <c r="L102" s="207">
        <v>24034</v>
      </c>
      <c r="M102" s="207">
        <v>0</v>
      </c>
      <c r="N102" s="207">
        <v>31645</v>
      </c>
      <c r="O102" s="234">
        <v>0</v>
      </c>
      <c r="P102" s="207"/>
      <c r="Q102" s="234">
        <f t="shared" si="1"/>
        <v>-16786.026826811143</v>
      </c>
      <c r="R102" s="207">
        <v>9463.9277743141774</v>
      </c>
      <c r="S102" s="234">
        <v>33497.927774314179</v>
      </c>
    </row>
    <row r="103" spans="1:19">
      <c r="A103" s="155" t="s">
        <v>2332</v>
      </c>
      <c r="B103" s="155" t="str">
        <f>IF(ISERROR(VLOOKUP($A103,Funding_Area_Names!$A$2:$K$249,7,FALSE))=TRUE,0,VLOOKUP($A103,Funding_Area_Names!$A$2:$K$249,7,FALSE))</f>
        <v>STW A11</v>
      </c>
      <c r="C103" s="207">
        <v>-6252868.8738991031</v>
      </c>
      <c r="D103" s="234">
        <v>-5320297.0787467482</v>
      </c>
      <c r="E103" s="234">
        <v>223067.58033865644</v>
      </c>
      <c r="F103" s="234">
        <v>0</v>
      </c>
      <c r="G103" s="234">
        <v>0</v>
      </c>
      <c r="H103" s="234">
        <v>0</v>
      </c>
      <c r="I103" s="207">
        <v>0</v>
      </c>
      <c r="J103" s="207">
        <v>342948</v>
      </c>
      <c r="K103" s="207">
        <v>0</v>
      </c>
      <c r="L103" s="207">
        <v>417422</v>
      </c>
      <c r="M103" s="207">
        <v>0</v>
      </c>
      <c r="N103" s="207">
        <v>760370</v>
      </c>
      <c r="O103" s="234">
        <v>0</v>
      </c>
      <c r="P103" s="207"/>
      <c r="Q103" s="234">
        <f t="shared" si="1"/>
        <v>-4853752.4814506462</v>
      </c>
      <c r="R103" s="207">
        <v>426440.03446925484</v>
      </c>
      <c r="S103" s="234">
        <v>843862.03446925478</v>
      </c>
    </row>
    <row r="104" spans="1:19">
      <c r="A104" s="155" t="s">
        <v>2333</v>
      </c>
      <c r="B104" s="155" t="str">
        <f>IF(ISERROR(VLOOKUP($A104,Funding_Area_Names!$A$2:$K$249,7,FALSE))=TRUE,0,VLOOKUP($A104,Funding_Area_Names!$A$2:$K$249,7,FALSE))</f>
        <v>STW A12</v>
      </c>
      <c r="C104" s="207">
        <v>-22225.325350217445</v>
      </c>
      <c r="D104" s="234">
        <v>-18910.573037688482</v>
      </c>
      <c r="E104" s="234">
        <v>2076.5222296305151</v>
      </c>
      <c r="F104" s="234">
        <v>0</v>
      </c>
      <c r="G104" s="234">
        <v>0</v>
      </c>
      <c r="H104" s="234">
        <v>0</v>
      </c>
      <c r="I104" s="207">
        <v>0</v>
      </c>
      <c r="J104" s="207">
        <v>30425</v>
      </c>
      <c r="K104" s="207">
        <v>0</v>
      </c>
      <c r="L104" s="207">
        <v>57469</v>
      </c>
      <c r="M104" s="207">
        <v>0</v>
      </c>
      <c r="N104" s="207">
        <v>87894</v>
      </c>
      <c r="O104" s="234">
        <v>0</v>
      </c>
      <c r="P104" s="207"/>
      <c r="Q104" s="234">
        <f t="shared" si="1"/>
        <v>-17252.277353834459</v>
      </c>
      <c r="R104" s="207">
        <v>37832.085472803687</v>
      </c>
      <c r="S104" s="234">
        <v>95301.085472803679</v>
      </c>
    </row>
    <row r="105" spans="1:19">
      <c r="A105" s="155" t="s">
        <v>2331</v>
      </c>
      <c r="B105" s="155" t="str">
        <f>IF(ISERROR(VLOOKUP($A105,Funding_Area_Names!$A$2:$K$249,7,FALSE))=TRUE,0,VLOOKUP($A105,Funding_Area_Names!$A$2:$K$249,7,FALSE))</f>
        <v>STW A13</v>
      </c>
      <c r="C105" s="207">
        <v>-1621.1622829214978</v>
      </c>
      <c r="D105" s="234">
        <v>-1379.3772317862981</v>
      </c>
      <c r="E105" s="234">
        <v>147.75860092056044</v>
      </c>
      <c r="F105" s="234">
        <v>0</v>
      </c>
      <c r="G105" s="234">
        <v>0</v>
      </c>
      <c r="H105" s="234">
        <v>0</v>
      </c>
      <c r="I105" s="207">
        <v>0</v>
      </c>
      <c r="J105" s="207">
        <v>1538</v>
      </c>
      <c r="K105" s="207">
        <v>0</v>
      </c>
      <c r="L105" s="207">
        <v>3289</v>
      </c>
      <c r="M105" s="207">
        <v>0</v>
      </c>
      <c r="N105" s="207">
        <v>4827</v>
      </c>
      <c r="O105" s="234">
        <v>0</v>
      </c>
      <c r="P105" s="207"/>
      <c r="Q105" s="234">
        <f t="shared" si="1"/>
        <v>-1258.4176339296416</v>
      </c>
      <c r="R105" s="207">
        <v>1912.4321267764033</v>
      </c>
      <c r="S105" s="234">
        <v>5201.4321267764035</v>
      </c>
    </row>
    <row r="106" spans="1:19">
      <c r="A106" s="155" t="s">
        <v>2330</v>
      </c>
      <c r="B106" s="155" t="str">
        <f>IF(ISERROR(VLOOKUP($A106,Funding_Area_Names!$A$2:$K$249,7,FALSE))=TRUE,0,VLOOKUP($A106,Funding_Area_Names!$A$2:$K$249,7,FALSE))</f>
        <v>STW A14</v>
      </c>
      <c r="C106" s="207">
        <v>-88128.647508415102</v>
      </c>
      <c r="D106" s="234">
        <v>-74984.874199120852</v>
      </c>
      <c r="E106" s="234">
        <v>5113.6493038016479</v>
      </c>
      <c r="F106" s="234">
        <v>0</v>
      </c>
      <c r="G106" s="234">
        <v>0</v>
      </c>
      <c r="H106" s="234">
        <v>0</v>
      </c>
      <c r="I106" s="207">
        <v>0</v>
      </c>
      <c r="J106" s="207">
        <v>30913</v>
      </c>
      <c r="K106" s="207">
        <v>0</v>
      </c>
      <c r="L106" s="207">
        <v>87089</v>
      </c>
      <c r="M106" s="207">
        <v>0</v>
      </c>
      <c r="N106" s="207">
        <v>118002</v>
      </c>
      <c r="O106" s="234">
        <v>0</v>
      </c>
      <c r="P106" s="207"/>
      <c r="Q106" s="234">
        <f t="shared" si="1"/>
        <v>-68409.341401097379</v>
      </c>
      <c r="R106" s="207">
        <v>38438.890985070837</v>
      </c>
      <c r="S106" s="234">
        <v>125527.89098507084</v>
      </c>
    </row>
    <row r="107" spans="1:19">
      <c r="A107" s="155" t="s">
        <v>2334</v>
      </c>
      <c r="B107" s="155" t="str">
        <f>IF(ISERROR(VLOOKUP($A107,Funding_Area_Names!$A$2:$K$249,7,FALSE))=TRUE,0,VLOOKUP($A107,Funding_Area_Names!$A$2:$K$249,7,FALSE))</f>
        <v>STW A15</v>
      </c>
      <c r="C107" s="207">
        <v>-1139.3487551605504</v>
      </c>
      <c r="D107" s="234">
        <v>-969.42283230298096</v>
      </c>
      <c r="E107" s="234">
        <v>39.841287001956296</v>
      </c>
      <c r="F107" s="234">
        <v>0</v>
      </c>
      <c r="G107" s="234">
        <v>0</v>
      </c>
      <c r="H107" s="234">
        <v>0</v>
      </c>
      <c r="I107" s="207">
        <v>0</v>
      </c>
      <c r="J107" s="207">
        <v>387</v>
      </c>
      <c r="K107" s="207">
        <v>0</v>
      </c>
      <c r="L107" s="207">
        <v>899</v>
      </c>
      <c r="M107" s="207">
        <v>0</v>
      </c>
      <c r="N107" s="207">
        <v>1286</v>
      </c>
      <c r="O107" s="234">
        <v>0</v>
      </c>
      <c r="P107" s="207"/>
      <c r="Q107" s="234">
        <f t="shared" si="1"/>
        <v>-884.41273263896369</v>
      </c>
      <c r="R107" s="207">
        <v>481.2166664905514</v>
      </c>
      <c r="S107" s="234">
        <v>1380.2166664905515</v>
      </c>
    </row>
    <row r="108" spans="1:19">
      <c r="A108" s="155" t="s">
        <v>2329</v>
      </c>
      <c r="B108" s="155" t="str">
        <f>IF(ISERROR(VLOOKUP($A108,Funding_Area_Names!$A$2:$K$249,7,FALSE))=TRUE,0,VLOOKUP($A108,Funding_Area_Names!$A$2:$K$249,7,FALSE))</f>
        <v>STW A16</v>
      </c>
      <c r="C108" s="207">
        <v>-86479.702470359305</v>
      </c>
      <c r="D108" s="234">
        <v>-73581.857816416566</v>
      </c>
      <c r="E108" s="234">
        <v>3532.1517641661198</v>
      </c>
      <c r="F108" s="234">
        <v>0</v>
      </c>
      <c r="G108" s="234">
        <v>0</v>
      </c>
      <c r="H108" s="234">
        <v>0</v>
      </c>
      <c r="I108" s="207">
        <v>0</v>
      </c>
      <c r="J108" s="207">
        <v>47520</v>
      </c>
      <c r="K108" s="207">
        <v>0</v>
      </c>
      <c r="L108" s="207">
        <v>96639</v>
      </c>
      <c r="M108" s="207">
        <v>0</v>
      </c>
      <c r="N108" s="207">
        <v>144159</v>
      </c>
      <c r="O108" s="234">
        <v>0</v>
      </c>
      <c r="P108" s="207"/>
      <c r="Q108" s="234">
        <f t="shared" si="1"/>
        <v>-67129.35756781284</v>
      </c>
      <c r="R108" s="207">
        <v>59088.93021093282</v>
      </c>
      <c r="S108" s="234">
        <v>155727.93021093283</v>
      </c>
    </row>
    <row r="109" spans="1:19">
      <c r="A109" s="155" t="s">
        <v>2388</v>
      </c>
      <c r="B109" s="155" t="str">
        <f>IF(ISERROR(VLOOKUP($A109,Funding_Area_Names!$A$2:$K$249,7,FALSE))=TRUE,0,VLOOKUP($A109,Funding_Area_Names!$A$2:$K$249,7,FALSE))</f>
        <v>STW A17</v>
      </c>
      <c r="C109" s="207">
        <v>-2234.8869298307009</v>
      </c>
      <c r="D109" s="234">
        <v>-1901.5691267316072</v>
      </c>
      <c r="E109" s="234">
        <v>63.762627910330856</v>
      </c>
      <c r="F109" s="234">
        <v>0</v>
      </c>
      <c r="G109" s="234">
        <v>0</v>
      </c>
      <c r="H109" s="234">
        <v>0</v>
      </c>
      <c r="I109" s="207">
        <v>0</v>
      </c>
      <c r="J109" s="207">
        <v>686</v>
      </c>
      <c r="K109" s="207">
        <v>0</v>
      </c>
      <c r="L109" s="207">
        <v>1683</v>
      </c>
      <c r="M109" s="207">
        <v>0</v>
      </c>
      <c r="N109" s="207">
        <v>2369</v>
      </c>
      <c r="O109" s="234">
        <v>0</v>
      </c>
      <c r="P109" s="207"/>
      <c r="Q109" s="234">
        <f t="shared" si="1"/>
        <v>-1734.8177612851725</v>
      </c>
      <c r="R109" s="207">
        <v>853.00938814604194</v>
      </c>
      <c r="S109" s="234">
        <v>2536.0093881460421</v>
      </c>
    </row>
    <row r="110" spans="1:19">
      <c r="A110" s="155" t="s">
        <v>2389</v>
      </c>
      <c r="B110" s="155" t="str">
        <f>IF(ISERROR(VLOOKUP($A110,Funding_Area_Names!$A$2:$K$249,7,FALSE))=TRUE,0,VLOOKUP($A110,Funding_Area_Names!$A$2:$K$249,7,FALSE))</f>
        <v>STW A18</v>
      </c>
      <c r="C110" s="207">
        <v>-3778073.1401884849</v>
      </c>
      <c r="D110" s="234">
        <v>-3214599.8734981134</v>
      </c>
      <c r="E110" s="234">
        <v>105067.51860874647</v>
      </c>
      <c r="F110" s="234">
        <v>25291</v>
      </c>
      <c r="G110" s="234">
        <v>26879</v>
      </c>
      <c r="H110" s="234">
        <v>28834</v>
      </c>
      <c r="I110" s="207">
        <v>81004</v>
      </c>
      <c r="J110" s="207">
        <v>697113</v>
      </c>
      <c r="K110" s="207">
        <v>28834</v>
      </c>
      <c r="L110" s="207">
        <v>912009</v>
      </c>
      <c r="M110" s="207">
        <v>52170</v>
      </c>
      <c r="N110" s="207">
        <v>1609122</v>
      </c>
      <c r="O110" s="234">
        <v>81004</v>
      </c>
      <c r="P110" s="207"/>
      <c r="Q110" s="234">
        <f t="shared" si="1"/>
        <v>-2932706.9300682396</v>
      </c>
      <c r="R110" s="207">
        <v>866827.8915432241</v>
      </c>
      <c r="S110" s="234">
        <v>1778836.891543224</v>
      </c>
    </row>
    <row r="111" spans="1:19">
      <c r="A111" s="155" t="s">
        <v>2390</v>
      </c>
      <c r="B111" s="155" t="str">
        <f>IF(ISERROR(VLOOKUP($A111,Funding_Area_Names!$A$2:$K$249,7,FALSE))=TRUE,0,VLOOKUP($A111,Funding_Area_Names!$A$2:$K$249,7,FALSE))</f>
        <v>STW A19</v>
      </c>
      <c r="C111" s="207">
        <v>-1261699.9906611347</v>
      </c>
      <c r="D111" s="234">
        <v>-1073526.2341081917</v>
      </c>
      <c r="E111" s="234">
        <v>65457.930571003824</v>
      </c>
      <c r="F111" s="234">
        <v>0</v>
      </c>
      <c r="G111" s="234">
        <v>0</v>
      </c>
      <c r="H111" s="234">
        <v>0</v>
      </c>
      <c r="I111" s="207">
        <v>0</v>
      </c>
      <c r="J111" s="207">
        <v>-210762</v>
      </c>
      <c r="K111" s="207">
        <v>0</v>
      </c>
      <c r="L111" s="207">
        <v>-230480</v>
      </c>
      <c r="M111" s="207">
        <v>0</v>
      </c>
      <c r="N111" s="207">
        <v>-441242</v>
      </c>
      <c r="O111" s="234">
        <v>0</v>
      </c>
      <c r="P111" s="207"/>
      <c r="Q111" s="234">
        <f t="shared" si="1"/>
        <v>-979387.15556320432</v>
      </c>
      <c r="R111" s="207">
        <v>-262072.83478780772</v>
      </c>
      <c r="S111" s="234">
        <v>-492552.83478780772</v>
      </c>
    </row>
    <row r="112" spans="1:19">
      <c r="A112" s="155" t="s">
        <v>2324</v>
      </c>
      <c r="B112" s="155" t="str">
        <f>IF(ISERROR(VLOOKUP($A112,Funding_Area_Names!$A$2:$K$249,7,FALSE))=TRUE,0,VLOOKUP($A112,Funding_Area_Names!$A$2:$K$249,7,FALSE))</f>
        <v>STW A2</v>
      </c>
      <c r="C112" s="207">
        <v>-1440811.1236789459</v>
      </c>
      <c r="D112" s="234">
        <v>-1225924.1904676165</v>
      </c>
      <c r="E112" s="234">
        <v>39043.822778396046</v>
      </c>
      <c r="F112" s="234">
        <v>0</v>
      </c>
      <c r="G112" s="234">
        <v>0</v>
      </c>
      <c r="H112" s="234">
        <v>0</v>
      </c>
      <c r="I112" s="207">
        <v>0</v>
      </c>
      <c r="J112" s="207">
        <v>490036</v>
      </c>
      <c r="K112" s="207">
        <v>0</v>
      </c>
      <c r="L112" s="207">
        <v>1024533</v>
      </c>
      <c r="M112" s="207">
        <v>0</v>
      </c>
      <c r="N112" s="207">
        <v>1514569</v>
      </c>
      <c r="O112" s="234">
        <v>0</v>
      </c>
      <c r="P112" s="207"/>
      <c r="Q112" s="234">
        <f t="shared" si="1"/>
        <v>-1118421.1132349458</v>
      </c>
      <c r="R112" s="207">
        <v>609337.18444538466</v>
      </c>
      <c r="S112" s="234">
        <v>1633870.1844453847</v>
      </c>
    </row>
    <row r="113" spans="1:19">
      <c r="A113" s="155" t="s">
        <v>2391</v>
      </c>
      <c r="B113" s="155" t="str">
        <f>IF(ISERROR(VLOOKUP($A113,Funding_Area_Names!$A$2:$K$249,7,FALSE))=TRUE,0,VLOOKUP($A113,Funding_Area_Names!$A$2:$K$249,7,FALSE))</f>
        <v>STW A20</v>
      </c>
      <c r="C113" s="207">
        <v>-5.5724659650535635E-2</v>
      </c>
      <c r="D113" s="234">
        <v>-4.7413715197266011E-2</v>
      </c>
      <c r="E113" s="234">
        <v>0</v>
      </c>
      <c r="F113" s="234">
        <v>0</v>
      </c>
      <c r="G113" s="234">
        <v>0</v>
      </c>
      <c r="H113" s="234">
        <v>0</v>
      </c>
      <c r="I113" s="207">
        <v>0</v>
      </c>
      <c r="J113" s="207">
        <v>0</v>
      </c>
      <c r="K113" s="207">
        <v>0</v>
      </c>
      <c r="L113" s="207">
        <v>0</v>
      </c>
      <c r="M113" s="207">
        <v>0</v>
      </c>
      <c r="N113" s="207">
        <v>0</v>
      </c>
      <c r="O113" s="234">
        <v>0</v>
      </c>
      <c r="P113" s="207"/>
      <c r="Q113" s="234">
        <f t="shared" si="1"/>
        <v>-4.3255937476283687E-2</v>
      </c>
      <c r="R113" s="207">
        <v>0</v>
      </c>
      <c r="S113" s="234">
        <v>0</v>
      </c>
    </row>
    <row r="114" spans="1:19">
      <c r="A114" s="155" t="s">
        <v>2392</v>
      </c>
      <c r="B114" s="155" t="str">
        <f>IF(ISERROR(VLOOKUP($A114,Funding_Area_Names!$A$2:$K$249,7,FALSE))=TRUE,0,VLOOKUP($A114,Funding_Area_Names!$A$2:$K$249,7,FALSE))</f>
        <v>STW A21</v>
      </c>
      <c r="C114" s="207">
        <v>-1072802.409528773</v>
      </c>
      <c r="D114" s="234">
        <v>-912801.4101356481</v>
      </c>
      <c r="E114" s="234">
        <v>46862.92104977437</v>
      </c>
      <c r="F114" s="234">
        <v>0</v>
      </c>
      <c r="G114" s="234">
        <v>0</v>
      </c>
      <c r="H114" s="234">
        <v>0</v>
      </c>
      <c r="I114" s="207">
        <v>0</v>
      </c>
      <c r="J114" s="207">
        <v>-31112</v>
      </c>
      <c r="K114" s="207">
        <v>0</v>
      </c>
      <c r="L114" s="207">
        <v>56047</v>
      </c>
      <c r="M114" s="207">
        <v>0</v>
      </c>
      <c r="N114" s="207">
        <v>24935</v>
      </c>
      <c r="O114" s="234">
        <v>0</v>
      </c>
      <c r="P114" s="207"/>
      <c r="Q114" s="234">
        <f t="shared" si="1"/>
        <v>-832756.52542342711</v>
      </c>
      <c r="R114" s="207">
        <v>-38686.338314868306</v>
      </c>
      <c r="S114" s="234">
        <v>17360.661685131694</v>
      </c>
    </row>
    <row r="115" spans="1:19">
      <c r="A115" s="155" t="s">
        <v>2387</v>
      </c>
      <c r="B115" s="155" t="str">
        <f>IF(ISERROR(VLOOKUP($A115,Funding_Area_Names!$A$2:$K$249,7,FALSE))=TRUE,0,VLOOKUP($A115,Funding_Area_Names!$A$2:$K$249,7,FALSE))</f>
        <v>STW A22</v>
      </c>
      <c r="C115" s="207">
        <v>-1943.9786085393789</v>
      </c>
      <c r="D115" s="234">
        <v>-1654.047753236975</v>
      </c>
      <c r="E115" s="234">
        <v>61.126435315084507</v>
      </c>
      <c r="F115" s="234">
        <v>0</v>
      </c>
      <c r="G115" s="234">
        <v>0</v>
      </c>
      <c r="H115" s="234">
        <v>0</v>
      </c>
      <c r="I115" s="207">
        <v>0</v>
      </c>
      <c r="J115" s="207">
        <v>656</v>
      </c>
      <c r="K115" s="207">
        <v>0</v>
      </c>
      <c r="L115" s="207">
        <v>1493</v>
      </c>
      <c r="M115" s="207">
        <v>0</v>
      </c>
      <c r="N115" s="207">
        <v>2149</v>
      </c>
      <c r="O115" s="234">
        <v>0</v>
      </c>
      <c r="P115" s="207"/>
      <c r="Q115" s="234">
        <f t="shared" si="1"/>
        <v>-1509.001897428441</v>
      </c>
      <c r="R115" s="207">
        <v>815.70577058863489</v>
      </c>
      <c r="S115" s="234">
        <v>2308.705770588635</v>
      </c>
    </row>
    <row r="116" spans="1:19">
      <c r="A116" s="155" t="s">
        <v>2565</v>
      </c>
      <c r="B116" s="155" t="str">
        <f>IF(ISERROR(VLOOKUP($A116,Funding_Area_Names!$A$2:$K$249,7,FALSE))=TRUE,0,VLOOKUP($A116,Funding_Area_Names!$A$2:$K$249,7,FALSE))</f>
        <v>STW A23</v>
      </c>
      <c r="C116" s="207">
        <v>-29960.709677952982</v>
      </c>
      <c r="D116" s="234">
        <v>-25492.278726995861</v>
      </c>
      <c r="E116" s="234">
        <v>957.61187564513466</v>
      </c>
      <c r="F116" s="234">
        <v>0</v>
      </c>
      <c r="G116" s="234">
        <v>0</v>
      </c>
      <c r="H116" s="234">
        <v>0</v>
      </c>
      <c r="I116" s="207">
        <v>0</v>
      </c>
      <c r="J116" s="207">
        <v>9965</v>
      </c>
      <c r="K116" s="207">
        <v>0</v>
      </c>
      <c r="L116" s="207">
        <v>23032</v>
      </c>
      <c r="M116" s="207">
        <v>0</v>
      </c>
      <c r="N116" s="207">
        <v>32997</v>
      </c>
      <c r="O116" s="234">
        <v>0</v>
      </c>
      <c r="P116" s="207"/>
      <c r="Q116" s="234">
        <f t="shared" si="1"/>
        <v>-23256.823688149074</v>
      </c>
      <c r="R116" s="207">
        <v>12391.018298652054</v>
      </c>
      <c r="S116" s="234">
        <v>35423.018298652052</v>
      </c>
    </row>
    <row r="117" spans="1:19">
      <c r="A117" s="155" t="s">
        <v>2560</v>
      </c>
      <c r="B117" s="155" t="str">
        <f>IF(ISERROR(VLOOKUP($A117,Funding_Area_Names!$A$2:$K$249,7,FALSE))=TRUE,0,VLOOKUP($A117,Funding_Area_Names!$A$2:$K$249,7,FALSE))</f>
        <v>STW A24</v>
      </c>
      <c r="C117" s="207">
        <v>-4886.3288512799882</v>
      </c>
      <c r="D117" s="234">
        <v>-4157.5669724623685</v>
      </c>
      <c r="E117" s="234">
        <v>145.08785502264811</v>
      </c>
      <c r="F117" s="234">
        <v>0</v>
      </c>
      <c r="G117" s="234">
        <v>0</v>
      </c>
      <c r="H117" s="234">
        <v>0</v>
      </c>
      <c r="I117" s="207">
        <v>0</v>
      </c>
      <c r="J117" s="207">
        <v>1665</v>
      </c>
      <c r="K117" s="207">
        <v>0</v>
      </c>
      <c r="L117" s="207">
        <v>3669</v>
      </c>
      <c r="M117" s="207">
        <v>0</v>
      </c>
      <c r="N117" s="207">
        <v>5334</v>
      </c>
      <c r="O117" s="234">
        <v>0</v>
      </c>
      <c r="P117" s="207"/>
      <c r="Q117" s="234">
        <f t="shared" si="1"/>
        <v>-3792.983871145037</v>
      </c>
      <c r="R117" s="207">
        <v>2070.3507744360932</v>
      </c>
      <c r="S117" s="234">
        <v>5739.3507744360932</v>
      </c>
    </row>
    <row r="118" spans="1:19">
      <c r="A118" s="155" t="s">
        <v>2561</v>
      </c>
      <c r="B118" s="155" t="str">
        <f>IF(ISERROR(VLOOKUP($A118,Funding_Area_Names!$A$2:$K$249,7,FALSE))=TRUE,0,VLOOKUP($A118,Funding_Area_Names!$A$2:$K$249,7,FALSE))</f>
        <v>STW A25</v>
      </c>
      <c r="C118" s="207">
        <v>-8527.013796214751</v>
      </c>
      <c r="D118" s="234">
        <v>-7255.269142105888</v>
      </c>
      <c r="E118" s="234">
        <v>305.40303084378974</v>
      </c>
      <c r="F118" s="234">
        <v>10472</v>
      </c>
      <c r="G118" s="234">
        <v>11130</v>
      </c>
      <c r="H118" s="234">
        <v>11939</v>
      </c>
      <c r="I118" s="207">
        <v>33541</v>
      </c>
      <c r="J118" s="207">
        <v>2737</v>
      </c>
      <c r="K118" s="207">
        <v>11939</v>
      </c>
      <c r="L118" s="207">
        <v>7409</v>
      </c>
      <c r="M118" s="207">
        <v>21602</v>
      </c>
      <c r="N118" s="207">
        <v>10146</v>
      </c>
      <c r="O118" s="234">
        <v>33541</v>
      </c>
      <c r="P118" s="207"/>
      <c r="Q118" s="234">
        <f t="shared" si="1"/>
        <v>-6619.0440272151282</v>
      </c>
      <c r="R118" s="207">
        <v>3403.3333751541063</v>
      </c>
      <c r="S118" s="234">
        <v>10812.333375154107</v>
      </c>
    </row>
    <row r="119" spans="1:19">
      <c r="A119" s="155" t="s">
        <v>2562</v>
      </c>
      <c r="B119" s="155" t="str">
        <f>IF(ISERROR(VLOOKUP($A119,Funding_Area_Names!$A$2:$K$249,7,FALSE))=TRUE,0,VLOOKUP($A119,Funding_Area_Names!$A$2:$K$249,7,FALSE))</f>
        <v>STW A26</v>
      </c>
      <c r="C119" s="207">
        <v>-1571786.2047946297</v>
      </c>
      <c r="D119" s="234">
        <v>-1337365.2514431798</v>
      </c>
      <c r="E119" s="234">
        <v>45005.722006111508</v>
      </c>
      <c r="F119" s="234">
        <v>0</v>
      </c>
      <c r="G119" s="234">
        <v>0</v>
      </c>
      <c r="H119" s="234">
        <v>0</v>
      </c>
      <c r="I119" s="207">
        <v>0</v>
      </c>
      <c r="J119" s="207">
        <v>530820</v>
      </c>
      <c r="K119" s="207">
        <v>0</v>
      </c>
      <c r="L119" s="207">
        <v>1172982</v>
      </c>
      <c r="M119" s="207">
        <v>0</v>
      </c>
      <c r="N119" s="207">
        <v>1703802</v>
      </c>
      <c r="O119" s="234">
        <v>0</v>
      </c>
      <c r="P119" s="207"/>
      <c r="Q119" s="234">
        <f t="shared" si="1"/>
        <v>-1220089.7453131096</v>
      </c>
      <c r="R119" s="207">
        <v>660050.20906076091</v>
      </c>
      <c r="S119" s="234">
        <v>1833032.2090607609</v>
      </c>
    </row>
    <row r="120" spans="1:19">
      <c r="A120" s="155" t="s">
        <v>2563</v>
      </c>
      <c r="B120" s="155" t="str">
        <f>IF(ISERROR(VLOOKUP($A120,Funding_Area_Names!$A$2:$K$249,7,FALSE))=TRUE,0,VLOOKUP($A120,Funding_Area_Names!$A$2:$K$249,7,FALSE))</f>
        <v>STW A27</v>
      </c>
      <c r="C120" s="207">
        <v>-223364.98295382288</v>
      </c>
      <c r="D120" s="234">
        <v>-190051.65313222219</v>
      </c>
      <c r="E120" s="234">
        <v>6187.3586179605891</v>
      </c>
      <c r="F120" s="234">
        <v>230990</v>
      </c>
      <c r="G120" s="234">
        <v>245495</v>
      </c>
      <c r="H120" s="234">
        <v>263351</v>
      </c>
      <c r="I120" s="207">
        <v>739836</v>
      </c>
      <c r="J120" s="207">
        <v>73919</v>
      </c>
      <c r="K120" s="207">
        <v>263351</v>
      </c>
      <c r="L120" s="207">
        <v>163473</v>
      </c>
      <c r="M120" s="207">
        <v>476485</v>
      </c>
      <c r="N120" s="207">
        <v>237392</v>
      </c>
      <c r="O120" s="234">
        <v>739836</v>
      </c>
      <c r="P120" s="207"/>
      <c r="Q120" s="234">
        <f t="shared" si="1"/>
        <v>-173385.74694998367</v>
      </c>
      <c r="R120" s="207">
        <v>91914.870207532469</v>
      </c>
      <c r="S120" s="234">
        <v>255387.87020753248</v>
      </c>
    </row>
    <row r="121" spans="1:19">
      <c r="A121" s="155" t="s">
        <v>2558</v>
      </c>
      <c r="B121" s="155" t="str">
        <f>IF(ISERROR(VLOOKUP($A121,Funding_Area_Names!$A$2:$K$249,7,FALSE))=TRUE,0,VLOOKUP($A121,Funding_Area_Names!$A$2:$K$249,7,FALSE))</f>
        <v>STW A28</v>
      </c>
      <c r="C121" s="207">
        <v>0</v>
      </c>
      <c r="D121" s="234">
        <v>0</v>
      </c>
      <c r="E121" s="234">
        <v>1981.8412943462388</v>
      </c>
      <c r="F121" s="234">
        <v>4244</v>
      </c>
      <c r="G121" s="234">
        <v>4510</v>
      </c>
      <c r="H121" s="234">
        <v>4838</v>
      </c>
      <c r="I121" s="207">
        <v>13592</v>
      </c>
      <c r="J121" s="207">
        <v>3854</v>
      </c>
      <c r="K121" s="207">
        <v>4838</v>
      </c>
      <c r="L121" s="207">
        <v>25025</v>
      </c>
      <c r="M121" s="207">
        <v>8754</v>
      </c>
      <c r="N121" s="207">
        <v>28879</v>
      </c>
      <c r="O121" s="234">
        <v>13592</v>
      </c>
      <c r="P121" s="207"/>
      <c r="Q121" s="234">
        <f t="shared" si="1"/>
        <v>0</v>
      </c>
      <c r="R121" s="207">
        <v>4792.27140220823</v>
      </c>
      <c r="S121" s="234">
        <v>29817.271402208229</v>
      </c>
    </row>
    <row r="122" spans="1:19">
      <c r="A122" s="155" t="s">
        <v>2564</v>
      </c>
      <c r="B122" s="155" t="str">
        <f>IF(ISERROR(VLOOKUP($A122,Funding_Area_Names!$A$2:$K$249,7,FALSE))=TRUE,0,VLOOKUP($A122,Funding_Area_Names!$A$2:$K$249,7,FALSE))</f>
        <v>STW A29</v>
      </c>
      <c r="C122" s="207">
        <v>0</v>
      </c>
      <c r="D122" s="234">
        <v>0</v>
      </c>
      <c r="E122" s="234">
        <v>1238.0064357882304</v>
      </c>
      <c r="F122" s="234">
        <v>26256</v>
      </c>
      <c r="G122" s="234">
        <v>27905</v>
      </c>
      <c r="H122" s="234">
        <v>29934</v>
      </c>
      <c r="I122" s="207">
        <v>84095</v>
      </c>
      <c r="J122" s="207">
        <v>-3052</v>
      </c>
      <c r="K122" s="207">
        <v>29934</v>
      </c>
      <c r="L122" s="207">
        <v>5870</v>
      </c>
      <c r="M122" s="207">
        <v>54161</v>
      </c>
      <c r="N122" s="207">
        <v>2818</v>
      </c>
      <c r="O122" s="234">
        <v>84095</v>
      </c>
      <c r="P122" s="207"/>
      <c r="Q122" s="234">
        <f t="shared" si="1"/>
        <v>0</v>
      </c>
      <c r="R122" s="207">
        <v>-3795.0213595068808</v>
      </c>
      <c r="S122" s="234">
        <v>2074.9786404931192</v>
      </c>
    </row>
    <row r="123" spans="1:19">
      <c r="A123" s="155" t="s">
        <v>2314</v>
      </c>
      <c r="B123" s="155" t="str">
        <f>IF(ISERROR(VLOOKUP($A123,Funding_Area_Names!$A$2:$K$249,7,FALSE))=TRUE,0,VLOOKUP($A123,Funding_Area_Names!$A$2:$K$249,7,FALSE))</f>
        <v>STW A3</v>
      </c>
      <c r="C123" s="207">
        <v>-244044.53417160991</v>
      </c>
      <c r="D123" s="234">
        <v>-207646.99347160466</v>
      </c>
      <c r="E123" s="234">
        <v>5634.3563225636181</v>
      </c>
      <c r="F123" s="234">
        <v>231031</v>
      </c>
      <c r="G123" s="234">
        <v>245538</v>
      </c>
      <c r="H123" s="234">
        <v>263398</v>
      </c>
      <c r="I123" s="207">
        <v>739967</v>
      </c>
      <c r="J123" s="207">
        <v>65948</v>
      </c>
      <c r="K123" s="207">
        <v>263398</v>
      </c>
      <c r="L123" s="207">
        <v>150072</v>
      </c>
      <c r="M123" s="207">
        <v>476569</v>
      </c>
      <c r="N123" s="207">
        <v>216020</v>
      </c>
      <c r="O123" s="234">
        <v>739967</v>
      </c>
      <c r="P123" s="207"/>
      <c r="Q123" s="234">
        <f t="shared" si="1"/>
        <v>-189438.1262758321</v>
      </c>
      <c r="R123" s="207">
        <v>82003.299022529405</v>
      </c>
      <c r="S123" s="234">
        <v>232075.29902252939</v>
      </c>
    </row>
    <row r="124" spans="1:19">
      <c r="A124" s="155" t="s">
        <v>2601</v>
      </c>
      <c r="B124" s="155" t="str">
        <f>IF(ISERROR(VLOOKUP($A124,Funding_Area_Names!$A$2:$K$249,7,FALSE))=TRUE,0,VLOOKUP($A124,Funding_Area_Names!$A$2:$K$249,7,FALSE))</f>
        <v>STW A30</v>
      </c>
      <c r="C124" s="207">
        <v>-58242.211949419805</v>
      </c>
      <c r="D124" s="234">
        <v>-49555.792124107662</v>
      </c>
      <c r="E124" s="234">
        <v>2060.4218624302366</v>
      </c>
      <c r="F124" s="234">
        <v>0</v>
      </c>
      <c r="G124" s="234">
        <v>0</v>
      </c>
      <c r="H124" s="234">
        <v>0</v>
      </c>
      <c r="I124" s="207">
        <v>0</v>
      </c>
      <c r="J124" s="207">
        <v>26219</v>
      </c>
      <c r="K124" s="207">
        <v>0</v>
      </c>
      <c r="L124" s="207">
        <v>55864</v>
      </c>
      <c r="M124" s="207">
        <v>0</v>
      </c>
      <c r="N124" s="207">
        <v>82083</v>
      </c>
      <c r="O124" s="234">
        <v>0</v>
      </c>
      <c r="P124" s="207"/>
      <c r="Q124" s="234">
        <f t="shared" si="1"/>
        <v>-45210.172558503007</v>
      </c>
      <c r="R124" s="207">
        <v>32602.118291255214</v>
      </c>
      <c r="S124" s="234">
        <v>88466.118291255218</v>
      </c>
    </row>
    <row r="125" spans="1:19">
      <c r="A125" s="155" t="s">
        <v>2602</v>
      </c>
      <c r="B125" s="155" t="str">
        <f>IF(ISERROR(VLOOKUP($A125,Funding_Area_Names!$A$2:$K$249,7,FALSE))=TRUE,0,VLOOKUP($A125,Funding_Area_Names!$A$2:$K$249,7,FALSE))</f>
        <v>STW A31</v>
      </c>
      <c r="C125" s="207">
        <v>0</v>
      </c>
      <c r="D125" s="234">
        <v>0</v>
      </c>
      <c r="E125" s="234">
        <v>0</v>
      </c>
      <c r="F125" s="234">
        <v>0</v>
      </c>
      <c r="G125" s="234">
        <v>0</v>
      </c>
      <c r="H125" s="234">
        <v>0</v>
      </c>
      <c r="I125" s="207">
        <v>0</v>
      </c>
      <c r="J125" s="207">
        <v>-164</v>
      </c>
      <c r="K125" s="207">
        <v>0</v>
      </c>
      <c r="L125" s="207">
        <v>-213</v>
      </c>
      <c r="M125" s="207">
        <v>0</v>
      </c>
      <c r="N125" s="207">
        <v>-377</v>
      </c>
      <c r="O125" s="234">
        <v>0</v>
      </c>
      <c r="P125" s="207"/>
      <c r="Q125" s="234">
        <f t="shared" si="1"/>
        <v>0</v>
      </c>
      <c r="R125" s="207">
        <v>-203.92644264715872</v>
      </c>
      <c r="S125" s="234">
        <v>-416.92644264715875</v>
      </c>
    </row>
    <row r="126" spans="1:19">
      <c r="A126" s="155" t="s">
        <v>2556</v>
      </c>
      <c r="B126" s="155" t="str">
        <f>IF(ISERROR(VLOOKUP($A126,Funding_Area_Names!$A$2:$K$249,7,FALSE))=TRUE,0,VLOOKUP($A126,Funding_Area_Names!$A$2:$K$249,7,FALSE))</f>
        <v>STW A32</v>
      </c>
      <c r="C126" s="207">
        <v>-17406137.505743239</v>
      </c>
      <c r="D126" s="234">
        <v>-14810133.458999552</v>
      </c>
      <c r="E126" s="234">
        <v>717229.28105951508</v>
      </c>
      <c r="F126" s="234">
        <v>0</v>
      </c>
      <c r="G126" s="234">
        <v>0</v>
      </c>
      <c r="H126" s="234">
        <v>0</v>
      </c>
      <c r="I126" s="207">
        <v>0</v>
      </c>
      <c r="J126" s="207">
        <v>-924250</v>
      </c>
      <c r="K126" s="207">
        <v>0</v>
      </c>
      <c r="L126" s="207">
        <v>-94262</v>
      </c>
      <c r="M126" s="207">
        <v>0</v>
      </c>
      <c r="N126" s="207">
        <v>-1018512</v>
      </c>
      <c r="O126" s="234">
        <v>0</v>
      </c>
      <c r="P126" s="207"/>
      <c r="Q126" s="234">
        <f t="shared" si="1"/>
        <v>-13511411.292124219</v>
      </c>
      <c r="R126" s="207">
        <v>-1149262.2842477832</v>
      </c>
      <c r="S126" s="234">
        <v>-1243524.2842477832</v>
      </c>
    </row>
    <row r="127" spans="1:19">
      <c r="A127" s="155" t="s">
        <v>2557</v>
      </c>
      <c r="B127" s="155" t="str">
        <f>IF(ISERROR(VLOOKUP($A127,Funding_Area_Names!$A$2:$K$249,7,FALSE))=TRUE,0,VLOOKUP($A127,Funding_Area_Names!$A$2:$K$249,7,FALSE))</f>
        <v>STW A33</v>
      </c>
      <c r="C127" s="207">
        <v>-9707274.5904434603</v>
      </c>
      <c r="D127" s="234">
        <v>-8259502.2681043725</v>
      </c>
      <c r="E127" s="234">
        <v>380986.54120253853</v>
      </c>
      <c r="F127" s="234">
        <v>0</v>
      </c>
      <c r="G127" s="234">
        <v>0</v>
      </c>
      <c r="H127" s="234">
        <v>0</v>
      </c>
      <c r="I127" s="207">
        <v>0</v>
      </c>
      <c r="J127" s="207">
        <v>54750</v>
      </c>
      <c r="K127" s="207">
        <v>0</v>
      </c>
      <c r="L127" s="207">
        <v>662386</v>
      </c>
      <c r="M127" s="207">
        <v>0</v>
      </c>
      <c r="N127" s="207">
        <v>717136</v>
      </c>
      <c r="O127" s="234">
        <v>0</v>
      </c>
      <c r="P127" s="207"/>
      <c r="Q127" s="234">
        <f t="shared" si="1"/>
        <v>-7535214.4882109398</v>
      </c>
      <c r="R127" s="207">
        <v>68079.102042267928</v>
      </c>
      <c r="S127" s="234">
        <v>730465.10204226791</v>
      </c>
    </row>
    <row r="128" spans="1:19">
      <c r="A128" s="155" t="s">
        <v>2600</v>
      </c>
      <c r="B128" s="155" t="str">
        <f>IF(ISERROR(VLOOKUP($A128,Funding_Area_Names!$A$2:$K$249,7,FALSE))=TRUE,0,VLOOKUP($A128,Funding_Area_Names!$A$2:$K$249,7,FALSE))</f>
        <v>STW A34</v>
      </c>
      <c r="C128" s="207">
        <v>0</v>
      </c>
      <c r="D128" s="234">
        <v>0</v>
      </c>
      <c r="E128" s="234">
        <v>0</v>
      </c>
      <c r="F128" s="234">
        <v>0</v>
      </c>
      <c r="G128" s="234">
        <v>0</v>
      </c>
      <c r="H128" s="234">
        <v>0</v>
      </c>
      <c r="I128" s="207">
        <v>0</v>
      </c>
      <c r="J128" s="207">
        <v>0</v>
      </c>
      <c r="K128" s="207">
        <v>0</v>
      </c>
      <c r="L128" s="207">
        <v>0</v>
      </c>
      <c r="M128" s="207">
        <v>0</v>
      </c>
      <c r="N128" s="207">
        <v>0</v>
      </c>
      <c r="O128" s="234">
        <v>0</v>
      </c>
      <c r="P128" s="207"/>
      <c r="Q128" s="234">
        <f t="shared" si="1"/>
        <v>0</v>
      </c>
      <c r="R128" s="207">
        <v>0</v>
      </c>
      <c r="S128" s="234">
        <v>0</v>
      </c>
    </row>
    <row r="129" spans="1:19">
      <c r="A129" s="155" t="s">
        <v>2598</v>
      </c>
      <c r="B129" s="155" t="str">
        <f>IF(ISERROR(VLOOKUP($A129,Funding_Area_Names!$A$2:$K$249,7,FALSE))=TRUE,0,VLOOKUP($A129,Funding_Area_Names!$A$2:$K$249,7,FALSE))</f>
        <v>STW A35</v>
      </c>
      <c r="C129" s="207">
        <v>0</v>
      </c>
      <c r="D129" s="234">
        <v>0</v>
      </c>
      <c r="E129" s="234">
        <v>0</v>
      </c>
      <c r="F129" s="234">
        <v>0</v>
      </c>
      <c r="G129" s="234">
        <v>0</v>
      </c>
      <c r="H129" s="234">
        <v>0</v>
      </c>
      <c r="I129" s="207">
        <v>0</v>
      </c>
      <c r="J129" s="207">
        <v>0</v>
      </c>
      <c r="K129" s="207">
        <v>0</v>
      </c>
      <c r="L129" s="207">
        <v>0</v>
      </c>
      <c r="M129" s="207">
        <v>0</v>
      </c>
      <c r="N129" s="207">
        <v>0</v>
      </c>
      <c r="O129" s="234">
        <v>0</v>
      </c>
      <c r="P129" s="207"/>
      <c r="Q129" s="234">
        <f t="shared" si="1"/>
        <v>0</v>
      </c>
      <c r="R129" s="207">
        <v>0</v>
      </c>
      <c r="S129" s="234">
        <v>0</v>
      </c>
    </row>
    <row r="130" spans="1:19">
      <c r="A130" s="155" t="s">
        <v>2599</v>
      </c>
      <c r="B130" s="155" t="str">
        <f>IF(ISERROR(VLOOKUP($A130,Funding_Area_Names!$A$2:$K$249,7,FALSE))=TRUE,0,VLOOKUP($A130,Funding_Area_Names!$A$2:$K$249,7,FALSE))</f>
        <v>STW A36</v>
      </c>
      <c r="C130" s="207">
        <v>0</v>
      </c>
      <c r="D130" s="234">
        <v>0</v>
      </c>
      <c r="E130" s="234">
        <v>0</v>
      </c>
      <c r="F130" s="234">
        <v>0</v>
      </c>
      <c r="G130" s="234">
        <v>0</v>
      </c>
      <c r="H130" s="234">
        <v>0</v>
      </c>
      <c r="I130" s="207">
        <v>0</v>
      </c>
      <c r="J130" s="207">
        <v>0</v>
      </c>
      <c r="K130" s="207">
        <v>0</v>
      </c>
      <c r="L130" s="207">
        <v>0</v>
      </c>
      <c r="M130" s="207">
        <v>0</v>
      </c>
      <c r="N130" s="207">
        <v>0</v>
      </c>
      <c r="O130" s="234">
        <v>0</v>
      </c>
      <c r="P130" s="207"/>
      <c r="Q130" s="234">
        <f t="shared" si="1"/>
        <v>0</v>
      </c>
      <c r="R130" s="207">
        <v>0</v>
      </c>
      <c r="S130" s="234">
        <v>0</v>
      </c>
    </row>
    <row r="131" spans="1:19">
      <c r="A131" s="155" t="s">
        <v>2312</v>
      </c>
      <c r="B131" s="155" t="str">
        <f>IF(ISERROR(VLOOKUP($A131,Funding_Area_Names!$A$2:$K$249,7,FALSE))=TRUE,0,VLOOKUP($A131,Funding_Area_Names!$A$2:$K$249,7,FALSE))</f>
        <v>STW A4</v>
      </c>
      <c r="C131" s="207">
        <v>-3630122.1935132998</v>
      </c>
      <c r="D131" s="234">
        <v>-3088714.7789490311</v>
      </c>
      <c r="E131" s="234">
        <v>109024.84834058033</v>
      </c>
      <c r="F131" s="234">
        <v>0</v>
      </c>
      <c r="G131" s="234">
        <v>0</v>
      </c>
      <c r="H131" s="234">
        <v>0</v>
      </c>
      <c r="I131" s="207">
        <v>0</v>
      </c>
      <c r="J131" s="207">
        <v>751850</v>
      </c>
      <c r="K131" s="207">
        <v>0</v>
      </c>
      <c r="L131" s="207">
        <v>1146655</v>
      </c>
      <c r="M131" s="207">
        <v>0</v>
      </c>
      <c r="N131" s="207">
        <v>1898505</v>
      </c>
      <c r="O131" s="234">
        <v>0</v>
      </c>
      <c r="P131" s="207"/>
      <c r="Q131" s="234">
        <f t="shared" si="1"/>
        <v>-2817860.8827514262</v>
      </c>
      <c r="R131" s="207">
        <v>934890.82868455048</v>
      </c>
      <c r="S131" s="234">
        <v>2081545.8286845505</v>
      </c>
    </row>
    <row r="132" spans="1:19">
      <c r="A132" s="155" t="s">
        <v>2310</v>
      </c>
      <c r="B132" s="155" t="str">
        <f>IF(ISERROR(VLOOKUP($A132,Funding_Area_Names!$A$2:$K$249,7,FALSE))=TRUE,0,VLOOKUP($A132,Funding_Area_Names!$A$2:$K$249,7,FALSE))</f>
        <v>STW A5</v>
      </c>
      <c r="C132" s="207">
        <v>-2023755.6632403152</v>
      </c>
      <c r="D132" s="234">
        <v>-1721926.6164653581</v>
      </c>
      <c r="E132" s="234">
        <v>82607.215814822761</v>
      </c>
      <c r="F132" s="234">
        <v>0</v>
      </c>
      <c r="G132" s="234">
        <v>0</v>
      </c>
      <c r="H132" s="234">
        <v>0</v>
      </c>
      <c r="I132" s="207">
        <v>0</v>
      </c>
      <c r="J132" s="207">
        <v>-80878</v>
      </c>
      <c r="K132" s="207">
        <v>0</v>
      </c>
      <c r="L132" s="207">
        <v>64828</v>
      </c>
      <c r="M132" s="207">
        <v>0</v>
      </c>
      <c r="N132" s="207">
        <v>-16050</v>
      </c>
      <c r="O132" s="234">
        <v>0</v>
      </c>
      <c r="P132" s="207"/>
      <c r="Q132" s="234">
        <f t="shared" si="1"/>
        <v>-1570928.3643073209</v>
      </c>
      <c r="R132" s="207">
        <v>-100568.06602693234</v>
      </c>
      <c r="S132" s="234">
        <v>-35740.066026932342</v>
      </c>
    </row>
    <row r="133" spans="1:19">
      <c r="A133" s="155" t="s">
        <v>2325</v>
      </c>
      <c r="B133" s="155" t="str">
        <f>IF(ISERROR(VLOOKUP($A133,Funding_Area_Names!$A$2:$K$249,7,FALSE))=TRUE,0,VLOOKUP($A133,Funding_Area_Names!$A$2:$K$249,7,FALSE))</f>
        <v>STW A6</v>
      </c>
      <c r="C133" s="207">
        <v>-6305346.5964165796</v>
      </c>
      <c r="D133" s="234">
        <v>-5364948.1148454659</v>
      </c>
      <c r="E133" s="234">
        <v>202130.49578337182</v>
      </c>
      <c r="F133" s="234">
        <v>0</v>
      </c>
      <c r="G133" s="234">
        <v>0</v>
      </c>
      <c r="H133" s="234">
        <v>0</v>
      </c>
      <c r="I133" s="207">
        <v>0</v>
      </c>
      <c r="J133" s="207">
        <v>1072760</v>
      </c>
      <c r="K133" s="207">
        <v>0</v>
      </c>
      <c r="L133" s="207">
        <v>1129993</v>
      </c>
      <c r="M133" s="207">
        <v>0</v>
      </c>
      <c r="N133" s="207">
        <v>2202753</v>
      </c>
      <c r="O133" s="234">
        <v>0</v>
      </c>
      <c r="P133" s="207"/>
      <c r="Q133" s="234">
        <f t="shared" si="1"/>
        <v>-4894488.0031810505</v>
      </c>
      <c r="R133" s="207">
        <v>1333927.6256961341</v>
      </c>
      <c r="S133" s="234">
        <v>2463920.6256961338</v>
      </c>
    </row>
    <row r="134" spans="1:19">
      <c r="A134" s="155" t="s">
        <v>2323</v>
      </c>
      <c r="B134" s="155" t="str">
        <f>IF(ISERROR(VLOOKUP($A134,Funding_Area_Names!$A$2:$K$249,7,FALSE))=TRUE,0,VLOOKUP($A134,Funding_Area_Names!$A$2:$K$249,7,FALSE))</f>
        <v>STW A7</v>
      </c>
      <c r="C134" s="207">
        <v>-674517.60737940716</v>
      </c>
      <c r="D134" s="234">
        <v>-573918.00923311862</v>
      </c>
      <c r="E134" s="234">
        <v>20898.486073429591</v>
      </c>
      <c r="F134" s="234">
        <v>7475</v>
      </c>
      <c r="G134" s="234">
        <v>7944</v>
      </c>
      <c r="H134" s="234">
        <v>8522</v>
      </c>
      <c r="I134" s="207">
        <v>23941</v>
      </c>
      <c r="J134" s="207">
        <v>52909</v>
      </c>
      <c r="K134" s="207">
        <v>8522</v>
      </c>
      <c r="L134" s="207">
        <v>97236</v>
      </c>
      <c r="M134" s="207">
        <v>15419</v>
      </c>
      <c r="N134" s="207">
        <v>150145</v>
      </c>
      <c r="O134" s="234">
        <v>23941</v>
      </c>
      <c r="P134" s="207"/>
      <c r="Q134" s="234">
        <f t="shared" si="1"/>
        <v>-523590.30336716736</v>
      </c>
      <c r="R134" s="207">
        <v>65789.903378161718</v>
      </c>
      <c r="S134" s="234">
        <v>163025.90337816172</v>
      </c>
    </row>
    <row r="135" spans="1:19">
      <c r="A135" s="155" t="s">
        <v>2313</v>
      </c>
      <c r="B135" s="155" t="str">
        <f>IF(ISERROR(VLOOKUP($A135,Funding_Area_Names!$A$2:$K$249,7,FALSE))=TRUE,0,VLOOKUP($A135,Funding_Area_Names!$A$2:$K$249,7,FALSE))</f>
        <v>STW A8</v>
      </c>
      <c r="C135" s="207">
        <v>0</v>
      </c>
      <c r="D135" s="234">
        <v>0</v>
      </c>
      <c r="E135" s="234">
        <v>1466.2564305006986</v>
      </c>
      <c r="F135" s="234">
        <v>0</v>
      </c>
      <c r="G135" s="234">
        <v>0</v>
      </c>
      <c r="H135" s="234">
        <v>0</v>
      </c>
      <c r="I135" s="207">
        <v>0</v>
      </c>
      <c r="J135" s="207">
        <v>-210</v>
      </c>
      <c r="K135" s="207">
        <v>0</v>
      </c>
      <c r="L135" s="207">
        <v>11361</v>
      </c>
      <c r="M135" s="207">
        <v>0</v>
      </c>
      <c r="N135" s="207">
        <v>11151</v>
      </c>
      <c r="O135" s="234">
        <v>0</v>
      </c>
      <c r="P135" s="207"/>
      <c r="Q135" s="234">
        <f t="shared" si="1"/>
        <v>0</v>
      </c>
      <c r="R135" s="207">
        <v>-261.12532290184959</v>
      </c>
      <c r="S135" s="234">
        <v>11099.874677098151</v>
      </c>
    </row>
    <row r="136" spans="1:19">
      <c r="A136" s="155" t="s">
        <v>2309</v>
      </c>
      <c r="B136" s="155" t="str">
        <f>IF(ISERROR(VLOOKUP($A136,Funding_Area_Names!$A$2:$K$249,7,FALSE))=TRUE,0,VLOOKUP($A136,Funding_Area_Names!$A$2:$K$249,7,FALSE))</f>
        <v>STW A9</v>
      </c>
      <c r="C136" s="207">
        <v>-4757.0103316728982</v>
      </c>
      <c r="D136" s="234">
        <v>-4047.5354083965722</v>
      </c>
      <c r="E136" s="234">
        <v>179.9043014531718</v>
      </c>
      <c r="F136" s="234">
        <v>0</v>
      </c>
      <c r="G136" s="234">
        <v>0</v>
      </c>
      <c r="H136" s="234">
        <v>0</v>
      </c>
      <c r="I136" s="207">
        <v>0</v>
      </c>
      <c r="J136" s="207">
        <v>2231</v>
      </c>
      <c r="K136" s="207">
        <v>0</v>
      </c>
      <c r="L136" s="207">
        <v>4852</v>
      </c>
      <c r="M136" s="207">
        <v>0</v>
      </c>
      <c r="N136" s="207">
        <v>7083</v>
      </c>
      <c r="O136" s="234">
        <v>0</v>
      </c>
      <c r="P136" s="207"/>
      <c r="Q136" s="234">
        <f t="shared" ref="Q136:Q150" si="2">D136*$Q$153/$D$151</f>
        <v>-3692.6011351403663</v>
      </c>
      <c r="R136" s="207">
        <v>2774.1456923525066</v>
      </c>
      <c r="S136" s="234">
        <v>7626.1456923525066</v>
      </c>
    </row>
    <row r="137" spans="1:19">
      <c r="A137" s="155" t="s">
        <v>2308</v>
      </c>
      <c r="B137" s="155">
        <f>IF(ISERROR(VLOOKUP($A137,Funding_Area_Names!$A$2:$K$249,7,FALSE))=TRUE,0,VLOOKUP($A137,Funding_Area_Names!$A$2:$K$249,7,FALSE))</f>
        <v>0</v>
      </c>
      <c r="C137" s="207">
        <v>0</v>
      </c>
      <c r="D137" s="234">
        <v>0</v>
      </c>
      <c r="E137" s="234">
        <v>0</v>
      </c>
      <c r="F137" s="234">
        <v>0</v>
      </c>
      <c r="G137" s="234">
        <v>0</v>
      </c>
      <c r="H137" s="234">
        <v>0</v>
      </c>
      <c r="I137" s="207">
        <v>0</v>
      </c>
      <c r="J137" s="207">
        <v>0</v>
      </c>
      <c r="K137" s="207">
        <v>0</v>
      </c>
      <c r="L137" s="207">
        <v>0</v>
      </c>
      <c r="M137" s="207">
        <v>0</v>
      </c>
      <c r="N137" s="207">
        <v>0</v>
      </c>
      <c r="O137" s="234">
        <v>0</v>
      </c>
      <c r="P137" s="207"/>
      <c r="Q137" s="234">
        <f t="shared" si="2"/>
        <v>0</v>
      </c>
      <c r="R137" s="207">
        <v>0</v>
      </c>
      <c r="S137" s="234">
        <v>0</v>
      </c>
    </row>
    <row r="138" spans="1:19">
      <c r="A138" s="155" t="s">
        <v>3019</v>
      </c>
      <c r="B138" s="155">
        <f>IF(ISERROR(VLOOKUP($A138,Funding_Area_Names!$A$2:$K$249,7,FALSE))=TRUE,0,VLOOKUP($A138,Funding_Area_Names!$A$2:$K$249,7,FALSE))</f>
        <v>0</v>
      </c>
      <c r="C138" s="207">
        <v>0</v>
      </c>
      <c r="D138" s="234">
        <v>0</v>
      </c>
      <c r="E138" s="234">
        <v>0</v>
      </c>
      <c r="F138" s="234">
        <v>0</v>
      </c>
      <c r="G138" s="234">
        <v>0</v>
      </c>
      <c r="H138" s="234">
        <v>0</v>
      </c>
      <c r="I138" s="207">
        <v>0</v>
      </c>
      <c r="J138" s="207">
        <v>0</v>
      </c>
      <c r="K138" s="207">
        <v>0</v>
      </c>
      <c r="L138" s="207">
        <v>0</v>
      </c>
      <c r="M138" s="207">
        <v>0</v>
      </c>
      <c r="N138" s="207">
        <v>0</v>
      </c>
      <c r="O138" s="234">
        <v>0</v>
      </c>
      <c r="P138" s="207"/>
      <c r="Q138" s="234">
        <f t="shared" si="2"/>
        <v>0</v>
      </c>
      <c r="R138" s="207">
        <v>0</v>
      </c>
      <c r="S138" s="234">
        <v>0</v>
      </c>
    </row>
    <row r="139" spans="1:19">
      <c r="A139" s="155" t="s">
        <v>3020</v>
      </c>
      <c r="B139" s="155">
        <f>IF(ISERROR(VLOOKUP($A139,Funding_Area_Names!$A$2:$K$249,7,FALSE))=TRUE,0,VLOOKUP($A139,Funding_Area_Names!$A$2:$K$249,7,FALSE))</f>
        <v>0</v>
      </c>
      <c r="C139" s="207">
        <v>0</v>
      </c>
      <c r="D139" s="234">
        <v>0</v>
      </c>
      <c r="E139" s="234">
        <v>0</v>
      </c>
      <c r="F139" s="234">
        <v>0</v>
      </c>
      <c r="G139" s="234">
        <v>0</v>
      </c>
      <c r="H139" s="234">
        <v>0</v>
      </c>
      <c r="I139" s="207">
        <v>0</v>
      </c>
      <c r="J139" s="207">
        <v>0</v>
      </c>
      <c r="K139" s="207">
        <v>0</v>
      </c>
      <c r="L139" s="207">
        <v>0</v>
      </c>
      <c r="M139" s="207">
        <v>0</v>
      </c>
      <c r="N139" s="207">
        <v>0</v>
      </c>
      <c r="O139" s="234">
        <v>0</v>
      </c>
      <c r="P139" s="207"/>
      <c r="Q139" s="234">
        <f t="shared" si="2"/>
        <v>0</v>
      </c>
      <c r="R139" s="207">
        <v>0</v>
      </c>
      <c r="S139" s="234">
        <v>0</v>
      </c>
    </row>
    <row r="140" spans="1:19">
      <c r="A140" s="155" t="s">
        <v>3021</v>
      </c>
      <c r="B140" s="155">
        <f>IF(ISERROR(VLOOKUP($A140,Funding_Area_Names!$A$2:$K$249,7,FALSE))=TRUE,0,VLOOKUP($A140,Funding_Area_Names!$A$2:$K$249,7,FALSE))</f>
        <v>0</v>
      </c>
      <c r="C140" s="207">
        <v>0</v>
      </c>
      <c r="D140" s="234">
        <v>0</v>
      </c>
      <c r="E140" s="234">
        <v>0</v>
      </c>
      <c r="F140" s="234">
        <v>0</v>
      </c>
      <c r="G140" s="234">
        <v>0</v>
      </c>
      <c r="H140" s="234">
        <v>0</v>
      </c>
      <c r="I140" s="207">
        <v>0</v>
      </c>
      <c r="J140" s="207">
        <v>0</v>
      </c>
      <c r="K140" s="207">
        <v>0</v>
      </c>
      <c r="L140" s="207">
        <v>0</v>
      </c>
      <c r="M140" s="207">
        <v>0</v>
      </c>
      <c r="N140" s="207">
        <v>0</v>
      </c>
      <c r="O140" s="234">
        <v>0</v>
      </c>
      <c r="P140" s="207"/>
      <c r="Q140" s="234">
        <f t="shared" si="2"/>
        <v>0</v>
      </c>
      <c r="R140" s="207">
        <v>0</v>
      </c>
      <c r="S140" s="234">
        <v>0</v>
      </c>
    </row>
    <row r="141" spans="1:19">
      <c r="A141" s="155" t="s">
        <v>943</v>
      </c>
      <c r="B141" s="155" t="str">
        <f>IF(ISERROR(VLOOKUP($A141,Funding_Area_Names!$A$2:$K$249,7,FALSE))=TRUE,0,VLOOKUP($A141,Funding_Area_Names!$A$2:$K$249,7,FALSE))</f>
        <v>TRA A1</v>
      </c>
      <c r="C141" s="207">
        <v>-39518283.005796894</v>
      </c>
      <c r="D141" s="234">
        <v>-33624406.632043034</v>
      </c>
      <c r="E141" s="234">
        <v>8868198</v>
      </c>
      <c r="F141" s="234">
        <v>705632</v>
      </c>
      <c r="G141" s="234">
        <v>882914</v>
      </c>
      <c r="H141" s="234">
        <v>1044327</v>
      </c>
      <c r="I141" s="207">
        <v>2632873</v>
      </c>
      <c r="J141" s="207">
        <v>2513530</v>
      </c>
      <c r="K141" s="207">
        <v>1044327</v>
      </c>
      <c r="L141" s="207">
        <v>5718679</v>
      </c>
      <c r="M141" s="207">
        <v>1588546</v>
      </c>
      <c r="N141" s="207">
        <v>8232209</v>
      </c>
      <c r="O141" s="234">
        <v>2632873</v>
      </c>
      <c r="P141" s="207"/>
      <c r="Q141" s="234">
        <f t="shared" si="2"/>
        <v>-30675833.456658963</v>
      </c>
      <c r="R141" s="207">
        <v>3125458.727968981</v>
      </c>
      <c r="S141" s="234">
        <v>8844137.7279689815</v>
      </c>
    </row>
    <row r="142" spans="1:19">
      <c r="A142" s="155" t="s">
        <v>2336</v>
      </c>
      <c r="B142" s="155" t="str">
        <f>IF(ISERROR(VLOOKUP($A142,Funding_Area_Names!$A$2:$K$249,7,FALSE))=TRUE,0,VLOOKUP($A142,Funding_Area_Names!$A$2:$K$249,7,FALSE))</f>
        <v>TRA A3</v>
      </c>
      <c r="C142" s="207">
        <v>-2965144.1891710069</v>
      </c>
      <c r="D142" s="234">
        <v>-2522913.6074737967</v>
      </c>
      <c r="E142" s="234">
        <v>594666</v>
      </c>
      <c r="F142" s="234">
        <v>291785</v>
      </c>
      <c r="G142" s="234">
        <v>312517</v>
      </c>
      <c r="H142" s="234">
        <v>337199</v>
      </c>
      <c r="I142" s="207">
        <v>941501</v>
      </c>
      <c r="J142" s="207">
        <v>0</v>
      </c>
      <c r="K142" s="207">
        <v>0</v>
      </c>
      <c r="L142" s="207">
        <v>0</v>
      </c>
      <c r="M142" s="207">
        <v>0</v>
      </c>
      <c r="N142" s="207">
        <v>0</v>
      </c>
      <c r="O142" s="234">
        <v>0</v>
      </c>
      <c r="P142" s="207"/>
      <c r="Q142" s="234">
        <f t="shared" si="2"/>
        <v>-2301675.6398208728</v>
      </c>
      <c r="R142" s="207">
        <v>0</v>
      </c>
      <c r="S142" s="234">
        <v>0</v>
      </c>
    </row>
    <row r="143" spans="1:19">
      <c r="A143" s="155" t="s">
        <v>3022</v>
      </c>
      <c r="B143" s="155">
        <f>IF(ISERROR(VLOOKUP($A143,Funding_Area_Names!$A$2:$K$249,7,FALSE))=TRUE,0,VLOOKUP($A143,Funding_Area_Names!$A$2:$K$249,7,FALSE))</f>
        <v>0</v>
      </c>
      <c r="C143" s="207">
        <v>0</v>
      </c>
      <c r="D143" s="234">
        <v>0</v>
      </c>
      <c r="E143" s="234">
        <v>0</v>
      </c>
      <c r="F143" s="234">
        <v>0</v>
      </c>
      <c r="G143" s="234">
        <v>0</v>
      </c>
      <c r="H143" s="234">
        <v>0</v>
      </c>
      <c r="I143" s="207">
        <v>0</v>
      </c>
      <c r="J143" s="207">
        <v>0</v>
      </c>
      <c r="K143" s="207">
        <v>0</v>
      </c>
      <c r="L143" s="207">
        <v>0</v>
      </c>
      <c r="M143" s="207">
        <v>0</v>
      </c>
      <c r="N143" s="207">
        <v>0</v>
      </c>
      <c r="O143" s="234">
        <v>0</v>
      </c>
      <c r="P143" s="207"/>
      <c r="Q143" s="234">
        <f t="shared" si="2"/>
        <v>0</v>
      </c>
      <c r="R143" s="207">
        <v>0</v>
      </c>
      <c r="S143" s="234">
        <v>0</v>
      </c>
    </row>
    <row r="144" spans="1:19">
      <c r="A144" s="155" t="s">
        <v>944</v>
      </c>
      <c r="B144" s="155" t="str">
        <f>IF(ISERROR(VLOOKUP($A144,Funding_Area_Names!$A$2:$K$249,7,FALSE))=TRUE,0,VLOOKUP($A144,Funding_Area_Names!$A$2:$K$249,7,FALSE))</f>
        <v>TRA A7</v>
      </c>
      <c r="C144" s="207">
        <v>0.30445951437660029</v>
      </c>
      <c r="D144" s="234">
        <v>0.25905150061533461</v>
      </c>
      <c r="E144" s="234">
        <v>0</v>
      </c>
      <c r="F144" s="234">
        <v>0</v>
      </c>
      <c r="G144" s="234">
        <v>0</v>
      </c>
      <c r="H144" s="234">
        <v>0</v>
      </c>
      <c r="I144" s="207">
        <v>0</v>
      </c>
      <c r="J144" s="207">
        <v>3.4985057317849205E-2</v>
      </c>
      <c r="K144" s="207">
        <v>0</v>
      </c>
      <c r="L144" s="207">
        <v>1.8724504980563578E-2</v>
      </c>
      <c r="M144" s="207">
        <v>0</v>
      </c>
      <c r="N144" s="207">
        <v>5.3709562298412783E-2</v>
      </c>
      <c r="O144" s="234">
        <v>0</v>
      </c>
      <c r="P144" s="207"/>
      <c r="Q144" s="234">
        <f t="shared" si="2"/>
        <v>0.23633489734212007</v>
      </c>
      <c r="R144" s="207">
        <v>4.3502306613633759E-2</v>
      </c>
      <c r="S144" s="234">
        <v>6.2226811594197337E-2</v>
      </c>
    </row>
    <row r="145" spans="1:19">
      <c r="A145" s="155" t="s">
        <v>2208</v>
      </c>
      <c r="B145" s="155" t="str">
        <f>IF(ISERROR(VLOOKUP($A145,Funding_Area_Names!$A$2:$K$249,7,FALSE))=TRUE,0,VLOOKUP($A145,Funding_Area_Names!$A$2:$K$249,7,FALSE))</f>
        <v>TRA A14</v>
      </c>
      <c r="C145" s="207">
        <v>6.9361212255277275E-3</v>
      </c>
      <c r="D145" s="234">
        <v>5.9016471060262853E-3</v>
      </c>
      <c r="E145" s="234">
        <v>0</v>
      </c>
      <c r="F145" s="234">
        <v>0</v>
      </c>
      <c r="G145" s="234">
        <v>0</v>
      </c>
      <c r="H145" s="234">
        <v>0</v>
      </c>
      <c r="I145" s="207">
        <v>0</v>
      </c>
      <c r="J145" s="207">
        <v>0</v>
      </c>
      <c r="K145" s="207">
        <v>0</v>
      </c>
      <c r="L145" s="207">
        <v>0</v>
      </c>
      <c r="M145" s="207">
        <v>0</v>
      </c>
      <c r="N145" s="207">
        <v>0</v>
      </c>
      <c r="O145" s="234">
        <v>0</v>
      </c>
      <c r="P145" s="207"/>
      <c r="Q145" s="234">
        <f t="shared" si="2"/>
        <v>5.3841230783805722E-3</v>
      </c>
      <c r="R145" s="207">
        <v>0</v>
      </c>
      <c r="S145" s="234">
        <v>0</v>
      </c>
    </row>
    <row r="146" spans="1:19">
      <c r="A146" s="155" t="s">
        <v>2335</v>
      </c>
      <c r="B146" s="155" t="str">
        <f>IF(ISERROR(VLOOKUP($A146,Funding_Area_Names!$A$2:$K$249,7,FALSE))=TRUE,0,VLOOKUP($A146,Funding_Area_Names!$A$2:$K$249,7,FALSE))</f>
        <v>TRA A2</v>
      </c>
      <c r="C146" s="207">
        <v>-3741588.7896853993</v>
      </c>
      <c r="D146" s="234">
        <v>-3183556.9094897383</v>
      </c>
      <c r="E146" s="234">
        <v>623507</v>
      </c>
      <c r="F146" s="234">
        <v>524714</v>
      </c>
      <c r="G146" s="234">
        <v>571639</v>
      </c>
      <c r="H146" s="234">
        <v>622336</v>
      </c>
      <c r="I146" s="207">
        <v>1718689</v>
      </c>
      <c r="J146" s="207">
        <v>1087422.0494110326</v>
      </c>
      <c r="K146" s="207">
        <v>622336</v>
      </c>
      <c r="L146" s="207">
        <v>2112202.9000215596</v>
      </c>
      <c r="M146" s="207">
        <v>1096353</v>
      </c>
      <c r="N146" s="207">
        <v>3199624.9494325919</v>
      </c>
      <c r="O146" s="234">
        <v>1718689</v>
      </c>
      <c r="P146" s="207"/>
      <c r="Q146" s="234">
        <f t="shared" si="2"/>
        <v>-2904386.1687729466</v>
      </c>
      <c r="R146" s="207">
        <v>1352159.2084906998</v>
      </c>
      <c r="S146" s="234">
        <v>3464362.1085122591</v>
      </c>
    </row>
    <row r="147" spans="1:19">
      <c r="A147" s="155" t="s">
        <v>3023</v>
      </c>
      <c r="B147" s="155">
        <f>IF(ISERROR(VLOOKUP($A147,Funding_Area_Names!$A$2:$K$249,7,FALSE))=TRUE,0,VLOOKUP($A147,Funding_Area_Names!$A$2:$K$249,7,FALSE))</f>
        <v>0</v>
      </c>
      <c r="C147" s="207">
        <v>0</v>
      </c>
      <c r="D147" s="234">
        <v>0</v>
      </c>
      <c r="E147" s="234">
        <v>0</v>
      </c>
      <c r="F147" s="234">
        <v>0</v>
      </c>
      <c r="G147" s="234">
        <v>0</v>
      </c>
      <c r="H147" s="234">
        <v>0</v>
      </c>
      <c r="I147" s="207">
        <v>0</v>
      </c>
      <c r="J147" s="207">
        <v>0</v>
      </c>
      <c r="K147" s="207">
        <v>0</v>
      </c>
      <c r="L147" s="207">
        <v>0</v>
      </c>
      <c r="M147" s="207">
        <v>0</v>
      </c>
      <c r="N147" s="207">
        <v>0</v>
      </c>
      <c r="O147" s="234">
        <v>0</v>
      </c>
      <c r="P147" s="207"/>
      <c r="Q147" s="234">
        <f t="shared" si="2"/>
        <v>0</v>
      </c>
      <c r="R147" s="207">
        <v>0</v>
      </c>
      <c r="S147" s="234">
        <v>0</v>
      </c>
    </row>
    <row r="148" spans="1:19">
      <c r="A148" s="155" t="s">
        <v>2338</v>
      </c>
      <c r="B148" s="155" t="str">
        <f>IF(ISERROR(VLOOKUP($A148,Funding_Area_Names!$A$2:$K$249,7,FALSE))=TRUE,0,VLOOKUP($A148,Funding_Area_Names!$A$2:$K$249,7,FALSE))</f>
        <v>TRA A5</v>
      </c>
      <c r="C148" s="207">
        <v>-3015875.7158599892</v>
      </c>
      <c r="D148" s="234">
        <v>-2566078.8806766951</v>
      </c>
      <c r="E148" s="234">
        <v>770291</v>
      </c>
      <c r="F148" s="234">
        <v>1783</v>
      </c>
      <c r="G148" s="234">
        <v>9864</v>
      </c>
      <c r="H148" s="234">
        <v>22476</v>
      </c>
      <c r="I148" s="207">
        <v>34123</v>
      </c>
      <c r="J148" s="207">
        <v>0</v>
      </c>
      <c r="K148" s="207">
        <v>0</v>
      </c>
      <c r="L148" s="207">
        <v>0</v>
      </c>
      <c r="M148" s="207">
        <v>0</v>
      </c>
      <c r="N148" s="207">
        <v>0</v>
      </c>
      <c r="O148" s="234">
        <v>0</v>
      </c>
      <c r="P148" s="207"/>
      <c r="Q148" s="234">
        <f t="shared" si="2"/>
        <v>-2341055.6873670933</v>
      </c>
      <c r="R148" s="207">
        <v>0</v>
      </c>
      <c r="S148" s="234">
        <v>0</v>
      </c>
    </row>
    <row r="149" spans="1:19">
      <c r="A149" s="155" t="s">
        <v>3024</v>
      </c>
      <c r="B149" s="155">
        <f>IF(ISERROR(VLOOKUP($A149,Funding_Area_Names!$A$2:$K$249,7,FALSE))=TRUE,0,VLOOKUP($A149,Funding_Area_Names!$A$2:$K$249,7,FALSE))</f>
        <v>0</v>
      </c>
      <c r="C149" s="207">
        <v>0</v>
      </c>
      <c r="D149" s="234">
        <v>0</v>
      </c>
      <c r="E149" s="234">
        <v>0</v>
      </c>
      <c r="F149" s="234">
        <v>0</v>
      </c>
      <c r="G149" s="234">
        <v>0</v>
      </c>
      <c r="H149" s="234">
        <v>0</v>
      </c>
      <c r="I149" s="207">
        <v>0</v>
      </c>
      <c r="J149" s="207">
        <v>0</v>
      </c>
      <c r="K149" s="207">
        <v>0</v>
      </c>
      <c r="L149" s="207">
        <v>0</v>
      </c>
      <c r="M149" s="207">
        <v>0</v>
      </c>
      <c r="N149" s="207">
        <v>0</v>
      </c>
      <c r="O149" s="234">
        <v>0</v>
      </c>
      <c r="P149" s="207"/>
      <c r="Q149" s="234">
        <f t="shared" si="2"/>
        <v>0</v>
      </c>
      <c r="R149" s="207">
        <v>0</v>
      </c>
      <c r="S149" s="234">
        <v>0</v>
      </c>
    </row>
    <row r="150" spans="1:19">
      <c r="A150" s="155" t="s">
        <v>2337</v>
      </c>
      <c r="B150" s="155" t="str">
        <f>IF(ISERROR(VLOOKUP($A150,Funding_Area_Names!$A$2:$K$249,7,FALSE))=TRUE,0,VLOOKUP($A150,Funding_Area_Names!$A$2:$K$249,7,FALSE))</f>
        <v>TRA A4</v>
      </c>
      <c r="C150" s="207">
        <v>-4886882.4350160491</v>
      </c>
      <c r="D150" s="234">
        <v>-4158037.9930439931</v>
      </c>
      <c r="E150" s="234">
        <v>1058331</v>
      </c>
      <c r="F150" s="234">
        <v>312092</v>
      </c>
      <c r="G150" s="234">
        <v>345744</v>
      </c>
      <c r="H150" s="234">
        <v>374853</v>
      </c>
      <c r="I150" s="207">
        <v>1032689</v>
      </c>
      <c r="J150" s="207">
        <v>0</v>
      </c>
      <c r="K150" s="207">
        <v>0</v>
      </c>
      <c r="L150" s="207">
        <v>0</v>
      </c>
      <c r="M150" s="207">
        <v>0</v>
      </c>
      <c r="N150" s="207">
        <v>0</v>
      </c>
      <c r="O150" s="234">
        <v>0</v>
      </c>
      <c r="P150" s="207"/>
      <c r="Q150" s="234">
        <f t="shared" si="2"/>
        <v>-3793413.5872460431</v>
      </c>
      <c r="R150" s="207">
        <v>0</v>
      </c>
      <c r="S150" s="234">
        <v>0</v>
      </c>
    </row>
    <row r="151" spans="1:19" ht="14.5" thickBot="1">
      <c r="C151" s="211">
        <f>SUM(C7:C150)</f>
        <v>-229309315.5878014</v>
      </c>
      <c r="D151" s="211">
        <f t="shared" ref="D151:S151" si="3">SUM(D7:D150)</f>
        <v>-195109430</v>
      </c>
      <c r="E151" s="211">
        <f t="shared" si="3"/>
        <v>37753738.999999993</v>
      </c>
      <c r="F151" s="211">
        <f t="shared" si="3"/>
        <v>9261725.3097836114</v>
      </c>
      <c r="G151" s="211">
        <f t="shared" si="3"/>
        <v>10070986.522825131</v>
      </c>
      <c r="H151" s="211">
        <f t="shared" si="3"/>
        <v>12815925.522825131</v>
      </c>
      <c r="I151" s="211">
        <f t="shared" si="3"/>
        <v>32148637.355433874</v>
      </c>
      <c r="J151" s="211">
        <f t="shared" si="3"/>
        <v>25445813.475180421</v>
      </c>
      <c r="K151" s="211">
        <f t="shared" si="3"/>
        <v>11828201.522825131</v>
      </c>
      <c r="L151" s="211">
        <f t="shared" si="3"/>
        <v>49051775.521940142</v>
      </c>
      <c r="M151" s="211">
        <f t="shared" si="3"/>
        <v>17870022.832608745</v>
      </c>
      <c r="N151" s="211">
        <f t="shared" si="3"/>
        <v>74497588.997120574</v>
      </c>
      <c r="O151" s="211">
        <f t="shared" si="3"/>
        <v>29698224.355433874</v>
      </c>
      <c r="P151" s="211">
        <f t="shared" si="3"/>
        <v>0</v>
      </c>
      <c r="Q151" s="211">
        <f t="shared" si="3"/>
        <v>-177999999.99999994</v>
      </c>
      <c r="R151" s="211">
        <f t="shared" si="3"/>
        <v>31640696.477174878</v>
      </c>
      <c r="S151" s="211">
        <f t="shared" si="3"/>
        <v>80692471.99911502</v>
      </c>
    </row>
    <row r="152" spans="1:19">
      <c r="C152" s="207"/>
      <c r="D152" s="207"/>
      <c r="E152" s="29"/>
      <c r="I152" s="207">
        <v>0</v>
      </c>
      <c r="J152" s="207"/>
      <c r="K152" s="207"/>
      <c r="L152" s="207"/>
      <c r="M152" s="207"/>
      <c r="N152" s="207">
        <v>0</v>
      </c>
      <c r="O152" s="207">
        <v>0</v>
      </c>
      <c r="P152" s="207"/>
      <c r="Q152" s="207">
        <v>0</v>
      </c>
      <c r="R152" s="207">
        <v>0</v>
      </c>
      <c r="S152" s="207">
        <v>0</v>
      </c>
    </row>
    <row r="153" spans="1:19">
      <c r="C153" s="207"/>
      <c r="D153" s="207"/>
      <c r="J153" s="207"/>
      <c r="K153" s="207"/>
      <c r="L153" s="207"/>
      <c r="M153" s="207"/>
      <c r="N153" s="207"/>
      <c r="O153" s="207"/>
      <c r="P153" s="207"/>
      <c r="Q153" s="207">
        <v>-178000000</v>
      </c>
      <c r="R153" s="207"/>
      <c r="S153" s="207"/>
    </row>
    <row r="154" spans="1:19">
      <c r="C154" s="207"/>
      <c r="D154" s="207"/>
      <c r="F154" s="207"/>
      <c r="G154" s="207"/>
      <c r="H154" s="207"/>
      <c r="J154" s="207"/>
      <c r="K154" s="207"/>
      <c r="L154" s="207"/>
      <c r="M154" s="207"/>
      <c r="N154" s="207"/>
      <c r="O154" s="207"/>
      <c r="P154" s="207"/>
      <c r="Q154" s="207"/>
      <c r="R154" s="207"/>
      <c r="S154" s="207"/>
    </row>
    <row r="155" spans="1:19">
      <c r="C155" s="207"/>
      <c r="D155" s="207"/>
      <c r="F155" s="207"/>
      <c r="G155" s="207"/>
      <c r="H155" s="207"/>
      <c r="J155" s="207"/>
      <c r="K155" s="207"/>
      <c r="L155" s="207"/>
      <c r="M155" s="207"/>
      <c r="N155" s="207"/>
      <c r="O155" s="207"/>
      <c r="P155" s="207"/>
      <c r="Q155" s="207"/>
      <c r="R155" s="207"/>
      <c r="S155" s="207"/>
    </row>
    <row r="156" spans="1:19">
      <c r="C156" s="207"/>
      <c r="D156" s="207"/>
      <c r="F156" s="207"/>
      <c r="G156" s="207"/>
      <c r="H156" s="207"/>
      <c r="J156" s="207"/>
      <c r="K156" s="207"/>
      <c r="L156" s="207"/>
      <c r="M156" s="207"/>
      <c r="N156" s="207"/>
      <c r="O156" s="207"/>
      <c r="P156" s="207"/>
      <c r="Q156" s="207"/>
      <c r="R156" s="207"/>
      <c r="S156" s="207"/>
    </row>
    <row r="157" spans="1:19">
      <c r="C157" s="207"/>
      <c r="D157" s="207"/>
      <c r="F157" s="207"/>
      <c r="G157" s="207"/>
      <c r="H157" s="207"/>
      <c r="J157" s="207"/>
      <c r="K157" s="207"/>
      <c r="L157" s="207"/>
      <c r="M157" s="207"/>
      <c r="N157" s="207"/>
      <c r="O157" s="207"/>
      <c r="P157" s="207"/>
      <c r="Q157" s="207"/>
      <c r="R157" s="207"/>
      <c r="S157" s="207"/>
    </row>
    <row r="158" spans="1:19">
      <c r="C158" s="207"/>
      <c r="D158" s="207"/>
      <c r="F158" s="207"/>
      <c r="G158" s="207"/>
      <c r="H158" s="207"/>
      <c r="J158" s="207"/>
      <c r="K158" s="207"/>
      <c r="L158" s="207"/>
      <c r="M158" s="207"/>
      <c r="N158" s="207"/>
      <c r="O158" s="207"/>
      <c r="P158" s="207"/>
      <c r="Q158" s="207"/>
      <c r="R158" s="207"/>
      <c r="S158" s="207"/>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173B2-3409-4168-B80C-50D0042C8649}">
  <sheetPr codeName="Sheet43">
    <tabColor rgb="FFFFFF00"/>
    <pageSetUpPr fitToPage="1"/>
  </sheetPr>
  <dimension ref="A1:I622"/>
  <sheetViews>
    <sheetView topLeftCell="F1" workbookViewId="0">
      <selection activeCell="J5" sqref="J5:J622"/>
    </sheetView>
  </sheetViews>
  <sheetFormatPr defaultRowHeight="12.5"/>
  <cols>
    <col min="1" max="1" width="91.26953125" customWidth="1"/>
    <col min="2" max="4" width="18.1796875" customWidth="1"/>
    <col min="5" max="5" width="18.54296875" customWidth="1"/>
    <col min="6" max="7" width="28.7265625" customWidth="1"/>
    <col min="8" max="8" width="60.54296875" customWidth="1"/>
    <col min="9" max="9" width="93" style="168" customWidth="1"/>
  </cols>
  <sheetData>
    <row r="1" spans="1:9" ht="18">
      <c r="E1" s="362"/>
      <c r="F1" s="746" t="s">
        <v>5784</v>
      </c>
      <c r="G1" s="362"/>
      <c r="H1" s="362"/>
      <c r="I1" s="206"/>
    </row>
    <row r="2" spans="1:9" ht="18.5" thickBot="1">
      <c r="A2" s="739" t="s">
        <v>6699</v>
      </c>
      <c r="E2" s="362"/>
      <c r="F2" s="746"/>
      <c r="G2" s="362"/>
      <c r="H2" s="362"/>
      <c r="I2" s="206"/>
    </row>
    <row r="3" spans="1:9" s="754" customFormat="1" ht="76.5" customHeight="1" thickBot="1">
      <c r="A3" s="747" t="s">
        <v>5785</v>
      </c>
      <c r="B3" s="747"/>
      <c r="C3" s="747"/>
      <c r="D3" s="747"/>
      <c r="E3" s="748"/>
      <c r="F3" s="749" t="s">
        <v>5786</v>
      </c>
      <c r="G3" s="750"/>
      <c r="H3" s="750"/>
      <c r="I3" s="751"/>
    </row>
    <row r="4" spans="1:9" ht="28.5" thickBot="1">
      <c r="A4" s="752" t="s">
        <v>5566</v>
      </c>
      <c r="B4" s="753" t="s">
        <v>5567</v>
      </c>
      <c r="C4" s="743" t="s">
        <v>5787</v>
      </c>
      <c r="D4" s="743" t="s">
        <v>5788</v>
      </c>
      <c r="E4" s="743" t="s">
        <v>5789</v>
      </c>
      <c r="F4" s="742" t="s">
        <v>894</v>
      </c>
      <c r="G4" s="744" t="s">
        <v>2002</v>
      </c>
      <c r="H4" s="744" t="s">
        <v>2012</v>
      </c>
      <c r="I4" s="745" t="s">
        <v>4664</v>
      </c>
    </row>
    <row r="5" spans="1:9" ht="50">
      <c r="A5" t="s">
        <v>6197</v>
      </c>
      <c r="B5">
        <f>COUNTIF($A$5:$A5,A5)</f>
        <v>1</v>
      </c>
      <c r="C5">
        <f t="shared" ref="C5:C68" si="0">COUNTIF($H$5:$H$622,H5)</f>
        <v>1</v>
      </c>
      <c r="D5" t="e">
        <f t="shared" ref="D5:D68" si="1">COUNTIF($I$5:$I$622,I5)</f>
        <v>#VALUE!</v>
      </c>
      <c r="E5" t="e">
        <f>IF(IF($B5=1,VLOOKUP($A5,#REF!,5,FALSE),"")=0,"",IF($B5=1,VLOOKUP($A5,#REF!,5,FALSE),""))</f>
        <v>#REF!</v>
      </c>
      <c r="F5" s="765" t="s">
        <v>5526</v>
      </c>
      <c r="G5" s="766" t="s">
        <v>2582</v>
      </c>
      <c r="H5" s="766" t="s">
        <v>6076</v>
      </c>
      <c r="I5" s="767" t="s">
        <v>6077</v>
      </c>
    </row>
    <row r="6" spans="1:9" ht="25">
      <c r="A6" t="s">
        <v>6198</v>
      </c>
      <c r="B6">
        <f>COUNTIF($A$5:$A6,A6)</f>
        <v>1</v>
      </c>
      <c r="C6">
        <f t="shared" si="0"/>
        <v>1</v>
      </c>
      <c r="D6">
        <f t="shared" si="1"/>
        <v>1</v>
      </c>
      <c r="E6" t="e">
        <f>IF(IF($B6=1,VLOOKUP($A6,#REF!,5,FALSE),"")=0,"",IF($B6=1,VLOOKUP($A6,#REF!,5,FALSE),""))</f>
        <v>#REF!</v>
      </c>
      <c r="F6" s="776" t="s">
        <v>5526</v>
      </c>
      <c r="G6" s="777" t="s">
        <v>4333</v>
      </c>
      <c r="H6" s="777" t="s">
        <v>5383</v>
      </c>
      <c r="I6" s="778" t="s">
        <v>6078</v>
      </c>
    </row>
    <row r="7" spans="1:9" ht="25">
      <c r="A7" t="s">
        <v>6217</v>
      </c>
      <c r="B7">
        <f>COUNTIF($A$5:$A7,A7)</f>
        <v>1</v>
      </c>
      <c r="C7">
        <f t="shared" si="0"/>
        <v>1</v>
      </c>
      <c r="D7">
        <f t="shared" si="1"/>
        <v>1</v>
      </c>
      <c r="E7" t="e">
        <f>IF(IF($B7=1,VLOOKUP($A7,#REF!,5,FALSE),"")=0,"",IF($B7=1,VLOOKUP($A7,#REF!,5,FALSE),""))</f>
        <v>#REF!</v>
      </c>
      <c r="F7" s="776" t="s">
        <v>5526</v>
      </c>
      <c r="G7" s="777" t="s">
        <v>2570</v>
      </c>
      <c r="H7" s="777" t="s">
        <v>6080</v>
      </c>
      <c r="I7" s="778" t="s">
        <v>6081</v>
      </c>
    </row>
    <row r="8" spans="1:9" ht="25">
      <c r="A8" t="s">
        <v>6220</v>
      </c>
      <c r="B8">
        <f>COUNTIF($A$5:$A8,A8)</f>
        <v>1</v>
      </c>
      <c r="C8">
        <f t="shared" si="0"/>
        <v>1</v>
      </c>
      <c r="D8">
        <f t="shared" si="1"/>
        <v>1</v>
      </c>
      <c r="E8" t="e">
        <f>IF(IF($B8=1,VLOOKUP($A8,#REF!,5,FALSE),"")=0,"",IF($B8=1,VLOOKUP($A8,#REF!,5,FALSE),""))</f>
        <v>#REF!</v>
      </c>
      <c r="F8" s="776" t="s">
        <v>5526</v>
      </c>
      <c r="G8" s="777" t="s">
        <v>1207</v>
      </c>
      <c r="H8" s="777" t="s">
        <v>6084</v>
      </c>
      <c r="I8" s="778" t="s">
        <v>5327</v>
      </c>
    </row>
    <row r="9" spans="1:9" ht="25">
      <c r="A9" t="s">
        <v>6235</v>
      </c>
      <c r="B9">
        <f>COUNTIF($A$5:$A9,A9)</f>
        <v>1</v>
      </c>
      <c r="C9">
        <f t="shared" si="0"/>
        <v>1</v>
      </c>
      <c r="D9">
        <f t="shared" si="1"/>
        <v>1</v>
      </c>
      <c r="E9" t="e">
        <f>IF(IF($B9=1,VLOOKUP($A9,#REF!,5,FALSE),"")=0,"",IF($B9=1,VLOOKUP($A9,#REF!,5,FALSE),""))</f>
        <v>#REF!</v>
      </c>
      <c r="F9" s="776" t="s">
        <v>5526</v>
      </c>
      <c r="G9" s="777" t="s">
        <v>2582</v>
      </c>
      <c r="H9" s="777" t="s">
        <v>4252</v>
      </c>
      <c r="I9" s="778" t="s">
        <v>5061</v>
      </c>
    </row>
    <row r="10" spans="1:9" ht="25">
      <c r="A10" t="s">
        <v>6237</v>
      </c>
      <c r="B10">
        <f>COUNTIF($A$5:$A10,A10)</f>
        <v>1</v>
      </c>
      <c r="C10">
        <f t="shared" si="0"/>
        <v>1</v>
      </c>
      <c r="D10">
        <f t="shared" si="1"/>
        <v>1</v>
      </c>
      <c r="E10" t="e">
        <f>IF(IF($B10=1,VLOOKUP($A10,#REF!,5,FALSE),"")=0,"",IF($B10=1,VLOOKUP($A10,#REF!,5,FALSE),""))</f>
        <v>#REF!</v>
      </c>
      <c r="F10" s="776" t="s">
        <v>5526</v>
      </c>
      <c r="G10" s="777" t="s">
        <v>1207</v>
      </c>
      <c r="H10" s="777" t="s">
        <v>6085</v>
      </c>
      <c r="I10" s="778" t="s">
        <v>6086</v>
      </c>
    </row>
    <row r="11" spans="1:9" ht="25">
      <c r="A11" t="s">
        <v>6249</v>
      </c>
      <c r="B11">
        <f>COUNTIF($A$5:$A11,A11)</f>
        <v>1</v>
      </c>
      <c r="C11">
        <f t="shared" si="0"/>
        <v>1</v>
      </c>
      <c r="D11">
        <f t="shared" si="1"/>
        <v>1</v>
      </c>
      <c r="E11" t="e">
        <f>IF(IF($B11=1,VLOOKUP($A11,#REF!,5,FALSE),"")=0,"",IF($B11=1,VLOOKUP($A11,#REF!,5,FALSE),""))</f>
        <v>#REF!</v>
      </c>
      <c r="F11" s="776" t="s">
        <v>5526</v>
      </c>
      <c r="G11" s="777" t="s">
        <v>2425</v>
      </c>
      <c r="H11" s="777" t="s">
        <v>4277</v>
      </c>
      <c r="I11" s="778" t="s">
        <v>5137</v>
      </c>
    </row>
    <row r="12" spans="1:9" ht="25">
      <c r="A12" t="s">
        <v>6250</v>
      </c>
      <c r="B12">
        <f>COUNTIF($A$5:$A12,A12)</f>
        <v>1</v>
      </c>
      <c r="C12">
        <f t="shared" si="0"/>
        <v>1</v>
      </c>
      <c r="D12">
        <f t="shared" si="1"/>
        <v>1</v>
      </c>
      <c r="E12" t="e">
        <f>IF(IF($B12=1,VLOOKUP($A12,#REF!,5,FALSE),"")=0,"",IF($B12=1,VLOOKUP($A12,#REF!,5,FALSE),""))</f>
        <v>#REF!</v>
      </c>
      <c r="F12" s="776" t="s">
        <v>5526</v>
      </c>
      <c r="G12" s="777" t="s">
        <v>2425</v>
      </c>
      <c r="H12" s="777" t="s">
        <v>6089</v>
      </c>
      <c r="I12" s="778" t="s">
        <v>5133</v>
      </c>
    </row>
    <row r="13" spans="1:9" ht="37.5">
      <c r="A13" t="s">
        <v>6256</v>
      </c>
      <c r="B13">
        <f>COUNTIF($A$5:$A13,A13)</f>
        <v>1</v>
      </c>
      <c r="C13">
        <f t="shared" si="0"/>
        <v>1</v>
      </c>
      <c r="D13" t="e">
        <f t="shared" si="1"/>
        <v>#VALUE!</v>
      </c>
      <c r="E13" t="e">
        <f>IF(IF($B13=1,VLOOKUP($A13,#REF!,5,FALSE),"")=0,"",IF($B13=1,VLOOKUP($A13,#REF!,5,FALSE),""))</f>
        <v>#REF!</v>
      </c>
      <c r="F13" s="776" t="s">
        <v>5526</v>
      </c>
      <c r="G13" s="777" t="s">
        <v>91</v>
      </c>
      <c r="H13" s="777" t="s">
        <v>2511</v>
      </c>
      <c r="I13" s="778" t="s">
        <v>5053</v>
      </c>
    </row>
    <row r="14" spans="1:9">
      <c r="A14" t="s">
        <v>6258</v>
      </c>
      <c r="B14">
        <f>COUNTIF($A$5:$A14,A14)</f>
        <v>1</v>
      </c>
      <c r="C14">
        <f t="shared" si="0"/>
        <v>1</v>
      </c>
      <c r="D14">
        <f t="shared" si="1"/>
        <v>1</v>
      </c>
      <c r="E14" t="e">
        <f>IF(IF($B14=1,VLOOKUP($A14,#REF!,5,FALSE),"")=0,"",IF($B14=1,VLOOKUP($A14,#REF!,5,FALSE),""))</f>
        <v>#REF!</v>
      </c>
      <c r="F14" s="776" t="s">
        <v>5526</v>
      </c>
      <c r="G14" s="777" t="s">
        <v>2426</v>
      </c>
      <c r="H14" s="777" t="s">
        <v>6090</v>
      </c>
      <c r="I14" s="778" t="s">
        <v>4681</v>
      </c>
    </row>
    <row r="15" spans="1:9">
      <c r="A15" t="s">
        <v>5569</v>
      </c>
      <c r="B15">
        <f>COUNTIF($A$5:$A15,A15)</f>
        <v>1</v>
      </c>
      <c r="C15">
        <f t="shared" si="0"/>
        <v>1</v>
      </c>
      <c r="D15">
        <f t="shared" si="1"/>
        <v>1</v>
      </c>
      <c r="E15" t="e">
        <f>IF(IF($B15=1,VLOOKUP($A15,#REF!,5,FALSE),"")=0,"",IF($B15=1,VLOOKUP($A15,#REF!,5,FALSE),""))</f>
        <v>#REF!</v>
      </c>
      <c r="F15" s="776" t="s">
        <v>5526</v>
      </c>
      <c r="G15" s="777" t="s">
        <v>2426</v>
      </c>
      <c r="H15" s="777" t="s">
        <v>4778</v>
      </c>
      <c r="I15" s="778" t="s">
        <v>5234</v>
      </c>
    </row>
    <row r="16" spans="1:9">
      <c r="A16" t="s">
        <v>5570</v>
      </c>
      <c r="B16">
        <f>COUNTIF($A$5:$A16,A16)</f>
        <v>1</v>
      </c>
      <c r="C16">
        <f t="shared" si="0"/>
        <v>1</v>
      </c>
      <c r="D16">
        <f t="shared" si="1"/>
        <v>1</v>
      </c>
      <c r="E16" t="e">
        <f>IF(IF($B16=1,VLOOKUP($A16,#REF!,5,FALSE),"")=0,"",IF($B16=1,VLOOKUP($A16,#REF!,5,FALSE),""))</f>
        <v>#REF!</v>
      </c>
      <c r="F16" s="776" t="s">
        <v>5526</v>
      </c>
      <c r="G16" s="777" t="s">
        <v>91</v>
      </c>
      <c r="H16" s="777" t="s">
        <v>4494</v>
      </c>
      <c r="I16" s="778" t="s">
        <v>4951</v>
      </c>
    </row>
    <row r="17" spans="1:9">
      <c r="A17" t="s">
        <v>5571</v>
      </c>
      <c r="B17">
        <f>COUNTIF($A$5:$A17,A17)</f>
        <v>1</v>
      </c>
      <c r="C17">
        <f t="shared" si="0"/>
        <v>1</v>
      </c>
      <c r="D17">
        <f t="shared" si="1"/>
        <v>1</v>
      </c>
      <c r="E17" t="e">
        <f>IF(IF($B17=1,VLOOKUP($A17,#REF!,5,FALSE),"")=0,"",IF($B17=1,VLOOKUP($A17,#REF!,5,FALSE),""))</f>
        <v>#REF!</v>
      </c>
      <c r="F17" s="776" t="s">
        <v>5526</v>
      </c>
      <c r="G17" s="777" t="s">
        <v>91</v>
      </c>
      <c r="H17" s="777" t="s">
        <v>2917</v>
      </c>
      <c r="I17" s="778" t="s">
        <v>4952</v>
      </c>
    </row>
    <row r="18" spans="1:9">
      <c r="A18" t="s">
        <v>6261</v>
      </c>
      <c r="B18">
        <f>COUNTIF($A$5:$A18,A18)</f>
        <v>1</v>
      </c>
      <c r="C18">
        <f t="shared" si="0"/>
        <v>1</v>
      </c>
      <c r="D18">
        <f t="shared" si="1"/>
        <v>1</v>
      </c>
      <c r="E18" t="e">
        <f>IF(IF($B18=1,VLOOKUP($A18,#REF!,5,FALSE),"")=0,"",IF($B18=1,VLOOKUP($A18,#REF!,5,FALSE),""))</f>
        <v>#REF!</v>
      </c>
      <c r="F18" s="776" t="s">
        <v>5526</v>
      </c>
      <c r="G18" s="777" t="s">
        <v>2426</v>
      </c>
      <c r="H18" s="777" t="s">
        <v>6092</v>
      </c>
      <c r="I18" s="778" t="s">
        <v>5244</v>
      </c>
    </row>
    <row r="19" spans="1:9">
      <c r="A19" t="s">
        <v>6533</v>
      </c>
      <c r="B19">
        <f>COUNTIF($A$5:$A19,A19)</f>
        <v>1</v>
      </c>
      <c r="C19">
        <f t="shared" si="0"/>
        <v>1</v>
      </c>
      <c r="D19">
        <f t="shared" si="1"/>
        <v>2</v>
      </c>
      <c r="E19" t="e">
        <f>IF(IF($B19=1,VLOOKUP($A19,#REF!,5,FALSE),"")=0,"",IF($B19=1,VLOOKUP($A19,#REF!,5,FALSE),""))</f>
        <v>#REF!</v>
      </c>
      <c r="F19" s="776" t="s">
        <v>5526</v>
      </c>
      <c r="G19" s="777" t="s">
        <v>2585</v>
      </c>
      <c r="H19" s="777" t="s">
        <v>4920</v>
      </c>
      <c r="I19" s="778" t="s">
        <v>5235</v>
      </c>
    </row>
    <row r="20" spans="1:9" ht="37.5">
      <c r="A20" t="s">
        <v>5572</v>
      </c>
      <c r="B20">
        <f>COUNTIF($A$5:$A20,A20)</f>
        <v>1</v>
      </c>
      <c r="C20">
        <f t="shared" si="0"/>
        <v>1</v>
      </c>
      <c r="D20" t="e">
        <f t="shared" si="1"/>
        <v>#VALUE!</v>
      </c>
      <c r="E20" t="e">
        <f>IF(IF($B20=1,VLOOKUP($A20,#REF!,5,FALSE),"")=0,"",IF($B20=1,VLOOKUP($A20,#REF!,5,FALSE),""))</f>
        <v>#REF!</v>
      </c>
      <c r="F20" s="776" t="s">
        <v>5526</v>
      </c>
      <c r="G20" s="777" t="s">
        <v>2426</v>
      </c>
      <c r="H20" s="777" t="s">
        <v>4772</v>
      </c>
      <c r="I20" s="778" t="s">
        <v>5120</v>
      </c>
    </row>
    <row r="21" spans="1:9">
      <c r="A21" t="s">
        <v>5573</v>
      </c>
      <c r="B21">
        <f>COUNTIF($A$5:$A21,A21)</f>
        <v>1</v>
      </c>
      <c r="C21">
        <f t="shared" si="0"/>
        <v>1</v>
      </c>
      <c r="D21">
        <f t="shared" si="1"/>
        <v>1</v>
      </c>
      <c r="E21" t="e">
        <f>IF(IF($B21=1,VLOOKUP($A21,#REF!,5,FALSE),"")=0,"",IF($B21=1,VLOOKUP($A21,#REF!,5,FALSE),""))</f>
        <v>#REF!</v>
      </c>
      <c r="F21" s="776" t="s">
        <v>5526</v>
      </c>
      <c r="G21" s="777" t="s">
        <v>1208</v>
      </c>
      <c r="H21" s="777" t="s">
        <v>954</v>
      </c>
      <c r="I21" s="778" t="s">
        <v>4953</v>
      </c>
    </row>
    <row r="22" spans="1:9" ht="25">
      <c r="A22" t="s">
        <v>6266</v>
      </c>
      <c r="B22">
        <f>COUNTIF($A$5:$A22,A22)</f>
        <v>1</v>
      </c>
      <c r="C22">
        <f t="shared" si="0"/>
        <v>1</v>
      </c>
      <c r="D22">
        <f t="shared" si="1"/>
        <v>1</v>
      </c>
      <c r="E22" t="e">
        <f>IF(IF($B22=1,VLOOKUP($A22,#REF!,5,FALSE),"")=0,"",IF($B22=1,VLOOKUP($A22,#REF!,5,FALSE),""))</f>
        <v>#REF!</v>
      </c>
      <c r="F22" s="776" t="s">
        <v>5526</v>
      </c>
      <c r="G22" s="777" t="s">
        <v>1207</v>
      </c>
      <c r="H22" s="777" t="s">
        <v>6095</v>
      </c>
      <c r="I22" s="778" t="s">
        <v>5240</v>
      </c>
    </row>
    <row r="23" spans="1:9" ht="25">
      <c r="A23" t="s">
        <v>6267</v>
      </c>
      <c r="B23">
        <f>COUNTIF($A$5:$A23,A23)</f>
        <v>1</v>
      </c>
      <c r="C23">
        <f t="shared" si="0"/>
        <v>1</v>
      </c>
      <c r="D23">
        <f t="shared" si="1"/>
        <v>1</v>
      </c>
      <c r="E23" t="e">
        <f>IF(IF($B23=1,VLOOKUP($A23,#REF!,5,FALSE),"")=0,"",IF($B23=1,VLOOKUP($A23,#REF!,5,FALSE),""))</f>
        <v>#REF!</v>
      </c>
      <c r="F23" s="776" t="s">
        <v>5526</v>
      </c>
      <c r="G23" s="777" t="s">
        <v>1207</v>
      </c>
      <c r="H23" s="777" t="s">
        <v>6096</v>
      </c>
      <c r="I23" s="778" t="s">
        <v>5024</v>
      </c>
    </row>
    <row r="24" spans="1:9" ht="25">
      <c r="A24" t="s">
        <v>5574</v>
      </c>
      <c r="B24">
        <f>COUNTIF($A$5:$A24,A24)</f>
        <v>1</v>
      </c>
      <c r="C24">
        <f t="shared" si="0"/>
        <v>1</v>
      </c>
      <c r="D24">
        <f t="shared" si="1"/>
        <v>1</v>
      </c>
      <c r="E24" t="e">
        <f>IF(IF($B24=1,VLOOKUP($A24,#REF!,5,FALSE),"")=0,"",IF($B24=1,VLOOKUP($A24,#REF!,5,FALSE),""))</f>
        <v>#REF!</v>
      </c>
      <c r="F24" s="776" t="s">
        <v>5526</v>
      </c>
      <c r="G24" s="777" t="s">
        <v>2574</v>
      </c>
      <c r="H24" s="777" t="s">
        <v>2544</v>
      </c>
      <c r="I24" s="778" t="s">
        <v>4676</v>
      </c>
    </row>
    <row r="25" spans="1:9" ht="25">
      <c r="A25" t="s">
        <v>5575</v>
      </c>
      <c r="B25">
        <f>COUNTIF($A$5:$A25,A25)</f>
        <v>1</v>
      </c>
      <c r="C25">
        <f t="shared" si="0"/>
        <v>1</v>
      </c>
      <c r="D25">
        <f t="shared" si="1"/>
        <v>1</v>
      </c>
      <c r="E25" t="e">
        <f>IF(IF($B25=1,VLOOKUP($A25,#REF!,5,FALSE),"")=0,"",IF($B25=1,VLOOKUP($A25,#REF!,5,FALSE),""))</f>
        <v>#REF!</v>
      </c>
      <c r="F25" s="776" t="s">
        <v>5526</v>
      </c>
      <c r="G25" s="777" t="s">
        <v>1208</v>
      </c>
      <c r="H25" s="777" t="s">
        <v>955</v>
      </c>
      <c r="I25" s="778" t="s">
        <v>4954</v>
      </c>
    </row>
    <row r="26" spans="1:9">
      <c r="A26" t="s">
        <v>5576</v>
      </c>
      <c r="B26">
        <f>COUNTIF($A$5:$A26,A26)</f>
        <v>1</v>
      </c>
      <c r="C26">
        <f t="shared" si="0"/>
        <v>1</v>
      </c>
      <c r="D26">
        <f t="shared" si="1"/>
        <v>2</v>
      </c>
      <c r="E26" t="e">
        <f>IF(IF($B26=1,VLOOKUP($A26,#REF!,5,FALSE),"")=0,"",IF($B26=1,VLOOKUP($A26,#REF!,5,FALSE),""))</f>
        <v>#REF!</v>
      </c>
      <c r="F26" s="776" t="s">
        <v>5526</v>
      </c>
      <c r="G26" s="777" t="s">
        <v>91</v>
      </c>
      <c r="H26" s="777" t="s">
        <v>2315</v>
      </c>
      <c r="I26" s="778" t="s">
        <v>4677</v>
      </c>
    </row>
    <row r="27" spans="1:9">
      <c r="A27" t="s">
        <v>5577</v>
      </c>
      <c r="B27">
        <f>COUNTIF($A$5:$A27,A27)</f>
        <v>1</v>
      </c>
      <c r="C27">
        <f t="shared" si="0"/>
        <v>1</v>
      </c>
      <c r="D27">
        <f t="shared" si="1"/>
        <v>2</v>
      </c>
      <c r="E27" t="e">
        <f>IF(IF($B27=1,VLOOKUP($A27,#REF!,5,FALSE),"")=0,"",IF($B27=1,VLOOKUP($A27,#REF!,5,FALSE),""))</f>
        <v>#REF!</v>
      </c>
      <c r="F27" s="776" t="s">
        <v>5526</v>
      </c>
      <c r="G27" s="777" t="s">
        <v>2425</v>
      </c>
      <c r="H27" s="777" t="s">
        <v>2901</v>
      </c>
      <c r="I27" s="778" t="s">
        <v>4677</v>
      </c>
    </row>
    <row r="28" spans="1:9">
      <c r="A28" t="s">
        <v>5578</v>
      </c>
      <c r="B28">
        <f>COUNTIF($A$5:$A28,A28)</f>
        <v>1</v>
      </c>
      <c r="C28">
        <f t="shared" si="0"/>
        <v>1</v>
      </c>
      <c r="D28">
        <f t="shared" si="1"/>
        <v>1</v>
      </c>
      <c r="E28" t="e">
        <f>IF(IF($B28=1,VLOOKUP($A28,#REF!,5,FALSE),"")=0,"",IF($B28=1,VLOOKUP($A28,#REF!,5,FALSE),""))</f>
        <v>#REF!</v>
      </c>
      <c r="F28" s="776" t="s">
        <v>5526</v>
      </c>
      <c r="G28" s="777" t="s">
        <v>2426</v>
      </c>
      <c r="H28" s="777" t="s">
        <v>4790</v>
      </c>
      <c r="I28" s="778" t="s">
        <v>5237</v>
      </c>
    </row>
    <row r="29" spans="1:9">
      <c r="A29" t="s">
        <v>6277</v>
      </c>
      <c r="B29">
        <f>COUNTIF($A$5:$A29,A29)</f>
        <v>1</v>
      </c>
      <c r="C29">
        <f t="shared" si="0"/>
        <v>1</v>
      </c>
      <c r="D29">
        <f t="shared" si="1"/>
        <v>13</v>
      </c>
      <c r="E29" t="e">
        <f>IF(IF($B29=1,VLOOKUP($A29,#REF!,5,FALSE),"")=0,"",IF($B29=1,VLOOKUP($A29,#REF!,5,FALSE),""))</f>
        <v>#REF!</v>
      </c>
      <c r="F29" s="776" t="s">
        <v>5526</v>
      </c>
      <c r="G29" s="777" t="s">
        <v>91</v>
      </c>
      <c r="H29" s="777" t="s">
        <v>6105</v>
      </c>
      <c r="I29" s="778" t="s">
        <v>5001</v>
      </c>
    </row>
    <row r="30" spans="1:9">
      <c r="A30" t="s">
        <v>6291</v>
      </c>
      <c r="B30">
        <f>COUNTIF($A$5:$A30,A30)</f>
        <v>1</v>
      </c>
      <c r="C30">
        <f t="shared" si="0"/>
        <v>1</v>
      </c>
      <c r="D30">
        <f t="shared" si="1"/>
        <v>1</v>
      </c>
      <c r="E30" t="e">
        <f>IF(IF($B30=1,VLOOKUP($A30,#REF!,5,FALSE),"")=0,"",IF($B30=1,VLOOKUP($A30,#REF!,5,FALSE),""))</f>
        <v>#REF!</v>
      </c>
      <c r="F30" s="776" t="s">
        <v>5526</v>
      </c>
      <c r="G30" s="777" t="s">
        <v>2426</v>
      </c>
      <c r="H30" s="777" t="s">
        <v>4810</v>
      </c>
      <c r="I30" s="778" t="s">
        <v>4682</v>
      </c>
    </row>
    <row r="31" spans="1:9">
      <c r="A31" t="s">
        <v>5579</v>
      </c>
      <c r="B31">
        <f>COUNTIF($A$5:$A31,A31)</f>
        <v>1</v>
      </c>
      <c r="C31">
        <f t="shared" si="0"/>
        <v>1</v>
      </c>
      <c r="D31">
        <f t="shared" si="1"/>
        <v>1</v>
      </c>
      <c r="E31" t="e">
        <f>IF(IF($B31=1,VLOOKUP($A31,#REF!,5,FALSE),"")=0,"",IF($B31=1,VLOOKUP($A31,#REF!,5,FALSE),""))</f>
        <v>#REF!</v>
      </c>
      <c r="F31" s="776" t="s">
        <v>5526</v>
      </c>
      <c r="G31" s="777" t="s">
        <v>1208</v>
      </c>
      <c r="H31" s="777" t="s">
        <v>4476</v>
      </c>
      <c r="I31" s="778" t="s">
        <v>4693</v>
      </c>
    </row>
    <row r="32" spans="1:9">
      <c r="A32" t="s">
        <v>5580</v>
      </c>
      <c r="B32">
        <f>COUNTIF($A$5:$A32,A32)</f>
        <v>1</v>
      </c>
      <c r="C32">
        <f t="shared" si="0"/>
        <v>1</v>
      </c>
      <c r="D32">
        <f t="shared" si="1"/>
        <v>1</v>
      </c>
      <c r="E32" t="e">
        <f>IF(IF($B32=1,VLOOKUP($A32,#REF!,5,FALSE),"")=0,"",IF($B32=1,VLOOKUP($A32,#REF!,5,FALSE),""))</f>
        <v>#REF!</v>
      </c>
      <c r="F32" s="776" t="s">
        <v>5526</v>
      </c>
      <c r="G32" s="777" t="s">
        <v>2585</v>
      </c>
      <c r="H32" s="777" t="s">
        <v>2921</v>
      </c>
      <c r="I32" s="778" t="s">
        <v>5034</v>
      </c>
    </row>
    <row r="33" spans="1:9">
      <c r="A33" t="s">
        <v>5581</v>
      </c>
      <c r="B33">
        <f>COUNTIF($A$5:$A33,A33)</f>
        <v>1</v>
      </c>
      <c r="C33">
        <f t="shared" si="0"/>
        <v>1</v>
      </c>
      <c r="D33">
        <f t="shared" si="1"/>
        <v>1</v>
      </c>
      <c r="E33" t="e">
        <f>IF(IF($B33=1,VLOOKUP($A33,#REF!,5,FALSE),"")=0,"",IF($B33=1,VLOOKUP($A33,#REF!,5,FALSE),""))</f>
        <v>#REF!</v>
      </c>
      <c r="F33" s="776" t="s">
        <v>5526</v>
      </c>
      <c r="G33" s="777" t="s">
        <v>2426</v>
      </c>
      <c r="H33" s="777" t="s">
        <v>4823</v>
      </c>
      <c r="I33" s="778" t="s">
        <v>5238</v>
      </c>
    </row>
    <row r="34" spans="1:9">
      <c r="A34" t="s">
        <v>5582</v>
      </c>
      <c r="B34">
        <f>COUNTIF($A$5:$A34,A34)</f>
        <v>1</v>
      </c>
      <c r="C34">
        <f t="shared" si="0"/>
        <v>1</v>
      </c>
      <c r="D34">
        <f t="shared" si="1"/>
        <v>1</v>
      </c>
      <c r="E34" t="e">
        <f>IF(IF($B34=1,VLOOKUP($A34,#REF!,5,FALSE),"")=0,"",IF($B34=1,VLOOKUP($A34,#REF!,5,FALSE),""))</f>
        <v>#REF!</v>
      </c>
      <c r="F34" s="776" t="s">
        <v>5526</v>
      </c>
      <c r="G34" s="777" t="s">
        <v>2426</v>
      </c>
      <c r="H34" s="777" t="s">
        <v>2316</v>
      </c>
      <c r="I34" s="778" t="s">
        <v>5020</v>
      </c>
    </row>
    <row r="35" spans="1:9">
      <c r="A35" t="s">
        <v>5583</v>
      </c>
      <c r="B35">
        <f>COUNTIF($A$5:$A35,A35)</f>
        <v>1</v>
      </c>
      <c r="C35">
        <f t="shared" si="0"/>
        <v>1</v>
      </c>
      <c r="D35">
        <f t="shared" si="1"/>
        <v>1</v>
      </c>
      <c r="E35" t="e">
        <f>IF(IF($B35=1,VLOOKUP($A35,#REF!,5,FALSE),"")=0,"",IF($B35=1,VLOOKUP($A35,#REF!,5,FALSE),""))</f>
        <v>#REF!</v>
      </c>
      <c r="F35" s="776" t="s">
        <v>5526</v>
      </c>
      <c r="G35" s="777" t="s">
        <v>91</v>
      </c>
      <c r="H35" s="777" t="s">
        <v>2922</v>
      </c>
      <c r="I35" s="778" t="s">
        <v>4687</v>
      </c>
    </row>
    <row r="36" spans="1:9" ht="25">
      <c r="A36" t="s">
        <v>5584</v>
      </c>
      <c r="B36">
        <f>COUNTIF($A$5:$A36,A36)</f>
        <v>1</v>
      </c>
      <c r="C36">
        <f t="shared" si="0"/>
        <v>1</v>
      </c>
      <c r="D36">
        <f t="shared" si="1"/>
        <v>1</v>
      </c>
      <c r="E36" t="e">
        <f>IF(IF($B36=1,VLOOKUP($A36,#REF!,5,FALSE),"")=0,"",IF($B36=1,VLOOKUP($A36,#REF!,5,FALSE),""))</f>
        <v>#REF!</v>
      </c>
      <c r="F36" s="776" t="s">
        <v>5526</v>
      </c>
      <c r="G36" s="777" t="s">
        <v>91</v>
      </c>
      <c r="H36" s="777" t="s">
        <v>2923</v>
      </c>
      <c r="I36" s="778" t="s">
        <v>5006</v>
      </c>
    </row>
    <row r="37" spans="1:9" ht="25">
      <c r="A37" t="s">
        <v>5585</v>
      </c>
      <c r="B37">
        <f>COUNTIF($A$5:$A37,A37)</f>
        <v>1</v>
      </c>
      <c r="C37">
        <f t="shared" si="0"/>
        <v>1</v>
      </c>
      <c r="D37">
        <f t="shared" si="1"/>
        <v>1</v>
      </c>
      <c r="E37" t="e">
        <f>IF(IF($B37=1,VLOOKUP($A37,#REF!,5,FALSE),"")=0,"",IF($B37=1,VLOOKUP($A37,#REF!,5,FALSE),""))</f>
        <v>#REF!</v>
      </c>
      <c r="F37" s="776" t="s">
        <v>5526</v>
      </c>
      <c r="G37" s="777" t="s">
        <v>91</v>
      </c>
      <c r="H37" s="777" t="s">
        <v>2924</v>
      </c>
      <c r="I37" s="778" t="s">
        <v>5007</v>
      </c>
    </row>
    <row r="38" spans="1:9" ht="25">
      <c r="A38" t="s">
        <v>5586</v>
      </c>
      <c r="B38">
        <f>COUNTIF($A$5:$A38,A38)</f>
        <v>1</v>
      </c>
      <c r="C38">
        <f t="shared" si="0"/>
        <v>1</v>
      </c>
      <c r="D38">
        <f t="shared" si="1"/>
        <v>1</v>
      </c>
      <c r="E38" t="e">
        <f>IF(IF($B38=1,VLOOKUP($A38,#REF!,5,FALSE),"")=0,"",IF($B38=1,VLOOKUP($A38,#REF!,5,FALSE),""))</f>
        <v>#REF!</v>
      </c>
      <c r="F38" s="776" t="s">
        <v>5526</v>
      </c>
      <c r="G38" s="777" t="s">
        <v>91</v>
      </c>
      <c r="H38" s="777" t="s">
        <v>2926</v>
      </c>
      <c r="I38" s="778" t="s">
        <v>5009</v>
      </c>
    </row>
    <row r="39" spans="1:9">
      <c r="A39" t="s">
        <v>5587</v>
      </c>
      <c r="B39">
        <f>COUNTIF($A$5:$A39,A39)</f>
        <v>1</v>
      </c>
      <c r="C39">
        <f t="shared" si="0"/>
        <v>1</v>
      </c>
      <c r="D39">
        <f t="shared" si="1"/>
        <v>1</v>
      </c>
      <c r="E39" t="e">
        <f>IF(IF($B39=1,VLOOKUP($A39,#REF!,5,FALSE),"")=0,"",IF($B39=1,VLOOKUP($A39,#REF!,5,FALSE),""))</f>
        <v>#REF!</v>
      </c>
      <c r="F39" s="776" t="s">
        <v>5526</v>
      </c>
      <c r="G39" s="777" t="s">
        <v>91</v>
      </c>
      <c r="H39" s="777" t="s">
        <v>4924</v>
      </c>
      <c r="I39" s="778" t="s">
        <v>5309</v>
      </c>
    </row>
    <row r="40" spans="1:9">
      <c r="A40" t="s">
        <v>5588</v>
      </c>
      <c r="B40">
        <f>COUNTIF($A$5:$A40,A40)</f>
        <v>1</v>
      </c>
      <c r="C40">
        <f t="shared" si="0"/>
        <v>1</v>
      </c>
      <c r="D40">
        <f t="shared" si="1"/>
        <v>1</v>
      </c>
      <c r="E40" t="e">
        <f>IF(IF($B40=1,VLOOKUP($A40,#REF!,5,FALSE),"")=0,"",IF($B40=1,VLOOKUP($A40,#REF!,5,FALSE),""))</f>
        <v>#REF!</v>
      </c>
      <c r="F40" s="776" t="s">
        <v>5526</v>
      </c>
      <c r="G40" s="777" t="s">
        <v>91</v>
      </c>
      <c r="H40" s="777" t="s">
        <v>4475</v>
      </c>
      <c r="I40" s="778" t="s">
        <v>5336</v>
      </c>
    </row>
    <row r="41" spans="1:9">
      <c r="A41" t="s">
        <v>5589</v>
      </c>
      <c r="B41">
        <f>COUNTIF($A$5:$A41,A41)</f>
        <v>1</v>
      </c>
      <c r="C41">
        <f t="shared" si="0"/>
        <v>1</v>
      </c>
      <c r="D41">
        <f t="shared" si="1"/>
        <v>1</v>
      </c>
      <c r="E41" t="e">
        <f>IF(IF($B41=1,VLOOKUP($A41,#REF!,5,FALSE),"")=0,"",IF($B41=1,VLOOKUP($A41,#REF!,5,FALSE),""))</f>
        <v>#REF!</v>
      </c>
      <c r="F41" s="776" t="s">
        <v>5526</v>
      </c>
      <c r="G41" s="777" t="s">
        <v>91</v>
      </c>
      <c r="H41" s="777" t="s">
        <v>4404</v>
      </c>
      <c r="I41" s="778" t="s">
        <v>5310</v>
      </c>
    </row>
    <row r="42" spans="1:9" ht="25">
      <c r="A42" t="s">
        <v>5590</v>
      </c>
      <c r="B42">
        <f>COUNTIF($A$5:$A42,A42)</f>
        <v>1</v>
      </c>
      <c r="C42">
        <f t="shared" si="0"/>
        <v>1</v>
      </c>
      <c r="D42">
        <f t="shared" si="1"/>
        <v>1</v>
      </c>
      <c r="E42" t="e">
        <f>IF(IF($B42=1,VLOOKUP($A42,#REF!,5,FALSE),"")=0,"",IF($B42=1,VLOOKUP($A42,#REF!,5,FALSE),""))</f>
        <v>#REF!</v>
      </c>
      <c r="F42" s="776" t="s">
        <v>5526</v>
      </c>
      <c r="G42" s="777" t="s">
        <v>91</v>
      </c>
      <c r="H42" s="777" t="s">
        <v>4838</v>
      </c>
      <c r="I42" s="778" t="s">
        <v>5000</v>
      </c>
    </row>
    <row r="43" spans="1:9">
      <c r="A43" t="s">
        <v>5591</v>
      </c>
      <c r="B43">
        <f>COUNTIF($A$5:$A43,A43)</f>
        <v>1</v>
      </c>
      <c r="C43">
        <f t="shared" si="0"/>
        <v>1</v>
      </c>
      <c r="D43">
        <f t="shared" si="1"/>
        <v>1</v>
      </c>
      <c r="E43" t="e">
        <f>IF(IF($B43=1,VLOOKUP($A43,#REF!,5,FALSE),"")=0,"",IF($B43=1,VLOOKUP($A43,#REF!,5,FALSE),""))</f>
        <v>#REF!</v>
      </c>
      <c r="F43" s="776" t="s">
        <v>5526</v>
      </c>
      <c r="G43" s="777" t="s">
        <v>91</v>
      </c>
      <c r="H43" s="777" t="s">
        <v>4839</v>
      </c>
      <c r="I43" s="778" t="s">
        <v>5003</v>
      </c>
    </row>
    <row r="44" spans="1:9">
      <c r="A44" t="s">
        <v>5592</v>
      </c>
      <c r="B44">
        <f>COUNTIF($A$5:$A44,A44)</f>
        <v>1</v>
      </c>
      <c r="C44">
        <f t="shared" si="0"/>
        <v>1</v>
      </c>
      <c r="D44">
        <f t="shared" si="1"/>
        <v>1</v>
      </c>
      <c r="E44" t="e">
        <f>IF(IF($B44=1,VLOOKUP($A44,#REF!,5,FALSE),"")=0,"",IF($B44=1,VLOOKUP($A44,#REF!,5,FALSE),""))</f>
        <v>#REF!</v>
      </c>
      <c r="F44" s="776" t="s">
        <v>5526</v>
      </c>
      <c r="G44" s="777" t="s">
        <v>2582</v>
      </c>
      <c r="H44" s="777" t="s">
        <v>4483</v>
      </c>
      <c r="I44" s="778" t="s">
        <v>5028</v>
      </c>
    </row>
    <row r="45" spans="1:9" ht="25">
      <c r="A45" t="s">
        <v>5593</v>
      </c>
      <c r="B45">
        <f>COUNTIF($A$5:$A45,A45)</f>
        <v>1</v>
      </c>
      <c r="C45">
        <f t="shared" si="0"/>
        <v>1</v>
      </c>
      <c r="D45">
        <f t="shared" si="1"/>
        <v>1</v>
      </c>
      <c r="E45" t="e">
        <f>IF(IF($B45=1,VLOOKUP($A45,#REF!,5,FALSE),"")=0,"",IF($B45=1,VLOOKUP($A45,#REF!,5,FALSE),""))</f>
        <v>#REF!</v>
      </c>
      <c r="F45" s="776" t="s">
        <v>5526</v>
      </c>
      <c r="G45" s="777" t="s">
        <v>2582</v>
      </c>
      <c r="H45" s="777" t="s">
        <v>5030</v>
      </c>
      <c r="I45" s="778" t="s">
        <v>5029</v>
      </c>
    </row>
    <row r="46" spans="1:9">
      <c r="A46" t="s">
        <v>5594</v>
      </c>
      <c r="B46">
        <f>COUNTIF($A$5:$A46,A46)</f>
        <v>1</v>
      </c>
      <c r="C46">
        <f t="shared" si="0"/>
        <v>1</v>
      </c>
      <c r="D46">
        <f t="shared" si="1"/>
        <v>2</v>
      </c>
      <c r="E46" t="e">
        <f>IF(IF($B46=1,VLOOKUP($A46,#REF!,5,FALSE),"")=0,"",IF($B46=1,VLOOKUP($A46,#REF!,5,FALSE),""))</f>
        <v>#REF!</v>
      </c>
      <c r="F46" s="776" t="s">
        <v>5526</v>
      </c>
      <c r="G46" s="777" t="s">
        <v>2426</v>
      </c>
      <c r="H46" s="777" t="s">
        <v>4869</v>
      </c>
      <c r="I46" s="778" t="s">
        <v>5242</v>
      </c>
    </row>
    <row r="47" spans="1:9">
      <c r="A47" t="s">
        <v>5595</v>
      </c>
      <c r="B47">
        <f>COUNTIF($A$5:$A47,A47)</f>
        <v>1</v>
      </c>
      <c r="C47">
        <f t="shared" si="0"/>
        <v>1</v>
      </c>
      <c r="D47">
        <f t="shared" si="1"/>
        <v>2</v>
      </c>
      <c r="E47" t="e">
        <f>IF(IF($B47=1,VLOOKUP($A47,#REF!,5,FALSE),"")=0,"",IF($B47=1,VLOOKUP($A47,#REF!,5,FALSE),""))</f>
        <v>#REF!</v>
      </c>
      <c r="F47" s="776" t="s">
        <v>5526</v>
      </c>
      <c r="G47" s="777" t="s">
        <v>2426</v>
      </c>
      <c r="H47" s="777" t="s">
        <v>4870</v>
      </c>
      <c r="I47" s="778" t="s">
        <v>5242</v>
      </c>
    </row>
    <row r="48" spans="1:9" ht="25">
      <c r="A48" t="s">
        <v>6320</v>
      </c>
      <c r="B48">
        <f>COUNTIF($A$5:$A48,A48)</f>
        <v>1</v>
      </c>
      <c r="C48">
        <f t="shared" si="0"/>
        <v>1</v>
      </c>
      <c r="D48">
        <f t="shared" si="1"/>
        <v>1</v>
      </c>
      <c r="E48" t="e">
        <f>IF(IF($B48=1,VLOOKUP($A48,#REF!,5,FALSE),"")=0,"",IF($B48=1,VLOOKUP($A48,#REF!,5,FALSE),""))</f>
        <v>#REF!</v>
      </c>
      <c r="F48" s="776" t="s">
        <v>5526</v>
      </c>
      <c r="G48" s="777" t="s">
        <v>2426</v>
      </c>
      <c r="H48" s="777" t="s">
        <v>6139</v>
      </c>
      <c r="I48" s="778" t="s">
        <v>5239</v>
      </c>
    </row>
    <row r="49" spans="1:9">
      <c r="A49" t="s">
        <v>5596</v>
      </c>
      <c r="B49">
        <f>COUNTIF($A$5:$A49,A49)</f>
        <v>1</v>
      </c>
      <c r="C49">
        <f t="shared" si="0"/>
        <v>1</v>
      </c>
      <c r="D49">
        <f t="shared" si="1"/>
        <v>3</v>
      </c>
      <c r="E49" t="e">
        <f>IF(IF($B49=1,VLOOKUP($A49,#REF!,5,FALSE),"")=0,"",IF($B49=1,VLOOKUP($A49,#REF!,5,FALSE),""))</f>
        <v>#REF!</v>
      </c>
      <c r="F49" s="776" t="s">
        <v>5526</v>
      </c>
      <c r="G49" s="777" t="s">
        <v>2426</v>
      </c>
      <c r="H49" s="777" t="s">
        <v>4873</v>
      </c>
      <c r="I49" s="778" t="s">
        <v>5243</v>
      </c>
    </row>
    <row r="50" spans="1:9">
      <c r="A50" t="s">
        <v>5597</v>
      </c>
      <c r="B50">
        <f>COUNTIF($A$5:$A50,A50)</f>
        <v>1</v>
      </c>
      <c r="C50">
        <f t="shared" si="0"/>
        <v>1</v>
      </c>
      <c r="D50">
        <f t="shared" si="1"/>
        <v>3</v>
      </c>
      <c r="E50" t="e">
        <f>IF(IF($B50=1,VLOOKUP($A50,#REF!,5,FALSE),"")=0,"",IF($B50=1,VLOOKUP($A50,#REF!,5,FALSE),""))</f>
        <v>#REF!</v>
      </c>
      <c r="F50" s="776" t="s">
        <v>5526</v>
      </c>
      <c r="G50" s="777" t="s">
        <v>2426</v>
      </c>
      <c r="H50" s="777" t="s">
        <v>4874</v>
      </c>
      <c r="I50" s="778" t="s">
        <v>5243</v>
      </c>
    </row>
    <row r="51" spans="1:9">
      <c r="A51" t="s">
        <v>5598</v>
      </c>
      <c r="B51">
        <f>COUNTIF($A$5:$A51,A51)</f>
        <v>1</v>
      </c>
      <c r="C51">
        <f t="shared" si="0"/>
        <v>1</v>
      </c>
      <c r="D51">
        <f t="shared" si="1"/>
        <v>1</v>
      </c>
      <c r="E51" t="e">
        <f>IF(IF($B51=1,VLOOKUP($A51,#REF!,5,FALSE),"")=0,"",IF($B51=1,VLOOKUP($A51,#REF!,5,FALSE),""))</f>
        <v>#REF!</v>
      </c>
      <c r="F51" s="776" t="s">
        <v>5526</v>
      </c>
      <c r="G51" s="777" t="s">
        <v>2584</v>
      </c>
      <c r="H51" s="777" t="s">
        <v>2532</v>
      </c>
      <c r="I51" s="778" t="s">
        <v>5033</v>
      </c>
    </row>
    <row r="52" spans="1:9">
      <c r="A52" t="s">
        <v>5599</v>
      </c>
      <c r="B52">
        <f>COUNTIF($A$5:$A52,A52)</f>
        <v>1</v>
      </c>
      <c r="C52">
        <f t="shared" si="0"/>
        <v>1</v>
      </c>
      <c r="D52">
        <f t="shared" si="1"/>
        <v>3</v>
      </c>
      <c r="E52" t="e">
        <f>IF(IF($B52=1,VLOOKUP($A52,#REF!,5,FALSE),"")=0,"",IF($B52=1,VLOOKUP($A52,#REF!,5,FALSE),""))</f>
        <v>#REF!</v>
      </c>
      <c r="F52" s="776" t="s">
        <v>5526</v>
      </c>
      <c r="G52" s="777" t="s">
        <v>2426</v>
      </c>
      <c r="H52" s="777" t="s">
        <v>4875</v>
      </c>
      <c r="I52" s="778" t="s">
        <v>5243</v>
      </c>
    </row>
    <row r="53" spans="1:9">
      <c r="A53" t="s">
        <v>5600</v>
      </c>
      <c r="B53">
        <f>COUNTIF($A$5:$A53,A53)</f>
        <v>1</v>
      </c>
      <c r="C53">
        <f t="shared" si="0"/>
        <v>1</v>
      </c>
      <c r="D53">
        <f t="shared" si="1"/>
        <v>1</v>
      </c>
      <c r="E53" t="e">
        <f>IF(IF($B53=1,VLOOKUP($A53,#REF!,5,FALSE),"")=0,"",IF($B53=1,VLOOKUP($A53,#REF!,5,FALSE),""))</f>
        <v>#REF!</v>
      </c>
      <c r="F53" s="776" t="s">
        <v>5526</v>
      </c>
      <c r="G53" s="777" t="s">
        <v>1207</v>
      </c>
      <c r="H53" s="777" t="s">
        <v>4485</v>
      </c>
      <c r="I53" s="778" t="s">
        <v>4696</v>
      </c>
    </row>
    <row r="54" spans="1:9" ht="25">
      <c r="A54" t="s">
        <v>5601</v>
      </c>
      <c r="B54">
        <f>COUNTIF($A$5:$A54,A54)</f>
        <v>1</v>
      </c>
      <c r="C54">
        <f t="shared" si="0"/>
        <v>1</v>
      </c>
      <c r="D54">
        <f t="shared" si="1"/>
        <v>2</v>
      </c>
      <c r="E54" t="e">
        <f>IF(IF($B54=1,VLOOKUP($A54,#REF!,5,FALSE),"")=0,"",IF($B54=1,VLOOKUP($A54,#REF!,5,FALSE),""))</f>
        <v>#REF!</v>
      </c>
      <c r="F54" s="776" t="s">
        <v>5526</v>
      </c>
      <c r="G54" s="777" t="s">
        <v>2587</v>
      </c>
      <c r="H54" s="777" t="s">
        <v>2930</v>
      </c>
      <c r="I54" s="778" t="s">
        <v>5241</v>
      </c>
    </row>
    <row r="55" spans="1:9">
      <c r="A55" t="s">
        <v>5602</v>
      </c>
      <c r="B55">
        <f>COUNTIF($A$5:$A55,A55)</f>
        <v>1</v>
      </c>
      <c r="C55">
        <f t="shared" si="0"/>
        <v>1</v>
      </c>
      <c r="D55">
        <f t="shared" si="1"/>
        <v>1</v>
      </c>
      <c r="E55" t="e">
        <f>IF(IF($B55=1,VLOOKUP($A55,#REF!,5,FALSE),"")=0,"",IF($B55=1,VLOOKUP($A55,#REF!,5,FALSE),""))</f>
        <v>#REF!</v>
      </c>
      <c r="F55" s="776" t="s">
        <v>5526</v>
      </c>
      <c r="G55" s="777" t="s">
        <v>1207</v>
      </c>
      <c r="H55" s="777" t="s">
        <v>2892</v>
      </c>
      <c r="I55" s="778" t="s">
        <v>5245</v>
      </c>
    </row>
    <row r="56" spans="1:9">
      <c r="A56" t="s">
        <v>5603</v>
      </c>
      <c r="B56">
        <f>COUNTIF($A$5:$A56,A56)</f>
        <v>1</v>
      </c>
      <c r="C56">
        <f t="shared" si="0"/>
        <v>1</v>
      </c>
      <c r="D56">
        <f t="shared" si="1"/>
        <v>7</v>
      </c>
      <c r="E56" t="e">
        <f>IF(IF($B56=1,VLOOKUP($A56,#REF!,5,FALSE),"")=0,"",IF($B56=1,VLOOKUP($A56,#REF!,5,FALSE),""))</f>
        <v>#REF!</v>
      </c>
      <c r="F56" s="776" t="s">
        <v>5526</v>
      </c>
      <c r="G56" s="777" t="s">
        <v>2426</v>
      </c>
      <c r="H56" s="777" t="s">
        <v>2530</v>
      </c>
      <c r="I56" s="778" t="s">
        <v>5246</v>
      </c>
    </row>
    <row r="57" spans="1:9">
      <c r="A57" t="s">
        <v>5604</v>
      </c>
      <c r="B57">
        <f>COUNTIF($A$5:$A57,A57)</f>
        <v>1</v>
      </c>
      <c r="C57">
        <f t="shared" si="0"/>
        <v>1</v>
      </c>
      <c r="D57">
        <f t="shared" si="1"/>
        <v>1</v>
      </c>
      <c r="E57" t="e">
        <f>IF(IF($B57=1,VLOOKUP($A57,#REF!,5,FALSE),"")=0,"",IF($B57=1,VLOOKUP($A57,#REF!,5,FALSE),""))</f>
        <v>#REF!</v>
      </c>
      <c r="F57" s="776" t="s">
        <v>5526</v>
      </c>
      <c r="G57" s="777" t="s">
        <v>1208</v>
      </c>
      <c r="H57" s="777" t="s">
        <v>2936</v>
      </c>
      <c r="I57" s="778" t="s">
        <v>5027</v>
      </c>
    </row>
    <row r="58" spans="1:9">
      <c r="A58" t="s">
        <v>5605</v>
      </c>
      <c r="B58">
        <f>COUNTIF($A$5:$A58,A58)</f>
        <v>1</v>
      </c>
      <c r="C58">
        <f t="shared" si="0"/>
        <v>1</v>
      </c>
      <c r="D58">
        <f t="shared" si="1"/>
        <v>7</v>
      </c>
      <c r="E58" t="e">
        <f>IF(IF($B58=1,VLOOKUP($A58,#REF!,5,FALSE),"")=0,"",IF($B58=1,VLOOKUP($A58,#REF!,5,FALSE),""))</f>
        <v>#REF!</v>
      </c>
      <c r="F58" s="776" t="s">
        <v>5526</v>
      </c>
      <c r="G58" s="777" t="s">
        <v>2426</v>
      </c>
      <c r="H58" s="777" t="s">
        <v>2527</v>
      </c>
      <c r="I58" s="778" t="s">
        <v>5246</v>
      </c>
    </row>
    <row r="59" spans="1:9">
      <c r="A59" t="s">
        <v>5606</v>
      </c>
      <c r="B59">
        <f>COUNTIF($A$5:$A59,A59)</f>
        <v>1</v>
      </c>
      <c r="C59">
        <f t="shared" si="0"/>
        <v>1</v>
      </c>
      <c r="D59">
        <f t="shared" si="1"/>
        <v>7</v>
      </c>
      <c r="E59" t="e">
        <f>IF(IF($B59=1,VLOOKUP($A59,#REF!,5,FALSE),"")=0,"",IF($B59=1,VLOOKUP($A59,#REF!,5,FALSE),""))</f>
        <v>#REF!</v>
      </c>
      <c r="F59" s="776" t="s">
        <v>5526</v>
      </c>
      <c r="G59" s="777" t="s">
        <v>2426</v>
      </c>
      <c r="H59" s="777" t="s">
        <v>4895</v>
      </c>
      <c r="I59" s="778" t="s">
        <v>5246</v>
      </c>
    </row>
    <row r="60" spans="1:9">
      <c r="A60" t="s">
        <v>5607</v>
      </c>
      <c r="B60">
        <f>COUNTIF($A$5:$A60,A60)</f>
        <v>1</v>
      </c>
      <c r="C60">
        <f t="shared" si="0"/>
        <v>1</v>
      </c>
      <c r="D60">
        <f t="shared" si="1"/>
        <v>7</v>
      </c>
      <c r="E60" t="e">
        <f>IF(IF($B60=1,VLOOKUP($A60,#REF!,5,FALSE),"")=0,"",IF($B60=1,VLOOKUP($A60,#REF!,5,FALSE),""))</f>
        <v>#REF!</v>
      </c>
      <c r="F60" s="776" t="s">
        <v>5526</v>
      </c>
      <c r="G60" s="777" t="s">
        <v>2425</v>
      </c>
      <c r="H60" s="777" t="s">
        <v>4940</v>
      </c>
      <c r="I60" s="778" t="s">
        <v>5246</v>
      </c>
    </row>
    <row r="61" spans="1:9">
      <c r="A61" t="s">
        <v>5608</v>
      </c>
      <c r="B61">
        <f>COUNTIF($A$5:$A61,A61)</f>
        <v>1</v>
      </c>
      <c r="C61">
        <f t="shared" si="0"/>
        <v>1</v>
      </c>
      <c r="D61">
        <f t="shared" si="1"/>
        <v>7</v>
      </c>
      <c r="E61" t="e">
        <f>IF(IF($B61=1,VLOOKUP($A61,#REF!,5,FALSE),"")=0,"",IF($B61=1,VLOOKUP($A61,#REF!,5,FALSE),""))</f>
        <v>#REF!</v>
      </c>
      <c r="F61" s="776" t="s">
        <v>5526</v>
      </c>
      <c r="G61" s="777" t="s">
        <v>2426</v>
      </c>
      <c r="H61" s="777" t="s">
        <v>4896</v>
      </c>
      <c r="I61" s="778" t="s">
        <v>5246</v>
      </c>
    </row>
    <row r="62" spans="1:9">
      <c r="A62" t="s">
        <v>5609</v>
      </c>
      <c r="B62">
        <f>COUNTIF($A$5:$A62,A62)</f>
        <v>1</v>
      </c>
      <c r="C62">
        <f t="shared" si="0"/>
        <v>1</v>
      </c>
      <c r="D62">
        <f t="shared" si="1"/>
        <v>7</v>
      </c>
      <c r="E62" t="e">
        <f>IF(IF($B62=1,VLOOKUP($A62,#REF!,5,FALSE),"")=0,"",IF($B62=1,VLOOKUP($A62,#REF!,5,FALSE),""))</f>
        <v>#REF!</v>
      </c>
      <c r="F62" s="776" t="s">
        <v>5526</v>
      </c>
      <c r="G62" s="777" t="s">
        <v>2426</v>
      </c>
      <c r="H62" s="777" t="s">
        <v>2537</v>
      </c>
      <c r="I62" s="778" t="s">
        <v>5246</v>
      </c>
    </row>
    <row r="63" spans="1:9">
      <c r="A63" t="s">
        <v>5610</v>
      </c>
      <c r="B63">
        <f>COUNTIF($A$5:$A63,A63)</f>
        <v>1</v>
      </c>
      <c r="C63">
        <f t="shared" si="0"/>
        <v>1</v>
      </c>
      <c r="D63">
        <f t="shared" si="1"/>
        <v>1</v>
      </c>
      <c r="E63" t="e">
        <f>IF(IF($B63=1,VLOOKUP($A63,#REF!,5,FALSE),"")=0,"",IF($B63=1,VLOOKUP($A63,#REF!,5,FALSE),""))</f>
        <v>#REF!</v>
      </c>
      <c r="F63" s="776" t="s">
        <v>5526</v>
      </c>
      <c r="G63" s="777" t="s">
        <v>2426</v>
      </c>
      <c r="H63" s="777" t="s">
        <v>2307</v>
      </c>
      <c r="I63" s="778" t="s">
        <v>5247</v>
      </c>
    </row>
    <row r="64" spans="1:9">
      <c r="A64" t="s">
        <v>5611</v>
      </c>
      <c r="B64">
        <f>COUNTIF($A$5:$A64,A64)</f>
        <v>1</v>
      </c>
      <c r="C64">
        <f t="shared" si="0"/>
        <v>1</v>
      </c>
      <c r="D64">
        <f t="shared" si="1"/>
        <v>7</v>
      </c>
      <c r="E64" t="e">
        <f>IF(IF($B64=1,VLOOKUP($A64,#REF!,5,FALSE),"")=0,"",IF($B64=1,VLOOKUP($A64,#REF!,5,FALSE),""))</f>
        <v>#REF!</v>
      </c>
      <c r="F64" s="776" t="s">
        <v>5526</v>
      </c>
      <c r="G64" s="777" t="s">
        <v>2584</v>
      </c>
      <c r="H64" s="777" t="s">
        <v>4941</v>
      </c>
      <c r="I64" s="778" t="s">
        <v>5246</v>
      </c>
    </row>
    <row r="65" spans="1:9">
      <c r="A65" t="s">
        <v>5612</v>
      </c>
      <c r="B65">
        <f>COUNTIF($A$5:$A65,A65)</f>
        <v>1</v>
      </c>
      <c r="C65">
        <f t="shared" si="0"/>
        <v>1</v>
      </c>
      <c r="D65">
        <f t="shared" si="1"/>
        <v>2</v>
      </c>
      <c r="E65" t="e">
        <f>IF(IF($B65=1,VLOOKUP($A65,#REF!,5,FALSE),"")=0,"",IF($B65=1,VLOOKUP($A65,#REF!,5,FALSE),""))</f>
        <v>#REF!</v>
      </c>
      <c r="F65" s="776" t="s">
        <v>5526</v>
      </c>
      <c r="G65" s="777" t="s">
        <v>2584</v>
      </c>
      <c r="H65" s="777" t="s">
        <v>4942</v>
      </c>
      <c r="I65" s="778" t="s">
        <v>5312</v>
      </c>
    </row>
    <row r="66" spans="1:9">
      <c r="A66" t="s">
        <v>5613</v>
      </c>
      <c r="B66">
        <f>COUNTIF($A$5:$A66,A66)</f>
        <v>1</v>
      </c>
      <c r="C66">
        <f t="shared" si="0"/>
        <v>1</v>
      </c>
      <c r="D66">
        <f t="shared" si="1"/>
        <v>2</v>
      </c>
      <c r="E66" t="e">
        <f>IF(IF($B66=1,VLOOKUP($A66,#REF!,5,FALSE),"")=0,"",IF($B66=1,VLOOKUP($A66,#REF!,5,FALSE),""))</f>
        <v>#REF!</v>
      </c>
      <c r="F66" s="776" t="s">
        <v>5526</v>
      </c>
      <c r="G66" s="777" t="s">
        <v>2584</v>
      </c>
      <c r="H66" s="777" t="s">
        <v>4943</v>
      </c>
      <c r="I66" s="778" t="s">
        <v>5312</v>
      </c>
    </row>
    <row r="67" spans="1:9" ht="25">
      <c r="A67" t="s">
        <v>5614</v>
      </c>
      <c r="B67">
        <f>COUNTIF($A$5:$A67,A67)</f>
        <v>1</v>
      </c>
      <c r="C67">
        <f t="shared" si="0"/>
        <v>1</v>
      </c>
      <c r="D67">
        <f t="shared" si="1"/>
        <v>1</v>
      </c>
      <c r="E67" t="e">
        <f>IF(IF($B67=1,VLOOKUP($A67,#REF!,5,FALSE),"")=0,"",IF($B67=1,VLOOKUP($A67,#REF!,5,FALSE),""))</f>
        <v>#REF!</v>
      </c>
      <c r="F67" s="776" t="s">
        <v>5526</v>
      </c>
      <c r="G67" s="777" t="s">
        <v>4333</v>
      </c>
      <c r="H67" s="777" t="s">
        <v>2217</v>
      </c>
      <c r="I67" s="778" t="s">
        <v>5036</v>
      </c>
    </row>
    <row r="68" spans="1:9">
      <c r="A68" t="s">
        <v>5615</v>
      </c>
      <c r="B68">
        <f>COUNTIF($A$5:$A68,A68)</f>
        <v>1</v>
      </c>
      <c r="C68">
        <f t="shared" si="0"/>
        <v>1</v>
      </c>
      <c r="D68">
        <f t="shared" si="1"/>
        <v>1</v>
      </c>
      <c r="E68" t="e">
        <f>IF(IF($B68=1,VLOOKUP($A68,#REF!,5,FALSE),"")=0,"",IF($B68=1,VLOOKUP($A68,#REF!,5,FALSE),""))</f>
        <v>#REF!</v>
      </c>
      <c r="F68" s="776" t="s">
        <v>5526</v>
      </c>
      <c r="G68" s="777" t="s">
        <v>2427</v>
      </c>
      <c r="H68" s="777" t="s">
        <v>4480</v>
      </c>
      <c r="I68" s="778" t="s">
        <v>4712</v>
      </c>
    </row>
    <row r="69" spans="1:9" ht="25">
      <c r="A69" t="s">
        <v>5616</v>
      </c>
      <c r="B69">
        <f>COUNTIF($A$5:$A69,A69)</f>
        <v>1</v>
      </c>
      <c r="C69">
        <f t="shared" ref="C69:C132" si="2">COUNTIF($H$5:$H$622,H69)</f>
        <v>1</v>
      </c>
      <c r="D69">
        <f t="shared" ref="D69:D132" si="3">COUNTIF($I$5:$I$622,I69)</f>
        <v>2</v>
      </c>
      <c r="E69" t="e">
        <f>IF(IF($B69=1,VLOOKUP($A69,#REF!,5,FALSE),"")=0,"",IF($B69=1,VLOOKUP($A69,#REF!,5,FALSE),""))</f>
        <v>#REF!</v>
      </c>
      <c r="F69" s="776" t="s">
        <v>5526</v>
      </c>
      <c r="G69" s="777" t="s">
        <v>91</v>
      </c>
      <c r="H69" s="777" t="s">
        <v>4950</v>
      </c>
      <c r="I69" s="778" t="s">
        <v>5314</v>
      </c>
    </row>
    <row r="70" spans="1:9" ht="25">
      <c r="A70" t="s">
        <v>5617</v>
      </c>
      <c r="B70">
        <f>COUNTIF($A$5:$A70,A70)</f>
        <v>1</v>
      </c>
      <c r="C70">
        <f t="shared" si="2"/>
        <v>1</v>
      </c>
      <c r="D70">
        <f t="shared" si="3"/>
        <v>2</v>
      </c>
      <c r="E70" t="e">
        <f>IF(IF($B70=1,VLOOKUP($A70,#REF!,5,FALSE),"")=0,"",IF($B70=1,VLOOKUP($A70,#REF!,5,FALSE),""))</f>
        <v>#REF!</v>
      </c>
      <c r="F70" s="776" t="s">
        <v>5526</v>
      </c>
      <c r="G70" s="777" t="s">
        <v>91</v>
      </c>
      <c r="H70" s="777" t="s">
        <v>4945</v>
      </c>
      <c r="I70" s="778" t="s">
        <v>5314</v>
      </c>
    </row>
    <row r="71" spans="1:9" ht="25">
      <c r="A71" t="s">
        <v>5618</v>
      </c>
      <c r="B71">
        <f>COUNTIF($A$5:$A71,A71)</f>
        <v>1</v>
      </c>
      <c r="C71">
        <f t="shared" si="2"/>
        <v>2</v>
      </c>
      <c r="D71">
        <f t="shared" si="3"/>
        <v>2</v>
      </c>
      <c r="E71" t="e">
        <f>IF(IF($B71=1,VLOOKUP($A71,#REF!,5,FALSE),"")=0,"",IF($B71=1,VLOOKUP($A71,#REF!,5,FALSE),""))</f>
        <v>#REF!</v>
      </c>
      <c r="F71" s="776" t="s">
        <v>5526</v>
      </c>
      <c r="G71" s="777" t="s">
        <v>91</v>
      </c>
      <c r="H71" s="777" t="s">
        <v>2321</v>
      </c>
      <c r="I71" s="778" t="s">
        <v>4716</v>
      </c>
    </row>
    <row r="72" spans="1:9" ht="25">
      <c r="A72" t="s">
        <v>5619</v>
      </c>
      <c r="B72">
        <f>COUNTIF($A$5:$A72,A72)</f>
        <v>1</v>
      </c>
      <c r="C72">
        <f t="shared" si="2"/>
        <v>2</v>
      </c>
      <c r="D72">
        <f t="shared" si="3"/>
        <v>2</v>
      </c>
      <c r="E72" t="e">
        <f>IF(IF($B72=1,VLOOKUP($A72,#REF!,5,FALSE),"")=0,"",IF($B72=1,VLOOKUP($A72,#REF!,5,FALSE),""))</f>
        <v>#REF!</v>
      </c>
      <c r="F72" s="776" t="s">
        <v>5526</v>
      </c>
      <c r="G72" s="777" t="s">
        <v>91</v>
      </c>
      <c r="H72" s="777" t="s">
        <v>2321</v>
      </c>
      <c r="I72" s="778" t="s">
        <v>4716</v>
      </c>
    </row>
    <row r="73" spans="1:9" ht="25">
      <c r="A73" t="s">
        <v>5620</v>
      </c>
      <c r="B73">
        <f>COUNTIF($A$5:$A73,A73)</f>
        <v>1</v>
      </c>
      <c r="C73">
        <f t="shared" si="2"/>
        <v>1</v>
      </c>
      <c r="D73">
        <f t="shared" si="3"/>
        <v>1</v>
      </c>
      <c r="E73" t="e">
        <f>IF(IF($B73=1,VLOOKUP($A73,#REF!,5,FALSE),"")=0,"",IF($B73=1,VLOOKUP($A73,#REF!,5,FALSE),""))</f>
        <v>#REF!</v>
      </c>
      <c r="F73" s="776" t="s">
        <v>5526</v>
      </c>
      <c r="G73" s="777" t="s">
        <v>2426</v>
      </c>
      <c r="H73" s="777" t="s">
        <v>2545</v>
      </c>
      <c r="I73" s="778" t="s">
        <v>5022</v>
      </c>
    </row>
    <row r="74" spans="1:9" ht="37.5">
      <c r="A74" t="s">
        <v>6401</v>
      </c>
      <c r="B74">
        <f>COUNTIF($A$5:$A74,A74)</f>
        <v>1</v>
      </c>
      <c r="C74">
        <f t="shared" si="2"/>
        <v>1</v>
      </c>
      <c r="D74">
        <f t="shared" si="3"/>
        <v>1</v>
      </c>
      <c r="E74" t="e">
        <f>IF(IF($B74=1,VLOOKUP($A74,#REF!,5,FALSE),"")=0,"",IF($B74=1,VLOOKUP($A74,#REF!,5,FALSE),""))</f>
        <v>#REF!</v>
      </c>
      <c r="F74" s="776" t="s">
        <v>5526</v>
      </c>
      <c r="G74" s="777" t="s">
        <v>1207</v>
      </c>
      <c r="H74" s="777" t="s">
        <v>5819</v>
      </c>
      <c r="I74" s="778" t="s">
        <v>5820</v>
      </c>
    </row>
    <row r="75" spans="1:9" ht="25">
      <c r="A75" t="s">
        <v>6402</v>
      </c>
      <c r="B75">
        <f>COUNTIF($A$5:$A75,A75)</f>
        <v>1</v>
      </c>
      <c r="C75">
        <f t="shared" si="2"/>
        <v>1</v>
      </c>
      <c r="D75">
        <f t="shared" si="3"/>
        <v>4</v>
      </c>
      <c r="E75" t="e">
        <f>IF(IF($B75=1,VLOOKUP($A75,#REF!,5,FALSE),"")=0,"",IF($B75=1,VLOOKUP($A75,#REF!,5,FALSE),""))</f>
        <v>#REF!</v>
      </c>
      <c r="F75" s="776" t="s">
        <v>5526</v>
      </c>
      <c r="G75" s="777" t="s">
        <v>1207</v>
      </c>
      <c r="H75" s="777" t="s">
        <v>5821</v>
      </c>
      <c r="I75" s="778" t="s">
        <v>5822</v>
      </c>
    </row>
    <row r="76" spans="1:9" ht="25">
      <c r="A76" t="s">
        <v>6403</v>
      </c>
      <c r="B76">
        <f>COUNTIF($A$5:$A76,A76)</f>
        <v>1</v>
      </c>
      <c r="C76">
        <f t="shared" si="2"/>
        <v>1</v>
      </c>
      <c r="D76">
        <f t="shared" si="3"/>
        <v>4</v>
      </c>
      <c r="E76" t="e">
        <f>IF(IF($B76=1,VLOOKUP($A76,#REF!,5,FALSE),"")=0,"",IF($B76=1,VLOOKUP($A76,#REF!,5,FALSE),""))</f>
        <v>#REF!</v>
      </c>
      <c r="F76" s="776" t="s">
        <v>5526</v>
      </c>
      <c r="G76" s="777" t="s">
        <v>1207</v>
      </c>
      <c r="H76" s="777" t="s">
        <v>5823</v>
      </c>
      <c r="I76" s="778" t="s">
        <v>5822</v>
      </c>
    </row>
    <row r="77" spans="1:9" ht="25">
      <c r="A77" t="s">
        <v>6404</v>
      </c>
      <c r="B77">
        <f>COUNTIF($A$5:$A77,A77)</f>
        <v>1</v>
      </c>
      <c r="C77">
        <f t="shared" si="2"/>
        <v>1</v>
      </c>
      <c r="D77">
        <f t="shared" si="3"/>
        <v>4</v>
      </c>
      <c r="E77" t="e">
        <f>IF(IF($B77=1,VLOOKUP($A77,#REF!,5,FALSE),"")=0,"",IF($B77=1,VLOOKUP($A77,#REF!,5,FALSE),""))</f>
        <v>#REF!</v>
      </c>
      <c r="F77" s="776" t="s">
        <v>5526</v>
      </c>
      <c r="G77" s="777" t="s">
        <v>1207</v>
      </c>
      <c r="H77" s="777" t="s">
        <v>5824</v>
      </c>
      <c r="I77" s="778" t="s">
        <v>5822</v>
      </c>
    </row>
    <row r="78" spans="1:9" ht="25">
      <c r="A78" t="s">
        <v>6405</v>
      </c>
      <c r="B78">
        <f>COUNTIF($A$5:$A78,A78)</f>
        <v>1</v>
      </c>
      <c r="C78">
        <f t="shared" si="2"/>
        <v>1</v>
      </c>
      <c r="D78">
        <f t="shared" si="3"/>
        <v>4</v>
      </c>
      <c r="E78" t="e">
        <f>IF(IF($B78=1,VLOOKUP($A78,#REF!,5,FALSE),"")=0,"",IF($B78=1,VLOOKUP($A78,#REF!,5,FALSE),""))</f>
        <v>#REF!</v>
      </c>
      <c r="F78" s="776" t="s">
        <v>5526</v>
      </c>
      <c r="G78" s="777" t="s">
        <v>1207</v>
      </c>
      <c r="H78" s="777" t="s">
        <v>5825</v>
      </c>
      <c r="I78" s="778" t="s">
        <v>5822</v>
      </c>
    </row>
    <row r="79" spans="1:9" ht="37.5">
      <c r="A79" t="s">
        <v>6406</v>
      </c>
      <c r="B79">
        <f>COUNTIF($A$5:$A79,A79)</f>
        <v>1</v>
      </c>
      <c r="C79">
        <f t="shared" si="2"/>
        <v>1</v>
      </c>
      <c r="D79" t="e">
        <f t="shared" si="3"/>
        <v>#VALUE!</v>
      </c>
      <c r="E79" t="e">
        <f>IF(IF($B79=1,VLOOKUP($A79,#REF!,5,FALSE),"")=0,"",IF($B79=1,VLOOKUP($A79,#REF!,5,FALSE),""))</f>
        <v>#REF!</v>
      </c>
      <c r="F79" s="776" t="s">
        <v>5526</v>
      </c>
      <c r="G79" s="777" t="s">
        <v>2582</v>
      </c>
      <c r="H79" s="777" t="s">
        <v>5826</v>
      </c>
      <c r="I79" s="778" t="s">
        <v>5827</v>
      </c>
    </row>
    <row r="80" spans="1:9" ht="37.5">
      <c r="A80" t="s">
        <v>6407</v>
      </c>
      <c r="B80">
        <f>COUNTIF($A$5:$A80,A80)</f>
        <v>1</v>
      </c>
      <c r="C80">
        <f t="shared" si="2"/>
        <v>1</v>
      </c>
      <c r="D80" t="e">
        <f t="shared" si="3"/>
        <v>#VALUE!</v>
      </c>
      <c r="E80" t="e">
        <f>IF(IF($B80=1,VLOOKUP($A80,#REF!,5,FALSE),"")=0,"",IF($B80=1,VLOOKUP($A80,#REF!,5,FALSE),""))</f>
        <v>#REF!</v>
      </c>
      <c r="F80" s="776" t="s">
        <v>5526</v>
      </c>
      <c r="G80" s="777" t="s">
        <v>2582</v>
      </c>
      <c r="H80" s="777" t="s">
        <v>5828</v>
      </c>
      <c r="I80" s="778" t="s">
        <v>6511</v>
      </c>
    </row>
    <row r="81" spans="1:9" ht="37.5">
      <c r="A81" t="s">
        <v>6602</v>
      </c>
      <c r="B81">
        <f>COUNTIF($A$5:$A81,A81)</f>
        <v>1</v>
      </c>
      <c r="C81">
        <f t="shared" si="2"/>
        <v>1</v>
      </c>
      <c r="D81" t="e">
        <f t="shared" si="3"/>
        <v>#VALUE!</v>
      </c>
      <c r="E81" t="e">
        <f>IF(IF($B81=1,VLOOKUP($A81,#REF!,5,FALSE),"")=0,"",IF($B81=1,VLOOKUP($A81,#REF!,5,FALSE),""))</f>
        <v>#REF!</v>
      </c>
      <c r="F81" s="776" t="s">
        <v>5526</v>
      </c>
      <c r="G81" s="777" t="s">
        <v>2582</v>
      </c>
      <c r="H81" s="777" t="s">
        <v>6540</v>
      </c>
      <c r="I81" s="778" t="s">
        <v>6512</v>
      </c>
    </row>
    <row r="82" spans="1:9" ht="37.5">
      <c r="A82" t="s">
        <v>6411</v>
      </c>
      <c r="B82">
        <f>COUNTIF($A$5:$A82,A82)</f>
        <v>1</v>
      </c>
      <c r="C82">
        <f t="shared" si="2"/>
        <v>1</v>
      </c>
      <c r="D82">
        <f t="shared" si="3"/>
        <v>1</v>
      </c>
      <c r="E82" t="e">
        <f>IF(IF($B82=1,VLOOKUP($A82,#REF!,5,FALSE),"")=0,"",IF($B82=1,VLOOKUP($A82,#REF!,5,FALSE),""))</f>
        <v>#REF!</v>
      </c>
      <c r="F82" s="776" t="s">
        <v>5526</v>
      </c>
      <c r="G82" s="777" t="s">
        <v>2426</v>
      </c>
      <c r="H82" s="777" t="s">
        <v>5832</v>
      </c>
      <c r="I82" s="778" t="s">
        <v>5833</v>
      </c>
    </row>
    <row r="83" spans="1:9" ht="25">
      <c r="A83" t="s">
        <v>6605</v>
      </c>
      <c r="B83">
        <f>COUNTIF($A$5:$A83,A83)</f>
        <v>1</v>
      </c>
      <c r="C83">
        <f t="shared" si="2"/>
        <v>1</v>
      </c>
      <c r="D83">
        <f t="shared" si="3"/>
        <v>1</v>
      </c>
      <c r="E83" t="e">
        <f>IF(IF($B83=1,VLOOKUP($A83,#REF!,5,FALSE),"")=0,"",IF($B83=1,VLOOKUP($A83,#REF!,5,FALSE),""))</f>
        <v>#REF!</v>
      </c>
      <c r="F83" s="776" t="s">
        <v>5526</v>
      </c>
      <c r="G83" s="777" t="s">
        <v>2582</v>
      </c>
      <c r="H83" s="777" t="s">
        <v>6543</v>
      </c>
      <c r="I83" s="778" t="s">
        <v>5839</v>
      </c>
    </row>
    <row r="84" spans="1:9" ht="50">
      <c r="A84" t="s">
        <v>6607</v>
      </c>
      <c r="B84">
        <f>COUNTIF($A$5:$A84,A84)</f>
        <v>1</v>
      </c>
      <c r="C84">
        <f t="shared" si="2"/>
        <v>1</v>
      </c>
      <c r="D84">
        <f t="shared" si="3"/>
        <v>1</v>
      </c>
      <c r="E84" t="e">
        <f>IF(IF($B84=1,VLOOKUP($A84,#REF!,5,FALSE),"")=0,"",IF($B84=1,VLOOKUP($A84,#REF!,5,FALSE),""))</f>
        <v>#REF!</v>
      </c>
      <c r="F84" s="776" t="s">
        <v>5526</v>
      </c>
      <c r="G84" s="777" t="s">
        <v>2574</v>
      </c>
      <c r="H84" s="777" t="s">
        <v>6545</v>
      </c>
      <c r="I84" s="778" t="s">
        <v>5841</v>
      </c>
    </row>
    <row r="85" spans="1:9" ht="50">
      <c r="A85" t="s">
        <v>6608</v>
      </c>
      <c r="B85">
        <f>COUNTIF($A$5:$A85,A85)</f>
        <v>1</v>
      </c>
      <c r="C85">
        <f t="shared" si="2"/>
        <v>1</v>
      </c>
      <c r="D85">
        <f t="shared" si="3"/>
        <v>1</v>
      </c>
      <c r="E85" t="e">
        <f>IF(IF($B85=1,VLOOKUP($A85,#REF!,5,FALSE),"")=0,"",IF($B85=1,VLOOKUP($A85,#REF!,5,FALSE),""))</f>
        <v>#REF!</v>
      </c>
      <c r="F85" s="776" t="s">
        <v>5526</v>
      </c>
      <c r="G85" s="777" t="s">
        <v>2574</v>
      </c>
      <c r="H85" s="777" t="s">
        <v>6546</v>
      </c>
      <c r="I85" s="778" t="s">
        <v>5842</v>
      </c>
    </row>
    <row r="86" spans="1:9" ht="50">
      <c r="A86" t="s">
        <v>6609</v>
      </c>
      <c r="B86">
        <f>COUNTIF($A$5:$A86,A86)</f>
        <v>1</v>
      </c>
      <c r="C86">
        <f t="shared" si="2"/>
        <v>1</v>
      </c>
      <c r="D86">
        <f t="shared" si="3"/>
        <v>1</v>
      </c>
      <c r="E86" t="e">
        <f>IF(IF($B86=1,VLOOKUP($A86,#REF!,5,FALSE),"")=0,"",IF($B86=1,VLOOKUP($A86,#REF!,5,FALSE),""))</f>
        <v>#REF!</v>
      </c>
      <c r="F86" s="776" t="s">
        <v>5526</v>
      </c>
      <c r="G86" s="777" t="s">
        <v>2574</v>
      </c>
      <c r="H86" s="777" t="s">
        <v>6547</v>
      </c>
      <c r="I86" s="778" t="s">
        <v>5843</v>
      </c>
    </row>
    <row r="87" spans="1:9" ht="50">
      <c r="A87" t="s">
        <v>6610</v>
      </c>
      <c r="B87">
        <f>COUNTIF($A$5:$A87,A87)</f>
        <v>1</v>
      </c>
      <c r="C87">
        <f t="shared" si="2"/>
        <v>1</v>
      </c>
      <c r="D87">
        <f t="shared" si="3"/>
        <v>1</v>
      </c>
      <c r="E87" t="e">
        <f>IF(IF($B87=1,VLOOKUP($A87,#REF!,5,FALSE),"")=0,"",IF($B87=1,VLOOKUP($A87,#REF!,5,FALSE),""))</f>
        <v>#REF!</v>
      </c>
      <c r="F87" s="776" t="s">
        <v>5526</v>
      </c>
      <c r="G87" s="777" t="s">
        <v>2574</v>
      </c>
      <c r="H87" s="777" t="s">
        <v>6548</v>
      </c>
      <c r="I87" s="778" t="s">
        <v>5844</v>
      </c>
    </row>
    <row r="88" spans="1:9" ht="50">
      <c r="A88" t="s">
        <v>6611</v>
      </c>
      <c r="B88">
        <f>COUNTIF($A$5:$A88,A88)</f>
        <v>1</v>
      </c>
      <c r="C88">
        <f t="shared" si="2"/>
        <v>1</v>
      </c>
      <c r="D88">
        <f t="shared" si="3"/>
        <v>1</v>
      </c>
      <c r="E88" t="e">
        <f>IF(IF($B88=1,VLOOKUP($A88,#REF!,5,FALSE),"")=0,"",IF($B88=1,VLOOKUP($A88,#REF!,5,FALSE),""))</f>
        <v>#REF!</v>
      </c>
      <c r="F88" s="776" t="s">
        <v>5526</v>
      </c>
      <c r="G88" s="777" t="s">
        <v>2574</v>
      </c>
      <c r="H88" s="777" t="s">
        <v>6549</v>
      </c>
      <c r="I88" s="778" t="s">
        <v>6518</v>
      </c>
    </row>
    <row r="89" spans="1:9" ht="50">
      <c r="A89" t="s">
        <v>6612</v>
      </c>
      <c r="B89">
        <f>COUNTIF($A$5:$A89,A89)</f>
        <v>1</v>
      </c>
      <c r="C89">
        <f t="shared" si="2"/>
        <v>1</v>
      </c>
      <c r="D89">
        <f t="shared" si="3"/>
        <v>1</v>
      </c>
      <c r="E89" t="e">
        <f>IF(IF($B89=1,VLOOKUP($A89,#REF!,5,FALSE),"")=0,"",IF($B89=1,VLOOKUP($A89,#REF!,5,FALSE),""))</f>
        <v>#REF!</v>
      </c>
      <c r="F89" s="776" t="s">
        <v>5526</v>
      </c>
      <c r="G89" s="777" t="s">
        <v>2574</v>
      </c>
      <c r="H89" s="777" t="s">
        <v>6550</v>
      </c>
      <c r="I89" s="778" t="s">
        <v>5845</v>
      </c>
    </row>
    <row r="90" spans="1:9" ht="37.5">
      <c r="A90" t="s">
        <v>6618</v>
      </c>
      <c r="B90">
        <f>COUNTIF($A$5:$A90,A90)</f>
        <v>1</v>
      </c>
      <c r="C90">
        <f t="shared" si="2"/>
        <v>1</v>
      </c>
      <c r="D90" t="e">
        <f t="shared" si="3"/>
        <v>#VALUE!</v>
      </c>
      <c r="E90" t="e">
        <f>IF(IF($B90=1,VLOOKUP($A90,#REF!,5,FALSE),"")=0,"",IF($B90=1,VLOOKUP($A90,#REF!,5,FALSE),""))</f>
        <v>#REF!</v>
      </c>
      <c r="F90" s="776" t="s">
        <v>5526</v>
      </c>
      <c r="G90" s="777" t="s">
        <v>2582</v>
      </c>
      <c r="H90" s="777" t="s">
        <v>6556</v>
      </c>
      <c r="I90" s="778" t="s">
        <v>6513</v>
      </c>
    </row>
    <row r="91" spans="1:9">
      <c r="A91" t="s">
        <v>6619</v>
      </c>
      <c r="B91">
        <f>COUNTIF($A$5:$A91,A91)</f>
        <v>1</v>
      </c>
      <c r="C91">
        <f t="shared" si="2"/>
        <v>1</v>
      </c>
      <c r="D91">
        <f t="shared" si="3"/>
        <v>1</v>
      </c>
      <c r="E91" t="e">
        <f>IF(IF($B91=1,VLOOKUP($A91,#REF!,5,FALSE),"")=0,"",IF($B91=1,VLOOKUP($A91,#REF!,5,FALSE),""))</f>
        <v>#REF!</v>
      </c>
      <c r="F91" s="776" t="s">
        <v>5526</v>
      </c>
      <c r="G91" s="777" t="s">
        <v>3054</v>
      </c>
      <c r="H91" s="777" t="s">
        <v>6557</v>
      </c>
      <c r="I91" s="778" t="s">
        <v>6516</v>
      </c>
    </row>
    <row r="92" spans="1:9">
      <c r="A92" t="s">
        <v>6620</v>
      </c>
      <c r="B92">
        <f>COUNTIF($A$5:$A92,A92)</f>
        <v>1</v>
      </c>
      <c r="C92">
        <f t="shared" si="2"/>
        <v>1</v>
      </c>
      <c r="D92">
        <f t="shared" si="3"/>
        <v>1</v>
      </c>
      <c r="E92" t="e">
        <f>IF(IF($B92=1,VLOOKUP($A92,#REF!,5,FALSE),"")=0,"",IF($B92=1,VLOOKUP($A92,#REF!,5,FALSE),""))</f>
        <v>#REF!</v>
      </c>
      <c r="F92" s="776" t="s">
        <v>5526</v>
      </c>
      <c r="G92" s="777" t="s">
        <v>3054</v>
      </c>
      <c r="H92" s="777" t="s">
        <v>6558</v>
      </c>
      <c r="I92" s="778" t="s">
        <v>5853</v>
      </c>
    </row>
    <row r="93" spans="1:9" ht="25">
      <c r="A93" t="s">
        <v>6621</v>
      </c>
      <c r="B93">
        <f>COUNTIF($A$5:$A93,A93)</f>
        <v>1</v>
      </c>
      <c r="C93">
        <f t="shared" si="2"/>
        <v>1</v>
      </c>
      <c r="D93">
        <f t="shared" si="3"/>
        <v>1</v>
      </c>
      <c r="E93" t="e">
        <f>IF(IF($B93=1,VLOOKUP($A93,#REF!,5,FALSE),"")=0,"",IF($B93=1,VLOOKUP($A93,#REF!,5,FALSE),""))</f>
        <v>#REF!</v>
      </c>
      <c r="F93" s="776" t="s">
        <v>5526</v>
      </c>
      <c r="G93" s="777" t="s">
        <v>2426</v>
      </c>
      <c r="H93" s="777" t="s">
        <v>6559</v>
      </c>
      <c r="I93" s="778" t="s">
        <v>5854</v>
      </c>
    </row>
    <row r="94" spans="1:9">
      <c r="A94" t="s">
        <v>6698</v>
      </c>
      <c r="B94">
        <f>COUNTIF($A$5:$A94,A94)</f>
        <v>1</v>
      </c>
      <c r="C94">
        <f t="shared" si="2"/>
        <v>1</v>
      </c>
      <c r="D94">
        <f t="shared" si="3"/>
        <v>1</v>
      </c>
      <c r="E94" t="e">
        <f>IF(IF($B94=1,VLOOKUP($A94,#REF!,5,FALSE),"")=0,"",IF($B94=1,VLOOKUP($A94,#REF!,5,FALSE),""))</f>
        <v>#REF!</v>
      </c>
      <c r="F94" s="776" t="s">
        <v>5526</v>
      </c>
      <c r="G94" s="777" t="s">
        <v>2570</v>
      </c>
      <c r="H94" s="777" t="s">
        <v>2902</v>
      </c>
      <c r="I94" s="778" t="s">
        <v>6017</v>
      </c>
    </row>
    <row r="95" spans="1:9">
      <c r="A95" t="s">
        <v>6624</v>
      </c>
      <c r="B95">
        <f>COUNTIF($A$5:$A95,A95)</f>
        <v>1</v>
      </c>
      <c r="C95">
        <f t="shared" si="2"/>
        <v>1</v>
      </c>
      <c r="D95">
        <f t="shared" si="3"/>
        <v>1</v>
      </c>
      <c r="E95" t="e">
        <f>IF(IF($B95=1,VLOOKUP($A95,#REF!,5,FALSE),"")=0,"",IF($B95=1,VLOOKUP($A95,#REF!,5,FALSE),""))</f>
        <v>#REF!</v>
      </c>
      <c r="F95" s="776" t="s">
        <v>5526</v>
      </c>
      <c r="G95" s="777" t="s">
        <v>2570</v>
      </c>
      <c r="H95" s="777" t="s">
        <v>6561</v>
      </c>
      <c r="I95" s="778" t="s">
        <v>6502</v>
      </c>
    </row>
    <row r="96" spans="1:9" ht="37.5">
      <c r="A96" t="s">
        <v>6625</v>
      </c>
      <c r="B96">
        <f>COUNTIF($A$5:$A96,A96)</f>
        <v>1</v>
      </c>
      <c r="C96">
        <f t="shared" si="2"/>
        <v>1</v>
      </c>
      <c r="D96">
        <f t="shared" si="3"/>
        <v>1</v>
      </c>
      <c r="E96" t="e">
        <f>IF(IF($B96=1,VLOOKUP($A96,#REF!,5,FALSE),"")=0,"",IF($B96=1,VLOOKUP($A96,#REF!,5,FALSE),""))</f>
        <v>#REF!</v>
      </c>
      <c r="F96" s="776" t="s">
        <v>5526</v>
      </c>
      <c r="G96" s="777" t="s">
        <v>1208</v>
      </c>
      <c r="H96" s="777" t="s">
        <v>6562</v>
      </c>
      <c r="I96" s="778" t="s">
        <v>6018</v>
      </c>
    </row>
    <row r="97" spans="1:9" ht="62.5">
      <c r="A97" t="s">
        <v>6629</v>
      </c>
      <c r="B97">
        <f>COUNTIF($A$5:$A97,A97)</f>
        <v>1</v>
      </c>
      <c r="C97">
        <f t="shared" si="2"/>
        <v>2</v>
      </c>
      <c r="D97" t="e">
        <f t="shared" si="3"/>
        <v>#VALUE!</v>
      </c>
      <c r="E97" t="e">
        <f>IF(IF($B97=1,VLOOKUP($A97,#REF!,5,FALSE),"")=0,"",IF($B97=1,VLOOKUP($A97,#REF!,5,FALSE),""))</f>
        <v>#REF!</v>
      </c>
      <c r="F97" s="776" t="s">
        <v>5526</v>
      </c>
      <c r="G97" s="777" t="s">
        <v>2582</v>
      </c>
      <c r="H97" s="777" t="s">
        <v>4259</v>
      </c>
      <c r="I97" s="778" t="s">
        <v>6022</v>
      </c>
    </row>
    <row r="98" spans="1:9" ht="50">
      <c r="A98" t="s">
        <v>6631</v>
      </c>
      <c r="B98">
        <f>COUNTIF($A$5:$A98,A98)</f>
        <v>1</v>
      </c>
      <c r="C98">
        <f t="shared" si="2"/>
        <v>1</v>
      </c>
      <c r="D98" t="e">
        <f t="shared" si="3"/>
        <v>#VALUE!</v>
      </c>
      <c r="E98" t="e">
        <f>IF(IF($B98=1,VLOOKUP($A98,#REF!,5,FALSE),"")=0,"",IF($B98=1,VLOOKUP($A98,#REF!,5,FALSE),""))</f>
        <v>#REF!</v>
      </c>
      <c r="F98" s="776" t="s">
        <v>5526</v>
      </c>
      <c r="G98" s="777" t="s">
        <v>91</v>
      </c>
      <c r="H98" s="777" t="s">
        <v>6566</v>
      </c>
      <c r="I98" s="778" t="s">
        <v>6024</v>
      </c>
    </row>
    <row r="99" spans="1:9" ht="25">
      <c r="A99" t="s">
        <v>6532</v>
      </c>
      <c r="B99">
        <f>COUNTIF($A$5:$A99,A99)</f>
        <v>1</v>
      </c>
      <c r="C99">
        <f t="shared" si="2"/>
        <v>1</v>
      </c>
      <c r="D99">
        <f t="shared" si="3"/>
        <v>1</v>
      </c>
      <c r="E99" t="e">
        <f>IF(IF($B99=1,VLOOKUP($A99,#REF!,5,FALSE),"")=0,"",IF($B99=1,VLOOKUP($A99,#REF!,5,FALSE),""))</f>
        <v>#REF!</v>
      </c>
      <c r="F99" s="776" t="s">
        <v>5526</v>
      </c>
      <c r="G99" s="777" t="s">
        <v>91</v>
      </c>
      <c r="H99" s="777" t="s">
        <v>4301</v>
      </c>
      <c r="I99" s="778" t="s">
        <v>6026</v>
      </c>
    </row>
    <row r="100" spans="1:9" ht="25">
      <c r="A100" t="s">
        <v>6633</v>
      </c>
      <c r="B100">
        <f>COUNTIF($A$5:$A100,A100)</f>
        <v>1</v>
      </c>
      <c r="C100">
        <f t="shared" si="2"/>
        <v>1</v>
      </c>
      <c r="D100">
        <f t="shared" si="3"/>
        <v>1</v>
      </c>
      <c r="E100" t="e">
        <f>IF(IF($B100=1,VLOOKUP($A100,#REF!,5,FALSE),"")=0,"",IF($B100=1,VLOOKUP($A100,#REF!,5,FALSE),""))</f>
        <v>#REF!</v>
      </c>
      <c r="F100" s="776" t="s">
        <v>5526</v>
      </c>
      <c r="G100" s="777" t="s">
        <v>2570</v>
      </c>
      <c r="H100" s="777" t="s">
        <v>6568</v>
      </c>
      <c r="I100" s="778" t="s">
        <v>6027</v>
      </c>
    </row>
    <row r="101" spans="1:9" ht="50">
      <c r="A101" t="s">
        <v>6635</v>
      </c>
      <c r="B101">
        <f>COUNTIF($A$5:$A101,A101)</f>
        <v>1</v>
      </c>
      <c r="C101">
        <f t="shared" si="2"/>
        <v>1</v>
      </c>
      <c r="D101" t="e">
        <f t="shared" si="3"/>
        <v>#VALUE!</v>
      </c>
      <c r="E101" t="e">
        <f>IF(IF($B101=1,VLOOKUP($A101,#REF!,5,FALSE),"")=0,"",IF($B101=1,VLOOKUP($A101,#REF!,5,FALSE),""))</f>
        <v>#REF!</v>
      </c>
      <c r="F101" s="776" t="s">
        <v>5526</v>
      </c>
      <c r="G101" s="777" t="s">
        <v>1208</v>
      </c>
      <c r="H101" s="777" t="s">
        <v>4258</v>
      </c>
      <c r="I101" s="778" t="s">
        <v>6031</v>
      </c>
    </row>
    <row r="102" spans="1:9" ht="25">
      <c r="A102" t="s">
        <v>6636</v>
      </c>
      <c r="B102">
        <f>COUNTIF($A$5:$A102,A102)</f>
        <v>1</v>
      </c>
      <c r="C102">
        <f t="shared" si="2"/>
        <v>1</v>
      </c>
      <c r="D102">
        <f t="shared" si="3"/>
        <v>1</v>
      </c>
      <c r="E102" t="e">
        <f>IF(IF($B102=1,VLOOKUP($A102,#REF!,5,FALSE),"")=0,"",IF($B102=1,VLOOKUP($A102,#REF!,5,FALSE),""))</f>
        <v>#REF!</v>
      </c>
      <c r="F102" s="776" t="s">
        <v>5526</v>
      </c>
      <c r="G102" s="777" t="s">
        <v>1207</v>
      </c>
      <c r="H102" s="777" t="s">
        <v>6569</v>
      </c>
      <c r="I102" s="778" t="s">
        <v>6032</v>
      </c>
    </row>
    <row r="103" spans="1:9">
      <c r="A103" t="s">
        <v>6639</v>
      </c>
      <c r="B103">
        <f>COUNTIF($A$5:$A103,A103)</f>
        <v>1</v>
      </c>
      <c r="C103">
        <f t="shared" si="2"/>
        <v>1</v>
      </c>
      <c r="D103">
        <f t="shared" si="3"/>
        <v>1</v>
      </c>
      <c r="E103" t="e">
        <f>IF(IF($B103=1,VLOOKUP($A103,#REF!,5,FALSE),"")=0,"",IF($B103=1,VLOOKUP($A103,#REF!,5,FALSE),""))</f>
        <v>#REF!</v>
      </c>
      <c r="F103" s="776" t="s">
        <v>5526</v>
      </c>
      <c r="G103" s="777" t="s">
        <v>4333</v>
      </c>
      <c r="H103" s="777" t="s">
        <v>6571</v>
      </c>
      <c r="I103" s="778" t="s">
        <v>6035</v>
      </c>
    </row>
    <row r="104" spans="1:9" ht="25">
      <c r="A104" t="s">
        <v>6640</v>
      </c>
      <c r="B104">
        <f>COUNTIF($A$5:$A104,A104)</f>
        <v>1</v>
      </c>
      <c r="C104">
        <f t="shared" si="2"/>
        <v>1</v>
      </c>
      <c r="D104">
        <f t="shared" si="3"/>
        <v>1</v>
      </c>
      <c r="E104" t="e">
        <f>IF(IF($B104=1,VLOOKUP($A104,#REF!,5,FALSE),"")=0,"",IF($B104=1,VLOOKUP($A104,#REF!,5,FALSE),""))</f>
        <v>#REF!</v>
      </c>
      <c r="F104" s="776" t="s">
        <v>5526</v>
      </c>
      <c r="G104" s="777" t="s">
        <v>2582</v>
      </c>
      <c r="H104" s="777" t="s">
        <v>6082</v>
      </c>
      <c r="I104" s="778" t="s">
        <v>6036</v>
      </c>
    </row>
    <row r="105" spans="1:9" ht="25">
      <c r="A105" t="s">
        <v>6641</v>
      </c>
      <c r="B105">
        <f>COUNTIF($A$5:$A105,A105)</f>
        <v>1</v>
      </c>
      <c r="C105">
        <f t="shared" si="2"/>
        <v>1</v>
      </c>
      <c r="D105">
        <f t="shared" si="3"/>
        <v>1</v>
      </c>
      <c r="E105" t="e">
        <f>IF(IF($B105=1,VLOOKUP($A105,#REF!,5,FALSE),"")=0,"",IF($B105=1,VLOOKUP($A105,#REF!,5,FALSE),""))</f>
        <v>#REF!</v>
      </c>
      <c r="F105" s="776" t="s">
        <v>5526</v>
      </c>
      <c r="G105" s="777" t="s">
        <v>1207</v>
      </c>
      <c r="H105" s="777" t="s">
        <v>6572</v>
      </c>
      <c r="I105" s="778" t="s">
        <v>6037</v>
      </c>
    </row>
    <row r="106" spans="1:9" ht="50">
      <c r="A106" t="s">
        <v>6642</v>
      </c>
      <c r="B106">
        <f>COUNTIF($A$5:$A106,A106)</f>
        <v>1</v>
      </c>
      <c r="C106">
        <f t="shared" si="2"/>
        <v>1</v>
      </c>
      <c r="D106" t="e">
        <f t="shared" si="3"/>
        <v>#VALUE!</v>
      </c>
      <c r="E106" t="e">
        <f>IF(IF($B106=1,VLOOKUP($A106,#REF!,5,FALSE),"")=0,"",IF($B106=1,VLOOKUP($A106,#REF!,5,FALSE),""))</f>
        <v>#REF!</v>
      </c>
      <c r="F106" s="776" t="s">
        <v>5526</v>
      </c>
      <c r="G106" s="777" t="s">
        <v>4333</v>
      </c>
      <c r="H106" s="777" t="s">
        <v>6575</v>
      </c>
      <c r="I106" s="778" t="s">
        <v>6040</v>
      </c>
    </row>
    <row r="107" spans="1:9" ht="50">
      <c r="A107" t="s">
        <v>6643</v>
      </c>
      <c r="B107">
        <f>COUNTIF($A$5:$A107,A107)</f>
        <v>1</v>
      </c>
      <c r="C107">
        <f t="shared" si="2"/>
        <v>1</v>
      </c>
      <c r="D107" t="e">
        <f t="shared" si="3"/>
        <v>#VALUE!</v>
      </c>
      <c r="E107" t="e">
        <f>IF(IF($B107=1,VLOOKUP($A107,#REF!,5,FALSE),"")=0,"",IF($B107=1,VLOOKUP($A107,#REF!,5,FALSE),""))</f>
        <v>#REF!</v>
      </c>
      <c r="F107" s="776" t="s">
        <v>5526</v>
      </c>
      <c r="G107" s="777" t="s">
        <v>4333</v>
      </c>
      <c r="H107" s="777" t="s">
        <v>6576</v>
      </c>
      <c r="I107" s="778" t="s">
        <v>6041</v>
      </c>
    </row>
    <row r="108" spans="1:9" ht="37.5">
      <c r="A108" t="s">
        <v>6647</v>
      </c>
      <c r="B108">
        <f>COUNTIF($A$5:$A108,A108)</f>
        <v>1</v>
      </c>
      <c r="C108">
        <f t="shared" si="2"/>
        <v>1</v>
      </c>
      <c r="D108" t="e">
        <f t="shared" si="3"/>
        <v>#VALUE!</v>
      </c>
      <c r="E108" t="e">
        <f>IF(IF($B108=1,VLOOKUP($A108,#REF!,5,FALSE),"")=0,"",IF($B108=1,VLOOKUP($A108,#REF!,5,FALSE),""))</f>
        <v>#REF!</v>
      </c>
      <c r="F108" s="776" t="s">
        <v>5526</v>
      </c>
      <c r="G108" s="777" t="s">
        <v>3054</v>
      </c>
      <c r="H108" s="777" t="s">
        <v>6580</v>
      </c>
      <c r="I108" s="778" t="s">
        <v>6526</v>
      </c>
    </row>
    <row r="109" spans="1:9" ht="37.5">
      <c r="A109" t="s">
        <v>6648</v>
      </c>
      <c r="B109">
        <f>COUNTIF($A$5:$A109,A109)</f>
        <v>1</v>
      </c>
      <c r="C109">
        <f t="shared" si="2"/>
        <v>1</v>
      </c>
      <c r="D109">
        <f t="shared" si="3"/>
        <v>1</v>
      </c>
      <c r="E109" t="e">
        <f>IF(IF($B109=1,VLOOKUP($A109,#REF!,5,FALSE),"")=0,"",IF($B109=1,VLOOKUP($A109,#REF!,5,FALSE),""))</f>
        <v>#REF!</v>
      </c>
      <c r="F109" s="776" t="s">
        <v>5526</v>
      </c>
      <c r="G109" s="777" t="s">
        <v>1208</v>
      </c>
      <c r="H109" s="777" t="s">
        <v>6083</v>
      </c>
      <c r="I109" s="778" t="s">
        <v>6045</v>
      </c>
    </row>
    <row r="110" spans="1:9">
      <c r="A110" t="s">
        <v>6653</v>
      </c>
      <c r="B110">
        <f>COUNTIF($A$5:$A110,A110)</f>
        <v>1</v>
      </c>
      <c r="C110">
        <f t="shared" si="2"/>
        <v>1</v>
      </c>
      <c r="D110">
        <f t="shared" si="3"/>
        <v>1</v>
      </c>
      <c r="E110" t="e">
        <f>IF(IF($B110=1,VLOOKUP($A110,#REF!,5,FALSE),"")=0,"",IF($B110=1,VLOOKUP($A110,#REF!,5,FALSE),""))</f>
        <v>#REF!</v>
      </c>
      <c r="F110" s="776" t="s">
        <v>5526</v>
      </c>
      <c r="G110" s="777" t="s">
        <v>2426</v>
      </c>
      <c r="H110" s="777" t="s">
        <v>6585</v>
      </c>
      <c r="I110" s="778" t="s">
        <v>6050</v>
      </c>
    </row>
    <row r="111" spans="1:9" ht="50">
      <c r="A111" t="s">
        <v>6657</v>
      </c>
      <c r="B111">
        <f>COUNTIF($A$5:$A111,A111)</f>
        <v>1</v>
      </c>
      <c r="C111">
        <f t="shared" si="2"/>
        <v>1</v>
      </c>
      <c r="D111" t="e">
        <f t="shared" si="3"/>
        <v>#VALUE!</v>
      </c>
      <c r="E111" t="e">
        <f>IF(IF($B111=1,VLOOKUP($A111,#REF!,5,FALSE),"")=0,"",IF($B111=1,VLOOKUP($A111,#REF!,5,FALSE),""))</f>
        <v>#REF!</v>
      </c>
      <c r="F111" s="776" t="s">
        <v>5526</v>
      </c>
      <c r="G111" s="777" t="s">
        <v>2586</v>
      </c>
      <c r="H111" s="777" t="s">
        <v>6589</v>
      </c>
      <c r="I111" s="778" t="s">
        <v>6054</v>
      </c>
    </row>
    <row r="112" spans="1:9" ht="25">
      <c r="A112" t="s">
        <v>6661</v>
      </c>
      <c r="B112">
        <f>COUNTIF($A$5:$A112,A112)</f>
        <v>1</v>
      </c>
      <c r="C112">
        <f t="shared" si="2"/>
        <v>1</v>
      </c>
      <c r="D112">
        <f t="shared" si="3"/>
        <v>1</v>
      </c>
      <c r="E112" t="e">
        <f>IF(IF($B112=1,VLOOKUP($A112,#REF!,5,FALSE),"")=0,"",IF($B112=1,VLOOKUP($A112,#REF!,5,FALSE),""))</f>
        <v>#REF!</v>
      </c>
      <c r="F112" s="776" t="s">
        <v>5526</v>
      </c>
      <c r="G112" s="777" t="s">
        <v>4333</v>
      </c>
      <c r="H112" s="777" t="s">
        <v>6593</v>
      </c>
      <c r="I112" s="778" t="s">
        <v>6057</v>
      </c>
    </row>
    <row r="113" spans="1:9" ht="25">
      <c r="A113" t="s">
        <v>6230</v>
      </c>
      <c r="B113">
        <f>COUNTIF($A$5:$A113,A113)</f>
        <v>1</v>
      </c>
      <c r="C113">
        <f t="shared" si="2"/>
        <v>2</v>
      </c>
      <c r="D113">
        <f t="shared" si="3"/>
        <v>3</v>
      </c>
      <c r="E113" t="e">
        <f>IF(IF($B113=1,VLOOKUP($A113,#REF!,5,FALSE),"")=0,"",IF($B113=1,VLOOKUP($A113,#REF!,5,FALSE),""))</f>
        <v>#REF!</v>
      </c>
      <c r="F113" s="779" t="s">
        <v>5783</v>
      </c>
      <c r="G113" s="780" t="s">
        <v>4392</v>
      </c>
      <c r="H113" s="780" t="s">
        <v>4326</v>
      </c>
      <c r="I113" s="781" t="s">
        <v>4656</v>
      </c>
    </row>
    <row r="114" spans="1:9" ht="25">
      <c r="A114" t="s">
        <v>6245</v>
      </c>
      <c r="B114">
        <f>COUNTIF($A$5:$A114,A114)</f>
        <v>1</v>
      </c>
      <c r="C114">
        <f t="shared" si="2"/>
        <v>3</v>
      </c>
      <c r="D114">
        <f t="shared" si="3"/>
        <v>9</v>
      </c>
      <c r="E114" t="e">
        <f>IF(IF($B114=1,VLOOKUP($A114,#REF!,5,FALSE),"")=0,"",IF($B114=1,VLOOKUP($A114,#REF!,5,FALSE),""))</f>
        <v>#REF!</v>
      </c>
      <c r="F114" s="779" t="s">
        <v>5783</v>
      </c>
      <c r="G114" s="780" t="s">
        <v>4392</v>
      </c>
      <c r="H114" s="780" t="s">
        <v>3604</v>
      </c>
      <c r="I114" s="781" t="s">
        <v>4661</v>
      </c>
    </row>
    <row r="115" spans="1:9">
      <c r="A115" t="s">
        <v>5621</v>
      </c>
      <c r="B115">
        <f>COUNTIF($A$5:$A115,A115)</f>
        <v>1</v>
      </c>
      <c r="C115">
        <f t="shared" si="2"/>
        <v>1</v>
      </c>
      <c r="D115">
        <f t="shared" si="3"/>
        <v>1</v>
      </c>
      <c r="E115" t="e">
        <f>IF(IF($B115=1,VLOOKUP($A115,#REF!,5,FALSE),"")=0,"",IF($B115=1,VLOOKUP($A115,#REF!,5,FALSE),""))</f>
        <v>#REF!</v>
      </c>
      <c r="F115" s="779" t="s">
        <v>5783</v>
      </c>
      <c r="G115" s="780" t="s">
        <v>2426</v>
      </c>
      <c r="H115" s="780" t="s">
        <v>4788</v>
      </c>
      <c r="I115" s="781" t="s">
        <v>4674</v>
      </c>
    </row>
    <row r="116" spans="1:9">
      <c r="A116" t="s">
        <v>6313</v>
      </c>
      <c r="B116">
        <f>COUNTIF($A$5:$A116,A116)</f>
        <v>1</v>
      </c>
      <c r="C116">
        <f t="shared" si="2"/>
        <v>1</v>
      </c>
      <c r="D116">
        <f t="shared" si="3"/>
        <v>1</v>
      </c>
      <c r="E116" t="e">
        <f>IF(IF($B116=1,VLOOKUP($A116,#REF!,5,FALSE),"")=0,"",IF($B116=1,VLOOKUP($A116,#REF!,5,FALSE),""))</f>
        <v>#REF!</v>
      </c>
      <c r="F116" s="779" t="s">
        <v>5783</v>
      </c>
      <c r="G116" s="780" t="s">
        <v>2426</v>
      </c>
      <c r="H116" s="780" t="s">
        <v>4849</v>
      </c>
      <c r="I116" s="781" t="s">
        <v>4691</v>
      </c>
    </row>
    <row r="117" spans="1:9" ht="25">
      <c r="A117" t="s">
        <v>5622</v>
      </c>
      <c r="B117">
        <f>COUNTIF($A$5:$A117,A117)</f>
        <v>1</v>
      </c>
      <c r="C117">
        <f t="shared" si="2"/>
        <v>2</v>
      </c>
      <c r="D117">
        <f t="shared" si="3"/>
        <v>3</v>
      </c>
      <c r="E117" t="e">
        <f>IF(IF($B117=1,VLOOKUP($A117,#REF!,5,FALSE),"")=0,"",IF($B117=1,VLOOKUP($A117,#REF!,5,FALSE),""))</f>
        <v>#REF!</v>
      </c>
      <c r="F117" s="779" t="s">
        <v>5783</v>
      </c>
      <c r="G117" s="780" t="s">
        <v>4392</v>
      </c>
      <c r="H117" s="780" t="s">
        <v>4326</v>
      </c>
      <c r="I117" s="781" t="s">
        <v>4656</v>
      </c>
    </row>
    <row r="118" spans="1:9" ht="25">
      <c r="A118" t="s">
        <v>5623</v>
      </c>
      <c r="B118">
        <f>COUNTIF($A$5:$A118,A118)</f>
        <v>1</v>
      </c>
      <c r="C118">
        <f t="shared" si="2"/>
        <v>1</v>
      </c>
      <c r="D118">
        <f t="shared" si="3"/>
        <v>4</v>
      </c>
      <c r="E118" t="e">
        <f>IF(IF($B118=1,VLOOKUP($A118,#REF!,5,FALSE),"")=0,"",IF($B118=1,VLOOKUP($A118,#REF!,5,FALSE),""))</f>
        <v>#REF!</v>
      </c>
      <c r="F118" s="779" t="s">
        <v>5783</v>
      </c>
      <c r="G118" s="780" t="s">
        <v>4391</v>
      </c>
      <c r="H118" s="780" t="s">
        <v>4330</v>
      </c>
      <c r="I118" s="781" t="s">
        <v>4657</v>
      </c>
    </row>
    <row r="119" spans="1:9" ht="25">
      <c r="A119" t="s">
        <v>6534</v>
      </c>
      <c r="B119">
        <f>COUNTIF($A$5:$A119,A119)</f>
        <v>1</v>
      </c>
      <c r="C119">
        <f t="shared" si="2"/>
        <v>2</v>
      </c>
      <c r="D119">
        <f t="shared" si="3"/>
        <v>4</v>
      </c>
      <c r="E119" t="e">
        <f>IF(IF($B119=1,VLOOKUP($A119,#REF!,5,FALSE),"")=0,"",IF($B119=1,VLOOKUP($A119,#REF!,5,FALSE),""))</f>
        <v>#REF!</v>
      </c>
      <c r="F119" s="779" t="s">
        <v>5783</v>
      </c>
      <c r="G119" s="780" t="s">
        <v>2584</v>
      </c>
      <c r="H119" s="780" t="s">
        <v>4405</v>
      </c>
      <c r="I119" s="781" t="s">
        <v>4657</v>
      </c>
    </row>
    <row r="120" spans="1:9" ht="25">
      <c r="A120" t="s">
        <v>5624</v>
      </c>
      <c r="B120">
        <f>COUNTIF($A$5:$A120,A120)</f>
        <v>1</v>
      </c>
      <c r="C120">
        <f t="shared" si="2"/>
        <v>1</v>
      </c>
      <c r="D120">
        <f t="shared" si="3"/>
        <v>4</v>
      </c>
      <c r="E120" t="e">
        <f>IF(IF($B120=1,VLOOKUP($A120,#REF!,5,FALSE),"")=0,"",IF($B120=1,VLOOKUP($A120,#REF!,5,FALSE),""))</f>
        <v>#REF!</v>
      </c>
      <c r="F120" s="779" t="s">
        <v>5783</v>
      </c>
      <c r="G120" s="780" t="s">
        <v>4393</v>
      </c>
      <c r="H120" s="780" t="s">
        <v>4327</v>
      </c>
      <c r="I120" s="781" t="s">
        <v>4657</v>
      </c>
    </row>
    <row r="121" spans="1:9" ht="25">
      <c r="A121" t="s">
        <v>5625</v>
      </c>
      <c r="B121">
        <f>COUNTIF($A$5:$A121,A121)</f>
        <v>1</v>
      </c>
      <c r="C121">
        <f t="shared" si="2"/>
        <v>1</v>
      </c>
      <c r="D121">
        <f t="shared" si="3"/>
        <v>4</v>
      </c>
      <c r="E121" t="e">
        <f>IF(IF($B121=1,VLOOKUP($A121,#REF!,5,FALSE),"")=0,"",IF($B121=1,VLOOKUP($A121,#REF!,5,FALSE),""))</f>
        <v>#REF!</v>
      </c>
      <c r="F121" s="779" t="s">
        <v>5783</v>
      </c>
      <c r="G121" s="780" t="s">
        <v>2432</v>
      </c>
      <c r="H121" s="780" t="s">
        <v>4331</v>
      </c>
      <c r="I121" s="781" t="s">
        <v>4657</v>
      </c>
    </row>
    <row r="122" spans="1:9" ht="25">
      <c r="A122" t="s">
        <v>5626</v>
      </c>
      <c r="B122">
        <f>COUNTIF($A$5:$A122,A122)</f>
        <v>1</v>
      </c>
      <c r="C122">
        <f t="shared" si="2"/>
        <v>2</v>
      </c>
      <c r="D122">
        <f t="shared" si="3"/>
        <v>7</v>
      </c>
      <c r="E122" t="e">
        <f>IF(IF($B122=1,VLOOKUP($A122,#REF!,5,FALSE),"")=0,"",IF($B122=1,VLOOKUP($A122,#REF!,5,FALSE),""))</f>
        <v>#REF!</v>
      </c>
      <c r="F122" s="779" t="s">
        <v>5783</v>
      </c>
      <c r="G122" s="780" t="s">
        <v>4391</v>
      </c>
      <c r="H122" s="780" t="s">
        <v>3602</v>
      </c>
      <c r="I122" s="781" t="s">
        <v>4660</v>
      </c>
    </row>
    <row r="123" spans="1:9" ht="25">
      <c r="A123" t="s">
        <v>5627</v>
      </c>
      <c r="B123">
        <f>COUNTIF($A$5:$A123,A123)</f>
        <v>1</v>
      </c>
      <c r="C123">
        <f t="shared" si="2"/>
        <v>2</v>
      </c>
      <c r="D123">
        <f t="shared" si="3"/>
        <v>7</v>
      </c>
      <c r="E123" t="e">
        <f>IF(IF($B123=1,VLOOKUP($A123,#REF!,5,FALSE),"")=0,"",IF($B123=1,VLOOKUP($A123,#REF!,5,FALSE),""))</f>
        <v>#REF!</v>
      </c>
      <c r="F123" s="779" t="s">
        <v>5783</v>
      </c>
      <c r="G123" s="780" t="s">
        <v>4393</v>
      </c>
      <c r="H123" s="780" t="s">
        <v>3603</v>
      </c>
      <c r="I123" s="781" t="s">
        <v>4660</v>
      </c>
    </row>
    <row r="124" spans="1:9">
      <c r="A124" t="s">
        <v>5628</v>
      </c>
      <c r="B124">
        <f>COUNTIF($A$5:$A124,A124)</f>
        <v>1</v>
      </c>
      <c r="C124">
        <f t="shared" si="2"/>
        <v>1</v>
      </c>
      <c r="D124">
        <f t="shared" si="3"/>
        <v>1</v>
      </c>
      <c r="E124" t="e">
        <f>IF(IF($B124=1,VLOOKUP($A124,#REF!,5,FALSE),"")=0,"",IF($B124=1,VLOOKUP($A124,#REF!,5,FALSE),""))</f>
        <v>#REF!</v>
      </c>
      <c r="F124" s="779" t="s">
        <v>5783</v>
      </c>
      <c r="G124" s="780" t="s">
        <v>2582</v>
      </c>
      <c r="H124" s="780" t="s">
        <v>2939</v>
      </c>
      <c r="I124" s="781" t="s">
        <v>5252</v>
      </c>
    </row>
    <row r="125" spans="1:9">
      <c r="A125" t="s">
        <v>5629</v>
      </c>
      <c r="B125">
        <f>COUNTIF($A$5:$A125,A125)</f>
        <v>1</v>
      </c>
      <c r="C125">
        <f t="shared" si="2"/>
        <v>1</v>
      </c>
      <c r="D125">
        <f t="shared" si="3"/>
        <v>1</v>
      </c>
      <c r="E125" t="e">
        <f>IF(IF($B125=1,VLOOKUP($A125,#REF!,5,FALSE),"")=0,"",IF($B125=1,VLOOKUP($A125,#REF!,5,FALSE),""))</f>
        <v>#REF!</v>
      </c>
      <c r="F125" s="779" t="s">
        <v>5783</v>
      </c>
      <c r="G125" s="780" t="s">
        <v>2582</v>
      </c>
      <c r="H125" s="780" t="s">
        <v>2896</v>
      </c>
      <c r="I125" s="781" t="s">
        <v>5253</v>
      </c>
    </row>
    <row r="126" spans="1:9">
      <c r="A126" t="s">
        <v>5630</v>
      </c>
      <c r="B126">
        <f>COUNTIF($A$5:$A126,A126)</f>
        <v>1</v>
      </c>
      <c r="C126">
        <f t="shared" si="2"/>
        <v>1</v>
      </c>
      <c r="D126">
        <f t="shared" si="3"/>
        <v>1</v>
      </c>
      <c r="E126" t="e">
        <f>IF(IF($B126=1,VLOOKUP($A126,#REF!,5,FALSE),"")=0,"",IF($B126=1,VLOOKUP($A126,#REF!,5,FALSE),""))</f>
        <v>#REF!</v>
      </c>
      <c r="F126" s="779" t="s">
        <v>5783</v>
      </c>
      <c r="G126" s="780" t="s">
        <v>2426</v>
      </c>
      <c r="H126" s="780" t="s">
        <v>2897</v>
      </c>
      <c r="I126" s="781" t="s">
        <v>4694</v>
      </c>
    </row>
    <row r="127" spans="1:9" ht="25">
      <c r="A127" t="s">
        <v>5631</v>
      </c>
      <c r="B127">
        <f>COUNTIF($A$5:$A127,A127)</f>
        <v>1</v>
      </c>
      <c r="C127">
        <f t="shared" si="2"/>
        <v>3</v>
      </c>
      <c r="D127">
        <f t="shared" si="3"/>
        <v>9</v>
      </c>
      <c r="E127" t="e">
        <f>IF(IF($B127=1,VLOOKUP($A127,#REF!,5,FALSE),"")=0,"",IF($B127=1,VLOOKUP($A127,#REF!,5,FALSE),""))</f>
        <v>#REF!</v>
      </c>
      <c r="F127" s="779" t="s">
        <v>5783</v>
      </c>
      <c r="G127" s="780" t="s">
        <v>4392</v>
      </c>
      <c r="H127" s="780" t="s">
        <v>3604</v>
      </c>
      <c r="I127" s="781" t="s">
        <v>4661</v>
      </c>
    </row>
    <row r="128" spans="1:9" ht="25">
      <c r="A128" t="s">
        <v>5632</v>
      </c>
      <c r="B128">
        <f>COUNTIF($A$5:$A128,A128)</f>
        <v>1</v>
      </c>
      <c r="C128">
        <f t="shared" si="2"/>
        <v>2</v>
      </c>
      <c r="D128">
        <f t="shared" si="3"/>
        <v>9</v>
      </c>
      <c r="E128" t="e">
        <f>IF(IF($B128=1,VLOOKUP($A128,#REF!,5,FALSE),"")=0,"",IF($B128=1,VLOOKUP($A128,#REF!,5,FALSE),""))</f>
        <v>#REF!</v>
      </c>
      <c r="F128" s="779" t="s">
        <v>5783</v>
      </c>
      <c r="G128" s="780" t="s">
        <v>4391</v>
      </c>
      <c r="H128" s="780" t="s">
        <v>3605</v>
      </c>
      <c r="I128" s="781" t="s">
        <v>4661</v>
      </c>
    </row>
    <row r="129" spans="1:9" ht="25">
      <c r="A129" t="s">
        <v>5633</v>
      </c>
      <c r="B129">
        <f>COUNTIF($A$5:$A129,A129)</f>
        <v>1</v>
      </c>
      <c r="C129">
        <f t="shared" si="2"/>
        <v>2</v>
      </c>
      <c r="D129">
        <f t="shared" si="3"/>
        <v>9</v>
      </c>
      <c r="E129" t="e">
        <f>IF(IF($B129=1,VLOOKUP($A129,#REF!,5,FALSE),"")=0,"",IF($B129=1,VLOOKUP($A129,#REF!,5,FALSE),""))</f>
        <v>#REF!</v>
      </c>
      <c r="F129" s="779" t="s">
        <v>5783</v>
      </c>
      <c r="G129" s="780" t="s">
        <v>4393</v>
      </c>
      <c r="H129" s="780" t="s">
        <v>3606</v>
      </c>
      <c r="I129" s="781" t="s">
        <v>4661</v>
      </c>
    </row>
    <row r="130" spans="1:9">
      <c r="A130" t="s">
        <v>5634</v>
      </c>
      <c r="B130">
        <f>COUNTIF($A$5:$A130,A130)</f>
        <v>1</v>
      </c>
      <c r="C130">
        <f t="shared" si="2"/>
        <v>1</v>
      </c>
      <c r="D130">
        <f t="shared" si="3"/>
        <v>1</v>
      </c>
      <c r="E130" t="e">
        <f>IF(IF($B130=1,VLOOKUP($A130,#REF!,5,FALSE),"")=0,"",IF($B130=1,VLOOKUP($A130,#REF!,5,FALSE),""))</f>
        <v>#REF!</v>
      </c>
      <c r="F130" s="779" t="s">
        <v>5783</v>
      </c>
      <c r="G130" s="780" t="s">
        <v>2432</v>
      </c>
      <c r="H130" s="780" t="s">
        <v>4332</v>
      </c>
      <c r="I130" s="781" t="s">
        <v>4707</v>
      </c>
    </row>
    <row r="131" spans="1:9" ht="25">
      <c r="A131" t="s">
        <v>6397</v>
      </c>
      <c r="B131">
        <f>COUNTIF($A$5:$A131,A131)</f>
        <v>1</v>
      </c>
      <c r="C131">
        <f t="shared" si="2"/>
        <v>1</v>
      </c>
      <c r="D131">
        <f t="shared" si="3"/>
        <v>1</v>
      </c>
      <c r="E131" t="e">
        <f>IF(IF($B131=1,VLOOKUP($A131,#REF!,5,FALSE),"")=0,"",IF($B131=1,VLOOKUP($A131,#REF!,5,FALSE),""))</f>
        <v>#REF!</v>
      </c>
      <c r="F131" s="779" t="s">
        <v>5783</v>
      </c>
      <c r="G131" s="780" t="s">
        <v>2432</v>
      </c>
      <c r="H131" s="780" t="s">
        <v>4328</v>
      </c>
      <c r="I131" s="781" t="s">
        <v>4658</v>
      </c>
    </row>
    <row r="132" spans="1:9" ht="25">
      <c r="A132" t="s">
        <v>6696</v>
      </c>
      <c r="B132">
        <f>COUNTIF($A$5:$A132,A132)</f>
        <v>1</v>
      </c>
      <c r="C132">
        <f t="shared" si="2"/>
        <v>1</v>
      </c>
      <c r="D132">
        <f t="shared" si="3"/>
        <v>3</v>
      </c>
      <c r="E132" t="e">
        <f>IF(IF($B132=1,VLOOKUP($A132,#REF!,5,FALSE),"")=0,"",IF($B132=1,VLOOKUP($A132,#REF!,5,FALSE),""))</f>
        <v>#REF!</v>
      </c>
      <c r="F132" s="779" t="s">
        <v>5783</v>
      </c>
      <c r="G132" s="780" t="s">
        <v>5813</v>
      </c>
      <c r="H132" s="780" t="s">
        <v>6536</v>
      </c>
      <c r="I132" s="781" t="s">
        <v>4655</v>
      </c>
    </row>
    <row r="133" spans="1:9" ht="25">
      <c r="A133" t="s">
        <v>5759</v>
      </c>
      <c r="B133">
        <f>COUNTIF($A$5:$A133,A133)</f>
        <v>1</v>
      </c>
      <c r="C133">
        <f t="shared" ref="C133:C196" si="4">COUNTIF($H$5:$H$622,H133)</f>
        <v>1</v>
      </c>
      <c r="D133">
        <f t="shared" ref="D133:D196" si="5">COUNTIF($I$5:$I$622,I133)</f>
        <v>3</v>
      </c>
      <c r="E133" t="e">
        <f>IF(IF($B133=1,VLOOKUP($A133,#REF!,5,FALSE),"")=0,"",IF($B133=1,VLOOKUP($A133,#REF!,5,FALSE),""))</f>
        <v>#REF!</v>
      </c>
      <c r="F133" s="779" t="s">
        <v>5783</v>
      </c>
      <c r="G133" s="780" t="s">
        <v>4393</v>
      </c>
      <c r="H133" s="780" t="s">
        <v>5296</v>
      </c>
      <c r="I133" s="781" t="s">
        <v>4655</v>
      </c>
    </row>
    <row r="134" spans="1:9" ht="25">
      <c r="A134" t="s">
        <v>5758</v>
      </c>
      <c r="B134">
        <f>COUNTIF($A$5:$A134,A134)</f>
        <v>1</v>
      </c>
      <c r="C134">
        <f t="shared" si="4"/>
        <v>1</v>
      </c>
      <c r="D134">
        <f t="shared" si="5"/>
        <v>3</v>
      </c>
      <c r="E134" t="e">
        <f>IF(IF($B134=1,VLOOKUP($A134,#REF!,5,FALSE),"")=0,"",IF($B134=1,VLOOKUP($A134,#REF!,5,FALSE),""))</f>
        <v>#REF!</v>
      </c>
      <c r="F134" s="779" t="s">
        <v>5783</v>
      </c>
      <c r="G134" s="780" t="s">
        <v>4391</v>
      </c>
      <c r="H134" s="780" t="s">
        <v>5195</v>
      </c>
      <c r="I134" s="781" t="s">
        <v>4655</v>
      </c>
    </row>
    <row r="135" spans="1:9" ht="25">
      <c r="A135" t="s">
        <v>6694</v>
      </c>
      <c r="B135">
        <f>COUNTIF($A$5:$A135,A135)</f>
        <v>1</v>
      </c>
      <c r="C135">
        <f t="shared" si="4"/>
        <v>1</v>
      </c>
      <c r="D135">
        <f t="shared" si="5"/>
        <v>7</v>
      </c>
      <c r="E135" t="e">
        <f>IF(IF($B135=1,VLOOKUP($A135,#REF!,5,FALSE),"")=0,"",IF($B135=1,VLOOKUP($A135,#REF!,5,FALSE),""))</f>
        <v>#REF!</v>
      </c>
      <c r="F135" s="779" t="s">
        <v>5783</v>
      </c>
      <c r="G135" s="780" t="s">
        <v>91</v>
      </c>
      <c r="H135" s="780" t="s">
        <v>6537</v>
      </c>
      <c r="I135" s="781" t="s">
        <v>4660</v>
      </c>
    </row>
    <row r="136" spans="1:9" ht="25">
      <c r="A136" t="s">
        <v>6679</v>
      </c>
      <c r="B136">
        <f>COUNTIF($A$5:$A136,A136)</f>
        <v>1</v>
      </c>
      <c r="C136">
        <f t="shared" si="4"/>
        <v>2</v>
      </c>
      <c r="D136">
        <f t="shared" si="5"/>
        <v>7</v>
      </c>
      <c r="E136" t="e">
        <f>IF(IF($B136=1,VLOOKUP($A136,#REF!,5,FALSE),"")=0,"",IF($B136=1,VLOOKUP($A136,#REF!,5,FALSE),""))</f>
        <v>#REF!</v>
      </c>
      <c r="F136" s="779" t="s">
        <v>5783</v>
      </c>
      <c r="G136" s="780" t="s">
        <v>91</v>
      </c>
      <c r="H136" s="780" t="s">
        <v>3603</v>
      </c>
      <c r="I136" s="781" t="s">
        <v>4660</v>
      </c>
    </row>
    <row r="137" spans="1:9" ht="25">
      <c r="A137" t="s">
        <v>6680</v>
      </c>
      <c r="B137">
        <f>COUNTIF($A$5:$A137,A137)</f>
        <v>1</v>
      </c>
      <c r="C137">
        <f t="shared" si="4"/>
        <v>1</v>
      </c>
      <c r="D137">
        <f t="shared" si="5"/>
        <v>7</v>
      </c>
      <c r="E137" t="e">
        <f>IF(IF($B137=1,VLOOKUP($A137,#REF!,5,FALSE),"")=0,"",IF($B137=1,VLOOKUP($A137,#REF!,5,FALSE),""))</f>
        <v>#REF!</v>
      </c>
      <c r="F137" s="779" t="s">
        <v>5783</v>
      </c>
      <c r="G137" s="780" t="s">
        <v>91</v>
      </c>
      <c r="H137" s="780" t="s">
        <v>5816</v>
      </c>
      <c r="I137" s="781" t="s">
        <v>4660</v>
      </c>
    </row>
    <row r="138" spans="1:9" ht="25">
      <c r="A138" t="s">
        <v>6398</v>
      </c>
      <c r="B138">
        <f>COUNTIF($A$5:$A138,A138)</f>
        <v>1</v>
      </c>
      <c r="C138">
        <f t="shared" si="4"/>
        <v>2</v>
      </c>
      <c r="D138">
        <f t="shared" si="5"/>
        <v>1</v>
      </c>
      <c r="E138" t="e">
        <f>IF(IF($B138=1,VLOOKUP($A138,#REF!,5,FALSE),"")=0,"",IF($B138=1,VLOOKUP($A138,#REF!,5,FALSE),""))</f>
        <v>#REF!</v>
      </c>
      <c r="F138" s="779" t="s">
        <v>5783</v>
      </c>
      <c r="G138" s="780" t="s">
        <v>2584</v>
      </c>
      <c r="H138" s="780" t="s">
        <v>4405</v>
      </c>
      <c r="I138" s="781" t="s">
        <v>4659</v>
      </c>
    </row>
    <row r="139" spans="1:9" ht="25">
      <c r="A139" t="s">
        <v>6528</v>
      </c>
      <c r="B139">
        <f>COUNTIF($A$5:$A139,A139)</f>
        <v>1</v>
      </c>
      <c r="C139">
        <f t="shared" si="4"/>
        <v>1</v>
      </c>
      <c r="D139">
        <f t="shared" si="5"/>
        <v>3</v>
      </c>
      <c r="E139" t="e">
        <f>IF(IF($B139=1,VLOOKUP($A139,#REF!,5,FALSE),"")=0,"",IF($B139=1,VLOOKUP($A139,#REF!,5,FALSE),""))</f>
        <v>#REF!</v>
      </c>
      <c r="F139" s="779" t="s">
        <v>5783</v>
      </c>
      <c r="G139" s="780" t="s">
        <v>4392</v>
      </c>
      <c r="H139" s="780" t="s">
        <v>5295</v>
      </c>
      <c r="I139" s="781" t="s">
        <v>4656</v>
      </c>
    </row>
    <row r="140" spans="1:9" ht="25">
      <c r="A140" t="s">
        <v>6399</v>
      </c>
      <c r="B140">
        <f>COUNTIF($A$5:$A140,A140)</f>
        <v>1</v>
      </c>
      <c r="C140">
        <f t="shared" si="4"/>
        <v>3</v>
      </c>
      <c r="D140">
        <f t="shared" si="5"/>
        <v>9</v>
      </c>
      <c r="E140" t="e">
        <f>IF(IF($B140=1,VLOOKUP($A140,#REF!,5,FALSE),"")=0,"",IF($B140=1,VLOOKUP($A140,#REF!,5,FALSE),""))</f>
        <v>#REF!</v>
      </c>
      <c r="F140" s="779" t="s">
        <v>5783</v>
      </c>
      <c r="G140" s="780" t="s">
        <v>4392</v>
      </c>
      <c r="H140" s="780" t="s">
        <v>3604</v>
      </c>
      <c r="I140" s="781" t="s">
        <v>4661</v>
      </c>
    </row>
    <row r="141" spans="1:9" ht="25">
      <c r="A141" t="s">
        <v>5760</v>
      </c>
      <c r="B141">
        <f>COUNTIF($A$5:$A141,A141)</f>
        <v>1</v>
      </c>
      <c r="C141">
        <f t="shared" si="4"/>
        <v>2</v>
      </c>
      <c r="D141">
        <f t="shared" si="5"/>
        <v>9</v>
      </c>
      <c r="E141" t="e">
        <f>IF(IF($B141=1,VLOOKUP($A141,#REF!,5,FALSE),"")=0,"",IF($B141=1,VLOOKUP($A141,#REF!,5,FALSE),""))</f>
        <v>#REF!</v>
      </c>
      <c r="F141" s="779" t="s">
        <v>5783</v>
      </c>
      <c r="G141" s="780" t="s">
        <v>4391</v>
      </c>
      <c r="H141" s="780" t="s">
        <v>3605</v>
      </c>
      <c r="I141" s="781" t="s">
        <v>4661</v>
      </c>
    </row>
    <row r="142" spans="1:9" ht="25">
      <c r="A142" t="s">
        <v>6697</v>
      </c>
      <c r="B142">
        <f>COUNTIF($A$5:$A142,A142)</f>
        <v>1</v>
      </c>
      <c r="C142">
        <f t="shared" si="4"/>
        <v>1</v>
      </c>
      <c r="D142">
        <f t="shared" si="5"/>
        <v>9</v>
      </c>
      <c r="E142" t="e">
        <f>IF(IF($B142=1,VLOOKUP($A142,#REF!,5,FALSE),"")=0,"",IF($B142=1,VLOOKUP($A142,#REF!,5,FALSE),""))</f>
        <v>#REF!</v>
      </c>
      <c r="F142" s="779" t="s">
        <v>5783</v>
      </c>
      <c r="G142" s="780" t="s">
        <v>5813</v>
      </c>
      <c r="H142" s="780" t="s">
        <v>6538</v>
      </c>
      <c r="I142" s="781" t="s">
        <v>4661</v>
      </c>
    </row>
    <row r="143" spans="1:9" ht="25">
      <c r="A143" t="s">
        <v>5761</v>
      </c>
      <c r="B143">
        <f>COUNTIF($A$5:$A143,A143)</f>
        <v>1</v>
      </c>
      <c r="C143">
        <f t="shared" si="4"/>
        <v>2</v>
      </c>
      <c r="D143">
        <f t="shared" si="5"/>
        <v>9</v>
      </c>
      <c r="E143" t="e">
        <f>IF(IF($B143=1,VLOOKUP($A143,#REF!,5,FALSE),"")=0,"",IF($B143=1,VLOOKUP($A143,#REF!,5,FALSE),""))</f>
        <v>#REF!</v>
      </c>
      <c r="F143" s="779" t="s">
        <v>5783</v>
      </c>
      <c r="G143" s="780" t="s">
        <v>4393</v>
      </c>
      <c r="H143" s="780" t="s">
        <v>3606</v>
      </c>
      <c r="I143" s="781" t="s">
        <v>4661</v>
      </c>
    </row>
    <row r="144" spans="1:9" ht="25">
      <c r="A144" t="s">
        <v>6400</v>
      </c>
      <c r="B144">
        <f>COUNTIF($A$5:$A144,A144)</f>
        <v>1</v>
      </c>
      <c r="C144">
        <f t="shared" si="4"/>
        <v>1</v>
      </c>
      <c r="D144">
        <f t="shared" si="5"/>
        <v>9</v>
      </c>
      <c r="E144" t="e">
        <f>IF(IF($B144=1,VLOOKUP($A144,#REF!,5,FALSE),"")=0,"",IF($B144=1,VLOOKUP($A144,#REF!,5,FALSE),""))</f>
        <v>#REF!</v>
      </c>
      <c r="F144" s="779" t="s">
        <v>5783</v>
      </c>
      <c r="G144" s="780" t="s">
        <v>2584</v>
      </c>
      <c r="H144" s="780" t="s">
        <v>5817</v>
      </c>
      <c r="I144" s="781" t="s">
        <v>4661</v>
      </c>
    </row>
    <row r="145" spans="1:9" ht="25">
      <c r="A145" t="s">
        <v>6681</v>
      </c>
      <c r="B145">
        <f>COUNTIF($A$5:$A145,A145)</f>
        <v>1</v>
      </c>
      <c r="C145">
        <f t="shared" si="4"/>
        <v>2</v>
      </c>
      <c r="D145">
        <f t="shared" si="5"/>
        <v>7</v>
      </c>
      <c r="E145" t="e">
        <f>IF(IF($B145=1,VLOOKUP($A145,#REF!,5,FALSE),"")=0,"",IF($B145=1,VLOOKUP($A145,#REF!,5,FALSE),""))</f>
        <v>#REF!</v>
      </c>
      <c r="F145" s="779" t="s">
        <v>5783</v>
      </c>
      <c r="G145" s="780" t="s">
        <v>91</v>
      </c>
      <c r="H145" s="780" t="s">
        <v>3602</v>
      </c>
      <c r="I145" s="781" t="s">
        <v>4660</v>
      </c>
    </row>
    <row r="146" spans="1:9" ht="25">
      <c r="A146" t="s">
        <v>6682</v>
      </c>
      <c r="B146">
        <f>COUNTIF($A$5:$A146,A146)</f>
        <v>1</v>
      </c>
      <c r="C146">
        <f t="shared" si="4"/>
        <v>1</v>
      </c>
      <c r="D146">
        <f t="shared" si="5"/>
        <v>7</v>
      </c>
      <c r="E146" t="e">
        <f>IF(IF($B146=1,VLOOKUP($A146,#REF!,5,FALSE),"")=0,"",IF($B146=1,VLOOKUP($A146,#REF!,5,FALSE),""))</f>
        <v>#REF!</v>
      </c>
      <c r="F146" s="779" t="s">
        <v>5783</v>
      </c>
      <c r="G146" s="780" t="s">
        <v>91</v>
      </c>
      <c r="H146" s="780" t="s">
        <v>5818</v>
      </c>
      <c r="I146" s="781" t="s">
        <v>4660</v>
      </c>
    </row>
    <row r="147" spans="1:9" ht="25">
      <c r="A147" t="s">
        <v>6219</v>
      </c>
      <c r="B147">
        <f>COUNTIF($A$5:$A147,A147)</f>
        <v>1</v>
      </c>
      <c r="C147">
        <f t="shared" si="4"/>
        <v>1</v>
      </c>
      <c r="D147">
        <f t="shared" si="5"/>
        <v>1</v>
      </c>
      <c r="E147" t="e">
        <f>IF(IF($B147=1,VLOOKUP($A147,#REF!,5,FALSE),"")=0,"",IF($B147=1,VLOOKUP($A147,#REF!,5,FALSE),""))</f>
        <v>#REF!</v>
      </c>
      <c r="F147" s="788" t="s">
        <v>5782</v>
      </c>
      <c r="G147" s="789" t="s">
        <v>91</v>
      </c>
      <c r="H147" s="789" t="s">
        <v>4491</v>
      </c>
      <c r="I147" s="790" t="s">
        <v>5167</v>
      </c>
    </row>
    <row r="148" spans="1:9" ht="37.5">
      <c r="A148" t="s">
        <v>6221</v>
      </c>
      <c r="B148">
        <f>COUNTIF($A$5:$A148,A148)</f>
        <v>1</v>
      </c>
      <c r="C148">
        <f t="shared" si="4"/>
        <v>1</v>
      </c>
      <c r="D148">
        <f t="shared" si="5"/>
        <v>1</v>
      </c>
      <c r="E148" t="e">
        <f>IF(IF($B148=1,VLOOKUP($A148,#REF!,5,FALSE),"")=0,"",IF($B148=1,VLOOKUP($A148,#REF!,5,FALSE),""))</f>
        <v>#REF!</v>
      </c>
      <c r="F148" s="788" t="s">
        <v>5782</v>
      </c>
      <c r="G148" s="789" t="s">
        <v>91</v>
      </c>
      <c r="H148" s="789" t="s">
        <v>4288</v>
      </c>
      <c r="I148" s="790" t="s">
        <v>5124</v>
      </c>
    </row>
    <row r="149" spans="1:9" ht="37.5">
      <c r="A149" t="s">
        <v>6224</v>
      </c>
      <c r="B149">
        <f>COUNTIF($A$5:$A149,A149)</f>
        <v>1</v>
      </c>
      <c r="C149">
        <f t="shared" si="4"/>
        <v>2</v>
      </c>
      <c r="D149" t="e">
        <f t="shared" si="5"/>
        <v>#VALUE!</v>
      </c>
      <c r="E149" t="e">
        <f>IF(IF($B149=1,VLOOKUP($A149,#REF!,5,FALSE),"")=0,"",IF($B149=1,VLOOKUP($A149,#REF!,5,FALSE),""))</f>
        <v>#REF!</v>
      </c>
      <c r="F149" s="788" t="s">
        <v>5782</v>
      </c>
      <c r="G149" s="789" t="s">
        <v>2582</v>
      </c>
      <c r="H149" s="789" t="s">
        <v>4259</v>
      </c>
      <c r="I149" s="790" t="s">
        <v>5086</v>
      </c>
    </row>
    <row r="150" spans="1:9" ht="25">
      <c r="A150" t="s">
        <v>6228</v>
      </c>
      <c r="B150">
        <f>COUNTIF($A$5:$A150,A150)</f>
        <v>1</v>
      </c>
      <c r="C150">
        <f t="shared" si="4"/>
        <v>1</v>
      </c>
      <c r="D150">
        <f t="shared" si="5"/>
        <v>1</v>
      </c>
      <c r="E150" t="e">
        <f>IF(IF($B150=1,VLOOKUP($A150,#REF!,5,FALSE),"")=0,"",IF($B150=1,VLOOKUP($A150,#REF!,5,FALSE),""))</f>
        <v>#REF!</v>
      </c>
      <c r="F150" s="788" t="s">
        <v>5782</v>
      </c>
      <c r="G150" s="789" t="s">
        <v>3054</v>
      </c>
      <c r="H150" s="789" t="s">
        <v>4246</v>
      </c>
      <c r="I150" s="790" t="s">
        <v>5108</v>
      </c>
    </row>
    <row r="151" spans="1:9" ht="37.5">
      <c r="A151" t="s">
        <v>6231</v>
      </c>
      <c r="B151">
        <f>COUNTIF($A$5:$A151,A151)</f>
        <v>1</v>
      </c>
      <c r="C151">
        <f t="shared" si="4"/>
        <v>1</v>
      </c>
      <c r="D151" t="e">
        <f t="shared" si="5"/>
        <v>#VALUE!</v>
      </c>
      <c r="E151" t="e">
        <f>IF(IF($B151=1,VLOOKUP($A151,#REF!,5,FALSE),"")=0,"",IF($B151=1,VLOOKUP($A151,#REF!,5,FALSE),""))</f>
        <v>#REF!</v>
      </c>
      <c r="F151" s="788" t="s">
        <v>5782</v>
      </c>
      <c r="G151" s="789" t="s">
        <v>91</v>
      </c>
      <c r="H151" s="789" t="s">
        <v>4276</v>
      </c>
      <c r="I151" s="790" t="s">
        <v>5120</v>
      </c>
    </row>
    <row r="152" spans="1:9">
      <c r="A152" t="s">
        <v>6233</v>
      </c>
      <c r="B152">
        <f>COUNTIF($A$5:$A152,A152)</f>
        <v>1</v>
      </c>
      <c r="C152">
        <f t="shared" si="4"/>
        <v>1</v>
      </c>
      <c r="D152">
        <f t="shared" si="5"/>
        <v>1</v>
      </c>
      <c r="E152" t="e">
        <f>IF(IF($B152=1,VLOOKUP($A152,#REF!,5,FALSE),"")=0,"",IF($B152=1,VLOOKUP($A152,#REF!,5,FALSE),""))</f>
        <v>#REF!</v>
      </c>
      <c r="F152" s="788" t="s">
        <v>5782</v>
      </c>
      <c r="G152" s="789" t="s">
        <v>1207</v>
      </c>
      <c r="H152" s="789" t="s">
        <v>2928</v>
      </c>
      <c r="I152" s="790" t="s">
        <v>5250</v>
      </c>
    </row>
    <row r="153" spans="1:9" ht="25">
      <c r="A153" t="s">
        <v>6236</v>
      </c>
      <c r="B153">
        <f>COUNTIF($A$5:$A153,A153)</f>
        <v>1</v>
      </c>
      <c r="C153">
        <f t="shared" si="4"/>
        <v>1</v>
      </c>
      <c r="D153">
        <f t="shared" si="5"/>
        <v>1</v>
      </c>
      <c r="E153" t="e">
        <f>IF(IF($B153=1,VLOOKUP($A153,#REF!,5,FALSE),"")=0,"",IF($B153=1,VLOOKUP($A153,#REF!,5,FALSE),""))</f>
        <v>#REF!</v>
      </c>
      <c r="F153" s="788" t="s">
        <v>5782</v>
      </c>
      <c r="G153" s="789" t="s">
        <v>2570</v>
      </c>
      <c r="H153" s="789" t="s">
        <v>3412</v>
      </c>
      <c r="I153" s="790" t="s">
        <v>5055</v>
      </c>
    </row>
    <row r="154" spans="1:9" ht="25">
      <c r="A154" t="s">
        <v>6239</v>
      </c>
      <c r="B154">
        <f>COUNTIF($A$5:$A154,A154)</f>
        <v>1</v>
      </c>
      <c r="C154">
        <f t="shared" si="4"/>
        <v>2</v>
      </c>
      <c r="D154">
        <f t="shared" si="5"/>
        <v>1</v>
      </c>
      <c r="E154" t="e">
        <f>IF(IF($B154=1,VLOOKUP($A154,#REF!,5,FALSE),"")=0,"",IF($B154=1,VLOOKUP($A154,#REF!,5,FALSE),""))</f>
        <v>#REF!</v>
      </c>
      <c r="F154" s="788" t="s">
        <v>5782</v>
      </c>
      <c r="G154" s="789" t="s">
        <v>91</v>
      </c>
      <c r="H154" s="789" t="s">
        <v>6087</v>
      </c>
      <c r="I154" s="790" t="s">
        <v>5125</v>
      </c>
    </row>
    <row r="155" spans="1:9" ht="25">
      <c r="A155" t="s">
        <v>6240</v>
      </c>
      <c r="B155">
        <f>COUNTIF($A$5:$A155,A155)</f>
        <v>1</v>
      </c>
      <c r="C155">
        <f t="shared" si="4"/>
        <v>1</v>
      </c>
      <c r="D155">
        <f t="shared" si="5"/>
        <v>1</v>
      </c>
      <c r="E155" t="e">
        <f>IF(IF($B155=1,VLOOKUP($A155,#REF!,5,FALSE),"")=0,"",IF($B155=1,VLOOKUP($A155,#REF!,5,FALSE),""))</f>
        <v>#REF!</v>
      </c>
      <c r="F155" s="788" t="s">
        <v>5782</v>
      </c>
      <c r="G155" s="789" t="s">
        <v>91</v>
      </c>
      <c r="H155" s="789" t="s">
        <v>4298</v>
      </c>
      <c r="I155" s="790" t="s">
        <v>5169</v>
      </c>
    </row>
    <row r="156" spans="1:9" ht="50">
      <c r="A156" t="s">
        <v>6241</v>
      </c>
      <c r="B156">
        <f>COUNTIF($A$5:$A156,A156)</f>
        <v>1</v>
      </c>
      <c r="C156">
        <f t="shared" si="4"/>
        <v>1</v>
      </c>
      <c r="D156" t="e">
        <f t="shared" si="5"/>
        <v>#VALUE!</v>
      </c>
      <c r="E156" t="e">
        <f>IF(IF($B156=1,VLOOKUP($A156,#REF!,5,FALSE),"")=0,"",IF($B156=1,VLOOKUP($A156,#REF!,5,FALSE),""))</f>
        <v>#REF!</v>
      </c>
      <c r="F156" s="788" t="s">
        <v>5782</v>
      </c>
      <c r="G156" s="789" t="s">
        <v>91</v>
      </c>
      <c r="H156" s="789" t="s">
        <v>4307</v>
      </c>
      <c r="I156" s="790" t="s">
        <v>5058</v>
      </c>
    </row>
    <row r="157" spans="1:9" ht="50">
      <c r="A157" t="s">
        <v>6242</v>
      </c>
      <c r="B157">
        <f>COUNTIF($A$5:$A157,A157)</f>
        <v>1</v>
      </c>
      <c r="C157">
        <f t="shared" si="4"/>
        <v>1</v>
      </c>
      <c r="D157" t="e">
        <f t="shared" si="5"/>
        <v>#VALUE!</v>
      </c>
      <c r="E157" t="e">
        <f>IF(IF($B157=1,VLOOKUP($A157,#REF!,5,FALSE),"")=0,"",IF($B157=1,VLOOKUP($A157,#REF!,5,FALSE),""))</f>
        <v>#REF!</v>
      </c>
      <c r="F157" s="788" t="s">
        <v>5782</v>
      </c>
      <c r="G157" s="789" t="s">
        <v>91</v>
      </c>
      <c r="H157" s="789" t="s">
        <v>4304</v>
      </c>
      <c r="I157" s="790" t="s">
        <v>5090</v>
      </c>
    </row>
    <row r="158" spans="1:9">
      <c r="A158" t="s">
        <v>6252</v>
      </c>
      <c r="B158">
        <f>COUNTIF($A$5:$A158,A158)</f>
        <v>1</v>
      </c>
      <c r="C158">
        <f t="shared" si="4"/>
        <v>1</v>
      </c>
      <c r="D158">
        <f t="shared" si="5"/>
        <v>1</v>
      </c>
      <c r="E158" t="e">
        <f>IF(IF($B158=1,VLOOKUP($A158,#REF!,5,FALSE),"")=0,"",IF($B158=1,VLOOKUP($A158,#REF!,5,FALSE),""))</f>
        <v>#REF!</v>
      </c>
      <c r="F158" s="788" t="s">
        <v>5782</v>
      </c>
      <c r="G158" s="789" t="s">
        <v>2426</v>
      </c>
      <c r="H158" s="789" t="s">
        <v>4318</v>
      </c>
      <c r="I158" s="790" t="s">
        <v>4486</v>
      </c>
    </row>
    <row r="159" spans="1:9" ht="37.5">
      <c r="A159" t="s">
        <v>6254</v>
      </c>
      <c r="B159">
        <f>COUNTIF($A$5:$A159,A159)</f>
        <v>1</v>
      </c>
      <c r="C159">
        <f t="shared" si="4"/>
        <v>1</v>
      </c>
      <c r="D159">
        <f t="shared" si="5"/>
        <v>1</v>
      </c>
      <c r="E159" t="e">
        <f>IF(IF($B159=1,VLOOKUP($A159,#REF!,5,FALSE),"")=0,"",IF($B159=1,VLOOKUP($A159,#REF!,5,FALSE),""))</f>
        <v>#REF!</v>
      </c>
      <c r="F159" s="788" t="s">
        <v>5782</v>
      </c>
      <c r="G159" s="789" t="s">
        <v>2582</v>
      </c>
      <c r="H159" s="789" t="s">
        <v>4257</v>
      </c>
      <c r="I159" s="790" t="s">
        <v>5160</v>
      </c>
    </row>
    <row r="160" spans="1:9" ht="37.5">
      <c r="A160" t="s">
        <v>6255</v>
      </c>
      <c r="B160">
        <f>COUNTIF($A$5:$A160,A160)</f>
        <v>1</v>
      </c>
      <c r="C160">
        <f t="shared" si="4"/>
        <v>1</v>
      </c>
      <c r="D160">
        <f t="shared" si="5"/>
        <v>1</v>
      </c>
      <c r="E160" t="e">
        <f>IF(IF($B160=1,VLOOKUP($A160,#REF!,5,FALSE),"")=0,"",IF($B160=1,VLOOKUP($A160,#REF!,5,FALSE),""))</f>
        <v>#REF!</v>
      </c>
      <c r="F160" s="788" t="s">
        <v>5782</v>
      </c>
      <c r="G160" s="789" t="s">
        <v>2586</v>
      </c>
      <c r="H160" s="789" t="s">
        <v>4261</v>
      </c>
      <c r="I160" s="790" t="s">
        <v>5095</v>
      </c>
    </row>
    <row r="161" spans="1:9">
      <c r="A161" t="s">
        <v>6262</v>
      </c>
      <c r="B161">
        <f>COUNTIF($A$5:$A161,A161)</f>
        <v>1</v>
      </c>
      <c r="C161">
        <f t="shared" si="4"/>
        <v>1</v>
      </c>
      <c r="D161">
        <f t="shared" si="5"/>
        <v>2</v>
      </c>
      <c r="E161" t="e">
        <f>IF(IF($B161=1,VLOOKUP($A161,#REF!,5,FALSE),"")=0,"",IF($B161=1,VLOOKUP($A161,#REF!,5,FALSE),""))</f>
        <v>#REF!</v>
      </c>
      <c r="F161" s="788" t="s">
        <v>5782</v>
      </c>
      <c r="G161" s="789" t="s">
        <v>1208</v>
      </c>
      <c r="H161" s="789" t="s">
        <v>2534</v>
      </c>
      <c r="I161" s="790" t="s">
        <v>5235</v>
      </c>
    </row>
    <row r="162" spans="1:9">
      <c r="A162" t="s">
        <v>6263</v>
      </c>
      <c r="B162">
        <f>COUNTIF($A$5:$A162,A162)</f>
        <v>1</v>
      </c>
      <c r="C162">
        <f t="shared" si="4"/>
        <v>1</v>
      </c>
      <c r="D162">
        <f t="shared" si="5"/>
        <v>1</v>
      </c>
      <c r="E162" t="e">
        <f>IF(IF($B162=1,VLOOKUP($A162,#REF!,5,FALSE),"")=0,"",IF($B162=1,VLOOKUP($A162,#REF!,5,FALSE),""))</f>
        <v>#REF!</v>
      </c>
      <c r="F162" s="788" t="s">
        <v>5782</v>
      </c>
      <c r="G162" s="789" t="s">
        <v>2426</v>
      </c>
      <c r="H162" s="789" t="s">
        <v>2535</v>
      </c>
      <c r="I162" s="790" t="s">
        <v>5019</v>
      </c>
    </row>
    <row r="163" spans="1:9">
      <c r="A163" t="s">
        <v>6296</v>
      </c>
      <c r="B163">
        <f>COUNTIF($A$5:$A163,A163)</f>
        <v>1</v>
      </c>
      <c r="C163">
        <f t="shared" si="4"/>
        <v>1</v>
      </c>
      <c r="D163">
        <f t="shared" si="5"/>
        <v>2</v>
      </c>
      <c r="E163" t="e">
        <f>IF(IF($B163=1,VLOOKUP($A163,#REF!,5,FALSE),"")=0,"",IF($B163=1,VLOOKUP($A163,#REF!,5,FALSE),""))</f>
        <v>#REF!</v>
      </c>
      <c r="F163" s="788" t="s">
        <v>5782</v>
      </c>
      <c r="G163" s="789" t="s">
        <v>91</v>
      </c>
      <c r="H163" s="789" t="s">
        <v>6120</v>
      </c>
      <c r="I163" s="790" t="s">
        <v>5005</v>
      </c>
    </row>
    <row r="164" spans="1:9">
      <c r="A164" t="s">
        <v>6297</v>
      </c>
      <c r="B164">
        <f>COUNTIF($A$5:$A164,A164)</f>
        <v>1</v>
      </c>
      <c r="C164">
        <f t="shared" si="4"/>
        <v>1</v>
      </c>
      <c r="D164">
        <f t="shared" si="5"/>
        <v>2</v>
      </c>
      <c r="E164" t="e">
        <f>IF(IF($B164=1,VLOOKUP($A164,#REF!,5,FALSE),"")=0,"",IF($B164=1,VLOOKUP($A164,#REF!,5,FALSE),""))</f>
        <v>#REF!</v>
      </c>
      <c r="F164" s="788" t="s">
        <v>5782</v>
      </c>
      <c r="G164" s="789" t="s">
        <v>91</v>
      </c>
      <c r="H164" s="789" t="s">
        <v>4275</v>
      </c>
      <c r="I164" s="790" t="s">
        <v>5005</v>
      </c>
    </row>
    <row r="165" spans="1:9">
      <c r="A165" t="s">
        <v>6298</v>
      </c>
      <c r="B165">
        <f>COUNTIF($A$5:$A165,A165)</f>
        <v>1</v>
      </c>
      <c r="C165">
        <f t="shared" si="4"/>
        <v>1</v>
      </c>
      <c r="D165">
        <f t="shared" si="5"/>
        <v>1</v>
      </c>
      <c r="E165" t="e">
        <f>IF(IF($B165=1,VLOOKUP($A165,#REF!,5,FALSE),"")=0,"",IF($B165=1,VLOOKUP($A165,#REF!,5,FALSE),""))</f>
        <v>#REF!</v>
      </c>
      <c r="F165" s="788" t="s">
        <v>5782</v>
      </c>
      <c r="G165" s="789" t="s">
        <v>1207</v>
      </c>
      <c r="H165" s="789" t="s">
        <v>961</v>
      </c>
      <c r="I165" s="790" t="s">
        <v>4689</v>
      </c>
    </row>
    <row r="166" spans="1:9" ht="25">
      <c r="A166" t="s">
        <v>6315</v>
      </c>
      <c r="B166">
        <f>COUNTIF($A$5:$A166,A166)</f>
        <v>1</v>
      </c>
      <c r="C166">
        <f t="shared" si="4"/>
        <v>1</v>
      </c>
      <c r="D166">
        <f t="shared" si="5"/>
        <v>2</v>
      </c>
      <c r="E166" t="e">
        <f>IF(IF($B166=1,VLOOKUP($A166,#REF!,5,FALSE),"")=0,"",IF($B166=1,VLOOKUP($A166,#REF!,5,FALSE),""))</f>
        <v>#REF!</v>
      </c>
      <c r="F166" s="788" t="s">
        <v>5782</v>
      </c>
      <c r="G166" s="789" t="s">
        <v>1208</v>
      </c>
      <c r="H166" s="789" t="s">
        <v>6136</v>
      </c>
      <c r="I166" s="790" t="s">
        <v>5241</v>
      </c>
    </row>
    <row r="167" spans="1:9">
      <c r="A167" t="s">
        <v>6316</v>
      </c>
      <c r="B167">
        <f>COUNTIF($A$5:$A167,A167)</f>
        <v>1</v>
      </c>
      <c r="C167">
        <f t="shared" si="4"/>
        <v>1</v>
      </c>
      <c r="D167">
        <f t="shared" si="5"/>
        <v>13</v>
      </c>
      <c r="E167" t="e">
        <f>IF(IF($B167=1,VLOOKUP($A167,#REF!,5,FALSE),"")=0,"",IF($B167=1,VLOOKUP($A167,#REF!,5,FALSE),""))</f>
        <v>#REF!</v>
      </c>
      <c r="F167" s="788" t="s">
        <v>5782</v>
      </c>
      <c r="G167" s="789" t="s">
        <v>1207</v>
      </c>
      <c r="H167" s="789" t="s">
        <v>6137</v>
      </c>
      <c r="I167" s="790" t="s">
        <v>5001</v>
      </c>
    </row>
    <row r="168" spans="1:9">
      <c r="A168" t="s">
        <v>6317</v>
      </c>
      <c r="B168">
        <f>COUNTIF($A$5:$A168,A168)</f>
        <v>1</v>
      </c>
      <c r="C168">
        <f t="shared" si="4"/>
        <v>1</v>
      </c>
      <c r="D168">
        <f t="shared" si="5"/>
        <v>13</v>
      </c>
      <c r="E168" t="e">
        <f>IF(IF($B168=1,VLOOKUP($A168,#REF!,5,FALSE),"")=0,"",IF($B168=1,VLOOKUP($A168,#REF!,5,FALSE),""))</f>
        <v>#REF!</v>
      </c>
      <c r="F168" s="788" t="s">
        <v>5782</v>
      </c>
      <c r="G168" s="789" t="s">
        <v>1207</v>
      </c>
      <c r="H168" s="789" t="s">
        <v>6138</v>
      </c>
      <c r="I168" s="790" t="s">
        <v>5001</v>
      </c>
    </row>
    <row r="169" spans="1:9">
      <c r="A169" t="s">
        <v>6318</v>
      </c>
      <c r="B169">
        <f>COUNTIF($A$5:$A169,A169)</f>
        <v>1</v>
      </c>
      <c r="C169">
        <f t="shared" si="4"/>
        <v>1</v>
      </c>
      <c r="D169">
        <f t="shared" si="5"/>
        <v>13</v>
      </c>
      <c r="E169" t="e">
        <f>IF(IF($B169=1,VLOOKUP($A169,#REF!,5,FALSE),"")=0,"",IF($B169=1,VLOOKUP($A169,#REF!,5,FALSE),""))</f>
        <v>#REF!</v>
      </c>
      <c r="F169" s="788" t="s">
        <v>5782</v>
      </c>
      <c r="G169" s="789" t="s">
        <v>91</v>
      </c>
      <c r="H169" s="789" t="s">
        <v>4929</v>
      </c>
      <c r="I169" s="790" t="s">
        <v>5001</v>
      </c>
    </row>
    <row r="170" spans="1:9">
      <c r="A170" t="s">
        <v>6319</v>
      </c>
      <c r="B170">
        <f>COUNTIF($A$5:$A170,A170)</f>
        <v>1</v>
      </c>
      <c r="C170">
        <f t="shared" si="4"/>
        <v>1</v>
      </c>
      <c r="D170">
        <f t="shared" si="5"/>
        <v>13</v>
      </c>
      <c r="E170" t="e">
        <f>IF(IF($B170=1,VLOOKUP($A170,#REF!,5,FALSE),"")=0,"",IF($B170=1,VLOOKUP($A170,#REF!,5,FALSE),""))</f>
        <v>#REF!</v>
      </c>
      <c r="F170" s="788" t="s">
        <v>5782</v>
      </c>
      <c r="G170" s="789" t="s">
        <v>91</v>
      </c>
      <c r="H170" s="789" t="s">
        <v>4930</v>
      </c>
      <c r="I170" s="790" t="s">
        <v>5001</v>
      </c>
    </row>
    <row r="171" spans="1:9">
      <c r="A171" t="s">
        <v>6333</v>
      </c>
      <c r="B171">
        <f>COUNTIF($A$5:$A171,A171)</f>
        <v>1</v>
      </c>
      <c r="C171">
        <f t="shared" si="4"/>
        <v>1</v>
      </c>
      <c r="D171">
        <f t="shared" si="5"/>
        <v>1</v>
      </c>
      <c r="E171" t="e">
        <f>IF(IF($B171=1,VLOOKUP($A171,#REF!,5,FALSE),"")=0,"",IF($B171=1,VLOOKUP($A171,#REF!,5,FALSE),""))</f>
        <v>#REF!</v>
      </c>
      <c r="F171" s="788" t="s">
        <v>5782</v>
      </c>
      <c r="G171" s="789" t="s">
        <v>2582</v>
      </c>
      <c r="H171" s="789" t="s">
        <v>4482</v>
      </c>
      <c r="I171" s="790" t="s">
        <v>4697</v>
      </c>
    </row>
    <row r="172" spans="1:9">
      <c r="A172" t="s">
        <v>6335</v>
      </c>
      <c r="B172">
        <f>COUNTIF($A$5:$A172,A172)</f>
        <v>1</v>
      </c>
      <c r="C172">
        <f t="shared" si="4"/>
        <v>1</v>
      </c>
      <c r="D172">
        <f t="shared" si="5"/>
        <v>13</v>
      </c>
      <c r="E172" t="e">
        <f>IF(IF($B172=1,VLOOKUP($A172,#REF!,5,FALSE),"")=0,"",IF($B172=1,VLOOKUP($A172,#REF!,5,FALSE),""))</f>
        <v>#REF!</v>
      </c>
      <c r="F172" s="788" t="s">
        <v>5782</v>
      </c>
      <c r="G172" s="789" t="s">
        <v>1208</v>
      </c>
      <c r="H172" s="789" t="s">
        <v>6153</v>
      </c>
      <c r="I172" s="790" t="s">
        <v>5001</v>
      </c>
    </row>
    <row r="173" spans="1:9">
      <c r="A173" t="s">
        <v>6349</v>
      </c>
      <c r="B173">
        <f>COUNTIF($A$5:$A173,A173)</f>
        <v>1</v>
      </c>
      <c r="C173">
        <f t="shared" si="4"/>
        <v>1</v>
      </c>
      <c r="D173">
        <f t="shared" si="5"/>
        <v>1</v>
      </c>
      <c r="E173" t="e">
        <f>IF(IF($B173=1,VLOOKUP($A173,#REF!,5,FALSE),"")=0,"",IF($B173=1,VLOOKUP($A173,#REF!,5,FALSE),""))</f>
        <v>#REF!</v>
      </c>
      <c r="F173" s="788" t="s">
        <v>5782</v>
      </c>
      <c r="G173" s="789" t="s">
        <v>91</v>
      </c>
      <c r="H173" s="789" t="s">
        <v>2931</v>
      </c>
      <c r="I173" s="790" t="s">
        <v>5011</v>
      </c>
    </row>
    <row r="174" spans="1:9">
      <c r="A174" t="s">
        <v>6351</v>
      </c>
      <c r="B174">
        <f>COUNTIF($A$5:$A174,A174)</f>
        <v>1</v>
      </c>
      <c r="C174">
        <f t="shared" si="4"/>
        <v>1</v>
      </c>
      <c r="D174">
        <f t="shared" si="5"/>
        <v>1</v>
      </c>
      <c r="E174" t="e">
        <f>IF(IF($B174=1,VLOOKUP($A174,#REF!,5,FALSE),"")=0,"",IF($B174=1,VLOOKUP($A174,#REF!,5,FALSE),""))</f>
        <v>#REF!</v>
      </c>
      <c r="F174" s="788" t="s">
        <v>5782</v>
      </c>
      <c r="G174" s="789" t="s">
        <v>91</v>
      </c>
      <c r="H174" s="789" t="s">
        <v>2538</v>
      </c>
      <c r="I174" s="790" t="s">
        <v>5313</v>
      </c>
    </row>
    <row r="175" spans="1:9">
      <c r="A175" t="s">
        <v>6352</v>
      </c>
      <c r="B175">
        <f>COUNTIF($A$5:$A175,A175)</f>
        <v>1</v>
      </c>
      <c r="C175">
        <f t="shared" si="4"/>
        <v>1</v>
      </c>
      <c r="D175">
        <f t="shared" si="5"/>
        <v>4</v>
      </c>
      <c r="E175" t="e">
        <f>IF(IF($B175=1,VLOOKUP($A175,#REF!,5,FALSE),"")=0,"",IF($B175=1,VLOOKUP($A175,#REF!,5,FALSE),""))</f>
        <v>#REF!</v>
      </c>
      <c r="F175" s="788" t="s">
        <v>5782</v>
      </c>
      <c r="G175" s="789" t="s">
        <v>91</v>
      </c>
      <c r="H175" s="789" t="s">
        <v>2539</v>
      </c>
      <c r="I175" s="790" t="s">
        <v>5012</v>
      </c>
    </row>
    <row r="176" spans="1:9">
      <c r="A176" t="s">
        <v>6353</v>
      </c>
      <c r="B176">
        <f>COUNTIF($A$5:$A176,A176)</f>
        <v>1</v>
      </c>
      <c r="C176">
        <f t="shared" si="4"/>
        <v>1</v>
      </c>
      <c r="D176">
        <f t="shared" si="5"/>
        <v>4</v>
      </c>
      <c r="E176" t="e">
        <f>IF(IF($B176=1,VLOOKUP($A176,#REF!,5,FALSE),"")=0,"",IF($B176=1,VLOOKUP($A176,#REF!,5,FALSE),""))</f>
        <v>#REF!</v>
      </c>
      <c r="F176" s="788" t="s">
        <v>5782</v>
      </c>
      <c r="G176" s="789" t="s">
        <v>91</v>
      </c>
      <c r="H176" s="789" t="s">
        <v>2540</v>
      </c>
      <c r="I176" s="790" t="s">
        <v>5012</v>
      </c>
    </row>
    <row r="177" spans="1:9">
      <c r="A177" t="s">
        <v>6354</v>
      </c>
      <c r="B177">
        <f>COUNTIF($A$5:$A177,A177)</f>
        <v>1</v>
      </c>
      <c r="C177">
        <f t="shared" si="4"/>
        <v>1</v>
      </c>
      <c r="D177">
        <f t="shared" si="5"/>
        <v>4</v>
      </c>
      <c r="E177" t="e">
        <f>IF(IF($B177=1,VLOOKUP($A177,#REF!,5,FALSE),"")=0,"",IF($B177=1,VLOOKUP($A177,#REF!,5,FALSE),""))</f>
        <v>#REF!</v>
      </c>
      <c r="F177" s="788" t="s">
        <v>5782</v>
      </c>
      <c r="G177" s="789" t="s">
        <v>91</v>
      </c>
      <c r="H177" s="789" t="s">
        <v>2541</v>
      </c>
      <c r="I177" s="790" t="s">
        <v>5012</v>
      </c>
    </row>
    <row r="178" spans="1:9">
      <c r="A178" t="s">
        <v>6535</v>
      </c>
      <c r="B178">
        <f>COUNTIF($A$5:$A178,A178)</f>
        <v>1</v>
      </c>
      <c r="C178">
        <f t="shared" si="4"/>
        <v>1</v>
      </c>
      <c r="D178">
        <f t="shared" si="5"/>
        <v>4</v>
      </c>
      <c r="E178" t="e">
        <f>IF(IF($B178=1,VLOOKUP($A178,#REF!,5,FALSE),"")=0,"",IF($B178=1,VLOOKUP($A178,#REF!,5,FALSE),""))</f>
        <v>#REF!</v>
      </c>
      <c r="F178" s="788" t="s">
        <v>5782</v>
      </c>
      <c r="G178" s="789" t="s">
        <v>5813</v>
      </c>
      <c r="H178" s="789" t="s">
        <v>6167</v>
      </c>
      <c r="I178" s="790" t="s">
        <v>5012</v>
      </c>
    </row>
    <row r="179" spans="1:9">
      <c r="A179" t="s">
        <v>6355</v>
      </c>
      <c r="B179">
        <f>COUNTIF($A$5:$A179,A179)</f>
        <v>1</v>
      </c>
      <c r="C179">
        <f t="shared" si="4"/>
        <v>1</v>
      </c>
      <c r="D179">
        <f t="shared" si="5"/>
        <v>1</v>
      </c>
      <c r="E179" t="e">
        <f>IF(IF($B179=1,VLOOKUP($A179,#REF!,5,FALSE),"")=0,"",IF($B179=1,VLOOKUP($A179,#REF!,5,FALSE),""))</f>
        <v>#REF!</v>
      </c>
      <c r="F179" s="788" t="s">
        <v>5782</v>
      </c>
      <c r="G179" s="789" t="s">
        <v>91</v>
      </c>
      <c r="H179" s="789" t="s">
        <v>2542</v>
      </c>
      <c r="I179" s="790" t="s">
        <v>5013</v>
      </c>
    </row>
    <row r="180" spans="1:9">
      <c r="A180" t="s">
        <v>6358</v>
      </c>
      <c r="B180">
        <f>COUNTIF($A$5:$A180,A180)</f>
        <v>1</v>
      </c>
      <c r="C180">
        <f t="shared" si="4"/>
        <v>1</v>
      </c>
      <c r="D180">
        <f t="shared" si="5"/>
        <v>13</v>
      </c>
      <c r="E180" t="e">
        <f>IF(IF($B180=1,VLOOKUP($A180,#REF!,5,FALSE),"")=0,"",IF($B180=1,VLOOKUP($A180,#REF!,5,FALSE),""))</f>
        <v>#REF!</v>
      </c>
      <c r="F180" s="788" t="s">
        <v>5782</v>
      </c>
      <c r="G180" s="789" t="s">
        <v>91</v>
      </c>
      <c r="H180" s="789" t="s">
        <v>4882</v>
      </c>
      <c r="I180" s="790" t="s">
        <v>5001</v>
      </c>
    </row>
    <row r="181" spans="1:9">
      <c r="A181" t="s">
        <v>6359</v>
      </c>
      <c r="B181">
        <f>COUNTIF($A$5:$A181,A181)</f>
        <v>1</v>
      </c>
      <c r="C181">
        <f t="shared" si="4"/>
        <v>1</v>
      </c>
      <c r="D181">
        <f t="shared" si="5"/>
        <v>13</v>
      </c>
      <c r="E181" t="e">
        <f>IF(IF($B181=1,VLOOKUP($A181,#REF!,5,FALSE),"")=0,"",IF($B181=1,VLOOKUP($A181,#REF!,5,FALSE),""))</f>
        <v>#REF!</v>
      </c>
      <c r="F181" s="788" t="s">
        <v>5782</v>
      </c>
      <c r="G181" s="789" t="s">
        <v>91</v>
      </c>
      <c r="H181" s="789" t="s">
        <v>4883</v>
      </c>
      <c r="I181" s="790" t="s">
        <v>5001</v>
      </c>
    </row>
    <row r="182" spans="1:9">
      <c r="A182" t="s">
        <v>6360</v>
      </c>
      <c r="B182">
        <f>COUNTIF($A$5:$A182,A182)</f>
        <v>1</v>
      </c>
      <c r="C182">
        <f t="shared" si="4"/>
        <v>1</v>
      </c>
      <c r="D182">
        <f t="shared" si="5"/>
        <v>13</v>
      </c>
      <c r="E182" t="e">
        <f>IF(IF($B182=1,VLOOKUP($A182,#REF!,5,FALSE),"")=0,"",IF($B182=1,VLOOKUP($A182,#REF!,5,FALSE),""))</f>
        <v>#REF!</v>
      </c>
      <c r="F182" s="788" t="s">
        <v>5782</v>
      </c>
      <c r="G182" s="789" t="s">
        <v>91</v>
      </c>
      <c r="H182" s="789" t="s">
        <v>4884</v>
      </c>
      <c r="I182" s="790" t="s">
        <v>5001</v>
      </c>
    </row>
    <row r="183" spans="1:9">
      <c r="A183" t="s">
        <v>6361</v>
      </c>
      <c r="B183">
        <f>COUNTIF($A$5:$A183,A183)</f>
        <v>1</v>
      </c>
      <c r="C183">
        <f t="shared" si="4"/>
        <v>1</v>
      </c>
      <c r="D183">
        <f t="shared" si="5"/>
        <v>13</v>
      </c>
      <c r="E183" t="e">
        <f>IF(IF($B183=1,VLOOKUP($A183,#REF!,5,FALSE),"")=0,"",IF($B183=1,VLOOKUP($A183,#REF!,5,FALSE),""))</f>
        <v>#REF!</v>
      </c>
      <c r="F183" s="788" t="s">
        <v>5782</v>
      </c>
      <c r="G183" s="789" t="s">
        <v>91</v>
      </c>
      <c r="H183" s="789" t="s">
        <v>4885</v>
      </c>
      <c r="I183" s="790" t="s">
        <v>5001</v>
      </c>
    </row>
    <row r="184" spans="1:9">
      <c r="A184" t="s">
        <v>6362</v>
      </c>
      <c r="B184">
        <f>COUNTIF($A$5:$A184,A184)</f>
        <v>1</v>
      </c>
      <c r="C184">
        <f t="shared" si="4"/>
        <v>1</v>
      </c>
      <c r="D184">
        <f t="shared" si="5"/>
        <v>13</v>
      </c>
      <c r="E184" t="e">
        <f>IF(IF($B184=1,VLOOKUP($A184,#REF!,5,FALSE),"")=0,"",IF($B184=1,VLOOKUP($A184,#REF!,5,FALSE),""))</f>
        <v>#REF!</v>
      </c>
      <c r="F184" s="788" t="s">
        <v>5782</v>
      </c>
      <c r="G184" s="789" t="s">
        <v>91</v>
      </c>
      <c r="H184" s="789" t="s">
        <v>4887</v>
      </c>
      <c r="I184" s="790" t="s">
        <v>5001</v>
      </c>
    </row>
    <row r="185" spans="1:9">
      <c r="A185" t="s">
        <v>6363</v>
      </c>
      <c r="B185">
        <f>COUNTIF($A$5:$A185,A185)</f>
        <v>1</v>
      </c>
      <c r="C185">
        <f t="shared" si="4"/>
        <v>1</v>
      </c>
      <c r="D185">
        <f t="shared" si="5"/>
        <v>13</v>
      </c>
      <c r="E185" t="e">
        <f>IF(IF($B185=1,VLOOKUP($A185,#REF!,5,FALSE),"")=0,"",IF($B185=1,VLOOKUP($A185,#REF!,5,FALSE),""))</f>
        <v>#REF!</v>
      </c>
      <c r="F185" s="788" t="s">
        <v>5782</v>
      </c>
      <c r="G185" s="789" t="s">
        <v>91</v>
      </c>
      <c r="H185" s="789" t="s">
        <v>2934</v>
      </c>
      <c r="I185" s="790" t="s">
        <v>5001</v>
      </c>
    </row>
    <row r="186" spans="1:9">
      <c r="A186" t="s">
        <v>6364</v>
      </c>
      <c r="B186">
        <f>COUNTIF($A$5:$A186,A186)</f>
        <v>1</v>
      </c>
      <c r="C186">
        <f t="shared" si="4"/>
        <v>1</v>
      </c>
      <c r="D186">
        <f t="shared" si="5"/>
        <v>13</v>
      </c>
      <c r="E186" t="e">
        <f>IF(IF($B186=1,VLOOKUP($A186,#REF!,5,FALSE),"")=0,"",IF($B186=1,VLOOKUP($A186,#REF!,5,FALSE),""))</f>
        <v>#REF!</v>
      </c>
      <c r="F186" s="788" t="s">
        <v>5782</v>
      </c>
      <c r="G186" s="789" t="s">
        <v>91</v>
      </c>
      <c r="H186" s="789" t="s">
        <v>2932</v>
      </c>
      <c r="I186" s="790" t="s">
        <v>5001</v>
      </c>
    </row>
    <row r="187" spans="1:9" ht="25">
      <c r="A187" t="s">
        <v>6380</v>
      </c>
      <c r="B187">
        <f>COUNTIF($A$5:$A187,A187)</f>
        <v>1</v>
      </c>
      <c r="C187">
        <f t="shared" si="4"/>
        <v>1</v>
      </c>
      <c r="D187">
        <f t="shared" si="5"/>
        <v>1</v>
      </c>
      <c r="E187" t="e">
        <f>IF(IF($B187=1,VLOOKUP($A187,#REF!,5,FALSE),"")=0,"",IF($B187=1,VLOOKUP($A187,#REF!,5,FALSE),""))</f>
        <v>#REF!</v>
      </c>
      <c r="F187" s="788" t="s">
        <v>5782</v>
      </c>
      <c r="G187" s="789" t="s">
        <v>91</v>
      </c>
      <c r="H187" s="789" t="s">
        <v>6183</v>
      </c>
      <c r="I187" s="790" t="s">
        <v>5015</v>
      </c>
    </row>
    <row r="188" spans="1:9">
      <c r="A188" t="s">
        <v>6381</v>
      </c>
      <c r="B188">
        <f>COUNTIF($A$5:$A188,A188)</f>
        <v>1</v>
      </c>
      <c r="C188">
        <f t="shared" si="4"/>
        <v>1</v>
      </c>
      <c r="D188">
        <f t="shared" si="5"/>
        <v>10</v>
      </c>
      <c r="E188" t="e">
        <f>IF(IF($B188=1,VLOOKUP($A188,#REF!,5,FALSE),"")=0,"",IF($B188=1,VLOOKUP($A188,#REF!,5,FALSE),""))</f>
        <v>#REF!</v>
      </c>
      <c r="F188" s="788" t="s">
        <v>5782</v>
      </c>
      <c r="G188" s="789" t="s">
        <v>2426</v>
      </c>
      <c r="H188" s="789" t="s">
        <v>6184</v>
      </c>
      <c r="I188" s="790" t="s">
        <v>5248</v>
      </c>
    </row>
    <row r="189" spans="1:9">
      <c r="A189" t="s">
        <v>6382</v>
      </c>
      <c r="B189">
        <f>COUNTIF($A$5:$A189,A189)</f>
        <v>1</v>
      </c>
      <c r="C189">
        <f t="shared" si="4"/>
        <v>1</v>
      </c>
      <c r="D189">
        <f t="shared" si="5"/>
        <v>10</v>
      </c>
      <c r="E189" t="e">
        <f>IF(IF($B189=1,VLOOKUP($A189,#REF!,5,FALSE),"")=0,"",IF($B189=1,VLOOKUP($A189,#REF!,5,FALSE),""))</f>
        <v>#REF!</v>
      </c>
      <c r="F189" s="788" t="s">
        <v>5782</v>
      </c>
      <c r="G189" s="789" t="s">
        <v>2426</v>
      </c>
      <c r="H189" s="789" t="s">
        <v>6185</v>
      </c>
      <c r="I189" s="790" t="s">
        <v>5248</v>
      </c>
    </row>
    <row r="190" spans="1:9">
      <c r="A190" t="s">
        <v>6383</v>
      </c>
      <c r="B190">
        <f>COUNTIF($A$5:$A190,A190)</f>
        <v>1</v>
      </c>
      <c r="C190">
        <f t="shared" si="4"/>
        <v>1</v>
      </c>
      <c r="D190">
        <f t="shared" si="5"/>
        <v>10</v>
      </c>
      <c r="E190" t="e">
        <f>IF(IF($B190=1,VLOOKUP($A190,#REF!,5,FALSE),"")=0,"",IF($B190=1,VLOOKUP($A190,#REF!,5,FALSE),""))</f>
        <v>#REF!</v>
      </c>
      <c r="F190" s="788" t="s">
        <v>5782</v>
      </c>
      <c r="G190" s="789" t="s">
        <v>2426</v>
      </c>
      <c r="H190" s="789" t="s">
        <v>4902</v>
      </c>
      <c r="I190" s="790" t="s">
        <v>5248</v>
      </c>
    </row>
    <row r="191" spans="1:9">
      <c r="A191" t="s">
        <v>6384</v>
      </c>
      <c r="B191">
        <f>COUNTIF($A$5:$A191,A191)</f>
        <v>1</v>
      </c>
      <c r="C191">
        <f t="shared" si="4"/>
        <v>1</v>
      </c>
      <c r="D191">
        <f t="shared" si="5"/>
        <v>2</v>
      </c>
      <c r="E191" t="e">
        <f>IF(IF($B191=1,VLOOKUP($A191,#REF!,5,FALSE),"")=0,"",IF($B191=1,VLOOKUP($A191,#REF!,5,FALSE),""))</f>
        <v>#REF!</v>
      </c>
      <c r="F191" s="788" t="s">
        <v>5782</v>
      </c>
      <c r="G191" s="789" t="s">
        <v>1208</v>
      </c>
      <c r="H191" s="789" t="s">
        <v>2898</v>
      </c>
      <c r="I191" s="790" t="s">
        <v>5004</v>
      </c>
    </row>
    <row r="192" spans="1:9">
      <c r="A192" t="s">
        <v>6385</v>
      </c>
      <c r="B192">
        <f>COUNTIF($A$5:$A192,A192)</f>
        <v>1</v>
      </c>
      <c r="C192">
        <f t="shared" si="4"/>
        <v>1</v>
      </c>
      <c r="D192">
        <f t="shared" si="5"/>
        <v>10</v>
      </c>
      <c r="E192" t="e">
        <f>IF(IF($B192=1,VLOOKUP($A192,#REF!,5,FALSE),"")=0,"",IF($B192=1,VLOOKUP($A192,#REF!,5,FALSE),""))</f>
        <v>#REF!</v>
      </c>
      <c r="F192" s="788" t="s">
        <v>5782</v>
      </c>
      <c r="G192" s="789" t="s">
        <v>2426</v>
      </c>
      <c r="H192" s="789" t="s">
        <v>4903</v>
      </c>
      <c r="I192" s="790" t="s">
        <v>5248</v>
      </c>
    </row>
    <row r="193" spans="1:9">
      <c r="A193" t="s">
        <v>6386</v>
      </c>
      <c r="B193">
        <f>COUNTIF($A$5:$A193,A193)</f>
        <v>1</v>
      </c>
      <c r="C193">
        <f t="shared" si="4"/>
        <v>1</v>
      </c>
      <c r="D193">
        <f t="shared" si="5"/>
        <v>10</v>
      </c>
      <c r="E193" t="e">
        <f>IF(IF($B193=1,VLOOKUP($A193,#REF!,5,FALSE),"")=0,"",IF($B193=1,VLOOKUP($A193,#REF!,5,FALSE),""))</f>
        <v>#REF!</v>
      </c>
      <c r="F193" s="788" t="s">
        <v>5782</v>
      </c>
      <c r="G193" s="789" t="s">
        <v>2426</v>
      </c>
      <c r="H193" s="789" t="s">
        <v>4904</v>
      </c>
      <c r="I193" s="790" t="s">
        <v>5248</v>
      </c>
    </row>
    <row r="194" spans="1:9">
      <c r="A194" t="s">
        <v>6387</v>
      </c>
      <c r="B194">
        <f>COUNTIF($A$5:$A194,A194)</f>
        <v>1</v>
      </c>
      <c r="C194">
        <f t="shared" si="4"/>
        <v>1</v>
      </c>
      <c r="D194">
        <f t="shared" si="5"/>
        <v>10</v>
      </c>
      <c r="E194" t="e">
        <f>IF(IF($B194=1,VLOOKUP($A194,#REF!,5,FALSE),"")=0,"",IF($B194=1,VLOOKUP($A194,#REF!,5,FALSE),""))</f>
        <v>#REF!</v>
      </c>
      <c r="F194" s="788" t="s">
        <v>5782</v>
      </c>
      <c r="G194" s="789" t="s">
        <v>2426</v>
      </c>
      <c r="H194" s="789" t="s">
        <v>4905</v>
      </c>
      <c r="I194" s="790" t="s">
        <v>5248</v>
      </c>
    </row>
    <row r="195" spans="1:9">
      <c r="A195" t="s">
        <v>6388</v>
      </c>
      <c r="B195">
        <f>COUNTIF($A$5:$A195,A195)</f>
        <v>1</v>
      </c>
      <c r="C195">
        <f t="shared" si="4"/>
        <v>1</v>
      </c>
      <c r="D195">
        <f t="shared" si="5"/>
        <v>10</v>
      </c>
      <c r="E195" t="e">
        <f>IF(IF($B195=1,VLOOKUP($A195,#REF!,5,FALSE),"")=0,"",IF($B195=1,VLOOKUP($A195,#REF!,5,FALSE),""))</f>
        <v>#REF!</v>
      </c>
      <c r="F195" s="788" t="s">
        <v>5782</v>
      </c>
      <c r="G195" s="789" t="s">
        <v>2426</v>
      </c>
      <c r="H195" s="789" t="s">
        <v>4906</v>
      </c>
      <c r="I195" s="790" t="s">
        <v>5248</v>
      </c>
    </row>
    <row r="196" spans="1:9">
      <c r="A196" t="s">
        <v>6389</v>
      </c>
      <c r="B196">
        <f>COUNTIF($A$5:$A196,A196)</f>
        <v>1</v>
      </c>
      <c r="C196">
        <f t="shared" si="4"/>
        <v>1</v>
      </c>
      <c r="D196">
        <f t="shared" si="5"/>
        <v>10</v>
      </c>
      <c r="E196" t="e">
        <f>IF(IF($B196=1,VLOOKUP($A196,#REF!,5,FALSE),"")=0,"",IF($B196=1,VLOOKUP($A196,#REF!,5,FALSE),""))</f>
        <v>#REF!</v>
      </c>
      <c r="F196" s="788" t="s">
        <v>5782</v>
      </c>
      <c r="G196" s="789" t="s">
        <v>2426</v>
      </c>
      <c r="H196" s="789" t="s">
        <v>4907</v>
      </c>
      <c r="I196" s="790" t="s">
        <v>5248</v>
      </c>
    </row>
    <row r="197" spans="1:9">
      <c r="A197" t="s">
        <v>6390</v>
      </c>
      <c r="B197">
        <f>COUNTIF($A$5:$A197,A197)</f>
        <v>1</v>
      </c>
      <c r="C197">
        <f t="shared" ref="C197:C260" si="6">COUNTIF($H$5:$H$622,H197)</f>
        <v>1</v>
      </c>
      <c r="D197">
        <f t="shared" ref="D197:D260" si="7">COUNTIF($I$5:$I$622,I197)</f>
        <v>10</v>
      </c>
      <c r="E197" t="e">
        <f>IF(IF($B197=1,VLOOKUP($A197,#REF!,5,FALSE),"")=0,"",IF($B197=1,VLOOKUP($A197,#REF!,5,FALSE),""))</f>
        <v>#REF!</v>
      </c>
      <c r="F197" s="788" t="s">
        <v>5782</v>
      </c>
      <c r="G197" s="789" t="s">
        <v>2426</v>
      </c>
      <c r="H197" s="789" t="s">
        <v>4908</v>
      </c>
      <c r="I197" s="790" t="s">
        <v>5248</v>
      </c>
    </row>
    <row r="198" spans="1:9">
      <c r="A198" t="s">
        <v>6391</v>
      </c>
      <c r="B198">
        <f>COUNTIF($A$5:$A198,A198)</f>
        <v>1</v>
      </c>
      <c r="C198">
        <f t="shared" si="6"/>
        <v>1</v>
      </c>
      <c r="D198">
        <f t="shared" si="7"/>
        <v>2</v>
      </c>
      <c r="E198" t="e">
        <f>IF(IF($B198=1,VLOOKUP($A198,#REF!,5,FALSE),"")=0,"",IF($B198=1,VLOOKUP($A198,#REF!,5,FALSE),""))</f>
        <v>#REF!</v>
      </c>
      <c r="F198" s="788" t="s">
        <v>5782</v>
      </c>
      <c r="G198" s="789" t="s">
        <v>2426</v>
      </c>
      <c r="H198" s="789" t="s">
        <v>4909</v>
      </c>
      <c r="I198" s="790" t="s">
        <v>5004</v>
      </c>
    </row>
    <row r="199" spans="1:9">
      <c r="A199" t="s">
        <v>6392</v>
      </c>
      <c r="B199">
        <f>COUNTIF($A$5:$A199,A199)</f>
        <v>1</v>
      </c>
      <c r="C199">
        <f t="shared" si="6"/>
        <v>1</v>
      </c>
      <c r="D199">
        <f t="shared" si="7"/>
        <v>10</v>
      </c>
      <c r="E199" t="e">
        <f>IF(IF($B199=1,VLOOKUP($A199,#REF!,5,FALSE),"")=0,"",IF($B199=1,VLOOKUP($A199,#REF!,5,FALSE),""))</f>
        <v>#REF!</v>
      </c>
      <c r="F199" s="788" t="s">
        <v>5782</v>
      </c>
      <c r="G199" s="789" t="s">
        <v>2426</v>
      </c>
      <c r="H199" s="789" t="s">
        <v>4910</v>
      </c>
      <c r="I199" s="790" t="s">
        <v>5248</v>
      </c>
    </row>
    <row r="200" spans="1:9" ht="37.5">
      <c r="A200" t="s">
        <v>6601</v>
      </c>
      <c r="B200">
        <f>COUNTIF($A$5:$A200,A200)</f>
        <v>1</v>
      </c>
      <c r="C200">
        <f t="shared" si="6"/>
        <v>1</v>
      </c>
      <c r="D200" t="e">
        <f t="shared" si="7"/>
        <v>#VALUE!</v>
      </c>
      <c r="E200" t="e">
        <f>IF(IF($B200=1,VLOOKUP($A200,#REF!,5,FALSE),"")=0,"",IF($B200=1,VLOOKUP($A200,#REF!,5,FALSE),""))</f>
        <v>#REF!</v>
      </c>
      <c r="F200" s="788" t="s">
        <v>5782</v>
      </c>
      <c r="G200" s="789" t="s">
        <v>2582</v>
      </c>
      <c r="H200" s="789" t="s">
        <v>6539</v>
      </c>
      <c r="I200" s="790" t="s">
        <v>6514</v>
      </c>
    </row>
    <row r="201" spans="1:9" ht="37.5">
      <c r="A201" t="s">
        <v>6408</v>
      </c>
      <c r="B201">
        <f>COUNTIF($A$5:$A201,A201)</f>
        <v>1</v>
      </c>
      <c r="C201">
        <f t="shared" si="6"/>
        <v>1</v>
      </c>
      <c r="D201" t="e">
        <f t="shared" si="7"/>
        <v>#VALUE!</v>
      </c>
      <c r="E201" t="e">
        <f>IF(IF($B201=1,VLOOKUP($A201,#REF!,5,FALSE),"")=0,"",IF($B201=1,VLOOKUP($A201,#REF!,5,FALSE),""))</f>
        <v>#REF!</v>
      </c>
      <c r="F201" s="788" t="s">
        <v>5782</v>
      </c>
      <c r="G201" s="789" t="s">
        <v>2582</v>
      </c>
      <c r="H201" s="789" t="s">
        <v>5829</v>
      </c>
      <c r="I201" s="790" t="s">
        <v>6515</v>
      </c>
    </row>
    <row r="202" spans="1:9" ht="37.5">
      <c r="A202" t="s">
        <v>6409</v>
      </c>
      <c r="B202">
        <f>COUNTIF($A$5:$A202,A202)</f>
        <v>1</v>
      </c>
      <c r="C202">
        <f t="shared" si="6"/>
        <v>1</v>
      </c>
      <c r="D202" t="e">
        <f t="shared" si="7"/>
        <v>#VALUE!</v>
      </c>
      <c r="E202" t="e">
        <f>IF(IF($B202=1,VLOOKUP($A202,#REF!,5,FALSE),"")=0,"",IF($B202=1,VLOOKUP($A202,#REF!,5,FALSE),""))</f>
        <v>#REF!</v>
      </c>
      <c r="F202" s="788" t="s">
        <v>5782</v>
      </c>
      <c r="G202" s="789" t="s">
        <v>2582</v>
      </c>
      <c r="H202" s="789" t="s">
        <v>5830</v>
      </c>
      <c r="I202" s="790" t="s">
        <v>6515</v>
      </c>
    </row>
    <row r="203" spans="1:9" ht="37.5">
      <c r="A203" t="s">
        <v>6410</v>
      </c>
      <c r="B203">
        <f>COUNTIF($A$5:$A203,A203)</f>
        <v>1</v>
      </c>
      <c r="C203">
        <f t="shared" si="6"/>
        <v>1</v>
      </c>
      <c r="D203" t="e">
        <f t="shared" si="7"/>
        <v>#VALUE!</v>
      </c>
      <c r="E203" t="e">
        <f>IF(IF($B203=1,VLOOKUP($A203,#REF!,5,FALSE),"")=0,"",IF($B203=1,VLOOKUP($A203,#REF!,5,FALSE),""))</f>
        <v>#REF!</v>
      </c>
      <c r="F203" s="788" t="s">
        <v>5782</v>
      </c>
      <c r="G203" s="789" t="s">
        <v>2582</v>
      </c>
      <c r="H203" s="789" t="s">
        <v>5831</v>
      </c>
      <c r="I203" s="790" t="s">
        <v>6515</v>
      </c>
    </row>
    <row r="204" spans="1:9" ht="50">
      <c r="A204" t="s">
        <v>6412</v>
      </c>
      <c r="B204">
        <f>COUNTIF($A$5:$A204,A204)</f>
        <v>1</v>
      </c>
      <c r="C204">
        <f t="shared" si="6"/>
        <v>1</v>
      </c>
      <c r="D204" t="e">
        <f t="shared" si="7"/>
        <v>#VALUE!</v>
      </c>
      <c r="E204" t="e">
        <f>IF(IF($B204=1,VLOOKUP($A204,#REF!,5,FALSE),"")=0,"",IF($B204=1,VLOOKUP($A204,#REF!,5,FALSE),""))</f>
        <v>#REF!</v>
      </c>
      <c r="F204" s="788" t="s">
        <v>5782</v>
      </c>
      <c r="G204" s="789" t="s">
        <v>2426</v>
      </c>
      <c r="H204" s="789" t="s">
        <v>5834</v>
      </c>
      <c r="I204" s="790" t="s">
        <v>5835</v>
      </c>
    </row>
    <row r="205" spans="1:9" ht="50">
      <c r="A205" t="s">
        <v>6413</v>
      </c>
      <c r="B205">
        <f>COUNTIF($A$5:$A205,A205)</f>
        <v>1</v>
      </c>
      <c r="C205">
        <f t="shared" si="6"/>
        <v>1</v>
      </c>
      <c r="D205" t="e">
        <f t="shared" si="7"/>
        <v>#VALUE!</v>
      </c>
      <c r="E205" t="e">
        <f>IF(IF($B205=1,VLOOKUP($A205,#REF!,5,FALSE),"")=0,"",IF($B205=1,VLOOKUP($A205,#REF!,5,FALSE),""))</f>
        <v>#REF!</v>
      </c>
      <c r="F205" s="788" t="s">
        <v>5782</v>
      </c>
      <c r="G205" s="789" t="s">
        <v>2426</v>
      </c>
      <c r="H205" s="789" t="s">
        <v>5836</v>
      </c>
      <c r="I205" s="790" t="s">
        <v>5835</v>
      </c>
    </row>
    <row r="206" spans="1:9" ht="25">
      <c r="A206" t="s">
        <v>6603</v>
      </c>
      <c r="B206">
        <f>COUNTIF($A$5:$A206,A206)</f>
        <v>1</v>
      </c>
      <c r="C206">
        <f t="shared" si="6"/>
        <v>1</v>
      </c>
      <c r="D206">
        <f t="shared" si="7"/>
        <v>1</v>
      </c>
      <c r="E206" t="e">
        <f>IF(IF($B206=1,VLOOKUP($A206,#REF!,5,FALSE),"")=0,"",IF($B206=1,VLOOKUP($A206,#REF!,5,FALSE),""))</f>
        <v>#REF!</v>
      </c>
      <c r="F206" s="788" t="s">
        <v>5782</v>
      </c>
      <c r="G206" s="789" t="s">
        <v>91</v>
      </c>
      <c r="H206" s="789" t="s">
        <v>6541</v>
      </c>
      <c r="I206" s="790" t="s">
        <v>5837</v>
      </c>
    </row>
    <row r="207" spans="1:9" ht="25">
      <c r="A207" t="s">
        <v>6604</v>
      </c>
      <c r="B207">
        <f>COUNTIF($A$5:$A207,A207)</f>
        <v>1</v>
      </c>
      <c r="C207">
        <f t="shared" si="6"/>
        <v>1</v>
      </c>
      <c r="D207">
        <f t="shared" si="7"/>
        <v>1</v>
      </c>
      <c r="E207" t="e">
        <f>IF(IF($B207=1,VLOOKUP($A207,#REF!,5,FALSE),"")=0,"",IF($B207=1,VLOOKUP($A207,#REF!,5,FALSE),""))</f>
        <v>#REF!</v>
      </c>
      <c r="F207" s="788" t="s">
        <v>5782</v>
      </c>
      <c r="G207" s="789" t="s">
        <v>2582</v>
      </c>
      <c r="H207" s="789" t="s">
        <v>6542</v>
      </c>
      <c r="I207" s="790" t="s">
        <v>5838</v>
      </c>
    </row>
    <row r="208" spans="1:9">
      <c r="A208" t="s">
        <v>6606</v>
      </c>
      <c r="B208">
        <f>COUNTIF($A$5:$A208,A208)</f>
        <v>1</v>
      </c>
      <c r="C208">
        <f t="shared" si="6"/>
        <v>1</v>
      </c>
      <c r="D208">
        <f t="shared" si="7"/>
        <v>1</v>
      </c>
      <c r="E208" t="e">
        <f>IF(IF($B208=1,VLOOKUP($A208,#REF!,5,FALSE),"")=0,"",IF($B208=1,VLOOKUP($A208,#REF!,5,FALSE),""))</f>
        <v>#REF!</v>
      </c>
      <c r="F208" s="788" t="s">
        <v>5782</v>
      </c>
      <c r="G208" s="789" t="s">
        <v>2582</v>
      </c>
      <c r="H208" s="789" t="s">
        <v>6544</v>
      </c>
      <c r="I208" s="790" t="s">
        <v>5840</v>
      </c>
    </row>
    <row r="209" spans="1:9">
      <c r="A209" t="s">
        <v>6414</v>
      </c>
      <c r="B209">
        <f>COUNTIF($A$5:$A209,A209)</f>
        <v>1</v>
      </c>
      <c r="C209">
        <f t="shared" si="6"/>
        <v>1</v>
      </c>
      <c r="D209">
        <f t="shared" si="7"/>
        <v>1</v>
      </c>
      <c r="E209" t="e">
        <f>IF(IF($B209=1,VLOOKUP($A209,#REF!,5,FALSE),"")=0,"",IF($B209=1,VLOOKUP($A209,#REF!,5,FALSE),""))</f>
        <v>#REF!</v>
      </c>
      <c r="F209" s="788" t="s">
        <v>5782</v>
      </c>
      <c r="G209" s="789" t="s">
        <v>91</v>
      </c>
      <c r="H209" s="789" t="s">
        <v>5846</v>
      </c>
      <c r="I209" s="790" t="s">
        <v>5847</v>
      </c>
    </row>
    <row r="210" spans="1:9">
      <c r="A210" t="s">
        <v>6415</v>
      </c>
      <c r="B210">
        <f>COUNTIF($A$5:$A210,A210)</f>
        <v>1</v>
      </c>
      <c r="C210">
        <f t="shared" si="6"/>
        <v>1</v>
      </c>
      <c r="D210">
        <f t="shared" si="7"/>
        <v>1</v>
      </c>
      <c r="E210" t="e">
        <f>IF(IF($B210=1,VLOOKUP($A210,#REF!,5,FALSE),"")=0,"",IF($B210=1,VLOOKUP($A210,#REF!,5,FALSE),""))</f>
        <v>#REF!</v>
      </c>
      <c r="F210" s="788" t="s">
        <v>5782</v>
      </c>
      <c r="G210" s="789" t="s">
        <v>1208</v>
      </c>
      <c r="H210" s="789" t="s">
        <v>5848</v>
      </c>
      <c r="I210" s="790" t="s">
        <v>5849</v>
      </c>
    </row>
    <row r="211" spans="1:9" ht="25">
      <c r="A211" t="s">
        <v>6613</v>
      </c>
      <c r="B211">
        <f>COUNTIF($A$5:$A211,A211)</f>
        <v>1</v>
      </c>
      <c r="C211">
        <f t="shared" si="6"/>
        <v>1</v>
      </c>
      <c r="D211">
        <f t="shared" si="7"/>
        <v>5</v>
      </c>
      <c r="E211" t="e">
        <f>IF(IF($B211=1,VLOOKUP($A211,#REF!,5,FALSE),"")=0,"",IF($B211=1,VLOOKUP($A211,#REF!,5,FALSE),""))</f>
        <v>#REF!</v>
      </c>
      <c r="F211" s="788" t="s">
        <v>5782</v>
      </c>
      <c r="G211" s="789" t="s">
        <v>91</v>
      </c>
      <c r="H211" s="789" t="s">
        <v>6551</v>
      </c>
      <c r="I211" s="790" t="s">
        <v>5850</v>
      </c>
    </row>
    <row r="212" spans="1:9" ht="25">
      <c r="A212" t="s">
        <v>6614</v>
      </c>
      <c r="B212">
        <f>COUNTIF($A$5:$A212,A212)</f>
        <v>1</v>
      </c>
      <c r="C212">
        <f t="shared" si="6"/>
        <v>1</v>
      </c>
      <c r="D212">
        <f t="shared" si="7"/>
        <v>5</v>
      </c>
      <c r="E212" t="e">
        <f>IF(IF($B212=1,VLOOKUP($A212,#REF!,5,FALSE),"")=0,"",IF($B212=1,VLOOKUP($A212,#REF!,5,FALSE),""))</f>
        <v>#REF!</v>
      </c>
      <c r="F212" s="788" t="s">
        <v>5782</v>
      </c>
      <c r="G212" s="789" t="s">
        <v>91</v>
      </c>
      <c r="H212" s="789" t="s">
        <v>6552</v>
      </c>
      <c r="I212" s="790" t="s">
        <v>5850</v>
      </c>
    </row>
    <row r="213" spans="1:9" ht="25">
      <c r="A213" t="s">
        <v>6615</v>
      </c>
      <c r="B213">
        <f>COUNTIF($A$5:$A213,A213)</f>
        <v>1</v>
      </c>
      <c r="C213">
        <f t="shared" si="6"/>
        <v>1</v>
      </c>
      <c r="D213">
        <f t="shared" si="7"/>
        <v>5</v>
      </c>
      <c r="E213" t="e">
        <f>IF(IF($B213=1,VLOOKUP($A213,#REF!,5,FALSE),"")=0,"",IF($B213=1,VLOOKUP($A213,#REF!,5,FALSE),""))</f>
        <v>#REF!</v>
      </c>
      <c r="F213" s="788" t="s">
        <v>5782</v>
      </c>
      <c r="G213" s="789" t="s">
        <v>91</v>
      </c>
      <c r="H213" s="789" t="s">
        <v>6553</v>
      </c>
      <c r="I213" s="790" t="s">
        <v>5850</v>
      </c>
    </row>
    <row r="214" spans="1:9" ht="25">
      <c r="A214" t="s">
        <v>6616</v>
      </c>
      <c r="B214">
        <f>COUNTIF($A$5:$A214,A214)</f>
        <v>1</v>
      </c>
      <c r="C214">
        <f t="shared" si="6"/>
        <v>1</v>
      </c>
      <c r="D214">
        <f t="shared" si="7"/>
        <v>5</v>
      </c>
      <c r="E214" t="e">
        <f>IF(IF($B214=1,VLOOKUP($A214,#REF!,5,FALSE),"")=0,"",IF($B214=1,VLOOKUP($A214,#REF!,5,FALSE),""))</f>
        <v>#REF!</v>
      </c>
      <c r="F214" s="788" t="s">
        <v>5782</v>
      </c>
      <c r="G214" s="789" t="s">
        <v>91</v>
      </c>
      <c r="H214" s="789" t="s">
        <v>6554</v>
      </c>
      <c r="I214" s="790" t="s">
        <v>5850</v>
      </c>
    </row>
    <row r="215" spans="1:9" ht="25">
      <c r="A215" t="s">
        <v>6617</v>
      </c>
      <c r="B215">
        <f>COUNTIF($A$5:$A215,A215)</f>
        <v>1</v>
      </c>
      <c r="C215">
        <f t="shared" si="6"/>
        <v>1</v>
      </c>
      <c r="D215">
        <f t="shared" si="7"/>
        <v>5</v>
      </c>
      <c r="E215" t="e">
        <f>IF(IF($B215=1,VLOOKUP($A215,#REF!,5,FALSE),"")=0,"",IF($B215=1,VLOOKUP($A215,#REF!,5,FALSE),""))</f>
        <v>#REF!</v>
      </c>
      <c r="F215" s="788" t="s">
        <v>5782</v>
      </c>
      <c r="G215" s="789" t="s">
        <v>91</v>
      </c>
      <c r="H215" s="789" t="s">
        <v>6555</v>
      </c>
      <c r="I215" s="790" t="s">
        <v>5850</v>
      </c>
    </row>
    <row r="216" spans="1:9" ht="25">
      <c r="A216" t="s">
        <v>6416</v>
      </c>
      <c r="B216">
        <f>COUNTIF($A$5:$A216,A216)</f>
        <v>1</v>
      </c>
      <c r="C216">
        <f t="shared" si="6"/>
        <v>1</v>
      </c>
      <c r="D216">
        <f t="shared" si="7"/>
        <v>1</v>
      </c>
      <c r="E216" t="e">
        <f>IF(IF($B216=1,VLOOKUP($A216,#REF!,5,FALSE),"")=0,"",IF($B216=1,VLOOKUP($A216,#REF!,5,FALSE),""))</f>
        <v>#REF!</v>
      </c>
      <c r="F216" s="788" t="s">
        <v>5782</v>
      </c>
      <c r="G216" s="789" t="s">
        <v>91</v>
      </c>
      <c r="H216" s="789" t="s">
        <v>5851</v>
      </c>
      <c r="I216" s="790" t="s">
        <v>5852</v>
      </c>
    </row>
    <row r="217" spans="1:9">
      <c r="A217" t="s">
        <v>6417</v>
      </c>
      <c r="B217">
        <f>COUNTIF($A$5:$A217,A217)</f>
        <v>1</v>
      </c>
      <c r="C217">
        <f t="shared" si="6"/>
        <v>1</v>
      </c>
      <c r="D217">
        <f t="shared" si="7"/>
        <v>1</v>
      </c>
      <c r="E217" t="e">
        <f>IF(IF($B217=1,VLOOKUP($A217,#REF!,5,FALSE),"")=0,"",IF($B217=1,VLOOKUP($A217,#REF!,5,FALSE),""))</f>
        <v>#REF!</v>
      </c>
      <c r="F217" s="788" t="s">
        <v>5782</v>
      </c>
      <c r="G217" s="789" t="s">
        <v>91</v>
      </c>
      <c r="H217" s="789" t="s">
        <v>5855</v>
      </c>
      <c r="I217" s="790" t="s">
        <v>5856</v>
      </c>
    </row>
    <row r="218" spans="1:9" ht="112.5">
      <c r="A218" t="s">
        <v>6683</v>
      </c>
      <c r="B218">
        <f>COUNTIF($A$5:$A218,A218)</f>
        <v>1</v>
      </c>
      <c r="C218">
        <f t="shared" si="6"/>
        <v>1</v>
      </c>
      <c r="D218" t="e">
        <f t="shared" si="7"/>
        <v>#VALUE!</v>
      </c>
      <c r="E218" t="e">
        <f>IF(IF($B218=1,VLOOKUP($A218,#REF!,5,FALSE),"")=0,"",IF($B218=1,VLOOKUP($A218,#REF!,5,FALSE),""))</f>
        <v>#REF!</v>
      </c>
      <c r="F218" s="788" t="s">
        <v>5782</v>
      </c>
      <c r="G218" s="789" t="s">
        <v>91</v>
      </c>
      <c r="H218" s="789" t="s">
        <v>6560</v>
      </c>
      <c r="I218" s="790" t="s">
        <v>6015</v>
      </c>
    </row>
    <row r="219" spans="1:9" ht="37.5">
      <c r="A219" t="s">
        <v>6622</v>
      </c>
      <c r="B219">
        <f>COUNTIF($A$5:$A219,A219)</f>
        <v>1</v>
      </c>
      <c r="C219">
        <f t="shared" si="6"/>
        <v>2</v>
      </c>
      <c r="D219">
        <f t="shared" si="7"/>
        <v>2</v>
      </c>
      <c r="E219" t="e">
        <f>IF(IF($B219=1,VLOOKUP($A219,#REF!,5,FALSE),"")=0,"",IF($B219=1,VLOOKUP($A219,#REF!,5,FALSE),""))</f>
        <v>#REF!</v>
      </c>
      <c r="F219" s="788" t="s">
        <v>5782</v>
      </c>
      <c r="G219" s="789" t="s">
        <v>3054</v>
      </c>
      <c r="H219" s="789" t="s">
        <v>4492</v>
      </c>
      <c r="I219" s="790" t="s">
        <v>6016</v>
      </c>
    </row>
    <row r="220" spans="1:9" ht="37.5">
      <c r="A220" t="s">
        <v>6623</v>
      </c>
      <c r="B220">
        <f>COUNTIF($A$5:$A220,A220)</f>
        <v>1</v>
      </c>
      <c r="C220">
        <f t="shared" si="6"/>
        <v>2</v>
      </c>
      <c r="D220">
        <f t="shared" si="7"/>
        <v>2</v>
      </c>
      <c r="E220" t="e">
        <f>IF(IF($B220=1,VLOOKUP($A220,#REF!,5,FALSE),"")=0,"",IF($B220=1,VLOOKUP($A220,#REF!,5,FALSE),""))</f>
        <v>#REF!</v>
      </c>
      <c r="F220" s="788" t="s">
        <v>5782</v>
      </c>
      <c r="G220" s="789" t="s">
        <v>1208</v>
      </c>
      <c r="H220" s="789" t="s">
        <v>4492</v>
      </c>
      <c r="I220" s="790" t="s">
        <v>6016</v>
      </c>
    </row>
    <row r="221" spans="1:9">
      <c r="A221" t="s">
        <v>6626</v>
      </c>
      <c r="B221">
        <f>COUNTIF($A$5:$A221,A221)</f>
        <v>1</v>
      </c>
      <c r="C221">
        <f t="shared" si="6"/>
        <v>1</v>
      </c>
      <c r="D221">
        <f t="shared" si="7"/>
        <v>1</v>
      </c>
      <c r="E221" t="e">
        <f>IF(IF($B221=1,VLOOKUP($A221,#REF!,5,FALSE),"")=0,"",IF($B221=1,VLOOKUP($A221,#REF!,5,FALSE),""))</f>
        <v>#REF!</v>
      </c>
      <c r="F221" s="788" t="s">
        <v>5782</v>
      </c>
      <c r="G221" s="789" t="s">
        <v>2574</v>
      </c>
      <c r="H221" s="789" t="s">
        <v>4408</v>
      </c>
      <c r="I221" s="790" t="s">
        <v>6019</v>
      </c>
    </row>
    <row r="222" spans="1:9" ht="37.5">
      <c r="A222" t="s">
        <v>6627</v>
      </c>
      <c r="B222">
        <f>COUNTIF($A$5:$A222,A222)</f>
        <v>1</v>
      </c>
      <c r="C222">
        <f t="shared" si="6"/>
        <v>1</v>
      </c>
      <c r="D222">
        <f t="shared" si="7"/>
        <v>1</v>
      </c>
      <c r="E222" t="e">
        <f>IF(IF($B222=1,VLOOKUP($A222,#REF!,5,FALSE),"")=0,"",IF($B222=1,VLOOKUP($A222,#REF!,5,FALSE),""))</f>
        <v>#REF!</v>
      </c>
      <c r="F222" s="788" t="s">
        <v>5782</v>
      </c>
      <c r="G222" s="789" t="s">
        <v>2573</v>
      </c>
      <c r="H222" s="789" t="s">
        <v>6563</v>
      </c>
      <c r="I222" s="790" t="s">
        <v>6020</v>
      </c>
    </row>
    <row r="223" spans="1:9">
      <c r="A223" t="s">
        <v>6628</v>
      </c>
      <c r="B223">
        <f>COUNTIF($A$5:$A223,A223)</f>
        <v>1</v>
      </c>
      <c r="C223">
        <f t="shared" si="6"/>
        <v>1</v>
      </c>
      <c r="D223">
        <f t="shared" si="7"/>
        <v>1</v>
      </c>
      <c r="E223" t="e">
        <f>IF(IF($B223=1,VLOOKUP($A223,#REF!,5,FALSE),"")=0,"",IF($B223=1,VLOOKUP($A223,#REF!,5,FALSE),""))</f>
        <v>#REF!</v>
      </c>
      <c r="F223" s="788" t="s">
        <v>5782</v>
      </c>
      <c r="G223" s="789" t="s">
        <v>2583</v>
      </c>
      <c r="H223" s="789" t="s">
        <v>6564</v>
      </c>
      <c r="I223" s="790" t="s">
        <v>6021</v>
      </c>
    </row>
    <row r="224" spans="1:9" ht="25">
      <c r="A224" t="s">
        <v>6630</v>
      </c>
      <c r="B224">
        <f>COUNTIF($A$5:$A224,A224)</f>
        <v>1</v>
      </c>
      <c r="C224">
        <f t="shared" si="6"/>
        <v>1</v>
      </c>
      <c r="D224">
        <f t="shared" si="7"/>
        <v>1</v>
      </c>
      <c r="E224" t="e">
        <f>IF(IF($B224=1,VLOOKUP($A224,#REF!,5,FALSE),"")=0,"",IF($B224=1,VLOOKUP($A224,#REF!,5,FALSE),""))</f>
        <v>#REF!</v>
      </c>
      <c r="F224" s="788" t="s">
        <v>5782</v>
      </c>
      <c r="G224" s="789" t="s">
        <v>1207</v>
      </c>
      <c r="H224" s="789" t="s">
        <v>6565</v>
      </c>
      <c r="I224" s="790" t="s">
        <v>6023</v>
      </c>
    </row>
    <row r="225" spans="1:9" ht="37.5">
      <c r="A225" t="s">
        <v>6632</v>
      </c>
      <c r="B225">
        <f>COUNTIF($A$5:$A225,A225)</f>
        <v>1</v>
      </c>
      <c r="C225">
        <f t="shared" si="6"/>
        <v>1</v>
      </c>
      <c r="D225" t="e">
        <f t="shared" si="7"/>
        <v>#VALUE!</v>
      </c>
      <c r="E225" t="e">
        <f>IF(IF($B225=1,VLOOKUP($A225,#REF!,5,FALSE),"")=0,"",IF($B225=1,VLOOKUP($A225,#REF!,5,FALSE),""))</f>
        <v>#REF!</v>
      </c>
      <c r="F225" s="788" t="s">
        <v>5782</v>
      </c>
      <c r="G225" s="789" t="s">
        <v>91</v>
      </c>
      <c r="H225" s="789" t="s">
        <v>6567</v>
      </c>
      <c r="I225" s="790" t="s">
        <v>6025</v>
      </c>
    </row>
    <row r="226" spans="1:9" ht="25">
      <c r="A226" t="s">
        <v>6503</v>
      </c>
      <c r="B226">
        <f>COUNTIF($A$5:$A226,A226)</f>
        <v>1</v>
      </c>
      <c r="C226">
        <f t="shared" si="6"/>
        <v>2</v>
      </c>
      <c r="D226">
        <f t="shared" si="7"/>
        <v>1</v>
      </c>
      <c r="E226" t="e">
        <f>IF(IF($B226=1,VLOOKUP($A226,#REF!,5,FALSE),"")=0,"",IF($B226=1,VLOOKUP($A226,#REF!,5,FALSE),""))</f>
        <v>#REF!</v>
      </c>
      <c r="F226" s="788" t="s">
        <v>5782</v>
      </c>
      <c r="G226" s="789" t="s">
        <v>91</v>
      </c>
      <c r="H226" s="789" t="s">
        <v>6028</v>
      </c>
      <c r="I226" s="790" t="s">
        <v>6029</v>
      </c>
    </row>
    <row r="227" spans="1:9" ht="37.5">
      <c r="A227" t="s">
        <v>6634</v>
      </c>
      <c r="B227">
        <f>COUNTIF($A$5:$A227,A227)</f>
        <v>1</v>
      </c>
      <c r="C227">
        <f t="shared" si="6"/>
        <v>1</v>
      </c>
      <c r="D227">
        <f t="shared" si="7"/>
        <v>1</v>
      </c>
      <c r="E227" t="e">
        <f>IF(IF($B227=1,VLOOKUP($A227,#REF!,5,FALSE),"")=0,"",IF($B227=1,VLOOKUP($A227,#REF!,5,FALSE),""))</f>
        <v>#REF!</v>
      </c>
      <c r="F227" s="788" t="s">
        <v>5782</v>
      </c>
      <c r="G227" s="789" t="s">
        <v>2425</v>
      </c>
      <c r="H227" s="789" t="s">
        <v>4245</v>
      </c>
      <c r="I227" s="790" t="s">
        <v>6030</v>
      </c>
    </row>
    <row r="228" spans="1:9" ht="37.5">
      <c r="A228" t="s">
        <v>6637</v>
      </c>
      <c r="B228">
        <f>COUNTIF($A$5:$A228,A228)</f>
        <v>1</v>
      </c>
      <c r="C228">
        <f t="shared" si="6"/>
        <v>1</v>
      </c>
      <c r="D228" t="e">
        <f t="shared" si="7"/>
        <v>#VALUE!</v>
      </c>
      <c r="E228" t="e">
        <f>IF(IF($B228=1,VLOOKUP($A228,#REF!,5,FALSE),"")=0,"",IF($B228=1,VLOOKUP($A228,#REF!,5,FALSE),""))</f>
        <v>#REF!</v>
      </c>
      <c r="F228" s="788" t="s">
        <v>5782</v>
      </c>
      <c r="G228" s="789" t="s">
        <v>2571</v>
      </c>
      <c r="H228" s="789" t="s">
        <v>6570</v>
      </c>
      <c r="I228" s="790" t="s">
        <v>6033</v>
      </c>
    </row>
    <row r="229" spans="1:9">
      <c r="A229" t="s">
        <v>6638</v>
      </c>
      <c r="B229">
        <f>COUNTIF($A$5:$A229,A229)</f>
        <v>1</v>
      </c>
      <c r="C229">
        <f t="shared" si="6"/>
        <v>1</v>
      </c>
      <c r="D229">
        <f t="shared" si="7"/>
        <v>1</v>
      </c>
      <c r="E229" t="e">
        <f>IF(IF($B229=1,VLOOKUP($A229,#REF!,5,FALSE),"")=0,"",IF($B229=1,VLOOKUP($A229,#REF!,5,FALSE),""))</f>
        <v>#REF!</v>
      </c>
      <c r="F229" s="788" t="s">
        <v>5782</v>
      </c>
      <c r="G229" s="789" t="s">
        <v>3054</v>
      </c>
      <c r="H229" s="789" t="s">
        <v>4240</v>
      </c>
      <c r="I229" s="790" t="s">
        <v>6034</v>
      </c>
    </row>
    <row r="230" spans="1:9" ht="37.5">
      <c r="A230" t="s">
        <v>6684</v>
      </c>
      <c r="B230">
        <f>COUNTIF($A$5:$A230,A230)</f>
        <v>1</v>
      </c>
      <c r="C230">
        <f t="shared" si="6"/>
        <v>1</v>
      </c>
      <c r="D230" t="e">
        <f t="shared" si="7"/>
        <v>#VALUE!</v>
      </c>
      <c r="E230" t="e">
        <f>IF(IF($B230=1,VLOOKUP($A230,#REF!,5,FALSE),"")=0,"",IF($B230=1,VLOOKUP($A230,#REF!,5,FALSE),""))</f>
        <v>#REF!</v>
      </c>
      <c r="F230" s="788" t="s">
        <v>5782</v>
      </c>
      <c r="G230" s="789" t="s">
        <v>91</v>
      </c>
      <c r="H230" s="789" t="s">
        <v>6573</v>
      </c>
      <c r="I230" s="790" t="s">
        <v>6038</v>
      </c>
    </row>
    <row r="231" spans="1:9" ht="25">
      <c r="A231" t="s">
        <v>6685</v>
      </c>
      <c r="B231">
        <f>COUNTIF($A$5:$A231,A231)</f>
        <v>1</v>
      </c>
      <c r="C231">
        <f t="shared" si="6"/>
        <v>1</v>
      </c>
      <c r="D231">
        <f t="shared" si="7"/>
        <v>1</v>
      </c>
      <c r="E231" t="e">
        <f>IF(IF($B231=1,VLOOKUP($A231,#REF!,5,FALSE),"")=0,"",IF($B231=1,VLOOKUP($A231,#REF!,5,FALSE),""))</f>
        <v>#REF!</v>
      </c>
      <c r="F231" s="788" t="s">
        <v>5782</v>
      </c>
      <c r="G231" s="789" t="s">
        <v>91</v>
      </c>
      <c r="H231" s="789" t="s">
        <v>6574</v>
      </c>
      <c r="I231" s="790" t="s">
        <v>6039</v>
      </c>
    </row>
    <row r="232" spans="1:9" ht="37.5">
      <c r="A232" t="s">
        <v>6644</v>
      </c>
      <c r="B232">
        <f>COUNTIF($A$5:$A232,A232)</f>
        <v>1</v>
      </c>
      <c r="C232">
        <f t="shared" si="6"/>
        <v>1</v>
      </c>
      <c r="D232">
        <f t="shared" si="7"/>
        <v>1</v>
      </c>
      <c r="E232" t="e">
        <f>IF(IF($B232=1,VLOOKUP($A232,#REF!,5,FALSE),"")=0,"",IF($B232=1,VLOOKUP($A232,#REF!,5,FALSE),""))</f>
        <v>#REF!</v>
      </c>
      <c r="F232" s="788" t="s">
        <v>5782</v>
      </c>
      <c r="G232" s="789" t="s">
        <v>91</v>
      </c>
      <c r="H232" s="789" t="s">
        <v>6577</v>
      </c>
      <c r="I232" s="790" t="s">
        <v>6042</v>
      </c>
    </row>
    <row r="233" spans="1:9" ht="25">
      <c r="A233" t="s">
        <v>6645</v>
      </c>
      <c r="B233">
        <f>COUNTIF($A$5:$A233,A233)</f>
        <v>1</v>
      </c>
      <c r="C233">
        <f t="shared" si="6"/>
        <v>1</v>
      </c>
      <c r="D233">
        <f t="shared" si="7"/>
        <v>1</v>
      </c>
      <c r="E233" t="e">
        <f>IF(IF($B233=1,VLOOKUP($A233,#REF!,5,FALSE),"")=0,"",IF($B233=1,VLOOKUP($A233,#REF!,5,FALSE),""))</f>
        <v>#REF!</v>
      </c>
      <c r="F233" s="788" t="s">
        <v>5782</v>
      </c>
      <c r="G233" s="789" t="s">
        <v>91</v>
      </c>
      <c r="H233" s="789" t="s">
        <v>6578</v>
      </c>
      <c r="I233" s="790" t="s">
        <v>6043</v>
      </c>
    </row>
    <row r="234" spans="1:9" ht="37.5">
      <c r="A234" t="s">
        <v>6646</v>
      </c>
      <c r="B234">
        <f>COUNTIF($A$5:$A234,A234)</f>
        <v>1</v>
      </c>
      <c r="C234">
        <f t="shared" si="6"/>
        <v>1</v>
      </c>
      <c r="D234">
        <f t="shared" si="7"/>
        <v>1</v>
      </c>
      <c r="E234" t="e">
        <f>IF(IF($B234=1,VLOOKUP($A234,#REF!,5,FALSE),"")=0,"",IF($B234=1,VLOOKUP($A234,#REF!,5,FALSE),""))</f>
        <v>#REF!</v>
      </c>
      <c r="F234" s="788" t="s">
        <v>5782</v>
      </c>
      <c r="G234" s="789" t="s">
        <v>3054</v>
      </c>
      <c r="H234" s="789" t="s">
        <v>6579</v>
      </c>
      <c r="I234" s="790" t="s">
        <v>6044</v>
      </c>
    </row>
    <row r="235" spans="1:9" ht="25">
      <c r="A235" t="s">
        <v>6649</v>
      </c>
      <c r="B235">
        <f>COUNTIF($A$5:$A235,A235)</f>
        <v>1</v>
      </c>
      <c r="C235">
        <f t="shared" si="6"/>
        <v>1</v>
      </c>
      <c r="D235">
        <f t="shared" si="7"/>
        <v>1</v>
      </c>
      <c r="E235" t="e">
        <f>IF(IF($B235=1,VLOOKUP($A235,#REF!,5,FALSE),"")=0,"",IF($B235=1,VLOOKUP($A235,#REF!,5,FALSE),""))</f>
        <v>#REF!</v>
      </c>
      <c r="F235" s="788" t="s">
        <v>5782</v>
      </c>
      <c r="G235" s="789" t="s">
        <v>2586</v>
      </c>
      <c r="H235" s="789" t="s">
        <v>6581</v>
      </c>
      <c r="I235" s="790" t="s">
        <v>6046</v>
      </c>
    </row>
    <row r="236" spans="1:9" ht="25">
      <c r="A236" t="s">
        <v>6650</v>
      </c>
      <c r="B236">
        <f>COUNTIF($A$5:$A236,A236)</f>
        <v>1</v>
      </c>
      <c r="C236">
        <f t="shared" si="6"/>
        <v>1</v>
      </c>
      <c r="D236">
        <f t="shared" si="7"/>
        <v>1</v>
      </c>
      <c r="E236" t="e">
        <f>IF(IF($B236=1,VLOOKUP($A236,#REF!,5,FALSE),"")=0,"",IF($B236=1,VLOOKUP($A236,#REF!,5,FALSE),""))</f>
        <v>#REF!</v>
      </c>
      <c r="F236" s="788" t="s">
        <v>5782</v>
      </c>
      <c r="G236" s="789" t="s">
        <v>91</v>
      </c>
      <c r="H236" s="789" t="s">
        <v>6582</v>
      </c>
      <c r="I236" s="790" t="s">
        <v>6047</v>
      </c>
    </row>
    <row r="237" spans="1:9" ht="37.5">
      <c r="A237" t="s">
        <v>6651</v>
      </c>
      <c r="B237">
        <f>COUNTIF($A$5:$A237,A237)</f>
        <v>1</v>
      </c>
      <c r="C237">
        <f t="shared" si="6"/>
        <v>1</v>
      </c>
      <c r="D237">
        <f t="shared" si="7"/>
        <v>1</v>
      </c>
      <c r="E237" t="e">
        <f>IF(IF($B237=1,VLOOKUP($A237,#REF!,5,FALSE),"")=0,"",IF($B237=1,VLOOKUP($A237,#REF!,5,FALSE),""))</f>
        <v>#REF!</v>
      </c>
      <c r="F237" s="788" t="s">
        <v>5782</v>
      </c>
      <c r="G237" s="789" t="s">
        <v>4333</v>
      </c>
      <c r="H237" s="789" t="s">
        <v>6583</v>
      </c>
      <c r="I237" s="790" t="s">
        <v>6048</v>
      </c>
    </row>
    <row r="238" spans="1:9">
      <c r="A238" t="s">
        <v>6652</v>
      </c>
      <c r="B238">
        <f>COUNTIF($A$5:$A238,A238)</f>
        <v>1</v>
      </c>
      <c r="C238">
        <f t="shared" si="6"/>
        <v>1</v>
      </c>
      <c r="D238">
        <f t="shared" si="7"/>
        <v>3</v>
      </c>
      <c r="E238" t="e">
        <f>IF(IF($B238=1,VLOOKUP($A238,#REF!,5,FALSE),"")=0,"",IF($B238=1,VLOOKUP($A238,#REF!,5,FALSE),""))</f>
        <v>#REF!</v>
      </c>
      <c r="F238" s="788" t="s">
        <v>5782</v>
      </c>
      <c r="G238" s="789" t="s">
        <v>2425</v>
      </c>
      <c r="H238" s="789" t="s">
        <v>6584</v>
      </c>
      <c r="I238" s="790" t="s">
        <v>6049</v>
      </c>
    </row>
    <row r="239" spans="1:9" ht="25">
      <c r="A239" t="s">
        <v>6654</v>
      </c>
      <c r="B239">
        <f>COUNTIF($A$5:$A239,A239)</f>
        <v>1</v>
      </c>
      <c r="C239">
        <f t="shared" si="6"/>
        <v>1</v>
      </c>
      <c r="D239">
        <f t="shared" si="7"/>
        <v>1</v>
      </c>
      <c r="E239" t="e">
        <f>IF(IF($B239=1,VLOOKUP($A239,#REF!,5,FALSE),"")=0,"",IF($B239=1,VLOOKUP($A239,#REF!,5,FALSE),""))</f>
        <v>#REF!</v>
      </c>
      <c r="F239" s="788" t="s">
        <v>5782</v>
      </c>
      <c r="G239" s="789" t="s">
        <v>2587</v>
      </c>
      <c r="H239" s="789" t="s">
        <v>6586</v>
      </c>
      <c r="I239" s="790" t="s">
        <v>6051</v>
      </c>
    </row>
    <row r="240" spans="1:9" ht="50">
      <c r="A240" t="s">
        <v>6655</v>
      </c>
      <c r="B240">
        <f>COUNTIF($A$5:$A240,A240)</f>
        <v>1</v>
      </c>
      <c r="C240">
        <f t="shared" si="6"/>
        <v>1</v>
      </c>
      <c r="D240" t="e">
        <f t="shared" si="7"/>
        <v>#VALUE!</v>
      </c>
      <c r="E240" t="e">
        <f>IF(IF($B240=1,VLOOKUP($A240,#REF!,5,FALSE),"")=0,"",IF($B240=1,VLOOKUP($A240,#REF!,5,FALSE),""))</f>
        <v>#REF!</v>
      </c>
      <c r="F240" s="788" t="s">
        <v>5782</v>
      </c>
      <c r="G240" s="789" t="s">
        <v>91</v>
      </c>
      <c r="H240" s="789" t="s">
        <v>6587</v>
      </c>
      <c r="I240" s="790" t="s">
        <v>6052</v>
      </c>
    </row>
    <row r="241" spans="1:9" ht="37.5">
      <c r="A241" t="s">
        <v>6656</v>
      </c>
      <c r="B241">
        <f>COUNTIF($A$5:$A241,A241)</f>
        <v>1</v>
      </c>
      <c r="C241">
        <f t="shared" si="6"/>
        <v>1</v>
      </c>
      <c r="D241">
        <f t="shared" si="7"/>
        <v>1</v>
      </c>
      <c r="E241" t="e">
        <f>IF(IF($B241=1,VLOOKUP($A241,#REF!,5,FALSE),"")=0,"",IF($B241=1,VLOOKUP($A241,#REF!,5,FALSE),""))</f>
        <v>#REF!</v>
      </c>
      <c r="F241" s="788" t="s">
        <v>5782</v>
      </c>
      <c r="G241" s="789" t="s">
        <v>3054</v>
      </c>
      <c r="H241" s="789" t="s">
        <v>6588</v>
      </c>
      <c r="I241" s="790" t="s">
        <v>6053</v>
      </c>
    </row>
    <row r="242" spans="1:9" ht="25">
      <c r="A242" t="s">
        <v>6658</v>
      </c>
      <c r="B242">
        <f>COUNTIF($A$5:$A242,A242)</f>
        <v>1</v>
      </c>
      <c r="C242">
        <f t="shared" si="6"/>
        <v>1</v>
      </c>
      <c r="D242">
        <f t="shared" si="7"/>
        <v>1</v>
      </c>
      <c r="E242" t="e">
        <f>IF(IF($B242=1,VLOOKUP($A242,#REF!,5,FALSE),"")=0,"",IF($B242=1,VLOOKUP($A242,#REF!,5,FALSE),""))</f>
        <v>#REF!</v>
      </c>
      <c r="F242" s="788" t="s">
        <v>5782</v>
      </c>
      <c r="G242" s="789" t="s">
        <v>91</v>
      </c>
      <c r="H242" s="789" t="s">
        <v>6590</v>
      </c>
      <c r="I242" s="790" t="s">
        <v>6504</v>
      </c>
    </row>
    <row r="243" spans="1:9" ht="25">
      <c r="A243" t="s">
        <v>6659</v>
      </c>
      <c r="B243">
        <f>COUNTIF($A$5:$A243,A243)</f>
        <v>1</v>
      </c>
      <c r="C243">
        <f t="shared" si="6"/>
        <v>1</v>
      </c>
      <c r="D243">
        <f t="shared" si="7"/>
        <v>1</v>
      </c>
      <c r="E243" t="e">
        <f>IF(IF($B243=1,VLOOKUP($A243,#REF!,5,FALSE),"")=0,"",IF($B243=1,VLOOKUP($A243,#REF!,5,FALSE),""))</f>
        <v>#REF!</v>
      </c>
      <c r="F243" s="788" t="s">
        <v>5782</v>
      </c>
      <c r="G243" s="789" t="s">
        <v>2586</v>
      </c>
      <c r="H243" s="789" t="s">
        <v>6591</v>
      </c>
      <c r="I243" s="790" t="s">
        <v>6055</v>
      </c>
    </row>
    <row r="244" spans="1:9" ht="25">
      <c r="A244" t="s">
        <v>6660</v>
      </c>
      <c r="B244">
        <f>COUNTIF($A$5:$A244,A244)</f>
        <v>1</v>
      </c>
      <c r="C244">
        <f t="shared" si="6"/>
        <v>1</v>
      </c>
      <c r="D244">
        <f t="shared" si="7"/>
        <v>1</v>
      </c>
      <c r="E244" t="e">
        <f>IF(IF($B244=1,VLOOKUP($A244,#REF!,5,FALSE),"")=0,"",IF($B244=1,VLOOKUP($A244,#REF!,5,FALSE),""))</f>
        <v>#REF!</v>
      </c>
      <c r="F244" s="788" t="s">
        <v>5782</v>
      </c>
      <c r="G244" s="789" t="s">
        <v>91</v>
      </c>
      <c r="H244" s="789" t="s">
        <v>6592</v>
      </c>
      <c r="I244" s="790" t="s">
        <v>6056</v>
      </c>
    </row>
    <row r="245" spans="1:9">
      <c r="A245" t="s">
        <v>6662</v>
      </c>
      <c r="B245">
        <f>COUNTIF($A$5:$A245,A245)</f>
        <v>1</v>
      </c>
      <c r="C245">
        <f t="shared" si="6"/>
        <v>1</v>
      </c>
      <c r="D245">
        <f t="shared" si="7"/>
        <v>3</v>
      </c>
      <c r="E245" t="e">
        <f>IF(IF($B245=1,VLOOKUP($A245,#REF!,5,FALSE),"")=0,"",IF($B245=1,VLOOKUP($A245,#REF!,5,FALSE),""))</f>
        <v>#REF!</v>
      </c>
      <c r="F245" s="788" t="s">
        <v>5782</v>
      </c>
      <c r="G245" s="789" t="s">
        <v>2588</v>
      </c>
      <c r="H245" s="789" t="s">
        <v>6594</v>
      </c>
      <c r="I245" s="790" t="s">
        <v>6058</v>
      </c>
    </row>
    <row r="246" spans="1:9" ht="37.5">
      <c r="A246" t="s">
        <v>6663</v>
      </c>
      <c r="B246">
        <f>COUNTIF($A$5:$A246,A246)</f>
        <v>1</v>
      </c>
      <c r="C246">
        <f t="shared" si="6"/>
        <v>1</v>
      </c>
      <c r="D246" t="e">
        <f t="shared" si="7"/>
        <v>#VALUE!</v>
      </c>
      <c r="E246" t="e">
        <f>IF(IF($B246=1,VLOOKUP($A246,#REF!,5,FALSE),"")=0,"",IF($B246=1,VLOOKUP($A246,#REF!,5,FALSE),""))</f>
        <v>#REF!</v>
      </c>
      <c r="F246" s="788" t="s">
        <v>5782</v>
      </c>
      <c r="G246" s="789" t="s">
        <v>2573</v>
      </c>
      <c r="H246" s="789" t="s">
        <v>6595</v>
      </c>
      <c r="I246" s="790" t="s">
        <v>6059</v>
      </c>
    </row>
    <row r="247" spans="1:9">
      <c r="A247" t="s">
        <v>6664</v>
      </c>
      <c r="B247">
        <f>COUNTIF($A$5:$A247,A247)</f>
        <v>1</v>
      </c>
      <c r="C247">
        <f t="shared" si="6"/>
        <v>1</v>
      </c>
      <c r="D247">
        <f t="shared" si="7"/>
        <v>3</v>
      </c>
      <c r="E247" t="e">
        <f>IF(IF($B247=1,VLOOKUP($A247,#REF!,5,FALSE),"")=0,"",IF($B247=1,VLOOKUP($A247,#REF!,5,FALSE),""))</f>
        <v>#REF!</v>
      </c>
      <c r="F247" s="788" t="s">
        <v>5782</v>
      </c>
      <c r="G247" s="789" t="s">
        <v>4333</v>
      </c>
      <c r="H247" s="789" t="s">
        <v>6596</v>
      </c>
      <c r="I247" s="790" t="s">
        <v>6049</v>
      </c>
    </row>
    <row r="248" spans="1:9">
      <c r="A248" t="s">
        <v>6665</v>
      </c>
      <c r="B248">
        <f>COUNTIF($A$5:$A248,A248)</f>
        <v>1</v>
      </c>
      <c r="C248">
        <f t="shared" si="6"/>
        <v>1</v>
      </c>
      <c r="D248">
        <f t="shared" si="7"/>
        <v>3</v>
      </c>
      <c r="E248" t="e">
        <f>IF(IF($B248=1,VLOOKUP($A248,#REF!,5,FALSE),"")=0,"",IF($B248=1,VLOOKUP($A248,#REF!,5,FALSE),""))</f>
        <v>#REF!</v>
      </c>
      <c r="F248" s="788" t="s">
        <v>5782</v>
      </c>
      <c r="G248" s="789" t="s">
        <v>2570</v>
      </c>
      <c r="H248" s="789" t="s">
        <v>6597</v>
      </c>
      <c r="I248" s="790" t="s">
        <v>6058</v>
      </c>
    </row>
    <row r="249" spans="1:9">
      <c r="A249" t="s">
        <v>6666</v>
      </c>
      <c r="B249">
        <f>COUNTIF($A$5:$A249,A249)</f>
        <v>1</v>
      </c>
      <c r="C249">
        <f t="shared" si="6"/>
        <v>1</v>
      </c>
      <c r="D249">
        <f t="shared" si="7"/>
        <v>3</v>
      </c>
      <c r="E249" t="e">
        <f>IF(IF($B249=1,VLOOKUP($A249,#REF!,5,FALSE),"")=0,"",IF($B249=1,VLOOKUP($A249,#REF!,5,FALSE),""))</f>
        <v>#REF!</v>
      </c>
      <c r="F249" s="788" t="s">
        <v>5782</v>
      </c>
      <c r="G249" s="789" t="s">
        <v>2571</v>
      </c>
      <c r="H249" s="789" t="s">
        <v>6598</v>
      </c>
      <c r="I249" s="790" t="s">
        <v>6049</v>
      </c>
    </row>
    <row r="250" spans="1:9" ht="50">
      <c r="A250" t="s">
        <v>6695</v>
      </c>
      <c r="B250">
        <f>COUNTIF($A$5:$A250,A250)</f>
        <v>1</v>
      </c>
      <c r="C250">
        <f t="shared" si="6"/>
        <v>1</v>
      </c>
      <c r="D250" t="e">
        <f t="shared" si="7"/>
        <v>#VALUE!</v>
      </c>
      <c r="E250" t="e">
        <f>IF(IF($B250=1,VLOOKUP($A250,#REF!,5,FALSE),"")=0,"",IF($B250=1,VLOOKUP($A250,#REF!,5,FALSE),""))</f>
        <v>#REF!</v>
      </c>
      <c r="F250" s="788" t="s">
        <v>5782</v>
      </c>
      <c r="G250" s="789" t="s">
        <v>3054</v>
      </c>
      <c r="H250" s="789" t="s">
        <v>6693</v>
      </c>
      <c r="I250" s="790" t="s">
        <v>6527</v>
      </c>
    </row>
    <row r="251" spans="1:9" ht="25">
      <c r="A251" t="s">
        <v>6505</v>
      </c>
      <c r="B251">
        <f>COUNTIF($A$5:$A251,A251)</f>
        <v>1</v>
      </c>
      <c r="C251">
        <f t="shared" si="6"/>
        <v>1</v>
      </c>
      <c r="D251">
        <f t="shared" si="7"/>
        <v>1</v>
      </c>
      <c r="E251" t="e">
        <f>IF(IF($B251=1,VLOOKUP($A251,#REF!,5,FALSE),"")=0,"",IF($B251=1,VLOOKUP($A251,#REF!,5,FALSE),""))</f>
        <v>#REF!</v>
      </c>
      <c r="F251" s="788" t="s">
        <v>5782</v>
      </c>
      <c r="G251" s="789" t="s">
        <v>91</v>
      </c>
      <c r="H251" s="789" t="s">
        <v>6060</v>
      </c>
      <c r="I251" s="790" t="s">
        <v>4662</v>
      </c>
    </row>
    <row r="252" spans="1:9" ht="25">
      <c r="A252" t="s">
        <v>6667</v>
      </c>
      <c r="B252">
        <f>COUNTIF($A$5:$A252,A252)</f>
        <v>1</v>
      </c>
      <c r="C252">
        <f t="shared" si="6"/>
        <v>1</v>
      </c>
      <c r="D252">
        <f t="shared" si="7"/>
        <v>1</v>
      </c>
      <c r="E252" t="e">
        <f>IF(IF($B252=1,VLOOKUP($A252,#REF!,5,FALSE),"")=0,"",IF($B252=1,VLOOKUP($A252,#REF!,5,FALSE),""))</f>
        <v>#REF!</v>
      </c>
      <c r="F252" s="788" t="s">
        <v>5782</v>
      </c>
      <c r="G252" s="789" t="s">
        <v>2582</v>
      </c>
      <c r="H252" s="789" t="s">
        <v>6599</v>
      </c>
      <c r="I252" s="790" t="s">
        <v>6061</v>
      </c>
    </row>
    <row r="253" spans="1:9">
      <c r="A253" t="s">
        <v>6668</v>
      </c>
      <c r="B253">
        <f>COUNTIF($A$5:$A253,A253)</f>
        <v>1</v>
      </c>
      <c r="C253">
        <f t="shared" si="6"/>
        <v>1</v>
      </c>
      <c r="D253">
        <f t="shared" si="7"/>
        <v>3</v>
      </c>
      <c r="E253" t="e">
        <f>IF(IF($B253=1,VLOOKUP($A253,#REF!,5,FALSE),"")=0,"",IF($B253=1,VLOOKUP($A253,#REF!,5,FALSE),""))</f>
        <v>#REF!</v>
      </c>
      <c r="F253" s="788" t="s">
        <v>5782</v>
      </c>
      <c r="G253" s="789" t="s">
        <v>2571</v>
      </c>
      <c r="H253" s="789" t="s">
        <v>6600</v>
      </c>
      <c r="I253" s="790" t="s">
        <v>6058</v>
      </c>
    </row>
    <row r="254" spans="1:9" ht="25">
      <c r="A254" t="s">
        <v>6199</v>
      </c>
      <c r="B254">
        <f>COUNTIF($A$5:$A254,A254)</f>
        <v>1</v>
      </c>
      <c r="C254">
        <f t="shared" si="6"/>
        <v>1</v>
      </c>
      <c r="D254">
        <f t="shared" si="7"/>
        <v>5</v>
      </c>
      <c r="E254" t="e">
        <f>IF(IF($B254=1,VLOOKUP($A254,#REF!,5,FALSE),"")=0,"",IF($B254=1,VLOOKUP($A254,#REF!,5,FALSE),""))</f>
        <v>#REF!</v>
      </c>
      <c r="F254" s="785" t="s">
        <v>963</v>
      </c>
      <c r="G254" s="786" t="s">
        <v>2406</v>
      </c>
      <c r="H254" s="786" t="s">
        <v>4219</v>
      </c>
      <c r="I254" s="787" t="s">
        <v>4502</v>
      </c>
    </row>
    <row r="255" spans="1:9" ht="25">
      <c r="A255" t="s">
        <v>6200</v>
      </c>
      <c r="B255">
        <f>COUNTIF($A$5:$A255,A255)</f>
        <v>1</v>
      </c>
      <c r="C255">
        <f t="shared" si="6"/>
        <v>1</v>
      </c>
      <c r="D255">
        <f t="shared" si="7"/>
        <v>5</v>
      </c>
      <c r="E255" t="e">
        <f>IF(IF($B255=1,VLOOKUP($A255,#REF!,5,FALSE),"")=0,"",IF($B255=1,VLOOKUP($A255,#REF!,5,FALSE),""))</f>
        <v>#REF!</v>
      </c>
      <c r="F255" s="785" t="s">
        <v>963</v>
      </c>
      <c r="G255" s="786" t="s">
        <v>2603</v>
      </c>
      <c r="H255" s="786" t="s">
        <v>5199</v>
      </c>
      <c r="I255" s="787" t="s">
        <v>4502</v>
      </c>
    </row>
    <row r="256" spans="1:9">
      <c r="A256" t="s">
        <v>6201</v>
      </c>
      <c r="B256">
        <f>COUNTIF($A$5:$A256,A256)</f>
        <v>1</v>
      </c>
      <c r="C256">
        <f t="shared" si="6"/>
        <v>1</v>
      </c>
      <c r="D256">
        <f t="shared" si="7"/>
        <v>1</v>
      </c>
      <c r="E256" t="e">
        <f>IF(IF($B256=1,VLOOKUP($A256,#REF!,5,FALSE),"")=0,"",IF($B256=1,VLOOKUP($A256,#REF!,5,FALSE),""))</f>
        <v>#REF!</v>
      </c>
      <c r="F256" s="785" t="s">
        <v>963</v>
      </c>
      <c r="G256" s="786" t="s">
        <v>2609</v>
      </c>
      <c r="H256" s="786" t="s">
        <v>4091</v>
      </c>
      <c r="I256" s="787" t="s">
        <v>4559</v>
      </c>
    </row>
    <row r="257" spans="1:9">
      <c r="A257" t="s">
        <v>6212</v>
      </c>
      <c r="B257">
        <f>COUNTIF($A$5:$A257,A257)</f>
        <v>1</v>
      </c>
      <c r="C257">
        <f t="shared" si="6"/>
        <v>1</v>
      </c>
      <c r="D257">
        <f t="shared" si="7"/>
        <v>5</v>
      </c>
      <c r="E257" t="e">
        <f>IF(IF($B257=1,VLOOKUP($A257,#REF!,5,FALSE),"")=0,"",IF($B257=1,VLOOKUP($A257,#REF!,5,FALSE),""))</f>
        <v>#REF!</v>
      </c>
      <c r="F257" s="785" t="s">
        <v>963</v>
      </c>
      <c r="G257" s="786" t="s">
        <v>2605</v>
      </c>
      <c r="H257" s="786" t="s">
        <v>4532</v>
      </c>
      <c r="I257" s="787" t="s">
        <v>4517</v>
      </c>
    </row>
    <row r="258" spans="1:9">
      <c r="A258" t="s">
        <v>6213</v>
      </c>
      <c r="B258">
        <f>COUNTIF($A$5:$A258,A258)</f>
        <v>1</v>
      </c>
      <c r="C258">
        <f t="shared" si="6"/>
        <v>1</v>
      </c>
      <c r="D258">
        <f t="shared" si="7"/>
        <v>1</v>
      </c>
      <c r="E258" t="e">
        <f>IF(IF($B258=1,VLOOKUP($A258,#REF!,5,FALSE),"")=0,"",IF($B258=1,VLOOKUP($A258,#REF!,5,FALSE),""))</f>
        <v>#REF!</v>
      </c>
      <c r="F258" s="785" t="s">
        <v>963</v>
      </c>
      <c r="G258" s="786" t="s">
        <v>2399</v>
      </c>
      <c r="H258" s="786" t="s">
        <v>4608</v>
      </c>
      <c r="I258" s="787" t="s">
        <v>4607</v>
      </c>
    </row>
    <row r="259" spans="1:9" ht="25">
      <c r="A259" t="s">
        <v>6214</v>
      </c>
      <c r="B259">
        <f>COUNTIF($A$5:$A259,A259)</f>
        <v>1</v>
      </c>
      <c r="C259">
        <f t="shared" si="6"/>
        <v>1</v>
      </c>
      <c r="D259">
        <f t="shared" si="7"/>
        <v>1</v>
      </c>
      <c r="E259" t="e">
        <f>IF(IF($B259=1,VLOOKUP($A259,#REF!,5,FALSE),"")=0,"",IF($B259=1,VLOOKUP($A259,#REF!,5,FALSE),""))</f>
        <v>#REF!</v>
      </c>
      <c r="F259" s="785" t="s">
        <v>963</v>
      </c>
      <c r="G259" s="786" t="s">
        <v>2396</v>
      </c>
      <c r="H259" s="786" t="s">
        <v>4127</v>
      </c>
      <c r="I259" s="787" t="s">
        <v>4554</v>
      </c>
    </row>
    <row r="260" spans="1:9">
      <c r="A260" t="s">
        <v>6215</v>
      </c>
      <c r="B260">
        <f>COUNTIF($A$5:$A260,A260)</f>
        <v>1</v>
      </c>
      <c r="C260">
        <f t="shared" si="6"/>
        <v>1</v>
      </c>
      <c r="D260">
        <f t="shared" si="7"/>
        <v>5</v>
      </c>
      <c r="E260" t="e">
        <f>IF(IF($B260=1,VLOOKUP($A260,#REF!,5,FALSE),"")=0,"",IF($B260=1,VLOOKUP($A260,#REF!,5,FALSE),""))</f>
        <v>#REF!</v>
      </c>
      <c r="F260" s="785" t="s">
        <v>963</v>
      </c>
      <c r="G260" s="786" t="s">
        <v>2401</v>
      </c>
      <c r="H260" s="786" t="s">
        <v>4537</v>
      </c>
      <c r="I260" s="787" t="s">
        <v>4517</v>
      </c>
    </row>
    <row r="261" spans="1:9" ht="25">
      <c r="A261" t="s">
        <v>6216</v>
      </c>
      <c r="B261">
        <f>COUNTIF($A$5:$A261,A261)</f>
        <v>1</v>
      </c>
      <c r="C261">
        <f t="shared" ref="C261:C324" si="8">COUNTIF($H$5:$H$622,H261)</f>
        <v>2</v>
      </c>
      <c r="D261">
        <f t="shared" ref="D261:D324" si="9">COUNTIF($I$5:$I$622,I261)</f>
        <v>1</v>
      </c>
      <c r="E261" t="e">
        <f>IF(IF($B261=1,VLOOKUP($A261,#REF!,5,FALSE),"")=0,"",IF($B261=1,VLOOKUP($A261,#REF!,5,FALSE),""))</f>
        <v>#REF!</v>
      </c>
      <c r="F261" s="785" t="s">
        <v>963</v>
      </c>
      <c r="G261" s="786" t="s">
        <v>2401</v>
      </c>
      <c r="H261" s="786" t="s">
        <v>4189</v>
      </c>
      <c r="I261" s="787" t="s">
        <v>4515</v>
      </c>
    </row>
    <row r="262" spans="1:9" ht="25">
      <c r="A262" t="s">
        <v>6218</v>
      </c>
      <c r="B262">
        <f>COUNTIF($A$5:$A262,A262)</f>
        <v>1</v>
      </c>
      <c r="C262">
        <f t="shared" si="8"/>
        <v>1</v>
      </c>
      <c r="D262">
        <f t="shared" si="9"/>
        <v>1</v>
      </c>
      <c r="E262" t="e">
        <f>IF(IF($B262=1,VLOOKUP($A262,#REF!,5,FALSE),"")=0,"",IF($B262=1,VLOOKUP($A262,#REF!,5,FALSE),""))</f>
        <v>#REF!</v>
      </c>
      <c r="F262" s="785" t="s">
        <v>963</v>
      </c>
      <c r="G262" s="786" t="s">
        <v>2401</v>
      </c>
      <c r="H262" s="786" t="s">
        <v>4349</v>
      </c>
      <c r="I262" s="787" t="s">
        <v>4573</v>
      </c>
    </row>
    <row r="263" spans="1:9" ht="25">
      <c r="A263" t="s">
        <v>6222</v>
      </c>
      <c r="B263">
        <f>COUNTIF($A$5:$A263,A263)</f>
        <v>1</v>
      </c>
      <c r="C263">
        <f t="shared" si="8"/>
        <v>2</v>
      </c>
      <c r="D263">
        <f t="shared" si="9"/>
        <v>1</v>
      </c>
      <c r="E263" t="e">
        <f>IF(IF($B263=1,VLOOKUP($A263,#REF!,5,FALSE),"")=0,"",IF($B263=1,VLOOKUP($A263,#REF!,5,FALSE),""))</f>
        <v>#REF!</v>
      </c>
      <c r="F263" s="785" t="s">
        <v>963</v>
      </c>
      <c r="G263" s="786" t="s">
        <v>2614</v>
      </c>
      <c r="H263" s="786" t="s">
        <v>4007</v>
      </c>
      <c r="I263" s="787" t="s">
        <v>4605</v>
      </c>
    </row>
    <row r="264" spans="1:9">
      <c r="A264" t="s">
        <v>6223</v>
      </c>
      <c r="B264">
        <f>COUNTIF($A$5:$A264,A264)</f>
        <v>1</v>
      </c>
      <c r="C264">
        <f t="shared" si="8"/>
        <v>2</v>
      </c>
      <c r="D264">
        <f t="shared" si="9"/>
        <v>1</v>
      </c>
      <c r="E264" t="e">
        <f>IF(IF($B264=1,VLOOKUP($A264,#REF!,5,FALSE),"")=0,"",IF($B264=1,VLOOKUP($A264,#REF!,5,FALSE),""))</f>
        <v>#REF!</v>
      </c>
      <c r="F264" s="785" t="s">
        <v>963</v>
      </c>
      <c r="G264" s="786" t="s">
        <v>2617</v>
      </c>
      <c r="H264" s="786" t="s">
        <v>3959</v>
      </c>
      <c r="I264" s="787" t="s">
        <v>4586</v>
      </c>
    </row>
    <row r="265" spans="1:9" ht="25">
      <c r="A265" t="s">
        <v>6225</v>
      </c>
      <c r="B265">
        <f>COUNTIF($A$5:$A265,A265)</f>
        <v>1</v>
      </c>
      <c r="C265">
        <f t="shared" si="8"/>
        <v>1</v>
      </c>
      <c r="D265">
        <f t="shared" si="9"/>
        <v>1</v>
      </c>
      <c r="E265" t="e">
        <f>IF(IF($B265=1,VLOOKUP($A265,#REF!,5,FALSE),"")=0,"",IF($B265=1,VLOOKUP($A265,#REF!,5,FALSE),""))</f>
        <v>#REF!</v>
      </c>
      <c r="F265" s="785" t="s">
        <v>963</v>
      </c>
      <c r="G265" s="786" t="s">
        <v>2606</v>
      </c>
      <c r="H265" s="786" t="s">
        <v>3926</v>
      </c>
      <c r="I265" s="787" t="s">
        <v>4551</v>
      </c>
    </row>
    <row r="266" spans="1:9">
      <c r="A266" t="s">
        <v>6226</v>
      </c>
      <c r="B266">
        <f>COUNTIF($A$5:$A266,A266)</f>
        <v>1</v>
      </c>
      <c r="C266">
        <f t="shared" si="8"/>
        <v>1</v>
      </c>
      <c r="D266">
        <f t="shared" si="9"/>
        <v>1</v>
      </c>
      <c r="E266" t="e">
        <f>IF(IF($B266=1,VLOOKUP($A266,#REF!,5,FALSE),"")=0,"",IF($B266=1,VLOOKUP($A266,#REF!,5,FALSE),""))</f>
        <v>#REF!</v>
      </c>
      <c r="F266" s="785" t="s">
        <v>963</v>
      </c>
      <c r="G266" s="786" t="s">
        <v>2396</v>
      </c>
      <c r="H266" s="786" t="s">
        <v>3937</v>
      </c>
      <c r="I266" s="787" t="s">
        <v>4556</v>
      </c>
    </row>
    <row r="267" spans="1:9">
      <c r="A267" t="s">
        <v>6227</v>
      </c>
      <c r="B267">
        <f>COUNTIF($A$5:$A267,A267)</f>
        <v>1</v>
      </c>
      <c r="C267">
        <f t="shared" si="8"/>
        <v>1</v>
      </c>
      <c r="D267">
        <f t="shared" si="9"/>
        <v>5</v>
      </c>
      <c r="E267" t="e">
        <f>IF(IF($B267=1,VLOOKUP($A267,#REF!,5,FALSE),"")=0,"",IF($B267=1,VLOOKUP($A267,#REF!,5,FALSE),""))</f>
        <v>#REF!</v>
      </c>
      <c r="F267" s="785" t="s">
        <v>963</v>
      </c>
      <c r="G267" s="786" t="s">
        <v>2396</v>
      </c>
      <c r="H267" s="786" t="s">
        <v>4524</v>
      </c>
      <c r="I267" s="787" t="s">
        <v>4517</v>
      </c>
    </row>
    <row r="268" spans="1:9" ht="25">
      <c r="A268" t="s">
        <v>6229</v>
      </c>
      <c r="B268">
        <f>COUNTIF($A$5:$A268,A268)</f>
        <v>1</v>
      </c>
      <c r="C268">
        <f t="shared" si="8"/>
        <v>1</v>
      </c>
      <c r="D268">
        <f t="shared" si="9"/>
        <v>1</v>
      </c>
      <c r="E268" t="e">
        <f>IF(IF($B268=1,VLOOKUP($A268,#REF!,5,FALSE),"")=0,"",IF($B268=1,VLOOKUP($A268,#REF!,5,FALSE),""))</f>
        <v>#REF!</v>
      </c>
      <c r="F268" s="785" t="s">
        <v>963</v>
      </c>
      <c r="G268" s="786" t="s">
        <v>2603</v>
      </c>
      <c r="H268" s="786" t="s">
        <v>3934</v>
      </c>
      <c r="I268" s="787" t="s">
        <v>4558</v>
      </c>
    </row>
    <row r="269" spans="1:9">
      <c r="A269" t="s">
        <v>6232</v>
      </c>
      <c r="B269">
        <f>COUNTIF($A$5:$A269,A269)</f>
        <v>1</v>
      </c>
      <c r="C269">
        <f t="shared" si="8"/>
        <v>1</v>
      </c>
      <c r="D269">
        <f t="shared" si="9"/>
        <v>1</v>
      </c>
      <c r="E269" t="e">
        <f>IF(IF($B269=1,VLOOKUP($A269,#REF!,5,FALSE),"")=0,"",IF($B269=1,VLOOKUP($A269,#REF!,5,FALSE),""))</f>
        <v>#REF!</v>
      </c>
      <c r="F269" s="785" t="s">
        <v>963</v>
      </c>
      <c r="G269" s="786" t="s">
        <v>2270</v>
      </c>
      <c r="H269" s="786" t="s">
        <v>3973</v>
      </c>
      <c r="I269" s="787" t="s">
        <v>4599</v>
      </c>
    </row>
    <row r="270" spans="1:9" ht="25">
      <c r="A270" t="s">
        <v>6234</v>
      </c>
      <c r="B270">
        <f>COUNTIF($A$5:$A270,A270)</f>
        <v>1</v>
      </c>
      <c r="C270">
        <f t="shared" si="8"/>
        <v>2</v>
      </c>
      <c r="D270">
        <f t="shared" si="9"/>
        <v>1</v>
      </c>
      <c r="E270" t="e">
        <f>IF(IF($B270=1,VLOOKUP($A270,#REF!,5,FALSE),"")=0,"",IF($B270=1,VLOOKUP($A270,#REF!,5,FALSE),""))</f>
        <v>#REF!</v>
      </c>
      <c r="F270" s="785" t="s">
        <v>963</v>
      </c>
      <c r="G270" s="786" t="s">
        <v>2399</v>
      </c>
      <c r="H270" s="786" t="s">
        <v>4148</v>
      </c>
      <c r="I270" s="787" t="s">
        <v>4630</v>
      </c>
    </row>
    <row r="271" spans="1:9">
      <c r="A271" t="s">
        <v>6238</v>
      </c>
      <c r="B271">
        <f>COUNTIF($A$5:$A271,A271)</f>
        <v>1</v>
      </c>
      <c r="C271">
        <f t="shared" si="8"/>
        <v>1</v>
      </c>
      <c r="D271">
        <f t="shared" si="9"/>
        <v>1</v>
      </c>
      <c r="E271" t="e">
        <f>IF(IF($B271=1,VLOOKUP($A271,#REF!,5,FALSE),"")=0,"",IF($B271=1,VLOOKUP($A271,#REF!,5,FALSE),""))</f>
        <v>#REF!</v>
      </c>
      <c r="F271" s="785" t="s">
        <v>963</v>
      </c>
      <c r="G271" s="786" t="s">
        <v>2399</v>
      </c>
      <c r="H271" s="786" t="s">
        <v>4519</v>
      </c>
      <c r="I271" s="787" t="s">
        <v>4503</v>
      </c>
    </row>
    <row r="272" spans="1:9">
      <c r="A272" t="s">
        <v>6243</v>
      </c>
      <c r="B272">
        <f>COUNTIF($A$5:$A272,A272)</f>
        <v>1</v>
      </c>
      <c r="C272">
        <f t="shared" si="8"/>
        <v>2</v>
      </c>
      <c r="D272">
        <f t="shared" si="9"/>
        <v>1</v>
      </c>
      <c r="E272" t="e">
        <f>IF(IF($B272=1,VLOOKUP($A272,#REF!,5,FALSE),"")=0,"",IF($B272=1,VLOOKUP($A272,#REF!,5,FALSE),""))</f>
        <v>#REF!</v>
      </c>
      <c r="F272" s="785" t="s">
        <v>963</v>
      </c>
      <c r="G272" s="786" t="s">
        <v>2617</v>
      </c>
      <c r="H272" s="786" t="s">
        <v>4187</v>
      </c>
      <c r="I272" s="787" t="s">
        <v>4508</v>
      </c>
    </row>
    <row r="273" spans="1:9">
      <c r="A273" t="s">
        <v>6244</v>
      </c>
      <c r="B273">
        <f>COUNTIF($A$5:$A273,A273)</f>
        <v>1</v>
      </c>
      <c r="C273">
        <f t="shared" si="8"/>
        <v>2</v>
      </c>
      <c r="D273">
        <f t="shared" si="9"/>
        <v>2</v>
      </c>
      <c r="E273" t="e">
        <f>IF(IF($B273=1,VLOOKUP($A273,#REF!,5,FALSE),"")=0,"",IF($B273=1,VLOOKUP($A273,#REF!,5,FALSE),""))</f>
        <v>#REF!</v>
      </c>
      <c r="F273" s="785" t="s">
        <v>963</v>
      </c>
      <c r="G273" s="786" t="s">
        <v>2610</v>
      </c>
      <c r="H273" s="786" t="s">
        <v>2358</v>
      </c>
      <c r="I273" s="787" t="s">
        <v>4706</v>
      </c>
    </row>
    <row r="274" spans="1:9">
      <c r="A274" t="s">
        <v>6246</v>
      </c>
      <c r="B274">
        <f>COUNTIF($A$5:$A274,A274)</f>
        <v>1</v>
      </c>
      <c r="C274">
        <f t="shared" si="8"/>
        <v>1</v>
      </c>
      <c r="D274">
        <f t="shared" si="9"/>
        <v>1</v>
      </c>
      <c r="E274" t="e">
        <f>IF(IF($B274=1,VLOOKUP($A274,#REF!,5,FALSE),"")=0,"",IF($B274=1,VLOOKUP($A274,#REF!,5,FALSE),""))</f>
        <v>#REF!</v>
      </c>
      <c r="F274" s="785" t="s">
        <v>963</v>
      </c>
      <c r="G274" s="786" t="s">
        <v>2396</v>
      </c>
      <c r="H274" s="786" t="s">
        <v>3943</v>
      </c>
      <c r="I274" s="787" t="s">
        <v>4523</v>
      </c>
    </row>
    <row r="275" spans="1:9">
      <c r="A275" t="s">
        <v>6247</v>
      </c>
      <c r="B275">
        <f>COUNTIF($A$5:$A275,A275)</f>
        <v>1</v>
      </c>
      <c r="C275">
        <f t="shared" si="8"/>
        <v>2</v>
      </c>
      <c r="D275">
        <f t="shared" si="9"/>
        <v>3</v>
      </c>
      <c r="E275" t="e">
        <f>IF(IF($B275=1,VLOOKUP($A275,#REF!,5,FALSE),"")=0,"",IF($B275=1,VLOOKUP($A275,#REF!,5,FALSE),""))</f>
        <v>#REF!</v>
      </c>
      <c r="F275" s="785" t="s">
        <v>963</v>
      </c>
      <c r="G275" s="786" t="s">
        <v>2611</v>
      </c>
      <c r="H275" s="786" t="s">
        <v>4095</v>
      </c>
      <c r="I275" s="787" t="s">
        <v>4555</v>
      </c>
    </row>
    <row r="276" spans="1:9" ht="25">
      <c r="A276" t="s">
        <v>6248</v>
      </c>
      <c r="B276">
        <f>COUNTIF($A$5:$A276,A276)</f>
        <v>1</v>
      </c>
      <c r="C276">
        <f t="shared" si="8"/>
        <v>1</v>
      </c>
      <c r="D276">
        <f t="shared" si="9"/>
        <v>5</v>
      </c>
      <c r="E276" t="e">
        <f>IF(IF($B276=1,VLOOKUP($A276,#REF!,5,FALSE),"")=0,"",IF($B276=1,VLOOKUP($A276,#REF!,5,FALSE),""))</f>
        <v>#REF!</v>
      </c>
      <c r="F276" s="785" t="s">
        <v>963</v>
      </c>
      <c r="G276" s="786" t="s">
        <v>2406</v>
      </c>
      <c r="H276" s="786" t="s">
        <v>6088</v>
      </c>
      <c r="I276" s="787" t="s">
        <v>4502</v>
      </c>
    </row>
    <row r="277" spans="1:9">
      <c r="A277" t="s">
        <v>6251</v>
      </c>
      <c r="B277">
        <f>COUNTIF($A$5:$A277,A277)</f>
        <v>1</v>
      </c>
      <c r="C277">
        <f t="shared" si="8"/>
        <v>1</v>
      </c>
      <c r="D277">
        <f t="shared" si="9"/>
        <v>5</v>
      </c>
      <c r="E277" t="e">
        <f>IF(IF($B277=1,VLOOKUP($A277,#REF!,5,FALSE),"")=0,"",IF($B277=1,VLOOKUP($A277,#REF!,5,FALSE),""))</f>
        <v>#REF!</v>
      </c>
      <c r="F277" s="785" t="s">
        <v>963</v>
      </c>
      <c r="G277" s="786" t="s">
        <v>2396</v>
      </c>
      <c r="H277" s="786" t="s">
        <v>4156</v>
      </c>
      <c r="I277" s="787" t="s">
        <v>4517</v>
      </c>
    </row>
    <row r="278" spans="1:9">
      <c r="A278" t="s">
        <v>6253</v>
      </c>
      <c r="B278">
        <f>COUNTIF($A$5:$A278,A278)</f>
        <v>1</v>
      </c>
      <c r="C278">
        <f t="shared" si="8"/>
        <v>1</v>
      </c>
      <c r="D278">
        <f t="shared" si="9"/>
        <v>5</v>
      </c>
      <c r="E278" t="e">
        <f>IF(IF($B278=1,VLOOKUP($A278,#REF!,5,FALSE),"")=0,"",IF($B278=1,VLOOKUP($A278,#REF!,5,FALSE),""))</f>
        <v>#REF!</v>
      </c>
      <c r="F278" s="785" t="s">
        <v>963</v>
      </c>
      <c r="G278" s="786" t="s">
        <v>2609</v>
      </c>
      <c r="H278" s="786" t="s">
        <v>4538</v>
      </c>
      <c r="I278" s="787" t="s">
        <v>4517</v>
      </c>
    </row>
    <row r="279" spans="1:9" ht="25">
      <c r="A279" t="s">
        <v>6257</v>
      </c>
      <c r="B279">
        <f>COUNTIF($A$5:$A279,A279)</f>
        <v>1</v>
      </c>
      <c r="C279">
        <f t="shared" si="8"/>
        <v>2</v>
      </c>
      <c r="D279">
        <f t="shared" si="9"/>
        <v>1</v>
      </c>
      <c r="E279" t="e">
        <f>IF(IF($B279=1,VLOOKUP($A279,#REF!,5,FALSE),"")=0,"",IF($B279=1,VLOOKUP($A279,#REF!,5,FALSE),""))</f>
        <v>#REF!</v>
      </c>
      <c r="F279" s="785" t="s">
        <v>963</v>
      </c>
      <c r="G279" s="786" t="s">
        <v>2609</v>
      </c>
      <c r="H279" s="786" t="s">
        <v>3948</v>
      </c>
      <c r="I279" s="787" t="s">
        <v>4585</v>
      </c>
    </row>
    <row r="280" spans="1:9">
      <c r="A280" t="s">
        <v>5647</v>
      </c>
      <c r="B280">
        <f>COUNTIF($A$5:$A280,A280)</f>
        <v>1</v>
      </c>
      <c r="C280">
        <f t="shared" si="8"/>
        <v>1</v>
      </c>
      <c r="D280">
        <f t="shared" si="9"/>
        <v>5</v>
      </c>
      <c r="E280" t="e">
        <f>IF(IF($B280=1,VLOOKUP($A280,#REF!,5,FALSE),"")=0,"",IF($B280=1,VLOOKUP($A280,#REF!,5,FALSE),""))</f>
        <v>#REF!</v>
      </c>
      <c r="F280" s="785" t="s">
        <v>963</v>
      </c>
      <c r="G280" s="786" t="s">
        <v>2398</v>
      </c>
      <c r="H280" s="786" t="s">
        <v>4761</v>
      </c>
      <c r="I280" s="787" t="s">
        <v>4509</v>
      </c>
    </row>
    <row r="281" spans="1:9">
      <c r="A281" t="s">
        <v>5648</v>
      </c>
      <c r="B281">
        <f>COUNTIF($A$5:$A281,A281)</f>
        <v>1</v>
      </c>
      <c r="C281">
        <f t="shared" si="8"/>
        <v>1</v>
      </c>
      <c r="D281">
        <f t="shared" si="9"/>
        <v>1</v>
      </c>
      <c r="E281" t="e">
        <f>IF(IF($B281=1,VLOOKUP($A281,#REF!,5,FALSE),"")=0,"",IF($B281=1,VLOOKUP($A281,#REF!,5,FALSE),""))</f>
        <v>#REF!</v>
      </c>
      <c r="F281" s="785" t="s">
        <v>963</v>
      </c>
      <c r="G281" s="786" t="s">
        <v>2396</v>
      </c>
      <c r="H281" s="786" t="s">
        <v>4768</v>
      </c>
      <c r="I281" s="787" t="s">
        <v>4962</v>
      </c>
    </row>
    <row r="282" spans="1:9">
      <c r="A282" t="s">
        <v>6260</v>
      </c>
      <c r="B282">
        <f>COUNTIF($A$5:$A282,A282)</f>
        <v>1</v>
      </c>
      <c r="C282">
        <f t="shared" si="8"/>
        <v>1</v>
      </c>
      <c r="D282">
        <f t="shared" si="9"/>
        <v>1</v>
      </c>
      <c r="E282" t="e">
        <f>IF(IF($B282=1,VLOOKUP($A282,#REF!,5,FALSE),"")=0,"",IF($B282=1,VLOOKUP($A282,#REF!,5,FALSE),""))</f>
        <v>#REF!</v>
      </c>
      <c r="F282" s="785" t="s">
        <v>963</v>
      </c>
      <c r="G282" s="786" t="s">
        <v>2396</v>
      </c>
      <c r="H282" s="786" t="s">
        <v>6091</v>
      </c>
      <c r="I282" s="787" t="s">
        <v>5317</v>
      </c>
    </row>
    <row r="283" spans="1:9">
      <c r="A283" t="s">
        <v>6264</v>
      </c>
      <c r="B283">
        <f>COUNTIF($A$5:$A283,A283)</f>
        <v>1</v>
      </c>
      <c r="C283">
        <f t="shared" si="8"/>
        <v>1</v>
      </c>
      <c r="D283">
        <f t="shared" si="9"/>
        <v>1</v>
      </c>
      <c r="E283" t="e">
        <f>IF(IF($B283=1,VLOOKUP($A283,#REF!,5,FALSE),"")=0,"",IF($B283=1,VLOOKUP($A283,#REF!,5,FALSE),""))</f>
        <v>#REF!</v>
      </c>
      <c r="F283" s="785" t="s">
        <v>963</v>
      </c>
      <c r="G283" s="786" t="s">
        <v>2396</v>
      </c>
      <c r="H283" s="786" t="s">
        <v>6093</v>
      </c>
      <c r="I283" s="787" t="s">
        <v>4988</v>
      </c>
    </row>
    <row r="284" spans="1:9" ht="25">
      <c r="A284" t="s">
        <v>6265</v>
      </c>
      <c r="B284">
        <f>COUNTIF($A$5:$A284,A284)</f>
        <v>1</v>
      </c>
      <c r="C284">
        <f t="shared" si="8"/>
        <v>1</v>
      </c>
      <c r="D284">
        <f t="shared" si="9"/>
        <v>1</v>
      </c>
      <c r="E284" t="e">
        <f>IF(IF($B284=1,VLOOKUP($A284,#REF!,5,FALSE),"")=0,"",IF($B284=1,VLOOKUP($A284,#REF!,5,FALSE),""))</f>
        <v>#REF!</v>
      </c>
      <c r="F284" s="785" t="s">
        <v>963</v>
      </c>
      <c r="G284" s="786" t="s">
        <v>2396</v>
      </c>
      <c r="H284" s="786" t="s">
        <v>6094</v>
      </c>
      <c r="I284" s="787" t="s">
        <v>4966</v>
      </c>
    </row>
    <row r="285" spans="1:9">
      <c r="A285" t="s">
        <v>6268</v>
      </c>
      <c r="B285">
        <f>COUNTIF($A$5:$A285,A285)</f>
        <v>1</v>
      </c>
      <c r="C285">
        <f t="shared" si="8"/>
        <v>1</v>
      </c>
      <c r="D285">
        <f t="shared" si="9"/>
        <v>1</v>
      </c>
      <c r="E285" t="e">
        <f>IF(IF($B285=1,VLOOKUP($A285,#REF!,5,FALSE),"")=0,"",IF($B285=1,VLOOKUP($A285,#REF!,5,FALSE),""))</f>
        <v>#REF!</v>
      </c>
      <c r="F285" s="785" t="s">
        <v>963</v>
      </c>
      <c r="G285" s="786" t="s">
        <v>2396</v>
      </c>
      <c r="H285" s="786" t="s">
        <v>6097</v>
      </c>
      <c r="I285" s="787" t="s">
        <v>4994</v>
      </c>
    </row>
    <row r="286" spans="1:9">
      <c r="A286" t="s">
        <v>6269</v>
      </c>
      <c r="B286">
        <f>COUNTIF($A$5:$A286,A286)</f>
        <v>1</v>
      </c>
      <c r="C286">
        <f t="shared" si="8"/>
        <v>1</v>
      </c>
      <c r="D286">
        <f t="shared" si="9"/>
        <v>1</v>
      </c>
      <c r="E286" t="e">
        <f>IF(IF($B286=1,VLOOKUP($A286,#REF!,5,FALSE),"")=0,"",IF($B286=1,VLOOKUP($A286,#REF!,5,FALSE),""))</f>
        <v>#REF!</v>
      </c>
      <c r="F286" s="785" t="s">
        <v>963</v>
      </c>
      <c r="G286" s="786" t="s">
        <v>2396</v>
      </c>
      <c r="H286" s="786" t="s">
        <v>6098</v>
      </c>
      <c r="I286" s="787" t="s">
        <v>4984</v>
      </c>
    </row>
    <row r="287" spans="1:9">
      <c r="A287" t="s">
        <v>6270</v>
      </c>
      <c r="B287">
        <f>COUNTIF($A$5:$A287,A287)</f>
        <v>1</v>
      </c>
      <c r="C287">
        <f t="shared" si="8"/>
        <v>1</v>
      </c>
      <c r="D287">
        <f t="shared" si="9"/>
        <v>1</v>
      </c>
      <c r="E287" t="e">
        <f>IF(IF($B287=1,VLOOKUP($A287,#REF!,5,FALSE),"")=0,"",IF($B287=1,VLOOKUP($A287,#REF!,5,FALSE),""))</f>
        <v>#REF!</v>
      </c>
      <c r="F287" s="785" t="s">
        <v>963</v>
      </c>
      <c r="G287" s="786" t="s">
        <v>2396</v>
      </c>
      <c r="H287" s="786" t="s">
        <v>6099</v>
      </c>
      <c r="I287" s="787" t="s">
        <v>4961</v>
      </c>
    </row>
    <row r="288" spans="1:9" ht="25">
      <c r="A288" t="s">
        <v>6271</v>
      </c>
      <c r="B288">
        <f>COUNTIF($A$5:$A288,A288)</f>
        <v>1</v>
      </c>
      <c r="C288">
        <f t="shared" si="8"/>
        <v>1</v>
      </c>
      <c r="D288">
        <f t="shared" si="9"/>
        <v>1</v>
      </c>
      <c r="E288" t="e">
        <f>IF(IF($B288=1,VLOOKUP($A288,#REF!,5,FALSE),"")=0,"",IF($B288=1,VLOOKUP($A288,#REF!,5,FALSE),""))</f>
        <v>#REF!</v>
      </c>
      <c r="F288" s="785" t="s">
        <v>963</v>
      </c>
      <c r="G288" s="786" t="s">
        <v>2396</v>
      </c>
      <c r="H288" s="786" t="s">
        <v>6100</v>
      </c>
      <c r="I288" s="787" t="s">
        <v>4959</v>
      </c>
    </row>
    <row r="289" spans="1:9">
      <c r="A289" t="s">
        <v>6272</v>
      </c>
      <c r="B289">
        <f>COUNTIF($A$5:$A289,A289)</f>
        <v>1</v>
      </c>
      <c r="C289">
        <f t="shared" si="8"/>
        <v>1</v>
      </c>
      <c r="D289">
        <f t="shared" si="9"/>
        <v>1</v>
      </c>
      <c r="E289" t="e">
        <f>IF(IF($B289=1,VLOOKUP($A289,#REF!,5,FALSE),"")=0,"",IF($B289=1,VLOOKUP($A289,#REF!,5,FALSE),""))</f>
        <v>#REF!</v>
      </c>
      <c r="F289" s="785" t="s">
        <v>963</v>
      </c>
      <c r="G289" s="786" t="s">
        <v>2396</v>
      </c>
      <c r="H289" s="786" t="s">
        <v>6101</v>
      </c>
      <c r="I289" s="787" t="s">
        <v>4982</v>
      </c>
    </row>
    <row r="290" spans="1:9">
      <c r="A290" t="s">
        <v>6273</v>
      </c>
      <c r="B290">
        <f>COUNTIF($A$5:$A290,A290)</f>
        <v>1</v>
      </c>
      <c r="C290">
        <f t="shared" si="8"/>
        <v>1</v>
      </c>
      <c r="D290">
        <f t="shared" si="9"/>
        <v>1</v>
      </c>
      <c r="E290" t="e">
        <f>IF(IF($B290=1,VLOOKUP($A290,#REF!,5,FALSE),"")=0,"",IF($B290=1,VLOOKUP($A290,#REF!,5,FALSE),""))</f>
        <v>#REF!</v>
      </c>
      <c r="F290" s="785" t="s">
        <v>963</v>
      </c>
      <c r="G290" s="786" t="s">
        <v>2398</v>
      </c>
      <c r="H290" s="786" t="s">
        <v>6102</v>
      </c>
      <c r="I290" s="787" t="s">
        <v>4995</v>
      </c>
    </row>
    <row r="291" spans="1:9">
      <c r="A291" t="s">
        <v>6274</v>
      </c>
      <c r="B291">
        <f>COUNTIF($A$5:$A291,A291)</f>
        <v>1</v>
      </c>
      <c r="C291">
        <f t="shared" si="8"/>
        <v>1</v>
      </c>
      <c r="D291">
        <f t="shared" si="9"/>
        <v>6</v>
      </c>
      <c r="E291" t="e">
        <f>IF(IF($B291=1,VLOOKUP($A291,#REF!,5,FALSE),"")=0,"",IF($B291=1,VLOOKUP($A291,#REF!,5,FALSE),""))</f>
        <v>#REF!</v>
      </c>
      <c r="F291" s="785" t="s">
        <v>963</v>
      </c>
      <c r="G291" s="786" t="s">
        <v>2396</v>
      </c>
      <c r="H291" s="786" t="s">
        <v>6103</v>
      </c>
      <c r="I291" s="787" t="s">
        <v>4969</v>
      </c>
    </row>
    <row r="292" spans="1:9">
      <c r="A292" t="s">
        <v>5649</v>
      </c>
      <c r="B292">
        <f>COUNTIF($A$5:$A292,A292)</f>
        <v>1</v>
      </c>
      <c r="C292">
        <f t="shared" si="8"/>
        <v>1</v>
      </c>
      <c r="D292">
        <f t="shared" si="9"/>
        <v>1</v>
      </c>
      <c r="E292" t="e">
        <f>IF(IF($B292=1,VLOOKUP($A292,#REF!,5,FALSE),"")=0,"",IF($B292=1,VLOOKUP($A292,#REF!,5,FALSE),""))</f>
        <v>#REF!</v>
      </c>
      <c r="F292" s="785" t="s">
        <v>963</v>
      </c>
      <c r="G292" s="786" t="s">
        <v>2398</v>
      </c>
      <c r="H292" s="786" t="s">
        <v>4794</v>
      </c>
      <c r="I292" s="787" t="s">
        <v>4970</v>
      </c>
    </row>
    <row r="293" spans="1:9" ht="25">
      <c r="A293" t="s">
        <v>6275</v>
      </c>
      <c r="B293">
        <f>COUNTIF($A$5:$A293,A293)</f>
        <v>1</v>
      </c>
      <c r="C293">
        <f t="shared" si="8"/>
        <v>1</v>
      </c>
      <c r="D293">
        <f t="shared" si="9"/>
        <v>1</v>
      </c>
      <c r="E293" t="e">
        <f>IF(IF($B293=1,VLOOKUP($A293,#REF!,5,FALSE),"")=0,"",IF($B293=1,VLOOKUP($A293,#REF!,5,FALSE),""))</f>
        <v>#REF!</v>
      </c>
      <c r="F293" s="785" t="s">
        <v>963</v>
      </c>
      <c r="G293" s="786" t="s">
        <v>2398</v>
      </c>
      <c r="H293" s="786" t="s">
        <v>6104</v>
      </c>
      <c r="I293" s="787" t="s">
        <v>4960</v>
      </c>
    </row>
    <row r="294" spans="1:9">
      <c r="A294" t="s">
        <v>6278</v>
      </c>
      <c r="B294">
        <f>COUNTIF($A$5:$A294,A294)</f>
        <v>1</v>
      </c>
      <c r="C294">
        <f t="shared" si="8"/>
        <v>1</v>
      </c>
      <c r="D294">
        <f t="shared" si="9"/>
        <v>1</v>
      </c>
      <c r="E294" t="e">
        <f>IF(IF($B294=1,VLOOKUP($A294,#REF!,5,FALSE),"")=0,"",IF($B294=1,VLOOKUP($A294,#REF!,5,FALSE),""))</f>
        <v>#REF!</v>
      </c>
      <c r="F294" s="785" t="s">
        <v>963</v>
      </c>
      <c r="G294" s="786" t="s">
        <v>2396</v>
      </c>
      <c r="H294" s="786" t="s">
        <v>6106</v>
      </c>
      <c r="I294" s="787" t="s">
        <v>5316</v>
      </c>
    </row>
    <row r="295" spans="1:9">
      <c r="A295" t="s">
        <v>6279</v>
      </c>
      <c r="B295">
        <f>COUNTIF($A$5:$A295,A295)</f>
        <v>1</v>
      </c>
      <c r="C295">
        <f t="shared" si="8"/>
        <v>1</v>
      </c>
      <c r="D295">
        <f t="shared" si="9"/>
        <v>18</v>
      </c>
      <c r="E295" t="e">
        <f>IF(IF($B295=1,VLOOKUP($A295,#REF!,5,FALSE),"")=0,"",IF($B295=1,VLOOKUP($A295,#REF!,5,FALSE),""))</f>
        <v>#REF!</v>
      </c>
      <c r="F295" s="785" t="s">
        <v>963</v>
      </c>
      <c r="G295" s="786" t="s">
        <v>2399</v>
      </c>
      <c r="H295" s="786" t="s">
        <v>6107</v>
      </c>
      <c r="I295" s="787" t="s">
        <v>4668</v>
      </c>
    </row>
    <row r="296" spans="1:9">
      <c r="A296" t="s">
        <v>6280</v>
      </c>
      <c r="B296">
        <f>COUNTIF($A$5:$A296,A296)</f>
        <v>1</v>
      </c>
      <c r="C296">
        <f t="shared" si="8"/>
        <v>1</v>
      </c>
      <c r="D296">
        <f t="shared" si="9"/>
        <v>1</v>
      </c>
      <c r="E296" t="e">
        <f>IF(IF($B296=1,VLOOKUP($A296,#REF!,5,FALSE),"")=0,"",IF($B296=1,VLOOKUP($A296,#REF!,5,FALSE),""))</f>
        <v>#REF!</v>
      </c>
      <c r="F296" s="785" t="s">
        <v>963</v>
      </c>
      <c r="G296" s="786" t="s">
        <v>2398</v>
      </c>
      <c r="H296" s="786" t="s">
        <v>6108</v>
      </c>
      <c r="I296" s="787" t="s">
        <v>4965</v>
      </c>
    </row>
    <row r="297" spans="1:9">
      <c r="A297" t="s">
        <v>6281</v>
      </c>
      <c r="B297">
        <f>COUNTIF($A$5:$A297,A297)</f>
        <v>1</v>
      </c>
      <c r="C297">
        <f t="shared" si="8"/>
        <v>1</v>
      </c>
      <c r="D297">
        <f t="shared" si="9"/>
        <v>18</v>
      </c>
      <c r="E297" t="e">
        <f>IF(IF($B297=1,VLOOKUP($A297,#REF!,5,FALSE),"")=0,"",IF($B297=1,VLOOKUP($A297,#REF!,5,FALSE),""))</f>
        <v>#REF!</v>
      </c>
      <c r="F297" s="785" t="s">
        <v>963</v>
      </c>
      <c r="G297" s="786" t="s">
        <v>2399</v>
      </c>
      <c r="H297" s="786" t="s">
        <v>6109</v>
      </c>
      <c r="I297" s="787" t="s">
        <v>4668</v>
      </c>
    </row>
    <row r="298" spans="1:9" ht="25">
      <c r="A298" t="s">
        <v>6284</v>
      </c>
      <c r="B298">
        <f>COUNTIF($A$5:$A298,A298)</f>
        <v>1</v>
      </c>
      <c r="C298">
        <f t="shared" si="8"/>
        <v>2</v>
      </c>
      <c r="D298">
        <f t="shared" si="9"/>
        <v>2</v>
      </c>
      <c r="E298" t="e">
        <f>IF(IF($B298=1,VLOOKUP($A298,#REF!,5,FALSE),"")=0,"",IF($B298=1,VLOOKUP($A298,#REF!,5,FALSE),""))</f>
        <v>#REF!</v>
      </c>
      <c r="F298" s="785" t="s">
        <v>963</v>
      </c>
      <c r="G298" s="786" t="s">
        <v>2613</v>
      </c>
      <c r="H298" s="786" t="s">
        <v>4374</v>
      </c>
      <c r="I298" s="787" t="s">
        <v>4703</v>
      </c>
    </row>
    <row r="299" spans="1:9" ht="25">
      <c r="A299" t="s">
        <v>5650</v>
      </c>
      <c r="B299">
        <f>COUNTIF($A$5:$A299,A299)</f>
        <v>1</v>
      </c>
      <c r="C299">
        <f t="shared" si="8"/>
        <v>2</v>
      </c>
      <c r="D299">
        <f t="shared" si="9"/>
        <v>2</v>
      </c>
      <c r="E299" t="e">
        <f>IF(IF($B299=1,VLOOKUP($A299,#REF!,5,FALSE),"")=0,"",IF($B299=1,VLOOKUP($A299,#REF!,5,FALSE),""))</f>
        <v>#REF!</v>
      </c>
      <c r="F299" s="785" t="s">
        <v>963</v>
      </c>
      <c r="G299" s="786" t="s">
        <v>2619</v>
      </c>
      <c r="H299" s="786" t="s">
        <v>4374</v>
      </c>
      <c r="I299" s="787" t="s">
        <v>4703</v>
      </c>
    </row>
    <row r="300" spans="1:9" ht="25">
      <c r="A300" t="s">
        <v>5651</v>
      </c>
      <c r="B300">
        <f>COUNTIF($A$5:$A300,A300)</f>
        <v>1</v>
      </c>
      <c r="C300">
        <f t="shared" si="8"/>
        <v>1</v>
      </c>
      <c r="D300">
        <f t="shared" si="9"/>
        <v>1</v>
      </c>
      <c r="E300" t="e">
        <f>IF(IF($B300=1,VLOOKUP($A300,#REF!,5,FALSE),"")=0,"",IF($B300=1,VLOOKUP($A300,#REF!,5,FALSE),""))</f>
        <v>#REF!</v>
      </c>
      <c r="F300" s="785" t="s">
        <v>963</v>
      </c>
      <c r="G300" s="786" t="s">
        <v>2402</v>
      </c>
      <c r="H300" s="786" t="s">
        <v>4375</v>
      </c>
      <c r="I300" s="787" t="s">
        <v>4704</v>
      </c>
    </row>
    <row r="301" spans="1:9">
      <c r="A301" t="s">
        <v>6285</v>
      </c>
      <c r="B301">
        <f>COUNTIF($A$5:$A301,A301)</f>
        <v>1</v>
      </c>
      <c r="C301">
        <f t="shared" si="8"/>
        <v>1</v>
      </c>
      <c r="D301">
        <f t="shared" si="9"/>
        <v>1</v>
      </c>
      <c r="E301" t="e">
        <f>IF(IF($B301=1,VLOOKUP($A301,#REF!,5,FALSE),"")=0,"",IF($B301=1,VLOOKUP($A301,#REF!,5,FALSE),""))</f>
        <v>#REF!</v>
      </c>
      <c r="F301" s="785" t="s">
        <v>963</v>
      </c>
      <c r="G301" s="786" t="s">
        <v>2398</v>
      </c>
      <c r="H301" s="786" t="s">
        <v>6111</v>
      </c>
      <c r="I301" s="787" t="s">
        <v>4973</v>
      </c>
    </row>
    <row r="302" spans="1:9">
      <c r="A302" t="s">
        <v>6286</v>
      </c>
      <c r="B302">
        <f>COUNTIF($A$5:$A302,A302)</f>
        <v>1</v>
      </c>
      <c r="C302">
        <f t="shared" si="8"/>
        <v>1</v>
      </c>
      <c r="D302">
        <f t="shared" si="9"/>
        <v>3</v>
      </c>
      <c r="E302" t="e">
        <f>IF(IF($B302=1,VLOOKUP($A302,#REF!,5,FALSE),"")=0,"",IF($B302=1,VLOOKUP($A302,#REF!,5,FALSE),""))</f>
        <v>#REF!</v>
      </c>
      <c r="F302" s="785" t="s">
        <v>963</v>
      </c>
      <c r="G302" s="786" t="s">
        <v>2398</v>
      </c>
      <c r="H302" s="786" t="s">
        <v>6112</v>
      </c>
      <c r="I302" s="787" t="s">
        <v>4974</v>
      </c>
    </row>
    <row r="303" spans="1:9">
      <c r="A303" t="s">
        <v>6287</v>
      </c>
      <c r="B303">
        <f>COUNTIF($A$5:$A303,A303)</f>
        <v>1</v>
      </c>
      <c r="C303">
        <f t="shared" si="8"/>
        <v>1</v>
      </c>
      <c r="D303">
        <f t="shared" si="9"/>
        <v>3</v>
      </c>
      <c r="E303" t="e">
        <f>IF(IF($B303=1,VLOOKUP($A303,#REF!,5,FALSE),"")=0,"",IF($B303=1,VLOOKUP($A303,#REF!,5,FALSE),""))</f>
        <v>#REF!</v>
      </c>
      <c r="F303" s="785" t="s">
        <v>963</v>
      </c>
      <c r="G303" s="786" t="s">
        <v>2396</v>
      </c>
      <c r="H303" s="786" t="s">
        <v>6113</v>
      </c>
      <c r="I303" s="787" t="s">
        <v>4974</v>
      </c>
    </row>
    <row r="304" spans="1:9">
      <c r="A304" t="s">
        <v>6288</v>
      </c>
      <c r="B304">
        <f>COUNTIF($A$5:$A304,A304)</f>
        <v>1</v>
      </c>
      <c r="C304">
        <f t="shared" si="8"/>
        <v>1</v>
      </c>
      <c r="D304">
        <f t="shared" si="9"/>
        <v>3</v>
      </c>
      <c r="E304" t="e">
        <f>IF(IF($B304=1,VLOOKUP($A304,#REF!,5,FALSE),"")=0,"",IF($B304=1,VLOOKUP($A304,#REF!,5,FALSE),""))</f>
        <v>#REF!</v>
      </c>
      <c r="F304" s="785" t="s">
        <v>963</v>
      </c>
      <c r="G304" s="786" t="s">
        <v>2396</v>
      </c>
      <c r="H304" s="786" t="s">
        <v>6114</v>
      </c>
      <c r="I304" s="787" t="s">
        <v>4974</v>
      </c>
    </row>
    <row r="305" spans="1:9">
      <c r="A305" t="s">
        <v>6289</v>
      </c>
      <c r="B305">
        <f>COUNTIF($A$5:$A305,A305)</f>
        <v>1</v>
      </c>
      <c r="C305">
        <f t="shared" si="8"/>
        <v>1</v>
      </c>
      <c r="D305">
        <f t="shared" si="9"/>
        <v>1</v>
      </c>
      <c r="E305" t="e">
        <f>IF(IF($B305=1,VLOOKUP($A305,#REF!,5,FALSE),"")=0,"",IF($B305=1,VLOOKUP($A305,#REF!,5,FALSE),""))</f>
        <v>#REF!</v>
      </c>
      <c r="F305" s="785" t="s">
        <v>963</v>
      </c>
      <c r="G305" s="786" t="s">
        <v>2396</v>
      </c>
      <c r="H305" s="786" t="s">
        <v>6115</v>
      </c>
      <c r="I305" s="787" t="s">
        <v>4975</v>
      </c>
    </row>
    <row r="306" spans="1:9">
      <c r="A306" t="s">
        <v>5652</v>
      </c>
      <c r="B306">
        <f>COUNTIF($A$5:$A306,A306)</f>
        <v>1</v>
      </c>
      <c r="C306">
        <f t="shared" si="8"/>
        <v>1</v>
      </c>
      <c r="D306">
        <f t="shared" si="9"/>
        <v>2</v>
      </c>
      <c r="E306" t="e">
        <f>IF(IF($B306=1,VLOOKUP($A306,#REF!,5,FALSE),"")=0,"",IF($B306=1,VLOOKUP($A306,#REF!,5,FALSE),""))</f>
        <v>#REF!</v>
      </c>
      <c r="F306" s="785" t="s">
        <v>963</v>
      </c>
      <c r="G306" s="786" t="s">
        <v>2396</v>
      </c>
      <c r="H306" s="786" t="s">
        <v>4806</v>
      </c>
      <c r="I306" s="787" t="s">
        <v>4976</v>
      </c>
    </row>
    <row r="307" spans="1:9">
      <c r="A307" t="s">
        <v>6290</v>
      </c>
      <c r="B307">
        <f>COUNTIF($A$5:$A307,A307)</f>
        <v>1</v>
      </c>
      <c r="C307">
        <f t="shared" si="8"/>
        <v>1</v>
      </c>
      <c r="D307">
        <f t="shared" si="9"/>
        <v>2</v>
      </c>
      <c r="E307" t="e">
        <f>IF(IF($B307=1,VLOOKUP($A307,#REF!,5,FALSE),"")=0,"",IF($B307=1,VLOOKUP($A307,#REF!,5,FALSE),""))</f>
        <v>#REF!</v>
      </c>
      <c r="F307" s="785" t="s">
        <v>963</v>
      </c>
      <c r="G307" s="786" t="s">
        <v>2398</v>
      </c>
      <c r="H307" s="786" t="s">
        <v>6116</v>
      </c>
      <c r="I307" s="787" t="s">
        <v>4976</v>
      </c>
    </row>
    <row r="308" spans="1:9">
      <c r="A308" t="s">
        <v>6293</v>
      </c>
      <c r="B308">
        <f>COUNTIF($A$5:$A308,A308)</f>
        <v>1</v>
      </c>
      <c r="C308">
        <f t="shared" si="8"/>
        <v>1</v>
      </c>
      <c r="D308">
        <f t="shared" si="9"/>
        <v>1</v>
      </c>
      <c r="E308" t="e">
        <f>IF(IF($B308=1,VLOOKUP($A308,#REF!,5,FALSE),"")=0,"",IF($B308=1,VLOOKUP($A308,#REF!,5,FALSE),""))</f>
        <v>#REF!</v>
      </c>
      <c r="F308" s="785" t="s">
        <v>963</v>
      </c>
      <c r="G308" s="786" t="s">
        <v>2396</v>
      </c>
      <c r="H308" s="786" t="s">
        <v>6117</v>
      </c>
      <c r="I308" s="787" t="s">
        <v>4979</v>
      </c>
    </row>
    <row r="309" spans="1:9">
      <c r="A309" t="s">
        <v>6294</v>
      </c>
      <c r="B309">
        <f>COUNTIF($A$5:$A309,A309)</f>
        <v>1</v>
      </c>
      <c r="C309">
        <f t="shared" si="8"/>
        <v>1</v>
      </c>
      <c r="D309">
        <f t="shared" si="9"/>
        <v>1</v>
      </c>
      <c r="E309" t="e">
        <f>IF(IF($B309=1,VLOOKUP($A309,#REF!,5,FALSE),"")=0,"",IF($B309=1,VLOOKUP($A309,#REF!,5,FALSE),""))</f>
        <v>#REF!</v>
      </c>
      <c r="F309" s="785" t="s">
        <v>963</v>
      </c>
      <c r="G309" s="786" t="s">
        <v>2396</v>
      </c>
      <c r="H309" s="786" t="s">
        <v>6118</v>
      </c>
      <c r="I309" s="787" t="s">
        <v>4978</v>
      </c>
    </row>
    <row r="310" spans="1:9">
      <c r="A310" t="s">
        <v>6299</v>
      </c>
      <c r="B310">
        <f>COUNTIF($A$5:$A310,A310)</f>
        <v>1</v>
      </c>
      <c r="C310">
        <f t="shared" si="8"/>
        <v>1</v>
      </c>
      <c r="D310">
        <f t="shared" si="9"/>
        <v>1</v>
      </c>
      <c r="E310" t="e">
        <f>IF(IF($B310=1,VLOOKUP($A310,#REF!,5,FALSE),"")=0,"",IF($B310=1,VLOOKUP($A310,#REF!,5,FALSE),""))</f>
        <v>#REF!</v>
      </c>
      <c r="F310" s="785" t="s">
        <v>963</v>
      </c>
      <c r="G310" s="786" t="s">
        <v>2396</v>
      </c>
      <c r="H310" s="786" t="s">
        <v>6121</v>
      </c>
      <c r="I310" s="787" t="s">
        <v>4992</v>
      </c>
    </row>
    <row r="311" spans="1:9">
      <c r="A311" t="s">
        <v>5653</v>
      </c>
      <c r="B311">
        <f>COUNTIF($A$5:$A311,A311)</f>
        <v>1</v>
      </c>
      <c r="C311">
        <f t="shared" si="8"/>
        <v>1</v>
      </c>
      <c r="D311">
        <f t="shared" si="9"/>
        <v>1</v>
      </c>
      <c r="E311" t="e">
        <f>IF(IF($B311=1,VLOOKUP($A311,#REF!,5,FALSE),"")=0,"",IF($B311=1,VLOOKUP($A311,#REF!,5,FALSE),""))</f>
        <v>#REF!</v>
      </c>
      <c r="F311" s="785" t="s">
        <v>963</v>
      </c>
      <c r="G311" s="786" t="s">
        <v>2398</v>
      </c>
      <c r="H311" s="786" t="s">
        <v>4847</v>
      </c>
      <c r="I311" s="787" t="s">
        <v>4987</v>
      </c>
    </row>
    <row r="312" spans="1:9" ht="25">
      <c r="A312" t="s">
        <v>6300</v>
      </c>
      <c r="B312">
        <f>COUNTIF($A$5:$A312,A312)</f>
        <v>1</v>
      </c>
      <c r="C312">
        <f t="shared" si="8"/>
        <v>1</v>
      </c>
      <c r="D312">
        <f t="shared" si="9"/>
        <v>1</v>
      </c>
      <c r="E312" t="e">
        <f>IF(IF($B312=1,VLOOKUP($A312,#REF!,5,FALSE),"")=0,"",IF($B312=1,VLOOKUP($A312,#REF!,5,FALSE),""))</f>
        <v>#REF!</v>
      </c>
      <c r="F312" s="785" t="s">
        <v>963</v>
      </c>
      <c r="G312" s="786" t="s">
        <v>2396</v>
      </c>
      <c r="H312" s="786" t="s">
        <v>6122</v>
      </c>
      <c r="I312" s="787" t="s">
        <v>4968</v>
      </c>
    </row>
    <row r="313" spans="1:9">
      <c r="A313" t="s">
        <v>6301</v>
      </c>
      <c r="B313">
        <f>COUNTIF($A$5:$A313,A313)</f>
        <v>1</v>
      </c>
      <c r="C313">
        <f t="shared" si="8"/>
        <v>1</v>
      </c>
      <c r="D313">
        <f t="shared" si="9"/>
        <v>18</v>
      </c>
      <c r="E313" t="e">
        <f>IF(IF($B313=1,VLOOKUP($A313,#REF!,5,FALSE),"")=0,"",IF($B313=1,VLOOKUP($A313,#REF!,5,FALSE),""))</f>
        <v>#REF!</v>
      </c>
      <c r="F313" s="785" t="s">
        <v>963</v>
      </c>
      <c r="G313" s="786" t="s">
        <v>2399</v>
      </c>
      <c r="H313" s="786" t="s">
        <v>6123</v>
      </c>
      <c r="I313" s="787" t="s">
        <v>4668</v>
      </c>
    </row>
    <row r="314" spans="1:9">
      <c r="A314" t="s">
        <v>6302</v>
      </c>
      <c r="B314">
        <f>COUNTIF($A$5:$A314,A314)</f>
        <v>1</v>
      </c>
      <c r="C314">
        <f t="shared" si="8"/>
        <v>1</v>
      </c>
      <c r="D314">
        <f t="shared" si="9"/>
        <v>18</v>
      </c>
      <c r="E314" t="e">
        <f>IF(IF($B314=1,VLOOKUP($A314,#REF!,5,FALSE),"")=0,"",IF($B314=1,VLOOKUP($A314,#REF!,5,FALSE),""))</f>
        <v>#REF!</v>
      </c>
      <c r="F314" s="785" t="s">
        <v>963</v>
      </c>
      <c r="G314" s="786" t="s">
        <v>2399</v>
      </c>
      <c r="H314" s="786" t="s">
        <v>6124</v>
      </c>
      <c r="I314" s="787" t="s">
        <v>4668</v>
      </c>
    </row>
    <row r="315" spans="1:9">
      <c r="A315" t="s">
        <v>6303</v>
      </c>
      <c r="B315">
        <f>COUNTIF($A$5:$A315,A315)</f>
        <v>1</v>
      </c>
      <c r="C315">
        <f t="shared" si="8"/>
        <v>1</v>
      </c>
      <c r="D315">
        <f t="shared" si="9"/>
        <v>18</v>
      </c>
      <c r="E315" t="e">
        <f>IF(IF($B315=1,VLOOKUP($A315,#REF!,5,FALSE),"")=0,"",IF($B315=1,VLOOKUP($A315,#REF!,5,FALSE),""))</f>
        <v>#REF!</v>
      </c>
      <c r="F315" s="785" t="s">
        <v>963</v>
      </c>
      <c r="G315" s="786" t="s">
        <v>2399</v>
      </c>
      <c r="H315" s="786" t="s">
        <v>6125</v>
      </c>
      <c r="I315" s="787" t="s">
        <v>4668</v>
      </c>
    </row>
    <row r="316" spans="1:9">
      <c r="A316" t="s">
        <v>6304</v>
      </c>
      <c r="B316">
        <f>COUNTIF($A$5:$A316,A316)</f>
        <v>1</v>
      </c>
      <c r="C316">
        <f t="shared" si="8"/>
        <v>1</v>
      </c>
      <c r="D316">
        <f t="shared" si="9"/>
        <v>18</v>
      </c>
      <c r="E316" t="e">
        <f>IF(IF($B316=1,VLOOKUP($A316,#REF!,5,FALSE),"")=0,"",IF($B316=1,VLOOKUP($A316,#REF!,5,FALSE),""))</f>
        <v>#REF!</v>
      </c>
      <c r="F316" s="785" t="s">
        <v>963</v>
      </c>
      <c r="G316" s="786" t="s">
        <v>2399</v>
      </c>
      <c r="H316" s="786" t="s">
        <v>6126</v>
      </c>
      <c r="I316" s="787" t="s">
        <v>4668</v>
      </c>
    </row>
    <row r="317" spans="1:9">
      <c r="A317" t="s">
        <v>6305</v>
      </c>
      <c r="B317">
        <f>COUNTIF($A$5:$A317,A317)</f>
        <v>1</v>
      </c>
      <c r="C317">
        <f t="shared" si="8"/>
        <v>1</v>
      </c>
      <c r="D317">
        <f t="shared" si="9"/>
        <v>18</v>
      </c>
      <c r="E317" t="e">
        <f>IF(IF($B317=1,VLOOKUP($A317,#REF!,5,FALSE),"")=0,"",IF($B317=1,VLOOKUP($A317,#REF!,5,FALSE),""))</f>
        <v>#REF!</v>
      </c>
      <c r="F317" s="785" t="s">
        <v>963</v>
      </c>
      <c r="G317" s="786" t="s">
        <v>2399</v>
      </c>
      <c r="H317" s="786" t="s">
        <v>6127</v>
      </c>
      <c r="I317" s="787" t="s">
        <v>4668</v>
      </c>
    </row>
    <row r="318" spans="1:9">
      <c r="A318" t="s">
        <v>6306</v>
      </c>
      <c r="B318">
        <f>COUNTIF($A$5:$A318,A318)</f>
        <v>1</v>
      </c>
      <c r="C318">
        <f t="shared" si="8"/>
        <v>1</v>
      </c>
      <c r="D318">
        <f t="shared" si="9"/>
        <v>18</v>
      </c>
      <c r="E318" t="e">
        <f>IF(IF($B318=1,VLOOKUP($A318,#REF!,5,FALSE),"")=0,"",IF($B318=1,VLOOKUP($A318,#REF!,5,FALSE),""))</f>
        <v>#REF!</v>
      </c>
      <c r="F318" s="785" t="s">
        <v>963</v>
      </c>
      <c r="G318" s="786" t="s">
        <v>2399</v>
      </c>
      <c r="H318" s="786" t="s">
        <v>6128</v>
      </c>
      <c r="I318" s="787" t="s">
        <v>4668</v>
      </c>
    </row>
    <row r="319" spans="1:9">
      <c r="A319" t="s">
        <v>6307</v>
      </c>
      <c r="B319">
        <f>COUNTIF($A$5:$A319,A319)</f>
        <v>1</v>
      </c>
      <c r="C319">
        <f t="shared" si="8"/>
        <v>1</v>
      </c>
      <c r="D319">
        <f t="shared" si="9"/>
        <v>18</v>
      </c>
      <c r="E319" t="e">
        <f>IF(IF($B319=1,VLOOKUP($A319,#REF!,5,FALSE),"")=0,"",IF($B319=1,VLOOKUP($A319,#REF!,5,FALSE),""))</f>
        <v>#REF!</v>
      </c>
      <c r="F319" s="785" t="s">
        <v>963</v>
      </c>
      <c r="G319" s="786" t="s">
        <v>2398</v>
      </c>
      <c r="H319" s="786" t="s">
        <v>6129</v>
      </c>
      <c r="I319" s="787" t="s">
        <v>4668</v>
      </c>
    </row>
    <row r="320" spans="1:9">
      <c r="A320" t="s">
        <v>6308</v>
      </c>
      <c r="B320">
        <f>COUNTIF($A$5:$A320,A320)</f>
        <v>1</v>
      </c>
      <c r="C320">
        <f t="shared" si="8"/>
        <v>1</v>
      </c>
      <c r="D320">
        <f t="shared" si="9"/>
        <v>18</v>
      </c>
      <c r="E320" t="e">
        <f>IF(IF($B320=1,VLOOKUP($A320,#REF!,5,FALSE),"")=0,"",IF($B320=1,VLOOKUP($A320,#REF!,5,FALSE),""))</f>
        <v>#REF!</v>
      </c>
      <c r="F320" s="785" t="s">
        <v>963</v>
      </c>
      <c r="G320" s="786" t="s">
        <v>2399</v>
      </c>
      <c r="H320" s="786" t="s">
        <v>6130</v>
      </c>
      <c r="I320" s="787" t="s">
        <v>4668</v>
      </c>
    </row>
    <row r="321" spans="1:9">
      <c r="A321" t="s">
        <v>6309</v>
      </c>
      <c r="B321">
        <f>COUNTIF($A$5:$A321,A321)</f>
        <v>1</v>
      </c>
      <c r="C321">
        <f t="shared" si="8"/>
        <v>1</v>
      </c>
      <c r="D321">
        <f t="shared" si="9"/>
        <v>18</v>
      </c>
      <c r="E321" t="e">
        <f>IF(IF($B321=1,VLOOKUP($A321,#REF!,5,FALSE),"")=0,"",IF($B321=1,VLOOKUP($A321,#REF!,5,FALSE),""))</f>
        <v>#REF!</v>
      </c>
      <c r="F321" s="785" t="s">
        <v>963</v>
      </c>
      <c r="G321" s="786" t="s">
        <v>2396</v>
      </c>
      <c r="H321" s="786" t="s">
        <v>6131</v>
      </c>
      <c r="I321" s="787" t="s">
        <v>4668</v>
      </c>
    </row>
    <row r="322" spans="1:9">
      <c r="A322" t="s">
        <v>6310</v>
      </c>
      <c r="B322">
        <f>COUNTIF($A$5:$A322,A322)</f>
        <v>1</v>
      </c>
      <c r="C322">
        <f t="shared" si="8"/>
        <v>1</v>
      </c>
      <c r="D322">
        <f t="shared" si="9"/>
        <v>18</v>
      </c>
      <c r="E322" t="e">
        <f>IF(IF($B322=1,VLOOKUP($A322,#REF!,5,FALSE),"")=0,"",IF($B322=1,VLOOKUP($A322,#REF!,5,FALSE),""))</f>
        <v>#REF!</v>
      </c>
      <c r="F322" s="785" t="s">
        <v>963</v>
      </c>
      <c r="G322" s="786" t="s">
        <v>2398</v>
      </c>
      <c r="H322" s="786" t="s">
        <v>6132</v>
      </c>
      <c r="I322" s="787" t="s">
        <v>4668</v>
      </c>
    </row>
    <row r="323" spans="1:9">
      <c r="A323" t="s">
        <v>6311</v>
      </c>
      <c r="B323">
        <f>COUNTIF($A$5:$A323,A323)</f>
        <v>1</v>
      </c>
      <c r="C323">
        <f t="shared" si="8"/>
        <v>1</v>
      </c>
      <c r="D323">
        <f t="shared" si="9"/>
        <v>18</v>
      </c>
      <c r="E323" t="e">
        <f>IF(IF($B323=1,VLOOKUP($A323,#REF!,5,FALSE),"")=0,"",IF($B323=1,VLOOKUP($A323,#REF!,5,FALSE),""))</f>
        <v>#REF!</v>
      </c>
      <c r="F323" s="785" t="s">
        <v>963</v>
      </c>
      <c r="G323" s="786" t="s">
        <v>2396</v>
      </c>
      <c r="H323" s="786" t="s">
        <v>6133</v>
      </c>
      <c r="I323" s="787" t="s">
        <v>4668</v>
      </c>
    </row>
    <row r="324" spans="1:9">
      <c r="A324" t="s">
        <v>6312</v>
      </c>
      <c r="B324">
        <f>COUNTIF($A$5:$A324,A324)</f>
        <v>1</v>
      </c>
      <c r="C324">
        <f t="shared" si="8"/>
        <v>1</v>
      </c>
      <c r="D324">
        <f t="shared" si="9"/>
        <v>18</v>
      </c>
      <c r="E324" t="e">
        <f>IF(IF($B324=1,VLOOKUP($A324,#REF!,5,FALSE),"")=0,"",IF($B324=1,VLOOKUP($A324,#REF!,5,FALSE),""))</f>
        <v>#REF!</v>
      </c>
      <c r="F324" s="785" t="s">
        <v>963</v>
      </c>
      <c r="G324" s="786" t="s">
        <v>2396</v>
      </c>
      <c r="H324" s="786" t="s">
        <v>6134</v>
      </c>
      <c r="I324" s="787" t="s">
        <v>4668</v>
      </c>
    </row>
    <row r="325" spans="1:9">
      <c r="A325" t="s">
        <v>5654</v>
      </c>
      <c r="B325">
        <f>COUNTIF($A$5:$A325,A325)</f>
        <v>1</v>
      </c>
      <c r="C325">
        <f t="shared" ref="C325:C388" si="10">COUNTIF($H$5:$H$622,H325)</f>
        <v>2</v>
      </c>
      <c r="D325">
        <f t="shared" ref="D325:D388" si="11">COUNTIF($I$5:$I$622,I325)</f>
        <v>5</v>
      </c>
      <c r="E325" t="e">
        <f>IF(IF($B325=1,VLOOKUP($A325,#REF!,5,FALSE),"")=0,"",IF($B325=1,VLOOKUP($A325,#REF!,5,FALSE),""))</f>
        <v>#REF!</v>
      </c>
      <c r="F325" s="785" t="s">
        <v>963</v>
      </c>
      <c r="G325" s="786" t="s">
        <v>2398</v>
      </c>
      <c r="H325" s="786" t="s">
        <v>4782</v>
      </c>
      <c r="I325" s="787" t="s">
        <v>4509</v>
      </c>
    </row>
    <row r="326" spans="1:9">
      <c r="A326" t="s">
        <v>5655</v>
      </c>
      <c r="B326">
        <f>COUNTIF($A$5:$A326,A326)</f>
        <v>1</v>
      </c>
      <c r="C326">
        <f t="shared" si="10"/>
        <v>2</v>
      </c>
      <c r="D326">
        <f t="shared" si="11"/>
        <v>5</v>
      </c>
      <c r="E326" t="e">
        <f>IF(IF($B326=1,VLOOKUP($A326,#REF!,5,FALSE),"")=0,"",IF($B326=1,VLOOKUP($A326,#REF!,5,FALSE),""))</f>
        <v>#REF!</v>
      </c>
      <c r="F326" s="785" t="s">
        <v>963</v>
      </c>
      <c r="G326" s="786" t="s">
        <v>2396</v>
      </c>
      <c r="H326" s="786" t="s">
        <v>4782</v>
      </c>
      <c r="I326" s="787" t="s">
        <v>4509</v>
      </c>
    </row>
    <row r="327" spans="1:9">
      <c r="A327" t="s">
        <v>5656</v>
      </c>
      <c r="B327">
        <f>COUNTIF($A$5:$A327,A327)</f>
        <v>1</v>
      </c>
      <c r="C327">
        <f t="shared" si="10"/>
        <v>2</v>
      </c>
      <c r="D327">
        <f t="shared" si="11"/>
        <v>5</v>
      </c>
      <c r="E327" t="e">
        <f>IF(IF($B327=1,VLOOKUP($A327,#REF!,5,FALSE),"")=0,"",IF($B327=1,VLOOKUP($A327,#REF!,5,FALSE),""))</f>
        <v>#REF!</v>
      </c>
      <c r="F327" s="785" t="s">
        <v>963</v>
      </c>
      <c r="G327" s="786" t="s">
        <v>2398</v>
      </c>
      <c r="H327" s="786" t="s">
        <v>4916</v>
      </c>
      <c r="I327" s="787" t="s">
        <v>4509</v>
      </c>
    </row>
    <row r="328" spans="1:9">
      <c r="A328" t="s">
        <v>5657</v>
      </c>
      <c r="B328">
        <f>COUNTIF($A$5:$A328,A328)</f>
        <v>1</v>
      </c>
      <c r="C328">
        <f t="shared" si="10"/>
        <v>2</v>
      </c>
      <c r="D328">
        <f t="shared" si="11"/>
        <v>5</v>
      </c>
      <c r="E328" t="e">
        <f>IF(IF($B328=1,VLOOKUP($A328,#REF!,5,FALSE),"")=0,"",IF($B328=1,VLOOKUP($A328,#REF!,5,FALSE),""))</f>
        <v>#REF!</v>
      </c>
      <c r="F328" s="785" t="s">
        <v>963</v>
      </c>
      <c r="G328" s="786" t="s">
        <v>2396</v>
      </c>
      <c r="H328" s="786" t="s">
        <v>4916</v>
      </c>
      <c r="I328" s="787" t="s">
        <v>4509</v>
      </c>
    </row>
    <row r="329" spans="1:9">
      <c r="A329" t="s">
        <v>5658</v>
      </c>
      <c r="B329">
        <f>COUNTIF($A$5:$A329,A329)</f>
        <v>1</v>
      </c>
      <c r="C329">
        <f t="shared" si="10"/>
        <v>2</v>
      </c>
      <c r="D329">
        <f t="shared" si="11"/>
        <v>2</v>
      </c>
      <c r="E329" t="e">
        <f>IF(IF($B329=1,VLOOKUP($A329,#REF!,5,FALSE),"")=0,"",IF($B329=1,VLOOKUP($A329,#REF!,5,FALSE),""))</f>
        <v>#REF!</v>
      </c>
      <c r="F329" s="785" t="s">
        <v>963</v>
      </c>
      <c r="G329" s="786" t="s">
        <v>2398</v>
      </c>
      <c r="H329" s="786" t="s">
        <v>4783</v>
      </c>
      <c r="I329" s="787" t="s">
        <v>4671</v>
      </c>
    </row>
    <row r="330" spans="1:9">
      <c r="A330" t="s">
        <v>5659</v>
      </c>
      <c r="B330">
        <f>COUNTIF($A$5:$A330,A330)</f>
        <v>1</v>
      </c>
      <c r="C330">
        <f t="shared" si="10"/>
        <v>2</v>
      </c>
      <c r="D330">
        <f t="shared" si="11"/>
        <v>2</v>
      </c>
      <c r="E330" t="e">
        <f>IF(IF($B330=1,VLOOKUP($A330,#REF!,5,FALSE),"")=0,"",IF($B330=1,VLOOKUP($A330,#REF!,5,FALSE),""))</f>
        <v>#REF!</v>
      </c>
      <c r="F330" s="785" t="s">
        <v>963</v>
      </c>
      <c r="G330" s="786" t="s">
        <v>2396</v>
      </c>
      <c r="H330" s="786" t="s">
        <v>4783</v>
      </c>
      <c r="I330" s="787" t="s">
        <v>4671</v>
      </c>
    </row>
    <row r="331" spans="1:9" ht="25">
      <c r="A331" t="s">
        <v>5660</v>
      </c>
      <c r="B331">
        <f>COUNTIF($A$5:$A331,A331)</f>
        <v>1</v>
      </c>
      <c r="C331">
        <f t="shared" si="10"/>
        <v>2</v>
      </c>
      <c r="D331">
        <f t="shared" si="11"/>
        <v>2</v>
      </c>
      <c r="E331" t="e">
        <f>IF(IF($B331=1,VLOOKUP($A331,#REF!,5,FALSE),"")=0,"",IF($B331=1,VLOOKUP($A331,#REF!,5,FALSE),""))</f>
        <v>#REF!</v>
      </c>
      <c r="F331" s="785" t="s">
        <v>963</v>
      </c>
      <c r="G331" s="786" t="s">
        <v>2398</v>
      </c>
      <c r="H331" s="786" t="s">
        <v>4785</v>
      </c>
      <c r="I331" s="787" t="s">
        <v>4673</v>
      </c>
    </row>
    <row r="332" spans="1:9" ht="25">
      <c r="A332" t="s">
        <v>5661</v>
      </c>
      <c r="B332">
        <f>COUNTIF($A$5:$A332,A332)</f>
        <v>1</v>
      </c>
      <c r="C332">
        <f t="shared" si="10"/>
        <v>2</v>
      </c>
      <c r="D332">
        <f t="shared" si="11"/>
        <v>2</v>
      </c>
      <c r="E332" t="e">
        <f>IF(IF($B332=1,VLOOKUP($A332,#REF!,5,FALSE),"")=0,"",IF($B332=1,VLOOKUP($A332,#REF!,5,FALSE),""))</f>
        <v>#REF!</v>
      </c>
      <c r="F332" s="785" t="s">
        <v>963</v>
      </c>
      <c r="G332" s="786" t="s">
        <v>2396</v>
      </c>
      <c r="H332" s="786" t="s">
        <v>4785</v>
      </c>
      <c r="I332" s="787" t="s">
        <v>4673</v>
      </c>
    </row>
    <row r="333" spans="1:9">
      <c r="A333" t="s">
        <v>5662</v>
      </c>
      <c r="B333">
        <f>COUNTIF($A$5:$A333,A333)</f>
        <v>1</v>
      </c>
      <c r="C333">
        <f t="shared" si="10"/>
        <v>2</v>
      </c>
      <c r="D333">
        <f t="shared" si="11"/>
        <v>2</v>
      </c>
      <c r="E333" t="e">
        <f>IF(IF($B333=1,VLOOKUP($A333,#REF!,5,FALSE),"")=0,"",IF($B333=1,VLOOKUP($A333,#REF!,5,FALSE),""))</f>
        <v>#REF!</v>
      </c>
      <c r="F333" s="785" t="s">
        <v>963</v>
      </c>
      <c r="G333" s="786" t="s">
        <v>2398</v>
      </c>
      <c r="H333" s="786" t="s">
        <v>4917</v>
      </c>
      <c r="I333" s="787" t="s">
        <v>5364</v>
      </c>
    </row>
    <row r="334" spans="1:9">
      <c r="A334" t="s">
        <v>5663</v>
      </c>
      <c r="B334">
        <f>COUNTIF($A$5:$A334,A334)</f>
        <v>1</v>
      </c>
      <c r="C334">
        <f t="shared" si="10"/>
        <v>2</v>
      </c>
      <c r="D334">
        <f t="shared" si="11"/>
        <v>2</v>
      </c>
      <c r="E334" t="e">
        <f>IF(IF($B334=1,VLOOKUP($A334,#REF!,5,FALSE),"")=0,"",IF($B334=1,VLOOKUP($A334,#REF!,5,FALSE),""))</f>
        <v>#REF!</v>
      </c>
      <c r="F334" s="785" t="s">
        <v>963</v>
      </c>
      <c r="G334" s="786" t="s">
        <v>2396</v>
      </c>
      <c r="H334" s="786" t="s">
        <v>4917</v>
      </c>
      <c r="I334" s="787" t="s">
        <v>5364</v>
      </c>
    </row>
    <row r="335" spans="1:9" ht="25">
      <c r="A335" t="s">
        <v>5664</v>
      </c>
      <c r="B335">
        <f>COUNTIF($A$5:$A335,A335)</f>
        <v>1</v>
      </c>
      <c r="C335">
        <f t="shared" si="10"/>
        <v>2</v>
      </c>
      <c r="D335">
        <f t="shared" si="11"/>
        <v>1</v>
      </c>
      <c r="E335" t="e">
        <f>IF(IF($B335=1,VLOOKUP($A335,#REF!,5,FALSE),"")=0,"",IF($B335=1,VLOOKUP($A335,#REF!,5,FALSE),""))</f>
        <v>#REF!</v>
      </c>
      <c r="F335" s="785" t="s">
        <v>963</v>
      </c>
      <c r="G335" s="786" t="s">
        <v>2398</v>
      </c>
      <c r="H335" s="786" t="s">
        <v>4786</v>
      </c>
      <c r="I335" s="787" t="s">
        <v>5365</v>
      </c>
    </row>
    <row r="336" spans="1:9" ht="25">
      <c r="A336" t="s">
        <v>5665</v>
      </c>
      <c r="B336">
        <f>COUNTIF($A$5:$A336,A336)</f>
        <v>1</v>
      </c>
      <c r="C336">
        <f t="shared" si="10"/>
        <v>2</v>
      </c>
      <c r="D336">
        <f t="shared" si="11"/>
        <v>1</v>
      </c>
      <c r="E336" t="e">
        <f>IF(IF($B336=1,VLOOKUP($A336,#REF!,5,FALSE),"")=0,"",IF($B336=1,VLOOKUP($A336,#REF!,5,FALSE),""))</f>
        <v>#REF!</v>
      </c>
      <c r="F336" s="785" t="s">
        <v>963</v>
      </c>
      <c r="G336" s="786" t="s">
        <v>2396</v>
      </c>
      <c r="H336" s="786" t="s">
        <v>4786</v>
      </c>
      <c r="I336" s="787" t="s">
        <v>5366</v>
      </c>
    </row>
    <row r="337" spans="1:9" ht="25">
      <c r="A337" t="s">
        <v>5666</v>
      </c>
      <c r="B337">
        <f>COUNTIF($A$5:$A337,A337)</f>
        <v>1</v>
      </c>
      <c r="C337">
        <f t="shared" si="10"/>
        <v>2</v>
      </c>
      <c r="D337">
        <f t="shared" si="11"/>
        <v>2</v>
      </c>
      <c r="E337" t="e">
        <f>IF(IF($B337=1,VLOOKUP($A337,#REF!,5,FALSE),"")=0,"",IF($B337=1,VLOOKUP($A337,#REF!,5,FALSE),""))</f>
        <v>#REF!</v>
      </c>
      <c r="F337" s="785" t="s">
        <v>963</v>
      </c>
      <c r="G337" s="786" t="s">
        <v>2398</v>
      </c>
      <c r="H337" s="786" t="s">
        <v>4787</v>
      </c>
      <c r="I337" s="787" t="s">
        <v>4967</v>
      </c>
    </row>
    <row r="338" spans="1:9" ht="25">
      <c r="A338" t="s">
        <v>5667</v>
      </c>
      <c r="B338">
        <f>COUNTIF($A$5:$A338,A338)</f>
        <v>1</v>
      </c>
      <c r="C338">
        <f t="shared" si="10"/>
        <v>2</v>
      </c>
      <c r="D338">
        <f t="shared" si="11"/>
        <v>2</v>
      </c>
      <c r="E338" t="e">
        <f>IF(IF($B338=1,VLOOKUP($A338,#REF!,5,FALSE),"")=0,"",IF($B338=1,VLOOKUP($A338,#REF!,5,FALSE),""))</f>
        <v>#REF!</v>
      </c>
      <c r="F338" s="785" t="s">
        <v>963</v>
      </c>
      <c r="G338" s="786" t="s">
        <v>2396</v>
      </c>
      <c r="H338" s="786" t="s">
        <v>4787</v>
      </c>
      <c r="I338" s="787" t="s">
        <v>4967</v>
      </c>
    </row>
    <row r="339" spans="1:9">
      <c r="A339" t="s">
        <v>5668</v>
      </c>
      <c r="B339">
        <f>COUNTIF($A$5:$A339,A339)</f>
        <v>1</v>
      </c>
      <c r="C339">
        <f t="shared" si="10"/>
        <v>1</v>
      </c>
      <c r="D339">
        <f t="shared" si="11"/>
        <v>1</v>
      </c>
      <c r="E339" t="e">
        <f>IF(IF($B339=1,VLOOKUP($A339,#REF!,5,FALSE),"")=0,"",IF($B339=1,VLOOKUP($A339,#REF!,5,FALSE),""))</f>
        <v>#REF!</v>
      </c>
      <c r="F339" s="785" t="s">
        <v>963</v>
      </c>
      <c r="G339" s="786" t="s">
        <v>2398</v>
      </c>
      <c r="H339" s="786" t="s">
        <v>4861</v>
      </c>
      <c r="I339" s="787" t="s">
        <v>4692</v>
      </c>
    </row>
    <row r="340" spans="1:9" ht="25">
      <c r="A340" t="s">
        <v>6314</v>
      </c>
      <c r="B340">
        <f>COUNTIF($A$5:$A340,A340)</f>
        <v>1</v>
      </c>
      <c r="C340">
        <f t="shared" si="10"/>
        <v>1</v>
      </c>
      <c r="D340">
        <f t="shared" si="11"/>
        <v>1</v>
      </c>
      <c r="E340" t="e">
        <f>IF(IF($B340=1,VLOOKUP($A340,#REF!,5,FALSE),"")=0,"",IF($B340=1,VLOOKUP($A340,#REF!,5,FALSE),""))</f>
        <v>#REF!</v>
      </c>
      <c r="F340" s="785" t="s">
        <v>963</v>
      </c>
      <c r="G340" s="786" t="s">
        <v>2398</v>
      </c>
      <c r="H340" s="786" t="s">
        <v>6135</v>
      </c>
      <c r="I340" s="787" t="s">
        <v>4963</v>
      </c>
    </row>
    <row r="341" spans="1:9">
      <c r="A341" t="s">
        <v>6321</v>
      </c>
      <c r="B341">
        <f>COUNTIF($A$5:$A341,A341)</f>
        <v>1</v>
      </c>
      <c r="C341">
        <f t="shared" si="10"/>
        <v>1</v>
      </c>
      <c r="D341">
        <f t="shared" si="11"/>
        <v>2</v>
      </c>
      <c r="E341" t="e">
        <f>IF(IF($B341=1,VLOOKUP($A341,#REF!,5,FALSE),"")=0,"",IF($B341=1,VLOOKUP($A341,#REF!,5,FALSE),""))</f>
        <v>#REF!</v>
      </c>
      <c r="F341" s="785" t="s">
        <v>963</v>
      </c>
      <c r="G341" s="786" t="s">
        <v>2399</v>
      </c>
      <c r="H341" s="786" t="s">
        <v>6140</v>
      </c>
      <c r="I341" s="787" t="s">
        <v>5292</v>
      </c>
    </row>
    <row r="342" spans="1:9">
      <c r="A342" t="s">
        <v>6322</v>
      </c>
      <c r="B342">
        <f>COUNTIF($A$5:$A342,A342)</f>
        <v>1</v>
      </c>
      <c r="C342">
        <f t="shared" si="10"/>
        <v>1</v>
      </c>
      <c r="D342">
        <f t="shared" si="11"/>
        <v>1</v>
      </c>
      <c r="E342" t="e">
        <f>IF(IF($B342=1,VLOOKUP($A342,#REF!,5,FALSE),"")=0,"",IF($B342=1,VLOOKUP($A342,#REF!,5,FALSE),""))</f>
        <v>#REF!</v>
      </c>
      <c r="F342" s="785" t="s">
        <v>963</v>
      </c>
      <c r="G342" s="786" t="s">
        <v>2396</v>
      </c>
      <c r="H342" s="786" t="s">
        <v>6141</v>
      </c>
      <c r="I342" s="787" t="s">
        <v>4991</v>
      </c>
    </row>
    <row r="343" spans="1:9">
      <c r="A343" t="s">
        <v>6323</v>
      </c>
      <c r="B343">
        <f>COUNTIF($A$5:$A343,A343)</f>
        <v>1</v>
      </c>
      <c r="C343">
        <f t="shared" si="10"/>
        <v>1</v>
      </c>
      <c r="D343">
        <f t="shared" si="11"/>
        <v>2</v>
      </c>
      <c r="E343" t="e">
        <f>IF(IF($B343=1,VLOOKUP($A343,#REF!,5,FALSE),"")=0,"",IF($B343=1,VLOOKUP($A343,#REF!,5,FALSE),""))</f>
        <v>#REF!</v>
      </c>
      <c r="F343" s="785" t="s">
        <v>963</v>
      </c>
      <c r="G343" s="786" t="s">
        <v>2399</v>
      </c>
      <c r="H343" s="786" t="s">
        <v>6142</v>
      </c>
      <c r="I343" s="787" t="s">
        <v>5292</v>
      </c>
    </row>
    <row r="344" spans="1:9">
      <c r="A344" t="s">
        <v>6324</v>
      </c>
      <c r="B344">
        <f>COUNTIF($A$5:$A344,A344)</f>
        <v>1</v>
      </c>
      <c r="C344">
        <f t="shared" si="10"/>
        <v>1</v>
      </c>
      <c r="D344">
        <f t="shared" si="11"/>
        <v>1</v>
      </c>
      <c r="E344" t="e">
        <f>IF(IF($B344=1,VLOOKUP($A344,#REF!,5,FALSE),"")=0,"",IF($B344=1,VLOOKUP($A344,#REF!,5,FALSE),""))</f>
        <v>#REF!</v>
      </c>
      <c r="F344" s="785" t="s">
        <v>963</v>
      </c>
      <c r="G344" s="786" t="s">
        <v>2399</v>
      </c>
      <c r="H344" s="786" t="s">
        <v>6143</v>
      </c>
      <c r="I344" s="787" t="s">
        <v>5293</v>
      </c>
    </row>
    <row r="345" spans="1:9">
      <c r="A345" t="s">
        <v>6325</v>
      </c>
      <c r="B345">
        <f>COUNTIF($A$5:$A345,A345)</f>
        <v>1</v>
      </c>
      <c r="C345">
        <f t="shared" si="10"/>
        <v>1</v>
      </c>
      <c r="D345">
        <f t="shared" si="11"/>
        <v>1</v>
      </c>
      <c r="E345" t="e">
        <f>IF(IF($B345=1,VLOOKUP($A345,#REF!,5,FALSE),"")=0,"",IF($B345=1,VLOOKUP($A345,#REF!,5,FALSE),""))</f>
        <v>#REF!</v>
      </c>
      <c r="F345" s="785" t="s">
        <v>963</v>
      </c>
      <c r="G345" s="786" t="s">
        <v>2398</v>
      </c>
      <c r="H345" s="786" t="s">
        <v>6144</v>
      </c>
      <c r="I345" s="787" t="s">
        <v>4981</v>
      </c>
    </row>
    <row r="346" spans="1:9">
      <c r="A346" t="s">
        <v>6326</v>
      </c>
      <c r="B346">
        <f>COUNTIF($A$5:$A346,A346)</f>
        <v>1</v>
      </c>
      <c r="C346">
        <f t="shared" si="10"/>
        <v>1</v>
      </c>
      <c r="D346">
        <f t="shared" si="11"/>
        <v>1</v>
      </c>
      <c r="E346" t="e">
        <f>IF(IF($B346=1,VLOOKUP($A346,#REF!,5,FALSE),"")=0,"",IF($B346=1,VLOOKUP($A346,#REF!,5,FALSE),""))</f>
        <v>#REF!</v>
      </c>
      <c r="F346" s="785" t="s">
        <v>963</v>
      </c>
      <c r="G346" s="786" t="s">
        <v>2398</v>
      </c>
      <c r="H346" s="786" t="s">
        <v>6145</v>
      </c>
      <c r="I346" s="787" t="s">
        <v>4983</v>
      </c>
    </row>
    <row r="347" spans="1:9">
      <c r="A347" t="s">
        <v>6327</v>
      </c>
      <c r="B347">
        <f>COUNTIF($A$5:$A347,A347)</f>
        <v>1</v>
      </c>
      <c r="C347">
        <f t="shared" si="10"/>
        <v>1</v>
      </c>
      <c r="D347">
        <f t="shared" si="11"/>
        <v>2</v>
      </c>
      <c r="E347" t="e">
        <f>IF(IF($B347=1,VLOOKUP($A347,#REF!,5,FALSE),"")=0,"",IF($B347=1,VLOOKUP($A347,#REF!,5,FALSE),""))</f>
        <v>#REF!</v>
      </c>
      <c r="F347" s="785" t="s">
        <v>963</v>
      </c>
      <c r="G347" s="786" t="s">
        <v>2396</v>
      </c>
      <c r="H347" s="786" t="s">
        <v>6146</v>
      </c>
      <c r="I347" s="787" t="s">
        <v>4980</v>
      </c>
    </row>
    <row r="348" spans="1:9">
      <c r="A348" t="s">
        <v>6328</v>
      </c>
      <c r="B348">
        <f>COUNTIF($A$5:$A348,A348)</f>
        <v>1</v>
      </c>
      <c r="C348">
        <f t="shared" si="10"/>
        <v>1</v>
      </c>
      <c r="D348">
        <f t="shared" si="11"/>
        <v>1</v>
      </c>
      <c r="E348" t="e">
        <f>IF(IF($B348=1,VLOOKUP($A348,#REF!,5,FALSE),"")=0,"",IF($B348=1,VLOOKUP($A348,#REF!,5,FALSE),""))</f>
        <v>#REF!</v>
      </c>
      <c r="F348" s="785" t="s">
        <v>963</v>
      </c>
      <c r="G348" s="786" t="s">
        <v>2398</v>
      </c>
      <c r="H348" s="786" t="s">
        <v>6147</v>
      </c>
      <c r="I348" s="787" t="s">
        <v>4990</v>
      </c>
    </row>
    <row r="349" spans="1:9">
      <c r="A349" t="s">
        <v>6329</v>
      </c>
      <c r="B349">
        <f>COUNTIF($A$5:$A349,A349)</f>
        <v>1</v>
      </c>
      <c r="C349">
        <f t="shared" si="10"/>
        <v>1</v>
      </c>
      <c r="D349">
        <f t="shared" si="11"/>
        <v>1</v>
      </c>
      <c r="E349" t="e">
        <f>IF(IF($B349=1,VLOOKUP($A349,#REF!,5,FALSE),"")=0,"",IF($B349=1,VLOOKUP($A349,#REF!,5,FALSE),""))</f>
        <v>#REF!</v>
      </c>
      <c r="F349" s="785" t="s">
        <v>963</v>
      </c>
      <c r="G349" s="786" t="s">
        <v>2396</v>
      </c>
      <c r="H349" s="786" t="s">
        <v>6148</v>
      </c>
      <c r="I349" s="787" t="s">
        <v>4964</v>
      </c>
    </row>
    <row r="350" spans="1:9">
      <c r="A350" t="s">
        <v>6330</v>
      </c>
      <c r="B350">
        <f>COUNTIF($A$5:$A350,A350)</f>
        <v>1</v>
      </c>
      <c r="C350">
        <f t="shared" si="10"/>
        <v>1</v>
      </c>
      <c r="D350">
        <f t="shared" si="11"/>
        <v>1</v>
      </c>
      <c r="E350" t="e">
        <f>IF(IF($B350=1,VLOOKUP($A350,#REF!,5,FALSE),"")=0,"",IF($B350=1,VLOOKUP($A350,#REF!,5,FALSE),""))</f>
        <v>#REF!</v>
      </c>
      <c r="F350" s="785" t="s">
        <v>963</v>
      </c>
      <c r="G350" s="786" t="s">
        <v>2398</v>
      </c>
      <c r="H350" s="786" t="s">
        <v>6149</v>
      </c>
      <c r="I350" s="787" t="s">
        <v>4996</v>
      </c>
    </row>
    <row r="351" spans="1:9">
      <c r="A351" t="s">
        <v>6331</v>
      </c>
      <c r="B351">
        <f>COUNTIF($A$5:$A351,A351)</f>
        <v>1</v>
      </c>
      <c r="C351">
        <f t="shared" si="10"/>
        <v>1</v>
      </c>
      <c r="D351">
        <f t="shared" si="11"/>
        <v>1</v>
      </c>
      <c r="E351" t="e">
        <f>IF(IF($B351=1,VLOOKUP($A351,#REF!,5,FALSE),"")=0,"",IF($B351=1,VLOOKUP($A351,#REF!,5,FALSE),""))</f>
        <v>#REF!</v>
      </c>
      <c r="F351" s="785" t="s">
        <v>963</v>
      </c>
      <c r="G351" s="786" t="s">
        <v>2398</v>
      </c>
      <c r="H351" s="786" t="s">
        <v>6150</v>
      </c>
      <c r="I351" s="787" t="s">
        <v>5338</v>
      </c>
    </row>
    <row r="352" spans="1:9">
      <c r="A352" t="s">
        <v>6332</v>
      </c>
      <c r="B352">
        <f>COUNTIF($A$5:$A352,A352)</f>
        <v>1</v>
      </c>
      <c r="C352">
        <f t="shared" si="10"/>
        <v>1</v>
      </c>
      <c r="D352">
        <f t="shared" si="11"/>
        <v>1</v>
      </c>
      <c r="E352" t="e">
        <f>IF(IF($B352=1,VLOOKUP($A352,#REF!,5,FALSE),"")=0,"",IF($B352=1,VLOOKUP($A352,#REF!,5,FALSE),""))</f>
        <v>#REF!</v>
      </c>
      <c r="F352" s="785" t="s">
        <v>963</v>
      </c>
      <c r="G352" s="786" t="s">
        <v>2396</v>
      </c>
      <c r="H352" s="786" t="s">
        <v>6151</v>
      </c>
      <c r="I352" s="787" t="s">
        <v>5339</v>
      </c>
    </row>
    <row r="353" spans="1:9">
      <c r="A353" t="s">
        <v>6334</v>
      </c>
      <c r="B353">
        <f>COUNTIF($A$5:$A353,A353)</f>
        <v>1</v>
      </c>
      <c r="C353">
        <f t="shared" si="10"/>
        <v>1</v>
      </c>
      <c r="D353">
        <f t="shared" si="11"/>
        <v>18</v>
      </c>
      <c r="E353" t="e">
        <f>IF(IF($B353=1,VLOOKUP($A353,#REF!,5,FALSE),"")=0,"",IF($B353=1,VLOOKUP($A353,#REF!,5,FALSE),""))</f>
        <v>#REF!</v>
      </c>
      <c r="F353" s="785" t="s">
        <v>963</v>
      </c>
      <c r="G353" s="786" t="s">
        <v>2398</v>
      </c>
      <c r="H353" s="786" t="s">
        <v>6152</v>
      </c>
      <c r="I353" s="787" t="s">
        <v>4668</v>
      </c>
    </row>
    <row r="354" spans="1:9">
      <c r="A354" t="s">
        <v>6336</v>
      </c>
      <c r="B354">
        <f>COUNTIF($A$5:$A354,A354)</f>
        <v>1</v>
      </c>
      <c r="C354">
        <f t="shared" si="10"/>
        <v>1</v>
      </c>
      <c r="D354">
        <f t="shared" si="11"/>
        <v>6</v>
      </c>
      <c r="E354" t="e">
        <f>IF(IF($B354=1,VLOOKUP($A354,#REF!,5,FALSE),"")=0,"",IF($B354=1,VLOOKUP($A354,#REF!,5,FALSE),""))</f>
        <v>#REF!</v>
      </c>
      <c r="F354" s="785" t="s">
        <v>963</v>
      </c>
      <c r="G354" s="786" t="s">
        <v>2396</v>
      </c>
      <c r="H354" s="786" t="s">
        <v>6154</v>
      </c>
      <c r="I354" s="787" t="s">
        <v>4969</v>
      </c>
    </row>
    <row r="355" spans="1:9">
      <c r="A355" t="s">
        <v>6337</v>
      </c>
      <c r="B355">
        <f>COUNTIF($A$5:$A355,A355)</f>
        <v>1</v>
      </c>
      <c r="C355">
        <f t="shared" si="10"/>
        <v>1</v>
      </c>
      <c r="D355">
        <f t="shared" si="11"/>
        <v>6</v>
      </c>
      <c r="E355" t="e">
        <f>IF(IF($B355=1,VLOOKUP($A355,#REF!,5,FALSE),"")=0,"",IF($B355=1,VLOOKUP($A355,#REF!,5,FALSE),""))</f>
        <v>#REF!</v>
      </c>
      <c r="F355" s="785" t="s">
        <v>963</v>
      </c>
      <c r="G355" s="786" t="s">
        <v>2396</v>
      </c>
      <c r="H355" s="786" t="s">
        <v>6155</v>
      </c>
      <c r="I355" s="787" t="s">
        <v>4969</v>
      </c>
    </row>
    <row r="356" spans="1:9">
      <c r="A356" t="s">
        <v>6338</v>
      </c>
      <c r="B356">
        <f>COUNTIF($A$5:$A356,A356)</f>
        <v>1</v>
      </c>
      <c r="C356">
        <f t="shared" si="10"/>
        <v>1</v>
      </c>
      <c r="D356">
        <f t="shared" si="11"/>
        <v>2</v>
      </c>
      <c r="E356" t="e">
        <f>IF(IF($B356=1,VLOOKUP($A356,#REF!,5,FALSE),"")=0,"",IF($B356=1,VLOOKUP($A356,#REF!,5,FALSE),""))</f>
        <v>#REF!</v>
      </c>
      <c r="F356" s="785" t="s">
        <v>963</v>
      </c>
      <c r="G356" s="786" t="s">
        <v>2398</v>
      </c>
      <c r="H356" s="786" t="s">
        <v>6156</v>
      </c>
      <c r="I356" s="787" t="s">
        <v>4993</v>
      </c>
    </row>
    <row r="357" spans="1:9">
      <c r="A357" t="s">
        <v>6339</v>
      </c>
      <c r="B357">
        <f>COUNTIF($A$5:$A357,A357)</f>
        <v>1</v>
      </c>
      <c r="C357">
        <f t="shared" si="10"/>
        <v>1</v>
      </c>
      <c r="D357">
        <f t="shared" si="11"/>
        <v>6</v>
      </c>
      <c r="E357" t="e">
        <f>IF(IF($B357=1,VLOOKUP($A357,#REF!,5,FALSE),"")=0,"",IF($B357=1,VLOOKUP($A357,#REF!,5,FALSE),""))</f>
        <v>#REF!</v>
      </c>
      <c r="F357" s="785" t="s">
        <v>963</v>
      </c>
      <c r="G357" s="786" t="s">
        <v>2398</v>
      </c>
      <c r="H357" s="786" t="s">
        <v>6157</v>
      </c>
      <c r="I357" s="787" t="s">
        <v>4969</v>
      </c>
    </row>
    <row r="358" spans="1:9">
      <c r="A358" t="s">
        <v>6340</v>
      </c>
      <c r="B358">
        <f>COUNTIF($A$5:$A358,A358)</f>
        <v>1</v>
      </c>
      <c r="C358">
        <f t="shared" si="10"/>
        <v>1</v>
      </c>
      <c r="D358">
        <f t="shared" si="11"/>
        <v>6</v>
      </c>
      <c r="E358" t="e">
        <f>IF(IF($B358=1,VLOOKUP($A358,#REF!,5,FALSE),"")=0,"",IF($B358=1,VLOOKUP($A358,#REF!,5,FALSE),""))</f>
        <v>#REF!</v>
      </c>
      <c r="F358" s="785" t="s">
        <v>963</v>
      </c>
      <c r="G358" s="786" t="s">
        <v>2398</v>
      </c>
      <c r="H358" s="786" t="s">
        <v>6158</v>
      </c>
      <c r="I358" s="787" t="s">
        <v>4969</v>
      </c>
    </row>
    <row r="359" spans="1:9" ht="25">
      <c r="A359" t="s">
        <v>6341</v>
      </c>
      <c r="B359">
        <f>COUNTIF($A$5:$A359,A359)</f>
        <v>1</v>
      </c>
      <c r="C359">
        <f t="shared" si="10"/>
        <v>1</v>
      </c>
      <c r="D359">
        <f t="shared" si="11"/>
        <v>1</v>
      </c>
      <c r="E359" t="e">
        <f>IF(IF($B359=1,VLOOKUP($A359,#REF!,5,FALSE),"")=0,"",IF($B359=1,VLOOKUP($A359,#REF!,5,FALSE),""))</f>
        <v>#REF!</v>
      </c>
      <c r="F359" s="785" t="s">
        <v>963</v>
      </c>
      <c r="G359" s="786" t="s">
        <v>2398</v>
      </c>
      <c r="H359" s="786" t="s">
        <v>6159</v>
      </c>
      <c r="I359" s="787" t="s">
        <v>4971</v>
      </c>
    </row>
    <row r="360" spans="1:9">
      <c r="A360" t="s">
        <v>6342</v>
      </c>
      <c r="B360">
        <f>COUNTIF($A$5:$A360,A360)</f>
        <v>1</v>
      </c>
      <c r="C360">
        <f t="shared" si="10"/>
        <v>1</v>
      </c>
      <c r="D360">
        <f t="shared" si="11"/>
        <v>1</v>
      </c>
      <c r="E360" t="e">
        <f>IF(IF($B360=1,VLOOKUP($A360,#REF!,5,FALSE),"")=0,"",IF($B360=1,VLOOKUP($A360,#REF!,5,FALSE),""))</f>
        <v>#REF!</v>
      </c>
      <c r="F360" s="785" t="s">
        <v>963</v>
      </c>
      <c r="G360" s="786" t="s">
        <v>2396</v>
      </c>
      <c r="H360" s="786" t="s">
        <v>6160</v>
      </c>
      <c r="I360" s="787" t="s">
        <v>4977</v>
      </c>
    </row>
    <row r="361" spans="1:9">
      <c r="A361" t="s">
        <v>6343</v>
      </c>
      <c r="B361">
        <f>COUNTIF($A$5:$A361,A361)</f>
        <v>1</v>
      </c>
      <c r="C361">
        <f t="shared" si="10"/>
        <v>1</v>
      </c>
      <c r="D361">
        <f t="shared" si="11"/>
        <v>2</v>
      </c>
      <c r="E361" t="e">
        <f>IF(IF($B361=1,VLOOKUP($A361,#REF!,5,FALSE),"")=0,"",IF($B361=1,VLOOKUP($A361,#REF!,5,FALSE),""))</f>
        <v>#REF!</v>
      </c>
      <c r="F361" s="785" t="s">
        <v>963</v>
      </c>
      <c r="G361" s="786" t="s">
        <v>2396</v>
      </c>
      <c r="H361" s="786" t="s">
        <v>6161</v>
      </c>
      <c r="I361" s="787" t="s">
        <v>4980</v>
      </c>
    </row>
    <row r="362" spans="1:9">
      <c r="A362" t="s">
        <v>6344</v>
      </c>
      <c r="B362">
        <f>COUNTIF($A$5:$A362,A362)</f>
        <v>1</v>
      </c>
      <c r="C362">
        <f t="shared" si="10"/>
        <v>1</v>
      </c>
      <c r="D362">
        <f t="shared" si="11"/>
        <v>1</v>
      </c>
      <c r="E362" t="e">
        <f>IF(IF($B362=1,VLOOKUP($A362,#REF!,5,FALSE),"")=0,"",IF($B362=1,VLOOKUP($A362,#REF!,5,FALSE),""))</f>
        <v>#REF!</v>
      </c>
      <c r="F362" s="785" t="s">
        <v>963</v>
      </c>
      <c r="G362" s="786" t="s">
        <v>2396</v>
      </c>
      <c r="H362" s="786" t="s">
        <v>6162</v>
      </c>
      <c r="I362" s="787" t="s">
        <v>4989</v>
      </c>
    </row>
    <row r="363" spans="1:9">
      <c r="A363" t="s">
        <v>6345</v>
      </c>
      <c r="B363">
        <f>COUNTIF($A$5:$A363,A363)</f>
        <v>1</v>
      </c>
      <c r="C363">
        <f t="shared" si="10"/>
        <v>1</v>
      </c>
      <c r="D363">
        <f t="shared" si="11"/>
        <v>1</v>
      </c>
      <c r="E363" t="e">
        <f>IF(IF($B363=1,VLOOKUP($A363,#REF!,5,FALSE),"")=0,"",IF($B363=1,VLOOKUP($A363,#REF!,5,FALSE),""))</f>
        <v>#REF!</v>
      </c>
      <c r="F363" s="785" t="s">
        <v>963</v>
      </c>
      <c r="G363" s="786" t="s">
        <v>2398</v>
      </c>
      <c r="H363" s="786" t="s">
        <v>6163</v>
      </c>
      <c r="I363" s="787" t="s">
        <v>4997</v>
      </c>
    </row>
    <row r="364" spans="1:9">
      <c r="A364" t="s">
        <v>6346</v>
      </c>
      <c r="B364">
        <f>COUNTIF($A$5:$A364,A364)</f>
        <v>1</v>
      </c>
      <c r="C364">
        <f t="shared" si="10"/>
        <v>1</v>
      </c>
      <c r="D364">
        <f t="shared" si="11"/>
        <v>2</v>
      </c>
      <c r="E364" t="e">
        <f>IF(IF($B364=1,VLOOKUP($A364,#REF!,5,FALSE),"")=0,"",IF($B364=1,VLOOKUP($A364,#REF!,5,FALSE),""))</f>
        <v>#REF!</v>
      </c>
      <c r="F364" s="785" t="s">
        <v>963</v>
      </c>
      <c r="G364" s="786" t="s">
        <v>2398</v>
      </c>
      <c r="H364" s="786" t="s">
        <v>6164</v>
      </c>
      <c r="I364" s="787" t="s">
        <v>4993</v>
      </c>
    </row>
    <row r="365" spans="1:9">
      <c r="A365" t="s">
        <v>6347</v>
      </c>
      <c r="B365">
        <f>COUNTIF($A$5:$A365,A365)</f>
        <v>1</v>
      </c>
      <c r="C365">
        <f t="shared" si="10"/>
        <v>1</v>
      </c>
      <c r="D365">
        <f t="shared" si="11"/>
        <v>1</v>
      </c>
      <c r="E365" t="e">
        <f>IF(IF($B365=1,VLOOKUP($A365,#REF!,5,FALSE),"")=0,"",IF($B365=1,VLOOKUP($A365,#REF!,5,FALSE),""))</f>
        <v>#REF!</v>
      </c>
      <c r="F365" s="785" t="s">
        <v>963</v>
      </c>
      <c r="G365" s="786" t="s">
        <v>2396</v>
      </c>
      <c r="H365" s="786" t="s">
        <v>6165</v>
      </c>
      <c r="I365" s="787" t="s">
        <v>4972</v>
      </c>
    </row>
    <row r="366" spans="1:9">
      <c r="A366" t="s">
        <v>6348</v>
      </c>
      <c r="B366">
        <f>COUNTIF($A$5:$A366,A366)</f>
        <v>1</v>
      </c>
      <c r="C366">
        <f t="shared" si="10"/>
        <v>1</v>
      </c>
      <c r="D366">
        <f t="shared" si="11"/>
        <v>1</v>
      </c>
      <c r="E366" t="e">
        <f>IF(IF($B366=1,VLOOKUP($A366,#REF!,5,FALSE),"")=0,"",IF($B366=1,VLOOKUP($A366,#REF!,5,FALSE),""))</f>
        <v>#REF!</v>
      </c>
      <c r="F366" s="785" t="s">
        <v>963</v>
      </c>
      <c r="G366" s="786" t="s">
        <v>2398</v>
      </c>
      <c r="H366" s="786" t="s">
        <v>6166</v>
      </c>
      <c r="I366" s="787" t="s">
        <v>4958</v>
      </c>
    </row>
    <row r="367" spans="1:9">
      <c r="A367" t="s">
        <v>6350</v>
      </c>
      <c r="B367">
        <f>COUNTIF($A$5:$A367,A367)</f>
        <v>1</v>
      </c>
      <c r="C367">
        <f t="shared" si="10"/>
        <v>1</v>
      </c>
      <c r="D367">
        <f t="shared" si="11"/>
        <v>2</v>
      </c>
      <c r="E367" t="e">
        <f>IF(IF($B367=1,VLOOKUP($A367,#REF!,5,FALSE),"")=0,"",IF($B367=1,VLOOKUP($A367,#REF!,5,FALSE),""))</f>
        <v>#REF!</v>
      </c>
      <c r="F367" s="785" t="s">
        <v>963</v>
      </c>
      <c r="G367" s="786" t="s">
        <v>2399</v>
      </c>
      <c r="H367" s="786" t="s">
        <v>5362</v>
      </c>
      <c r="I367" s="787" t="s">
        <v>4679</v>
      </c>
    </row>
    <row r="368" spans="1:9">
      <c r="A368" t="s">
        <v>6357</v>
      </c>
      <c r="B368">
        <f>COUNTIF($A$5:$A368,A368)</f>
        <v>1</v>
      </c>
      <c r="C368">
        <f t="shared" si="10"/>
        <v>1</v>
      </c>
      <c r="D368">
        <f t="shared" si="11"/>
        <v>18</v>
      </c>
      <c r="E368" t="e">
        <f>IF(IF($B368=1,VLOOKUP($A368,#REF!,5,FALSE),"")=0,"",IF($B368=1,VLOOKUP($A368,#REF!,5,FALSE),""))</f>
        <v>#REF!</v>
      </c>
      <c r="F368" s="785" t="s">
        <v>963</v>
      </c>
      <c r="G368" s="786" t="s">
        <v>2398</v>
      </c>
      <c r="H368" s="786" t="s">
        <v>6169</v>
      </c>
      <c r="I368" s="787" t="s">
        <v>4668</v>
      </c>
    </row>
    <row r="369" spans="1:9">
      <c r="A369" t="s">
        <v>6365</v>
      </c>
      <c r="B369">
        <f>COUNTIF($A$5:$A369,A369)</f>
        <v>1</v>
      </c>
      <c r="C369">
        <f t="shared" si="10"/>
        <v>1</v>
      </c>
      <c r="D369">
        <f t="shared" si="11"/>
        <v>18</v>
      </c>
      <c r="E369" t="e">
        <f>IF(IF($B369=1,VLOOKUP($A369,#REF!,5,FALSE),"")=0,"",IF($B369=1,VLOOKUP($A369,#REF!,5,FALSE),""))</f>
        <v>#REF!</v>
      </c>
      <c r="F369" s="785" t="s">
        <v>963</v>
      </c>
      <c r="G369" s="786" t="s">
        <v>2399</v>
      </c>
      <c r="H369" s="786" t="s">
        <v>6170</v>
      </c>
      <c r="I369" s="787" t="s">
        <v>4668</v>
      </c>
    </row>
    <row r="370" spans="1:9">
      <c r="A370" t="s">
        <v>6366</v>
      </c>
      <c r="B370">
        <f>COUNTIF($A$5:$A370,A370)</f>
        <v>1</v>
      </c>
      <c r="C370">
        <f t="shared" si="10"/>
        <v>1</v>
      </c>
      <c r="D370">
        <f t="shared" si="11"/>
        <v>18</v>
      </c>
      <c r="E370" t="e">
        <f>IF(IF($B370=1,VLOOKUP($A370,#REF!,5,FALSE),"")=0,"",IF($B370=1,VLOOKUP($A370,#REF!,5,FALSE),""))</f>
        <v>#REF!</v>
      </c>
      <c r="F370" s="785" t="s">
        <v>963</v>
      </c>
      <c r="G370" s="786" t="s">
        <v>2399</v>
      </c>
      <c r="H370" s="786" t="s">
        <v>6171</v>
      </c>
      <c r="I370" s="787" t="s">
        <v>4668</v>
      </c>
    </row>
    <row r="371" spans="1:9">
      <c r="A371" t="s">
        <v>5669</v>
      </c>
      <c r="B371">
        <f>COUNTIF($A$5:$A371,A371)</f>
        <v>1</v>
      </c>
      <c r="C371">
        <f t="shared" si="10"/>
        <v>2</v>
      </c>
      <c r="D371">
        <f t="shared" si="11"/>
        <v>2</v>
      </c>
      <c r="E371" t="e">
        <f>IF(IF($B371=1,VLOOKUP($A371,#REF!,5,FALSE),"")=0,"",IF($B371=1,VLOOKUP($A371,#REF!,5,FALSE),""))</f>
        <v>#REF!</v>
      </c>
      <c r="F371" s="785" t="s">
        <v>963</v>
      </c>
      <c r="G371" s="786" t="s">
        <v>2603</v>
      </c>
      <c r="H371" s="786" t="s">
        <v>4478</v>
      </c>
      <c r="I371" s="787" t="s">
        <v>5318</v>
      </c>
    </row>
    <row r="372" spans="1:9">
      <c r="A372" t="s">
        <v>5670</v>
      </c>
      <c r="B372">
        <f>COUNTIF($A$5:$A372,A372)</f>
        <v>1</v>
      </c>
      <c r="C372">
        <f t="shared" si="10"/>
        <v>2</v>
      </c>
      <c r="D372">
        <f t="shared" si="11"/>
        <v>2</v>
      </c>
      <c r="E372" t="e">
        <f>IF(IF($B372=1,VLOOKUP($A372,#REF!,5,FALSE),"")=0,"",IF($B372=1,VLOOKUP($A372,#REF!,5,FALSE),""))</f>
        <v>#REF!</v>
      </c>
      <c r="F372" s="785" t="s">
        <v>963</v>
      </c>
      <c r="G372" s="786" t="s">
        <v>2617</v>
      </c>
      <c r="H372" s="786" t="s">
        <v>4478</v>
      </c>
      <c r="I372" s="787" t="s">
        <v>5318</v>
      </c>
    </row>
    <row r="373" spans="1:9">
      <c r="A373" t="s">
        <v>5671</v>
      </c>
      <c r="B373">
        <f>COUNTIF($A$5:$A373,A373)</f>
        <v>1</v>
      </c>
      <c r="C373">
        <f t="shared" si="10"/>
        <v>2</v>
      </c>
      <c r="D373">
        <f t="shared" si="11"/>
        <v>2</v>
      </c>
      <c r="E373" t="e">
        <f>IF(IF($B373=1,VLOOKUP($A373,#REF!,5,FALSE),"")=0,"",IF($B373=1,VLOOKUP($A373,#REF!,5,FALSE),""))</f>
        <v>#REF!</v>
      </c>
      <c r="F373" s="785" t="s">
        <v>963</v>
      </c>
      <c r="G373" s="786" t="s">
        <v>2610</v>
      </c>
      <c r="H373" s="786" t="s">
        <v>2358</v>
      </c>
      <c r="I373" s="787" t="s">
        <v>4706</v>
      </c>
    </row>
    <row r="374" spans="1:9">
      <c r="A374" t="s">
        <v>6367</v>
      </c>
      <c r="B374">
        <f>COUNTIF($A$5:$A374,A374)</f>
        <v>1</v>
      </c>
      <c r="C374">
        <f t="shared" si="10"/>
        <v>1</v>
      </c>
      <c r="D374">
        <f t="shared" si="11"/>
        <v>1</v>
      </c>
      <c r="E374" t="e">
        <f>IF(IF($B374=1,VLOOKUP($A374,#REF!,5,FALSE),"")=0,"",IF($B374=1,VLOOKUP($A374,#REF!,5,FALSE),""))</f>
        <v>#REF!</v>
      </c>
      <c r="F374" s="785" t="s">
        <v>963</v>
      </c>
      <c r="G374" s="786" t="s">
        <v>2396</v>
      </c>
      <c r="H374" s="786" t="s">
        <v>6172</v>
      </c>
      <c r="I374" s="787" t="s">
        <v>4985</v>
      </c>
    </row>
    <row r="375" spans="1:9">
      <c r="A375" t="s">
        <v>6368</v>
      </c>
      <c r="B375">
        <f>COUNTIF($A$5:$A375,A375)</f>
        <v>1</v>
      </c>
      <c r="C375">
        <f t="shared" si="10"/>
        <v>1</v>
      </c>
      <c r="D375">
        <f t="shared" si="11"/>
        <v>1</v>
      </c>
      <c r="E375" t="e">
        <f>IF(IF($B375=1,VLOOKUP($A375,#REF!,5,FALSE),"")=0,"",IF($B375=1,VLOOKUP($A375,#REF!,5,FALSE),""))</f>
        <v>#REF!</v>
      </c>
      <c r="F375" s="785" t="s">
        <v>963</v>
      </c>
      <c r="G375" s="786" t="s">
        <v>2398</v>
      </c>
      <c r="H375" s="786" t="s">
        <v>6173</v>
      </c>
      <c r="I375" s="787" t="s">
        <v>5343</v>
      </c>
    </row>
    <row r="376" spans="1:9">
      <c r="A376" t="s">
        <v>6369</v>
      </c>
      <c r="B376">
        <f>COUNTIF($A$5:$A376,A376)</f>
        <v>1</v>
      </c>
      <c r="C376">
        <f t="shared" si="10"/>
        <v>1</v>
      </c>
      <c r="D376">
        <f t="shared" si="11"/>
        <v>1</v>
      </c>
      <c r="E376" t="e">
        <f>IF(IF($B376=1,VLOOKUP($A376,#REF!,5,FALSE),"")=0,"",IF($B376=1,VLOOKUP($A376,#REF!,5,FALSE),""))</f>
        <v>#REF!</v>
      </c>
      <c r="F376" s="785" t="s">
        <v>963</v>
      </c>
      <c r="G376" s="786" t="s">
        <v>2398</v>
      </c>
      <c r="H376" s="786" t="s">
        <v>6174</v>
      </c>
      <c r="I376" s="787" t="s">
        <v>4957</v>
      </c>
    </row>
    <row r="377" spans="1:9">
      <c r="A377" t="s">
        <v>6370</v>
      </c>
      <c r="B377">
        <f>COUNTIF($A$5:$A377,A377)</f>
        <v>1</v>
      </c>
      <c r="C377">
        <f t="shared" si="10"/>
        <v>1</v>
      </c>
      <c r="D377">
        <f t="shared" si="11"/>
        <v>1</v>
      </c>
      <c r="E377" t="e">
        <f>IF(IF($B377=1,VLOOKUP($A377,#REF!,5,FALSE),"")=0,"",IF($B377=1,VLOOKUP($A377,#REF!,5,FALSE),""))</f>
        <v>#REF!</v>
      </c>
      <c r="F377" s="785" t="s">
        <v>963</v>
      </c>
      <c r="G377" s="786" t="s">
        <v>2398</v>
      </c>
      <c r="H377" s="786" t="s">
        <v>6175</v>
      </c>
      <c r="I377" s="787" t="s">
        <v>4986</v>
      </c>
    </row>
    <row r="378" spans="1:9">
      <c r="A378" t="s">
        <v>6371</v>
      </c>
      <c r="B378">
        <f>COUNTIF($A$5:$A378,A378)</f>
        <v>1</v>
      </c>
      <c r="C378">
        <f t="shared" si="10"/>
        <v>1</v>
      </c>
      <c r="D378">
        <f t="shared" si="11"/>
        <v>3</v>
      </c>
      <c r="E378" t="e">
        <f>IF(IF($B378=1,VLOOKUP($A378,#REF!,5,FALSE),"")=0,"",IF($B378=1,VLOOKUP($A378,#REF!,5,FALSE),""))</f>
        <v>#REF!</v>
      </c>
      <c r="F378" s="785" t="s">
        <v>963</v>
      </c>
      <c r="G378" s="786" t="s">
        <v>2398</v>
      </c>
      <c r="H378" s="786" t="s">
        <v>6176</v>
      </c>
      <c r="I378" s="787" t="s">
        <v>4688</v>
      </c>
    </row>
    <row r="379" spans="1:9">
      <c r="A379" t="s">
        <v>6372</v>
      </c>
      <c r="B379">
        <f>COUNTIF($A$5:$A379,A379)</f>
        <v>1</v>
      </c>
      <c r="C379">
        <f t="shared" si="10"/>
        <v>1</v>
      </c>
      <c r="D379">
        <f t="shared" si="11"/>
        <v>3</v>
      </c>
      <c r="E379" t="e">
        <f>IF(IF($B379=1,VLOOKUP($A379,#REF!,5,FALSE),"")=0,"",IF($B379=1,VLOOKUP($A379,#REF!,5,FALSE),""))</f>
        <v>#REF!</v>
      </c>
      <c r="F379" s="785" t="s">
        <v>963</v>
      </c>
      <c r="G379" s="786" t="s">
        <v>2398</v>
      </c>
      <c r="H379" s="786" t="s">
        <v>6177</v>
      </c>
      <c r="I379" s="787" t="s">
        <v>4688</v>
      </c>
    </row>
    <row r="380" spans="1:9">
      <c r="A380" t="s">
        <v>6373</v>
      </c>
      <c r="B380">
        <f>COUNTIF($A$5:$A380,A380)</f>
        <v>1</v>
      </c>
      <c r="C380">
        <f t="shared" si="10"/>
        <v>1</v>
      </c>
      <c r="D380">
        <f t="shared" si="11"/>
        <v>1</v>
      </c>
      <c r="E380" t="e">
        <f>IF(IF($B380=1,VLOOKUP($A380,#REF!,5,FALSE),"")=0,"",IF($B380=1,VLOOKUP($A380,#REF!,5,FALSE),""))</f>
        <v>#REF!</v>
      </c>
      <c r="F380" s="785" t="s">
        <v>963</v>
      </c>
      <c r="G380" s="786" t="s">
        <v>2398</v>
      </c>
      <c r="H380" s="786" t="s">
        <v>6178</v>
      </c>
      <c r="I380" s="787" t="s">
        <v>5346</v>
      </c>
    </row>
    <row r="381" spans="1:9">
      <c r="A381" t="s">
        <v>6374</v>
      </c>
      <c r="B381">
        <f>COUNTIF($A$5:$A381,A381)</f>
        <v>1</v>
      </c>
      <c r="C381">
        <f t="shared" si="10"/>
        <v>1</v>
      </c>
      <c r="D381">
        <f t="shared" si="11"/>
        <v>2</v>
      </c>
      <c r="E381" t="e">
        <f>IF(IF($B381=1,VLOOKUP($A381,#REF!,5,FALSE),"")=0,"",IF($B381=1,VLOOKUP($A381,#REF!,5,FALSE),""))</f>
        <v>#REF!</v>
      </c>
      <c r="F381" s="785" t="s">
        <v>963</v>
      </c>
      <c r="G381" s="786" t="s">
        <v>2396</v>
      </c>
      <c r="H381" s="786" t="s">
        <v>6179</v>
      </c>
      <c r="I381" s="787" t="s">
        <v>4679</v>
      </c>
    </row>
    <row r="382" spans="1:9" ht="25">
      <c r="A382" t="s">
        <v>6375</v>
      </c>
      <c r="B382">
        <f>COUNTIF($A$5:$A382,A382)</f>
        <v>1</v>
      </c>
      <c r="C382">
        <f t="shared" si="10"/>
        <v>1</v>
      </c>
      <c r="D382">
        <f t="shared" si="11"/>
        <v>5</v>
      </c>
      <c r="E382" t="e">
        <f>IF(IF($B382=1,VLOOKUP($A382,#REF!,5,FALSE),"")=0,"",IF($B382=1,VLOOKUP($A382,#REF!,5,FALSE),""))</f>
        <v>#REF!</v>
      </c>
      <c r="F382" s="785" t="s">
        <v>963</v>
      </c>
      <c r="G382" s="786" t="s">
        <v>2405</v>
      </c>
      <c r="H382" s="786" t="s">
        <v>2279</v>
      </c>
      <c r="I382" s="787" t="s">
        <v>4502</v>
      </c>
    </row>
    <row r="383" spans="1:9" ht="25">
      <c r="A383" t="s">
        <v>5672</v>
      </c>
      <c r="B383">
        <f>COUNTIF($A$5:$A383,A383)</f>
        <v>1</v>
      </c>
      <c r="C383">
        <f t="shared" si="10"/>
        <v>1</v>
      </c>
      <c r="D383">
        <f t="shared" si="11"/>
        <v>5</v>
      </c>
      <c r="E383" t="e">
        <f>IF(IF($B383=1,VLOOKUP($A383,#REF!,5,FALSE),"")=0,"",IF($B383=1,VLOOKUP($A383,#REF!,5,FALSE),""))</f>
        <v>#REF!</v>
      </c>
      <c r="F383" s="785" t="s">
        <v>963</v>
      </c>
      <c r="G383" s="786" t="s">
        <v>2604</v>
      </c>
      <c r="H383" s="786" t="s">
        <v>2281</v>
      </c>
      <c r="I383" s="787" t="s">
        <v>4502</v>
      </c>
    </row>
    <row r="384" spans="1:9">
      <c r="A384" t="s">
        <v>5673</v>
      </c>
      <c r="B384">
        <f>COUNTIF($A$5:$A384,A384)</f>
        <v>1</v>
      </c>
      <c r="C384">
        <f t="shared" si="10"/>
        <v>2</v>
      </c>
      <c r="D384">
        <f t="shared" si="11"/>
        <v>2</v>
      </c>
      <c r="E384" t="e">
        <f>IF(IF($B384=1,VLOOKUP($A384,#REF!,5,FALSE),"")=0,"",IF($B384=1,VLOOKUP($A384,#REF!,5,FALSE),""))</f>
        <v>#REF!</v>
      </c>
      <c r="F384" s="785" t="s">
        <v>963</v>
      </c>
      <c r="G384" s="786" t="s">
        <v>2603</v>
      </c>
      <c r="H384" s="786" t="s">
        <v>4479</v>
      </c>
      <c r="I384" s="787" t="s">
        <v>4708</v>
      </c>
    </row>
    <row r="385" spans="1:9">
      <c r="A385" t="s">
        <v>5674</v>
      </c>
      <c r="B385">
        <f>COUNTIF($A$5:$A385,A385)</f>
        <v>1</v>
      </c>
      <c r="C385">
        <f t="shared" si="10"/>
        <v>2</v>
      </c>
      <c r="D385">
        <f t="shared" si="11"/>
        <v>2</v>
      </c>
      <c r="E385" t="e">
        <f>IF(IF($B385=1,VLOOKUP($A385,#REF!,5,FALSE),"")=0,"",IF($B385=1,VLOOKUP($A385,#REF!,5,FALSE),""))</f>
        <v>#REF!</v>
      </c>
      <c r="F385" s="785" t="s">
        <v>963</v>
      </c>
      <c r="G385" s="786" t="s">
        <v>2617</v>
      </c>
      <c r="H385" s="786" t="s">
        <v>4479</v>
      </c>
      <c r="I385" s="787" t="s">
        <v>4708</v>
      </c>
    </row>
    <row r="386" spans="1:9" ht="25">
      <c r="A386" t="s">
        <v>5675</v>
      </c>
      <c r="B386">
        <f>COUNTIF($A$5:$A386,A386)</f>
        <v>1</v>
      </c>
      <c r="C386">
        <f t="shared" si="10"/>
        <v>1</v>
      </c>
      <c r="D386">
        <f t="shared" si="11"/>
        <v>1</v>
      </c>
      <c r="E386" t="e">
        <f>IF(IF($B386=1,VLOOKUP($A386,#REF!,5,FALSE),"")=0,"",IF($B386=1,VLOOKUP($A386,#REF!,5,FALSE),""))</f>
        <v>#REF!</v>
      </c>
      <c r="F386" s="785" t="s">
        <v>963</v>
      </c>
      <c r="G386" s="786" t="s">
        <v>2617</v>
      </c>
      <c r="H386" s="786" t="s">
        <v>4665</v>
      </c>
      <c r="I386" s="787" t="s">
        <v>5206</v>
      </c>
    </row>
    <row r="387" spans="1:9" ht="37.5">
      <c r="A387" t="s">
        <v>5676</v>
      </c>
      <c r="B387">
        <f>COUNTIF($A$5:$A387,A387)</f>
        <v>1</v>
      </c>
      <c r="C387">
        <f t="shared" si="10"/>
        <v>1</v>
      </c>
      <c r="D387" t="e">
        <f t="shared" si="11"/>
        <v>#VALUE!</v>
      </c>
      <c r="E387" t="e">
        <f>IF(IF($B387=1,VLOOKUP($A387,#REF!,5,FALSE),"")=0,"",IF($B387=1,VLOOKUP($A387,#REF!,5,FALSE),""))</f>
        <v>#REF!</v>
      </c>
      <c r="F387" s="785" t="s">
        <v>963</v>
      </c>
      <c r="G387" s="786" t="s">
        <v>2617</v>
      </c>
      <c r="H387" s="786" t="s">
        <v>4666</v>
      </c>
      <c r="I387" s="787" t="s">
        <v>5207</v>
      </c>
    </row>
    <row r="388" spans="1:9">
      <c r="A388" t="s">
        <v>5677</v>
      </c>
      <c r="B388">
        <f>COUNTIF($A$5:$A388,A388)</f>
        <v>1</v>
      </c>
      <c r="C388">
        <f t="shared" si="10"/>
        <v>1</v>
      </c>
      <c r="D388">
        <f t="shared" si="11"/>
        <v>1</v>
      </c>
      <c r="E388" t="e">
        <f>IF(IF($B388=1,VLOOKUP($A388,#REF!,5,FALSE),"")=0,"",IF($B388=1,VLOOKUP($A388,#REF!,5,FALSE),""))</f>
        <v>#REF!</v>
      </c>
      <c r="F388" s="785" t="s">
        <v>963</v>
      </c>
      <c r="G388" s="786" t="s">
        <v>2398</v>
      </c>
      <c r="H388" s="786" t="s">
        <v>2363</v>
      </c>
      <c r="I388" s="787" t="s">
        <v>5208</v>
      </c>
    </row>
    <row r="389" spans="1:9">
      <c r="A389" t="s">
        <v>5678</v>
      </c>
      <c r="B389">
        <f>COUNTIF($A$5:$A389,A389)</f>
        <v>1</v>
      </c>
      <c r="C389">
        <f t="shared" ref="C389:C452" si="12">COUNTIF($H$5:$H$622,H389)</f>
        <v>1</v>
      </c>
      <c r="D389">
        <f t="shared" ref="D389:D452" si="13">COUNTIF($I$5:$I$622,I389)</f>
        <v>1</v>
      </c>
      <c r="E389" t="e">
        <f>IF(IF($B389=1,VLOOKUP($A389,#REF!,5,FALSE),"")=0,"",IF($B389=1,VLOOKUP($A389,#REF!,5,FALSE),""))</f>
        <v>#REF!</v>
      </c>
      <c r="F389" s="785" t="s">
        <v>963</v>
      </c>
      <c r="G389" s="786" t="s">
        <v>2396</v>
      </c>
      <c r="H389" s="786" t="s">
        <v>2361</v>
      </c>
      <c r="I389" s="787" t="s">
        <v>5211</v>
      </c>
    </row>
    <row r="390" spans="1:9" ht="37.5">
      <c r="A390" t="s">
        <v>5679</v>
      </c>
      <c r="B390">
        <f>COUNTIF($A$5:$A390,A390)</f>
        <v>1</v>
      </c>
      <c r="C390">
        <f t="shared" si="12"/>
        <v>1</v>
      </c>
      <c r="D390" t="e">
        <f t="shared" si="13"/>
        <v>#VALUE!</v>
      </c>
      <c r="E390" t="e">
        <f>IF(IF($B390=1,VLOOKUP($A390,#REF!,5,FALSE),"")=0,"",IF($B390=1,VLOOKUP($A390,#REF!,5,FALSE),""))</f>
        <v>#REF!</v>
      </c>
      <c r="F390" s="785" t="s">
        <v>963</v>
      </c>
      <c r="G390" s="786" t="s">
        <v>2617</v>
      </c>
      <c r="H390" s="786" t="s">
        <v>2366</v>
      </c>
      <c r="I390" s="787" t="s">
        <v>5212</v>
      </c>
    </row>
    <row r="391" spans="1:9">
      <c r="A391" t="s">
        <v>5680</v>
      </c>
      <c r="B391">
        <f>COUNTIF($A$5:$A391,A391)</f>
        <v>1</v>
      </c>
      <c r="C391">
        <f t="shared" si="12"/>
        <v>1</v>
      </c>
      <c r="D391">
        <f t="shared" si="13"/>
        <v>1</v>
      </c>
      <c r="E391" t="e">
        <f>IF(IF($B391=1,VLOOKUP($A391,#REF!,5,FALSE),"")=0,"",IF($B391=1,VLOOKUP($A391,#REF!,5,FALSE),""))</f>
        <v>#REF!</v>
      </c>
      <c r="F391" s="785" t="s">
        <v>963</v>
      </c>
      <c r="G391" s="786" t="s">
        <v>2609</v>
      </c>
      <c r="H391" s="786" t="s">
        <v>2365</v>
      </c>
      <c r="I391" s="787" t="s">
        <v>5213</v>
      </c>
    </row>
    <row r="392" spans="1:9" ht="87.5">
      <c r="A392" t="s">
        <v>5681</v>
      </c>
      <c r="B392">
        <f>COUNTIF($A$5:$A392,A392)</f>
        <v>1</v>
      </c>
      <c r="C392">
        <f t="shared" si="12"/>
        <v>1</v>
      </c>
      <c r="D392" t="e">
        <f t="shared" si="13"/>
        <v>#VALUE!</v>
      </c>
      <c r="E392" t="e">
        <f>IF(IF($B392=1,VLOOKUP($A392,#REF!,5,FALSE),"")=0,"",IF($B392=1,VLOOKUP($A392,#REF!,5,FALSE),""))</f>
        <v>#REF!</v>
      </c>
      <c r="F392" s="785" t="s">
        <v>963</v>
      </c>
      <c r="G392" s="786" t="s">
        <v>2617</v>
      </c>
      <c r="H392" s="786" t="s">
        <v>2367</v>
      </c>
      <c r="I392" s="787" t="s">
        <v>5214</v>
      </c>
    </row>
    <row r="393" spans="1:9">
      <c r="A393" t="s">
        <v>5682</v>
      </c>
      <c r="B393">
        <f>COUNTIF($A$5:$A393,A393)</f>
        <v>1</v>
      </c>
      <c r="C393">
        <f t="shared" si="12"/>
        <v>1</v>
      </c>
      <c r="D393">
        <f t="shared" si="13"/>
        <v>1</v>
      </c>
      <c r="E393" t="e">
        <f>IF(IF($B393=1,VLOOKUP($A393,#REF!,5,FALSE),"")=0,"",IF($B393=1,VLOOKUP($A393,#REF!,5,FALSE),""))</f>
        <v>#REF!</v>
      </c>
      <c r="F393" s="785" t="s">
        <v>963</v>
      </c>
      <c r="G393" s="786" t="s">
        <v>2603</v>
      </c>
      <c r="H393" s="786" t="s">
        <v>2369</v>
      </c>
      <c r="I393" s="787" t="s">
        <v>4570</v>
      </c>
    </row>
    <row r="394" spans="1:9">
      <c r="A394" t="s">
        <v>5683</v>
      </c>
      <c r="B394">
        <f>COUNTIF($A$5:$A394,A394)</f>
        <v>1</v>
      </c>
      <c r="C394">
        <f t="shared" si="12"/>
        <v>1</v>
      </c>
      <c r="D394">
        <f t="shared" si="13"/>
        <v>1</v>
      </c>
      <c r="E394" t="e">
        <f>IF(IF($B394=1,VLOOKUP($A394,#REF!,5,FALSE),"")=0,"",IF($B394=1,VLOOKUP($A394,#REF!,5,FALSE),""))</f>
        <v>#REF!</v>
      </c>
      <c r="F394" s="785" t="s">
        <v>963</v>
      </c>
      <c r="G394" s="786" t="s">
        <v>2606</v>
      </c>
      <c r="H394" s="786" t="s">
        <v>2375</v>
      </c>
      <c r="I394" s="787" t="s">
        <v>5217</v>
      </c>
    </row>
    <row r="395" spans="1:9">
      <c r="A395" t="s">
        <v>5684</v>
      </c>
      <c r="B395">
        <f>COUNTIF($A$5:$A395,A395)</f>
        <v>1</v>
      </c>
      <c r="C395">
        <f t="shared" si="12"/>
        <v>1</v>
      </c>
      <c r="D395">
        <f t="shared" si="13"/>
        <v>1</v>
      </c>
      <c r="E395" t="e">
        <f>IF(IF($B395=1,VLOOKUP($A395,#REF!,5,FALSE),"")=0,"",IF($B395=1,VLOOKUP($A395,#REF!,5,FALSE),""))</f>
        <v>#REF!</v>
      </c>
      <c r="F395" s="785" t="s">
        <v>963</v>
      </c>
      <c r="G395" s="786" t="s">
        <v>2326</v>
      </c>
      <c r="H395" s="786" t="s">
        <v>2283</v>
      </c>
      <c r="I395" s="787" t="s">
        <v>5219</v>
      </c>
    </row>
    <row r="396" spans="1:9" ht="50">
      <c r="A396" t="s">
        <v>6376</v>
      </c>
      <c r="B396">
        <f>COUNTIF($A$5:$A396,A396)</f>
        <v>1</v>
      </c>
      <c r="C396">
        <f t="shared" si="12"/>
        <v>1</v>
      </c>
      <c r="D396" t="e">
        <f t="shared" si="13"/>
        <v>#VALUE!</v>
      </c>
      <c r="E396" t="e">
        <f>IF(IF($B396=1,VLOOKUP($A396,#REF!,5,FALSE),"")=0,"",IF($B396=1,VLOOKUP($A396,#REF!,5,FALSE),""))</f>
        <v>#REF!</v>
      </c>
      <c r="F396" s="785" t="s">
        <v>963</v>
      </c>
      <c r="G396" s="786" t="s">
        <v>2326</v>
      </c>
      <c r="H396" s="786" t="s">
        <v>2286</v>
      </c>
      <c r="I396" s="787" t="s">
        <v>5222</v>
      </c>
    </row>
    <row r="397" spans="1:9" ht="25">
      <c r="A397" t="s">
        <v>5685</v>
      </c>
      <c r="B397">
        <f>COUNTIF($A$5:$A397,A397)</f>
        <v>1</v>
      </c>
      <c r="C397">
        <f t="shared" si="12"/>
        <v>1</v>
      </c>
      <c r="D397">
        <f t="shared" si="13"/>
        <v>1</v>
      </c>
      <c r="E397" t="e">
        <f>IF(IF($B397=1,VLOOKUP($A397,#REF!,5,FALSE),"")=0,"",IF($B397=1,VLOOKUP($A397,#REF!,5,FALSE),""))</f>
        <v>#REF!</v>
      </c>
      <c r="F397" s="785" t="s">
        <v>963</v>
      </c>
      <c r="G397" s="786" t="s">
        <v>2606</v>
      </c>
      <c r="H397" s="786" t="s">
        <v>2287</v>
      </c>
      <c r="I397" s="787" t="s">
        <v>5223</v>
      </c>
    </row>
    <row r="398" spans="1:9" ht="25">
      <c r="A398" t="s">
        <v>5686</v>
      </c>
      <c r="B398">
        <f>COUNTIF($A$5:$A398,A398)</f>
        <v>1</v>
      </c>
      <c r="C398">
        <f t="shared" si="12"/>
        <v>1</v>
      </c>
      <c r="D398">
        <f t="shared" si="13"/>
        <v>1</v>
      </c>
      <c r="E398" t="e">
        <f>IF(IF($B398=1,VLOOKUP($A398,#REF!,5,FALSE),"")=0,"",IF($B398=1,VLOOKUP($A398,#REF!,5,FALSE),""))</f>
        <v>#REF!</v>
      </c>
      <c r="F398" s="785" t="s">
        <v>963</v>
      </c>
      <c r="G398" s="786" t="s">
        <v>2617</v>
      </c>
      <c r="H398" s="786" t="s">
        <v>2288</v>
      </c>
      <c r="I398" s="787" t="s">
        <v>5224</v>
      </c>
    </row>
    <row r="399" spans="1:9">
      <c r="A399" t="s">
        <v>5687</v>
      </c>
      <c r="B399">
        <f>COUNTIF($A$5:$A399,A399)</f>
        <v>1</v>
      </c>
      <c r="C399">
        <f t="shared" si="12"/>
        <v>1</v>
      </c>
      <c r="D399">
        <f t="shared" si="13"/>
        <v>1</v>
      </c>
      <c r="E399" t="e">
        <f>IF(IF($B399=1,VLOOKUP($A399,#REF!,5,FALSE),"")=0,"",IF($B399=1,VLOOKUP($A399,#REF!,5,FALSE),""))</f>
        <v>#REF!</v>
      </c>
      <c r="F399" s="785" t="s">
        <v>963</v>
      </c>
      <c r="G399" s="786" t="s">
        <v>2609</v>
      </c>
      <c r="H399" s="786" t="s">
        <v>2292</v>
      </c>
      <c r="I399" s="787" t="s">
        <v>5228</v>
      </c>
    </row>
    <row r="400" spans="1:9" ht="87.5">
      <c r="A400" t="s">
        <v>5688</v>
      </c>
      <c r="B400">
        <f>COUNTIF($A$5:$A400,A400)</f>
        <v>1</v>
      </c>
      <c r="C400">
        <f t="shared" si="12"/>
        <v>1</v>
      </c>
      <c r="D400" t="e">
        <f t="shared" si="13"/>
        <v>#VALUE!</v>
      </c>
      <c r="E400" t="e">
        <f>IF(IF($B400=1,VLOOKUP($A400,#REF!,5,FALSE),"")=0,"",IF($B400=1,VLOOKUP($A400,#REF!,5,FALSE),""))</f>
        <v>#REF!</v>
      </c>
      <c r="F400" s="785" t="s">
        <v>963</v>
      </c>
      <c r="G400" s="786" t="s">
        <v>2393</v>
      </c>
      <c r="H400" s="786" t="s">
        <v>2294</v>
      </c>
      <c r="I400" s="787" t="s">
        <v>5229</v>
      </c>
    </row>
    <row r="401" spans="1:9" ht="25">
      <c r="A401" t="s">
        <v>5689</v>
      </c>
      <c r="B401">
        <f>COUNTIF($A$5:$A401,A401)</f>
        <v>1</v>
      </c>
      <c r="C401">
        <f t="shared" si="12"/>
        <v>1</v>
      </c>
      <c r="D401">
        <f t="shared" si="13"/>
        <v>1</v>
      </c>
      <c r="E401" t="e">
        <f>IF(IF($B401=1,VLOOKUP($A401,#REF!,5,FALSE),"")=0,"",IF($B401=1,VLOOKUP($A401,#REF!,5,FALSE),""))</f>
        <v>#REF!</v>
      </c>
      <c r="F401" s="785" t="s">
        <v>963</v>
      </c>
      <c r="G401" s="786" t="s">
        <v>2606</v>
      </c>
      <c r="H401" s="786" t="s">
        <v>2296</v>
      </c>
      <c r="I401" s="787" t="s">
        <v>5231</v>
      </c>
    </row>
    <row r="402" spans="1:9">
      <c r="A402" t="s">
        <v>5690</v>
      </c>
      <c r="B402">
        <f>COUNTIF($A$5:$A402,A402)</f>
        <v>1</v>
      </c>
      <c r="C402">
        <f t="shared" si="12"/>
        <v>2</v>
      </c>
      <c r="D402">
        <f t="shared" si="13"/>
        <v>2</v>
      </c>
      <c r="E402" t="e">
        <f>IF(IF($B402=1,VLOOKUP($A402,#REF!,5,FALSE),"")=0,"",IF($B402=1,VLOOKUP($A402,#REF!,5,FALSE),""))</f>
        <v>#REF!</v>
      </c>
      <c r="F402" s="785" t="s">
        <v>963</v>
      </c>
      <c r="G402" s="786" t="s">
        <v>2605</v>
      </c>
      <c r="H402" s="786" t="s">
        <v>2299</v>
      </c>
      <c r="I402" s="787" t="s">
        <v>4552</v>
      </c>
    </row>
    <row r="403" spans="1:9">
      <c r="A403" t="s">
        <v>5691</v>
      </c>
      <c r="B403">
        <f>COUNTIF($A$5:$A403,A403)</f>
        <v>1</v>
      </c>
      <c r="C403">
        <f t="shared" si="12"/>
        <v>2</v>
      </c>
      <c r="D403">
        <f t="shared" si="13"/>
        <v>2</v>
      </c>
      <c r="E403" t="e">
        <f>IF(IF($B403=1,VLOOKUP($A403,#REF!,5,FALSE),"")=0,"",IF($B403=1,VLOOKUP($A403,#REF!,5,FALSE),""))</f>
        <v>#REF!</v>
      </c>
      <c r="F403" s="785" t="s">
        <v>963</v>
      </c>
      <c r="G403" s="786" t="s">
        <v>2606</v>
      </c>
      <c r="H403" s="786" t="s">
        <v>2299</v>
      </c>
      <c r="I403" s="787" t="s">
        <v>4552</v>
      </c>
    </row>
    <row r="404" spans="1:9">
      <c r="A404" t="s">
        <v>5692</v>
      </c>
      <c r="B404">
        <f>COUNTIF($A$5:$A404,A404)</f>
        <v>1</v>
      </c>
      <c r="C404">
        <f t="shared" si="12"/>
        <v>1</v>
      </c>
      <c r="D404">
        <f t="shared" si="13"/>
        <v>6</v>
      </c>
      <c r="E404" t="e">
        <f>IF(IF($B404=1,VLOOKUP($A404,#REF!,5,FALSE),"")=0,"",IF($B404=1,VLOOKUP($A404,#REF!,5,FALSE),""))</f>
        <v>#REF!</v>
      </c>
      <c r="F404" s="785" t="s">
        <v>963</v>
      </c>
      <c r="G404" s="786" t="s">
        <v>2396</v>
      </c>
      <c r="H404" s="786" t="s">
        <v>4894</v>
      </c>
      <c r="I404" s="787" t="s">
        <v>4969</v>
      </c>
    </row>
    <row r="405" spans="1:9" ht="25">
      <c r="A405" t="s">
        <v>6378</v>
      </c>
      <c r="B405">
        <f>COUNTIF($A$5:$A405,A405)</f>
        <v>1</v>
      </c>
      <c r="C405">
        <f t="shared" si="12"/>
        <v>1</v>
      </c>
      <c r="D405">
        <f t="shared" si="13"/>
        <v>1</v>
      </c>
      <c r="E405" t="e">
        <f>IF(IF($B405=1,VLOOKUP($A405,#REF!,5,FALSE),"")=0,"",IF($B405=1,VLOOKUP($A405,#REF!,5,FALSE),""))</f>
        <v>#REF!</v>
      </c>
      <c r="F405" s="785" t="s">
        <v>963</v>
      </c>
      <c r="G405" s="786" t="s">
        <v>2398</v>
      </c>
      <c r="H405" s="786" t="s">
        <v>6181</v>
      </c>
      <c r="I405" s="787" t="s">
        <v>4998</v>
      </c>
    </row>
    <row r="406" spans="1:9" ht="25">
      <c r="A406" t="s">
        <v>6379</v>
      </c>
      <c r="B406">
        <f>COUNTIF($A$5:$A406,A406)</f>
        <v>1</v>
      </c>
      <c r="C406">
        <f t="shared" si="12"/>
        <v>1</v>
      </c>
      <c r="D406">
        <f t="shared" si="13"/>
        <v>1</v>
      </c>
      <c r="E406" t="e">
        <f>IF(IF($B406=1,VLOOKUP($A406,#REF!,5,FALSE),"")=0,"",IF($B406=1,VLOOKUP($A406,#REF!,5,FALSE),""))</f>
        <v>#REF!</v>
      </c>
      <c r="F406" s="785" t="s">
        <v>963</v>
      </c>
      <c r="G406" s="786" t="s">
        <v>2396</v>
      </c>
      <c r="H406" s="786" t="s">
        <v>6182</v>
      </c>
      <c r="I406" s="787" t="s">
        <v>4999</v>
      </c>
    </row>
    <row r="407" spans="1:9">
      <c r="A407" t="s">
        <v>6393</v>
      </c>
      <c r="B407">
        <f>COUNTIF($A$5:$A407,A407)</f>
        <v>1</v>
      </c>
      <c r="C407">
        <f t="shared" si="12"/>
        <v>1</v>
      </c>
      <c r="D407">
        <f t="shared" si="13"/>
        <v>1</v>
      </c>
      <c r="E407" t="e">
        <f>IF(IF($B407=1,VLOOKUP($A407,#REF!,5,FALSE),"")=0,"",IF($B407=1,VLOOKUP($A407,#REF!,5,FALSE),""))</f>
        <v>#REF!</v>
      </c>
      <c r="F407" s="785" t="s">
        <v>963</v>
      </c>
      <c r="G407" s="786" t="s">
        <v>2396</v>
      </c>
      <c r="H407" s="786" t="s">
        <v>6186</v>
      </c>
      <c r="I407" s="787" t="s">
        <v>4686</v>
      </c>
    </row>
    <row r="408" spans="1:9">
      <c r="A408" t="s">
        <v>6394</v>
      </c>
      <c r="B408">
        <f>COUNTIF($A$5:$A408,A408)</f>
        <v>1</v>
      </c>
      <c r="C408">
        <f t="shared" si="12"/>
        <v>1</v>
      </c>
      <c r="D408">
        <f t="shared" si="13"/>
        <v>3</v>
      </c>
      <c r="E408" t="e">
        <f>IF(IF($B408=1,VLOOKUP($A408,#REF!,5,FALSE),"")=0,"",IF($B408=1,VLOOKUP($A408,#REF!,5,FALSE),""))</f>
        <v>#REF!</v>
      </c>
      <c r="F408" s="785" t="s">
        <v>963</v>
      </c>
      <c r="G408" s="786" t="s">
        <v>2398</v>
      </c>
      <c r="H408" s="786" t="s">
        <v>6187</v>
      </c>
      <c r="I408" s="787" t="s">
        <v>4688</v>
      </c>
    </row>
    <row r="409" spans="1:9" ht="25">
      <c r="A409" t="s">
        <v>6395</v>
      </c>
      <c r="B409">
        <f>COUNTIF($A$5:$A409,A409)</f>
        <v>1</v>
      </c>
      <c r="C409">
        <f t="shared" si="12"/>
        <v>1</v>
      </c>
      <c r="D409">
        <f t="shared" si="13"/>
        <v>1</v>
      </c>
      <c r="E409" t="e">
        <f>IF(IF($B409=1,VLOOKUP($A409,#REF!,5,FALSE),"")=0,"",IF($B409=1,VLOOKUP($A409,#REF!,5,FALSE),""))</f>
        <v>#REF!</v>
      </c>
      <c r="F409" s="785" t="s">
        <v>963</v>
      </c>
      <c r="G409" s="786" t="s">
        <v>2398</v>
      </c>
      <c r="H409" s="786" t="s">
        <v>6188</v>
      </c>
      <c r="I409" s="787" t="s">
        <v>5344</v>
      </c>
    </row>
    <row r="410" spans="1:9">
      <c r="A410" t="s">
        <v>6396</v>
      </c>
      <c r="B410">
        <f>COUNTIF($A$5:$A410,A410)</f>
        <v>1</v>
      </c>
      <c r="C410">
        <f t="shared" si="12"/>
        <v>1</v>
      </c>
      <c r="D410">
        <f t="shared" si="13"/>
        <v>1</v>
      </c>
      <c r="E410" t="e">
        <f>IF(IF($B410=1,VLOOKUP($A410,#REF!,5,FALSE),"")=0,"",IF($B410=1,VLOOKUP($A410,#REF!,5,FALSE),""))</f>
        <v>#REF!</v>
      </c>
      <c r="F410" s="785" t="s">
        <v>963</v>
      </c>
      <c r="G410" s="786" t="s">
        <v>2398</v>
      </c>
      <c r="H410" s="786" t="s">
        <v>6189</v>
      </c>
      <c r="I410" s="787" t="s">
        <v>5345</v>
      </c>
    </row>
    <row r="411" spans="1:9">
      <c r="A411" t="s">
        <v>6418</v>
      </c>
      <c r="B411">
        <f>COUNTIF($A$5:$A411,A411)</f>
        <v>1</v>
      </c>
      <c r="C411">
        <f t="shared" si="12"/>
        <v>1</v>
      </c>
      <c r="D411">
        <f t="shared" si="13"/>
        <v>1</v>
      </c>
      <c r="E411" t="e">
        <f>IF(IF($B411=1,VLOOKUP($A411,#REF!,5,FALSE),"")=0,"",IF($B411=1,VLOOKUP($A411,#REF!,5,FALSE),""))</f>
        <v>#REF!</v>
      </c>
      <c r="F411" s="785" t="s">
        <v>963</v>
      </c>
      <c r="G411" s="786" t="s">
        <v>2406</v>
      </c>
      <c r="H411" s="786" t="s">
        <v>5857</v>
      </c>
      <c r="I411" s="787" t="s">
        <v>5858</v>
      </c>
    </row>
    <row r="412" spans="1:9" ht="25">
      <c r="A412" t="s">
        <v>6419</v>
      </c>
      <c r="B412">
        <f>COUNTIF($A$5:$A412,A412)</f>
        <v>1</v>
      </c>
      <c r="C412">
        <f t="shared" si="12"/>
        <v>1</v>
      </c>
      <c r="D412">
        <f t="shared" si="13"/>
        <v>1</v>
      </c>
      <c r="E412" t="e">
        <f>IF(IF($B412=1,VLOOKUP($A412,#REF!,5,FALSE),"")=0,"",IF($B412=1,VLOOKUP($A412,#REF!,5,FALSE),""))</f>
        <v>#REF!</v>
      </c>
      <c r="F412" s="785" t="s">
        <v>963</v>
      </c>
      <c r="G412" s="786" t="s">
        <v>2401</v>
      </c>
      <c r="H412" s="786" t="s">
        <v>5859</v>
      </c>
      <c r="I412" s="787" t="s">
        <v>5860</v>
      </c>
    </row>
    <row r="413" spans="1:9" ht="25">
      <c r="A413" t="s">
        <v>6420</v>
      </c>
      <c r="B413">
        <f>COUNTIF($A$5:$A413,A413)</f>
        <v>1</v>
      </c>
      <c r="C413">
        <f t="shared" si="12"/>
        <v>1</v>
      </c>
      <c r="D413">
        <f t="shared" si="13"/>
        <v>1</v>
      </c>
      <c r="E413" t="e">
        <f>IF(IF($B413=1,VLOOKUP($A413,#REF!,5,FALSE),"")=0,"",IF($B413=1,VLOOKUP($A413,#REF!,5,FALSE),""))</f>
        <v>#REF!</v>
      </c>
      <c r="F413" s="785" t="s">
        <v>963</v>
      </c>
      <c r="G413" s="786" t="s">
        <v>2614</v>
      </c>
      <c r="H413" s="786" t="s">
        <v>5861</v>
      </c>
      <c r="I413" s="787" t="s">
        <v>5862</v>
      </c>
    </row>
    <row r="414" spans="1:9">
      <c r="A414" t="s">
        <v>6421</v>
      </c>
      <c r="B414">
        <f>COUNTIF($A$5:$A414,A414)</f>
        <v>1</v>
      </c>
      <c r="C414">
        <f t="shared" si="12"/>
        <v>1</v>
      </c>
      <c r="D414">
        <f t="shared" si="13"/>
        <v>3</v>
      </c>
      <c r="E414" t="e">
        <f>IF(IF($B414=1,VLOOKUP($A414,#REF!,5,FALSE),"")=0,"",IF($B414=1,VLOOKUP($A414,#REF!,5,FALSE),""))</f>
        <v>#REF!</v>
      </c>
      <c r="F414" s="785" t="s">
        <v>963</v>
      </c>
      <c r="G414" s="786" t="s">
        <v>2614</v>
      </c>
      <c r="H414" s="786" t="s">
        <v>5863</v>
      </c>
      <c r="I414" s="787" t="s">
        <v>4555</v>
      </c>
    </row>
    <row r="415" spans="1:9" ht="50">
      <c r="A415" t="s">
        <v>6422</v>
      </c>
      <c r="B415">
        <f>COUNTIF($A$5:$A415,A415)</f>
        <v>1</v>
      </c>
      <c r="C415">
        <f t="shared" si="12"/>
        <v>1</v>
      </c>
      <c r="D415" t="e">
        <f t="shared" si="13"/>
        <v>#VALUE!</v>
      </c>
      <c r="E415" t="e">
        <f>IF(IF($B415=1,VLOOKUP($A415,#REF!,5,FALSE),"")=0,"",IF($B415=1,VLOOKUP($A415,#REF!,5,FALSE),""))</f>
        <v>#REF!</v>
      </c>
      <c r="F415" s="785" t="s">
        <v>963</v>
      </c>
      <c r="G415" s="786" t="s">
        <v>2603</v>
      </c>
      <c r="H415" s="786" t="s">
        <v>5864</v>
      </c>
      <c r="I415" s="787" t="s">
        <v>5865</v>
      </c>
    </row>
    <row r="416" spans="1:9" ht="37.5">
      <c r="A416" t="s">
        <v>5777</v>
      </c>
      <c r="B416">
        <f>COUNTIF($A$5:$A416,A416)</f>
        <v>1</v>
      </c>
      <c r="C416">
        <f t="shared" si="12"/>
        <v>1</v>
      </c>
      <c r="D416">
        <f t="shared" si="13"/>
        <v>1</v>
      </c>
      <c r="E416" t="e">
        <f>IF(IF($B416=1,VLOOKUP($A416,#REF!,5,FALSE),"")=0,"",IF($B416=1,VLOOKUP($A416,#REF!,5,FALSE),""))</f>
        <v>#REF!</v>
      </c>
      <c r="F416" s="785" t="s">
        <v>963</v>
      </c>
      <c r="G416" s="786" t="s">
        <v>2398</v>
      </c>
      <c r="H416" s="786" t="s">
        <v>3915</v>
      </c>
      <c r="I416" s="787" t="s">
        <v>6519</v>
      </c>
    </row>
    <row r="417" spans="1:9" ht="25">
      <c r="A417" t="s">
        <v>5779</v>
      </c>
      <c r="B417">
        <f>COUNTIF($A$5:$A417,A417)</f>
        <v>1</v>
      </c>
      <c r="C417">
        <f t="shared" si="12"/>
        <v>1</v>
      </c>
      <c r="D417">
        <f t="shared" si="13"/>
        <v>1</v>
      </c>
      <c r="E417" t="e">
        <f>IF(IF($B417=1,VLOOKUP($A417,#REF!,5,FALSE),"")=0,"",IF($B417=1,VLOOKUP($A417,#REF!,5,FALSE),""))</f>
        <v>#REF!</v>
      </c>
      <c r="F417" s="785" t="s">
        <v>963</v>
      </c>
      <c r="G417" s="786" t="s">
        <v>2617</v>
      </c>
      <c r="H417" s="786" t="s">
        <v>4057</v>
      </c>
      <c r="I417" s="787" t="s">
        <v>5866</v>
      </c>
    </row>
    <row r="418" spans="1:9">
      <c r="A418" t="s">
        <v>5780</v>
      </c>
      <c r="B418">
        <f>COUNTIF($A$5:$A418,A418)</f>
        <v>1</v>
      </c>
      <c r="C418">
        <f t="shared" si="12"/>
        <v>2</v>
      </c>
      <c r="D418">
        <f t="shared" si="13"/>
        <v>3</v>
      </c>
      <c r="E418" t="e">
        <f>IF(IF($B418=1,VLOOKUP($A418,#REF!,5,FALSE),"")=0,"",IF($B418=1,VLOOKUP($A418,#REF!,5,FALSE),""))</f>
        <v>#REF!</v>
      </c>
      <c r="F418" s="785" t="s">
        <v>963</v>
      </c>
      <c r="G418" s="786" t="s">
        <v>2611</v>
      </c>
      <c r="H418" s="786" t="s">
        <v>4095</v>
      </c>
      <c r="I418" s="787" t="s">
        <v>4555</v>
      </c>
    </row>
    <row r="419" spans="1:9" ht="25">
      <c r="A419" t="s">
        <v>5762</v>
      </c>
      <c r="B419">
        <f>COUNTIF($A$5:$A419,A419)</f>
        <v>1</v>
      </c>
      <c r="C419">
        <f t="shared" si="12"/>
        <v>1</v>
      </c>
      <c r="D419">
        <f t="shared" si="13"/>
        <v>1</v>
      </c>
      <c r="E419" t="e">
        <f>IF(IF($B419=1,VLOOKUP($A419,#REF!,5,FALSE),"")=0,"",IF($B419=1,VLOOKUP($A419,#REF!,5,FALSE),""))</f>
        <v>#REF!</v>
      </c>
      <c r="F419" s="785" t="s">
        <v>963</v>
      </c>
      <c r="G419" s="786" t="s">
        <v>2401</v>
      </c>
      <c r="H419" s="786" t="s">
        <v>4055</v>
      </c>
      <c r="I419" s="787" t="s">
        <v>5867</v>
      </c>
    </row>
    <row r="420" spans="1:9" ht="25">
      <c r="A420" t="s">
        <v>5766</v>
      </c>
      <c r="B420">
        <f>COUNTIF($A$5:$A420,A420)</f>
        <v>1</v>
      </c>
      <c r="C420">
        <f t="shared" si="12"/>
        <v>1</v>
      </c>
      <c r="D420">
        <f t="shared" si="13"/>
        <v>1</v>
      </c>
      <c r="E420" t="e">
        <f>IF(IF($B420=1,VLOOKUP($A420,#REF!,5,FALSE),"")=0,"",IF($B420=1,VLOOKUP($A420,#REF!,5,FALSE),""))</f>
        <v>#REF!</v>
      </c>
      <c r="F420" s="785" t="s">
        <v>963</v>
      </c>
      <c r="G420" s="786" t="s">
        <v>2609</v>
      </c>
      <c r="H420" s="786" t="s">
        <v>3946</v>
      </c>
      <c r="I420" s="787" t="s">
        <v>5868</v>
      </c>
    </row>
    <row r="421" spans="1:9" ht="25">
      <c r="A421" t="s">
        <v>6423</v>
      </c>
      <c r="B421">
        <f>COUNTIF($A$5:$A421,A421)</f>
        <v>1</v>
      </c>
      <c r="C421">
        <f t="shared" si="12"/>
        <v>1</v>
      </c>
      <c r="D421">
        <f t="shared" si="13"/>
        <v>1</v>
      </c>
      <c r="E421" t="e">
        <f>IF(IF($B421=1,VLOOKUP($A421,#REF!,5,FALSE),"")=0,"",IF($B421=1,VLOOKUP($A421,#REF!,5,FALSE),""))</f>
        <v>#REF!</v>
      </c>
      <c r="F421" s="785" t="s">
        <v>963</v>
      </c>
      <c r="G421" s="786" t="s">
        <v>2617</v>
      </c>
      <c r="H421" s="786" t="s">
        <v>5869</v>
      </c>
      <c r="I421" s="787" t="s">
        <v>5870</v>
      </c>
    </row>
    <row r="422" spans="1:9" ht="37.5">
      <c r="A422" t="s">
        <v>6424</v>
      </c>
      <c r="B422">
        <f>COUNTIF($A$5:$A422,A422)</f>
        <v>1</v>
      </c>
      <c r="C422">
        <f t="shared" si="12"/>
        <v>1</v>
      </c>
      <c r="D422">
        <f t="shared" si="13"/>
        <v>1</v>
      </c>
      <c r="E422" t="e">
        <f>IF(IF($B422=1,VLOOKUP($A422,#REF!,5,FALSE),"")=0,"",IF($B422=1,VLOOKUP($A422,#REF!,5,FALSE),""))</f>
        <v>#REF!</v>
      </c>
      <c r="F422" s="785" t="s">
        <v>963</v>
      </c>
      <c r="G422" s="786" t="s">
        <v>2606</v>
      </c>
      <c r="H422" s="786" t="s">
        <v>3956</v>
      </c>
      <c r="I422" s="787" t="s">
        <v>5871</v>
      </c>
    </row>
    <row r="423" spans="1:9" ht="37.5">
      <c r="A423" t="s">
        <v>5775</v>
      </c>
      <c r="B423">
        <f>COUNTIF($A$5:$A423,A423)</f>
        <v>1</v>
      </c>
      <c r="C423">
        <f t="shared" si="12"/>
        <v>1</v>
      </c>
      <c r="D423">
        <f t="shared" si="13"/>
        <v>1</v>
      </c>
      <c r="E423" t="e">
        <f>IF(IF($B423=1,VLOOKUP($A423,#REF!,5,FALSE),"")=0,"",IF($B423=1,VLOOKUP($A423,#REF!,5,FALSE),""))</f>
        <v>#REF!</v>
      </c>
      <c r="F423" s="785" t="s">
        <v>963</v>
      </c>
      <c r="G423" s="786" t="s">
        <v>2603</v>
      </c>
      <c r="H423" s="786" t="s">
        <v>3907</v>
      </c>
      <c r="I423" s="787" t="s">
        <v>5872</v>
      </c>
    </row>
    <row r="424" spans="1:9" ht="25">
      <c r="A424" t="s">
        <v>6425</v>
      </c>
      <c r="B424">
        <f>COUNTIF($A$5:$A424,A424)</f>
        <v>1</v>
      </c>
      <c r="C424">
        <f t="shared" si="12"/>
        <v>1</v>
      </c>
      <c r="D424">
        <f t="shared" si="13"/>
        <v>1</v>
      </c>
      <c r="E424" t="e">
        <f>IF(IF($B424=1,VLOOKUP($A424,#REF!,5,FALSE),"")=0,"",IF($B424=1,VLOOKUP($A424,#REF!,5,FALSE),""))</f>
        <v>#REF!</v>
      </c>
      <c r="F424" s="785" t="s">
        <v>963</v>
      </c>
      <c r="G424" s="786" t="s">
        <v>2607</v>
      </c>
      <c r="H424" s="786" t="s">
        <v>5873</v>
      </c>
      <c r="I424" s="787" t="s">
        <v>5874</v>
      </c>
    </row>
    <row r="425" spans="1:9">
      <c r="A425" t="s">
        <v>6426</v>
      </c>
      <c r="B425">
        <f>COUNTIF($A$5:$A425,A425)</f>
        <v>1</v>
      </c>
      <c r="C425">
        <f t="shared" si="12"/>
        <v>1</v>
      </c>
      <c r="D425">
        <f t="shared" si="13"/>
        <v>1</v>
      </c>
      <c r="E425" t="e">
        <f>IF(IF($B425=1,VLOOKUP($A425,#REF!,5,FALSE),"")=0,"",IF($B425=1,VLOOKUP($A425,#REF!,5,FALSE),""))</f>
        <v>#REF!</v>
      </c>
      <c r="F425" s="785" t="s">
        <v>963</v>
      </c>
      <c r="G425" s="786" t="s">
        <v>2609</v>
      </c>
      <c r="H425" s="786" t="s">
        <v>5875</v>
      </c>
      <c r="I425" s="787" t="s">
        <v>5876</v>
      </c>
    </row>
    <row r="426" spans="1:9" ht="25">
      <c r="A426" t="s">
        <v>6427</v>
      </c>
      <c r="B426">
        <f>COUNTIF($A$5:$A426,A426)</f>
        <v>1</v>
      </c>
      <c r="C426">
        <f t="shared" si="12"/>
        <v>2</v>
      </c>
      <c r="D426">
        <f t="shared" si="13"/>
        <v>1</v>
      </c>
      <c r="E426" t="e">
        <f>IF(IF($B426=1,VLOOKUP($A426,#REF!,5,FALSE),"")=0,"",IF($B426=1,VLOOKUP($A426,#REF!,5,FALSE),""))</f>
        <v>#REF!</v>
      </c>
      <c r="F426" s="785" t="s">
        <v>963</v>
      </c>
      <c r="G426" s="786" t="s">
        <v>5806</v>
      </c>
      <c r="H426" s="786" t="s">
        <v>3948</v>
      </c>
      <c r="I426" s="787" t="s">
        <v>5877</v>
      </c>
    </row>
    <row r="427" spans="1:9">
      <c r="A427" t="s">
        <v>6428</v>
      </c>
      <c r="B427">
        <f>COUNTIF($A$5:$A427,A427)</f>
        <v>1</v>
      </c>
      <c r="C427">
        <f t="shared" si="12"/>
        <v>1</v>
      </c>
      <c r="D427">
        <f t="shared" si="13"/>
        <v>1</v>
      </c>
      <c r="E427" t="e">
        <f>IF(IF($B427=1,VLOOKUP($A427,#REF!,5,FALSE),"")=0,"",IF($B427=1,VLOOKUP($A427,#REF!,5,FALSE),""))</f>
        <v>#REF!</v>
      </c>
      <c r="F427" s="785" t="s">
        <v>963</v>
      </c>
      <c r="G427" s="786" t="s">
        <v>2396</v>
      </c>
      <c r="H427" s="786" t="s">
        <v>5878</v>
      </c>
      <c r="I427" s="787" t="s">
        <v>5879</v>
      </c>
    </row>
    <row r="428" spans="1:9" ht="62.5">
      <c r="A428" t="s">
        <v>6429</v>
      </c>
      <c r="B428">
        <f>COUNTIF($A$5:$A428,A428)</f>
        <v>1</v>
      </c>
      <c r="C428">
        <f t="shared" si="12"/>
        <v>1</v>
      </c>
      <c r="D428" t="e">
        <f t="shared" si="13"/>
        <v>#VALUE!</v>
      </c>
      <c r="E428" t="e">
        <f>IF(IF($B428=1,VLOOKUP($A428,#REF!,5,FALSE),"")=0,"",IF($B428=1,VLOOKUP($A428,#REF!,5,FALSE),""))</f>
        <v>#REF!</v>
      </c>
      <c r="F428" s="785" t="s">
        <v>963</v>
      </c>
      <c r="G428" s="786" t="s">
        <v>2603</v>
      </c>
      <c r="H428" s="786" t="s">
        <v>3968</v>
      </c>
      <c r="I428" s="787" t="s">
        <v>6676</v>
      </c>
    </row>
    <row r="429" spans="1:9" ht="25">
      <c r="A429" t="s">
        <v>6430</v>
      </c>
      <c r="B429">
        <f>COUNTIF($A$5:$A429,A429)</f>
        <v>1</v>
      </c>
      <c r="C429">
        <f t="shared" si="12"/>
        <v>2</v>
      </c>
      <c r="D429">
        <f t="shared" si="13"/>
        <v>1</v>
      </c>
      <c r="E429" t="e">
        <f>IF(IF($B429=1,VLOOKUP($A429,#REF!,5,FALSE),"")=0,"",IF($B429=1,VLOOKUP($A429,#REF!,5,FALSE),""))</f>
        <v>#REF!</v>
      </c>
      <c r="F429" s="785" t="s">
        <v>963</v>
      </c>
      <c r="G429" s="786" t="s">
        <v>2617</v>
      </c>
      <c r="H429" s="786" t="s">
        <v>3959</v>
      </c>
      <c r="I429" s="787" t="s">
        <v>5880</v>
      </c>
    </row>
    <row r="430" spans="1:9" ht="37.5">
      <c r="A430" t="s">
        <v>6431</v>
      </c>
      <c r="B430">
        <f>COUNTIF($A$5:$A430,A430)</f>
        <v>1</v>
      </c>
      <c r="C430">
        <f t="shared" si="12"/>
        <v>1</v>
      </c>
      <c r="D430">
        <f t="shared" si="13"/>
        <v>1</v>
      </c>
      <c r="E430" t="e">
        <f>IF(IF($B430=1,VLOOKUP($A430,#REF!,5,FALSE),"")=0,"",IF($B430=1,VLOOKUP($A430,#REF!,5,FALSE),""))</f>
        <v>#REF!</v>
      </c>
      <c r="F430" s="785" t="s">
        <v>963</v>
      </c>
      <c r="G430" s="786" t="s">
        <v>2398</v>
      </c>
      <c r="H430" s="786" t="s">
        <v>5881</v>
      </c>
      <c r="I430" s="787" t="s">
        <v>6677</v>
      </c>
    </row>
    <row r="431" spans="1:9">
      <c r="A431" t="s">
        <v>6432</v>
      </c>
      <c r="B431">
        <f>COUNTIF($A$5:$A431,A431)</f>
        <v>1</v>
      </c>
      <c r="C431">
        <f t="shared" si="12"/>
        <v>1</v>
      </c>
      <c r="D431">
        <f t="shared" si="13"/>
        <v>1</v>
      </c>
      <c r="E431" t="e">
        <f>IF(IF($B431=1,VLOOKUP($A431,#REF!,5,FALSE),"")=0,"",IF($B431=1,VLOOKUP($A431,#REF!,5,FALSE),""))</f>
        <v>#REF!</v>
      </c>
      <c r="F431" s="785" t="s">
        <v>963</v>
      </c>
      <c r="G431" s="786" t="s">
        <v>2398</v>
      </c>
      <c r="H431" s="786" t="s">
        <v>5882</v>
      </c>
      <c r="I431" s="787" t="s">
        <v>5883</v>
      </c>
    </row>
    <row r="432" spans="1:9">
      <c r="A432" t="s">
        <v>6433</v>
      </c>
      <c r="B432">
        <f>COUNTIF($A$5:$A432,A432)</f>
        <v>1</v>
      </c>
      <c r="C432">
        <f t="shared" si="12"/>
        <v>1</v>
      </c>
      <c r="D432">
        <f t="shared" si="13"/>
        <v>1</v>
      </c>
      <c r="E432" t="e">
        <f>IF(IF($B432=1,VLOOKUP($A432,#REF!,5,FALSE),"")=0,"",IF($B432=1,VLOOKUP($A432,#REF!,5,FALSE),""))</f>
        <v>#REF!</v>
      </c>
      <c r="F432" s="785" t="s">
        <v>963</v>
      </c>
      <c r="G432" s="786" t="s">
        <v>2398</v>
      </c>
      <c r="H432" s="786" t="s">
        <v>5884</v>
      </c>
      <c r="I432" s="787" t="s">
        <v>5885</v>
      </c>
    </row>
    <row r="433" spans="1:9" ht="50">
      <c r="A433" t="s">
        <v>6434</v>
      </c>
      <c r="B433">
        <f>COUNTIF($A$5:$A433,A433)</f>
        <v>1</v>
      </c>
      <c r="C433">
        <f t="shared" si="12"/>
        <v>1</v>
      </c>
      <c r="D433">
        <f t="shared" si="13"/>
        <v>1</v>
      </c>
      <c r="E433" t="e">
        <f>IF(IF($B433=1,VLOOKUP($A433,#REF!,5,FALSE),"")=0,"",IF($B433=1,VLOOKUP($A433,#REF!,5,FALSE),""))</f>
        <v>#REF!</v>
      </c>
      <c r="F433" s="785" t="s">
        <v>963</v>
      </c>
      <c r="G433" s="786" t="s">
        <v>2400</v>
      </c>
      <c r="H433" s="786" t="s">
        <v>5886</v>
      </c>
      <c r="I433" s="787" t="s">
        <v>5887</v>
      </c>
    </row>
    <row r="434" spans="1:9" ht="75">
      <c r="A434" t="s">
        <v>6435</v>
      </c>
      <c r="B434">
        <f>COUNTIF($A$5:$A434,A434)</f>
        <v>1</v>
      </c>
      <c r="C434">
        <f t="shared" si="12"/>
        <v>1</v>
      </c>
      <c r="D434" t="e">
        <f t="shared" si="13"/>
        <v>#VALUE!</v>
      </c>
      <c r="E434" t="e">
        <f>IF(IF($B434=1,VLOOKUP($A434,#REF!,5,FALSE),"")=0,"",IF($B434=1,VLOOKUP($A434,#REF!,5,FALSE),""))</f>
        <v>#REF!</v>
      </c>
      <c r="F434" s="785" t="s">
        <v>963</v>
      </c>
      <c r="G434" s="786" t="s">
        <v>2399</v>
      </c>
      <c r="H434" s="786" t="s">
        <v>5888</v>
      </c>
      <c r="I434" s="787" t="s">
        <v>6686</v>
      </c>
    </row>
    <row r="435" spans="1:9">
      <c r="A435" t="s">
        <v>6436</v>
      </c>
      <c r="B435">
        <f>COUNTIF($A$5:$A435,A435)</f>
        <v>1</v>
      </c>
      <c r="C435">
        <f t="shared" si="12"/>
        <v>1</v>
      </c>
      <c r="D435">
        <f t="shared" si="13"/>
        <v>1</v>
      </c>
      <c r="E435" t="e">
        <f>IF(IF($B435=1,VLOOKUP($A435,#REF!,5,FALSE),"")=0,"",IF($B435=1,VLOOKUP($A435,#REF!,5,FALSE),""))</f>
        <v>#REF!</v>
      </c>
      <c r="F435" s="785" t="s">
        <v>963</v>
      </c>
      <c r="G435" s="786" t="s">
        <v>2607</v>
      </c>
      <c r="H435" s="786" t="s">
        <v>5889</v>
      </c>
      <c r="I435" s="787" t="s">
        <v>5890</v>
      </c>
    </row>
    <row r="436" spans="1:9" ht="25">
      <c r="A436" t="s">
        <v>6437</v>
      </c>
      <c r="B436">
        <f>COUNTIF($A$5:$A436,A436)</f>
        <v>1</v>
      </c>
      <c r="C436">
        <f t="shared" si="12"/>
        <v>1</v>
      </c>
      <c r="D436">
        <f t="shared" si="13"/>
        <v>1</v>
      </c>
      <c r="E436" t="e">
        <f>IF(IF($B436=1,VLOOKUP($A436,#REF!,5,FALSE),"")=0,"",IF($B436=1,VLOOKUP($A436,#REF!,5,FALSE),""))</f>
        <v>#REF!</v>
      </c>
      <c r="F436" s="785" t="s">
        <v>963</v>
      </c>
      <c r="G436" s="786" t="s">
        <v>2614</v>
      </c>
      <c r="H436" s="786" t="s">
        <v>5891</v>
      </c>
      <c r="I436" s="787" t="s">
        <v>5892</v>
      </c>
    </row>
    <row r="437" spans="1:9">
      <c r="A437" t="s">
        <v>6438</v>
      </c>
      <c r="B437">
        <f>COUNTIF($A$5:$A437,A437)</f>
        <v>1</v>
      </c>
      <c r="C437">
        <f t="shared" si="12"/>
        <v>1</v>
      </c>
      <c r="D437">
        <f t="shared" si="13"/>
        <v>1</v>
      </c>
      <c r="E437" t="e">
        <f>IF(IF($B437=1,VLOOKUP($A437,#REF!,5,FALSE),"")=0,"",IF($B437=1,VLOOKUP($A437,#REF!,5,FALSE),""))</f>
        <v>#REF!</v>
      </c>
      <c r="F437" s="785" t="s">
        <v>963</v>
      </c>
      <c r="G437" s="786" t="s">
        <v>2608</v>
      </c>
      <c r="H437" s="786" t="s">
        <v>5893</v>
      </c>
      <c r="I437" s="787" t="s">
        <v>5894</v>
      </c>
    </row>
    <row r="438" spans="1:9" ht="37.5">
      <c r="A438" t="s">
        <v>6439</v>
      </c>
      <c r="B438">
        <f>COUNTIF($A$5:$A438,A438)</f>
        <v>1</v>
      </c>
      <c r="C438">
        <f t="shared" si="12"/>
        <v>1</v>
      </c>
      <c r="D438">
        <f t="shared" si="13"/>
        <v>1</v>
      </c>
      <c r="E438" t="e">
        <f>IF(IF($B438=1,VLOOKUP($A438,#REF!,5,FALSE),"")=0,"",IF($B438=1,VLOOKUP($A438,#REF!,5,FALSE),""))</f>
        <v>#REF!</v>
      </c>
      <c r="F438" s="785" t="s">
        <v>963</v>
      </c>
      <c r="G438" s="786" t="s">
        <v>2396</v>
      </c>
      <c r="H438" s="786" t="s">
        <v>5895</v>
      </c>
      <c r="I438" s="787" t="s">
        <v>5896</v>
      </c>
    </row>
    <row r="439" spans="1:9" ht="50">
      <c r="A439" t="s">
        <v>6529</v>
      </c>
      <c r="B439">
        <f>COUNTIF($A$5:$A439,A439)</f>
        <v>1</v>
      </c>
      <c r="C439">
        <f t="shared" si="12"/>
        <v>1</v>
      </c>
      <c r="D439">
        <f t="shared" si="13"/>
        <v>1</v>
      </c>
      <c r="E439" t="e">
        <f>IF(IF($B439=1,VLOOKUP($A439,#REF!,5,FALSE),"")=0,"",IF($B439=1,VLOOKUP($A439,#REF!,5,FALSE),""))</f>
        <v>#REF!</v>
      </c>
      <c r="F439" s="785" t="s">
        <v>963</v>
      </c>
      <c r="G439" s="786" t="s">
        <v>2605</v>
      </c>
      <c r="H439" s="786" t="s">
        <v>5897</v>
      </c>
      <c r="I439" s="787" t="s">
        <v>5898</v>
      </c>
    </row>
    <row r="440" spans="1:9" ht="25">
      <c r="A440" t="s">
        <v>5765</v>
      </c>
      <c r="B440">
        <f>COUNTIF($A$5:$A440,A440)</f>
        <v>1</v>
      </c>
      <c r="C440">
        <f t="shared" si="12"/>
        <v>1</v>
      </c>
      <c r="D440">
        <f t="shared" si="13"/>
        <v>1</v>
      </c>
      <c r="E440" t="e">
        <f>IF(IF($B440=1,VLOOKUP($A440,#REF!,5,FALSE),"")=0,"",IF($B440=1,VLOOKUP($A440,#REF!,5,FALSE),""))</f>
        <v>#REF!</v>
      </c>
      <c r="F440" s="785" t="s">
        <v>963</v>
      </c>
      <c r="G440" s="786" t="s">
        <v>2406</v>
      </c>
      <c r="H440" s="786" t="s">
        <v>4035</v>
      </c>
      <c r="I440" s="787" t="s">
        <v>5899</v>
      </c>
    </row>
    <row r="441" spans="1:9" ht="25">
      <c r="A441" t="s">
        <v>5767</v>
      </c>
      <c r="B441">
        <f>COUNTIF($A$5:$A441,A441)</f>
        <v>1</v>
      </c>
      <c r="C441">
        <f t="shared" si="12"/>
        <v>2</v>
      </c>
      <c r="D441">
        <f t="shared" si="13"/>
        <v>1</v>
      </c>
      <c r="E441" t="e">
        <f>IF(IF($B441=1,VLOOKUP($A441,#REF!,5,FALSE),"")=0,"",IF($B441=1,VLOOKUP($A441,#REF!,5,FALSE),""))</f>
        <v>#REF!</v>
      </c>
      <c r="F441" s="785" t="s">
        <v>963</v>
      </c>
      <c r="G441" s="786" t="s">
        <v>2614</v>
      </c>
      <c r="H441" s="786" t="s">
        <v>4007</v>
      </c>
      <c r="I441" s="787" t="s">
        <v>5900</v>
      </c>
    </row>
    <row r="442" spans="1:9">
      <c r="A442" t="s">
        <v>5770</v>
      </c>
      <c r="B442">
        <f>COUNTIF($A$5:$A442,A442)</f>
        <v>1</v>
      </c>
      <c r="C442">
        <f t="shared" si="12"/>
        <v>1</v>
      </c>
      <c r="D442">
        <f t="shared" si="13"/>
        <v>1</v>
      </c>
      <c r="E442" t="e">
        <f>IF(IF($B442=1,VLOOKUP($A442,#REF!,5,FALSE),"")=0,"",IF($B442=1,VLOOKUP($A442,#REF!,5,FALSE),""))</f>
        <v>#REF!</v>
      </c>
      <c r="F442" s="785" t="s">
        <v>963</v>
      </c>
      <c r="G442" s="786" t="s">
        <v>2617</v>
      </c>
      <c r="H442" s="786" t="s">
        <v>4003</v>
      </c>
      <c r="I442" s="787" t="s">
        <v>5901</v>
      </c>
    </row>
    <row r="443" spans="1:9" ht="50">
      <c r="A443" t="s">
        <v>6440</v>
      </c>
      <c r="B443">
        <f>COUNTIF($A$5:$A443,A443)</f>
        <v>1</v>
      </c>
      <c r="C443">
        <f t="shared" si="12"/>
        <v>1</v>
      </c>
      <c r="D443" t="e">
        <f t="shared" si="13"/>
        <v>#VALUE!</v>
      </c>
      <c r="E443" t="e">
        <f>IF(IF($B443=1,VLOOKUP($A443,#REF!,5,FALSE),"")=0,"",IF($B443=1,VLOOKUP($A443,#REF!,5,FALSE),""))</f>
        <v>#REF!</v>
      </c>
      <c r="F443" s="785" t="s">
        <v>963</v>
      </c>
      <c r="G443" s="786" t="s">
        <v>4339</v>
      </c>
      <c r="H443" s="786" t="s">
        <v>5902</v>
      </c>
      <c r="I443" s="787" t="s">
        <v>5903</v>
      </c>
    </row>
    <row r="444" spans="1:9">
      <c r="A444" t="s">
        <v>6441</v>
      </c>
      <c r="B444">
        <f>COUNTIF($A$5:$A444,A444)</f>
        <v>1</v>
      </c>
      <c r="C444">
        <f t="shared" si="12"/>
        <v>1</v>
      </c>
      <c r="D444">
        <f t="shared" si="13"/>
        <v>1</v>
      </c>
      <c r="E444" t="e">
        <f>IF(IF($B444=1,VLOOKUP($A444,#REF!,5,FALSE),"")=0,"",IF($B444=1,VLOOKUP($A444,#REF!,5,FALSE),""))</f>
        <v>#REF!</v>
      </c>
      <c r="F444" s="785" t="s">
        <v>963</v>
      </c>
      <c r="G444" s="786" t="s">
        <v>2614</v>
      </c>
      <c r="H444" s="786" t="s">
        <v>5904</v>
      </c>
      <c r="I444" s="787" t="s">
        <v>5905</v>
      </c>
    </row>
    <row r="445" spans="1:9">
      <c r="A445" t="s">
        <v>6442</v>
      </c>
      <c r="B445">
        <f>COUNTIF($A$5:$A445,A445)</f>
        <v>1</v>
      </c>
      <c r="C445">
        <f t="shared" si="12"/>
        <v>1</v>
      </c>
      <c r="D445">
        <f t="shared" si="13"/>
        <v>1</v>
      </c>
      <c r="E445" t="e">
        <f>IF(IF($B445=1,VLOOKUP($A445,#REF!,5,FALSE),"")=0,"",IF($B445=1,VLOOKUP($A445,#REF!,5,FALSE),""))</f>
        <v>#REF!</v>
      </c>
      <c r="F445" s="785" t="s">
        <v>963</v>
      </c>
      <c r="G445" s="786" t="s">
        <v>2617</v>
      </c>
      <c r="H445" s="786" t="s">
        <v>5906</v>
      </c>
      <c r="I445" s="787" t="s">
        <v>5907</v>
      </c>
    </row>
    <row r="446" spans="1:9" ht="25">
      <c r="A446" t="s">
        <v>6443</v>
      </c>
      <c r="B446">
        <f>COUNTIF($A$5:$A446,A446)</f>
        <v>1</v>
      </c>
      <c r="C446">
        <f t="shared" si="12"/>
        <v>1</v>
      </c>
      <c r="D446">
        <f t="shared" si="13"/>
        <v>1</v>
      </c>
      <c r="E446" t="e">
        <f>IF(IF($B446=1,VLOOKUP($A446,#REF!,5,FALSE),"")=0,"",IF($B446=1,VLOOKUP($A446,#REF!,5,FALSE),""))</f>
        <v>#REF!</v>
      </c>
      <c r="F446" s="785" t="s">
        <v>963</v>
      </c>
      <c r="G446" s="786" t="s">
        <v>2609</v>
      </c>
      <c r="H446" s="786" t="s">
        <v>5908</v>
      </c>
      <c r="I446" s="787" t="s">
        <v>5909</v>
      </c>
    </row>
    <row r="447" spans="1:9" ht="75">
      <c r="A447" t="s">
        <v>6444</v>
      </c>
      <c r="B447">
        <f>COUNTIF($A$5:$A447,A447)</f>
        <v>1</v>
      </c>
      <c r="C447">
        <f t="shared" si="12"/>
        <v>1</v>
      </c>
      <c r="D447" t="e">
        <f t="shared" si="13"/>
        <v>#VALUE!</v>
      </c>
      <c r="E447" t="e">
        <f>IF(IF($B447=1,VLOOKUP($A447,#REF!,5,FALSE),"")=0,"",IF($B447=1,VLOOKUP($A447,#REF!,5,FALSE),""))</f>
        <v>#REF!</v>
      </c>
      <c r="F447" s="785" t="s">
        <v>963</v>
      </c>
      <c r="G447" s="786" t="s">
        <v>2399</v>
      </c>
      <c r="H447" s="786" t="s">
        <v>5910</v>
      </c>
      <c r="I447" s="787" t="s">
        <v>6687</v>
      </c>
    </row>
    <row r="448" spans="1:9">
      <c r="A448" t="s">
        <v>6445</v>
      </c>
      <c r="B448">
        <f>COUNTIF($A$5:$A448,A448)</f>
        <v>1</v>
      </c>
      <c r="C448">
        <f t="shared" si="12"/>
        <v>1</v>
      </c>
      <c r="D448">
        <f t="shared" si="13"/>
        <v>1</v>
      </c>
      <c r="E448" t="e">
        <f>IF(IF($B448=1,VLOOKUP($A448,#REF!,5,FALSE),"")=0,"",IF($B448=1,VLOOKUP($A448,#REF!,5,FALSE),""))</f>
        <v>#REF!</v>
      </c>
      <c r="F448" s="785" t="s">
        <v>963</v>
      </c>
      <c r="G448" s="786" t="s">
        <v>2618</v>
      </c>
      <c r="H448" s="786" t="s">
        <v>5911</v>
      </c>
      <c r="I448" s="787" t="s">
        <v>5912</v>
      </c>
    </row>
    <row r="449" spans="1:9" ht="37.5">
      <c r="A449" t="s">
        <v>6446</v>
      </c>
      <c r="B449">
        <f>COUNTIF($A$5:$A449,A449)</f>
        <v>1</v>
      </c>
      <c r="C449">
        <f t="shared" si="12"/>
        <v>1</v>
      </c>
      <c r="D449">
        <f t="shared" si="13"/>
        <v>1</v>
      </c>
      <c r="E449" t="e">
        <f>IF(IF($B449=1,VLOOKUP($A449,#REF!,5,FALSE),"")=0,"",IF($B449=1,VLOOKUP($A449,#REF!,5,FALSE),""))</f>
        <v>#REF!</v>
      </c>
      <c r="F449" s="785" t="s">
        <v>963</v>
      </c>
      <c r="G449" s="786" t="s">
        <v>2399</v>
      </c>
      <c r="H449" s="786" t="s">
        <v>5913</v>
      </c>
      <c r="I449" s="787" t="s">
        <v>5914</v>
      </c>
    </row>
    <row r="450" spans="1:9" ht="37.5">
      <c r="A450" t="s">
        <v>6447</v>
      </c>
      <c r="B450">
        <f>COUNTIF($A$5:$A450,A450)</f>
        <v>1</v>
      </c>
      <c r="C450">
        <f t="shared" si="12"/>
        <v>1</v>
      </c>
      <c r="D450">
        <f t="shared" si="13"/>
        <v>1</v>
      </c>
      <c r="E450" t="e">
        <f>IF(IF($B450=1,VLOOKUP($A450,#REF!,5,FALSE),"")=0,"",IF($B450=1,VLOOKUP($A450,#REF!,5,FALSE),""))</f>
        <v>#REF!</v>
      </c>
      <c r="F450" s="785" t="s">
        <v>963</v>
      </c>
      <c r="G450" s="786" t="s">
        <v>5806</v>
      </c>
      <c r="H450" s="786" t="s">
        <v>4017</v>
      </c>
      <c r="I450" s="787" t="s">
        <v>5915</v>
      </c>
    </row>
    <row r="451" spans="1:9" ht="37.5">
      <c r="A451" t="s">
        <v>6448</v>
      </c>
      <c r="B451">
        <f>COUNTIF($A$5:$A451,A451)</f>
        <v>1</v>
      </c>
      <c r="C451">
        <f t="shared" si="12"/>
        <v>1</v>
      </c>
      <c r="D451">
        <f t="shared" si="13"/>
        <v>1</v>
      </c>
      <c r="E451" t="e">
        <f>IF(IF($B451=1,VLOOKUP($A451,#REF!,5,FALSE),"")=0,"",IF($B451=1,VLOOKUP($A451,#REF!,5,FALSE),""))</f>
        <v>#REF!</v>
      </c>
      <c r="F451" s="785" t="s">
        <v>963</v>
      </c>
      <c r="G451" s="786" t="s">
        <v>2399</v>
      </c>
      <c r="H451" s="786" t="s">
        <v>5916</v>
      </c>
      <c r="I451" s="787" t="s">
        <v>5917</v>
      </c>
    </row>
    <row r="452" spans="1:9">
      <c r="A452" t="s">
        <v>5774</v>
      </c>
      <c r="B452">
        <f>COUNTIF($A$5:$A452,A452)</f>
        <v>1</v>
      </c>
      <c r="C452">
        <f t="shared" si="12"/>
        <v>1</v>
      </c>
      <c r="D452">
        <f t="shared" si="13"/>
        <v>1</v>
      </c>
      <c r="E452" t="e">
        <f>IF(IF($B452=1,VLOOKUP($A452,#REF!,5,FALSE),"")=0,"",IF($B452=1,VLOOKUP($A452,#REF!,5,FALSE),""))</f>
        <v>#REF!</v>
      </c>
      <c r="F452" s="785" t="s">
        <v>963</v>
      </c>
      <c r="G452" s="786" t="s">
        <v>2609</v>
      </c>
      <c r="H452" s="786" t="s">
        <v>4141</v>
      </c>
      <c r="I452" s="787" t="s">
        <v>5918</v>
      </c>
    </row>
    <row r="453" spans="1:9" ht="25">
      <c r="A453" t="s">
        <v>6449</v>
      </c>
      <c r="B453">
        <f>COUNTIF($A$5:$A453,A453)</f>
        <v>1</v>
      </c>
      <c r="C453">
        <f t="shared" ref="C453:C516" si="14">COUNTIF($H$5:$H$622,H453)</f>
        <v>1</v>
      </c>
      <c r="D453">
        <f t="shared" ref="D453:D516" si="15">COUNTIF($I$5:$I$622,I453)</f>
        <v>1</v>
      </c>
      <c r="E453" t="e">
        <f>IF(IF($B453=1,VLOOKUP($A453,#REF!,5,FALSE),"")=0,"",IF($B453=1,VLOOKUP($A453,#REF!,5,FALSE),""))</f>
        <v>#REF!</v>
      </c>
      <c r="F453" s="785" t="s">
        <v>963</v>
      </c>
      <c r="G453" s="786" t="s">
        <v>2398</v>
      </c>
      <c r="H453" s="786" t="s">
        <v>5919</v>
      </c>
      <c r="I453" s="787" t="s">
        <v>5920</v>
      </c>
    </row>
    <row r="454" spans="1:9" ht="37.5">
      <c r="A454" t="s">
        <v>6450</v>
      </c>
      <c r="B454">
        <f>COUNTIF($A$5:$A454,A454)</f>
        <v>1</v>
      </c>
      <c r="C454">
        <f t="shared" si="14"/>
        <v>1</v>
      </c>
      <c r="D454">
        <f t="shared" si="15"/>
        <v>1</v>
      </c>
      <c r="E454" t="e">
        <f>IF(IF($B454=1,VLOOKUP($A454,#REF!,5,FALSE),"")=0,"",IF($B454=1,VLOOKUP($A454,#REF!,5,FALSE),""))</f>
        <v>#REF!</v>
      </c>
      <c r="F454" s="785" t="s">
        <v>963</v>
      </c>
      <c r="G454" s="786" t="s">
        <v>2617</v>
      </c>
      <c r="H454" s="786" t="s">
        <v>5921</v>
      </c>
      <c r="I454" s="787" t="s">
        <v>5922</v>
      </c>
    </row>
    <row r="455" spans="1:9">
      <c r="A455" t="s">
        <v>5781</v>
      </c>
      <c r="B455">
        <f>COUNTIF($A$5:$A455,A455)</f>
        <v>1</v>
      </c>
      <c r="C455">
        <f t="shared" si="14"/>
        <v>1</v>
      </c>
      <c r="D455">
        <f t="shared" si="15"/>
        <v>1</v>
      </c>
      <c r="E455" t="e">
        <f>IF(IF($B455=1,VLOOKUP($A455,#REF!,5,FALSE),"")=0,"",IF($B455=1,VLOOKUP($A455,#REF!,5,FALSE),""))</f>
        <v>#REF!</v>
      </c>
      <c r="F455" s="785" t="s">
        <v>963</v>
      </c>
      <c r="G455" s="786" t="s">
        <v>2611</v>
      </c>
      <c r="H455" s="786" t="s">
        <v>4143</v>
      </c>
      <c r="I455" s="787" t="s">
        <v>5923</v>
      </c>
    </row>
    <row r="456" spans="1:9" ht="25">
      <c r="A456" t="s">
        <v>6451</v>
      </c>
      <c r="B456">
        <f>COUNTIF($A$5:$A456,A456)</f>
        <v>1</v>
      </c>
      <c r="C456">
        <f t="shared" si="14"/>
        <v>1</v>
      </c>
      <c r="D456">
        <f t="shared" si="15"/>
        <v>1</v>
      </c>
      <c r="E456" t="e">
        <f>IF(IF($B456=1,VLOOKUP($A456,#REF!,5,FALSE),"")=0,"",IF($B456=1,VLOOKUP($A456,#REF!,5,FALSE),""))</f>
        <v>#REF!</v>
      </c>
      <c r="F456" s="785" t="s">
        <v>963</v>
      </c>
      <c r="G456" s="786" t="s">
        <v>2617</v>
      </c>
      <c r="H456" s="786" t="s">
        <v>5924</v>
      </c>
      <c r="I456" s="787" t="s">
        <v>5925</v>
      </c>
    </row>
    <row r="457" spans="1:9" ht="25">
      <c r="A457" t="s">
        <v>6452</v>
      </c>
      <c r="B457">
        <f>COUNTIF($A$5:$A457,A457)</f>
        <v>1</v>
      </c>
      <c r="C457">
        <f t="shared" si="14"/>
        <v>1</v>
      </c>
      <c r="D457">
        <f t="shared" si="15"/>
        <v>1</v>
      </c>
      <c r="E457" t="e">
        <f>IF(IF($B457=1,VLOOKUP($A457,#REF!,5,FALSE),"")=0,"",IF($B457=1,VLOOKUP($A457,#REF!,5,FALSE),""))</f>
        <v>#REF!</v>
      </c>
      <c r="F457" s="785" t="s">
        <v>963</v>
      </c>
      <c r="G457" s="786" t="s">
        <v>2399</v>
      </c>
      <c r="H457" s="786" t="s">
        <v>5926</v>
      </c>
      <c r="I457" s="787" t="s">
        <v>5927</v>
      </c>
    </row>
    <row r="458" spans="1:9" ht="25">
      <c r="A458" t="s">
        <v>5771</v>
      </c>
      <c r="B458">
        <f>COUNTIF($A$5:$A458,A458)</f>
        <v>1</v>
      </c>
      <c r="C458">
        <f t="shared" si="14"/>
        <v>2</v>
      </c>
      <c r="D458">
        <f t="shared" si="15"/>
        <v>1</v>
      </c>
      <c r="E458" t="e">
        <f>IF(IF($B458=1,VLOOKUP($A458,#REF!,5,FALSE),"")=0,"",IF($B458=1,VLOOKUP($A458,#REF!,5,FALSE),""))</f>
        <v>#REF!</v>
      </c>
      <c r="F458" s="785" t="s">
        <v>963</v>
      </c>
      <c r="G458" s="786" t="s">
        <v>2399</v>
      </c>
      <c r="H458" s="786" t="s">
        <v>4148</v>
      </c>
      <c r="I458" s="787" t="s">
        <v>5928</v>
      </c>
    </row>
    <row r="459" spans="1:9" ht="25">
      <c r="A459" t="s">
        <v>6453</v>
      </c>
      <c r="B459">
        <f>COUNTIF($A$5:$A459,A459)</f>
        <v>1</v>
      </c>
      <c r="C459">
        <f t="shared" si="14"/>
        <v>1</v>
      </c>
      <c r="D459">
        <f t="shared" si="15"/>
        <v>8</v>
      </c>
      <c r="E459" t="e">
        <f>IF(IF($B459=1,VLOOKUP($A459,#REF!,5,FALSE),"")=0,"",IF($B459=1,VLOOKUP($A459,#REF!,5,FALSE),""))</f>
        <v>#REF!</v>
      </c>
      <c r="F459" s="785" t="s">
        <v>963</v>
      </c>
      <c r="G459" s="786" t="s">
        <v>2406</v>
      </c>
      <c r="H459" s="786" t="s">
        <v>4150</v>
      </c>
      <c r="I459" s="787" t="s">
        <v>5929</v>
      </c>
    </row>
    <row r="460" spans="1:9" ht="25">
      <c r="A460" t="s">
        <v>5772</v>
      </c>
      <c r="B460">
        <f>COUNTIF($A$5:$A460,A460)</f>
        <v>1</v>
      </c>
      <c r="C460">
        <f t="shared" si="14"/>
        <v>1</v>
      </c>
      <c r="D460">
        <f t="shared" si="15"/>
        <v>8</v>
      </c>
      <c r="E460" t="e">
        <f>IF(IF($B460=1,VLOOKUP($A460,#REF!,5,FALSE),"")=0,"",IF($B460=1,VLOOKUP($A460,#REF!,5,FALSE),""))</f>
        <v>#REF!</v>
      </c>
      <c r="F460" s="785" t="s">
        <v>963</v>
      </c>
      <c r="G460" s="786" t="s">
        <v>2406</v>
      </c>
      <c r="H460" s="786" t="s">
        <v>4028</v>
      </c>
      <c r="I460" s="787" t="s">
        <v>5929</v>
      </c>
    </row>
    <row r="461" spans="1:9" ht="25">
      <c r="A461" t="s">
        <v>5773</v>
      </c>
      <c r="B461">
        <f>COUNTIF($A$5:$A461,A461)</f>
        <v>1</v>
      </c>
      <c r="C461">
        <f t="shared" si="14"/>
        <v>1</v>
      </c>
      <c r="D461">
        <f t="shared" si="15"/>
        <v>8</v>
      </c>
      <c r="E461" t="e">
        <f>IF(IF($B461=1,VLOOKUP($A461,#REF!,5,FALSE),"")=0,"",IF($B461=1,VLOOKUP($A461,#REF!,5,FALSE),""))</f>
        <v>#REF!</v>
      </c>
      <c r="F461" s="785" t="s">
        <v>963</v>
      </c>
      <c r="G461" s="786" t="s">
        <v>2406</v>
      </c>
      <c r="H461" s="786" t="s">
        <v>4152</v>
      </c>
      <c r="I461" s="787" t="s">
        <v>5929</v>
      </c>
    </row>
    <row r="462" spans="1:9" ht="25">
      <c r="A462" t="s">
        <v>6454</v>
      </c>
      <c r="B462">
        <f>COUNTIF($A$5:$A462,A462)</f>
        <v>1</v>
      </c>
      <c r="C462">
        <f t="shared" si="14"/>
        <v>1</v>
      </c>
      <c r="D462">
        <f t="shared" si="15"/>
        <v>1</v>
      </c>
      <c r="E462" t="e">
        <f>IF(IF($B462=1,VLOOKUP($A462,#REF!,5,FALSE),"")=0,"",IF($B462=1,VLOOKUP($A462,#REF!,5,FALSE),""))</f>
        <v>#REF!</v>
      </c>
      <c r="F462" s="785" t="s">
        <v>963</v>
      </c>
      <c r="G462" s="786" t="s">
        <v>2609</v>
      </c>
      <c r="H462" s="786" t="s">
        <v>5930</v>
      </c>
      <c r="I462" s="787" t="s">
        <v>6520</v>
      </c>
    </row>
    <row r="463" spans="1:9" ht="50">
      <c r="A463" t="s">
        <v>6455</v>
      </c>
      <c r="B463">
        <f>COUNTIF($A$5:$A463,A463)</f>
        <v>1</v>
      </c>
      <c r="C463">
        <f t="shared" si="14"/>
        <v>1</v>
      </c>
      <c r="D463" t="e">
        <f t="shared" si="15"/>
        <v>#VALUE!</v>
      </c>
      <c r="E463" t="e">
        <f>IF(IF($B463=1,VLOOKUP($A463,#REF!,5,FALSE),"")=0,"",IF($B463=1,VLOOKUP($A463,#REF!,5,FALSE),""))</f>
        <v>#REF!</v>
      </c>
      <c r="F463" s="785" t="s">
        <v>963</v>
      </c>
      <c r="G463" s="786" t="s">
        <v>2617</v>
      </c>
      <c r="H463" s="786" t="s">
        <v>5931</v>
      </c>
      <c r="I463" s="787" t="s">
        <v>6521</v>
      </c>
    </row>
    <row r="464" spans="1:9" ht="37.5">
      <c r="A464" t="s">
        <v>6456</v>
      </c>
      <c r="B464">
        <f>COUNTIF($A$5:$A464,A464)</f>
        <v>1</v>
      </c>
      <c r="C464">
        <f t="shared" si="14"/>
        <v>1</v>
      </c>
      <c r="D464" t="e">
        <f t="shared" si="15"/>
        <v>#VALUE!</v>
      </c>
      <c r="E464" t="e">
        <f>IF(IF($B464=1,VLOOKUP($A464,#REF!,5,FALSE),"")=0,"",IF($B464=1,VLOOKUP($A464,#REF!,5,FALSE),""))</f>
        <v>#REF!</v>
      </c>
      <c r="F464" s="785" t="s">
        <v>963</v>
      </c>
      <c r="G464" s="786" t="s">
        <v>2396</v>
      </c>
      <c r="H464" s="786" t="s">
        <v>5932</v>
      </c>
      <c r="I464" s="787" t="s">
        <v>5933</v>
      </c>
    </row>
    <row r="465" spans="1:9" ht="25">
      <c r="A465" t="s">
        <v>6457</v>
      </c>
      <c r="B465">
        <f>COUNTIF($A$5:$A465,A465)</f>
        <v>1</v>
      </c>
      <c r="C465">
        <f t="shared" si="14"/>
        <v>1</v>
      </c>
      <c r="D465">
        <f t="shared" si="15"/>
        <v>1</v>
      </c>
      <c r="E465" t="e">
        <f>IF(IF($B465=1,VLOOKUP($A465,#REF!,5,FALSE),"")=0,"",IF($B465=1,VLOOKUP($A465,#REF!,5,FALSE),""))</f>
        <v>#REF!</v>
      </c>
      <c r="F465" s="785" t="s">
        <v>963</v>
      </c>
      <c r="G465" s="786" t="s">
        <v>2396</v>
      </c>
      <c r="H465" s="786" t="s">
        <v>5934</v>
      </c>
      <c r="I465" s="787" t="s">
        <v>5935</v>
      </c>
    </row>
    <row r="466" spans="1:9" ht="37.5">
      <c r="A466" t="s">
        <v>5776</v>
      </c>
      <c r="B466">
        <f>COUNTIF($A$5:$A466,A466)</f>
        <v>1</v>
      </c>
      <c r="C466">
        <f t="shared" si="14"/>
        <v>1</v>
      </c>
      <c r="D466">
        <f t="shared" si="15"/>
        <v>1</v>
      </c>
      <c r="E466" t="e">
        <f>IF(IF($B466=1,VLOOKUP($A466,#REF!,5,FALSE),"")=0,"",IF($B466=1,VLOOKUP($A466,#REF!,5,FALSE),""))</f>
        <v>#REF!</v>
      </c>
      <c r="F466" s="785" t="s">
        <v>963</v>
      </c>
      <c r="G466" s="786" t="s">
        <v>2396</v>
      </c>
      <c r="H466" s="786" t="s">
        <v>4159</v>
      </c>
      <c r="I466" s="787" t="s">
        <v>5936</v>
      </c>
    </row>
    <row r="467" spans="1:9">
      <c r="A467" t="s">
        <v>6530</v>
      </c>
      <c r="B467">
        <f>COUNTIF($A$5:$A467,A467)</f>
        <v>1</v>
      </c>
      <c r="C467">
        <f t="shared" si="14"/>
        <v>1</v>
      </c>
      <c r="D467">
        <f t="shared" si="15"/>
        <v>1</v>
      </c>
      <c r="E467" t="e">
        <f>IF(IF($B467=1,VLOOKUP($A467,#REF!,5,FALSE),"")=0,"",IF($B467=1,VLOOKUP($A467,#REF!,5,FALSE),""))</f>
        <v>#REF!</v>
      </c>
      <c r="F467" s="785" t="s">
        <v>963</v>
      </c>
      <c r="G467" s="786" t="s">
        <v>2396</v>
      </c>
      <c r="H467" s="786" t="s">
        <v>5937</v>
      </c>
      <c r="I467" s="787" t="s">
        <v>5938</v>
      </c>
    </row>
    <row r="468" spans="1:9" ht="25">
      <c r="A468" t="s">
        <v>5769</v>
      </c>
      <c r="B468">
        <f>COUNTIF($A$5:$A468,A468)</f>
        <v>1</v>
      </c>
      <c r="C468">
        <f t="shared" si="14"/>
        <v>1</v>
      </c>
      <c r="D468">
        <f t="shared" si="15"/>
        <v>1</v>
      </c>
      <c r="E468" t="e">
        <f>IF(IF($B468=1,VLOOKUP($A468,#REF!,5,FALSE),"")=0,"",IF($B468=1,VLOOKUP($A468,#REF!,5,FALSE),""))</f>
        <v>#REF!</v>
      </c>
      <c r="F468" s="785" t="s">
        <v>963</v>
      </c>
      <c r="G468" s="786" t="s">
        <v>2396</v>
      </c>
      <c r="H468" s="786" t="s">
        <v>4162</v>
      </c>
      <c r="I468" s="787" t="s">
        <v>5939</v>
      </c>
    </row>
    <row r="469" spans="1:9" ht="50">
      <c r="A469" t="s">
        <v>6458</v>
      </c>
      <c r="B469">
        <f>COUNTIF($A$5:$A469,A469)</f>
        <v>1</v>
      </c>
      <c r="C469">
        <f t="shared" si="14"/>
        <v>1</v>
      </c>
      <c r="D469" t="e">
        <f t="shared" si="15"/>
        <v>#VALUE!</v>
      </c>
      <c r="E469" t="e">
        <f>IF(IF($B469=1,VLOOKUP($A469,#REF!,5,FALSE),"")=0,"",IF($B469=1,VLOOKUP($A469,#REF!,5,FALSE),""))</f>
        <v>#REF!</v>
      </c>
      <c r="F469" s="785" t="s">
        <v>963</v>
      </c>
      <c r="G469" s="786" t="s">
        <v>2396</v>
      </c>
      <c r="H469" s="786" t="s">
        <v>5940</v>
      </c>
      <c r="I469" s="787" t="s">
        <v>5941</v>
      </c>
    </row>
    <row r="470" spans="1:9" ht="62.5">
      <c r="A470" t="s">
        <v>6459</v>
      </c>
      <c r="B470">
        <f>COUNTIF($A$5:$A470,A470)</f>
        <v>1</v>
      </c>
      <c r="C470">
        <f t="shared" si="14"/>
        <v>1</v>
      </c>
      <c r="D470" t="e">
        <f t="shared" si="15"/>
        <v>#VALUE!</v>
      </c>
      <c r="E470" t="e">
        <f>IF(IF($B470=1,VLOOKUP($A470,#REF!,5,FALSE),"")=0,"",IF($B470=1,VLOOKUP($A470,#REF!,5,FALSE),""))</f>
        <v>#REF!</v>
      </c>
      <c r="F470" s="785" t="s">
        <v>963</v>
      </c>
      <c r="G470" s="786" t="s">
        <v>2398</v>
      </c>
      <c r="H470" s="786" t="s">
        <v>5942</v>
      </c>
      <c r="I470" s="787" t="s">
        <v>5943</v>
      </c>
    </row>
    <row r="471" spans="1:9" ht="50">
      <c r="A471" t="s">
        <v>6460</v>
      </c>
      <c r="B471">
        <f>COUNTIF($A$5:$A471,A471)</f>
        <v>1</v>
      </c>
      <c r="C471">
        <f t="shared" si="14"/>
        <v>1</v>
      </c>
      <c r="D471" t="e">
        <f t="shared" si="15"/>
        <v>#VALUE!</v>
      </c>
      <c r="E471" t="e">
        <f>IF(IF($B471=1,VLOOKUP($A471,#REF!,5,FALSE),"")=0,"",IF($B471=1,VLOOKUP($A471,#REF!,5,FALSE),""))</f>
        <v>#REF!</v>
      </c>
      <c r="F471" s="785" t="s">
        <v>963</v>
      </c>
      <c r="G471" s="786" t="s">
        <v>2398</v>
      </c>
      <c r="H471" s="786" t="s">
        <v>5944</v>
      </c>
      <c r="I471" s="787" t="s">
        <v>6688</v>
      </c>
    </row>
    <row r="472" spans="1:9" ht="62.5">
      <c r="A472" t="s">
        <v>6461</v>
      </c>
      <c r="B472">
        <f>COUNTIF($A$5:$A472,A472)</f>
        <v>1</v>
      </c>
      <c r="C472">
        <f t="shared" si="14"/>
        <v>1</v>
      </c>
      <c r="D472" t="e">
        <f t="shared" si="15"/>
        <v>#VALUE!</v>
      </c>
      <c r="E472" t="e">
        <f>IF(IF($B472=1,VLOOKUP($A472,#REF!,5,FALSE),"")=0,"",IF($B472=1,VLOOKUP($A472,#REF!,5,FALSE),""))</f>
        <v>#REF!</v>
      </c>
      <c r="F472" s="785" t="s">
        <v>963</v>
      </c>
      <c r="G472" s="786" t="s">
        <v>2607</v>
      </c>
      <c r="H472" s="786" t="s">
        <v>5945</v>
      </c>
      <c r="I472" s="787" t="s">
        <v>6689</v>
      </c>
    </row>
    <row r="473" spans="1:9" ht="37.5">
      <c r="A473" t="s">
        <v>6462</v>
      </c>
      <c r="B473">
        <f>COUNTIF($A$5:$A473,A473)</f>
        <v>1</v>
      </c>
      <c r="C473">
        <f t="shared" si="14"/>
        <v>1</v>
      </c>
      <c r="D473" t="e">
        <f t="shared" si="15"/>
        <v>#VALUE!</v>
      </c>
      <c r="E473" t="e">
        <f>IF(IF($B473=1,VLOOKUP($A473,#REF!,5,FALSE),"")=0,"",IF($B473=1,VLOOKUP($A473,#REF!,5,FALSE),""))</f>
        <v>#REF!</v>
      </c>
      <c r="F473" s="785" t="s">
        <v>963</v>
      </c>
      <c r="G473" s="786" t="s">
        <v>2609</v>
      </c>
      <c r="H473" s="786" t="s">
        <v>5946</v>
      </c>
      <c r="I473" s="787" t="s">
        <v>6690</v>
      </c>
    </row>
    <row r="474" spans="1:9" ht="25">
      <c r="A474" t="s">
        <v>6463</v>
      </c>
      <c r="B474">
        <f>COUNTIF($A$5:$A474,A474)</f>
        <v>1</v>
      </c>
      <c r="C474">
        <f t="shared" si="14"/>
        <v>1</v>
      </c>
      <c r="D474">
        <f t="shared" si="15"/>
        <v>1</v>
      </c>
      <c r="E474" t="e">
        <f>IF(IF($B474=1,VLOOKUP($A474,#REF!,5,FALSE),"")=0,"",IF($B474=1,VLOOKUP($A474,#REF!,5,FALSE),""))</f>
        <v>#REF!</v>
      </c>
      <c r="F474" s="785" t="s">
        <v>963</v>
      </c>
      <c r="G474" s="786" t="s">
        <v>2606</v>
      </c>
      <c r="H474" s="786" t="s">
        <v>5947</v>
      </c>
      <c r="I474" s="787" t="s">
        <v>5948</v>
      </c>
    </row>
    <row r="475" spans="1:9" ht="37.5">
      <c r="A475" t="s">
        <v>6464</v>
      </c>
      <c r="B475">
        <f>COUNTIF($A$5:$A475,A475)</f>
        <v>1</v>
      </c>
      <c r="C475">
        <f t="shared" si="14"/>
        <v>1</v>
      </c>
      <c r="D475" t="e">
        <f t="shared" si="15"/>
        <v>#VALUE!</v>
      </c>
      <c r="E475" t="e">
        <f>IF(IF($B475=1,VLOOKUP($A475,#REF!,5,FALSE),"")=0,"",IF($B475=1,VLOOKUP($A475,#REF!,5,FALSE),""))</f>
        <v>#REF!</v>
      </c>
      <c r="F475" s="785" t="s">
        <v>963</v>
      </c>
      <c r="G475" s="786" t="s">
        <v>2606</v>
      </c>
      <c r="H475" s="786" t="s">
        <v>5949</v>
      </c>
      <c r="I475" s="787" t="s">
        <v>5950</v>
      </c>
    </row>
    <row r="476" spans="1:9" ht="25">
      <c r="A476" t="s">
        <v>6465</v>
      </c>
      <c r="B476">
        <f>COUNTIF($A$5:$A476,A476)</f>
        <v>1</v>
      </c>
      <c r="C476">
        <f t="shared" si="14"/>
        <v>1</v>
      </c>
      <c r="D476">
        <f t="shared" si="15"/>
        <v>1</v>
      </c>
      <c r="E476" t="e">
        <f>IF(IF($B476=1,VLOOKUP($A476,#REF!,5,FALSE),"")=0,"",IF($B476=1,VLOOKUP($A476,#REF!,5,FALSE),""))</f>
        <v>#REF!</v>
      </c>
      <c r="F476" s="785" t="s">
        <v>963</v>
      </c>
      <c r="G476" s="786" t="s">
        <v>2617</v>
      </c>
      <c r="H476" s="786" t="s">
        <v>4174</v>
      </c>
      <c r="I476" s="787" t="s">
        <v>5951</v>
      </c>
    </row>
    <row r="477" spans="1:9">
      <c r="A477" t="s">
        <v>6466</v>
      </c>
      <c r="B477">
        <f>COUNTIF($A$5:$A477,A477)</f>
        <v>1</v>
      </c>
      <c r="C477">
        <f t="shared" si="14"/>
        <v>1</v>
      </c>
      <c r="D477">
        <f t="shared" si="15"/>
        <v>1</v>
      </c>
      <c r="E477" t="e">
        <f>IF(IF($B477=1,VLOOKUP($A477,#REF!,5,FALSE),"")=0,"",IF($B477=1,VLOOKUP($A477,#REF!,5,FALSE),""))</f>
        <v>#REF!</v>
      </c>
      <c r="F477" s="785" t="s">
        <v>963</v>
      </c>
      <c r="G477" s="786" t="s">
        <v>2605</v>
      </c>
      <c r="H477" s="786" t="s">
        <v>5952</v>
      </c>
      <c r="I477" s="787" t="s">
        <v>5953</v>
      </c>
    </row>
    <row r="478" spans="1:9" ht="62.5">
      <c r="A478" t="s">
        <v>5763</v>
      </c>
      <c r="B478">
        <f>COUNTIF($A$5:$A478,A478)</f>
        <v>1</v>
      </c>
      <c r="C478">
        <f t="shared" si="14"/>
        <v>1</v>
      </c>
      <c r="D478" t="e">
        <f t="shared" si="15"/>
        <v>#VALUE!</v>
      </c>
      <c r="E478" t="e">
        <f>IF(IF($B478=1,VLOOKUP($A478,#REF!,5,FALSE),"")=0,"",IF($B478=1,VLOOKUP($A478,#REF!,5,FALSE),""))</f>
        <v>#REF!</v>
      </c>
      <c r="F478" s="785" t="s">
        <v>963</v>
      </c>
      <c r="G478" s="786" t="s">
        <v>2396</v>
      </c>
      <c r="H478" s="786" t="s">
        <v>4178</v>
      </c>
      <c r="I478" s="787" t="s">
        <v>6522</v>
      </c>
    </row>
    <row r="479" spans="1:9" ht="62.5">
      <c r="A479" t="s">
        <v>5768</v>
      </c>
      <c r="B479">
        <f>COUNTIF($A$5:$A479,A479)</f>
        <v>1</v>
      </c>
      <c r="C479">
        <f t="shared" si="14"/>
        <v>1</v>
      </c>
      <c r="D479" t="e">
        <f t="shared" si="15"/>
        <v>#VALUE!</v>
      </c>
      <c r="E479" t="e">
        <f>IF(IF($B479=1,VLOOKUP($A479,#REF!,5,FALSE),"")=0,"",IF($B479=1,VLOOKUP($A479,#REF!,5,FALSE),""))</f>
        <v>#REF!</v>
      </c>
      <c r="F479" s="785" t="s">
        <v>963</v>
      </c>
      <c r="G479" s="786" t="s">
        <v>2603</v>
      </c>
      <c r="H479" s="786" t="s">
        <v>4180</v>
      </c>
      <c r="I479" s="787" t="s">
        <v>6523</v>
      </c>
    </row>
    <row r="480" spans="1:9" ht="50">
      <c r="A480" t="s">
        <v>5764</v>
      </c>
      <c r="B480">
        <f>COUNTIF($A$5:$A480,A480)</f>
        <v>1</v>
      </c>
      <c r="C480">
        <f t="shared" si="14"/>
        <v>1</v>
      </c>
      <c r="D480" t="e">
        <f t="shared" si="15"/>
        <v>#VALUE!</v>
      </c>
      <c r="E480" t="e">
        <f>IF(IF($B480=1,VLOOKUP($A480,#REF!,5,FALSE),"")=0,"",IF($B480=1,VLOOKUP($A480,#REF!,5,FALSE),""))</f>
        <v>#REF!</v>
      </c>
      <c r="F480" s="785" t="s">
        <v>963</v>
      </c>
      <c r="G480" s="786" t="s">
        <v>2396</v>
      </c>
      <c r="H480" s="786" t="s">
        <v>4182</v>
      </c>
      <c r="I480" s="787" t="s">
        <v>6524</v>
      </c>
    </row>
    <row r="481" spans="1:9" ht="25">
      <c r="A481" t="s">
        <v>5778</v>
      </c>
      <c r="B481">
        <f>COUNTIF($A$5:$A481,A481)</f>
        <v>1</v>
      </c>
      <c r="C481">
        <f t="shared" si="14"/>
        <v>2</v>
      </c>
      <c r="D481">
        <f t="shared" si="15"/>
        <v>1</v>
      </c>
      <c r="E481" t="e">
        <f>IF(IF($B481=1,VLOOKUP($A481,#REF!,5,FALSE),"")=0,"",IF($B481=1,VLOOKUP($A481,#REF!,5,FALSE),""))</f>
        <v>#REF!</v>
      </c>
      <c r="F481" s="785" t="s">
        <v>963</v>
      </c>
      <c r="G481" s="786" t="s">
        <v>2617</v>
      </c>
      <c r="H481" s="786" t="s">
        <v>4187</v>
      </c>
      <c r="I481" s="787" t="s">
        <v>5954</v>
      </c>
    </row>
    <row r="482" spans="1:9">
      <c r="A482" t="s">
        <v>6467</v>
      </c>
      <c r="B482">
        <f>COUNTIF($A$5:$A482,A482)</f>
        <v>1</v>
      </c>
      <c r="C482">
        <f t="shared" si="14"/>
        <v>2</v>
      </c>
      <c r="D482">
        <f t="shared" si="15"/>
        <v>1</v>
      </c>
      <c r="E482" t="e">
        <f>IF(IF($B482=1,VLOOKUP($A482,#REF!,5,FALSE),"")=0,"",IF($B482=1,VLOOKUP($A482,#REF!,5,FALSE),""))</f>
        <v>#REF!</v>
      </c>
      <c r="F482" s="785" t="s">
        <v>963</v>
      </c>
      <c r="G482" s="786" t="s">
        <v>2401</v>
      </c>
      <c r="H482" s="786" t="s">
        <v>5955</v>
      </c>
      <c r="I482" s="787" t="s">
        <v>5956</v>
      </c>
    </row>
    <row r="483" spans="1:9">
      <c r="A483" t="s">
        <v>6468</v>
      </c>
      <c r="B483">
        <f>COUNTIF($A$5:$A483,A483)</f>
        <v>1</v>
      </c>
      <c r="C483">
        <f t="shared" si="14"/>
        <v>1</v>
      </c>
      <c r="D483">
        <f t="shared" si="15"/>
        <v>1</v>
      </c>
      <c r="E483" t="e">
        <f>IF(IF($B483=1,VLOOKUP($A483,#REF!,5,FALSE),"")=0,"",IF($B483=1,VLOOKUP($A483,#REF!,5,FALSE),""))</f>
        <v>#REF!</v>
      </c>
      <c r="F483" s="785" t="s">
        <v>963</v>
      </c>
      <c r="G483" s="786" t="s">
        <v>2614</v>
      </c>
      <c r="H483" s="786" t="s">
        <v>5957</v>
      </c>
      <c r="I483" s="787" t="s">
        <v>5958</v>
      </c>
    </row>
    <row r="484" spans="1:9" ht="62.5">
      <c r="A484" t="s">
        <v>6469</v>
      </c>
      <c r="B484">
        <f>COUNTIF($A$5:$A484,A484)</f>
        <v>1</v>
      </c>
      <c r="C484">
        <f t="shared" si="14"/>
        <v>1</v>
      </c>
      <c r="D484" t="e">
        <f t="shared" si="15"/>
        <v>#VALUE!</v>
      </c>
      <c r="E484" t="e">
        <f>IF(IF($B484=1,VLOOKUP($A484,#REF!,5,FALSE),"")=0,"",IF($B484=1,VLOOKUP($A484,#REF!,5,FALSE),""))</f>
        <v>#REF!</v>
      </c>
      <c r="F484" s="785" t="s">
        <v>963</v>
      </c>
      <c r="G484" s="786" t="s">
        <v>2396</v>
      </c>
      <c r="H484" s="786" t="s">
        <v>5959</v>
      </c>
      <c r="I484" s="787" t="s">
        <v>5960</v>
      </c>
    </row>
    <row r="485" spans="1:9" ht="37.5">
      <c r="A485" t="s">
        <v>6470</v>
      </c>
      <c r="B485">
        <f>COUNTIF($A$5:$A485,A485)</f>
        <v>1</v>
      </c>
      <c r="C485">
        <f t="shared" si="14"/>
        <v>1</v>
      </c>
      <c r="D485" t="e">
        <f t="shared" si="15"/>
        <v>#VALUE!</v>
      </c>
      <c r="E485" t="e">
        <f>IF(IF($B485=1,VLOOKUP($A485,#REF!,5,FALSE),"")=0,"",IF($B485=1,VLOOKUP($A485,#REF!,5,FALSE),""))</f>
        <v>#REF!</v>
      </c>
      <c r="F485" s="785" t="s">
        <v>963</v>
      </c>
      <c r="G485" s="786" t="s">
        <v>2396</v>
      </c>
      <c r="H485" s="786" t="s">
        <v>5961</v>
      </c>
      <c r="I485" s="787" t="s">
        <v>5962</v>
      </c>
    </row>
    <row r="486" spans="1:9" ht="37.5">
      <c r="A486" t="s">
        <v>6471</v>
      </c>
      <c r="B486">
        <f>COUNTIF($A$5:$A486,A486)</f>
        <v>1</v>
      </c>
      <c r="C486">
        <f t="shared" si="14"/>
        <v>1</v>
      </c>
      <c r="D486" t="e">
        <f t="shared" si="15"/>
        <v>#VALUE!</v>
      </c>
      <c r="E486" t="e">
        <f>IF(IF($B486=1,VLOOKUP($A486,#REF!,5,FALSE),"")=0,"",IF($B486=1,VLOOKUP($A486,#REF!,5,FALSE),""))</f>
        <v>#REF!</v>
      </c>
      <c r="F486" s="785" t="s">
        <v>963</v>
      </c>
      <c r="G486" s="786" t="s">
        <v>2398</v>
      </c>
      <c r="H486" s="786" t="s">
        <v>5963</v>
      </c>
      <c r="I486" s="787" t="s">
        <v>5964</v>
      </c>
    </row>
    <row r="487" spans="1:9" ht="25">
      <c r="A487" t="s">
        <v>6472</v>
      </c>
      <c r="B487">
        <f>COUNTIF($A$5:$A487,A487)</f>
        <v>1</v>
      </c>
      <c r="C487">
        <f t="shared" si="14"/>
        <v>1</v>
      </c>
      <c r="D487">
        <f t="shared" si="15"/>
        <v>1</v>
      </c>
      <c r="E487" t="e">
        <f>IF(IF($B487=1,VLOOKUP($A487,#REF!,5,FALSE),"")=0,"",IF($B487=1,VLOOKUP($A487,#REF!,5,FALSE),""))</f>
        <v>#REF!</v>
      </c>
      <c r="F487" s="785" t="s">
        <v>963</v>
      </c>
      <c r="G487" s="786" t="s">
        <v>2607</v>
      </c>
      <c r="H487" s="786" t="s">
        <v>5965</v>
      </c>
      <c r="I487" s="787" t="s">
        <v>5966</v>
      </c>
    </row>
    <row r="488" spans="1:9" ht="25">
      <c r="A488" t="s">
        <v>6473</v>
      </c>
      <c r="B488">
        <f>COUNTIF($A$5:$A488,A488)</f>
        <v>1</v>
      </c>
      <c r="C488">
        <f t="shared" si="14"/>
        <v>1</v>
      </c>
      <c r="D488">
        <f t="shared" si="15"/>
        <v>1</v>
      </c>
      <c r="E488" t="e">
        <f>IF(IF($B488=1,VLOOKUP($A488,#REF!,5,FALSE),"")=0,"",IF($B488=1,VLOOKUP($A488,#REF!,5,FALSE),""))</f>
        <v>#REF!</v>
      </c>
      <c r="F488" s="785" t="s">
        <v>963</v>
      </c>
      <c r="G488" s="786" t="s">
        <v>2396</v>
      </c>
      <c r="H488" s="786" t="s">
        <v>5967</v>
      </c>
      <c r="I488" s="787" t="s">
        <v>5968</v>
      </c>
    </row>
    <row r="489" spans="1:9">
      <c r="A489" t="s">
        <v>6474</v>
      </c>
      <c r="B489">
        <f>COUNTIF($A$5:$A489,A489)</f>
        <v>1</v>
      </c>
      <c r="C489">
        <f t="shared" si="14"/>
        <v>1</v>
      </c>
      <c r="D489">
        <f t="shared" si="15"/>
        <v>1</v>
      </c>
      <c r="E489" t="e">
        <f>IF(IF($B489=1,VLOOKUP($A489,#REF!,5,FALSE),"")=0,"",IF($B489=1,VLOOKUP($A489,#REF!,5,FALSE),""))</f>
        <v>#REF!</v>
      </c>
      <c r="F489" s="785" t="s">
        <v>963</v>
      </c>
      <c r="G489" s="786" t="s">
        <v>2609</v>
      </c>
      <c r="H489" s="786" t="s">
        <v>5969</v>
      </c>
      <c r="I489" s="787" t="s">
        <v>6517</v>
      </c>
    </row>
    <row r="490" spans="1:9" ht="25">
      <c r="A490" t="s">
        <v>6475</v>
      </c>
      <c r="B490">
        <f>COUNTIF($A$5:$A490,A490)</f>
        <v>1</v>
      </c>
      <c r="C490">
        <f t="shared" si="14"/>
        <v>1</v>
      </c>
      <c r="D490">
        <f t="shared" si="15"/>
        <v>1</v>
      </c>
      <c r="E490" t="e">
        <f>IF(IF($B490=1,VLOOKUP($A490,#REF!,5,FALSE),"")=0,"",IF($B490=1,VLOOKUP($A490,#REF!,5,FALSE),""))</f>
        <v>#REF!</v>
      </c>
      <c r="F490" s="785" t="s">
        <v>963</v>
      </c>
      <c r="G490" s="786" t="s">
        <v>2609</v>
      </c>
      <c r="H490" s="786" t="s">
        <v>5970</v>
      </c>
      <c r="I490" s="787" t="s">
        <v>5971</v>
      </c>
    </row>
    <row r="491" spans="1:9" ht="25">
      <c r="A491" t="s">
        <v>6531</v>
      </c>
      <c r="B491">
        <f>COUNTIF($A$5:$A491,A491)</f>
        <v>1</v>
      </c>
      <c r="C491">
        <f t="shared" si="14"/>
        <v>1</v>
      </c>
      <c r="D491">
        <f t="shared" si="15"/>
        <v>1</v>
      </c>
      <c r="E491" t="e">
        <f>IF(IF($B491=1,VLOOKUP($A491,#REF!,5,FALSE),"")=0,"",IF($B491=1,VLOOKUP($A491,#REF!,5,FALSE),""))</f>
        <v>#REF!</v>
      </c>
      <c r="F491" s="785" t="s">
        <v>963</v>
      </c>
      <c r="G491" s="786" t="s">
        <v>2608</v>
      </c>
      <c r="H491" s="786" t="s">
        <v>5972</v>
      </c>
      <c r="I491" s="787" t="s">
        <v>6678</v>
      </c>
    </row>
    <row r="492" spans="1:9" ht="100">
      <c r="A492" t="s">
        <v>6476</v>
      </c>
      <c r="B492">
        <f>COUNTIF($A$5:$A492,A492)</f>
        <v>1</v>
      </c>
      <c r="C492">
        <f t="shared" si="14"/>
        <v>1</v>
      </c>
      <c r="D492" t="e">
        <f t="shared" si="15"/>
        <v>#VALUE!</v>
      </c>
      <c r="E492" t="e">
        <f>IF(IF($B492=1,VLOOKUP($A492,#REF!,5,FALSE),"")=0,"",IF($B492=1,VLOOKUP($A492,#REF!,5,FALSE),""))</f>
        <v>#REF!</v>
      </c>
      <c r="F492" s="785" t="s">
        <v>963</v>
      </c>
      <c r="G492" s="786" t="s">
        <v>2396</v>
      </c>
      <c r="H492" s="786" t="s">
        <v>5973</v>
      </c>
      <c r="I492" s="787" t="s">
        <v>6691</v>
      </c>
    </row>
    <row r="493" spans="1:9" ht="37.5">
      <c r="A493" t="s">
        <v>6477</v>
      </c>
      <c r="B493">
        <f>COUNTIF($A$5:$A493,A493)</f>
        <v>1</v>
      </c>
      <c r="C493">
        <f t="shared" si="14"/>
        <v>1</v>
      </c>
      <c r="D493" t="e">
        <f t="shared" si="15"/>
        <v>#VALUE!</v>
      </c>
      <c r="E493" t="e">
        <f>IF(IF($B493=1,VLOOKUP($A493,#REF!,5,FALSE),"")=0,"",IF($B493=1,VLOOKUP($A493,#REF!,5,FALSE),""))</f>
        <v>#REF!</v>
      </c>
      <c r="F493" s="785" t="s">
        <v>963</v>
      </c>
      <c r="G493" s="786" t="s">
        <v>2617</v>
      </c>
      <c r="H493" s="786" t="s">
        <v>5974</v>
      </c>
      <c r="I493" s="787" t="s">
        <v>5975</v>
      </c>
    </row>
    <row r="494" spans="1:9">
      <c r="A494" t="s">
        <v>6478</v>
      </c>
      <c r="B494">
        <f>COUNTIF($A$5:$A494,A494)</f>
        <v>1</v>
      </c>
      <c r="C494">
        <f t="shared" si="14"/>
        <v>1</v>
      </c>
      <c r="D494">
        <f t="shared" si="15"/>
        <v>1</v>
      </c>
      <c r="E494" t="e">
        <f>IF(IF($B494=1,VLOOKUP($A494,#REF!,5,FALSE),"")=0,"",IF($B494=1,VLOOKUP($A494,#REF!,5,FALSE),""))</f>
        <v>#REF!</v>
      </c>
      <c r="F494" s="785" t="s">
        <v>963</v>
      </c>
      <c r="G494" s="786" t="s">
        <v>2398</v>
      </c>
      <c r="H494" s="786" t="s">
        <v>5976</v>
      </c>
      <c r="I494" s="787" t="s">
        <v>5977</v>
      </c>
    </row>
    <row r="495" spans="1:9" ht="50">
      <c r="A495" t="s">
        <v>6479</v>
      </c>
      <c r="B495">
        <f>COUNTIF($A$5:$A495,A495)</f>
        <v>1</v>
      </c>
      <c r="C495">
        <f t="shared" si="14"/>
        <v>1</v>
      </c>
      <c r="D495" t="e">
        <f t="shared" si="15"/>
        <v>#VALUE!</v>
      </c>
      <c r="E495" t="e">
        <f>IF(IF($B495=1,VLOOKUP($A495,#REF!,5,FALSE),"")=0,"",IF($B495=1,VLOOKUP($A495,#REF!,5,FALSE),""))</f>
        <v>#REF!</v>
      </c>
      <c r="F495" s="785" t="s">
        <v>963</v>
      </c>
      <c r="G495" s="786" t="s">
        <v>2613</v>
      </c>
      <c r="H495" s="786" t="s">
        <v>5978</v>
      </c>
      <c r="I495" s="787" t="s">
        <v>5979</v>
      </c>
    </row>
    <row r="496" spans="1:9" ht="50">
      <c r="A496" t="s">
        <v>6480</v>
      </c>
      <c r="B496">
        <f>COUNTIF($A$5:$A496,A496)</f>
        <v>1</v>
      </c>
      <c r="C496">
        <f t="shared" si="14"/>
        <v>1</v>
      </c>
      <c r="D496" t="e">
        <f t="shared" si="15"/>
        <v>#VALUE!</v>
      </c>
      <c r="E496" t="e">
        <f>IF(IF($B496=1,VLOOKUP($A496,#REF!,5,FALSE),"")=0,"",IF($B496=1,VLOOKUP($A496,#REF!,5,FALSE),""))</f>
        <v>#REF!</v>
      </c>
      <c r="F496" s="785" t="s">
        <v>963</v>
      </c>
      <c r="G496" s="786" t="s">
        <v>2398</v>
      </c>
      <c r="H496" s="786" t="s">
        <v>5980</v>
      </c>
      <c r="I496" s="787" t="s">
        <v>5981</v>
      </c>
    </row>
    <row r="497" spans="1:9">
      <c r="A497" t="s">
        <v>6481</v>
      </c>
      <c r="B497">
        <f>COUNTIF($A$5:$A497,A497)</f>
        <v>1</v>
      </c>
      <c r="C497">
        <f t="shared" si="14"/>
        <v>1</v>
      </c>
      <c r="D497">
        <f t="shared" si="15"/>
        <v>3</v>
      </c>
      <c r="E497" t="e">
        <f>IF(IF($B497=1,VLOOKUP($A497,#REF!,5,FALSE),"")=0,"",IF($B497=1,VLOOKUP($A497,#REF!,5,FALSE),""))</f>
        <v>#REF!</v>
      </c>
      <c r="F497" s="785" t="s">
        <v>963</v>
      </c>
      <c r="G497" s="786" t="s">
        <v>2399</v>
      </c>
      <c r="H497" s="786" t="s">
        <v>5982</v>
      </c>
      <c r="I497" s="787" t="s">
        <v>5983</v>
      </c>
    </row>
    <row r="498" spans="1:9">
      <c r="A498" t="s">
        <v>6482</v>
      </c>
      <c r="B498">
        <f>COUNTIF($A$5:$A498,A498)</f>
        <v>1</v>
      </c>
      <c r="C498">
        <f t="shared" si="14"/>
        <v>1</v>
      </c>
      <c r="D498">
        <f t="shared" si="15"/>
        <v>3</v>
      </c>
      <c r="E498" t="e">
        <f>IF(IF($B498=1,VLOOKUP($A498,#REF!,5,FALSE),"")=0,"",IF($B498=1,VLOOKUP($A498,#REF!,5,FALSE),""))</f>
        <v>#REF!</v>
      </c>
      <c r="F498" s="785" t="s">
        <v>963</v>
      </c>
      <c r="G498" s="786" t="s">
        <v>2399</v>
      </c>
      <c r="H498" s="786" t="s">
        <v>5984</v>
      </c>
      <c r="I498" s="787" t="s">
        <v>5983</v>
      </c>
    </row>
    <row r="499" spans="1:9">
      <c r="A499" t="s">
        <v>6483</v>
      </c>
      <c r="B499">
        <f>COUNTIF($A$5:$A499,A499)</f>
        <v>1</v>
      </c>
      <c r="C499">
        <f t="shared" si="14"/>
        <v>1</v>
      </c>
      <c r="D499">
        <f t="shared" si="15"/>
        <v>3</v>
      </c>
      <c r="E499" t="e">
        <f>IF(IF($B499=1,VLOOKUP($A499,#REF!,5,FALSE),"")=0,"",IF($B499=1,VLOOKUP($A499,#REF!,5,FALSE),""))</f>
        <v>#REF!</v>
      </c>
      <c r="F499" s="785" t="s">
        <v>963</v>
      </c>
      <c r="G499" s="786" t="s">
        <v>2399</v>
      </c>
      <c r="H499" s="786" t="s">
        <v>5985</v>
      </c>
      <c r="I499" s="787" t="s">
        <v>5983</v>
      </c>
    </row>
    <row r="500" spans="1:9" ht="25">
      <c r="A500" t="s">
        <v>6484</v>
      </c>
      <c r="B500">
        <f>COUNTIF($A$5:$A500,A500)</f>
        <v>1</v>
      </c>
      <c r="C500">
        <f t="shared" si="14"/>
        <v>1</v>
      </c>
      <c r="D500">
        <f t="shared" si="15"/>
        <v>1</v>
      </c>
      <c r="E500" t="e">
        <f>IF(IF($B500=1,VLOOKUP($A500,#REF!,5,FALSE),"")=0,"",IF($B500=1,VLOOKUP($A500,#REF!,5,FALSE),""))</f>
        <v>#REF!</v>
      </c>
      <c r="F500" s="785" t="s">
        <v>963</v>
      </c>
      <c r="G500" s="786" t="s">
        <v>2617</v>
      </c>
      <c r="H500" s="786" t="s">
        <v>5986</v>
      </c>
      <c r="I500" s="787" t="s">
        <v>5987</v>
      </c>
    </row>
    <row r="501" spans="1:9">
      <c r="A501" t="s">
        <v>6485</v>
      </c>
      <c r="B501">
        <f>COUNTIF($A$5:$A501,A501)</f>
        <v>1</v>
      </c>
      <c r="C501">
        <f t="shared" si="14"/>
        <v>1</v>
      </c>
      <c r="D501">
        <f t="shared" si="15"/>
        <v>1</v>
      </c>
      <c r="E501" t="e">
        <f>IF(IF($B501=1,VLOOKUP($A501,#REF!,5,FALSE),"")=0,"",IF($B501=1,VLOOKUP($A501,#REF!,5,FALSE),""))</f>
        <v>#REF!</v>
      </c>
      <c r="F501" s="785" t="s">
        <v>963</v>
      </c>
      <c r="G501" s="786" t="s">
        <v>2398</v>
      </c>
      <c r="H501" s="786" t="s">
        <v>5988</v>
      </c>
      <c r="I501" s="787" t="s">
        <v>5989</v>
      </c>
    </row>
    <row r="502" spans="1:9" ht="25">
      <c r="A502" t="s">
        <v>6486</v>
      </c>
      <c r="B502">
        <f>COUNTIF($A$5:$A502,A502)</f>
        <v>1</v>
      </c>
      <c r="C502">
        <f t="shared" si="14"/>
        <v>1</v>
      </c>
      <c r="D502">
        <f t="shared" si="15"/>
        <v>1</v>
      </c>
      <c r="E502" t="e">
        <f>IF(IF($B502=1,VLOOKUP($A502,#REF!,5,FALSE),"")=0,"",IF($B502=1,VLOOKUP($A502,#REF!,5,FALSE),""))</f>
        <v>#REF!</v>
      </c>
      <c r="F502" s="785" t="s">
        <v>963</v>
      </c>
      <c r="G502" s="786" t="s">
        <v>2611</v>
      </c>
      <c r="H502" s="786" t="s">
        <v>5990</v>
      </c>
      <c r="I502" s="787" t="s">
        <v>6525</v>
      </c>
    </row>
    <row r="503" spans="1:9" ht="25">
      <c r="A503" t="s">
        <v>6487</v>
      </c>
      <c r="B503">
        <f>COUNTIF($A$5:$A503,A503)</f>
        <v>1</v>
      </c>
      <c r="C503">
        <f t="shared" si="14"/>
        <v>1</v>
      </c>
      <c r="D503">
        <f t="shared" si="15"/>
        <v>8</v>
      </c>
      <c r="E503" t="e">
        <f>IF(IF($B503=1,VLOOKUP($A503,#REF!,5,FALSE),"")=0,"",IF($B503=1,VLOOKUP($A503,#REF!,5,FALSE),""))</f>
        <v>#REF!</v>
      </c>
      <c r="F503" s="785" t="s">
        <v>963</v>
      </c>
      <c r="G503" s="786" t="s">
        <v>2406</v>
      </c>
      <c r="H503" s="786" t="s">
        <v>5991</v>
      </c>
      <c r="I503" s="787" t="s">
        <v>5929</v>
      </c>
    </row>
    <row r="504" spans="1:9" ht="25">
      <c r="A504" t="s">
        <v>6488</v>
      </c>
      <c r="B504">
        <f>COUNTIF($A$5:$A504,A504)</f>
        <v>1</v>
      </c>
      <c r="C504">
        <f t="shared" si="14"/>
        <v>1</v>
      </c>
      <c r="D504">
        <f t="shared" si="15"/>
        <v>8</v>
      </c>
      <c r="E504" t="e">
        <f>IF(IF($B504=1,VLOOKUP($A504,#REF!,5,FALSE),"")=0,"",IF($B504=1,VLOOKUP($A504,#REF!,5,FALSE),""))</f>
        <v>#REF!</v>
      </c>
      <c r="F504" s="785" t="s">
        <v>963</v>
      </c>
      <c r="G504" s="786" t="s">
        <v>2406</v>
      </c>
      <c r="H504" s="786" t="s">
        <v>5992</v>
      </c>
      <c r="I504" s="787" t="s">
        <v>5929</v>
      </c>
    </row>
    <row r="505" spans="1:9" ht="25">
      <c r="A505" t="s">
        <v>6489</v>
      </c>
      <c r="B505">
        <f>COUNTIF($A$5:$A505,A505)</f>
        <v>1</v>
      </c>
      <c r="C505">
        <f t="shared" si="14"/>
        <v>1</v>
      </c>
      <c r="D505">
        <f t="shared" si="15"/>
        <v>8</v>
      </c>
      <c r="E505" t="e">
        <f>IF(IF($B505=1,VLOOKUP($A505,#REF!,5,FALSE),"")=0,"",IF($B505=1,VLOOKUP($A505,#REF!,5,FALSE),""))</f>
        <v>#REF!</v>
      </c>
      <c r="F505" s="785" t="s">
        <v>963</v>
      </c>
      <c r="G505" s="786" t="s">
        <v>2406</v>
      </c>
      <c r="H505" s="786" t="s">
        <v>5993</v>
      </c>
      <c r="I505" s="787" t="s">
        <v>5929</v>
      </c>
    </row>
    <row r="506" spans="1:9" ht="25">
      <c r="A506" t="s">
        <v>6490</v>
      </c>
      <c r="B506">
        <f>COUNTIF($A$5:$A506,A506)</f>
        <v>1</v>
      </c>
      <c r="C506">
        <f t="shared" si="14"/>
        <v>1</v>
      </c>
      <c r="D506">
        <f t="shared" si="15"/>
        <v>8</v>
      </c>
      <c r="E506" t="e">
        <f>IF(IF($B506=1,VLOOKUP($A506,#REF!,5,FALSE),"")=0,"",IF($B506=1,VLOOKUP($A506,#REF!,5,FALSE),""))</f>
        <v>#REF!</v>
      </c>
      <c r="F506" s="785" t="s">
        <v>963</v>
      </c>
      <c r="G506" s="786" t="s">
        <v>2406</v>
      </c>
      <c r="H506" s="786" t="s">
        <v>5994</v>
      </c>
      <c r="I506" s="787" t="s">
        <v>5929</v>
      </c>
    </row>
    <row r="507" spans="1:9" ht="25">
      <c r="A507" t="s">
        <v>6491</v>
      </c>
      <c r="B507">
        <f>COUNTIF($A$5:$A507,A507)</f>
        <v>1</v>
      </c>
      <c r="C507">
        <f t="shared" si="14"/>
        <v>1</v>
      </c>
      <c r="D507">
        <f t="shared" si="15"/>
        <v>8</v>
      </c>
      <c r="E507" t="e">
        <f>IF(IF($B507=1,VLOOKUP($A507,#REF!,5,FALSE),"")=0,"",IF($B507=1,VLOOKUP($A507,#REF!,5,FALSE),""))</f>
        <v>#REF!</v>
      </c>
      <c r="F507" s="785" t="s">
        <v>963</v>
      </c>
      <c r="G507" s="786" t="s">
        <v>2406</v>
      </c>
      <c r="H507" s="786" t="s">
        <v>5995</v>
      </c>
      <c r="I507" s="787" t="s">
        <v>5929</v>
      </c>
    </row>
    <row r="508" spans="1:9" ht="37.5">
      <c r="A508" t="s">
        <v>6492</v>
      </c>
      <c r="B508">
        <f>COUNTIF($A$5:$A508,A508)</f>
        <v>1</v>
      </c>
      <c r="C508">
        <f t="shared" si="14"/>
        <v>1</v>
      </c>
      <c r="D508">
        <f t="shared" si="15"/>
        <v>1</v>
      </c>
      <c r="E508" t="e">
        <f>IF(IF($B508=1,VLOOKUP($A508,#REF!,5,FALSE),"")=0,"",IF($B508=1,VLOOKUP($A508,#REF!,5,FALSE),""))</f>
        <v>#REF!</v>
      </c>
      <c r="F508" s="785" t="s">
        <v>963</v>
      </c>
      <c r="G508" s="786" t="s">
        <v>2399</v>
      </c>
      <c r="H508" s="786" t="s">
        <v>5996</v>
      </c>
      <c r="I508" s="787" t="s">
        <v>5997</v>
      </c>
    </row>
    <row r="509" spans="1:9">
      <c r="A509" t="s">
        <v>6493</v>
      </c>
      <c r="B509">
        <f>COUNTIF($A$5:$A509,A509)</f>
        <v>1</v>
      </c>
      <c r="C509">
        <f t="shared" si="14"/>
        <v>1</v>
      </c>
      <c r="D509">
        <f t="shared" si="15"/>
        <v>1</v>
      </c>
      <c r="E509" t="e">
        <f>IF(IF($B509=1,VLOOKUP($A509,#REF!,5,FALSE),"")=0,"",IF($B509=1,VLOOKUP($A509,#REF!,5,FALSE),""))</f>
        <v>#REF!</v>
      </c>
      <c r="F509" s="785" t="s">
        <v>963</v>
      </c>
      <c r="G509" s="786" t="s">
        <v>2616</v>
      </c>
      <c r="H509" s="786" t="s">
        <v>5998</v>
      </c>
      <c r="I509" s="787" t="s">
        <v>5999</v>
      </c>
    </row>
    <row r="510" spans="1:9" ht="37.5">
      <c r="A510" t="s">
        <v>6494</v>
      </c>
      <c r="B510">
        <f>COUNTIF($A$5:$A510,A510)</f>
        <v>1</v>
      </c>
      <c r="C510">
        <f t="shared" si="14"/>
        <v>1</v>
      </c>
      <c r="D510" t="e">
        <f t="shared" si="15"/>
        <v>#VALUE!</v>
      </c>
      <c r="E510" t="e">
        <f>IF(IF($B510=1,VLOOKUP($A510,#REF!,5,FALSE),"")=0,"",IF($B510=1,VLOOKUP($A510,#REF!,5,FALSE),""))</f>
        <v>#REF!</v>
      </c>
      <c r="F510" s="785" t="s">
        <v>963</v>
      </c>
      <c r="G510" s="786" t="s">
        <v>2608</v>
      </c>
      <c r="H510" s="786" t="s">
        <v>6000</v>
      </c>
      <c r="I510" s="787" t="s">
        <v>6001</v>
      </c>
    </row>
    <row r="511" spans="1:9" ht="75">
      <c r="A511" t="s">
        <v>6495</v>
      </c>
      <c r="B511">
        <f>COUNTIF($A$5:$A511,A511)</f>
        <v>1</v>
      </c>
      <c r="C511">
        <f t="shared" si="14"/>
        <v>1</v>
      </c>
      <c r="D511" t="e">
        <f t="shared" si="15"/>
        <v>#VALUE!</v>
      </c>
      <c r="E511" t="e">
        <f>IF(IF($B511=1,VLOOKUP($A511,#REF!,5,FALSE),"")=0,"",IF($B511=1,VLOOKUP($A511,#REF!,5,FALSE),""))</f>
        <v>#REF!</v>
      </c>
      <c r="F511" s="785" t="s">
        <v>963</v>
      </c>
      <c r="G511" s="786" t="s">
        <v>2606</v>
      </c>
      <c r="H511" s="786" t="s">
        <v>6002</v>
      </c>
      <c r="I511" s="787" t="s">
        <v>6692</v>
      </c>
    </row>
    <row r="512" spans="1:9">
      <c r="A512" t="s">
        <v>6496</v>
      </c>
      <c r="B512">
        <f>COUNTIF($A$5:$A512,A512)</f>
        <v>1</v>
      </c>
      <c r="C512">
        <f t="shared" si="14"/>
        <v>1</v>
      </c>
      <c r="D512">
        <f t="shared" si="15"/>
        <v>1</v>
      </c>
      <c r="E512" t="e">
        <f>IF(IF($B512=1,VLOOKUP($A512,#REF!,5,FALSE),"")=0,"",IF($B512=1,VLOOKUP($A512,#REF!,5,FALSE),""))</f>
        <v>#REF!</v>
      </c>
      <c r="F512" s="785" t="s">
        <v>963</v>
      </c>
      <c r="G512" s="786" t="s">
        <v>5806</v>
      </c>
      <c r="H512" s="786" t="s">
        <v>6003</v>
      </c>
      <c r="I512" s="787" t="s">
        <v>6004</v>
      </c>
    </row>
    <row r="513" spans="1:9">
      <c r="A513" t="s">
        <v>6497</v>
      </c>
      <c r="B513">
        <f>COUNTIF($A$5:$A513,A513)</f>
        <v>1</v>
      </c>
      <c r="C513">
        <f t="shared" si="14"/>
        <v>1</v>
      </c>
      <c r="D513">
        <f t="shared" si="15"/>
        <v>1</v>
      </c>
      <c r="E513" t="e">
        <f>IF(IF($B513=1,VLOOKUP($A513,#REF!,5,FALSE),"")=0,"",IF($B513=1,VLOOKUP($A513,#REF!,5,FALSE),""))</f>
        <v>#REF!</v>
      </c>
      <c r="F513" s="785" t="s">
        <v>963</v>
      </c>
      <c r="G513" s="786" t="s">
        <v>2608</v>
      </c>
      <c r="H513" s="786" t="s">
        <v>6005</v>
      </c>
      <c r="I513" s="787" t="s">
        <v>6006</v>
      </c>
    </row>
    <row r="514" spans="1:9" ht="50">
      <c r="A514" t="s">
        <v>6498</v>
      </c>
      <c r="B514">
        <f>COUNTIF($A$5:$A514,A514)</f>
        <v>1</v>
      </c>
      <c r="C514">
        <f t="shared" si="14"/>
        <v>1</v>
      </c>
      <c r="D514" t="e">
        <f t="shared" si="15"/>
        <v>#VALUE!</v>
      </c>
      <c r="E514" t="e">
        <f>IF(IF($B514=1,VLOOKUP($A514,#REF!,5,FALSE),"")=0,"",IF($B514=1,VLOOKUP($A514,#REF!,5,FALSE),""))</f>
        <v>#REF!</v>
      </c>
      <c r="F514" s="785" t="s">
        <v>963</v>
      </c>
      <c r="G514" s="786" t="s">
        <v>2617</v>
      </c>
      <c r="H514" s="786" t="s">
        <v>6007</v>
      </c>
      <c r="I514" s="787" t="s">
        <v>6008</v>
      </c>
    </row>
    <row r="515" spans="1:9" ht="50">
      <c r="A515" t="s">
        <v>6499</v>
      </c>
      <c r="B515">
        <f>COUNTIF($A$5:$A515,A515)</f>
        <v>1</v>
      </c>
      <c r="C515">
        <f t="shared" si="14"/>
        <v>1</v>
      </c>
      <c r="D515" t="e">
        <f t="shared" si="15"/>
        <v>#VALUE!</v>
      </c>
      <c r="E515" t="e">
        <f>IF(IF($B515=1,VLOOKUP($A515,#REF!,5,FALSE),"")=0,"",IF($B515=1,VLOOKUP($A515,#REF!,5,FALSE),""))</f>
        <v>#REF!</v>
      </c>
      <c r="F515" s="785" t="s">
        <v>963</v>
      </c>
      <c r="G515" s="786" t="s">
        <v>2603</v>
      </c>
      <c r="H515" s="786" t="s">
        <v>6009</v>
      </c>
      <c r="I515" s="787" t="s">
        <v>6010</v>
      </c>
    </row>
    <row r="516" spans="1:9">
      <c r="A516" t="s">
        <v>6500</v>
      </c>
      <c r="B516">
        <f>COUNTIF($A$5:$A516,A516)</f>
        <v>1</v>
      </c>
      <c r="C516">
        <f t="shared" si="14"/>
        <v>1</v>
      </c>
      <c r="D516">
        <f t="shared" si="15"/>
        <v>1</v>
      </c>
      <c r="E516" t="e">
        <f>IF(IF($B516=1,VLOOKUP($A516,#REF!,5,FALSE),"")=0,"",IF($B516=1,VLOOKUP($A516,#REF!,5,FALSE),""))</f>
        <v>#REF!</v>
      </c>
      <c r="F516" s="785" t="s">
        <v>963</v>
      </c>
      <c r="G516" s="786" t="s">
        <v>2406</v>
      </c>
      <c r="H516" s="786" t="s">
        <v>6011</v>
      </c>
      <c r="I516" s="787" t="s">
        <v>6012</v>
      </c>
    </row>
    <row r="517" spans="1:9">
      <c r="A517" t="s">
        <v>6501</v>
      </c>
      <c r="B517">
        <f>COUNTIF($A$5:$A517,A517)</f>
        <v>1</v>
      </c>
      <c r="C517">
        <f t="shared" ref="C517:C580" si="16">COUNTIF($H$5:$H$622,H517)</f>
        <v>1</v>
      </c>
      <c r="D517">
        <f t="shared" ref="D517:D580" si="17">COUNTIF($I$5:$I$622,I517)</f>
        <v>1</v>
      </c>
      <c r="E517" t="e">
        <f>IF(IF($B517=1,VLOOKUP($A517,#REF!,5,FALSE),"")=0,"",IF($B517=1,VLOOKUP($A517,#REF!,5,FALSE),""))</f>
        <v>#REF!</v>
      </c>
      <c r="F517" s="785" t="s">
        <v>963</v>
      </c>
      <c r="G517" s="786" t="s">
        <v>2406</v>
      </c>
      <c r="H517" s="786" t="s">
        <v>6013</v>
      </c>
      <c r="I517" s="787" t="s">
        <v>6014</v>
      </c>
    </row>
    <row r="518" spans="1:9" ht="25">
      <c r="A518" t="s">
        <v>6192</v>
      </c>
      <c r="B518">
        <f>COUNTIF($A$5:$A518,A518)</f>
        <v>1</v>
      </c>
      <c r="C518">
        <f t="shared" si="16"/>
        <v>1</v>
      </c>
      <c r="D518">
        <f t="shared" si="17"/>
        <v>1</v>
      </c>
      <c r="E518" t="e">
        <f>IF(IF($B518=1,VLOOKUP($A518,#REF!,5,FALSE),"")=0,"",IF($B518=1,VLOOKUP($A518,#REF!,5,FALSE),""))</f>
        <v>#REF!</v>
      </c>
      <c r="F518" s="782" t="s">
        <v>896</v>
      </c>
      <c r="G518" s="783" t="s">
        <v>91</v>
      </c>
      <c r="H518" s="783" t="s">
        <v>6070</v>
      </c>
      <c r="I518" s="784" t="s">
        <v>6071</v>
      </c>
    </row>
    <row r="519" spans="1:9" ht="25">
      <c r="A519" t="s">
        <v>6193</v>
      </c>
      <c r="B519">
        <f>COUNTIF($A$5:$A519,A519)</f>
        <v>1</v>
      </c>
      <c r="C519">
        <f t="shared" si="16"/>
        <v>1</v>
      </c>
      <c r="D519">
        <f t="shared" si="17"/>
        <v>1</v>
      </c>
      <c r="E519" t="e">
        <f>IF(IF($B519=1,VLOOKUP($A519,#REF!,5,FALSE),"")=0,"",IF($B519=1,VLOOKUP($A519,#REF!,5,FALSE),""))</f>
        <v>#REF!</v>
      </c>
      <c r="F519" s="782" t="s">
        <v>896</v>
      </c>
      <c r="G519" s="783" t="s">
        <v>91</v>
      </c>
      <c r="H519" s="783" t="s">
        <v>3105</v>
      </c>
      <c r="I519" s="784" t="s">
        <v>4429</v>
      </c>
    </row>
    <row r="520" spans="1:9" ht="25">
      <c r="A520" t="s">
        <v>6194</v>
      </c>
      <c r="B520">
        <f>COUNTIF($A$5:$A520,A520)</f>
        <v>1</v>
      </c>
      <c r="C520">
        <f t="shared" si="16"/>
        <v>1</v>
      </c>
      <c r="D520">
        <f t="shared" si="17"/>
        <v>1</v>
      </c>
      <c r="E520" t="e">
        <f>IF(IF($B520=1,VLOOKUP($A520,#REF!,5,FALSE),"")=0,"",IF($B520=1,VLOOKUP($A520,#REF!,5,FALSE),""))</f>
        <v>#REF!</v>
      </c>
      <c r="F520" s="782" t="s">
        <v>896</v>
      </c>
      <c r="G520" s="783" t="s">
        <v>91</v>
      </c>
      <c r="H520" s="783" t="s">
        <v>4431</v>
      </c>
      <c r="I520" s="784" t="s">
        <v>4430</v>
      </c>
    </row>
    <row r="521" spans="1:9">
      <c r="A521" t="s">
        <v>6195</v>
      </c>
      <c r="B521">
        <f>COUNTIF($A$5:$A521,A521)</f>
        <v>1</v>
      </c>
      <c r="C521">
        <f t="shared" si="16"/>
        <v>1</v>
      </c>
      <c r="D521">
        <f t="shared" si="17"/>
        <v>1</v>
      </c>
      <c r="E521" t="e">
        <f>IF(IF($B521=1,VLOOKUP($A521,#REF!,5,FALSE),"")=0,"",IF($B521=1,VLOOKUP($A521,#REF!,5,FALSE),""))</f>
        <v>#REF!</v>
      </c>
      <c r="F521" s="782" t="s">
        <v>896</v>
      </c>
      <c r="G521" s="783" t="s">
        <v>91</v>
      </c>
      <c r="H521" s="783" t="s">
        <v>2951</v>
      </c>
      <c r="I521" s="784" t="s">
        <v>6075</v>
      </c>
    </row>
    <row r="522" spans="1:9" ht="25">
      <c r="A522" t="s">
        <v>6196</v>
      </c>
      <c r="B522">
        <f>COUNTIF($A$5:$A522,A522)</f>
        <v>1</v>
      </c>
      <c r="C522">
        <f t="shared" si="16"/>
        <v>1</v>
      </c>
      <c r="D522">
        <f t="shared" si="17"/>
        <v>1</v>
      </c>
      <c r="E522" t="e">
        <f>IF(IF($B522=1,VLOOKUP($A522,#REF!,5,FALSE),"")=0,"",IF($B522=1,VLOOKUP($A522,#REF!,5,FALSE),""))</f>
        <v>#REF!</v>
      </c>
      <c r="F522" s="782" t="s">
        <v>896</v>
      </c>
      <c r="G522" s="783" t="s">
        <v>5809</v>
      </c>
      <c r="H522" s="783" t="s">
        <v>5278</v>
      </c>
      <c r="I522" s="784" t="s">
        <v>4473</v>
      </c>
    </row>
    <row r="523" spans="1:9" ht="37.5">
      <c r="A523" t="s">
        <v>6202</v>
      </c>
      <c r="B523">
        <f>COUNTIF($A$5:$A523,A523)</f>
        <v>1</v>
      </c>
      <c r="C523">
        <f t="shared" si="16"/>
        <v>1</v>
      </c>
      <c r="D523">
        <f t="shared" si="17"/>
        <v>1</v>
      </c>
      <c r="E523" t="e">
        <f>IF(IF($B523=1,VLOOKUP($A523,#REF!,5,FALSE),"")=0,"",IF($B523=1,VLOOKUP($A523,#REF!,5,FALSE),""))</f>
        <v>#REF!</v>
      </c>
      <c r="F523" s="782" t="s">
        <v>896</v>
      </c>
      <c r="G523" s="783" t="s">
        <v>91</v>
      </c>
      <c r="H523" s="783" t="s">
        <v>4651</v>
      </c>
      <c r="I523" s="784" t="s">
        <v>4438</v>
      </c>
    </row>
    <row r="524" spans="1:9" ht="25">
      <c r="A524" t="s">
        <v>6203</v>
      </c>
      <c r="B524">
        <f>COUNTIF($A$5:$A524,A524)</f>
        <v>1</v>
      </c>
      <c r="C524">
        <f t="shared" si="16"/>
        <v>1</v>
      </c>
      <c r="D524">
        <f t="shared" si="17"/>
        <v>1</v>
      </c>
      <c r="E524" t="e">
        <f>IF(IF($B524=1,VLOOKUP($A524,#REF!,5,FALSE),"")=0,"",IF($B524=1,VLOOKUP($A524,#REF!,5,FALSE),""))</f>
        <v>#REF!</v>
      </c>
      <c r="F524" s="782" t="s">
        <v>896</v>
      </c>
      <c r="G524" s="783" t="s">
        <v>1208</v>
      </c>
      <c r="H524" s="783" t="s">
        <v>2477</v>
      </c>
      <c r="I524" s="784" t="s">
        <v>4453</v>
      </c>
    </row>
    <row r="525" spans="1:9">
      <c r="A525" t="s">
        <v>6204</v>
      </c>
      <c r="B525">
        <f>COUNTIF($A$5:$A525,A525)</f>
        <v>1</v>
      </c>
      <c r="C525">
        <f t="shared" si="16"/>
        <v>2</v>
      </c>
      <c r="D525">
        <f t="shared" si="17"/>
        <v>1</v>
      </c>
      <c r="E525" t="e">
        <f>IF(IF($B525=1,VLOOKUP($A525,#REF!,5,FALSE),"")=0,"",IF($B525=1,VLOOKUP($A525,#REF!,5,FALSE),""))</f>
        <v>#REF!</v>
      </c>
      <c r="F525" s="782" t="s">
        <v>896</v>
      </c>
      <c r="G525" s="783" t="s">
        <v>91</v>
      </c>
      <c r="H525" s="783" t="s">
        <v>4643</v>
      </c>
      <c r="I525" s="784" t="s">
        <v>4421</v>
      </c>
    </row>
    <row r="526" spans="1:9" ht="37.5">
      <c r="A526" t="s">
        <v>6205</v>
      </c>
      <c r="B526">
        <f>COUNTIF($A$5:$A526,A526)</f>
        <v>1</v>
      </c>
      <c r="C526">
        <f t="shared" si="16"/>
        <v>1</v>
      </c>
      <c r="D526" t="e">
        <f t="shared" si="17"/>
        <v>#VALUE!</v>
      </c>
      <c r="E526" t="e">
        <f>IF(IF($B526=1,VLOOKUP($A526,#REF!,5,FALSE),"")=0,"",IF($B526=1,VLOOKUP($A526,#REF!,5,FALSE),""))</f>
        <v>#REF!</v>
      </c>
      <c r="F526" s="782" t="s">
        <v>896</v>
      </c>
      <c r="G526" s="783" t="s">
        <v>1206</v>
      </c>
      <c r="H526" s="783" t="s">
        <v>6069</v>
      </c>
      <c r="I526" s="784" t="s">
        <v>4739</v>
      </c>
    </row>
    <row r="527" spans="1:9" ht="25">
      <c r="A527" t="s">
        <v>6206</v>
      </c>
      <c r="B527">
        <f>COUNTIF($A$5:$A527,A527)</f>
        <v>1</v>
      </c>
      <c r="C527">
        <f t="shared" si="16"/>
        <v>1</v>
      </c>
      <c r="D527">
        <f t="shared" si="17"/>
        <v>1</v>
      </c>
      <c r="E527" t="e">
        <f>IF(IF($B527=1,VLOOKUP($A527,#REF!,5,FALSE),"")=0,"",IF($B527=1,VLOOKUP($A527,#REF!,5,FALSE),""))</f>
        <v>#REF!</v>
      </c>
      <c r="F527" s="782" t="s">
        <v>896</v>
      </c>
      <c r="G527" s="783" t="s">
        <v>1206</v>
      </c>
      <c r="H527" s="783" t="s">
        <v>4646</v>
      </c>
      <c r="I527" s="784" t="s">
        <v>4450</v>
      </c>
    </row>
    <row r="528" spans="1:9">
      <c r="A528" t="s">
        <v>6207</v>
      </c>
      <c r="B528">
        <f>COUNTIF($A$5:$A528,A528)</f>
        <v>1</v>
      </c>
      <c r="C528">
        <f t="shared" si="16"/>
        <v>1</v>
      </c>
      <c r="D528">
        <f t="shared" si="17"/>
        <v>2</v>
      </c>
      <c r="E528" t="e">
        <f>IF(IF($B528=1,VLOOKUP($A528,#REF!,5,FALSE),"")=0,"",IF($B528=1,VLOOKUP($A528,#REF!,5,FALSE),""))</f>
        <v>#REF!</v>
      </c>
      <c r="F528" s="782" t="s">
        <v>896</v>
      </c>
      <c r="G528" s="783" t="s">
        <v>1206</v>
      </c>
      <c r="H528" s="783" t="s">
        <v>5279</v>
      </c>
      <c r="I528" s="784" t="s">
        <v>4449</v>
      </c>
    </row>
    <row r="529" spans="1:9" ht="25">
      <c r="A529" t="s">
        <v>6208</v>
      </c>
      <c r="B529">
        <f>COUNTIF($A$5:$A529,A529)</f>
        <v>1</v>
      </c>
      <c r="C529">
        <f t="shared" si="16"/>
        <v>1</v>
      </c>
      <c r="D529">
        <f t="shared" si="17"/>
        <v>1</v>
      </c>
      <c r="E529" t="e">
        <f>IF(IF($B529=1,VLOOKUP($A529,#REF!,5,FALSE),"")=0,"",IF($B529=1,VLOOKUP($A529,#REF!,5,FALSE),""))</f>
        <v>#REF!</v>
      </c>
      <c r="F529" s="782" t="s">
        <v>896</v>
      </c>
      <c r="G529" s="783" t="s">
        <v>4338</v>
      </c>
      <c r="H529" s="783" t="s">
        <v>3630</v>
      </c>
      <c r="I529" s="784" t="s">
        <v>6068</v>
      </c>
    </row>
    <row r="530" spans="1:9">
      <c r="A530" t="s">
        <v>6209</v>
      </c>
      <c r="B530">
        <f>COUNTIF($A$5:$A530,A530)</f>
        <v>1</v>
      </c>
      <c r="C530">
        <f t="shared" si="16"/>
        <v>1</v>
      </c>
      <c r="D530">
        <f t="shared" si="17"/>
        <v>1</v>
      </c>
      <c r="E530" t="e">
        <f>IF(IF($B530=1,VLOOKUP($A530,#REF!,5,FALSE),"")=0,"",IF($B530=1,VLOOKUP($A530,#REF!,5,FALSE),""))</f>
        <v>#REF!</v>
      </c>
      <c r="F530" s="782" t="s">
        <v>896</v>
      </c>
      <c r="G530" s="783" t="s">
        <v>4339</v>
      </c>
      <c r="H530" s="783" t="s">
        <v>4401</v>
      </c>
      <c r="I530" s="784" t="s">
        <v>4434</v>
      </c>
    </row>
    <row r="531" spans="1:9">
      <c r="A531" t="s">
        <v>6210</v>
      </c>
      <c r="B531">
        <f>COUNTIF($A$5:$A531,A531)</f>
        <v>1</v>
      </c>
      <c r="C531">
        <f t="shared" si="16"/>
        <v>2</v>
      </c>
      <c r="D531">
        <f t="shared" si="17"/>
        <v>2</v>
      </c>
      <c r="E531" t="e">
        <f>IF(IF($B531=1,VLOOKUP($A531,#REF!,5,FALSE),"")=0,"",IF($B531=1,VLOOKUP($A531,#REF!,5,FALSE),""))</f>
        <v>#REF!</v>
      </c>
      <c r="F531" s="782" t="s">
        <v>896</v>
      </c>
      <c r="G531" s="783" t="s">
        <v>4336</v>
      </c>
      <c r="H531" s="783" t="s">
        <v>3144</v>
      </c>
      <c r="I531" s="784" t="s">
        <v>4474</v>
      </c>
    </row>
    <row r="532" spans="1:9">
      <c r="A532" t="s">
        <v>6211</v>
      </c>
      <c r="B532">
        <f>COUNTIF($A$5:$A532,A532)</f>
        <v>1</v>
      </c>
      <c r="C532">
        <f t="shared" si="16"/>
        <v>1</v>
      </c>
      <c r="D532">
        <f t="shared" si="17"/>
        <v>1</v>
      </c>
      <c r="E532" t="e">
        <f>IF(IF($B532=1,VLOOKUP($A532,#REF!,5,FALSE),"")=0,"",IF($B532=1,VLOOKUP($A532,#REF!,5,FALSE),""))</f>
        <v>#REF!</v>
      </c>
      <c r="F532" s="782" t="s">
        <v>896</v>
      </c>
      <c r="G532" s="783" t="s">
        <v>4338</v>
      </c>
      <c r="H532" s="783" t="s">
        <v>3631</v>
      </c>
      <c r="I532" s="784" t="s">
        <v>6079</v>
      </c>
    </row>
    <row r="533" spans="1:9" ht="25">
      <c r="A533" t="s">
        <v>5693</v>
      </c>
      <c r="B533">
        <f>COUNTIF($A$5:$A533,A533)</f>
        <v>1</v>
      </c>
      <c r="C533">
        <f t="shared" si="16"/>
        <v>1</v>
      </c>
      <c r="D533">
        <f t="shared" si="17"/>
        <v>1</v>
      </c>
      <c r="E533" t="e">
        <f>IF(IF($B533=1,VLOOKUP($A533,#REF!,5,FALSE),"")=0,"",IF($B533=1,VLOOKUP($A533,#REF!,5,FALSE),""))</f>
        <v>#REF!</v>
      </c>
      <c r="F533" s="782" t="s">
        <v>896</v>
      </c>
      <c r="G533" s="783" t="s">
        <v>1206</v>
      </c>
      <c r="H533" s="783" t="s">
        <v>4762</v>
      </c>
      <c r="I533" s="784" t="s">
        <v>4723</v>
      </c>
    </row>
    <row r="534" spans="1:9" ht="37.5">
      <c r="A534" t="s">
        <v>5694</v>
      </c>
      <c r="B534">
        <f>COUNTIF($A$5:$A534,A534)</f>
        <v>1</v>
      </c>
      <c r="C534">
        <f t="shared" si="16"/>
        <v>1</v>
      </c>
      <c r="D534">
        <f t="shared" si="17"/>
        <v>1</v>
      </c>
      <c r="E534" t="e">
        <f>IF(IF($B534=1,VLOOKUP($A534,#REF!,5,FALSE),"")=0,"",IF($B534=1,VLOOKUP($A534,#REF!,5,FALSE),""))</f>
        <v>#REF!</v>
      </c>
      <c r="F534" s="782" t="s">
        <v>896</v>
      </c>
      <c r="G534" s="783" t="s">
        <v>1206</v>
      </c>
      <c r="H534" s="783" t="s">
        <v>2254</v>
      </c>
      <c r="I534" s="784" t="s">
        <v>4726</v>
      </c>
    </row>
    <row r="535" spans="1:9" ht="25">
      <c r="A535" t="s">
        <v>5635</v>
      </c>
      <c r="B535">
        <f>COUNTIF($A$5:$A535,A535)</f>
        <v>1</v>
      </c>
      <c r="C535">
        <f t="shared" si="16"/>
        <v>1</v>
      </c>
      <c r="D535">
        <f t="shared" si="17"/>
        <v>1</v>
      </c>
      <c r="E535" t="e">
        <f>IF(IF($B535=1,VLOOKUP($A535,#REF!,5,FALSE),"")=0,"",IF($B535=1,VLOOKUP($A535,#REF!,5,FALSE),""))</f>
        <v>#REF!</v>
      </c>
      <c r="F535" s="782" t="s">
        <v>896</v>
      </c>
      <c r="G535" s="783" t="s">
        <v>91</v>
      </c>
      <c r="H535" s="783" t="s">
        <v>4403</v>
      </c>
      <c r="I535" s="784" t="s">
        <v>5254</v>
      </c>
    </row>
    <row r="536" spans="1:9" ht="37.5">
      <c r="A536" t="s">
        <v>5636</v>
      </c>
      <c r="B536">
        <f>COUNTIF($A$5:$A536,A536)</f>
        <v>1</v>
      </c>
      <c r="C536">
        <f t="shared" si="16"/>
        <v>1</v>
      </c>
      <c r="D536" t="e">
        <f t="shared" si="17"/>
        <v>#VALUE!</v>
      </c>
      <c r="E536" t="e">
        <f>IF(IF($B536=1,VLOOKUP($A536,#REF!,5,FALSE),"")=0,"",IF($B536=1,VLOOKUP($A536,#REF!,5,FALSE),""))</f>
        <v>#REF!</v>
      </c>
      <c r="F536" s="782" t="s">
        <v>896</v>
      </c>
      <c r="G536" s="783" t="s">
        <v>91</v>
      </c>
      <c r="H536" s="783" t="s">
        <v>3638</v>
      </c>
      <c r="I536" s="784" t="s">
        <v>4441</v>
      </c>
    </row>
    <row r="537" spans="1:9">
      <c r="A537" t="s">
        <v>5637</v>
      </c>
      <c r="B537">
        <f>COUNTIF($A$5:$A537,A537)</f>
        <v>1</v>
      </c>
      <c r="C537">
        <f t="shared" si="16"/>
        <v>1</v>
      </c>
      <c r="D537">
        <f t="shared" si="17"/>
        <v>1</v>
      </c>
      <c r="E537" t="e">
        <f>IF(IF($B537=1,VLOOKUP($A537,#REF!,5,FALSE),"")=0,"",IF($B537=1,VLOOKUP($A537,#REF!,5,FALSE),""))</f>
        <v>#REF!</v>
      </c>
      <c r="F537" s="782" t="s">
        <v>896</v>
      </c>
      <c r="G537" s="783" t="s">
        <v>91</v>
      </c>
      <c r="H537" s="783" t="s">
        <v>4323</v>
      </c>
      <c r="I537" s="784" t="s">
        <v>5255</v>
      </c>
    </row>
    <row r="538" spans="1:9" ht="25">
      <c r="A538" t="s">
        <v>5695</v>
      </c>
      <c r="B538">
        <f>COUNTIF($A$5:$A538,A538)</f>
        <v>1</v>
      </c>
      <c r="C538">
        <f t="shared" si="16"/>
        <v>1</v>
      </c>
      <c r="D538">
        <f t="shared" si="17"/>
        <v>1</v>
      </c>
      <c r="E538" t="e">
        <f>IF(IF($B538=1,VLOOKUP($A538,#REF!,5,FALSE),"")=0,"",IF($B538=1,VLOOKUP($A538,#REF!,5,FALSE),""))</f>
        <v>#REF!</v>
      </c>
      <c r="F538" s="782" t="s">
        <v>896</v>
      </c>
      <c r="G538" s="783" t="s">
        <v>1206</v>
      </c>
      <c r="H538" s="783" t="s">
        <v>4765</v>
      </c>
      <c r="I538" s="784" t="s">
        <v>4729</v>
      </c>
    </row>
    <row r="539" spans="1:9">
      <c r="A539" t="s">
        <v>5696</v>
      </c>
      <c r="B539">
        <f>COUNTIF($A$5:$A539,A539)</f>
        <v>1</v>
      </c>
      <c r="C539">
        <f t="shared" si="16"/>
        <v>1</v>
      </c>
      <c r="D539">
        <f t="shared" si="17"/>
        <v>1</v>
      </c>
      <c r="E539" t="e">
        <f>IF(IF($B539=1,VLOOKUP($A539,#REF!,5,FALSE),"")=0,"",IF($B539=1,VLOOKUP($A539,#REF!,5,FALSE),""))</f>
        <v>#REF!</v>
      </c>
      <c r="F539" s="782" t="s">
        <v>896</v>
      </c>
      <c r="G539" s="783" t="s">
        <v>1206</v>
      </c>
      <c r="H539" s="783" t="s">
        <v>4919</v>
      </c>
      <c r="I539" s="784" t="s">
        <v>5325</v>
      </c>
    </row>
    <row r="540" spans="1:9">
      <c r="A540" t="s">
        <v>6259</v>
      </c>
      <c r="B540">
        <f>COUNTIF($A$5:$A540,A540)</f>
        <v>1</v>
      </c>
      <c r="C540">
        <f t="shared" si="16"/>
        <v>1</v>
      </c>
      <c r="D540">
        <f t="shared" si="17"/>
        <v>1</v>
      </c>
      <c r="E540" t="e">
        <f>IF(IF($B540=1,VLOOKUP($A540,#REF!,5,FALSE),"")=0,"",IF($B540=1,VLOOKUP($A540,#REF!,5,FALSE),""))</f>
        <v>#REF!</v>
      </c>
      <c r="F540" s="782" t="s">
        <v>896</v>
      </c>
      <c r="G540" s="783" t="s">
        <v>91</v>
      </c>
      <c r="H540" s="783" t="s">
        <v>2475</v>
      </c>
      <c r="I540" s="784" t="s">
        <v>5256</v>
      </c>
    </row>
    <row r="541" spans="1:9">
      <c r="A541" t="s">
        <v>5697</v>
      </c>
      <c r="B541">
        <f>COUNTIF($A$5:$A541,A541)</f>
        <v>1</v>
      </c>
      <c r="C541">
        <f t="shared" si="16"/>
        <v>1</v>
      </c>
      <c r="D541">
        <f t="shared" si="17"/>
        <v>1</v>
      </c>
      <c r="E541" t="e">
        <f>IF(IF($B541=1,VLOOKUP($A541,#REF!,5,FALSE),"")=0,"",IF($B541=1,VLOOKUP($A541,#REF!,5,FALSE),""))</f>
        <v>#REF!</v>
      </c>
      <c r="F541" s="782" t="s">
        <v>896</v>
      </c>
      <c r="G541" s="783" t="s">
        <v>1206</v>
      </c>
      <c r="H541" s="783" t="s">
        <v>4773</v>
      </c>
      <c r="I541" s="784" t="s">
        <v>4724</v>
      </c>
    </row>
    <row r="542" spans="1:9">
      <c r="A542" t="s">
        <v>5698</v>
      </c>
      <c r="B542">
        <f>COUNTIF($A$5:$A542,A542)</f>
        <v>1</v>
      </c>
      <c r="C542">
        <f t="shared" si="16"/>
        <v>1</v>
      </c>
      <c r="D542">
        <f t="shared" si="17"/>
        <v>1</v>
      </c>
      <c r="E542" t="e">
        <f>IF(IF($B542=1,VLOOKUP($A542,#REF!,5,FALSE),"")=0,"",IF($B542=1,VLOOKUP($A542,#REF!,5,FALSE),""))</f>
        <v>#REF!</v>
      </c>
      <c r="F542" s="782" t="s">
        <v>896</v>
      </c>
      <c r="G542" s="783" t="s">
        <v>1206</v>
      </c>
      <c r="H542" s="783" t="s">
        <v>4774</v>
      </c>
      <c r="I542" s="784" t="s">
        <v>4725</v>
      </c>
    </row>
    <row r="543" spans="1:9">
      <c r="A543" t="s">
        <v>5699</v>
      </c>
      <c r="B543">
        <f>COUNTIF($A$5:$A543,A543)</f>
        <v>1</v>
      </c>
      <c r="C543">
        <f t="shared" si="16"/>
        <v>1</v>
      </c>
      <c r="D543">
        <f t="shared" si="17"/>
        <v>3</v>
      </c>
      <c r="E543" t="e">
        <f>IF(IF($B543=1,VLOOKUP($A543,#REF!,5,FALSE),"")=0,"",IF($B543=1,VLOOKUP($A543,#REF!,5,FALSE),""))</f>
        <v>#REF!</v>
      </c>
      <c r="F543" s="782" t="s">
        <v>896</v>
      </c>
      <c r="G543" s="783" t="s">
        <v>1207</v>
      </c>
      <c r="H543" s="783" t="s">
        <v>2515</v>
      </c>
      <c r="I543" s="784" t="s">
        <v>4715</v>
      </c>
    </row>
    <row r="544" spans="1:9">
      <c r="A544" t="s">
        <v>5701</v>
      </c>
      <c r="B544">
        <f>COUNTIF($A$5:$A544,A544)</f>
        <v>1</v>
      </c>
      <c r="C544">
        <f t="shared" si="16"/>
        <v>1</v>
      </c>
      <c r="D544">
        <f t="shared" si="17"/>
        <v>1</v>
      </c>
      <c r="E544" t="e">
        <f>IF(IF($B544=1,VLOOKUP($A544,#REF!,5,FALSE),"")=0,"",IF($B544=1,VLOOKUP($A544,#REF!,5,FALSE),""))</f>
        <v>#REF!</v>
      </c>
      <c r="F544" s="782" t="s">
        <v>896</v>
      </c>
      <c r="G544" s="783" t="s">
        <v>1208</v>
      </c>
      <c r="H544" s="783" t="s">
        <v>2214</v>
      </c>
      <c r="I544" s="784" t="s">
        <v>4955</v>
      </c>
    </row>
    <row r="545" spans="1:9">
      <c r="A545" t="s">
        <v>6276</v>
      </c>
      <c r="B545">
        <f>COUNTIF($A$5:$A545,A545)</f>
        <v>1</v>
      </c>
      <c r="C545">
        <f t="shared" si="16"/>
        <v>1</v>
      </c>
      <c r="D545">
        <f t="shared" si="17"/>
        <v>1</v>
      </c>
      <c r="E545" t="e">
        <f>IF(IF($B545=1,VLOOKUP($A545,#REF!,5,FALSE),"")=0,"",IF($B545=1,VLOOKUP($A545,#REF!,5,FALSE),""))</f>
        <v>#REF!</v>
      </c>
      <c r="F545" s="782" t="s">
        <v>896</v>
      </c>
      <c r="G545" s="783" t="s">
        <v>91</v>
      </c>
      <c r="H545" s="783" t="s">
        <v>6074</v>
      </c>
      <c r="I545" s="784" t="s">
        <v>4422</v>
      </c>
    </row>
    <row r="546" spans="1:9">
      <c r="A546" t="s">
        <v>6282</v>
      </c>
      <c r="B546">
        <f>COUNTIF($A$5:$A546,A546)</f>
        <v>1</v>
      </c>
      <c r="C546">
        <f t="shared" si="16"/>
        <v>1</v>
      </c>
      <c r="D546">
        <f t="shared" si="17"/>
        <v>1</v>
      </c>
      <c r="E546" t="e">
        <f>IF(IF($B546=1,VLOOKUP($A546,#REF!,5,FALSE),"")=0,"",IF($B546=1,VLOOKUP($A546,#REF!,5,FALSE),""))</f>
        <v>#REF!</v>
      </c>
      <c r="F546" s="782" t="s">
        <v>896</v>
      </c>
      <c r="G546" s="783" t="s">
        <v>1206</v>
      </c>
      <c r="H546" s="783" t="s">
        <v>4796</v>
      </c>
      <c r="I546" s="784" t="s">
        <v>4730</v>
      </c>
    </row>
    <row r="547" spans="1:9">
      <c r="A547" t="s">
        <v>5702</v>
      </c>
      <c r="B547">
        <f>COUNTIF($A$5:$A547,A547)</f>
        <v>1</v>
      </c>
      <c r="C547">
        <f t="shared" si="16"/>
        <v>1</v>
      </c>
      <c r="D547">
        <f t="shared" si="17"/>
        <v>1</v>
      </c>
      <c r="E547" t="e">
        <f>IF(IF($B547=1,VLOOKUP($A547,#REF!,5,FALSE),"")=0,"",IF($B547=1,VLOOKUP($A547,#REF!,5,FALSE),""))</f>
        <v>#REF!</v>
      </c>
      <c r="F547" s="782" t="s">
        <v>896</v>
      </c>
      <c r="G547" s="783" t="s">
        <v>1206</v>
      </c>
      <c r="H547" s="783" t="s">
        <v>4797</v>
      </c>
      <c r="I547" s="784" t="s">
        <v>4731</v>
      </c>
    </row>
    <row r="548" spans="1:9" ht="25">
      <c r="A548" t="s">
        <v>6283</v>
      </c>
      <c r="B548">
        <f>COUNTIF($A$5:$A548,A548)</f>
        <v>1</v>
      </c>
      <c r="C548">
        <f t="shared" si="16"/>
        <v>1</v>
      </c>
      <c r="D548">
        <f t="shared" si="17"/>
        <v>1</v>
      </c>
      <c r="E548" t="e">
        <f>IF(IF($B548=1,VLOOKUP($A548,#REF!,5,FALSE),"")=0,"",IF($B548=1,VLOOKUP($A548,#REF!,5,FALSE),""))</f>
        <v>#REF!</v>
      </c>
      <c r="F548" s="782" t="s">
        <v>896</v>
      </c>
      <c r="G548" s="783" t="s">
        <v>1206</v>
      </c>
      <c r="H548" s="783" t="s">
        <v>6110</v>
      </c>
      <c r="I548" s="784" t="s">
        <v>4732</v>
      </c>
    </row>
    <row r="549" spans="1:9">
      <c r="A549" t="s">
        <v>5703</v>
      </c>
      <c r="B549">
        <f>COUNTIF($A$5:$A549,A549)</f>
        <v>1</v>
      </c>
      <c r="C549">
        <f t="shared" si="16"/>
        <v>1</v>
      </c>
      <c r="D549">
        <f t="shared" si="17"/>
        <v>1</v>
      </c>
      <c r="E549" t="e">
        <f>IF(IF($B549=1,VLOOKUP($A549,#REF!,5,FALSE),"")=0,"",IF($B549=1,VLOOKUP($A549,#REF!,5,FALSE),""))</f>
        <v>#REF!</v>
      </c>
      <c r="F549" s="782" t="s">
        <v>896</v>
      </c>
      <c r="G549" s="783" t="s">
        <v>1209</v>
      </c>
      <c r="H549" s="783" t="s">
        <v>2623</v>
      </c>
      <c r="I549" s="784" t="s">
        <v>5268</v>
      </c>
    </row>
    <row r="550" spans="1:9">
      <c r="A550" t="s">
        <v>5704</v>
      </c>
      <c r="B550">
        <f>COUNTIF($A$5:$A550,A550)</f>
        <v>1</v>
      </c>
      <c r="C550">
        <f t="shared" si="16"/>
        <v>1</v>
      </c>
      <c r="D550">
        <f t="shared" si="17"/>
        <v>1</v>
      </c>
      <c r="E550" t="e">
        <f>IF(IF($B550=1,VLOOKUP($A550,#REF!,5,FALSE),"")=0,"",IF($B550=1,VLOOKUP($A550,#REF!,5,FALSE),""))</f>
        <v>#REF!</v>
      </c>
      <c r="F550" s="782" t="s">
        <v>896</v>
      </c>
      <c r="G550" s="783" t="s">
        <v>1207</v>
      </c>
      <c r="H550" s="783" t="s">
        <v>4493</v>
      </c>
      <c r="I550" s="784" t="s">
        <v>4680</v>
      </c>
    </row>
    <row r="551" spans="1:9">
      <c r="A551" t="s">
        <v>5705</v>
      </c>
      <c r="B551">
        <f>COUNTIF($A$5:$A551,A551)</f>
        <v>1</v>
      </c>
      <c r="C551">
        <f t="shared" si="16"/>
        <v>1</v>
      </c>
      <c r="D551">
        <f t="shared" si="17"/>
        <v>1</v>
      </c>
      <c r="E551" t="e">
        <f>IF(IF($B551=1,VLOOKUP($A551,#REF!,5,FALSE),"")=0,"",IF($B551=1,VLOOKUP($A551,#REF!,5,FALSE),""))</f>
        <v>#REF!</v>
      </c>
      <c r="F551" s="782" t="s">
        <v>896</v>
      </c>
      <c r="G551" s="783" t="s">
        <v>3049</v>
      </c>
      <c r="H551" s="783" t="s">
        <v>2945</v>
      </c>
      <c r="I551" s="784" t="s">
        <v>4470</v>
      </c>
    </row>
    <row r="552" spans="1:9">
      <c r="A552" t="s">
        <v>5706</v>
      </c>
      <c r="B552">
        <f>COUNTIF($A$5:$A552,A552)</f>
        <v>1</v>
      </c>
      <c r="C552">
        <f t="shared" si="16"/>
        <v>1</v>
      </c>
      <c r="D552">
        <f t="shared" si="17"/>
        <v>1</v>
      </c>
      <c r="E552" t="e">
        <f>IF(IF($B552=1,VLOOKUP($A552,#REF!,5,FALSE),"")=0,"",IF($B552=1,VLOOKUP($A552,#REF!,5,FALSE),""))</f>
        <v>#REF!</v>
      </c>
      <c r="F552" s="782" t="s">
        <v>896</v>
      </c>
      <c r="G552" s="783" t="s">
        <v>1206</v>
      </c>
      <c r="H552" s="783" t="s">
        <v>4811</v>
      </c>
      <c r="I552" s="784" t="s">
        <v>4733</v>
      </c>
    </row>
    <row r="553" spans="1:9" ht="25">
      <c r="A553" t="s">
        <v>5707</v>
      </c>
      <c r="B553">
        <f>COUNTIF($A$5:$A553,A553)</f>
        <v>1</v>
      </c>
      <c r="C553">
        <f t="shared" si="16"/>
        <v>1</v>
      </c>
      <c r="D553">
        <f t="shared" si="17"/>
        <v>1</v>
      </c>
      <c r="E553" t="e">
        <f>IF(IF($B553=1,VLOOKUP($A553,#REF!,5,FALSE),"")=0,"",IF($B553=1,VLOOKUP($A553,#REF!,5,FALSE),""))</f>
        <v>#REF!</v>
      </c>
      <c r="F553" s="782" t="s">
        <v>896</v>
      </c>
      <c r="G553" s="783" t="s">
        <v>1206</v>
      </c>
      <c r="H553" s="783" t="s">
        <v>4813</v>
      </c>
      <c r="I553" s="784" t="s">
        <v>5303</v>
      </c>
    </row>
    <row r="554" spans="1:9" ht="25">
      <c r="A554" t="s">
        <v>5708</v>
      </c>
      <c r="B554">
        <f>COUNTIF($A$5:$A554,A554)</f>
        <v>1</v>
      </c>
      <c r="C554">
        <f t="shared" si="16"/>
        <v>1</v>
      </c>
      <c r="D554">
        <f t="shared" si="17"/>
        <v>1</v>
      </c>
      <c r="E554" t="e">
        <f>IF(IF($B554=1,VLOOKUP($A554,#REF!,5,FALSE),"")=0,"",IF($B554=1,VLOOKUP($A554,#REF!,5,FALSE),""))</f>
        <v>#REF!</v>
      </c>
      <c r="F554" s="782" t="s">
        <v>896</v>
      </c>
      <c r="G554" s="783" t="s">
        <v>1206</v>
      </c>
      <c r="H554" s="783" t="s">
        <v>4814</v>
      </c>
      <c r="I554" s="784" t="s">
        <v>4734</v>
      </c>
    </row>
    <row r="555" spans="1:9">
      <c r="A555" t="s">
        <v>5709</v>
      </c>
      <c r="B555">
        <f>COUNTIF($A$5:$A555,A555)</f>
        <v>1</v>
      </c>
      <c r="C555">
        <f t="shared" si="16"/>
        <v>1</v>
      </c>
      <c r="D555">
        <f t="shared" si="17"/>
        <v>3</v>
      </c>
      <c r="E555" t="e">
        <f>IF(IF($B555=1,VLOOKUP($A555,#REF!,5,FALSE),"")=0,"",IF($B555=1,VLOOKUP($A555,#REF!,5,FALSE),""))</f>
        <v>#REF!</v>
      </c>
      <c r="F555" s="782" t="s">
        <v>896</v>
      </c>
      <c r="G555" s="783" t="s">
        <v>1207</v>
      </c>
      <c r="H555" s="783" t="s">
        <v>2516</v>
      </c>
      <c r="I555" s="784" t="s">
        <v>4715</v>
      </c>
    </row>
    <row r="556" spans="1:9">
      <c r="A556" t="s">
        <v>6292</v>
      </c>
      <c r="B556">
        <f>COUNTIF($A$5:$A556,A556)</f>
        <v>1</v>
      </c>
      <c r="C556">
        <f t="shared" si="16"/>
        <v>1</v>
      </c>
      <c r="D556">
        <f t="shared" si="17"/>
        <v>1</v>
      </c>
      <c r="E556" t="e">
        <f>IF(IF($B556=1,VLOOKUP($A556,#REF!,5,FALSE),"")=0,"",IF($B556=1,VLOOKUP($A556,#REF!,5,FALSE),""))</f>
        <v>#REF!</v>
      </c>
      <c r="F556" s="782" t="s">
        <v>896</v>
      </c>
      <c r="G556" s="783" t="s">
        <v>1206</v>
      </c>
      <c r="H556" s="783" t="s">
        <v>4816</v>
      </c>
      <c r="I556" s="784" t="s">
        <v>4736</v>
      </c>
    </row>
    <row r="557" spans="1:9">
      <c r="A557" t="s">
        <v>5710</v>
      </c>
      <c r="B557">
        <f>COUNTIF($A$5:$A557,A557)</f>
        <v>1</v>
      </c>
      <c r="C557">
        <f t="shared" si="16"/>
        <v>1</v>
      </c>
      <c r="D557">
        <f t="shared" si="17"/>
        <v>1</v>
      </c>
      <c r="E557" t="e">
        <f>IF(IF($B557=1,VLOOKUP($A557,#REF!,5,FALSE),"")=0,"",IF($B557=1,VLOOKUP($A557,#REF!,5,FALSE),""))</f>
        <v>#REF!</v>
      </c>
      <c r="F557" s="782" t="s">
        <v>896</v>
      </c>
      <c r="G557" s="783" t="s">
        <v>1206</v>
      </c>
      <c r="H557" s="783" t="s">
        <v>4819</v>
      </c>
      <c r="I557" s="784" t="s">
        <v>4737</v>
      </c>
    </row>
    <row r="558" spans="1:9">
      <c r="A558" t="s">
        <v>5711</v>
      </c>
      <c r="B558">
        <f>COUNTIF($A$5:$A558,A558)</f>
        <v>1</v>
      </c>
      <c r="C558">
        <f t="shared" si="16"/>
        <v>1</v>
      </c>
      <c r="D558">
        <f t="shared" si="17"/>
        <v>1</v>
      </c>
      <c r="E558" t="e">
        <f>IF(IF($B558=1,VLOOKUP($A558,#REF!,5,FALSE),"")=0,"",IF($B558=1,VLOOKUP($A558,#REF!,5,FALSE),""))</f>
        <v>#REF!</v>
      </c>
      <c r="F558" s="782" t="s">
        <v>896</v>
      </c>
      <c r="G558" s="783" t="s">
        <v>1206</v>
      </c>
      <c r="H558" s="783" t="s">
        <v>4921</v>
      </c>
      <c r="I558" s="784" t="s">
        <v>4683</v>
      </c>
    </row>
    <row r="559" spans="1:9">
      <c r="A559" t="s">
        <v>5712</v>
      </c>
      <c r="B559">
        <f>COUNTIF($A$5:$A559,A559)</f>
        <v>1</v>
      </c>
      <c r="C559">
        <f t="shared" si="16"/>
        <v>1</v>
      </c>
      <c r="D559">
        <f t="shared" si="17"/>
        <v>1</v>
      </c>
      <c r="E559" t="e">
        <f>IF(IF($B559=1,VLOOKUP($A559,#REF!,5,FALSE),"")=0,"",IF($B559=1,VLOOKUP($A559,#REF!,5,FALSE),""))</f>
        <v>#REF!</v>
      </c>
      <c r="F559" s="782" t="s">
        <v>896</v>
      </c>
      <c r="G559" s="783" t="s">
        <v>1207</v>
      </c>
      <c r="H559" s="783" t="s">
        <v>2517</v>
      </c>
      <c r="I559" s="784" t="s">
        <v>5340</v>
      </c>
    </row>
    <row r="560" spans="1:9">
      <c r="A560" t="s">
        <v>5713</v>
      </c>
      <c r="B560">
        <f>COUNTIF($A$5:$A560,A560)</f>
        <v>1</v>
      </c>
      <c r="C560">
        <f t="shared" si="16"/>
        <v>1</v>
      </c>
      <c r="D560">
        <f t="shared" si="17"/>
        <v>3</v>
      </c>
      <c r="E560" t="e">
        <f>IF(IF($B560=1,VLOOKUP($A560,#REF!,5,FALSE),"")=0,"",IF($B560=1,VLOOKUP($A560,#REF!,5,FALSE),""))</f>
        <v>#REF!</v>
      </c>
      <c r="F560" s="782" t="s">
        <v>896</v>
      </c>
      <c r="G560" s="783" t="s">
        <v>1209</v>
      </c>
      <c r="H560" s="783" t="s">
        <v>4325</v>
      </c>
      <c r="I560" s="784" t="s">
        <v>5271</v>
      </c>
    </row>
    <row r="561" spans="1:9">
      <c r="A561" t="s">
        <v>5714</v>
      </c>
      <c r="B561">
        <f>COUNTIF($A$5:$A561,A561)</f>
        <v>1</v>
      </c>
      <c r="C561">
        <f t="shared" si="16"/>
        <v>1</v>
      </c>
      <c r="D561">
        <f t="shared" si="17"/>
        <v>3</v>
      </c>
      <c r="E561" t="e">
        <f>IF(IF($B561=1,VLOOKUP($A561,#REF!,5,FALSE),"")=0,"",IF($B561=1,VLOOKUP($A561,#REF!,5,FALSE),""))</f>
        <v>#REF!</v>
      </c>
      <c r="F561" s="782" t="s">
        <v>896</v>
      </c>
      <c r="G561" s="783" t="s">
        <v>1209</v>
      </c>
      <c r="H561" s="783" t="s">
        <v>2946</v>
      </c>
      <c r="I561" s="784" t="s">
        <v>5271</v>
      </c>
    </row>
    <row r="562" spans="1:9">
      <c r="A562" t="s">
        <v>5715</v>
      </c>
      <c r="B562">
        <f>COUNTIF($A$5:$A562,A562)</f>
        <v>1</v>
      </c>
      <c r="C562">
        <f t="shared" si="16"/>
        <v>1</v>
      </c>
      <c r="D562">
        <f t="shared" si="17"/>
        <v>3</v>
      </c>
      <c r="E562" t="e">
        <f>IF(IF($B562=1,VLOOKUP($A562,#REF!,5,FALSE),"")=0,"",IF($B562=1,VLOOKUP($A562,#REF!,5,FALSE),""))</f>
        <v>#REF!</v>
      </c>
      <c r="F562" s="782" t="s">
        <v>896</v>
      </c>
      <c r="G562" s="783" t="s">
        <v>1209</v>
      </c>
      <c r="H562" s="783" t="s">
        <v>2949</v>
      </c>
      <c r="I562" s="784" t="s">
        <v>5271</v>
      </c>
    </row>
    <row r="563" spans="1:9">
      <c r="A563" t="s">
        <v>5716</v>
      </c>
      <c r="B563">
        <f>COUNTIF($A$5:$A563,A563)</f>
        <v>1</v>
      </c>
      <c r="C563">
        <f t="shared" si="16"/>
        <v>1</v>
      </c>
      <c r="D563">
        <f t="shared" si="17"/>
        <v>1</v>
      </c>
      <c r="E563" t="e">
        <f>IF(IF($B563=1,VLOOKUP($A563,#REF!,5,FALSE),"")=0,"",IF($B563=1,VLOOKUP($A563,#REF!,5,FALSE),""))</f>
        <v>#REF!</v>
      </c>
      <c r="F563" s="782" t="s">
        <v>896</v>
      </c>
      <c r="G563" s="783" t="s">
        <v>1207</v>
      </c>
      <c r="H563" s="783" t="s">
        <v>2518</v>
      </c>
      <c r="I563" s="784" t="s">
        <v>4684</v>
      </c>
    </row>
    <row r="564" spans="1:9">
      <c r="A564" t="s">
        <v>5717</v>
      </c>
      <c r="B564">
        <f>COUNTIF($A$5:$A564,A564)</f>
        <v>1</v>
      </c>
      <c r="C564">
        <f t="shared" si="16"/>
        <v>1</v>
      </c>
      <c r="D564">
        <f t="shared" si="17"/>
        <v>1</v>
      </c>
      <c r="E564" t="e">
        <f>IF(IF($B564=1,VLOOKUP($A564,#REF!,5,FALSE),"")=0,"",IF($B564=1,VLOOKUP($A564,#REF!,5,FALSE),""))</f>
        <v>#REF!</v>
      </c>
      <c r="F564" s="782" t="s">
        <v>896</v>
      </c>
      <c r="G564" s="783" t="s">
        <v>1207</v>
      </c>
      <c r="H564" s="783" t="s">
        <v>2519</v>
      </c>
      <c r="I564" s="784" t="s">
        <v>4685</v>
      </c>
    </row>
    <row r="565" spans="1:9" ht="37.5">
      <c r="A565" t="s">
        <v>5718</v>
      </c>
      <c r="B565">
        <f>COUNTIF($A$5:$A565,A565)</f>
        <v>1</v>
      </c>
      <c r="C565">
        <f t="shared" si="16"/>
        <v>1</v>
      </c>
      <c r="D565" t="e">
        <f t="shared" si="17"/>
        <v>#VALUE!</v>
      </c>
      <c r="E565" t="e">
        <f>IF(IF($B565=1,VLOOKUP($A565,#REF!,5,FALSE),"")=0,"",IF($B565=1,VLOOKUP($A565,#REF!,5,FALSE),""))</f>
        <v>#REF!</v>
      </c>
      <c r="F565" s="782" t="s">
        <v>896</v>
      </c>
      <c r="G565" s="783" t="s">
        <v>1206</v>
      </c>
      <c r="H565" s="783" t="s">
        <v>4827</v>
      </c>
      <c r="I565" s="784" t="s">
        <v>4739</v>
      </c>
    </row>
    <row r="566" spans="1:9" ht="25">
      <c r="A566" t="s">
        <v>6295</v>
      </c>
      <c r="B566">
        <f>COUNTIF($A$5:$A566,A566)</f>
        <v>1</v>
      </c>
      <c r="C566">
        <f t="shared" si="16"/>
        <v>1</v>
      </c>
      <c r="D566">
        <f t="shared" si="17"/>
        <v>1</v>
      </c>
      <c r="E566" t="e">
        <f>IF(IF($B566=1,VLOOKUP($A566,#REF!,5,FALSE),"")=0,"",IF($B566=1,VLOOKUP($A566,#REF!,5,FALSE),""))</f>
        <v>#REF!</v>
      </c>
      <c r="F566" s="782" t="s">
        <v>896</v>
      </c>
      <c r="G566" s="783" t="s">
        <v>1206</v>
      </c>
      <c r="H566" s="783" t="s">
        <v>6119</v>
      </c>
      <c r="I566" s="784" t="s">
        <v>4722</v>
      </c>
    </row>
    <row r="567" spans="1:9">
      <c r="A567" t="s">
        <v>5719</v>
      </c>
      <c r="B567">
        <f>COUNTIF($A$5:$A567,A567)</f>
        <v>1</v>
      </c>
      <c r="C567">
        <f t="shared" si="16"/>
        <v>1</v>
      </c>
      <c r="D567">
        <f t="shared" si="17"/>
        <v>1</v>
      </c>
      <c r="E567" t="e">
        <f>IF(IF($B567=1,VLOOKUP($A567,#REF!,5,FALSE),"")=0,"",IF($B567=1,VLOOKUP($A567,#REF!,5,FALSE),""))</f>
        <v>#REF!</v>
      </c>
      <c r="F567" s="782" t="s">
        <v>896</v>
      </c>
      <c r="G567" s="783" t="s">
        <v>1206</v>
      </c>
      <c r="H567" s="783" t="s">
        <v>4830</v>
      </c>
      <c r="I567" s="784" t="s">
        <v>4738</v>
      </c>
    </row>
    <row r="568" spans="1:9">
      <c r="A568" t="s">
        <v>5720</v>
      </c>
      <c r="B568">
        <f>COUNTIF($A$5:$A568,A568)</f>
        <v>1</v>
      </c>
      <c r="C568">
        <f t="shared" si="16"/>
        <v>1</v>
      </c>
      <c r="D568">
        <f t="shared" si="17"/>
        <v>1</v>
      </c>
      <c r="E568" t="e">
        <f>IF(IF($B568=1,VLOOKUP($A568,#REF!,5,FALSE),"")=0,"",IF($B568=1,VLOOKUP($A568,#REF!,5,FALSE),""))</f>
        <v>#REF!</v>
      </c>
      <c r="F568" s="782" t="s">
        <v>896</v>
      </c>
      <c r="G568" s="783" t="s">
        <v>1207</v>
      </c>
      <c r="H568" s="783" t="s">
        <v>3611</v>
      </c>
      <c r="I568" s="784" t="s">
        <v>4469</v>
      </c>
    </row>
    <row r="569" spans="1:9">
      <c r="A569" t="s">
        <v>5721</v>
      </c>
      <c r="B569">
        <f>COUNTIF($A$5:$A569,A569)</f>
        <v>1</v>
      </c>
      <c r="C569">
        <f t="shared" si="16"/>
        <v>1</v>
      </c>
      <c r="D569">
        <f t="shared" si="17"/>
        <v>1</v>
      </c>
      <c r="E569" t="e">
        <f>IF(IF($B569=1,VLOOKUP($A569,#REF!,5,FALSE),"")=0,"",IF($B569=1,VLOOKUP($A569,#REF!,5,FALSE),""))</f>
        <v>#REF!</v>
      </c>
      <c r="F569" s="782" t="s">
        <v>896</v>
      </c>
      <c r="G569" s="783" t="s">
        <v>1206</v>
      </c>
      <c r="H569" s="783" t="s">
        <v>4835</v>
      </c>
      <c r="I569" s="784" t="s">
        <v>4740</v>
      </c>
    </row>
    <row r="570" spans="1:9">
      <c r="A570" t="s">
        <v>5722</v>
      </c>
      <c r="B570">
        <f>COUNTIF($A$5:$A570,A570)</f>
        <v>1</v>
      </c>
      <c r="C570">
        <f t="shared" si="16"/>
        <v>1</v>
      </c>
      <c r="D570">
        <f t="shared" si="17"/>
        <v>2</v>
      </c>
      <c r="E570" t="e">
        <f>IF(IF($B570=1,VLOOKUP($A570,#REF!,5,FALSE),"")=0,"",IF($B570=1,VLOOKUP($A570,#REF!,5,FALSE),""))</f>
        <v>#REF!</v>
      </c>
      <c r="F570" s="782" t="s">
        <v>896</v>
      </c>
      <c r="G570" s="783" t="s">
        <v>1206</v>
      </c>
      <c r="H570" s="783" t="s">
        <v>4923</v>
      </c>
      <c r="I570" s="784" t="s">
        <v>5304</v>
      </c>
    </row>
    <row r="571" spans="1:9">
      <c r="A571" t="s">
        <v>5723</v>
      </c>
      <c r="B571">
        <f>COUNTIF($A$5:$A571,A571)</f>
        <v>1</v>
      </c>
      <c r="C571">
        <f t="shared" si="16"/>
        <v>1</v>
      </c>
      <c r="D571">
        <f t="shared" si="17"/>
        <v>1</v>
      </c>
      <c r="E571" t="e">
        <f>IF(IF($B571=1,VLOOKUP($A571,#REF!,5,FALSE),"")=0,"",IF($B571=1,VLOOKUP($A571,#REF!,5,FALSE),""))</f>
        <v>#REF!</v>
      </c>
      <c r="F571" s="782" t="s">
        <v>896</v>
      </c>
      <c r="G571" s="783" t="s">
        <v>1207</v>
      </c>
      <c r="H571" s="783" t="s">
        <v>5261</v>
      </c>
      <c r="I571" s="784" t="s">
        <v>5262</v>
      </c>
    </row>
    <row r="572" spans="1:9">
      <c r="A572" t="s">
        <v>5724</v>
      </c>
      <c r="B572">
        <f>COUNTIF($A$5:$A572,A572)</f>
        <v>1</v>
      </c>
      <c r="C572">
        <f t="shared" si="16"/>
        <v>1</v>
      </c>
      <c r="D572">
        <f t="shared" si="17"/>
        <v>1</v>
      </c>
      <c r="E572" t="e">
        <f>IF(IF($B572=1,VLOOKUP($A572,#REF!,5,FALSE),"")=0,"",IF($B572=1,VLOOKUP($A572,#REF!,5,FALSE),""))</f>
        <v>#REF!</v>
      </c>
      <c r="F572" s="782" t="s">
        <v>896</v>
      </c>
      <c r="G572" s="783" t="s">
        <v>3049</v>
      </c>
      <c r="H572" s="783" t="s">
        <v>4755</v>
      </c>
      <c r="I572" s="784" t="s">
        <v>4741</v>
      </c>
    </row>
    <row r="573" spans="1:9">
      <c r="A573" t="s">
        <v>5725</v>
      </c>
      <c r="B573">
        <f>COUNTIF($A$5:$A573,A573)</f>
        <v>1</v>
      </c>
      <c r="C573">
        <f t="shared" si="16"/>
        <v>1</v>
      </c>
      <c r="D573">
        <f t="shared" si="17"/>
        <v>1</v>
      </c>
      <c r="E573" t="e">
        <f>IF(IF($B573=1,VLOOKUP($A573,#REF!,5,FALSE),"")=0,"",IF($B573=1,VLOOKUP($A573,#REF!,5,FALSE),""))</f>
        <v>#REF!</v>
      </c>
      <c r="F573" s="782" t="s">
        <v>896</v>
      </c>
      <c r="G573" s="783" t="s">
        <v>1206</v>
      </c>
      <c r="H573" s="783" t="s">
        <v>4842</v>
      </c>
      <c r="I573" s="784" t="s">
        <v>4742</v>
      </c>
    </row>
    <row r="574" spans="1:9" ht="25">
      <c r="A574" t="s">
        <v>5726</v>
      </c>
      <c r="B574">
        <f>COUNTIF($A$5:$A574,A574)</f>
        <v>1</v>
      </c>
      <c r="C574">
        <f t="shared" si="16"/>
        <v>1</v>
      </c>
      <c r="D574">
        <f t="shared" si="17"/>
        <v>1</v>
      </c>
      <c r="E574" t="e">
        <f>IF(IF($B574=1,VLOOKUP($A574,#REF!,5,FALSE),"")=0,"",IF($B574=1,VLOOKUP($A574,#REF!,5,FALSE),""))</f>
        <v>#REF!</v>
      </c>
      <c r="F574" s="782" t="s">
        <v>896</v>
      </c>
      <c r="G574" s="783" t="s">
        <v>1206</v>
      </c>
      <c r="H574" s="783" t="s">
        <v>4843</v>
      </c>
      <c r="I574" s="784" t="s">
        <v>4743</v>
      </c>
    </row>
    <row r="575" spans="1:9">
      <c r="A575" t="s">
        <v>5727</v>
      </c>
      <c r="B575">
        <f>COUNTIF($A$5:$A575,A575)</f>
        <v>1</v>
      </c>
      <c r="C575">
        <f t="shared" si="16"/>
        <v>1</v>
      </c>
      <c r="D575">
        <f t="shared" si="17"/>
        <v>1</v>
      </c>
      <c r="E575" t="e">
        <f>IF(IF($B575=1,VLOOKUP($A575,#REF!,5,FALSE),"")=0,"",IF($B575=1,VLOOKUP($A575,#REF!,5,FALSE),""))</f>
        <v>#REF!</v>
      </c>
      <c r="F575" s="782" t="s">
        <v>896</v>
      </c>
      <c r="G575" s="783" t="s">
        <v>1206</v>
      </c>
      <c r="H575" s="783" t="s">
        <v>4925</v>
      </c>
      <c r="I575" s="784" t="s">
        <v>5272</v>
      </c>
    </row>
    <row r="576" spans="1:9">
      <c r="A576" t="s">
        <v>5638</v>
      </c>
      <c r="B576">
        <f>COUNTIF($A$5:$A576,A576)</f>
        <v>1</v>
      </c>
      <c r="C576">
        <f t="shared" si="16"/>
        <v>1</v>
      </c>
      <c r="D576">
        <f t="shared" si="17"/>
        <v>1</v>
      </c>
      <c r="E576" t="e">
        <f>IF(IF($B576=1,VLOOKUP($A576,#REF!,5,FALSE),"")=0,"",IF($B576=1,VLOOKUP($A576,#REF!,5,FALSE),""))</f>
        <v>#REF!</v>
      </c>
      <c r="F576" s="782" t="s">
        <v>896</v>
      </c>
      <c r="G576" s="783" t="s">
        <v>91</v>
      </c>
      <c r="H576" s="783" t="s">
        <v>2250</v>
      </c>
      <c r="I576" s="784" t="s">
        <v>5260</v>
      </c>
    </row>
    <row r="577" spans="1:9">
      <c r="A577" t="s">
        <v>5728</v>
      </c>
      <c r="B577">
        <f>COUNTIF($A$5:$A577,A577)</f>
        <v>1</v>
      </c>
      <c r="C577">
        <f t="shared" si="16"/>
        <v>1</v>
      </c>
      <c r="D577">
        <f t="shared" si="17"/>
        <v>1</v>
      </c>
      <c r="E577" t="e">
        <f>IF(IF($B577=1,VLOOKUP($A577,#REF!,5,FALSE),"")=0,"",IF($B577=1,VLOOKUP($A577,#REF!,5,FALSE),""))</f>
        <v>#REF!</v>
      </c>
      <c r="F577" s="782" t="s">
        <v>896</v>
      </c>
      <c r="G577" s="783" t="s">
        <v>3049</v>
      </c>
      <c r="H577" s="783" t="s">
        <v>2950</v>
      </c>
      <c r="I577" s="784" t="s">
        <v>4471</v>
      </c>
    </row>
    <row r="578" spans="1:9">
      <c r="A578" t="s">
        <v>5729</v>
      </c>
      <c r="B578">
        <f>COUNTIF($A$5:$A578,A578)</f>
        <v>1</v>
      </c>
      <c r="C578">
        <f t="shared" si="16"/>
        <v>1</v>
      </c>
      <c r="D578">
        <f t="shared" si="17"/>
        <v>1</v>
      </c>
      <c r="E578" t="e">
        <f>IF(IF($B578=1,VLOOKUP($A578,#REF!,5,FALSE),"")=0,"",IF($B578=1,VLOOKUP($A578,#REF!,5,FALSE),""))</f>
        <v>#REF!</v>
      </c>
      <c r="F578" s="782" t="s">
        <v>896</v>
      </c>
      <c r="G578" s="783" t="s">
        <v>1207</v>
      </c>
      <c r="H578" s="783" t="s">
        <v>2520</v>
      </c>
      <c r="I578" s="784" t="s">
        <v>4690</v>
      </c>
    </row>
    <row r="579" spans="1:9">
      <c r="A579" t="s">
        <v>5730</v>
      </c>
      <c r="B579">
        <f>COUNTIF($A$5:$A579,A579)</f>
        <v>1</v>
      </c>
      <c r="C579">
        <f t="shared" si="16"/>
        <v>1</v>
      </c>
      <c r="D579">
        <f t="shared" si="17"/>
        <v>2</v>
      </c>
      <c r="E579" t="e">
        <f>IF(IF($B579=1,VLOOKUP($A579,#REF!,5,FALSE),"")=0,"",IF($B579=1,VLOOKUP($A579,#REF!,5,FALSE),""))</f>
        <v>#REF!</v>
      </c>
      <c r="F579" s="782" t="s">
        <v>896</v>
      </c>
      <c r="G579" s="783" t="s">
        <v>1207</v>
      </c>
      <c r="H579" s="783" t="s">
        <v>2521</v>
      </c>
      <c r="I579" s="784" t="s">
        <v>5341</v>
      </c>
    </row>
    <row r="580" spans="1:9">
      <c r="A580" t="s">
        <v>5731</v>
      </c>
      <c r="B580">
        <f>COUNTIF($A$5:$A580,A580)</f>
        <v>1</v>
      </c>
      <c r="C580">
        <f t="shared" si="16"/>
        <v>1</v>
      </c>
      <c r="D580">
        <f t="shared" si="17"/>
        <v>2</v>
      </c>
      <c r="E580" t="e">
        <f>IF(IF($B580=1,VLOOKUP($A580,#REF!,5,FALSE),"")=0,"",IF($B580=1,VLOOKUP($A580,#REF!,5,FALSE),""))</f>
        <v>#REF!</v>
      </c>
      <c r="F580" s="782" t="s">
        <v>896</v>
      </c>
      <c r="G580" s="783" t="s">
        <v>1207</v>
      </c>
      <c r="H580" s="783" t="s">
        <v>2522</v>
      </c>
      <c r="I580" s="784" t="s">
        <v>5341</v>
      </c>
    </row>
    <row r="581" spans="1:9">
      <c r="A581" t="s">
        <v>5732</v>
      </c>
      <c r="B581">
        <f>COUNTIF($A$5:$A581,A581)</f>
        <v>1</v>
      </c>
      <c r="C581">
        <f t="shared" ref="C581:C622" si="18">COUNTIF($H$5:$H$622,H581)</f>
        <v>1</v>
      </c>
      <c r="D581">
        <f t="shared" ref="D581:D622" si="19">COUNTIF($I$5:$I$622,I581)</f>
        <v>1</v>
      </c>
      <c r="E581" t="e">
        <f>IF(IF($B581=1,VLOOKUP($A581,#REF!,5,FALSE),"")=0,"",IF($B581=1,VLOOKUP($A581,#REF!,5,FALSE),""))</f>
        <v>#REF!</v>
      </c>
      <c r="F581" s="782" t="s">
        <v>896</v>
      </c>
      <c r="G581" s="783" t="s">
        <v>1207</v>
      </c>
      <c r="H581" s="783" t="s">
        <v>2894</v>
      </c>
      <c r="I581" s="784" t="s">
        <v>5305</v>
      </c>
    </row>
    <row r="582" spans="1:9">
      <c r="A582" t="s">
        <v>5639</v>
      </c>
      <c r="B582">
        <f>COUNTIF($A$5:$A582,A582)</f>
        <v>1</v>
      </c>
      <c r="C582">
        <f t="shared" si="18"/>
        <v>1</v>
      </c>
      <c r="D582">
        <f t="shared" si="19"/>
        <v>5</v>
      </c>
      <c r="E582" t="e">
        <f>IF(IF($B582=1,VLOOKUP($A582,#REF!,5,FALSE),"")=0,"",IF($B582=1,VLOOKUP($A582,#REF!,5,FALSE),""))</f>
        <v>#REF!</v>
      </c>
      <c r="F582" s="782" t="s">
        <v>896</v>
      </c>
      <c r="G582" s="783" t="s">
        <v>91</v>
      </c>
      <c r="H582" s="783" t="s">
        <v>4751</v>
      </c>
      <c r="I582" s="784" t="s">
        <v>4745</v>
      </c>
    </row>
    <row r="583" spans="1:9">
      <c r="A583" t="s">
        <v>5640</v>
      </c>
      <c r="B583">
        <f>COUNTIF($A$5:$A583,A583)</f>
        <v>1</v>
      </c>
      <c r="C583">
        <f t="shared" si="18"/>
        <v>1</v>
      </c>
      <c r="D583">
        <f t="shared" si="19"/>
        <v>5</v>
      </c>
      <c r="E583" t="e">
        <f>IF(IF($B583=1,VLOOKUP($A583,#REF!,5,FALSE),"")=0,"",IF($B583=1,VLOOKUP($A583,#REF!,5,FALSE),""))</f>
        <v>#REF!</v>
      </c>
      <c r="F583" s="782" t="s">
        <v>896</v>
      </c>
      <c r="G583" s="783" t="s">
        <v>91</v>
      </c>
      <c r="H583" s="783" t="s">
        <v>4752</v>
      </c>
      <c r="I583" s="784" t="s">
        <v>4745</v>
      </c>
    </row>
    <row r="584" spans="1:9">
      <c r="A584" t="s">
        <v>5641</v>
      </c>
      <c r="B584">
        <f>COUNTIF($A$5:$A584,A584)</f>
        <v>1</v>
      </c>
      <c r="C584">
        <f t="shared" si="18"/>
        <v>1</v>
      </c>
      <c r="D584">
        <f t="shared" si="19"/>
        <v>5</v>
      </c>
      <c r="E584" t="e">
        <f>IF(IF($B584=1,VLOOKUP($A584,#REF!,5,FALSE),"")=0,"",IF($B584=1,VLOOKUP($A584,#REF!,5,FALSE),""))</f>
        <v>#REF!</v>
      </c>
      <c r="F584" s="782" t="s">
        <v>896</v>
      </c>
      <c r="G584" s="783" t="s">
        <v>91</v>
      </c>
      <c r="H584" s="783" t="s">
        <v>4753</v>
      </c>
      <c r="I584" s="784" t="s">
        <v>4745</v>
      </c>
    </row>
    <row r="585" spans="1:9">
      <c r="A585" t="s">
        <v>5642</v>
      </c>
      <c r="B585">
        <f>COUNTIF($A$5:$A585,A585)</f>
        <v>1</v>
      </c>
      <c r="C585">
        <f t="shared" si="18"/>
        <v>1</v>
      </c>
      <c r="D585">
        <f t="shared" si="19"/>
        <v>5</v>
      </c>
      <c r="E585" t="e">
        <f>IF(IF($B585=1,VLOOKUP($A585,#REF!,5,FALSE),"")=0,"",IF($B585=1,VLOOKUP($A585,#REF!,5,FALSE),""))</f>
        <v>#REF!</v>
      </c>
      <c r="F585" s="782" t="s">
        <v>896</v>
      </c>
      <c r="G585" s="783" t="s">
        <v>91</v>
      </c>
      <c r="H585" s="783" t="s">
        <v>4754</v>
      </c>
      <c r="I585" s="784" t="s">
        <v>4745</v>
      </c>
    </row>
    <row r="586" spans="1:9">
      <c r="A586" t="s">
        <v>5643</v>
      </c>
      <c r="B586">
        <f>COUNTIF($A$5:$A586,A586)</f>
        <v>1</v>
      </c>
      <c r="C586">
        <f t="shared" si="18"/>
        <v>1</v>
      </c>
      <c r="D586">
        <f t="shared" si="19"/>
        <v>5</v>
      </c>
      <c r="E586" t="e">
        <f>IF(IF($B586=1,VLOOKUP($A586,#REF!,5,FALSE),"")=0,"",IF($B586=1,VLOOKUP($A586,#REF!,5,FALSE),""))</f>
        <v>#REF!</v>
      </c>
      <c r="F586" s="782" t="s">
        <v>896</v>
      </c>
      <c r="G586" s="783" t="s">
        <v>91</v>
      </c>
      <c r="H586" s="783" t="s">
        <v>4852</v>
      </c>
      <c r="I586" s="784" t="s">
        <v>4745</v>
      </c>
    </row>
    <row r="587" spans="1:9">
      <c r="A587" t="s">
        <v>5733</v>
      </c>
      <c r="B587">
        <f>COUNTIF($A$5:$A587,A587)</f>
        <v>1</v>
      </c>
      <c r="C587">
        <f t="shared" si="18"/>
        <v>1</v>
      </c>
      <c r="D587">
        <f t="shared" si="19"/>
        <v>1</v>
      </c>
      <c r="E587" t="e">
        <f>IF(IF($B587=1,VLOOKUP($A587,#REF!,5,FALSE),"")=0,"",IF($B587=1,VLOOKUP($A587,#REF!,5,FALSE),""))</f>
        <v>#REF!</v>
      </c>
      <c r="F587" s="782" t="s">
        <v>896</v>
      </c>
      <c r="G587" s="783" t="s">
        <v>1206</v>
      </c>
      <c r="H587" s="783" t="s">
        <v>4927</v>
      </c>
      <c r="I587" s="784" t="s">
        <v>5306</v>
      </c>
    </row>
    <row r="588" spans="1:9">
      <c r="A588" t="s">
        <v>5734</v>
      </c>
      <c r="B588">
        <f>COUNTIF($A$5:$A588,A588)</f>
        <v>1</v>
      </c>
      <c r="C588">
        <f t="shared" si="18"/>
        <v>1</v>
      </c>
      <c r="D588">
        <f t="shared" si="19"/>
        <v>2</v>
      </c>
      <c r="E588" t="e">
        <f>IF(IF($B588=1,VLOOKUP($A588,#REF!,5,FALSE),"")=0,"",IF($B588=1,VLOOKUP($A588,#REF!,5,FALSE),""))</f>
        <v>#REF!</v>
      </c>
      <c r="F588" s="782" t="s">
        <v>896</v>
      </c>
      <c r="G588" s="783" t="s">
        <v>1206</v>
      </c>
      <c r="H588" s="783" t="s">
        <v>4928</v>
      </c>
      <c r="I588" s="784" t="s">
        <v>5304</v>
      </c>
    </row>
    <row r="589" spans="1:9">
      <c r="A589" t="s">
        <v>5735</v>
      </c>
      <c r="B589">
        <f>COUNTIF($A$5:$A589,A589)</f>
        <v>1</v>
      </c>
      <c r="C589">
        <f t="shared" si="18"/>
        <v>1</v>
      </c>
      <c r="D589">
        <f t="shared" si="19"/>
        <v>4</v>
      </c>
      <c r="E589" t="e">
        <f>IF(IF($B589=1,VLOOKUP($A589,#REF!,5,FALSE),"")=0,"",IF($B589=1,VLOOKUP($A589,#REF!,5,FALSE),""))</f>
        <v>#REF!</v>
      </c>
      <c r="F589" s="782" t="s">
        <v>896</v>
      </c>
      <c r="G589" s="783" t="s">
        <v>1206</v>
      </c>
      <c r="H589" s="783" t="s">
        <v>4862</v>
      </c>
      <c r="I589" s="784" t="s">
        <v>4746</v>
      </c>
    </row>
    <row r="590" spans="1:9">
      <c r="A590" t="s">
        <v>5736</v>
      </c>
      <c r="B590">
        <f>COUNTIF($A$5:$A590,A590)</f>
        <v>1</v>
      </c>
      <c r="C590">
        <f t="shared" si="18"/>
        <v>1</v>
      </c>
      <c r="D590">
        <f t="shared" si="19"/>
        <v>4</v>
      </c>
      <c r="E590" t="e">
        <f>IF(IF($B590=1,VLOOKUP($A590,#REF!,5,FALSE),"")=0,"",IF($B590=1,VLOOKUP($A590,#REF!,5,FALSE),""))</f>
        <v>#REF!</v>
      </c>
      <c r="F590" s="782" t="s">
        <v>896</v>
      </c>
      <c r="G590" s="783" t="s">
        <v>1206</v>
      </c>
      <c r="H590" s="783" t="s">
        <v>4863</v>
      </c>
      <c r="I590" s="784" t="s">
        <v>4746</v>
      </c>
    </row>
    <row r="591" spans="1:9">
      <c r="A591" t="s">
        <v>5737</v>
      </c>
      <c r="B591">
        <f>COUNTIF($A$5:$A591,A591)</f>
        <v>1</v>
      </c>
      <c r="C591">
        <f t="shared" si="18"/>
        <v>1</v>
      </c>
      <c r="D591">
        <f t="shared" si="19"/>
        <v>4</v>
      </c>
      <c r="E591" t="e">
        <f>IF(IF($B591=1,VLOOKUP($A591,#REF!,5,FALSE),"")=0,"",IF($B591=1,VLOOKUP($A591,#REF!,5,FALSE),""))</f>
        <v>#REF!</v>
      </c>
      <c r="F591" s="782" t="s">
        <v>896</v>
      </c>
      <c r="G591" s="783" t="s">
        <v>1206</v>
      </c>
      <c r="H591" s="783" t="s">
        <v>4864</v>
      </c>
      <c r="I591" s="784" t="s">
        <v>4746</v>
      </c>
    </row>
    <row r="592" spans="1:9">
      <c r="A592" t="s">
        <v>5738</v>
      </c>
      <c r="B592">
        <f>COUNTIF($A$5:$A592,A592)</f>
        <v>1</v>
      </c>
      <c r="C592">
        <f t="shared" si="18"/>
        <v>1</v>
      </c>
      <c r="D592">
        <f t="shared" si="19"/>
        <v>4</v>
      </c>
      <c r="E592" t="e">
        <f>IF(IF($B592=1,VLOOKUP($A592,#REF!,5,FALSE),"")=0,"",IF($B592=1,VLOOKUP($A592,#REF!,5,FALSE),""))</f>
        <v>#REF!</v>
      </c>
      <c r="F592" s="782" t="s">
        <v>896</v>
      </c>
      <c r="G592" s="783" t="s">
        <v>1206</v>
      </c>
      <c r="H592" s="783" t="s">
        <v>4865</v>
      </c>
      <c r="I592" s="784" t="s">
        <v>4746</v>
      </c>
    </row>
    <row r="593" spans="1:9">
      <c r="A593" t="s">
        <v>5739</v>
      </c>
      <c r="B593">
        <f>COUNTIF($A$5:$A593,A593)</f>
        <v>1</v>
      </c>
      <c r="C593">
        <f t="shared" si="18"/>
        <v>1</v>
      </c>
      <c r="D593">
        <f t="shared" si="19"/>
        <v>1</v>
      </c>
      <c r="E593" t="e">
        <f>IF(IF($B593=1,VLOOKUP($A593,#REF!,5,FALSE),"")=0,"",IF($B593=1,VLOOKUP($A593,#REF!,5,FALSE),""))</f>
        <v>#REF!</v>
      </c>
      <c r="F593" s="782" t="s">
        <v>896</v>
      </c>
      <c r="G593" s="783" t="s">
        <v>1207</v>
      </c>
      <c r="H593" s="783" t="s">
        <v>2523</v>
      </c>
      <c r="I593" s="784" t="s">
        <v>5342</v>
      </c>
    </row>
    <row r="594" spans="1:9">
      <c r="A594" t="s">
        <v>5740</v>
      </c>
      <c r="B594">
        <f>COUNTIF($A$5:$A594,A594)</f>
        <v>1</v>
      </c>
      <c r="C594">
        <f t="shared" si="18"/>
        <v>1</v>
      </c>
      <c r="D594">
        <f t="shared" si="19"/>
        <v>1</v>
      </c>
      <c r="E594" t="e">
        <f>IF(IF($B594=1,VLOOKUP($A594,#REF!,5,FALSE),"")=0,"",IF($B594=1,VLOOKUP($A594,#REF!,5,FALSE),""))</f>
        <v>#REF!</v>
      </c>
      <c r="F594" s="782" t="s">
        <v>896</v>
      </c>
      <c r="G594" s="783" t="s">
        <v>1207</v>
      </c>
      <c r="H594" s="783" t="s">
        <v>2524</v>
      </c>
      <c r="I594" s="784" t="s">
        <v>4695</v>
      </c>
    </row>
    <row r="595" spans="1:9">
      <c r="A595" t="s">
        <v>5741</v>
      </c>
      <c r="B595">
        <f>COUNTIF($A$5:$A595,A595)</f>
        <v>1</v>
      </c>
      <c r="C595">
        <f t="shared" si="18"/>
        <v>1</v>
      </c>
      <c r="D595">
        <f t="shared" si="19"/>
        <v>1</v>
      </c>
      <c r="E595" t="e">
        <f>IF(IF($B595=1,VLOOKUP($A595,#REF!,5,FALSE),"")=0,"",IF($B595=1,VLOOKUP($A595,#REF!,5,FALSE),""))</f>
        <v>#REF!</v>
      </c>
      <c r="F595" s="782" t="s">
        <v>896</v>
      </c>
      <c r="G595" s="783" t="s">
        <v>1207</v>
      </c>
      <c r="H595" s="783" t="s">
        <v>2525</v>
      </c>
      <c r="I595" s="784" t="s">
        <v>5308</v>
      </c>
    </row>
    <row r="596" spans="1:9" ht="25">
      <c r="A596" t="s">
        <v>5644</v>
      </c>
      <c r="B596">
        <f>COUNTIF($A$5:$A596,A596)</f>
        <v>1</v>
      </c>
      <c r="C596">
        <f t="shared" si="18"/>
        <v>1</v>
      </c>
      <c r="D596">
        <f t="shared" si="19"/>
        <v>1</v>
      </c>
      <c r="E596" t="e">
        <f>IF(IF($B596=1,VLOOKUP($A596,#REF!,5,FALSE),"")=0,"",IF($B596=1,VLOOKUP($A596,#REF!,5,FALSE),""))</f>
        <v>#REF!</v>
      </c>
      <c r="F596" s="782" t="s">
        <v>896</v>
      </c>
      <c r="G596" s="783" t="s">
        <v>91</v>
      </c>
      <c r="H596" s="783" t="s">
        <v>2929</v>
      </c>
      <c r="I596" s="784" t="s">
        <v>5273</v>
      </c>
    </row>
    <row r="597" spans="1:9">
      <c r="A597" t="s">
        <v>5742</v>
      </c>
      <c r="B597">
        <f>COUNTIF($A$5:$A597,A597)</f>
        <v>1</v>
      </c>
      <c r="C597">
        <f t="shared" si="18"/>
        <v>1</v>
      </c>
      <c r="D597">
        <f t="shared" si="19"/>
        <v>1</v>
      </c>
      <c r="E597" t="e">
        <f>IF(IF($B597=1,VLOOKUP($A597,#REF!,5,FALSE),"")=0,"",IF($B597=1,VLOOKUP($A597,#REF!,5,FALSE),""))</f>
        <v>#REF!</v>
      </c>
      <c r="F597" s="782" t="s">
        <v>896</v>
      </c>
      <c r="G597" s="783" t="s">
        <v>1208</v>
      </c>
      <c r="H597" s="783" t="s">
        <v>4956</v>
      </c>
      <c r="I597" s="784" t="s">
        <v>4701</v>
      </c>
    </row>
    <row r="598" spans="1:9">
      <c r="A598" t="s">
        <v>5743</v>
      </c>
      <c r="B598">
        <f>COUNTIF($A$5:$A598,A598)</f>
        <v>1</v>
      </c>
      <c r="C598">
        <f t="shared" si="18"/>
        <v>1</v>
      </c>
      <c r="D598">
        <f t="shared" si="19"/>
        <v>1</v>
      </c>
      <c r="E598" t="e">
        <f>IF(IF($B598=1,VLOOKUP($A598,#REF!,5,FALSE),"")=0,"",IF($B598=1,VLOOKUP($A598,#REF!,5,FALSE),""))</f>
        <v>#REF!</v>
      </c>
      <c r="F598" s="782" t="s">
        <v>896</v>
      </c>
      <c r="G598" s="783" t="s">
        <v>1208</v>
      </c>
      <c r="H598" s="783" t="s">
        <v>4477</v>
      </c>
      <c r="I598" s="784" t="s">
        <v>5347</v>
      </c>
    </row>
    <row r="599" spans="1:9">
      <c r="A599" t="s">
        <v>5744</v>
      </c>
      <c r="B599">
        <f>COUNTIF($A$5:$A599,A599)</f>
        <v>1</v>
      </c>
      <c r="C599">
        <f t="shared" si="18"/>
        <v>1</v>
      </c>
      <c r="D599">
        <f t="shared" si="19"/>
        <v>1</v>
      </c>
      <c r="E599" t="e">
        <f>IF(IF($B599=1,VLOOKUP($A599,#REF!,5,FALSE),"")=0,"",IF($B599=1,VLOOKUP($A599,#REF!,5,FALSE),""))</f>
        <v>#REF!</v>
      </c>
      <c r="F599" s="782" t="s">
        <v>896</v>
      </c>
      <c r="G599" s="783" t="s">
        <v>1206</v>
      </c>
      <c r="H599" s="783" t="s">
        <v>4879</v>
      </c>
      <c r="I599" s="784" t="s">
        <v>4747</v>
      </c>
    </row>
    <row r="600" spans="1:9">
      <c r="A600" t="s">
        <v>5745</v>
      </c>
      <c r="B600">
        <f>COUNTIF($A$5:$A600,A600)</f>
        <v>1</v>
      </c>
      <c r="C600">
        <f t="shared" si="18"/>
        <v>1</v>
      </c>
      <c r="D600">
        <f t="shared" si="19"/>
        <v>1</v>
      </c>
      <c r="E600" t="e">
        <f>IF(IF($B600=1,VLOOKUP($A600,#REF!,5,FALSE),"")=0,"",IF($B600=1,VLOOKUP($A600,#REF!,5,FALSE),""))</f>
        <v>#REF!</v>
      </c>
      <c r="F600" s="782" t="s">
        <v>896</v>
      </c>
      <c r="G600" s="783" t="s">
        <v>1206</v>
      </c>
      <c r="H600" s="783" t="s">
        <v>4932</v>
      </c>
      <c r="I600" s="784" t="s">
        <v>5320</v>
      </c>
    </row>
    <row r="601" spans="1:9">
      <c r="A601" t="s">
        <v>6356</v>
      </c>
      <c r="B601">
        <f>COUNTIF($A$5:$A601,A601)</f>
        <v>1</v>
      </c>
      <c r="C601">
        <f t="shared" si="18"/>
        <v>1</v>
      </c>
      <c r="D601">
        <f t="shared" si="19"/>
        <v>1</v>
      </c>
      <c r="E601" t="e">
        <f>IF(IF($B601=1,VLOOKUP($A601,#REF!,5,FALSE),"")=0,"",IF($B601=1,VLOOKUP($A601,#REF!,5,FALSE),""))</f>
        <v>#REF!</v>
      </c>
      <c r="F601" s="782" t="s">
        <v>896</v>
      </c>
      <c r="G601" s="783" t="s">
        <v>1206</v>
      </c>
      <c r="H601" s="783" t="s">
        <v>6168</v>
      </c>
      <c r="I601" s="784" t="s">
        <v>4748</v>
      </c>
    </row>
    <row r="602" spans="1:9">
      <c r="A602" t="s">
        <v>5746</v>
      </c>
      <c r="B602">
        <f>COUNTIF($A$5:$A602,A602)</f>
        <v>1</v>
      </c>
      <c r="C602">
        <f t="shared" si="18"/>
        <v>1</v>
      </c>
      <c r="D602">
        <f t="shared" si="19"/>
        <v>4</v>
      </c>
      <c r="E602" t="e">
        <f>IF(IF($B602=1,VLOOKUP($A602,#REF!,5,FALSE),"")=0,"",IF($B602=1,VLOOKUP($A602,#REF!,5,FALSE),""))</f>
        <v>#REF!</v>
      </c>
      <c r="F602" s="782" t="s">
        <v>896</v>
      </c>
      <c r="G602" s="783" t="s">
        <v>1206</v>
      </c>
      <c r="H602" s="783" t="s">
        <v>4934</v>
      </c>
      <c r="I602" s="784" t="s">
        <v>5269</v>
      </c>
    </row>
    <row r="603" spans="1:9">
      <c r="A603" t="s">
        <v>5747</v>
      </c>
      <c r="B603">
        <f>COUNTIF($A$5:$A603,A603)</f>
        <v>1</v>
      </c>
      <c r="C603">
        <f t="shared" si="18"/>
        <v>1</v>
      </c>
      <c r="D603">
        <f t="shared" si="19"/>
        <v>4</v>
      </c>
      <c r="E603" t="e">
        <f>IF(IF($B603=1,VLOOKUP($A603,#REF!,5,FALSE),"")=0,"",IF($B603=1,VLOOKUP($A603,#REF!,5,FALSE),""))</f>
        <v>#REF!</v>
      </c>
      <c r="F603" s="782" t="s">
        <v>896</v>
      </c>
      <c r="G603" s="783" t="s">
        <v>1206</v>
      </c>
      <c r="H603" s="783" t="s">
        <v>4933</v>
      </c>
      <c r="I603" s="784" t="s">
        <v>5269</v>
      </c>
    </row>
    <row r="604" spans="1:9">
      <c r="A604" t="s">
        <v>5748</v>
      </c>
      <c r="B604">
        <f>COUNTIF($A$5:$A604,A604)</f>
        <v>1</v>
      </c>
      <c r="C604">
        <f t="shared" si="18"/>
        <v>1</v>
      </c>
      <c r="D604">
        <f t="shared" si="19"/>
        <v>4</v>
      </c>
      <c r="E604" t="e">
        <f>IF(IF($B604=1,VLOOKUP($A604,#REF!,5,FALSE),"")=0,"",IF($B604=1,VLOOKUP($A604,#REF!,5,FALSE),""))</f>
        <v>#REF!</v>
      </c>
      <c r="F604" s="782" t="s">
        <v>896</v>
      </c>
      <c r="G604" s="783" t="s">
        <v>1206</v>
      </c>
      <c r="H604" s="783" t="s">
        <v>4935</v>
      </c>
      <c r="I604" s="784" t="s">
        <v>5269</v>
      </c>
    </row>
    <row r="605" spans="1:9">
      <c r="A605" t="s">
        <v>5749</v>
      </c>
      <c r="B605">
        <f>COUNTIF($A$5:$A605,A605)</f>
        <v>1</v>
      </c>
      <c r="C605">
        <f t="shared" si="18"/>
        <v>1</v>
      </c>
      <c r="D605">
        <f t="shared" si="19"/>
        <v>4</v>
      </c>
      <c r="E605" t="e">
        <f>IF(IF($B605=1,VLOOKUP($A605,#REF!,5,FALSE),"")=0,"",IF($B605=1,VLOOKUP($A605,#REF!,5,FALSE),""))</f>
        <v>#REF!</v>
      </c>
      <c r="F605" s="782" t="s">
        <v>896</v>
      </c>
      <c r="G605" s="783" t="s">
        <v>1206</v>
      </c>
      <c r="H605" s="783" t="s">
        <v>4936</v>
      </c>
      <c r="I605" s="784" t="s">
        <v>5269</v>
      </c>
    </row>
    <row r="606" spans="1:9">
      <c r="A606" t="s">
        <v>5750</v>
      </c>
      <c r="B606">
        <f>COUNTIF($A$5:$A606,A606)</f>
        <v>1</v>
      </c>
      <c r="C606">
        <f t="shared" si="18"/>
        <v>1</v>
      </c>
      <c r="D606">
        <f t="shared" si="19"/>
        <v>1</v>
      </c>
      <c r="E606" t="e">
        <f>IF(IF($B606=1,VLOOKUP($A606,#REF!,5,FALSE),"")=0,"",IF($B606=1,VLOOKUP($A606,#REF!,5,FALSE),""))</f>
        <v>#REF!</v>
      </c>
      <c r="F606" s="782" t="s">
        <v>896</v>
      </c>
      <c r="G606" s="783" t="s">
        <v>1206</v>
      </c>
      <c r="H606" s="783" t="s">
        <v>4939</v>
      </c>
      <c r="I606" s="784" t="s">
        <v>5321</v>
      </c>
    </row>
    <row r="607" spans="1:9" ht="37.5">
      <c r="A607" t="s">
        <v>6377</v>
      </c>
      <c r="B607">
        <f>COUNTIF($A$5:$A607,A607)</f>
        <v>1</v>
      </c>
      <c r="C607">
        <f t="shared" si="18"/>
        <v>1</v>
      </c>
      <c r="D607">
        <f t="shared" si="19"/>
        <v>1</v>
      </c>
      <c r="E607" t="e">
        <f>IF(IF($B607=1,VLOOKUP($A607,#REF!,5,FALSE),"")=0,"",IF($B607=1,VLOOKUP($A607,#REF!,5,FALSE),""))</f>
        <v>#REF!</v>
      </c>
      <c r="F607" s="782" t="s">
        <v>896</v>
      </c>
      <c r="G607" s="783" t="s">
        <v>1206</v>
      </c>
      <c r="H607" s="783" t="s">
        <v>6180</v>
      </c>
      <c r="I607" s="784" t="s">
        <v>4750</v>
      </c>
    </row>
    <row r="608" spans="1:9">
      <c r="A608" t="s">
        <v>5645</v>
      </c>
      <c r="B608">
        <f>COUNTIF($A$5:$A608,A608)</f>
        <v>1</v>
      </c>
      <c r="C608">
        <f t="shared" si="18"/>
        <v>1</v>
      </c>
      <c r="D608">
        <f t="shared" si="19"/>
        <v>1</v>
      </c>
      <c r="E608" t="e">
        <f>IF(IF($B608=1,VLOOKUP($A608,#REF!,5,FALSE),"")=0,"",IF($B608=1,VLOOKUP($A608,#REF!,5,FALSE),""))</f>
        <v>#REF!</v>
      </c>
      <c r="F608" s="782" t="s">
        <v>896</v>
      </c>
      <c r="G608" s="783" t="s">
        <v>91</v>
      </c>
      <c r="H608" s="783" t="s">
        <v>2306</v>
      </c>
      <c r="I608" s="784" t="s">
        <v>5315</v>
      </c>
    </row>
    <row r="609" spans="1:9" ht="25">
      <c r="A609" t="s">
        <v>5751</v>
      </c>
      <c r="B609">
        <f>COUNTIF($A$5:$A609,A609)</f>
        <v>1</v>
      </c>
      <c r="C609">
        <f t="shared" si="18"/>
        <v>1</v>
      </c>
      <c r="D609">
        <f t="shared" si="19"/>
        <v>1</v>
      </c>
      <c r="E609" t="e">
        <f>IF(IF($B609=1,VLOOKUP($A609,#REF!,5,FALSE),"")=0,"",IF($B609=1,VLOOKUP($A609,#REF!,5,FALSE),""))</f>
        <v>#REF!</v>
      </c>
      <c r="F609" s="782" t="s">
        <v>896</v>
      </c>
      <c r="G609" s="783" t="s">
        <v>1209</v>
      </c>
      <c r="H609" s="783" t="s">
        <v>2543</v>
      </c>
      <c r="I609" s="784" t="s">
        <v>4711</v>
      </c>
    </row>
    <row r="610" spans="1:9">
      <c r="A610" t="s">
        <v>5752</v>
      </c>
      <c r="B610">
        <f>COUNTIF($A$5:$A610,A610)</f>
        <v>1</v>
      </c>
      <c r="C610">
        <f t="shared" si="18"/>
        <v>1</v>
      </c>
      <c r="D610">
        <f t="shared" si="19"/>
        <v>1</v>
      </c>
      <c r="E610" t="e">
        <f>IF(IF($B610=1,VLOOKUP($A610,#REF!,5,FALSE),"")=0,"",IF($B610=1,VLOOKUP($A610,#REF!,5,FALSE),""))</f>
        <v>#REF!</v>
      </c>
      <c r="F610" s="782" t="s">
        <v>896</v>
      </c>
      <c r="G610" s="783" t="s">
        <v>1207</v>
      </c>
      <c r="H610" s="783" t="s">
        <v>2526</v>
      </c>
      <c r="I610" s="784" t="s">
        <v>5324</v>
      </c>
    </row>
    <row r="611" spans="1:9">
      <c r="A611" t="s">
        <v>5753</v>
      </c>
      <c r="B611">
        <f>COUNTIF($A$5:$A611,A611)</f>
        <v>1</v>
      </c>
      <c r="C611">
        <f t="shared" si="18"/>
        <v>1</v>
      </c>
      <c r="D611">
        <f t="shared" si="19"/>
        <v>1</v>
      </c>
      <c r="E611" t="e">
        <f>IF(IF($B611=1,VLOOKUP($A611,#REF!,5,FALSE),"")=0,"",IF($B611=1,VLOOKUP($A611,#REF!,5,FALSE),""))</f>
        <v>#REF!</v>
      </c>
      <c r="F611" s="782" t="s">
        <v>896</v>
      </c>
      <c r="G611" s="783" t="s">
        <v>1206</v>
      </c>
      <c r="H611" s="783" t="s">
        <v>4944</v>
      </c>
      <c r="I611" s="784" t="s">
        <v>5319</v>
      </c>
    </row>
    <row r="612" spans="1:9">
      <c r="A612" t="s">
        <v>5754</v>
      </c>
      <c r="B612">
        <f>COUNTIF($A$5:$A612,A612)</f>
        <v>1</v>
      </c>
      <c r="C612">
        <f t="shared" si="18"/>
        <v>1</v>
      </c>
      <c r="D612">
        <f t="shared" si="19"/>
        <v>2</v>
      </c>
      <c r="E612" t="e">
        <f>IF(IF($B612=1,VLOOKUP($A612,#REF!,5,FALSE),"")=0,"",IF($B612=1,VLOOKUP($A612,#REF!,5,FALSE),""))</f>
        <v>#REF!</v>
      </c>
      <c r="F612" s="782" t="s">
        <v>896</v>
      </c>
      <c r="G612" s="783" t="s">
        <v>1206</v>
      </c>
      <c r="H612" s="783" t="s">
        <v>3617</v>
      </c>
      <c r="I612" s="784" t="s">
        <v>4449</v>
      </c>
    </row>
    <row r="613" spans="1:9">
      <c r="A613" t="s">
        <v>5755</v>
      </c>
      <c r="B613">
        <f>COUNTIF($A$5:$A613,A613)</f>
        <v>1</v>
      </c>
      <c r="C613">
        <f t="shared" si="18"/>
        <v>1</v>
      </c>
      <c r="D613">
        <f t="shared" si="19"/>
        <v>2</v>
      </c>
      <c r="E613" t="e">
        <f>IF(IF($B613=1,VLOOKUP($A613,#REF!,5,FALSE),"")=0,"",IF($B613=1,VLOOKUP($A613,#REF!,5,FALSE),""))</f>
        <v>#REF!</v>
      </c>
      <c r="F613" s="782" t="s">
        <v>896</v>
      </c>
      <c r="G613" s="783" t="s">
        <v>1206</v>
      </c>
      <c r="H613" s="783" t="s">
        <v>4947</v>
      </c>
      <c r="I613" s="784" t="s">
        <v>4714</v>
      </c>
    </row>
    <row r="614" spans="1:9">
      <c r="A614" t="s">
        <v>5756</v>
      </c>
      <c r="B614">
        <f>COUNTIF($A$5:$A614,A614)</f>
        <v>1</v>
      </c>
      <c r="C614">
        <f t="shared" si="18"/>
        <v>1</v>
      </c>
      <c r="D614">
        <f t="shared" si="19"/>
        <v>2</v>
      </c>
      <c r="E614" t="e">
        <f>IF(IF($B614=1,VLOOKUP($A614,#REF!,5,FALSE),"")=0,"",IF($B614=1,VLOOKUP($A614,#REF!,5,FALSE),""))</f>
        <v>#REF!</v>
      </c>
      <c r="F614" s="782" t="s">
        <v>896</v>
      </c>
      <c r="G614" s="783" t="s">
        <v>1206</v>
      </c>
      <c r="H614" s="783" t="s">
        <v>4948</v>
      </c>
      <c r="I614" s="784" t="s">
        <v>4714</v>
      </c>
    </row>
    <row r="615" spans="1:9">
      <c r="A615" t="s">
        <v>5646</v>
      </c>
      <c r="B615">
        <f>COUNTIF($A$5:$A615,A615)</f>
        <v>1</v>
      </c>
      <c r="C615">
        <f t="shared" si="18"/>
        <v>1</v>
      </c>
      <c r="D615">
        <f t="shared" si="19"/>
        <v>1</v>
      </c>
      <c r="E615" t="e">
        <f>IF(IF($B615=1,VLOOKUP($A615,#REF!,5,FALSE),"")=0,"",IF($B615=1,VLOOKUP($A615,#REF!,5,FALSE),""))</f>
        <v>#REF!</v>
      </c>
      <c r="F615" s="782" t="s">
        <v>896</v>
      </c>
      <c r="G615" s="783" t="s">
        <v>91</v>
      </c>
      <c r="H615" s="783" t="s">
        <v>3156</v>
      </c>
      <c r="I615" s="784" t="s">
        <v>4446</v>
      </c>
    </row>
    <row r="616" spans="1:9">
      <c r="A616" t="s">
        <v>5757</v>
      </c>
      <c r="B616">
        <f>COUNTIF($A$5:$A616,A616)</f>
        <v>1</v>
      </c>
      <c r="C616">
        <f t="shared" si="18"/>
        <v>1</v>
      </c>
      <c r="D616">
        <f t="shared" si="19"/>
        <v>3</v>
      </c>
      <c r="E616" t="e">
        <f>IF(IF($B616=1,VLOOKUP($A616,#REF!,5,FALSE),"")=0,"",IF($B616=1,VLOOKUP($A616,#REF!,5,FALSE),""))</f>
        <v>#REF!</v>
      </c>
      <c r="F616" s="782" t="s">
        <v>896</v>
      </c>
      <c r="G616" s="783" t="s">
        <v>1206</v>
      </c>
      <c r="H616" s="783" t="s">
        <v>4949</v>
      </c>
      <c r="I616" s="784" t="s">
        <v>4715</v>
      </c>
    </row>
    <row r="617" spans="1:9">
      <c r="A617" t="s">
        <v>5700</v>
      </c>
      <c r="B617">
        <f>COUNTIF($A$5:$A617,A617)</f>
        <v>1</v>
      </c>
      <c r="C617">
        <f t="shared" si="18"/>
        <v>1</v>
      </c>
      <c r="D617">
        <f t="shared" si="19"/>
        <v>1</v>
      </c>
      <c r="E617" t="e">
        <f>IF(IF($B617=1,VLOOKUP($A617,#REF!,5,FALSE),"")=0,"",IF($B617=1,VLOOKUP($A617,#REF!,5,FALSE),""))</f>
        <v>#REF!</v>
      </c>
      <c r="F617" s="782" t="s">
        <v>896</v>
      </c>
      <c r="G617" s="783" t="s">
        <v>1208</v>
      </c>
      <c r="H617" s="783" t="s">
        <v>3629</v>
      </c>
      <c r="I617" s="784" t="s">
        <v>4456</v>
      </c>
    </row>
    <row r="618" spans="1:9" ht="25">
      <c r="A618" t="s">
        <v>6506</v>
      </c>
      <c r="B618">
        <f>COUNTIF($A$5:$A618,A618)</f>
        <v>1</v>
      </c>
      <c r="C618">
        <f t="shared" si="18"/>
        <v>1</v>
      </c>
      <c r="D618">
        <f t="shared" si="19"/>
        <v>1</v>
      </c>
      <c r="E618" t="e">
        <f>IF(IF($B618=1,VLOOKUP($A618,#REF!,5,FALSE),"")=0,"",IF($B618=1,VLOOKUP($A618,#REF!,5,FALSE),""))</f>
        <v>#REF!</v>
      </c>
      <c r="F618" s="782" t="s">
        <v>896</v>
      </c>
      <c r="G618" s="783" t="s">
        <v>91</v>
      </c>
      <c r="H618" s="783" t="s">
        <v>6062</v>
      </c>
      <c r="I618" s="784" t="s">
        <v>6063</v>
      </c>
    </row>
    <row r="619" spans="1:9" ht="37.5">
      <c r="A619" t="s">
        <v>6507</v>
      </c>
      <c r="B619">
        <f>COUNTIF($A$5:$A619,A619)</f>
        <v>1</v>
      </c>
      <c r="C619">
        <f t="shared" si="18"/>
        <v>1</v>
      </c>
      <c r="D619">
        <f t="shared" si="19"/>
        <v>1</v>
      </c>
      <c r="E619" t="e">
        <f>IF(IF($B619=1,VLOOKUP($A619,#REF!,5,FALSE),"")=0,"",IF($B619=1,VLOOKUP($A619,#REF!,5,FALSE),""))</f>
        <v>#REF!</v>
      </c>
      <c r="F619" s="782" t="s">
        <v>896</v>
      </c>
      <c r="G619" s="783" t="s">
        <v>91</v>
      </c>
      <c r="H619" s="783" t="s">
        <v>6064</v>
      </c>
      <c r="I619" s="784" t="s">
        <v>6065</v>
      </c>
    </row>
    <row r="620" spans="1:9">
      <c r="A620" t="s">
        <v>6508</v>
      </c>
      <c r="B620">
        <f>COUNTIF($A$5:$A620,A620)</f>
        <v>1</v>
      </c>
      <c r="C620">
        <f t="shared" si="18"/>
        <v>2</v>
      </c>
      <c r="D620">
        <f t="shared" si="19"/>
        <v>1</v>
      </c>
      <c r="E620" t="e">
        <f>IF(IF($B620=1,VLOOKUP($A620,#REF!,5,FALSE),"")=0,"",IF($B620=1,VLOOKUP($A620,#REF!,5,FALSE),""))</f>
        <v>#REF!</v>
      </c>
      <c r="F620" s="782" t="s">
        <v>896</v>
      </c>
      <c r="G620" s="783" t="s">
        <v>91</v>
      </c>
      <c r="H620" s="783" t="s">
        <v>4643</v>
      </c>
      <c r="I620" s="784" t="s">
        <v>6067</v>
      </c>
    </row>
    <row r="621" spans="1:9">
      <c r="A621" t="s">
        <v>6509</v>
      </c>
      <c r="B621">
        <f>COUNTIF($A$5:$A621,A621)</f>
        <v>1</v>
      </c>
      <c r="C621">
        <f t="shared" si="18"/>
        <v>2</v>
      </c>
      <c r="D621">
        <f t="shared" si="19"/>
        <v>2</v>
      </c>
      <c r="E621" t="e">
        <f>IF(IF($B621=1,VLOOKUP($A621,#REF!,5,FALSE),"")=0,"",IF($B621=1,VLOOKUP($A621,#REF!,5,FALSE),""))</f>
        <v>#REF!</v>
      </c>
      <c r="F621" s="782" t="s">
        <v>896</v>
      </c>
      <c r="G621" s="783" t="s">
        <v>4336</v>
      </c>
      <c r="H621" s="783" t="s">
        <v>3144</v>
      </c>
      <c r="I621" s="784" t="s">
        <v>4474</v>
      </c>
    </row>
    <row r="622" spans="1:9" ht="13" thickBot="1">
      <c r="A622" t="s">
        <v>6510</v>
      </c>
      <c r="B622">
        <f>COUNTIF($A$5:$A622,A622)</f>
        <v>1</v>
      </c>
      <c r="C622">
        <f t="shared" si="18"/>
        <v>1</v>
      </c>
      <c r="D622">
        <f t="shared" si="19"/>
        <v>1</v>
      </c>
      <c r="E622" t="e">
        <f>IF(IF($B622=1,VLOOKUP($A622,#REF!,5,FALSE),"")=0,"",IF($B622=1,VLOOKUP($A622,#REF!,5,FALSE),""))</f>
        <v>#REF!</v>
      </c>
      <c r="F622" s="768" t="s">
        <v>896</v>
      </c>
      <c r="G622" s="793" t="s">
        <v>1208</v>
      </c>
      <c r="H622" s="793" t="s">
        <v>6072</v>
      </c>
      <c r="I622" s="794" t="s">
        <v>6073</v>
      </c>
    </row>
  </sheetData>
  <autoFilter ref="A4:I4" xr:uid="{272173B2-3409-4168-B80C-50D0042C8649}"/>
  <sortState xmlns:xlrd2="http://schemas.microsoft.com/office/spreadsheetml/2017/richdata2" ref="A5:I622">
    <sortCondition ref="F5"/>
  </sortState>
  <pageMargins left="0.70866141732283472" right="0.51181102362204722" top="0.55118110236220474" bottom="0.74803149606299213" header="0.31496062992125984" footer="0.31496062992125984"/>
  <pageSetup paperSize="9" scale="64" fitToHeight="4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F623-6112-4B2C-9EB2-2B2F893DD030}">
  <sheetPr codeName="Sheet32">
    <tabColor rgb="FFF371F3"/>
    <pageSetUpPr fitToPage="1"/>
  </sheetPr>
  <dimension ref="A1:K230"/>
  <sheetViews>
    <sheetView workbookViewId="0">
      <selection activeCell="A4" sqref="A4"/>
    </sheetView>
  </sheetViews>
  <sheetFormatPr defaultRowHeight="12.5"/>
  <cols>
    <col min="1" max="1" width="15.54296875" customWidth="1"/>
    <col min="2" max="2" width="19.453125" customWidth="1"/>
    <col min="3" max="3" width="18" customWidth="1"/>
    <col min="4" max="4" width="32" customWidth="1"/>
    <col min="5" max="5" width="21.54296875" customWidth="1"/>
    <col min="8" max="8" width="9.453125" customWidth="1"/>
    <col min="9" max="9" width="12.453125" customWidth="1"/>
    <col min="10" max="10" width="14.54296875" customWidth="1"/>
    <col min="11" max="11" width="30.26953125" customWidth="1"/>
  </cols>
  <sheetData>
    <row r="1" spans="1:11" ht="25">
      <c r="A1" s="733" t="s">
        <v>5542</v>
      </c>
    </row>
    <row r="3" spans="1:11" ht="13">
      <c r="A3" s="737" t="s">
        <v>5546</v>
      </c>
      <c r="B3" s="738"/>
      <c r="C3" s="738"/>
      <c r="D3" s="738"/>
      <c r="H3" s="328" t="s">
        <v>5552</v>
      </c>
      <c r="I3" s="731"/>
      <c r="J3" s="328"/>
    </row>
    <row r="4" spans="1:11" ht="25">
      <c r="A4" s="362" t="s">
        <v>6669</v>
      </c>
      <c r="J4" s="730">
        <v>0</v>
      </c>
      <c r="K4" s="804" t="s">
        <v>5545</v>
      </c>
    </row>
    <row r="5" spans="1:11" ht="26">
      <c r="A5" s="734" t="s">
        <v>5530</v>
      </c>
      <c r="B5" s="735" t="s">
        <v>5531</v>
      </c>
      <c r="C5" s="735" t="s">
        <v>5533</v>
      </c>
      <c r="D5" s="736" t="s">
        <v>5532</v>
      </c>
      <c r="I5" s="221" t="s">
        <v>5543</v>
      </c>
      <c r="J5" s="124" t="s">
        <v>5544</v>
      </c>
    </row>
    <row r="6" spans="1:11">
      <c r="A6" s="729" t="s">
        <v>2842</v>
      </c>
      <c r="B6" s="29" t="e">
        <f>SUMIF(#REF!,A6,#REF!)</f>
        <v>#REF!</v>
      </c>
      <c r="C6" s="29">
        <f>-SUMIF($H$6:$H$228,$A6,$J$6:$J$228)</f>
        <v>0</v>
      </c>
      <c r="D6" s="29" t="e">
        <f>IF(+C6-B6&gt;0,0,+C6-B6)</f>
        <v>#REF!</v>
      </c>
      <c r="E6" t="e">
        <f>IF(+C6-B6&gt;0,"Check as collected more than budget","")</f>
        <v>#REF!</v>
      </c>
      <c r="H6" t="s">
        <v>2629</v>
      </c>
      <c r="I6" s="29">
        <v>1515340.5021474264</v>
      </c>
      <c r="J6" s="29">
        <f t="shared" ref="J6:J69" si="0">I6/$I$230*$J$4</f>
        <v>0</v>
      </c>
    </row>
    <row r="7" spans="1:11">
      <c r="A7" s="729" t="s">
        <v>2851</v>
      </c>
      <c r="B7" s="29" t="e">
        <f>SUMIF(#REF!,A7,#REF!)</f>
        <v>#REF!</v>
      </c>
      <c r="C7" s="29">
        <f t="shared" ref="C7:C70" si="1">-SUMIF($H$6:$H$228,$A7,$J$6:$J$228)</f>
        <v>0</v>
      </c>
      <c r="D7" s="29" t="e">
        <f t="shared" ref="D7:D70" si="2">IF(+C7-B7&gt;0,0,+C7-B7)</f>
        <v>#REF!</v>
      </c>
      <c r="E7" t="e">
        <f t="shared" ref="E7:E70" si="3">IF(+C7-B7&gt;0,"Check as collected more than budget","")</f>
        <v>#REF!</v>
      </c>
      <c r="H7" t="s">
        <v>2631</v>
      </c>
      <c r="I7" s="29">
        <v>0</v>
      </c>
      <c r="J7" s="29">
        <f t="shared" si="0"/>
        <v>0</v>
      </c>
    </row>
    <row r="8" spans="1:11">
      <c r="A8" s="729" t="s">
        <v>2852</v>
      </c>
      <c r="B8" s="29" t="e">
        <f>SUMIF(#REF!,A8,#REF!)</f>
        <v>#REF!</v>
      </c>
      <c r="C8" s="29">
        <f t="shared" si="1"/>
        <v>0</v>
      </c>
      <c r="D8" s="29" t="e">
        <f t="shared" si="2"/>
        <v>#REF!</v>
      </c>
      <c r="E8" t="e">
        <f t="shared" si="3"/>
        <v>#REF!</v>
      </c>
      <c r="H8" t="s">
        <v>2633</v>
      </c>
      <c r="I8" s="29">
        <v>11053024.571353024</v>
      </c>
      <c r="J8" s="29">
        <f t="shared" si="0"/>
        <v>0</v>
      </c>
    </row>
    <row r="9" spans="1:11">
      <c r="A9" s="729" t="s">
        <v>2853</v>
      </c>
      <c r="B9" s="29" t="e">
        <f>SUMIF(#REF!,A9,#REF!)</f>
        <v>#REF!</v>
      </c>
      <c r="C9" s="29">
        <f t="shared" si="1"/>
        <v>0</v>
      </c>
      <c r="D9" s="29" t="e">
        <f t="shared" si="2"/>
        <v>#REF!</v>
      </c>
      <c r="E9" t="e">
        <f t="shared" si="3"/>
        <v>#REF!</v>
      </c>
      <c r="H9" t="s">
        <v>2634</v>
      </c>
      <c r="I9" s="29">
        <v>0</v>
      </c>
      <c r="J9" s="29">
        <f t="shared" si="0"/>
        <v>0</v>
      </c>
    </row>
    <row r="10" spans="1:11">
      <c r="A10" s="729" t="s">
        <v>2854</v>
      </c>
      <c r="B10" s="29" t="e">
        <f>SUMIF(#REF!,A10,#REF!)</f>
        <v>#REF!</v>
      </c>
      <c r="C10" s="29">
        <f t="shared" si="1"/>
        <v>0</v>
      </c>
      <c r="D10" s="29" t="e">
        <f t="shared" si="2"/>
        <v>#REF!</v>
      </c>
      <c r="E10" t="e">
        <f t="shared" si="3"/>
        <v>#REF!</v>
      </c>
      <c r="H10" t="s">
        <v>2636</v>
      </c>
      <c r="I10" s="29">
        <v>0</v>
      </c>
      <c r="J10" s="29">
        <f t="shared" si="0"/>
        <v>0</v>
      </c>
    </row>
    <row r="11" spans="1:11">
      <c r="A11" s="729" t="s">
        <v>2855</v>
      </c>
      <c r="B11" s="29" t="e">
        <f>SUMIF(#REF!,A11,#REF!)</f>
        <v>#REF!</v>
      </c>
      <c r="C11" s="29">
        <f t="shared" si="1"/>
        <v>0</v>
      </c>
      <c r="D11" s="29" t="e">
        <f t="shared" si="2"/>
        <v>#REF!</v>
      </c>
      <c r="E11" t="e">
        <f t="shared" si="3"/>
        <v>#REF!</v>
      </c>
      <c r="H11" t="s">
        <v>2638</v>
      </c>
      <c r="I11" s="29">
        <v>0</v>
      </c>
      <c r="J11" s="29">
        <f t="shared" si="0"/>
        <v>0</v>
      </c>
    </row>
    <row r="12" spans="1:11">
      <c r="A12" s="729" t="s">
        <v>2856</v>
      </c>
      <c r="B12" s="29" t="e">
        <f>SUMIF(#REF!,A12,#REF!)</f>
        <v>#REF!</v>
      </c>
      <c r="C12" s="29">
        <f t="shared" si="1"/>
        <v>0</v>
      </c>
      <c r="D12" s="29" t="e">
        <f t="shared" si="2"/>
        <v>#REF!</v>
      </c>
      <c r="E12" t="e">
        <f t="shared" si="3"/>
        <v>#REF!</v>
      </c>
      <c r="H12" t="s">
        <v>2640</v>
      </c>
      <c r="I12" s="29">
        <v>11595400.286293408</v>
      </c>
      <c r="J12" s="29">
        <f t="shared" si="0"/>
        <v>0</v>
      </c>
    </row>
    <row r="13" spans="1:11">
      <c r="A13" s="729" t="s">
        <v>2857</v>
      </c>
      <c r="B13" s="29" t="e">
        <f>SUMIF(#REF!,A13,#REF!)</f>
        <v>#REF!</v>
      </c>
      <c r="C13" s="29">
        <f t="shared" si="1"/>
        <v>0</v>
      </c>
      <c r="D13" s="29" t="e">
        <f t="shared" si="2"/>
        <v>#REF!</v>
      </c>
      <c r="E13" t="e">
        <f t="shared" si="3"/>
        <v>#REF!</v>
      </c>
      <c r="H13" t="s">
        <v>2642</v>
      </c>
      <c r="I13" s="29">
        <v>6455851.1239514621</v>
      </c>
      <c r="J13" s="29">
        <f t="shared" si="0"/>
        <v>0</v>
      </c>
    </row>
    <row r="14" spans="1:11">
      <c r="A14" s="729" t="s">
        <v>2858</v>
      </c>
      <c r="B14" s="29" t="e">
        <f>SUMIF(#REF!,A14,#REF!)</f>
        <v>#REF!</v>
      </c>
      <c r="C14" s="29">
        <f t="shared" si="1"/>
        <v>0</v>
      </c>
      <c r="D14" s="29" t="e">
        <f t="shared" si="2"/>
        <v>#REF!</v>
      </c>
      <c r="E14" t="e">
        <f t="shared" si="3"/>
        <v>#REF!</v>
      </c>
      <c r="H14" t="s">
        <v>2644</v>
      </c>
      <c r="I14" s="29">
        <v>12348711.953120343</v>
      </c>
      <c r="J14" s="29">
        <f t="shared" si="0"/>
        <v>0</v>
      </c>
    </row>
    <row r="15" spans="1:11">
      <c r="A15" s="729" t="s">
        <v>2859</v>
      </c>
      <c r="B15" s="29" t="e">
        <f>SUMIF(#REF!,A15,#REF!)</f>
        <v>#REF!</v>
      </c>
      <c r="C15" s="29">
        <f t="shared" si="1"/>
        <v>0</v>
      </c>
      <c r="D15" s="29" t="e">
        <f t="shared" si="2"/>
        <v>#REF!</v>
      </c>
      <c r="E15" t="e">
        <f t="shared" si="3"/>
        <v>#REF!</v>
      </c>
      <c r="H15" t="s">
        <v>2646</v>
      </c>
      <c r="I15" s="29">
        <v>0</v>
      </c>
      <c r="J15" s="29">
        <f t="shared" si="0"/>
        <v>0</v>
      </c>
    </row>
    <row r="16" spans="1:11">
      <c r="A16" s="729" t="s">
        <v>2860</v>
      </c>
      <c r="B16" s="29" t="e">
        <f>SUMIF(#REF!,A16,#REF!)</f>
        <v>#REF!</v>
      </c>
      <c r="C16" s="29">
        <f t="shared" si="1"/>
        <v>0</v>
      </c>
      <c r="D16" s="29" t="e">
        <f t="shared" si="2"/>
        <v>#REF!</v>
      </c>
      <c r="E16" t="e">
        <f t="shared" si="3"/>
        <v>#REF!</v>
      </c>
      <c r="H16" t="s">
        <v>2648</v>
      </c>
      <c r="I16" s="29">
        <v>0</v>
      </c>
      <c r="J16" s="29">
        <f t="shared" si="0"/>
        <v>0</v>
      </c>
    </row>
    <row r="17" spans="1:10">
      <c r="A17" s="729" t="s">
        <v>2843</v>
      </c>
      <c r="B17" s="29" t="e">
        <f>SUMIF(#REF!,A17,#REF!)</f>
        <v>#REF!</v>
      </c>
      <c r="C17" s="29">
        <f t="shared" si="1"/>
        <v>0</v>
      </c>
      <c r="D17" s="29" t="e">
        <f t="shared" si="2"/>
        <v>#REF!</v>
      </c>
      <c r="E17" t="e">
        <f t="shared" si="3"/>
        <v>#REF!</v>
      </c>
      <c r="H17" t="s">
        <v>2650</v>
      </c>
      <c r="I17" s="29">
        <v>0</v>
      </c>
      <c r="J17" s="29">
        <f t="shared" si="0"/>
        <v>0</v>
      </c>
    </row>
    <row r="18" spans="1:10">
      <c r="A18" s="729" t="s">
        <v>2861</v>
      </c>
      <c r="B18" s="29" t="e">
        <f>SUMIF(#REF!,A18,#REF!)</f>
        <v>#REF!</v>
      </c>
      <c r="C18" s="29">
        <f t="shared" si="1"/>
        <v>0</v>
      </c>
      <c r="D18" s="29" t="e">
        <f t="shared" si="2"/>
        <v>#REF!</v>
      </c>
      <c r="E18" t="e">
        <f t="shared" si="3"/>
        <v>#REF!</v>
      </c>
      <c r="H18" t="s">
        <v>2652</v>
      </c>
      <c r="I18" s="29">
        <v>0</v>
      </c>
      <c r="J18" s="29">
        <f t="shared" si="0"/>
        <v>0</v>
      </c>
    </row>
    <row r="19" spans="1:10">
      <c r="A19" s="729" t="s">
        <v>2862</v>
      </c>
      <c r="B19" s="29" t="e">
        <f>SUMIF(#REF!,A19,#REF!)</f>
        <v>#REF!</v>
      </c>
      <c r="C19" s="29">
        <f t="shared" si="1"/>
        <v>0</v>
      </c>
      <c r="D19" s="29" t="e">
        <f t="shared" si="2"/>
        <v>#REF!</v>
      </c>
      <c r="E19" t="e">
        <f t="shared" si="3"/>
        <v>#REF!</v>
      </c>
      <c r="H19" t="s">
        <v>2654</v>
      </c>
      <c r="I19" s="29">
        <v>4764.1921024556214</v>
      </c>
      <c r="J19" s="29">
        <f t="shared" si="0"/>
        <v>0</v>
      </c>
    </row>
    <row r="20" spans="1:10">
      <c r="A20" s="729" t="s">
        <v>2863</v>
      </c>
      <c r="B20" s="29" t="e">
        <f>SUMIF(#REF!,A20,#REF!)</f>
        <v>#REF!</v>
      </c>
      <c r="C20" s="29">
        <f t="shared" si="1"/>
        <v>0</v>
      </c>
      <c r="D20" s="29" t="e">
        <f t="shared" si="2"/>
        <v>#REF!</v>
      </c>
      <c r="E20" t="e">
        <f t="shared" si="3"/>
        <v>#REF!</v>
      </c>
      <c r="H20" t="s">
        <v>2656</v>
      </c>
      <c r="I20" s="29">
        <v>4697.1706765125018</v>
      </c>
      <c r="J20" s="29">
        <f t="shared" si="0"/>
        <v>0</v>
      </c>
    </row>
    <row r="21" spans="1:10">
      <c r="A21" s="729" t="s">
        <v>2864</v>
      </c>
      <c r="B21" s="29" t="e">
        <f>SUMIF(#REF!,A21,#REF!)</f>
        <v>#REF!</v>
      </c>
      <c r="C21" s="29">
        <f t="shared" si="1"/>
        <v>0</v>
      </c>
      <c r="D21" s="29" t="e">
        <f t="shared" si="2"/>
        <v>#REF!</v>
      </c>
      <c r="E21" t="e">
        <f t="shared" si="3"/>
        <v>#REF!</v>
      </c>
      <c r="H21" t="s">
        <v>2658</v>
      </c>
      <c r="I21" s="29">
        <v>3691453.8268899322</v>
      </c>
      <c r="J21" s="29">
        <f t="shared" si="0"/>
        <v>0</v>
      </c>
    </row>
    <row r="22" spans="1:10">
      <c r="A22" s="729" t="s">
        <v>2865</v>
      </c>
      <c r="B22" s="29" t="e">
        <f>SUMIF(#REF!,A22,#REF!)</f>
        <v>#REF!</v>
      </c>
      <c r="C22" s="29">
        <f t="shared" si="1"/>
        <v>0</v>
      </c>
      <c r="D22" s="29" t="e">
        <f t="shared" si="2"/>
        <v>#REF!</v>
      </c>
      <c r="E22" t="e">
        <f t="shared" si="3"/>
        <v>#REF!</v>
      </c>
      <c r="H22" t="s">
        <v>2660</v>
      </c>
      <c r="I22" s="29">
        <v>3513.8331749046761</v>
      </c>
      <c r="J22" s="29">
        <f t="shared" si="0"/>
        <v>0</v>
      </c>
    </row>
    <row r="23" spans="1:10">
      <c r="A23" s="729" t="s">
        <v>2866</v>
      </c>
      <c r="B23" s="29" t="e">
        <f>SUMIF(#REF!,A23,#REF!)</f>
        <v>#REF!</v>
      </c>
      <c r="C23" s="29">
        <f t="shared" si="1"/>
        <v>0</v>
      </c>
      <c r="D23" s="29" t="e">
        <f t="shared" si="2"/>
        <v>#REF!</v>
      </c>
      <c r="E23" t="e">
        <f t="shared" si="3"/>
        <v>#REF!</v>
      </c>
      <c r="H23" t="s">
        <v>2662</v>
      </c>
      <c r="I23" s="29">
        <v>399655.62172940822</v>
      </c>
      <c r="J23" s="29">
        <f t="shared" si="0"/>
        <v>0</v>
      </c>
    </row>
    <row r="24" spans="1:10">
      <c r="A24" s="729" t="s">
        <v>2867</v>
      </c>
      <c r="B24" s="29" t="e">
        <f>SUMIF(#REF!,A24,#REF!)</f>
        <v>#REF!</v>
      </c>
      <c r="C24" s="29">
        <f t="shared" si="1"/>
        <v>0</v>
      </c>
      <c r="D24" s="29" t="e">
        <f t="shared" si="2"/>
        <v>#REF!</v>
      </c>
      <c r="E24" t="e">
        <f t="shared" si="3"/>
        <v>#REF!</v>
      </c>
      <c r="H24" t="s">
        <v>2664</v>
      </c>
      <c r="I24" s="29">
        <v>503738.07394361502</v>
      </c>
      <c r="J24" s="29">
        <f t="shared" si="0"/>
        <v>0</v>
      </c>
    </row>
    <row r="25" spans="1:10">
      <c r="A25" s="729" t="s">
        <v>2868</v>
      </c>
      <c r="B25" s="29" t="e">
        <f>SUMIF(#REF!,A25,#REF!)</f>
        <v>#REF!</v>
      </c>
      <c r="C25" s="29">
        <f t="shared" si="1"/>
        <v>0</v>
      </c>
      <c r="D25" s="29" t="e">
        <f t="shared" si="2"/>
        <v>#REF!</v>
      </c>
      <c r="E25" t="e">
        <f t="shared" si="3"/>
        <v>#REF!</v>
      </c>
      <c r="H25" t="s">
        <v>2666</v>
      </c>
      <c r="I25" s="29">
        <v>0</v>
      </c>
      <c r="J25" s="29">
        <f t="shared" si="0"/>
        <v>0</v>
      </c>
    </row>
    <row r="26" spans="1:10">
      <c r="A26" s="729" t="s">
        <v>2869</v>
      </c>
      <c r="B26" s="29" t="e">
        <f>SUMIF(#REF!,A26,#REF!)</f>
        <v>#REF!</v>
      </c>
      <c r="C26" s="29">
        <f t="shared" si="1"/>
        <v>0</v>
      </c>
      <c r="D26" s="29" t="e">
        <f t="shared" si="2"/>
        <v>#REF!</v>
      </c>
      <c r="E26" t="e">
        <f t="shared" si="3"/>
        <v>#REF!</v>
      </c>
      <c r="H26" t="s">
        <v>2668</v>
      </c>
      <c r="I26" s="29">
        <v>232009.6892987937</v>
      </c>
      <c r="J26" s="29">
        <f t="shared" si="0"/>
        <v>0</v>
      </c>
    </row>
    <row r="27" spans="1:10">
      <c r="A27" s="729" t="s">
        <v>2870</v>
      </c>
      <c r="B27" s="29" t="e">
        <f>SUMIF(#REF!,A27,#REF!)</f>
        <v>#REF!</v>
      </c>
      <c r="C27" s="29">
        <f t="shared" si="1"/>
        <v>0</v>
      </c>
      <c r="D27" s="29" t="e">
        <f t="shared" si="2"/>
        <v>#REF!</v>
      </c>
      <c r="E27" t="e">
        <f t="shared" si="3"/>
        <v>#REF!</v>
      </c>
      <c r="H27" t="s">
        <v>2670</v>
      </c>
      <c r="I27" s="29">
        <v>0</v>
      </c>
      <c r="J27" s="29">
        <f t="shared" si="0"/>
        <v>0</v>
      </c>
    </row>
    <row r="28" spans="1:10">
      <c r="A28" s="729" t="s">
        <v>2844</v>
      </c>
      <c r="B28" s="29" t="e">
        <f>SUMIF(#REF!,A28,#REF!)</f>
        <v>#REF!</v>
      </c>
      <c r="C28" s="29">
        <f t="shared" si="1"/>
        <v>0</v>
      </c>
      <c r="D28" s="29" t="e">
        <f t="shared" si="2"/>
        <v>#REF!</v>
      </c>
      <c r="E28" t="e">
        <f t="shared" si="3"/>
        <v>#REF!</v>
      </c>
      <c r="H28" t="s">
        <v>2672</v>
      </c>
      <c r="I28" s="29">
        <v>274222.68022927054</v>
      </c>
      <c r="J28" s="29">
        <f t="shared" si="0"/>
        <v>0</v>
      </c>
    </row>
    <row r="29" spans="1:10">
      <c r="A29" s="729" t="s">
        <v>2871</v>
      </c>
      <c r="B29" s="29" t="e">
        <f>SUMIF(#REF!,A29,#REF!)</f>
        <v>#REF!</v>
      </c>
      <c r="C29" s="29">
        <f t="shared" si="1"/>
        <v>0</v>
      </c>
      <c r="D29" s="29" t="e">
        <f t="shared" si="2"/>
        <v>#REF!</v>
      </c>
      <c r="E29" t="e">
        <f t="shared" si="3"/>
        <v>#REF!</v>
      </c>
      <c r="H29" t="s">
        <v>2674</v>
      </c>
      <c r="I29" s="29">
        <v>0</v>
      </c>
      <c r="J29" s="29">
        <f t="shared" si="0"/>
        <v>0</v>
      </c>
    </row>
    <row r="30" spans="1:10">
      <c r="A30" s="729" t="s">
        <v>2872</v>
      </c>
      <c r="B30" s="29" t="e">
        <f>SUMIF(#REF!,A30,#REF!)</f>
        <v>#REF!</v>
      </c>
      <c r="C30" s="29">
        <f t="shared" si="1"/>
        <v>0</v>
      </c>
      <c r="D30" s="29" t="e">
        <f t="shared" si="2"/>
        <v>#REF!</v>
      </c>
      <c r="E30" t="e">
        <f t="shared" si="3"/>
        <v>#REF!</v>
      </c>
      <c r="H30" t="s">
        <v>2676</v>
      </c>
      <c r="I30" s="29">
        <v>0</v>
      </c>
      <c r="J30" s="29">
        <f t="shared" si="0"/>
        <v>0</v>
      </c>
    </row>
    <row r="31" spans="1:10">
      <c r="A31" s="729" t="s">
        <v>2873</v>
      </c>
      <c r="B31" s="29" t="e">
        <f>SUMIF(#REF!,A31,#REF!)</f>
        <v>#REF!</v>
      </c>
      <c r="C31" s="29">
        <f t="shared" si="1"/>
        <v>0</v>
      </c>
      <c r="D31" s="29" t="e">
        <f t="shared" si="2"/>
        <v>#REF!</v>
      </c>
      <c r="E31" t="e">
        <f t="shared" si="3"/>
        <v>#REF!</v>
      </c>
      <c r="H31" t="s">
        <v>2678</v>
      </c>
      <c r="I31" s="29">
        <v>0</v>
      </c>
      <c r="J31" s="29">
        <f t="shared" si="0"/>
        <v>0</v>
      </c>
    </row>
    <row r="32" spans="1:10">
      <c r="A32" s="729" t="s">
        <v>2874</v>
      </c>
      <c r="B32" s="29" t="e">
        <f>SUMIF(#REF!,A32,#REF!)</f>
        <v>#REF!</v>
      </c>
      <c r="C32" s="29">
        <f t="shared" si="1"/>
        <v>0</v>
      </c>
      <c r="D32" s="29" t="e">
        <f t="shared" si="2"/>
        <v>#REF!</v>
      </c>
      <c r="E32" t="e">
        <f t="shared" si="3"/>
        <v>#REF!</v>
      </c>
      <c r="H32" t="s">
        <v>2680</v>
      </c>
      <c r="I32" s="29">
        <v>0</v>
      </c>
      <c r="J32" s="29">
        <f t="shared" si="0"/>
        <v>0</v>
      </c>
    </row>
    <row r="33" spans="1:10">
      <c r="A33" s="729" t="s">
        <v>2875</v>
      </c>
      <c r="B33" s="29" t="e">
        <f>SUMIF(#REF!,A33,#REF!)</f>
        <v>#REF!</v>
      </c>
      <c r="C33" s="29">
        <f t="shared" si="1"/>
        <v>0</v>
      </c>
      <c r="D33" s="29" t="e">
        <f t="shared" si="2"/>
        <v>#REF!</v>
      </c>
      <c r="E33" t="e">
        <f t="shared" si="3"/>
        <v>#REF!</v>
      </c>
      <c r="H33" t="s">
        <v>2682</v>
      </c>
      <c r="I33" s="29">
        <v>0</v>
      </c>
      <c r="J33" s="29">
        <f t="shared" si="0"/>
        <v>0</v>
      </c>
    </row>
    <row r="34" spans="1:10">
      <c r="A34" s="729" t="s">
        <v>2876</v>
      </c>
      <c r="B34" s="29" t="e">
        <f>SUMIF(#REF!,A34,#REF!)</f>
        <v>#REF!</v>
      </c>
      <c r="C34" s="29">
        <f t="shared" si="1"/>
        <v>0</v>
      </c>
      <c r="D34" s="29" t="e">
        <f t="shared" si="2"/>
        <v>#REF!</v>
      </c>
      <c r="E34" t="e">
        <f t="shared" si="3"/>
        <v>#REF!</v>
      </c>
      <c r="H34" t="s">
        <v>2684</v>
      </c>
      <c r="I34" s="29">
        <v>0</v>
      </c>
      <c r="J34" s="29">
        <f t="shared" si="0"/>
        <v>0</v>
      </c>
    </row>
    <row r="35" spans="1:10">
      <c r="A35" s="729" t="s">
        <v>2877</v>
      </c>
      <c r="B35" s="29" t="e">
        <f>SUMIF(#REF!,A35,#REF!)</f>
        <v>#REF!</v>
      </c>
      <c r="C35" s="29">
        <f t="shared" si="1"/>
        <v>0</v>
      </c>
      <c r="D35" s="29" t="e">
        <f t="shared" si="2"/>
        <v>#REF!</v>
      </c>
      <c r="E35" t="e">
        <f t="shared" si="3"/>
        <v>#REF!</v>
      </c>
      <c r="H35" t="s">
        <v>2686</v>
      </c>
      <c r="I35" s="29">
        <v>0</v>
      </c>
      <c r="J35" s="29">
        <f t="shared" si="0"/>
        <v>0</v>
      </c>
    </row>
    <row r="36" spans="1:10">
      <c r="A36" s="729" t="s">
        <v>2878</v>
      </c>
      <c r="B36" s="29" t="e">
        <f>SUMIF(#REF!,A36,#REF!)</f>
        <v>#REF!</v>
      </c>
      <c r="C36" s="29">
        <f t="shared" si="1"/>
        <v>0</v>
      </c>
      <c r="D36" s="29" t="e">
        <f t="shared" si="2"/>
        <v>#REF!</v>
      </c>
      <c r="E36" t="e">
        <f t="shared" si="3"/>
        <v>#REF!</v>
      </c>
      <c r="H36" t="s">
        <v>2688</v>
      </c>
      <c r="I36" s="29">
        <v>0</v>
      </c>
      <c r="J36" s="29">
        <f t="shared" si="0"/>
        <v>0</v>
      </c>
    </row>
    <row r="37" spans="1:10">
      <c r="A37" s="729" t="s">
        <v>2879</v>
      </c>
      <c r="B37" s="29" t="e">
        <f>SUMIF(#REF!,A37,#REF!)</f>
        <v>#REF!</v>
      </c>
      <c r="C37" s="29">
        <f t="shared" si="1"/>
        <v>0</v>
      </c>
      <c r="D37" s="29" t="e">
        <f t="shared" si="2"/>
        <v>#REF!</v>
      </c>
      <c r="E37" t="e">
        <f t="shared" si="3"/>
        <v>#REF!</v>
      </c>
      <c r="H37" t="s">
        <v>2690</v>
      </c>
      <c r="I37" s="29">
        <v>0</v>
      </c>
      <c r="J37" s="29">
        <f t="shared" si="0"/>
        <v>0</v>
      </c>
    </row>
    <row r="38" spans="1:10">
      <c r="A38" s="729" t="s">
        <v>2880</v>
      </c>
      <c r="B38" s="29" t="e">
        <f>SUMIF(#REF!,A38,#REF!)</f>
        <v>#REF!</v>
      </c>
      <c r="C38" s="29">
        <f t="shared" si="1"/>
        <v>0</v>
      </c>
      <c r="D38" s="29" t="e">
        <f t="shared" si="2"/>
        <v>#REF!</v>
      </c>
      <c r="E38" t="e">
        <f t="shared" si="3"/>
        <v>#REF!</v>
      </c>
      <c r="H38" t="s">
        <v>2692</v>
      </c>
      <c r="I38" s="29">
        <v>0</v>
      </c>
      <c r="J38" s="29">
        <f t="shared" si="0"/>
        <v>0</v>
      </c>
    </row>
    <row r="39" spans="1:10">
      <c r="A39" s="729" t="s">
        <v>2845</v>
      </c>
      <c r="B39" s="29" t="e">
        <f>SUMIF(#REF!,A39,#REF!)</f>
        <v>#REF!</v>
      </c>
      <c r="C39" s="29">
        <f t="shared" si="1"/>
        <v>0</v>
      </c>
      <c r="D39" s="29" t="e">
        <f t="shared" si="2"/>
        <v>#REF!</v>
      </c>
      <c r="E39" t="e">
        <f t="shared" si="3"/>
        <v>#REF!</v>
      </c>
      <c r="H39" t="s">
        <v>2694</v>
      </c>
      <c r="I39" s="29">
        <v>0</v>
      </c>
      <c r="J39" s="29">
        <f t="shared" si="0"/>
        <v>0</v>
      </c>
    </row>
    <row r="40" spans="1:10">
      <c r="A40" s="729" t="s">
        <v>2881</v>
      </c>
      <c r="B40" s="29" t="e">
        <f>SUMIF(#REF!,A40,#REF!)</f>
        <v>#REF!</v>
      </c>
      <c r="C40" s="29">
        <f t="shared" si="1"/>
        <v>0</v>
      </c>
      <c r="D40" s="29" t="e">
        <f t="shared" si="2"/>
        <v>#REF!</v>
      </c>
      <c r="E40" t="e">
        <f t="shared" si="3"/>
        <v>#REF!</v>
      </c>
      <c r="H40" t="s">
        <v>2696</v>
      </c>
      <c r="I40" s="29">
        <v>0</v>
      </c>
      <c r="J40" s="29">
        <f t="shared" si="0"/>
        <v>0</v>
      </c>
    </row>
    <row r="41" spans="1:10">
      <c r="A41" s="729" t="s">
        <v>2882</v>
      </c>
      <c r="B41" s="29" t="e">
        <f>SUMIF(#REF!,A41,#REF!)</f>
        <v>#REF!</v>
      </c>
      <c r="C41" s="29">
        <f t="shared" si="1"/>
        <v>0</v>
      </c>
      <c r="D41" s="29" t="e">
        <f t="shared" si="2"/>
        <v>#REF!</v>
      </c>
      <c r="E41" t="e">
        <f t="shared" si="3"/>
        <v>#REF!</v>
      </c>
      <c r="H41" t="s">
        <v>2698</v>
      </c>
      <c r="I41" s="29">
        <v>0</v>
      </c>
      <c r="J41" s="29">
        <f t="shared" si="0"/>
        <v>0</v>
      </c>
    </row>
    <row r="42" spans="1:10">
      <c r="A42" s="729" t="s">
        <v>2883</v>
      </c>
      <c r="B42" s="29" t="e">
        <f>SUMIF(#REF!,A42,#REF!)</f>
        <v>#REF!</v>
      </c>
      <c r="C42" s="29">
        <f t="shared" si="1"/>
        <v>0</v>
      </c>
      <c r="D42" s="29" t="e">
        <f t="shared" si="2"/>
        <v>#REF!</v>
      </c>
      <c r="E42" t="e">
        <f t="shared" si="3"/>
        <v>#REF!</v>
      </c>
      <c r="H42" t="s">
        <v>2700</v>
      </c>
      <c r="I42" s="29">
        <v>0</v>
      </c>
      <c r="J42" s="29">
        <f t="shared" si="0"/>
        <v>0</v>
      </c>
    </row>
    <row r="43" spans="1:10">
      <c r="A43" s="729" t="s">
        <v>2884</v>
      </c>
      <c r="B43" s="29" t="e">
        <f>SUMIF(#REF!,A43,#REF!)</f>
        <v>#REF!</v>
      </c>
      <c r="C43" s="29">
        <f t="shared" si="1"/>
        <v>0</v>
      </c>
      <c r="D43" s="29" t="e">
        <f t="shared" si="2"/>
        <v>#REF!</v>
      </c>
      <c r="E43" t="e">
        <f t="shared" si="3"/>
        <v>#REF!</v>
      </c>
      <c r="H43" t="s">
        <v>2702</v>
      </c>
      <c r="I43" s="29">
        <v>0</v>
      </c>
      <c r="J43" s="29">
        <f t="shared" si="0"/>
        <v>0</v>
      </c>
    </row>
    <row r="44" spans="1:10">
      <c r="A44" s="729" t="s">
        <v>2846</v>
      </c>
      <c r="B44" s="29" t="e">
        <f>SUMIF(#REF!,A44,#REF!)</f>
        <v>#REF!</v>
      </c>
      <c r="C44" s="29">
        <f t="shared" si="1"/>
        <v>0</v>
      </c>
      <c r="D44" s="29" t="e">
        <f t="shared" si="2"/>
        <v>#REF!</v>
      </c>
      <c r="E44" t="e">
        <f t="shared" si="3"/>
        <v>#REF!</v>
      </c>
      <c r="H44" t="s">
        <v>2704</v>
      </c>
      <c r="I44" s="29">
        <v>0</v>
      </c>
      <c r="J44" s="29">
        <f t="shared" si="0"/>
        <v>0</v>
      </c>
    </row>
    <row r="45" spans="1:10">
      <c r="A45" s="729" t="s">
        <v>2847</v>
      </c>
      <c r="B45" s="29" t="e">
        <f>SUMIF(#REF!,A45,#REF!)</f>
        <v>#REF!</v>
      </c>
      <c r="C45" s="29">
        <f t="shared" si="1"/>
        <v>0</v>
      </c>
      <c r="D45" s="29" t="e">
        <f t="shared" si="2"/>
        <v>#REF!</v>
      </c>
      <c r="E45" t="e">
        <f t="shared" si="3"/>
        <v>#REF!</v>
      </c>
      <c r="H45" t="s">
        <v>2706</v>
      </c>
      <c r="I45" s="29">
        <v>0</v>
      </c>
      <c r="J45" s="29">
        <f t="shared" si="0"/>
        <v>0</v>
      </c>
    </row>
    <row r="46" spans="1:10">
      <c r="A46" s="729" t="s">
        <v>2848</v>
      </c>
      <c r="B46" s="29" t="e">
        <f>SUMIF(#REF!,A46,#REF!)</f>
        <v>#REF!</v>
      </c>
      <c r="C46" s="29">
        <f t="shared" si="1"/>
        <v>0</v>
      </c>
      <c r="D46" s="29" t="e">
        <f t="shared" si="2"/>
        <v>#REF!</v>
      </c>
      <c r="E46" t="e">
        <f t="shared" si="3"/>
        <v>#REF!</v>
      </c>
      <c r="H46" t="s">
        <v>2708</v>
      </c>
      <c r="I46" s="29">
        <v>0</v>
      </c>
      <c r="J46" s="29">
        <f t="shared" si="0"/>
        <v>0</v>
      </c>
    </row>
    <row r="47" spans="1:10">
      <c r="A47" s="729" t="s">
        <v>2849</v>
      </c>
      <c r="B47" s="29" t="e">
        <f>SUMIF(#REF!,A47,#REF!)</f>
        <v>#REF!</v>
      </c>
      <c r="C47" s="29">
        <f t="shared" si="1"/>
        <v>0</v>
      </c>
      <c r="D47" s="29" t="e">
        <f t="shared" si="2"/>
        <v>#REF!</v>
      </c>
      <c r="E47" t="e">
        <f t="shared" si="3"/>
        <v>#REF!</v>
      </c>
      <c r="H47" t="s">
        <v>2710</v>
      </c>
      <c r="I47" s="29">
        <v>0</v>
      </c>
      <c r="J47" s="29">
        <f t="shared" si="0"/>
        <v>0</v>
      </c>
    </row>
    <row r="48" spans="1:10">
      <c r="A48" s="729" t="s">
        <v>2850</v>
      </c>
      <c r="B48" s="29" t="e">
        <f>SUMIF(#REF!,A48,#REF!)</f>
        <v>#REF!</v>
      </c>
      <c r="C48" s="29">
        <f t="shared" si="1"/>
        <v>0</v>
      </c>
      <c r="D48" s="29" t="e">
        <f t="shared" si="2"/>
        <v>#REF!</v>
      </c>
      <c r="E48" t="e">
        <f t="shared" si="3"/>
        <v>#REF!</v>
      </c>
      <c r="H48" t="s">
        <v>2712</v>
      </c>
      <c r="I48" s="29">
        <v>0</v>
      </c>
      <c r="J48" s="29">
        <f t="shared" si="0"/>
        <v>0</v>
      </c>
    </row>
    <row r="49" spans="1:10">
      <c r="A49" s="729" t="s">
        <v>2714</v>
      </c>
      <c r="B49" s="29" t="e">
        <f>SUMIF(#REF!,A49,#REF!)</f>
        <v>#REF!</v>
      </c>
      <c r="C49" s="29">
        <f t="shared" si="1"/>
        <v>0</v>
      </c>
      <c r="D49" s="29" t="e">
        <f t="shared" si="2"/>
        <v>#REF!</v>
      </c>
      <c r="E49" t="e">
        <f t="shared" si="3"/>
        <v>#REF!</v>
      </c>
      <c r="H49" t="s">
        <v>2714</v>
      </c>
      <c r="I49" s="29">
        <v>29921853.107673842</v>
      </c>
      <c r="J49" s="29">
        <f t="shared" si="0"/>
        <v>0</v>
      </c>
    </row>
    <row r="50" spans="1:10">
      <c r="A50" s="729" t="s">
        <v>2723</v>
      </c>
      <c r="B50" s="29" t="e">
        <f>SUMIF(#REF!,A50,#REF!)</f>
        <v>#REF!</v>
      </c>
      <c r="C50" s="29">
        <f t="shared" si="1"/>
        <v>0</v>
      </c>
      <c r="D50" s="29" t="e">
        <f t="shared" si="2"/>
        <v>#REF!</v>
      </c>
      <c r="E50" t="e">
        <f t="shared" si="3"/>
        <v>#REF!</v>
      </c>
      <c r="H50" t="s">
        <v>2715</v>
      </c>
      <c r="I50" s="29">
        <v>0</v>
      </c>
      <c r="J50" s="29">
        <f t="shared" si="0"/>
        <v>0</v>
      </c>
    </row>
    <row r="51" spans="1:10">
      <c r="A51" s="729" t="s">
        <v>2724</v>
      </c>
      <c r="B51" s="29" t="e">
        <f>SUMIF(#REF!,A51,#REF!)</f>
        <v>#REF!</v>
      </c>
      <c r="C51" s="29">
        <f t="shared" si="1"/>
        <v>0</v>
      </c>
      <c r="D51" s="29" t="e">
        <f t="shared" si="2"/>
        <v>#REF!</v>
      </c>
      <c r="E51" t="e">
        <f t="shared" si="3"/>
        <v>#REF!</v>
      </c>
      <c r="H51" t="s">
        <v>2716</v>
      </c>
      <c r="I51" s="29">
        <v>1.9401331195321548E-2</v>
      </c>
      <c r="J51" s="29">
        <f t="shared" si="0"/>
        <v>0</v>
      </c>
    </row>
    <row r="52" spans="1:10">
      <c r="A52" s="729" t="s">
        <v>2725</v>
      </c>
      <c r="B52" s="29" t="e">
        <f>SUMIF(#REF!,A52,#REF!)</f>
        <v>#REF!</v>
      </c>
      <c r="C52" s="29">
        <f t="shared" si="1"/>
        <v>0</v>
      </c>
      <c r="D52" s="29" t="e">
        <f t="shared" si="2"/>
        <v>#REF!</v>
      </c>
      <c r="E52" t="e">
        <f t="shared" si="3"/>
        <v>#REF!</v>
      </c>
      <c r="H52" t="s">
        <v>2717</v>
      </c>
      <c r="I52" s="29">
        <v>0</v>
      </c>
      <c r="J52" s="29">
        <f t="shared" si="0"/>
        <v>0</v>
      </c>
    </row>
    <row r="53" spans="1:10">
      <c r="A53" s="729" t="s">
        <v>2726</v>
      </c>
      <c r="B53" s="29" t="e">
        <f>SUMIF(#REF!,A53,#REF!)</f>
        <v>#REF!</v>
      </c>
      <c r="C53" s="29">
        <f t="shared" si="1"/>
        <v>0</v>
      </c>
      <c r="D53" s="29" t="e">
        <f t="shared" si="2"/>
        <v>#REF!</v>
      </c>
      <c r="E53" t="e">
        <f t="shared" si="3"/>
        <v>#REF!</v>
      </c>
      <c r="H53" t="s">
        <v>2718</v>
      </c>
      <c r="I53" s="29">
        <v>135923.62595988641</v>
      </c>
      <c r="J53" s="29">
        <f t="shared" si="0"/>
        <v>0</v>
      </c>
    </row>
    <row r="54" spans="1:10">
      <c r="A54" s="729" t="s">
        <v>2727</v>
      </c>
      <c r="B54" s="29" t="e">
        <f>SUMIF(#REF!,A54,#REF!)</f>
        <v>#REF!</v>
      </c>
      <c r="C54" s="29">
        <f t="shared" si="1"/>
        <v>0</v>
      </c>
      <c r="D54" s="29" t="e">
        <f t="shared" si="2"/>
        <v>#REF!</v>
      </c>
      <c r="E54" t="e">
        <f t="shared" si="3"/>
        <v>#REF!</v>
      </c>
      <c r="H54" t="s">
        <v>2719</v>
      </c>
      <c r="I54" s="29">
        <v>0</v>
      </c>
      <c r="J54" s="29">
        <f t="shared" si="0"/>
        <v>0</v>
      </c>
    </row>
    <row r="55" spans="1:10">
      <c r="A55" s="729" t="s">
        <v>2728</v>
      </c>
      <c r="B55" s="29" t="e">
        <f>SUMIF(#REF!,A55,#REF!)</f>
        <v>#REF!</v>
      </c>
      <c r="C55" s="29">
        <f t="shared" si="1"/>
        <v>0</v>
      </c>
      <c r="D55" s="29" t="e">
        <f t="shared" si="2"/>
        <v>#REF!</v>
      </c>
      <c r="E55" t="e">
        <f t="shared" si="3"/>
        <v>#REF!</v>
      </c>
      <c r="H55" t="s">
        <v>2720</v>
      </c>
      <c r="I55" s="29">
        <v>840245.53940527968</v>
      </c>
      <c r="J55" s="29">
        <f t="shared" si="0"/>
        <v>0</v>
      </c>
    </row>
    <row r="56" spans="1:10">
      <c r="A56" s="729" t="s">
        <v>2729</v>
      </c>
      <c r="B56" s="29" t="e">
        <f>SUMIF(#REF!,A56,#REF!)</f>
        <v>#REF!</v>
      </c>
      <c r="C56" s="29">
        <f t="shared" si="1"/>
        <v>0</v>
      </c>
      <c r="D56" s="29" t="e">
        <f t="shared" si="2"/>
        <v>#REF!</v>
      </c>
      <c r="E56" t="e">
        <f t="shared" si="3"/>
        <v>#REF!</v>
      </c>
      <c r="H56" t="s">
        <v>2721</v>
      </c>
      <c r="I56" s="29">
        <v>2.3317337012134902</v>
      </c>
      <c r="J56" s="29">
        <f t="shared" si="0"/>
        <v>0</v>
      </c>
    </row>
    <row r="57" spans="1:10">
      <c r="A57" s="729" t="s">
        <v>2730</v>
      </c>
      <c r="B57" s="29" t="e">
        <f>SUMIF(#REF!,A57,#REF!)</f>
        <v>#REF!</v>
      </c>
      <c r="C57" s="29">
        <f t="shared" si="1"/>
        <v>0</v>
      </c>
      <c r="D57" s="29" t="e">
        <f t="shared" si="2"/>
        <v>#REF!</v>
      </c>
      <c r="E57" t="e">
        <f t="shared" si="3"/>
        <v>#REF!</v>
      </c>
      <c r="H57" t="s">
        <v>2722</v>
      </c>
      <c r="I57" s="29">
        <v>-8.9880360099048318E-17</v>
      </c>
      <c r="J57" s="29">
        <f t="shared" si="0"/>
        <v>0</v>
      </c>
    </row>
    <row r="58" spans="1:10">
      <c r="A58" s="729" t="s">
        <v>2731</v>
      </c>
      <c r="B58" s="29" t="e">
        <f>SUMIF(#REF!,A58,#REF!)</f>
        <v>#REF!</v>
      </c>
      <c r="C58" s="29">
        <f t="shared" si="1"/>
        <v>0</v>
      </c>
      <c r="D58" s="29" t="e">
        <f t="shared" si="2"/>
        <v>#REF!</v>
      </c>
      <c r="E58" t="e">
        <f t="shared" si="3"/>
        <v>#REF!</v>
      </c>
      <c r="H58" t="s">
        <v>2723</v>
      </c>
      <c r="I58" s="29">
        <v>126411.32239678629</v>
      </c>
      <c r="J58" s="29">
        <f t="shared" si="0"/>
        <v>0</v>
      </c>
    </row>
    <row r="59" spans="1:10">
      <c r="A59" s="729" t="s">
        <v>2732</v>
      </c>
      <c r="B59" s="29" t="e">
        <f>SUMIF(#REF!,A59,#REF!)</f>
        <v>#REF!</v>
      </c>
      <c r="C59" s="29">
        <f t="shared" si="1"/>
        <v>0</v>
      </c>
      <c r="D59" s="29" t="e">
        <f t="shared" si="2"/>
        <v>#REF!</v>
      </c>
      <c r="E59" t="e">
        <f t="shared" si="3"/>
        <v>#REF!</v>
      </c>
      <c r="H59" t="s">
        <v>2724</v>
      </c>
      <c r="I59" s="29">
        <v>43986.403170850528</v>
      </c>
      <c r="J59" s="29">
        <f t="shared" si="0"/>
        <v>0</v>
      </c>
    </row>
    <row r="60" spans="1:10">
      <c r="A60" s="729" t="s">
        <v>2715</v>
      </c>
      <c r="B60" s="29" t="e">
        <f>SUMIF(#REF!,A60,#REF!)</f>
        <v>#REF!</v>
      </c>
      <c r="C60" s="29">
        <f t="shared" si="1"/>
        <v>0</v>
      </c>
      <c r="D60" s="29" t="e">
        <f t="shared" si="2"/>
        <v>#REF!</v>
      </c>
      <c r="E60" t="e">
        <f t="shared" si="3"/>
        <v>#REF!</v>
      </c>
      <c r="H60" t="s">
        <v>2725</v>
      </c>
      <c r="I60" s="29">
        <v>0</v>
      </c>
      <c r="J60" s="29">
        <f t="shared" si="0"/>
        <v>0</v>
      </c>
    </row>
    <row r="61" spans="1:10">
      <c r="A61" s="729" t="s">
        <v>2733</v>
      </c>
      <c r="B61" s="29" t="e">
        <f>SUMIF(#REF!,A61,#REF!)</f>
        <v>#REF!</v>
      </c>
      <c r="C61" s="29">
        <f t="shared" si="1"/>
        <v>0</v>
      </c>
      <c r="D61" s="29" t="e">
        <f t="shared" si="2"/>
        <v>#REF!</v>
      </c>
      <c r="E61" t="e">
        <f t="shared" si="3"/>
        <v>#REF!</v>
      </c>
      <c r="H61" t="s">
        <v>2726</v>
      </c>
      <c r="I61" s="29">
        <v>147752.06193141008</v>
      </c>
      <c r="J61" s="29">
        <f t="shared" si="0"/>
        <v>0</v>
      </c>
    </row>
    <row r="62" spans="1:10">
      <c r="A62" s="729" t="s">
        <v>2734</v>
      </c>
      <c r="B62" s="29" t="e">
        <f>SUMIF(#REF!,A62,#REF!)</f>
        <v>#REF!</v>
      </c>
      <c r="C62" s="29">
        <f t="shared" si="1"/>
        <v>0</v>
      </c>
      <c r="D62" s="29" t="e">
        <f t="shared" si="2"/>
        <v>#REF!</v>
      </c>
      <c r="E62" t="e">
        <f t="shared" si="3"/>
        <v>#REF!</v>
      </c>
      <c r="H62" t="s">
        <v>2727</v>
      </c>
      <c r="I62" s="29">
        <v>502.39145212510982</v>
      </c>
      <c r="J62" s="29">
        <f t="shared" si="0"/>
        <v>0</v>
      </c>
    </row>
    <row r="63" spans="1:10">
      <c r="A63" s="729" t="s">
        <v>2735</v>
      </c>
      <c r="B63" s="29" t="e">
        <f>SUMIF(#REF!,A63,#REF!)</f>
        <v>#REF!</v>
      </c>
      <c r="C63" s="29">
        <f t="shared" si="1"/>
        <v>0</v>
      </c>
      <c r="D63" s="29" t="e">
        <f t="shared" si="2"/>
        <v>#REF!</v>
      </c>
      <c r="E63" t="e">
        <f t="shared" si="3"/>
        <v>#REF!</v>
      </c>
      <c r="H63" t="s">
        <v>2728</v>
      </c>
      <c r="I63" s="29">
        <v>472908.55528076272</v>
      </c>
      <c r="J63" s="29">
        <f t="shared" si="0"/>
        <v>0</v>
      </c>
    </row>
    <row r="64" spans="1:10">
      <c r="A64" s="729" t="s">
        <v>2736</v>
      </c>
      <c r="B64" s="29" t="e">
        <f>SUMIF(#REF!,A64,#REF!)</f>
        <v>#REF!</v>
      </c>
      <c r="C64" s="29">
        <f t="shared" si="1"/>
        <v>0</v>
      </c>
      <c r="D64" s="29" t="e">
        <f t="shared" si="2"/>
        <v>#REF!</v>
      </c>
      <c r="E64" t="e">
        <f t="shared" si="3"/>
        <v>#REF!</v>
      </c>
      <c r="H64" t="s">
        <v>2729</v>
      </c>
      <c r="I64" s="29">
        <v>1921859.8551917991</v>
      </c>
      <c r="J64" s="29">
        <f t="shared" si="0"/>
        <v>0</v>
      </c>
    </row>
    <row r="65" spans="1:10">
      <c r="A65" s="729" t="s">
        <v>2737</v>
      </c>
      <c r="B65" s="29" t="e">
        <f>SUMIF(#REF!,A65,#REF!)</f>
        <v>#REF!</v>
      </c>
      <c r="C65" s="29">
        <f t="shared" si="1"/>
        <v>0</v>
      </c>
      <c r="D65" s="29" t="e">
        <f t="shared" si="2"/>
        <v>#REF!</v>
      </c>
      <c r="E65" t="e">
        <f t="shared" si="3"/>
        <v>#REF!</v>
      </c>
      <c r="H65" t="s">
        <v>2730</v>
      </c>
      <c r="I65" s="29">
        <v>875265.53060780675</v>
      </c>
      <c r="J65" s="29">
        <f t="shared" si="0"/>
        <v>0</v>
      </c>
    </row>
    <row r="66" spans="1:10">
      <c r="A66" s="729" t="s">
        <v>2738</v>
      </c>
      <c r="B66" s="29" t="e">
        <f>SUMIF(#REF!,A66,#REF!)</f>
        <v>#REF!</v>
      </c>
      <c r="C66" s="29">
        <f t="shared" si="1"/>
        <v>0</v>
      </c>
      <c r="D66" s="29" t="e">
        <f t="shared" si="2"/>
        <v>#REF!</v>
      </c>
      <c r="E66" t="e">
        <f t="shared" si="3"/>
        <v>#REF!</v>
      </c>
      <c r="H66" t="s">
        <v>2731</v>
      </c>
      <c r="I66" s="29">
        <v>365507.54662259459</v>
      </c>
      <c r="J66" s="29">
        <f t="shared" si="0"/>
        <v>0</v>
      </c>
    </row>
    <row r="67" spans="1:10">
      <c r="A67" s="729" t="s">
        <v>2739</v>
      </c>
      <c r="B67" s="29" t="e">
        <f>SUMIF(#REF!,A67,#REF!)</f>
        <v>#REF!</v>
      </c>
      <c r="C67" s="29">
        <f t="shared" si="1"/>
        <v>0</v>
      </c>
      <c r="D67" s="29" t="e">
        <f t="shared" si="2"/>
        <v>#REF!</v>
      </c>
      <c r="E67" t="e">
        <f t="shared" si="3"/>
        <v>#REF!</v>
      </c>
      <c r="H67" t="s">
        <v>2732</v>
      </c>
      <c r="I67" s="29">
        <v>1029402.8280820572</v>
      </c>
      <c r="J67" s="29">
        <f t="shared" si="0"/>
        <v>0</v>
      </c>
    </row>
    <row r="68" spans="1:10">
      <c r="A68" s="729" t="s">
        <v>2740</v>
      </c>
      <c r="B68" s="29" t="e">
        <f>SUMIF(#REF!,A68,#REF!)</f>
        <v>#REF!</v>
      </c>
      <c r="C68" s="29">
        <f t="shared" si="1"/>
        <v>0</v>
      </c>
      <c r="D68" s="29" t="e">
        <f t="shared" si="2"/>
        <v>#REF!</v>
      </c>
      <c r="E68" t="e">
        <f t="shared" si="3"/>
        <v>#REF!</v>
      </c>
      <c r="H68" t="s">
        <v>2733</v>
      </c>
      <c r="I68" s="29">
        <v>205371.69027749883</v>
      </c>
      <c r="J68" s="29">
        <f t="shared" si="0"/>
        <v>0</v>
      </c>
    </row>
    <row r="69" spans="1:10">
      <c r="A69" s="729" t="s">
        <v>2741</v>
      </c>
      <c r="B69" s="29" t="e">
        <f>SUMIF(#REF!,A69,#REF!)</f>
        <v>#REF!</v>
      </c>
      <c r="C69" s="29">
        <f t="shared" si="1"/>
        <v>0</v>
      </c>
      <c r="D69" s="29" t="e">
        <f t="shared" si="2"/>
        <v>#REF!</v>
      </c>
      <c r="E69" t="e">
        <f t="shared" si="3"/>
        <v>#REF!</v>
      </c>
      <c r="H69" t="s">
        <v>2734</v>
      </c>
      <c r="I69" s="29">
        <v>6.5896045550968152</v>
      </c>
      <c r="J69" s="29">
        <f t="shared" si="0"/>
        <v>0</v>
      </c>
    </row>
    <row r="70" spans="1:10">
      <c r="A70" s="729" t="s">
        <v>2742</v>
      </c>
      <c r="B70" s="29" t="e">
        <f>SUMIF(#REF!,A70,#REF!)</f>
        <v>#REF!</v>
      </c>
      <c r="C70" s="29">
        <f t="shared" si="1"/>
        <v>0</v>
      </c>
      <c r="D70" s="29" t="e">
        <f t="shared" si="2"/>
        <v>#REF!</v>
      </c>
      <c r="E70" t="e">
        <f t="shared" si="3"/>
        <v>#REF!</v>
      </c>
      <c r="H70" t="s">
        <v>2735</v>
      </c>
      <c r="I70" s="29">
        <v>0</v>
      </c>
      <c r="J70" s="29">
        <f t="shared" ref="J70:J133" si="4">I70/$I$230*$J$4</f>
        <v>0</v>
      </c>
    </row>
    <row r="71" spans="1:10">
      <c r="A71" s="729" t="s">
        <v>2716</v>
      </c>
      <c r="B71" s="29" t="e">
        <f>SUMIF(#REF!,A71,#REF!)</f>
        <v>#REF!</v>
      </c>
      <c r="C71" s="29">
        <f t="shared" ref="C71:C134" si="5">-SUMIF($H$6:$H$228,$A71,$J$6:$J$228)</f>
        <v>0</v>
      </c>
      <c r="D71" s="29" t="e">
        <f t="shared" ref="D71:D134" si="6">IF(+C71-B71&gt;0,0,+C71-B71)</f>
        <v>#REF!</v>
      </c>
      <c r="E71" t="e">
        <f t="shared" ref="E71:E134" si="7">IF(+C71-B71&gt;0,"Check as collected more than budget","")</f>
        <v>#REF!</v>
      </c>
      <c r="H71" t="s">
        <v>2736</v>
      </c>
      <c r="I71" s="29">
        <v>5685.8979825638307</v>
      </c>
      <c r="J71" s="29">
        <f t="shared" si="4"/>
        <v>0</v>
      </c>
    </row>
    <row r="72" spans="1:10">
      <c r="A72" s="729" t="s">
        <v>2743</v>
      </c>
      <c r="B72" s="29" t="e">
        <f>SUMIF(#REF!,A72,#REF!)</f>
        <v>#REF!</v>
      </c>
      <c r="C72" s="29">
        <f t="shared" si="5"/>
        <v>0</v>
      </c>
      <c r="D72" s="29" t="e">
        <f t="shared" si="6"/>
        <v>#REF!</v>
      </c>
      <c r="E72" t="e">
        <f t="shared" si="7"/>
        <v>#REF!</v>
      </c>
      <c r="H72" t="s">
        <v>2737</v>
      </c>
      <c r="I72" s="29">
        <v>0</v>
      </c>
      <c r="J72" s="29">
        <f t="shared" si="4"/>
        <v>0</v>
      </c>
    </row>
    <row r="73" spans="1:10">
      <c r="A73" s="729" t="s">
        <v>2744</v>
      </c>
      <c r="B73" s="29" t="e">
        <f>SUMIF(#REF!,A73,#REF!)</f>
        <v>#REF!</v>
      </c>
      <c r="C73" s="29">
        <f t="shared" si="5"/>
        <v>0</v>
      </c>
      <c r="D73" s="29" t="e">
        <f t="shared" si="6"/>
        <v>#REF!</v>
      </c>
      <c r="E73" t="e">
        <f t="shared" si="7"/>
        <v>#REF!</v>
      </c>
      <c r="H73" t="s">
        <v>2738</v>
      </c>
      <c r="I73" s="29">
        <v>1668.9512565633026</v>
      </c>
      <c r="J73" s="29">
        <f t="shared" si="4"/>
        <v>0</v>
      </c>
    </row>
    <row r="74" spans="1:10">
      <c r="A74" s="729" t="s">
        <v>2745</v>
      </c>
      <c r="B74" s="29" t="e">
        <f>SUMIF(#REF!,A74,#REF!)</f>
        <v>#REF!</v>
      </c>
      <c r="C74" s="29">
        <f t="shared" si="5"/>
        <v>0</v>
      </c>
      <c r="D74" s="29" t="e">
        <f t="shared" si="6"/>
        <v>#REF!</v>
      </c>
      <c r="E74" t="e">
        <f t="shared" si="7"/>
        <v>#REF!</v>
      </c>
      <c r="H74" t="s">
        <v>2739</v>
      </c>
      <c r="I74" s="29">
        <v>7.6291046646066834</v>
      </c>
      <c r="J74" s="29">
        <f t="shared" si="4"/>
        <v>0</v>
      </c>
    </row>
    <row r="75" spans="1:10">
      <c r="A75" s="729" t="s">
        <v>2746</v>
      </c>
      <c r="B75" s="29" t="e">
        <f>SUMIF(#REF!,A75,#REF!)</f>
        <v>#REF!</v>
      </c>
      <c r="C75" s="29">
        <f t="shared" si="5"/>
        <v>0</v>
      </c>
      <c r="D75" s="29" t="e">
        <f t="shared" si="6"/>
        <v>#REF!</v>
      </c>
      <c r="E75" t="e">
        <f t="shared" si="7"/>
        <v>#REF!</v>
      </c>
      <c r="H75" t="s">
        <v>2740</v>
      </c>
      <c r="I75" s="29">
        <v>1221190.391538081</v>
      </c>
      <c r="J75" s="29">
        <f t="shared" si="4"/>
        <v>0</v>
      </c>
    </row>
    <row r="76" spans="1:10">
      <c r="A76" s="729" t="s">
        <v>2747</v>
      </c>
      <c r="B76" s="29" t="e">
        <f>SUMIF(#REF!,A76,#REF!)</f>
        <v>#REF!</v>
      </c>
      <c r="C76" s="29">
        <f t="shared" si="5"/>
        <v>0</v>
      </c>
      <c r="D76" s="29" t="e">
        <f t="shared" si="6"/>
        <v>#REF!</v>
      </c>
      <c r="E76" t="e">
        <f t="shared" si="7"/>
        <v>#REF!</v>
      </c>
      <c r="H76" t="s">
        <v>2741</v>
      </c>
      <c r="I76" s="29">
        <v>0</v>
      </c>
      <c r="J76" s="29">
        <f t="shared" si="4"/>
        <v>0</v>
      </c>
    </row>
    <row r="77" spans="1:10">
      <c r="A77" s="729" t="s">
        <v>2748</v>
      </c>
      <c r="B77" s="29" t="e">
        <f>SUMIF(#REF!,A77,#REF!)</f>
        <v>#REF!</v>
      </c>
      <c r="C77" s="29">
        <f t="shared" si="5"/>
        <v>0</v>
      </c>
      <c r="D77" s="29" t="e">
        <f t="shared" si="6"/>
        <v>#REF!</v>
      </c>
      <c r="E77" t="e">
        <f t="shared" si="7"/>
        <v>#REF!</v>
      </c>
      <c r="H77" t="s">
        <v>2742</v>
      </c>
      <c r="I77" s="29">
        <v>0</v>
      </c>
      <c r="J77" s="29">
        <f t="shared" si="4"/>
        <v>0</v>
      </c>
    </row>
    <row r="78" spans="1:10">
      <c r="A78" s="729" t="s">
        <v>2749</v>
      </c>
      <c r="B78" s="29" t="e">
        <f>SUMIF(#REF!,A78,#REF!)</f>
        <v>#REF!</v>
      </c>
      <c r="C78" s="29">
        <f t="shared" si="5"/>
        <v>0</v>
      </c>
      <c r="D78" s="29" t="e">
        <f t="shared" si="6"/>
        <v>#REF!</v>
      </c>
      <c r="E78" t="e">
        <f t="shared" si="7"/>
        <v>#REF!</v>
      </c>
      <c r="H78" t="s">
        <v>2743</v>
      </c>
      <c r="I78" s="29">
        <v>0</v>
      </c>
      <c r="J78" s="29">
        <f t="shared" si="4"/>
        <v>0</v>
      </c>
    </row>
    <row r="79" spans="1:10">
      <c r="A79" s="729" t="s">
        <v>2750</v>
      </c>
      <c r="B79" s="29" t="e">
        <f>SUMIF(#REF!,A79,#REF!)</f>
        <v>#REF!</v>
      </c>
      <c r="C79" s="29">
        <f t="shared" si="5"/>
        <v>0</v>
      </c>
      <c r="D79" s="29" t="e">
        <f t="shared" si="6"/>
        <v>#REF!</v>
      </c>
      <c r="E79" t="e">
        <f t="shared" si="7"/>
        <v>#REF!</v>
      </c>
      <c r="H79" t="s">
        <v>2744</v>
      </c>
      <c r="I79" s="29">
        <v>0</v>
      </c>
      <c r="J79" s="29">
        <f t="shared" si="4"/>
        <v>0</v>
      </c>
    </row>
    <row r="80" spans="1:10">
      <c r="A80" s="729" t="s">
        <v>2751</v>
      </c>
      <c r="B80" s="29" t="e">
        <f>SUMIF(#REF!,A80,#REF!)</f>
        <v>#REF!</v>
      </c>
      <c r="C80" s="29">
        <f t="shared" si="5"/>
        <v>0</v>
      </c>
      <c r="D80" s="29" t="e">
        <f t="shared" si="6"/>
        <v>#REF!</v>
      </c>
      <c r="E80" t="e">
        <f t="shared" si="7"/>
        <v>#REF!</v>
      </c>
      <c r="H80" t="s">
        <v>2745</v>
      </c>
      <c r="I80" s="29">
        <v>0</v>
      </c>
      <c r="J80" s="29">
        <f t="shared" si="4"/>
        <v>0</v>
      </c>
    </row>
    <row r="81" spans="1:10">
      <c r="A81" s="729" t="s">
        <v>2752</v>
      </c>
      <c r="B81" s="29" t="e">
        <f>SUMIF(#REF!,A81,#REF!)</f>
        <v>#REF!</v>
      </c>
      <c r="C81" s="29">
        <f t="shared" si="5"/>
        <v>0</v>
      </c>
      <c r="D81" s="29" t="e">
        <f t="shared" si="6"/>
        <v>#REF!</v>
      </c>
      <c r="E81" t="e">
        <f t="shared" si="7"/>
        <v>#REF!</v>
      </c>
      <c r="H81" t="s">
        <v>2746</v>
      </c>
      <c r="I81" s="29">
        <v>0</v>
      </c>
      <c r="J81" s="29">
        <f t="shared" si="4"/>
        <v>0</v>
      </c>
    </row>
    <row r="82" spans="1:10">
      <c r="A82" s="729" t="s">
        <v>2717</v>
      </c>
      <c r="B82" s="29" t="e">
        <f>SUMIF(#REF!,A82,#REF!)</f>
        <v>#REF!</v>
      </c>
      <c r="C82" s="29">
        <f t="shared" si="5"/>
        <v>0</v>
      </c>
      <c r="D82" s="29" t="e">
        <f t="shared" si="6"/>
        <v>#REF!</v>
      </c>
      <c r="E82" t="e">
        <f t="shared" si="7"/>
        <v>#REF!</v>
      </c>
      <c r="H82" t="s">
        <v>2747</v>
      </c>
      <c r="I82" s="29">
        <v>0</v>
      </c>
      <c r="J82" s="29">
        <f t="shared" si="4"/>
        <v>0</v>
      </c>
    </row>
    <row r="83" spans="1:10">
      <c r="A83" s="729" t="s">
        <v>2753</v>
      </c>
      <c r="B83" s="29" t="e">
        <f>SUMIF(#REF!,A83,#REF!)</f>
        <v>#REF!</v>
      </c>
      <c r="C83" s="29">
        <f t="shared" si="5"/>
        <v>0</v>
      </c>
      <c r="D83" s="29" t="e">
        <f t="shared" si="6"/>
        <v>#REF!</v>
      </c>
      <c r="E83" t="e">
        <f t="shared" si="7"/>
        <v>#REF!</v>
      </c>
      <c r="H83" t="s">
        <v>2748</v>
      </c>
      <c r="I83" s="29">
        <v>0</v>
      </c>
      <c r="J83" s="29">
        <f t="shared" si="4"/>
        <v>0</v>
      </c>
    </row>
    <row r="84" spans="1:10">
      <c r="A84" s="729" t="s">
        <v>2754</v>
      </c>
      <c r="B84" s="29" t="e">
        <f>SUMIF(#REF!,A84,#REF!)</f>
        <v>#REF!</v>
      </c>
      <c r="C84" s="29">
        <f t="shared" si="5"/>
        <v>0</v>
      </c>
      <c r="D84" s="29" t="e">
        <f t="shared" si="6"/>
        <v>#REF!</v>
      </c>
      <c r="E84" t="e">
        <f t="shared" si="7"/>
        <v>#REF!</v>
      </c>
      <c r="H84" t="s">
        <v>2749</v>
      </c>
      <c r="I84" s="29">
        <v>0</v>
      </c>
      <c r="J84" s="29">
        <f t="shared" si="4"/>
        <v>0</v>
      </c>
    </row>
    <row r="85" spans="1:10">
      <c r="A85" s="729" t="s">
        <v>2755</v>
      </c>
      <c r="B85" s="29" t="e">
        <f>SUMIF(#REF!,A85,#REF!)</f>
        <v>#REF!</v>
      </c>
      <c r="C85" s="29">
        <f t="shared" si="5"/>
        <v>0</v>
      </c>
      <c r="D85" s="29" t="e">
        <f t="shared" si="6"/>
        <v>#REF!</v>
      </c>
      <c r="E85" t="e">
        <f t="shared" si="7"/>
        <v>#REF!</v>
      </c>
      <c r="H85" t="s">
        <v>2750</v>
      </c>
      <c r="I85" s="29">
        <v>0</v>
      </c>
      <c r="J85" s="29">
        <f t="shared" si="4"/>
        <v>0</v>
      </c>
    </row>
    <row r="86" spans="1:10">
      <c r="A86" s="729" t="s">
        <v>2756</v>
      </c>
      <c r="B86" s="29" t="e">
        <f>SUMIF(#REF!,A86,#REF!)</f>
        <v>#REF!</v>
      </c>
      <c r="C86" s="29">
        <f t="shared" si="5"/>
        <v>0</v>
      </c>
      <c r="D86" s="29" t="e">
        <f t="shared" si="6"/>
        <v>#REF!</v>
      </c>
      <c r="E86" t="e">
        <f t="shared" si="7"/>
        <v>#REF!</v>
      </c>
      <c r="H86" t="s">
        <v>2751</v>
      </c>
      <c r="I86" s="29">
        <v>0</v>
      </c>
      <c r="J86" s="29">
        <f t="shared" si="4"/>
        <v>0</v>
      </c>
    </row>
    <row r="87" spans="1:10">
      <c r="A87" s="729" t="s">
        <v>2718</v>
      </c>
      <c r="B87" s="29" t="e">
        <f>SUMIF(#REF!,A87,#REF!)</f>
        <v>#REF!</v>
      </c>
      <c r="C87" s="29">
        <f t="shared" si="5"/>
        <v>0</v>
      </c>
      <c r="D87" s="29" t="e">
        <f t="shared" si="6"/>
        <v>#REF!</v>
      </c>
      <c r="E87" t="e">
        <f t="shared" si="7"/>
        <v>#REF!</v>
      </c>
      <c r="H87" t="s">
        <v>2752</v>
      </c>
      <c r="I87" s="29">
        <v>0</v>
      </c>
      <c r="J87" s="29">
        <f t="shared" si="4"/>
        <v>0</v>
      </c>
    </row>
    <row r="88" spans="1:10">
      <c r="A88" s="729" t="s">
        <v>2719</v>
      </c>
      <c r="B88" s="29" t="e">
        <f>SUMIF(#REF!,A88,#REF!)</f>
        <v>#REF!</v>
      </c>
      <c r="C88" s="29">
        <f t="shared" si="5"/>
        <v>0</v>
      </c>
      <c r="D88" s="29" t="e">
        <f t="shared" si="6"/>
        <v>#REF!</v>
      </c>
      <c r="E88" t="e">
        <f t="shared" si="7"/>
        <v>#REF!</v>
      </c>
      <c r="H88" t="s">
        <v>2753</v>
      </c>
      <c r="I88" s="29">
        <v>0</v>
      </c>
      <c r="J88" s="29">
        <f t="shared" si="4"/>
        <v>0</v>
      </c>
    </row>
    <row r="89" spans="1:10">
      <c r="A89" s="729" t="s">
        <v>2720</v>
      </c>
      <c r="B89" s="29" t="e">
        <f>SUMIF(#REF!,A89,#REF!)</f>
        <v>#REF!</v>
      </c>
      <c r="C89" s="29">
        <f t="shared" si="5"/>
        <v>0</v>
      </c>
      <c r="D89" s="29" t="e">
        <f t="shared" si="6"/>
        <v>#REF!</v>
      </c>
      <c r="E89" t="e">
        <f t="shared" si="7"/>
        <v>#REF!</v>
      </c>
      <c r="H89" t="s">
        <v>2754</v>
      </c>
      <c r="I89" s="29">
        <v>0</v>
      </c>
      <c r="J89" s="29">
        <f t="shared" si="4"/>
        <v>0</v>
      </c>
    </row>
    <row r="90" spans="1:10">
      <c r="A90" s="729" t="s">
        <v>2721</v>
      </c>
      <c r="B90" s="29" t="e">
        <f>SUMIF(#REF!,A90,#REF!)</f>
        <v>#REF!</v>
      </c>
      <c r="C90" s="29">
        <f t="shared" si="5"/>
        <v>0</v>
      </c>
      <c r="D90" s="29" t="e">
        <f t="shared" si="6"/>
        <v>#REF!</v>
      </c>
      <c r="E90" t="e">
        <f t="shared" si="7"/>
        <v>#REF!</v>
      </c>
      <c r="H90" t="s">
        <v>2755</v>
      </c>
      <c r="I90" s="29">
        <v>0</v>
      </c>
      <c r="J90" s="29">
        <f t="shared" si="4"/>
        <v>0</v>
      </c>
    </row>
    <row r="91" spans="1:10">
      <c r="A91" s="729" t="s">
        <v>2722</v>
      </c>
      <c r="B91" s="29" t="e">
        <f>SUMIF(#REF!,A91,#REF!)</f>
        <v>#REF!</v>
      </c>
      <c r="C91" s="29">
        <f t="shared" si="5"/>
        <v>0</v>
      </c>
      <c r="D91" s="29" t="e">
        <f t="shared" si="6"/>
        <v>#REF!</v>
      </c>
      <c r="E91" t="e">
        <f t="shared" si="7"/>
        <v>#REF!</v>
      </c>
      <c r="H91" t="s">
        <v>2756</v>
      </c>
      <c r="I91" s="29">
        <v>0</v>
      </c>
      <c r="J91" s="29">
        <f t="shared" si="4"/>
        <v>0</v>
      </c>
    </row>
    <row r="92" spans="1:10">
      <c r="A92" s="729" t="s">
        <v>2629</v>
      </c>
      <c r="B92" s="29" t="e">
        <f>SUMIF(#REF!,A92,#REF!)</f>
        <v>#REF!</v>
      </c>
      <c r="C92" s="29">
        <f t="shared" si="5"/>
        <v>0</v>
      </c>
      <c r="D92" s="29" t="e">
        <f t="shared" si="6"/>
        <v>#REF!</v>
      </c>
      <c r="E92" t="e">
        <f t="shared" si="7"/>
        <v>#REF!</v>
      </c>
      <c r="H92" t="s">
        <v>2842</v>
      </c>
      <c r="I92" s="29">
        <v>8641584.6192302927</v>
      </c>
      <c r="J92" s="29">
        <f t="shared" si="4"/>
        <v>0</v>
      </c>
    </row>
    <row r="93" spans="1:10">
      <c r="A93" s="729" t="s">
        <v>2646</v>
      </c>
      <c r="B93" s="29" t="e">
        <f>SUMIF(#REF!,A93,#REF!)</f>
        <v>#REF!</v>
      </c>
      <c r="C93" s="29">
        <f t="shared" si="5"/>
        <v>0</v>
      </c>
      <c r="D93" s="29" t="e">
        <f t="shared" si="6"/>
        <v>#REF!</v>
      </c>
      <c r="E93" t="e">
        <f t="shared" si="7"/>
        <v>#REF!</v>
      </c>
      <c r="H93" t="s">
        <v>2843</v>
      </c>
      <c r="I93" s="29">
        <v>0</v>
      </c>
      <c r="J93" s="29">
        <f t="shared" si="4"/>
        <v>0</v>
      </c>
    </row>
    <row r="94" spans="1:10">
      <c r="A94" s="729" t="s">
        <v>2648</v>
      </c>
      <c r="B94" s="29" t="e">
        <f>SUMIF(#REF!,A94,#REF!)</f>
        <v>#REF!</v>
      </c>
      <c r="C94" s="29">
        <f t="shared" si="5"/>
        <v>0</v>
      </c>
      <c r="D94" s="29" t="e">
        <f t="shared" si="6"/>
        <v>#REF!</v>
      </c>
      <c r="E94" t="e">
        <f t="shared" si="7"/>
        <v>#REF!</v>
      </c>
      <c r="H94" t="s">
        <v>2844</v>
      </c>
      <c r="I94" s="29">
        <v>1.9314868014147567E-2</v>
      </c>
      <c r="J94" s="29">
        <f t="shared" si="4"/>
        <v>0</v>
      </c>
    </row>
    <row r="95" spans="1:10">
      <c r="A95" s="729" t="s">
        <v>2650</v>
      </c>
      <c r="B95" s="29" t="e">
        <f>SUMIF(#REF!,A95,#REF!)</f>
        <v>#REF!</v>
      </c>
      <c r="C95" s="29">
        <f t="shared" si="5"/>
        <v>0</v>
      </c>
      <c r="D95" s="29" t="e">
        <f t="shared" si="6"/>
        <v>#REF!</v>
      </c>
      <c r="E95" t="e">
        <f t="shared" si="7"/>
        <v>#REF!</v>
      </c>
      <c r="H95" t="s">
        <v>2845</v>
      </c>
      <c r="I95" s="29">
        <v>0</v>
      </c>
      <c r="J95" s="29">
        <f t="shared" si="4"/>
        <v>0</v>
      </c>
    </row>
    <row r="96" spans="1:10">
      <c r="A96" s="729" t="s">
        <v>2652</v>
      </c>
      <c r="B96" s="29" t="e">
        <f>SUMIF(#REF!,A96,#REF!)</f>
        <v>#REF!</v>
      </c>
      <c r="C96" s="29">
        <f t="shared" si="5"/>
        <v>0</v>
      </c>
      <c r="D96" s="29" t="e">
        <f t="shared" si="6"/>
        <v>#REF!</v>
      </c>
      <c r="E96" t="e">
        <f t="shared" si="7"/>
        <v>#REF!</v>
      </c>
      <c r="H96" t="s">
        <v>2846</v>
      </c>
      <c r="I96" s="29">
        <v>0</v>
      </c>
      <c r="J96" s="29">
        <f t="shared" si="4"/>
        <v>0</v>
      </c>
    </row>
    <row r="97" spans="1:10">
      <c r="A97" s="729" t="s">
        <v>2654</v>
      </c>
      <c r="B97" s="29" t="e">
        <f>SUMIF(#REF!,A97,#REF!)</f>
        <v>#REF!</v>
      </c>
      <c r="C97" s="29">
        <f t="shared" si="5"/>
        <v>0</v>
      </c>
      <c r="D97" s="29" t="e">
        <f t="shared" si="6"/>
        <v>#REF!</v>
      </c>
      <c r="E97" t="e">
        <f t="shared" si="7"/>
        <v>#REF!</v>
      </c>
      <c r="H97" t="s">
        <v>2847</v>
      </c>
      <c r="I97" s="29">
        <v>0</v>
      </c>
      <c r="J97" s="29">
        <f t="shared" si="4"/>
        <v>0</v>
      </c>
    </row>
    <row r="98" spans="1:10">
      <c r="A98" s="729" t="s">
        <v>2656</v>
      </c>
      <c r="B98" s="29" t="e">
        <f>SUMIF(#REF!,A98,#REF!)</f>
        <v>#REF!</v>
      </c>
      <c r="C98" s="29">
        <f t="shared" si="5"/>
        <v>0</v>
      </c>
      <c r="D98" s="29" t="e">
        <f t="shared" si="6"/>
        <v>#REF!</v>
      </c>
      <c r="E98" t="e">
        <f t="shared" si="7"/>
        <v>#REF!</v>
      </c>
      <c r="H98" t="s">
        <v>2848</v>
      </c>
      <c r="I98" s="29">
        <v>4449548.1686134106</v>
      </c>
      <c r="J98" s="29">
        <f t="shared" si="4"/>
        <v>0</v>
      </c>
    </row>
    <row r="99" spans="1:10">
      <c r="A99" s="729" t="s">
        <v>2658</v>
      </c>
      <c r="B99" s="29" t="e">
        <f>SUMIF(#REF!,A99,#REF!)</f>
        <v>#REF!</v>
      </c>
      <c r="C99" s="29">
        <f t="shared" si="5"/>
        <v>0</v>
      </c>
      <c r="D99" s="29" t="e">
        <f t="shared" si="6"/>
        <v>#REF!</v>
      </c>
      <c r="E99" t="e">
        <f t="shared" si="7"/>
        <v>#REF!</v>
      </c>
      <c r="H99" t="s">
        <v>2849</v>
      </c>
      <c r="I99" s="29">
        <v>0</v>
      </c>
      <c r="J99" s="29">
        <f t="shared" si="4"/>
        <v>0</v>
      </c>
    </row>
    <row r="100" spans="1:10">
      <c r="A100" s="729" t="s">
        <v>2660</v>
      </c>
      <c r="B100" s="29" t="e">
        <f>SUMIF(#REF!,A100,#REF!)</f>
        <v>#REF!</v>
      </c>
      <c r="C100" s="29">
        <f t="shared" si="5"/>
        <v>0</v>
      </c>
      <c r="D100" s="29" t="e">
        <f t="shared" si="6"/>
        <v>#REF!</v>
      </c>
      <c r="E100" t="e">
        <f t="shared" si="7"/>
        <v>#REF!</v>
      </c>
      <c r="H100" t="s">
        <v>2850</v>
      </c>
      <c r="I100" s="29">
        <v>0</v>
      </c>
      <c r="J100" s="29">
        <f t="shared" si="4"/>
        <v>0</v>
      </c>
    </row>
    <row r="101" spans="1:10">
      <c r="A101" s="729" t="s">
        <v>2662</v>
      </c>
      <c r="B101" s="29" t="e">
        <f>SUMIF(#REF!,A101,#REF!)</f>
        <v>#REF!</v>
      </c>
      <c r="C101" s="29">
        <f t="shared" si="5"/>
        <v>0</v>
      </c>
      <c r="D101" s="29" t="e">
        <f t="shared" si="6"/>
        <v>#REF!</v>
      </c>
      <c r="E101" t="e">
        <f t="shared" si="7"/>
        <v>#REF!</v>
      </c>
      <c r="H101" t="s">
        <v>2851</v>
      </c>
      <c r="I101" s="29">
        <v>769029.96476642648</v>
      </c>
      <c r="J101" s="29">
        <f t="shared" si="4"/>
        <v>0</v>
      </c>
    </row>
    <row r="102" spans="1:10">
      <c r="A102" s="729" t="s">
        <v>2664</v>
      </c>
      <c r="B102" s="29" t="e">
        <f>SUMIF(#REF!,A102,#REF!)</f>
        <v>#REF!</v>
      </c>
      <c r="C102" s="29">
        <f t="shared" si="5"/>
        <v>0</v>
      </c>
      <c r="D102" s="29" t="e">
        <f t="shared" si="6"/>
        <v>#REF!</v>
      </c>
      <c r="E102" t="e">
        <f t="shared" si="7"/>
        <v>#REF!</v>
      </c>
      <c r="H102" t="s">
        <v>2852</v>
      </c>
      <c r="I102" s="29">
        <v>178728.05148927818</v>
      </c>
      <c r="J102" s="29">
        <f t="shared" si="4"/>
        <v>0</v>
      </c>
    </row>
    <row r="103" spans="1:10">
      <c r="A103" s="729" t="s">
        <v>2631</v>
      </c>
      <c r="B103" s="29" t="e">
        <f>SUMIF(#REF!,A103,#REF!)</f>
        <v>#REF!</v>
      </c>
      <c r="C103" s="29">
        <f t="shared" si="5"/>
        <v>0</v>
      </c>
      <c r="D103" s="29" t="e">
        <f t="shared" si="6"/>
        <v>#REF!</v>
      </c>
      <c r="E103" t="e">
        <f t="shared" si="7"/>
        <v>#REF!</v>
      </c>
      <c r="H103" t="s">
        <v>2853</v>
      </c>
      <c r="I103" s="29">
        <v>5161.3152557832627</v>
      </c>
      <c r="J103" s="29">
        <f t="shared" si="4"/>
        <v>0</v>
      </c>
    </row>
    <row r="104" spans="1:10">
      <c r="A104" s="729" t="s">
        <v>2666</v>
      </c>
      <c r="B104" s="29" t="e">
        <f>SUMIF(#REF!,A104,#REF!)</f>
        <v>#REF!</v>
      </c>
      <c r="C104" s="29">
        <f t="shared" si="5"/>
        <v>0</v>
      </c>
      <c r="D104" s="29" t="e">
        <f t="shared" si="6"/>
        <v>#REF!</v>
      </c>
      <c r="E104" t="e">
        <f t="shared" si="7"/>
        <v>#REF!</v>
      </c>
      <c r="H104" t="s">
        <v>2854</v>
      </c>
      <c r="I104" s="29">
        <v>0</v>
      </c>
      <c r="J104" s="29">
        <f t="shared" si="4"/>
        <v>0</v>
      </c>
    </row>
    <row r="105" spans="1:10">
      <c r="A105" s="729" t="s">
        <v>2668</v>
      </c>
      <c r="B105" s="29" t="e">
        <f>SUMIF(#REF!,A105,#REF!)</f>
        <v>#REF!</v>
      </c>
      <c r="C105" s="29">
        <f t="shared" si="5"/>
        <v>0</v>
      </c>
      <c r="D105" s="29" t="e">
        <f t="shared" si="6"/>
        <v>#REF!</v>
      </c>
      <c r="E105" t="e">
        <f t="shared" si="7"/>
        <v>#REF!</v>
      </c>
      <c r="H105" t="s">
        <v>2855</v>
      </c>
      <c r="I105" s="29">
        <v>530066.34684244776</v>
      </c>
      <c r="J105" s="29">
        <f t="shared" si="4"/>
        <v>0</v>
      </c>
    </row>
    <row r="106" spans="1:10">
      <c r="A106" s="729" t="s">
        <v>2670</v>
      </c>
      <c r="B106" s="29" t="e">
        <f>SUMIF(#REF!,A106,#REF!)</f>
        <v>#REF!</v>
      </c>
      <c r="C106" s="29">
        <f t="shared" si="5"/>
        <v>0</v>
      </c>
      <c r="D106" s="29" t="e">
        <f t="shared" si="6"/>
        <v>#REF!</v>
      </c>
      <c r="E106" t="e">
        <f t="shared" si="7"/>
        <v>#REF!</v>
      </c>
      <c r="H106" t="s">
        <v>2856</v>
      </c>
      <c r="I106" s="29">
        <v>105141.55440921865</v>
      </c>
      <c r="J106" s="29">
        <f t="shared" si="4"/>
        <v>0</v>
      </c>
    </row>
    <row r="107" spans="1:10">
      <c r="A107" s="729" t="s">
        <v>2672</v>
      </c>
      <c r="B107" s="29" t="e">
        <f>SUMIF(#REF!,A107,#REF!)</f>
        <v>#REF!</v>
      </c>
      <c r="C107" s="29">
        <f t="shared" si="5"/>
        <v>0</v>
      </c>
      <c r="D107" s="29" t="e">
        <f t="shared" si="6"/>
        <v>#REF!</v>
      </c>
      <c r="E107" t="e">
        <f t="shared" si="7"/>
        <v>#REF!</v>
      </c>
      <c r="H107" t="s">
        <v>2857</v>
      </c>
      <c r="I107" s="29">
        <v>3650389.7511230041</v>
      </c>
      <c r="J107" s="29">
        <f t="shared" si="4"/>
        <v>0</v>
      </c>
    </row>
    <row r="108" spans="1:10">
      <c r="A108" s="729" t="s">
        <v>2674</v>
      </c>
      <c r="B108" s="29" t="e">
        <f>SUMIF(#REF!,A108,#REF!)</f>
        <v>#REF!</v>
      </c>
      <c r="C108" s="29">
        <f t="shared" si="5"/>
        <v>0</v>
      </c>
      <c r="D108" s="29" t="e">
        <f t="shared" si="6"/>
        <v>#REF!</v>
      </c>
      <c r="E108" t="e">
        <f t="shared" si="7"/>
        <v>#REF!</v>
      </c>
      <c r="H108" t="s">
        <v>2858</v>
      </c>
      <c r="I108" s="29">
        <v>968722.38305208646</v>
      </c>
      <c r="J108" s="29">
        <f t="shared" si="4"/>
        <v>0</v>
      </c>
    </row>
    <row r="109" spans="1:10">
      <c r="A109" s="729" t="s">
        <v>2676</v>
      </c>
      <c r="B109" s="29" t="e">
        <f>SUMIF(#REF!,A109,#REF!)</f>
        <v>#REF!</v>
      </c>
      <c r="C109" s="29">
        <f t="shared" si="5"/>
        <v>0</v>
      </c>
      <c r="D109" s="29" t="e">
        <f t="shared" si="6"/>
        <v>#REF!</v>
      </c>
      <c r="E109" t="e">
        <f t="shared" si="7"/>
        <v>#REF!</v>
      </c>
      <c r="H109" t="s">
        <v>2859</v>
      </c>
      <c r="I109" s="29">
        <v>6716955.7992490726</v>
      </c>
      <c r="J109" s="29">
        <f t="shared" si="4"/>
        <v>0</v>
      </c>
    </row>
    <row r="110" spans="1:10">
      <c r="A110" s="729" t="s">
        <v>2678</v>
      </c>
      <c r="B110" s="29" t="e">
        <f>SUMIF(#REF!,A110,#REF!)</f>
        <v>#REF!</v>
      </c>
      <c r="C110" s="29">
        <f t="shared" si="5"/>
        <v>0</v>
      </c>
      <c r="D110" s="29" t="e">
        <f t="shared" si="6"/>
        <v>#REF!</v>
      </c>
      <c r="E110" t="e">
        <f t="shared" si="7"/>
        <v>#REF!</v>
      </c>
      <c r="H110" t="s">
        <v>2860</v>
      </c>
      <c r="I110" s="29">
        <v>1391362.7393747536</v>
      </c>
      <c r="J110" s="29">
        <f t="shared" si="4"/>
        <v>0</v>
      </c>
    </row>
    <row r="111" spans="1:10">
      <c r="A111" s="729" t="s">
        <v>2680</v>
      </c>
      <c r="B111" s="29" t="e">
        <f>SUMIF(#REF!,A111,#REF!)</f>
        <v>#REF!</v>
      </c>
      <c r="C111" s="29">
        <f t="shared" si="5"/>
        <v>0</v>
      </c>
      <c r="D111" s="29" t="e">
        <f t="shared" si="6"/>
        <v>#REF!</v>
      </c>
      <c r="E111" t="e">
        <f t="shared" si="7"/>
        <v>#REF!</v>
      </c>
      <c r="H111" t="s">
        <v>2861</v>
      </c>
      <c r="I111" s="29">
        <v>144029.39402135662</v>
      </c>
      <c r="J111" s="29">
        <f t="shared" si="4"/>
        <v>0</v>
      </c>
    </row>
    <row r="112" spans="1:10">
      <c r="A112" s="729" t="s">
        <v>2682</v>
      </c>
      <c r="B112" s="29" t="e">
        <f>SUMIF(#REF!,A112,#REF!)</f>
        <v>#REF!</v>
      </c>
      <c r="C112" s="29">
        <f t="shared" si="5"/>
        <v>0</v>
      </c>
      <c r="D112" s="29" t="e">
        <f t="shared" si="6"/>
        <v>#REF!</v>
      </c>
      <c r="E112" t="e">
        <f t="shared" si="7"/>
        <v>#REF!</v>
      </c>
      <c r="H112" t="s">
        <v>2862</v>
      </c>
      <c r="I112" s="29">
        <v>60206.041917312134</v>
      </c>
      <c r="J112" s="29">
        <f t="shared" si="4"/>
        <v>0</v>
      </c>
    </row>
    <row r="113" spans="1:10">
      <c r="A113" s="729" t="s">
        <v>2684</v>
      </c>
      <c r="B113" s="29" t="e">
        <f>SUMIF(#REF!,A113,#REF!)</f>
        <v>#REF!</v>
      </c>
      <c r="C113" s="29">
        <f t="shared" si="5"/>
        <v>0</v>
      </c>
      <c r="D113" s="29" t="e">
        <f t="shared" si="6"/>
        <v>#REF!</v>
      </c>
      <c r="E113" t="e">
        <f t="shared" si="7"/>
        <v>#REF!</v>
      </c>
      <c r="H113" t="s">
        <v>2863</v>
      </c>
      <c r="I113" s="29">
        <v>29898.729707442872</v>
      </c>
      <c r="J113" s="29">
        <f t="shared" si="4"/>
        <v>0</v>
      </c>
    </row>
    <row r="114" spans="1:10">
      <c r="A114" s="729" t="s">
        <v>2633</v>
      </c>
      <c r="B114" s="29" t="e">
        <f>SUMIF(#REF!,A114,#REF!)</f>
        <v>#REF!</v>
      </c>
      <c r="C114" s="29">
        <f t="shared" si="5"/>
        <v>0</v>
      </c>
      <c r="D114" s="29" t="e">
        <f t="shared" si="6"/>
        <v>#REF!</v>
      </c>
      <c r="E114" t="e">
        <f t="shared" si="7"/>
        <v>#REF!</v>
      </c>
      <c r="H114" t="s">
        <v>2864</v>
      </c>
      <c r="I114" s="29">
        <v>-1.1389419286617282E-2</v>
      </c>
      <c r="J114" s="29">
        <f t="shared" si="4"/>
        <v>0</v>
      </c>
    </row>
    <row r="115" spans="1:10">
      <c r="A115" s="729" t="s">
        <v>2686</v>
      </c>
      <c r="B115" s="29" t="e">
        <f>SUMIF(#REF!,A115,#REF!)</f>
        <v>#REF!</v>
      </c>
      <c r="C115" s="29">
        <f t="shared" si="5"/>
        <v>0</v>
      </c>
      <c r="D115" s="29" t="e">
        <f t="shared" si="6"/>
        <v>#REF!</v>
      </c>
      <c r="E115" t="e">
        <f t="shared" si="7"/>
        <v>#REF!</v>
      </c>
      <c r="H115" t="s">
        <v>2865</v>
      </c>
      <c r="I115" s="29">
        <v>32449.312054249353</v>
      </c>
      <c r="J115" s="29">
        <f t="shared" si="4"/>
        <v>0</v>
      </c>
    </row>
    <row r="116" spans="1:10">
      <c r="A116" s="729" t="s">
        <v>2688</v>
      </c>
      <c r="B116" s="29" t="e">
        <f>SUMIF(#REF!,A116,#REF!)</f>
        <v>#REF!</v>
      </c>
      <c r="C116" s="29">
        <f t="shared" si="5"/>
        <v>0</v>
      </c>
      <c r="D116" s="29" t="e">
        <f t="shared" si="6"/>
        <v>#REF!</v>
      </c>
      <c r="E116" t="e">
        <f t="shared" si="7"/>
        <v>#REF!</v>
      </c>
      <c r="H116" t="s">
        <v>2866</v>
      </c>
      <c r="I116" s="29">
        <v>62318.240015226511</v>
      </c>
      <c r="J116" s="29">
        <f t="shared" si="4"/>
        <v>0</v>
      </c>
    </row>
    <row r="117" spans="1:10">
      <c r="A117" s="729" t="s">
        <v>2690</v>
      </c>
      <c r="B117" s="29" t="e">
        <f>SUMIF(#REF!,A117,#REF!)</f>
        <v>#REF!</v>
      </c>
      <c r="C117" s="29">
        <f t="shared" si="5"/>
        <v>0</v>
      </c>
      <c r="D117" s="29" t="e">
        <f t="shared" si="6"/>
        <v>#REF!</v>
      </c>
      <c r="E117" t="e">
        <f t="shared" si="7"/>
        <v>#REF!</v>
      </c>
      <c r="H117" t="s">
        <v>2867</v>
      </c>
      <c r="I117" s="29">
        <v>32097.834374073795</v>
      </c>
      <c r="J117" s="29">
        <f t="shared" si="4"/>
        <v>0</v>
      </c>
    </row>
    <row r="118" spans="1:10">
      <c r="A118" s="729" t="s">
        <v>2692</v>
      </c>
      <c r="B118" s="29" t="e">
        <f>SUMIF(#REF!,A118,#REF!)</f>
        <v>#REF!</v>
      </c>
      <c r="C118" s="29">
        <f t="shared" si="5"/>
        <v>0</v>
      </c>
      <c r="D118" s="29" t="e">
        <f t="shared" si="6"/>
        <v>#REF!</v>
      </c>
      <c r="E118" t="e">
        <f t="shared" si="7"/>
        <v>#REF!</v>
      </c>
      <c r="H118" t="s">
        <v>2868</v>
      </c>
      <c r="I118" s="29">
        <v>0</v>
      </c>
      <c r="J118" s="29">
        <f t="shared" si="4"/>
        <v>0</v>
      </c>
    </row>
    <row r="119" spans="1:10">
      <c r="A119" s="729" t="s">
        <v>2694</v>
      </c>
      <c r="B119" s="29" t="e">
        <f>SUMIF(#REF!,A119,#REF!)</f>
        <v>#REF!</v>
      </c>
      <c r="C119" s="29">
        <f t="shared" si="5"/>
        <v>0</v>
      </c>
      <c r="D119" s="29" t="e">
        <f t="shared" si="6"/>
        <v>#REF!</v>
      </c>
      <c r="E119" t="e">
        <f t="shared" si="7"/>
        <v>#REF!</v>
      </c>
      <c r="H119" t="s">
        <v>2869</v>
      </c>
      <c r="I119" s="29">
        <v>0</v>
      </c>
      <c r="J119" s="29">
        <f t="shared" si="4"/>
        <v>0</v>
      </c>
    </row>
    <row r="120" spans="1:10">
      <c r="A120" s="729" t="s">
        <v>2696</v>
      </c>
      <c r="B120" s="29" t="e">
        <f>SUMIF(#REF!,A120,#REF!)</f>
        <v>#REF!</v>
      </c>
      <c r="C120" s="29">
        <f t="shared" si="5"/>
        <v>0</v>
      </c>
      <c r="D120" s="29" t="e">
        <f t="shared" si="6"/>
        <v>#REF!</v>
      </c>
      <c r="E120" t="e">
        <f t="shared" si="7"/>
        <v>#REF!</v>
      </c>
      <c r="H120" t="s">
        <v>2870</v>
      </c>
      <c r="I120" s="29">
        <v>0</v>
      </c>
      <c r="J120" s="29">
        <f t="shared" si="4"/>
        <v>0</v>
      </c>
    </row>
    <row r="121" spans="1:10">
      <c r="A121" s="729" t="s">
        <v>2698</v>
      </c>
      <c r="B121" s="29" t="e">
        <f>SUMIF(#REF!,A121,#REF!)</f>
        <v>#REF!</v>
      </c>
      <c r="C121" s="29">
        <f t="shared" si="5"/>
        <v>0</v>
      </c>
      <c r="D121" s="29" t="e">
        <f t="shared" si="6"/>
        <v>#REF!</v>
      </c>
      <c r="E121" t="e">
        <f t="shared" si="7"/>
        <v>#REF!</v>
      </c>
      <c r="H121" t="s">
        <v>2871</v>
      </c>
      <c r="I121" s="29">
        <v>0</v>
      </c>
      <c r="J121" s="29">
        <f t="shared" si="4"/>
        <v>0</v>
      </c>
    </row>
    <row r="122" spans="1:10">
      <c r="A122" s="729" t="s">
        <v>2700</v>
      </c>
      <c r="B122" s="29" t="e">
        <f>SUMIF(#REF!,A122,#REF!)</f>
        <v>#REF!</v>
      </c>
      <c r="C122" s="29">
        <f t="shared" si="5"/>
        <v>0</v>
      </c>
      <c r="D122" s="29" t="e">
        <f t="shared" si="6"/>
        <v>#REF!</v>
      </c>
      <c r="E122" t="e">
        <f t="shared" si="7"/>
        <v>#REF!</v>
      </c>
      <c r="H122" t="s">
        <v>2872</v>
      </c>
      <c r="I122" s="29">
        <v>0</v>
      </c>
      <c r="J122" s="29">
        <f t="shared" si="4"/>
        <v>0</v>
      </c>
    </row>
    <row r="123" spans="1:10">
      <c r="A123" s="729" t="s">
        <v>2702</v>
      </c>
      <c r="B123" s="29" t="e">
        <f>SUMIF(#REF!,A123,#REF!)</f>
        <v>#REF!</v>
      </c>
      <c r="C123" s="29">
        <f t="shared" si="5"/>
        <v>0</v>
      </c>
      <c r="D123" s="29" t="e">
        <f t="shared" si="6"/>
        <v>#REF!</v>
      </c>
      <c r="E123" t="e">
        <f t="shared" si="7"/>
        <v>#REF!</v>
      </c>
      <c r="H123" t="s">
        <v>2873</v>
      </c>
      <c r="I123" s="29">
        <v>0</v>
      </c>
      <c r="J123" s="29">
        <f t="shared" si="4"/>
        <v>0</v>
      </c>
    </row>
    <row r="124" spans="1:10">
      <c r="A124" s="729" t="s">
        <v>2704</v>
      </c>
      <c r="B124" s="29" t="e">
        <f>SUMIF(#REF!,A124,#REF!)</f>
        <v>#REF!</v>
      </c>
      <c r="C124" s="29">
        <f t="shared" si="5"/>
        <v>0</v>
      </c>
      <c r="D124" s="29" t="e">
        <f t="shared" si="6"/>
        <v>#REF!</v>
      </c>
      <c r="E124" t="e">
        <f t="shared" si="7"/>
        <v>#REF!</v>
      </c>
      <c r="H124" t="s">
        <v>2874</v>
      </c>
      <c r="I124" s="29">
        <v>0</v>
      </c>
      <c r="J124" s="29">
        <f t="shared" si="4"/>
        <v>0</v>
      </c>
    </row>
    <row r="125" spans="1:10">
      <c r="A125" s="729" t="s">
        <v>2634</v>
      </c>
      <c r="B125" s="29" t="e">
        <f>SUMIF(#REF!,A125,#REF!)</f>
        <v>#REF!</v>
      </c>
      <c r="C125" s="29">
        <f t="shared" si="5"/>
        <v>0</v>
      </c>
      <c r="D125" s="29" t="e">
        <f t="shared" si="6"/>
        <v>#REF!</v>
      </c>
      <c r="E125" t="e">
        <f t="shared" si="7"/>
        <v>#REF!</v>
      </c>
      <c r="H125" t="s">
        <v>2875</v>
      </c>
      <c r="I125" s="29">
        <v>0</v>
      </c>
      <c r="J125" s="29">
        <f t="shared" si="4"/>
        <v>0</v>
      </c>
    </row>
    <row r="126" spans="1:10">
      <c r="A126" s="729" t="s">
        <v>2706</v>
      </c>
      <c r="B126" s="29" t="e">
        <f>SUMIF(#REF!,A126,#REF!)</f>
        <v>#REF!</v>
      </c>
      <c r="C126" s="29">
        <f t="shared" si="5"/>
        <v>0</v>
      </c>
      <c r="D126" s="29" t="e">
        <f t="shared" si="6"/>
        <v>#REF!</v>
      </c>
      <c r="E126" t="e">
        <f t="shared" si="7"/>
        <v>#REF!</v>
      </c>
      <c r="H126" t="s">
        <v>2876</v>
      </c>
      <c r="I126" s="29">
        <v>0</v>
      </c>
      <c r="J126" s="29">
        <f t="shared" si="4"/>
        <v>0</v>
      </c>
    </row>
    <row r="127" spans="1:10">
      <c r="A127" s="729" t="s">
        <v>2708</v>
      </c>
      <c r="B127" s="29" t="e">
        <f>SUMIF(#REF!,A127,#REF!)</f>
        <v>#REF!</v>
      </c>
      <c r="C127" s="29">
        <f t="shared" si="5"/>
        <v>0</v>
      </c>
      <c r="D127" s="29" t="e">
        <f t="shared" si="6"/>
        <v>#REF!</v>
      </c>
      <c r="E127" t="e">
        <f t="shared" si="7"/>
        <v>#REF!</v>
      </c>
      <c r="H127" t="s">
        <v>2877</v>
      </c>
      <c r="I127" s="29">
        <v>0</v>
      </c>
      <c r="J127" s="29">
        <f t="shared" si="4"/>
        <v>0</v>
      </c>
    </row>
    <row r="128" spans="1:10">
      <c r="A128" s="729" t="s">
        <v>2710</v>
      </c>
      <c r="B128" s="29" t="e">
        <f>SUMIF(#REF!,A128,#REF!)</f>
        <v>#REF!</v>
      </c>
      <c r="C128" s="29">
        <f t="shared" si="5"/>
        <v>0</v>
      </c>
      <c r="D128" s="29" t="e">
        <f t="shared" si="6"/>
        <v>#REF!</v>
      </c>
      <c r="E128" t="e">
        <f t="shared" si="7"/>
        <v>#REF!</v>
      </c>
      <c r="H128" t="s">
        <v>2878</v>
      </c>
      <c r="I128" s="29">
        <v>0</v>
      </c>
      <c r="J128" s="29">
        <f t="shared" si="4"/>
        <v>0</v>
      </c>
    </row>
    <row r="129" spans="1:10">
      <c r="A129" s="729" t="s">
        <v>2712</v>
      </c>
      <c r="B129" s="29" t="e">
        <f>SUMIF(#REF!,A129,#REF!)</f>
        <v>#REF!</v>
      </c>
      <c r="C129" s="29">
        <f t="shared" si="5"/>
        <v>0</v>
      </c>
      <c r="D129" s="29" t="e">
        <f t="shared" si="6"/>
        <v>#REF!</v>
      </c>
      <c r="E129" t="e">
        <f t="shared" si="7"/>
        <v>#REF!</v>
      </c>
      <c r="H129" t="s">
        <v>2879</v>
      </c>
      <c r="I129" s="29">
        <v>0</v>
      </c>
      <c r="J129" s="29">
        <f t="shared" si="4"/>
        <v>0</v>
      </c>
    </row>
    <row r="130" spans="1:10">
      <c r="A130" s="729" t="s">
        <v>2636</v>
      </c>
      <c r="B130" s="29" t="e">
        <f>SUMIF(#REF!,A130,#REF!)</f>
        <v>#REF!</v>
      </c>
      <c r="C130" s="29">
        <f t="shared" si="5"/>
        <v>0</v>
      </c>
      <c r="D130" s="29" t="e">
        <f t="shared" si="6"/>
        <v>#REF!</v>
      </c>
      <c r="E130" t="e">
        <f t="shared" si="7"/>
        <v>#REF!</v>
      </c>
      <c r="H130" t="s">
        <v>2880</v>
      </c>
      <c r="I130" s="29">
        <v>0</v>
      </c>
      <c r="J130" s="29">
        <f t="shared" si="4"/>
        <v>0</v>
      </c>
    </row>
    <row r="131" spans="1:10">
      <c r="A131" s="729" t="s">
        <v>2638</v>
      </c>
      <c r="B131" s="29" t="e">
        <f>SUMIF(#REF!,A131,#REF!)</f>
        <v>#REF!</v>
      </c>
      <c r="C131" s="29">
        <f t="shared" si="5"/>
        <v>0</v>
      </c>
      <c r="D131" s="29" t="e">
        <f t="shared" si="6"/>
        <v>#REF!</v>
      </c>
      <c r="E131" t="e">
        <f t="shared" si="7"/>
        <v>#REF!</v>
      </c>
      <c r="H131" t="s">
        <v>2881</v>
      </c>
      <c r="I131" s="29">
        <v>0</v>
      </c>
      <c r="J131" s="29">
        <f t="shared" si="4"/>
        <v>0</v>
      </c>
    </row>
    <row r="132" spans="1:10">
      <c r="A132" s="729" t="s">
        <v>2640</v>
      </c>
      <c r="B132" s="29" t="e">
        <f>SUMIF(#REF!,A132,#REF!)</f>
        <v>#REF!</v>
      </c>
      <c r="C132" s="29">
        <f t="shared" si="5"/>
        <v>0</v>
      </c>
      <c r="D132" s="29" t="e">
        <f t="shared" si="6"/>
        <v>#REF!</v>
      </c>
      <c r="E132" t="e">
        <f t="shared" si="7"/>
        <v>#REF!</v>
      </c>
      <c r="H132" t="s">
        <v>2882</v>
      </c>
      <c r="I132" s="29">
        <v>0</v>
      </c>
      <c r="J132" s="29">
        <f t="shared" si="4"/>
        <v>0</v>
      </c>
    </row>
    <row r="133" spans="1:10">
      <c r="A133" s="729" t="s">
        <v>2642</v>
      </c>
      <c r="B133" s="29" t="e">
        <f>SUMIF(#REF!,A133,#REF!)</f>
        <v>#REF!</v>
      </c>
      <c r="C133" s="29">
        <f t="shared" si="5"/>
        <v>0</v>
      </c>
      <c r="D133" s="29" t="e">
        <f t="shared" si="6"/>
        <v>#REF!</v>
      </c>
      <c r="E133" t="e">
        <f t="shared" si="7"/>
        <v>#REF!</v>
      </c>
      <c r="H133" t="s">
        <v>2883</v>
      </c>
      <c r="I133" s="29">
        <v>0</v>
      </c>
      <c r="J133" s="29">
        <f t="shared" si="4"/>
        <v>0</v>
      </c>
    </row>
    <row r="134" spans="1:10">
      <c r="A134" s="729" t="s">
        <v>2644</v>
      </c>
      <c r="B134" s="29" t="e">
        <f>SUMIF(#REF!,A134,#REF!)</f>
        <v>#REF!</v>
      </c>
      <c r="C134" s="29">
        <f t="shared" si="5"/>
        <v>0</v>
      </c>
      <c r="D134" s="29" t="e">
        <f t="shared" si="6"/>
        <v>#REF!</v>
      </c>
      <c r="E134" t="e">
        <f t="shared" si="7"/>
        <v>#REF!</v>
      </c>
      <c r="H134" t="s">
        <v>2884</v>
      </c>
      <c r="I134" s="29">
        <v>0</v>
      </c>
      <c r="J134" s="29">
        <f t="shared" ref="J134:J197" si="8">I134/$I$230*$J$4</f>
        <v>0</v>
      </c>
    </row>
    <row r="135" spans="1:10">
      <c r="A135" s="729" t="s">
        <v>2810</v>
      </c>
      <c r="B135" s="29" t="e">
        <f>SUMIF(#REF!,A135,#REF!)</f>
        <v>#REF!</v>
      </c>
      <c r="C135" s="29">
        <f t="shared" ref="C135:C198" si="9">-SUMIF($H$6:$H$228,$A135,$J$6:$J$228)</f>
        <v>0</v>
      </c>
      <c r="D135" s="29" t="e">
        <f t="shared" ref="D135:D198" si="10">IF(+C135-B135&gt;0,0,+C135-B135)</f>
        <v>#REF!</v>
      </c>
      <c r="E135" t="e">
        <f t="shared" ref="E135:E198" si="11">IF(+C135-B135&gt;0,"Check as collected more than budget","")</f>
        <v>#REF!</v>
      </c>
      <c r="H135" t="s">
        <v>5405</v>
      </c>
      <c r="I135" s="29">
        <v>3160.9383262226897</v>
      </c>
      <c r="J135" s="29">
        <f t="shared" si="8"/>
        <v>0</v>
      </c>
    </row>
    <row r="136" spans="1:10">
      <c r="A136" s="729" t="s">
        <v>2819</v>
      </c>
      <c r="B136" s="29" t="e">
        <f>SUMIF(#REF!,A136,#REF!)</f>
        <v>#REF!</v>
      </c>
      <c r="C136" s="29">
        <f t="shared" si="9"/>
        <v>0</v>
      </c>
      <c r="D136" s="29" t="e">
        <f t="shared" si="10"/>
        <v>#REF!</v>
      </c>
      <c r="E136" t="e">
        <f t="shared" si="11"/>
        <v>#REF!</v>
      </c>
      <c r="H136" t="s">
        <v>5400</v>
      </c>
      <c r="I136" s="29">
        <v>3615279.7116363961</v>
      </c>
      <c r="J136" s="29">
        <f t="shared" si="8"/>
        <v>0</v>
      </c>
    </row>
    <row r="137" spans="1:10">
      <c r="A137" s="729" t="s">
        <v>2820</v>
      </c>
      <c r="B137" s="29" t="e">
        <f>SUMIF(#REF!,A137,#REF!)</f>
        <v>#REF!</v>
      </c>
      <c r="C137" s="29">
        <f t="shared" si="9"/>
        <v>0</v>
      </c>
      <c r="D137" s="29" t="e">
        <f t="shared" si="10"/>
        <v>#REF!</v>
      </c>
      <c r="E137" t="e">
        <f t="shared" si="11"/>
        <v>#REF!</v>
      </c>
      <c r="H137" t="s">
        <v>5395</v>
      </c>
      <c r="I137" s="29">
        <v>1193619.0865387821</v>
      </c>
      <c r="J137" s="29">
        <f t="shared" si="8"/>
        <v>0</v>
      </c>
    </row>
    <row r="138" spans="1:10">
      <c r="A138" s="729" t="s">
        <v>2821</v>
      </c>
      <c r="B138" s="29" t="e">
        <f>SUMIF(#REF!,A138,#REF!)</f>
        <v>#REF!</v>
      </c>
      <c r="C138" s="29">
        <f t="shared" si="9"/>
        <v>0</v>
      </c>
      <c r="D138" s="29" t="e">
        <f t="shared" si="10"/>
        <v>#REF!</v>
      </c>
      <c r="E138" t="e">
        <f t="shared" si="11"/>
        <v>#REF!</v>
      </c>
      <c r="H138" t="s">
        <v>5406</v>
      </c>
      <c r="I138" s="29">
        <v>2257652.6260334793</v>
      </c>
      <c r="J138" s="29">
        <f t="shared" si="8"/>
        <v>0</v>
      </c>
    </row>
    <row r="139" spans="1:10">
      <c r="A139" s="729" t="s">
        <v>2811</v>
      </c>
      <c r="B139" s="29" t="e">
        <f>SUMIF(#REF!,A139,#REF!)</f>
        <v>#REF!</v>
      </c>
      <c r="C139" s="29">
        <f t="shared" si="9"/>
        <v>0</v>
      </c>
      <c r="D139" s="29" t="e">
        <f t="shared" si="10"/>
        <v>#REF!</v>
      </c>
      <c r="E139" t="e">
        <f t="shared" si="11"/>
        <v>#REF!</v>
      </c>
      <c r="H139" t="s">
        <v>5408</v>
      </c>
      <c r="I139" s="29">
        <v>127789.83884235423</v>
      </c>
      <c r="J139" s="29">
        <f t="shared" si="8"/>
        <v>0</v>
      </c>
    </row>
    <row r="140" spans="1:10">
      <c r="A140" s="729" t="s">
        <v>2812</v>
      </c>
      <c r="B140" s="29" t="e">
        <f>SUMIF(#REF!,A140,#REF!)</f>
        <v>#REF!</v>
      </c>
      <c r="C140" s="29">
        <f t="shared" si="9"/>
        <v>0</v>
      </c>
      <c r="D140" s="29" t="e">
        <f t="shared" si="10"/>
        <v>#REF!</v>
      </c>
      <c r="E140" t="e">
        <f t="shared" si="11"/>
        <v>#REF!</v>
      </c>
      <c r="H140" t="s">
        <v>5409</v>
      </c>
      <c r="I140" s="29">
        <v>5314928.0588004552</v>
      </c>
      <c r="J140" s="29">
        <f t="shared" si="8"/>
        <v>0</v>
      </c>
    </row>
    <row r="141" spans="1:10">
      <c r="A141" s="729" t="s">
        <v>2813</v>
      </c>
      <c r="B141" s="29" t="e">
        <f>SUMIF(#REF!,A141,#REF!)</f>
        <v>#REF!</v>
      </c>
      <c r="C141" s="29">
        <f t="shared" si="9"/>
        <v>0</v>
      </c>
      <c r="D141" s="29" t="e">
        <f t="shared" si="10"/>
        <v>#REF!</v>
      </c>
      <c r="E141" t="e">
        <f t="shared" si="11"/>
        <v>#REF!</v>
      </c>
      <c r="H141" t="s">
        <v>5421</v>
      </c>
      <c r="I141" s="29">
        <v>1433157.2839081082</v>
      </c>
      <c r="J141" s="29">
        <f t="shared" si="8"/>
        <v>0</v>
      </c>
    </row>
    <row r="142" spans="1:10">
      <c r="A142" s="729" t="s">
        <v>2814</v>
      </c>
      <c r="B142" s="29" t="e">
        <f>SUMIF(#REF!,A142,#REF!)</f>
        <v>#REF!</v>
      </c>
      <c r="C142" s="29">
        <f t="shared" si="9"/>
        <v>0</v>
      </c>
      <c r="D142" s="29" t="e">
        <f t="shared" si="10"/>
        <v>#REF!</v>
      </c>
      <c r="E142" t="e">
        <f t="shared" si="11"/>
        <v>#REF!</v>
      </c>
      <c r="H142" t="s">
        <v>5422</v>
      </c>
      <c r="I142" s="29">
        <v>947349.94755252788</v>
      </c>
      <c r="J142" s="29">
        <f t="shared" si="8"/>
        <v>0</v>
      </c>
    </row>
    <row r="143" spans="1:10">
      <c r="A143" s="729" t="s">
        <v>2815</v>
      </c>
      <c r="B143" s="29" t="e">
        <f>SUMIF(#REF!,A143,#REF!)</f>
        <v>#REF!</v>
      </c>
      <c r="C143" s="29">
        <f t="shared" si="9"/>
        <v>0</v>
      </c>
      <c r="D143" s="29" t="e">
        <f t="shared" si="10"/>
        <v>#REF!</v>
      </c>
      <c r="E143" t="e">
        <f t="shared" si="11"/>
        <v>#REF!</v>
      </c>
      <c r="H143" t="s">
        <v>5411</v>
      </c>
      <c r="I143" s="29">
        <v>14.96793597771018</v>
      </c>
      <c r="J143" s="29">
        <f t="shared" si="8"/>
        <v>0</v>
      </c>
    </row>
    <row r="144" spans="1:10">
      <c r="A144" s="729" t="s">
        <v>2816</v>
      </c>
      <c r="B144" s="29" t="e">
        <f>SUMIF(#REF!,A144,#REF!)</f>
        <v>#REF!</v>
      </c>
      <c r="C144" s="29">
        <f t="shared" si="9"/>
        <v>0</v>
      </c>
      <c r="D144" s="29" t="e">
        <f t="shared" si="10"/>
        <v>#REF!</v>
      </c>
      <c r="E144" t="e">
        <f t="shared" si="11"/>
        <v>#REF!</v>
      </c>
      <c r="H144" t="s">
        <v>5414</v>
      </c>
      <c r="I144" s="29">
        <v>4884.0296759119346</v>
      </c>
      <c r="J144" s="29">
        <f t="shared" si="8"/>
        <v>0</v>
      </c>
    </row>
    <row r="145" spans="1:10">
      <c r="A145" s="729" t="s">
        <v>2817</v>
      </c>
      <c r="B145" s="29" t="e">
        <f>SUMIF(#REF!,A145,#REF!)</f>
        <v>#REF!</v>
      </c>
      <c r="C145" s="29">
        <f t="shared" si="9"/>
        <v>0</v>
      </c>
      <c r="D145" s="29" t="e">
        <f t="shared" si="10"/>
        <v>#REF!</v>
      </c>
      <c r="E145" t="e">
        <f t="shared" si="11"/>
        <v>#REF!</v>
      </c>
      <c r="H145" t="s">
        <v>5403</v>
      </c>
      <c r="I145" s="29">
        <v>5971309.8862100057</v>
      </c>
      <c r="J145" s="29">
        <f t="shared" si="8"/>
        <v>0</v>
      </c>
    </row>
    <row r="146" spans="1:10">
      <c r="A146" s="729" t="s">
        <v>2818</v>
      </c>
      <c r="B146" s="29" t="e">
        <f>SUMIF(#REF!,A146,#REF!)</f>
        <v>#REF!</v>
      </c>
      <c r="C146" s="29">
        <f t="shared" si="9"/>
        <v>0</v>
      </c>
      <c r="D146" s="29" t="e">
        <f t="shared" si="10"/>
        <v>#REF!</v>
      </c>
      <c r="E146" t="e">
        <f t="shared" si="11"/>
        <v>#REF!</v>
      </c>
      <c r="H146" t="s">
        <v>5415</v>
      </c>
      <c r="I146" s="29">
        <v>5133.5930495122166</v>
      </c>
      <c r="J146" s="29">
        <f t="shared" si="8"/>
        <v>0</v>
      </c>
    </row>
    <row r="147" spans="1:10">
      <c r="A147" s="729" t="s">
        <v>5405</v>
      </c>
      <c r="B147" s="29" t="e">
        <f>SUMIF(#REF!,A147,#REF!)</f>
        <v>#REF!</v>
      </c>
      <c r="C147" s="29">
        <f t="shared" si="9"/>
        <v>0</v>
      </c>
      <c r="D147" s="29" t="e">
        <f t="shared" si="10"/>
        <v>#REF!</v>
      </c>
      <c r="E147" t="e">
        <f t="shared" si="11"/>
        <v>#REF!</v>
      </c>
      <c r="H147" t="s">
        <v>5407</v>
      </c>
      <c r="I147" s="29">
        <v>10.258420748187872</v>
      </c>
      <c r="J147" s="29">
        <f t="shared" si="8"/>
        <v>0</v>
      </c>
    </row>
    <row r="148" spans="1:10">
      <c r="A148" s="729" t="s">
        <v>5414</v>
      </c>
      <c r="B148" s="29" t="e">
        <f>SUMIF(#REF!,A148,#REF!)</f>
        <v>#REF!</v>
      </c>
      <c r="C148" s="29">
        <f t="shared" si="9"/>
        <v>0</v>
      </c>
      <c r="D148" s="29" t="e">
        <f t="shared" si="10"/>
        <v>#REF!</v>
      </c>
      <c r="E148" t="e">
        <f t="shared" si="11"/>
        <v>#REF!</v>
      </c>
      <c r="H148" t="s">
        <v>5416</v>
      </c>
      <c r="I148" s="29">
        <v>1492269.8838046913</v>
      </c>
      <c r="J148" s="29">
        <f t="shared" si="8"/>
        <v>0</v>
      </c>
    </row>
    <row r="149" spans="1:10">
      <c r="A149" s="729" t="s">
        <v>5403</v>
      </c>
      <c r="B149" s="29" t="e">
        <f>SUMIF(#REF!,A149,#REF!)</f>
        <v>#REF!</v>
      </c>
      <c r="C149" s="29">
        <f t="shared" si="9"/>
        <v>0</v>
      </c>
      <c r="D149" s="29" t="e">
        <f t="shared" si="10"/>
        <v>#REF!</v>
      </c>
      <c r="E149" t="e">
        <f t="shared" si="11"/>
        <v>#REF!</v>
      </c>
      <c r="H149" t="s">
        <v>5412</v>
      </c>
      <c r="I149" s="29">
        <v>13982.28409688713</v>
      </c>
      <c r="J149" s="29">
        <f t="shared" si="8"/>
        <v>0</v>
      </c>
    </row>
    <row r="150" spans="1:10">
      <c r="A150" s="729" t="s">
        <v>5415</v>
      </c>
      <c r="B150" s="29" t="e">
        <f>SUMIF(#REF!,A150,#REF!)</f>
        <v>#REF!</v>
      </c>
      <c r="C150" s="29">
        <f t="shared" si="9"/>
        <v>0</v>
      </c>
      <c r="D150" s="29" t="e">
        <f t="shared" si="10"/>
        <v>#REF!</v>
      </c>
      <c r="E150" t="e">
        <f t="shared" si="11"/>
        <v>#REF!</v>
      </c>
      <c r="H150" t="s">
        <v>5398</v>
      </c>
      <c r="I150" s="29">
        <v>131780.48043666597</v>
      </c>
      <c r="J150" s="29">
        <f t="shared" si="8"/>
        <v>0</v>
      </c>
    </row>
    <row r="151" spans="1:10">
      <c r="A151" s="729" t="s">
        <v>5407</v>
      </c>
      <c r="B151" s="29" t="e">
        <f>SUMIF(#REF!,A151,#REF!)</f>
        <v>#REF!</v>
      </c>
      <c r="C151" s="29">
        <f t="shared" si="9"/>
        <v>0</v>
      </c>
      <c r="D151" s="29" t="e">
        <f t="shared" si="10"/>
        <v>#REF!</v>
      </c>
      <c r="E151" t="e">
        <f t="shared" si="11"/>
        <v>#REF!</v>
      </c>
      <c r="H151" t="s">
        <v>5399</v>
      </c>
      <c r="I151" s="29">
        <v>1865.8391553436334</v>
      </c>
      <c r="J151" s="29">
        <f t="shared" si="8"/>
        <v>0</v>
      </c>
    </row>
    <row r="152" spans="1:10">
      <c r="A152" s="729" t="s">
        <v>5416</v>
      </c>
      <c r="B152" s="29" t="e">
        <f>SUMIF(#REF!,A152,#REF!)</f>
        <v>#REF!</v>
      </c>
      <c r="C152" s="29">
        <f t="shared" si="9"/>
        <v>0</v>
      </c>
      <c r="D152" s="29" t="e">
        <f t="shared" si="10"/>
        <v>#REF!</v>
      </c>
      <c r="E152" t="e">
        <f t="shared" si="11"/>
        <v>#REF!</v>
      </c>
      <c r="H152" t="s">
        <v>5402</v>
      </c>
      <c r="I152" s="29">
        <v>2258214.1134610861</v>
      </c>
      <c r="J152" s="29">
        <f t="shared" si="8"/>
        <v>0</v>
      </c>
    </row>
    <row r="153" spans="1:10">
      <c r="A153" s="729" t="s">
        <v>5412</v>
      </c>
      <c r="B153" s="29" t="e">
        <f>SUMIF(#REF!,A153,#REF!)</f>
        <v>#REF!</v>
      </c>
      <c r="C153" s="29">
        <f t="shared" si="9"/>
        <v>0</v>
      </c>
      <c r="D153" s="29" t="e">
        <f t="shared" si="10"/>
        <v>#REF!</v>
      </c>
      <c r="E153" t="e">
        <f t="shared" si="11"/>
        <v>#REF!</v>
      </c>
      <c r="H153" t="s">
        <v>5417</v>
      </c>
      <c r="I153" s="29">
        <v>1238486.0204618126</v>
      </c>
      <c r="J153" s="29">
        <f t="shared" si="8"/>
        <v>0</v>
      </c>
    </row>
    <row r="154" spans="1:10">
      <c r="A154" s="729" t="s">
        <v>5398</v>
      </c>
      <c r="B154" s="29" t="e">
        <f>SUMIF(#REF!,A154,#REF!)</f>
        <v>#REF!</v>
      </c>
      <c r="C154" s="29">
        <f t="shared" si="9"/>
        <v>0</v>
      </c>
      <c r="D154" s="29" t="e">
        <f t="shared" si="10"/>
        <v>#REF!</v>
      </c>
      <c r="E154" t="e">
        <f t="shared" si="11"/>
        <v>#REF!</v>
      </c>
      <c r="H154" t="s">
        <v>5427</v>
      </c>
      <c r="I154" s="29">
        <v>0</v>
      </c>
      <c r="J154" s="29">
        <f t="shared" si="8"/>
        <v>0</v>
      </c>
    </row>
    <row r="155" spans="1:10">
      <c r="A155" s="729" t="s">
        <v>5399</v>
      </c>
      <c r="B155" s="29" t="e">
        <f>SUMIF(#REF!,A155,#REF!)</f>
        <v>#REF!</v>
      </c>
      <c r="C155" s="29">
        <f t="shared" si="9"/>
        <v>0</v>
      </c>
      <c r="D155" s="29" t="e">
        <f t="shared" si="10"/>
        <v>#REF!</v>
      </c>
      <c r="E155" t="e">
        <f t="shared" si="11"/>
        <v>#REF!</v>
      </c>
      <c r="H155" t="s">
        <v>5396</v>
      </c>
      <c r="I155" s="29">
        <v>1054034.5299431612</v>
      </c>
      <c r="J155" s="29">
        <f t="shared" si="8"/>
        <v>0</v>
      </c>
    </row>
    <row r="156" spans="1:10">
      <c r="A156" s="729" t="s">
        <v>5402</v>
      </c>
      <c r="B156" s="29" t="e">
        <f>SUMIF(#REF!,A156,#REF!)</f>
        <v>#REF!</v>
      </c>
      <c r="C156" s="29">
        <f t="shared" si="9"/>
        <v>0</v>
      </c>
      <c r="D156" s="29" t="e">
        <f t="shared" si="10"/>
        <v>#REF!</v>
      </c>
      <c r="E156" t="e">
        <f t="shared" si="11"/>
        <v>#REF!</v>
      </c>
      <c r="H156" t="s">
        <v>5413</v>
      </c>
      <c r="I156" s="29">
        <v>3032.176402043031</v>
      </c>
      <c r="J156" s="29">
        <f t="shared" si="8"/>
        <v>0</v>
      </c>
    </row>
    <row r="157" spans="1:10">
      <c r="A157" s="729" t="s">
        <v>5417</v>
      </c>
      <c r="B157" s="29" t="e">
        <f>SUMIF(#REF!,A157,#REF!)</f>
        <v>#REF!</v>
      </c>
      <c r="C157" s="29">
        <f t="shared" si="9"/>
        <v>0</v>
      </c>
      <c r="D157" s="29" t="e">
        <f t="shared" si="10"/>
        <v>#REF!</v>
      </c>
      <c r="E157" t="e">
        <f t="shared" si="11"/>
        <v>#REF!</v>
      </c>
      <c r="H157" t="s">
        <v>5418</v>
      </c>
      <c r="I157" s="29">
        <v>30290.803535525069</v>
      </c>
      <c r="J157" s="29">
        <f t="shared" si="8"/>
        <v>0</v>
      </c>
    </row>
    <row r="158" spans="1:10">
      <c r="A158" s="729" t="s">
        <v>5400</v>
      </c>
      <c r="B158" s="29" t="e">
        <f>SUMIF(#REF!,A158,#REF!)</f>
        <v>#REF!</v>
      </c>
      <c r="C158" s="29">
        <f t="shared" si="9"/>
        <v>0</v>
      </c>
      <c r="D158" s="29" t="e">
        <f t="shared" si="10"/>
        <v>#REF!</v>
      </c>
      <c r="E158" t="e">
        <f t="shared" si="11"/>
        <v>#REF!</v>
      </c>
      <c r="H158" t="s">
        <v>5410</v>
      </c>
      <c r="I158" s="29">
        <v>6086.6607347098288</v>
      </c>
      <c r="J158" s="29">
        <f t="shared" si="8"/>
        <v>0</v>
      </c>
    </row>
    <row r="159" spans="1:10">
      <c r="A159" s="729" t="s">
        <v>5427</v>
      </c>
      <c r="B159" s="29" t="e">
        <f>SUMIF(#REF!,A159,#REF!)</f>
        <v>#REF!</v>
      </c>
      <c r="C159" s="29">
        <f t="shared" si="9"/>
        <v>0</v>
      </c>
      <c r="D159" s="29" t="e">
        <f t="shared" si="10"/>
        <v>#REF!</v>
      </c>
      <c r="E159" t="e">
        <f t="shared" si="11"/>
        <v>#REF!</v>
      </c>
      <c r="H159" t="s">
        <v>5404</v>
      </c>
      <c r="I159" s="29">
        <v>13386.626292120973</v>
      </c>
      <c r="J159" s="29">
        <f t="shared" si="8"/>
        <v>0</v>
      </c>
    </row>
    <row r="160" spans="1:10">
      <c r="A160" s="729" t="s">
        <v>5396</v>
      </c>
      <c r="B160" s="29" t="e">
        <f>SUMIF(#REF!,A160,#REF!)</f>
        <v>#REF!</v>
      </c>
      <c r="C160" s="29">
        <f t="shared" si="9"/>
        <v>0</v>
      </c>
      <c r="D160" s="29" t="e">
        <f t="shared" si="10"/>
        <v>#REF!</v>
      </c>
      <c r="E160" t="e">
        <f t="shared" si="11"/>
        <v>#REF!</v>
      </c>
      <c r="H160" t="s">
        <v>5401</v>
      </c>
      <c r="I160" s="29">
        <v>3955535.0371103096</v>
      </c>
      <c r="J160" s="29">
        <f t="shared" si="8"/>
        <v>0</v>
      </c>
    </row>
    <row r="161" spans="1:10">
      <c r="A161" s="729" t="s">
        <v>5413</v>
      </c>
      <c r="B161" s="29" t="e">
        <f>SUMIF(#REF!,A161,#REF!)</f>
        <v>#REF!</v>
      </c>
      <c r="C161" s="29">
        <f t="shared" si="9"/>
        <v>0</v>
      </c>
      <c r="D161" s="29" t="e">
        <f t="shared" si="10"/>
        <v>#REF!</v>
      </c>
      <c r="E161" t="e">
        <f t="shared" si="11"/>
        <v>#REF!</v>
      </c>
      <c r="H161" t="s">
        <v>5394</v>
      </c>
      <c r="I161" s="29">
        <v>2093111.6111563272</v>
      </c>
      <c r="J161" s="29">
        <f t="shared" si="8"/>
        <v>0</v>
      </c>
    </row>
    <row r="162" spans="1:10">
      <c r="A162" s="729" t="s">
        <v>5418</v>
      </c>
      <c r="B162" s="29" t="e">
        <f>SUMIF(#REF!,A162,#REF!)</f>
        <v>#REF!</v>
      </c>
      <c r="C162" s="29">
        <f t="shared" si="9"/>
        <v>0</v>
      </c>
      <c r="D162" s="29" t="e">
        <f t="shared" si="10"/>
        <v>#REF!</v>
      </c>
      <c r="E162" t="e">
        <f t="shared" si="11"/>
        <v>#REF!</v>
      </c>
      <c r="H162" t="s">
        <v>5428</v>
      </c>
      <c r="I162" s="29">
        <v>0</v>
      </c>
      <c r="J162" s="29">
        <f t="shared" si="8"/>
        <v>0</v>
      </c>
    </row>
    <row r="163" spans="1:10">
      <c r="A163" s="729" t="s">
        <v>5410</v>
      </c>
      <c r="B163" s="29" t="e">
        <f>SUMIF(#REF!,A163,#REF!)</f>
        <v>#REF!</v>
      </c>
      <c r="C163" s="29">
        <f t="shared" si="9"/>
        <v>0</v>
      </c>
      <c r="D163" s="29" t="e">
        <f t="shared" si="10"/>
        <v>#REF!</v>
      </c>
      <c r="E163" t="e">
        <f t="shared" si="11"/>
        <v>#REF!</v>
      </c>
      <c r="H163" t="s">
        <v>5393</v>
      </c>
      <c r="I163" s="29">
        <v>1600150.4395762091</v>
      </c>
      <c r="J163" s="29">
        <f t="shared" si="8"/>
        <v>0</v>
      </c>
    </row>
    <row r="164" spans="1:10">
      <c r="A164" s="729" t="s">
        <v>5404</v>
      </c>
      <c r="B164" s="29" t="e">
        <f>SUMIF(#REF!,A164,#REF!)</f>
        <v>#REF!</v>
      </c>
      <c r="C164" s="29">
        <f t="shared" si="9"/>
        <v>0</v>
      </c>
      <c r="D164" s="29" t="e">
        <f t="shared" si="10"/>
        <v>#REF!</v>
      </c>
      <c r="E164" t="e">
        <f t="shared" si="11"/>
        <v>#REF!</v>
      </c>
      <c r="H164" t="s">
        <v>5397</v>
      </c>
      <c r="I164" s="29">
        <v>55513.199784539014</v>
      </c>
      <c r="J164" s="29">
        <f t="shared" si="8"/>
        <v>0</v>
      </c>
    </row>
    <row r="165" spans="1:10">
      <c r="A165" s="729" t="s">
        <v>5401</v>
      </c>
      <c r="B165" s="29" t="e">
        <f>SUMIF(#REF!,A165,#REF!)</f>
        <v>#REF!</v>
      </c>
      <c r="C165" s="29">
        <f t="shared" si="9"/>
        <v>0</v>
      </c>
      <c r="D165" s="29" t="e">
        <f t="shared" si="10"/>
        <v>#REF!</v>
      </c>
      <c r="E165" t="e">
        <f t="shared" si="11"/>
        <v>#REF!</v>
      </c>
      <c r="H165" t="s">
        <v>5429</v>
      </c>
      <c r="I165" s="29">
        <v>0</v>
      </c>
      <c r="J165" s="29">
        <f t="shared" si="8"/>
        <v>0</v>
      </c>
    </row>
    <row r="166" spans="1:10">
      <c r="A166" s="729" t="s">
        <v>5394</v>
      </c>
      <c r="B166" s="29" t="e">
        <f>SUMIF(#REF!,A166,#REF!)</f>
        <v>#REF!</v>
      </c>
      <c r="C166" s="29">
        <f t="shared" si="9"/>
        <v>0</v>
      </c>
      <c r="D166" s="29" t="e">
        <f t="shared" si="10"/>
        <v>#REF!</v>
      </c>
      <c r="E166" t="e">
        <f t="shared" si="11"/>
        <v>#REF!</v>
      </c>
      <c r="H166" t="s">
        <v>5419</v>
      </c>
      <c r="I166" s="29">
        <v>13255637.946213791</v>
      </c>
      <c r="J166" s="29">
        <f t="shared" si="8"/>
        <v>0</v>
      </c>
    </row>
    <row r="167" spans="1:10">
      <c r="A167" s="729" t="s">
        <v>5428</v>
      </c>
      <c r="B167" s="29" t="e">
        <f>SUMIF(#REF!,A167,#REF!)</f>
        <v>#REF!</v>
      </c>
      <c r="C167" s="29">
        <f t="shared" si="9"/>
        <v>0</v>
      </c>
      <c r="D167" s="29" t="e">
        <f t="shared" si="10"/>
        <v>#REF!</v>
      </c>
      <c r="E167" t="e">
        <f t="shared" si="11"/>
        <v>#REF!</v>
      </c>
      <c r="H167" t="s">
        <v>5420</v>
      </c>
      <c r="I167" s="29">
        <v>2180112.4177642036</v>
      </c>
      <c r="J167" s="29">
        <f t="shared" si="8"/>
        <v>0</v>
      </c>
    </row>
    <row r="168" spans="1:10">
      <c r="A168" s="729" t="s">
        <v>5393</v>
      </c>
      <c r="B168" s="29" t="e">
        <f>SUMIF(#REF!,A168,#REF!)</f>
        <v>#REF!</v>
      </c>
      <c r="C168" s="29">
        <f t="shared" si="9"/>
        <v>0</v>
      </c>
      <c r="D168" s="29" t="e">
        <f t="shared" si="10"/>
        <v>#REF!</v>
      </c>
      <c r="E168" t="e">
        <f t="shared" si="11"/>
        <v>#REF!</v>
      </c>
      <c r="H168" t="s">
        <v>5424</v>
      </c>
      <c r="I168" s="29">
        <v>44975.48901011821</v>
      </c>
      <c r="J168" s="29">
        <f t="shared" si="8"/>
        <v>0</v>
      </c>
    </row>
    <row r="169" spans="1:10">
      <c r="A169" s="729" t="s">
        <v>5395</v>
      </c>
      <c r="B169" s="29" t="e">
        <f>SUMIF(#REF!,A169,#REF!)</f>
        <v>#REF!</v>
      </c>
      <c r="C169" s="29">
        <f t="shared" si="9"/>
        <v>0</v>
      </c>
      <c r="D169" s="29" t="e">
        <f t="shared" si="10"/>
        <v>#REF!</v>
      </c>
      <c r="E169" t="e">
        <f t="shared" si="11"/>
        <v>#REF!</v>
      </c>
      <c r="H169" t="s">
        <v>5430</v>
      </c>
      <c r="I169" s="29">
        <v>0</v>
      </c>
      <c r="J169" s="29">
        <f t="shared" si="8"/>
        <v>0</v>
      </c>
    </row>
    <row r="170" spans="1:10">
      <c r="A170" s="729" t="s">
        <v>5397</v>
      </c>
      <c r="B170" s="29" t="e">
        <f>SUMIF(#REF!,A170,#REF!)</f>
        <v>#REF!</v>
      </c>
      <c r="C170" s="29">
        <f t="shared" si="9"/>
        <v>0</v>
      </c>
      <c r="D170" s="29" t="e">
        <f t="shared" si="10"/>
        <v>#REF!</v>
      </c>
      <c r="E170" t="e">
        <f t="shared" si="11"/>
        <v>#REF!</v>
      </c>
      <c r="H170" t="s">
        <v>5431</v>
      </c>
      <c r="I170" s="29">
        <v>0</v>
      </c>
      <c r="J170" s="29">
        <f t="shared" si="8"/>
        <v>0</v>
      </c>
    </row>
    <row r="171" spans="1:10">
      <c r="A171" s="729" t="s">
        <v>5429</v>
      </c>
      <c r="B171" s="29" t="e">
        <f>SUMIF(#REF!,A171,#REF!)</f>
        <v>#REF!</v>
      </c>
      <c r="C171" s="29">
        <f t="shared" si="9"/>
        <v>0</v>
      </c>
      <c r="D171" s="29" t="e">
        <f t="shared" si="10"/>
        <v>#REF!</v>
      </c>
      <c r="E171" t="e">
        <f t="shared" si="11"/>
        <v>#REF!</v>
      </c>
      <c r="H171" t="s">
        <v>5426</v>
      </c>
      <c r="I171" s="29">
        <v>354771.50153913104</v>
      </c>
      <c r="J171" s="29">
        <f t="shared" si="8"/>
        <v>0</v>
      </c>
    </row>
    <row r="172" spans="1:10">
      <c r="A172" s="729" t="s">
        <v>5419</v>
      </c>
      <c r="B172" s="29" t="e">
        <f>SUMIF(#REF!,A172,#REF!)</f>
        <v>#REF!</v>
      </c>
      <c r="C172" s="29">
        <f t="shared" si="9"/>
        <v>0</v>
      </c>
      <c r="D172" s="29" t="e">
        <f t="shared" si="10"/>
        <v>#REF!</v>
      </c>
      <c r="E172" t="e">
        <f t="shared" si="11"/>
        <v>#REF!</v>
      </c>
      <c r="H172" t="s">
        <v>5432</v>
      </c>
      <c r="I172" s="29">
        <v>0</v>
      </c>
      <c r="J172" s="29">
        <f t="shared" si="8"/>
        <v>0</v>
      </c>
    </row>
    <row r="173" spans="1:10">
      <c r="A173" s="729" t="s">
        <v>5420</v>
      </c>
      <c r="B173" s="29" t="e">
        <f>SUMIF(#REF!,A173,#REF!)</f>
        <v>#REF!</v>
      </c>
      <c r="C173" s="29">
        <f t="shared" si="9"/>
        <v>0</v>
      </c>
      <c r="D173" s="29" t="e">
        <f t="shared" si="10"/>
        <v>#REF!</v>
      </c>
      <c r="E173" t="e">
        <f t="shared" si="11"/>
        <v>#REF!</v>
      </c>
      <c r="H173" t="s">
        <v>5433</v>
      </c>
      <c r="I173" s="29">
        <v>0</v>
      </c>
      <c r="J173" s="29">
        <f t="shared" si="8"/>
        <v>0</v>
      </c>
    </row>
    <row r="174" spans="1:10">
      <c r="A174" s="729" t="s">
        <v>5424</v>
      </c>
      <c r="B174" s="29" t="e">
        <f>SUMIF(#REF!,A174,#REF!)</f>
        <v>#REF!</v>
      </c>
      <c r="C174" s="29">
        <f t="shared" si="9"/>
        <v>0</v>
      </c>
      <c r="D174" s="29" t="e">
        <f t="shared" si="10"/>
        <v>#REF!</v>
      </c>
      <c r="E174" t="e">
        <f t="shared" si="11"/>
        <v>#REF!</v>
      </c>
      <c r="H174" t="s">
        <v>5434</v>
      </c>
      <c r="I174" s="29">
        <v>0</v>
      </c>
      <c r="J174" s="29">
        <f t="shared" si="8"/>
        <v>0</v>
      </c>
    </row>
    <row r="175" spans="1:10">
      <c r="A175" s="729" t="s">
        <v>5430</v>
      </c>
      <c r="B175" s="29" t="e">
        <f>SUMIF(#REF!,A175,#REF!)</f>
        <v>#REF!</v>
      </c>
      <c r="C175" s="29">
        <f t="shared" si="9"/>
        <v>0</v>
      </c>
      <c r="D175" s="29" t="e">
        <f t="shared" si="10"/>
        <v>#REF!</v>
      </c>
      <c r="E175" t="e">
        <f t="shared" si="11"/>
        <v>#REF!</v>
      </c>
      <c r="H175" t="s">
        <v>5425</v>
      </c>
      <c r="I175" s="29">
        <v>22736.37162157298</v>
      </c>
      <c r="J175" s="29">
        <f t="shared" si="8"/>
        <v>0</v>
      </c>
    </row>
    <row r="176" spans="1:10">
      <c r="A176" s="729" t="s">
        <v>5431</v>
      </c>
      <c r="B176" s="29" t="e">
        <f>SUMIF(#REF!,A176,#REF!)</f>
        <v>#REF!</v>
      </c>
      <c r="C176" s="29">
        <f t="shared" si="9"/>
        <v>0</v>
      </c>
      <c r="D176" s="29" t="e">
        <f t="shared" si="10"/>
        <v>#REF!</v>
      </c>
      <c r="E176" t="e">
        <f t="shared" si="11"/>
        <v>#REF!</v>
      </c>
      <c r="H176" t="s">
        <v>5423</v>
      </c>
      <c r="I176" s="29">
        <v>152232.18358325859</v>
      </c>
      <c r="J176" s="29">
        <f t="shared" si="8"/>
        <v>0</v>
      </c>
    </row>
    <row r="177" spans="1:10">
      <c r="A177" s="729" t="s">
        <v>5426</v>
      </c>
      <c r="B177" s="29" t="e">
        <f>SUMIF(#REF!,A177,#REF!)</f>
        <v>#REF!</v>
      </c>
      <c r="C177" s="29">
        <f t="shared" si="9"/>
        <v>0</v>
      </c>
      <c r="D177" s="29" t="e">
        <f t="shared" si="10"/>
        <v>#REF!</v>
      </c>
      <c r="E177" t="e">
        <f t="shared" si="11"/>
        <v>#REF!</v>
      </c>
      <c r="H177" t="s">
        <v>5435</v>
      </c>
      <c r="I177" s="29">
        <v>0</v>
      </c>
      <c r="J177" s="29">
        <f t="shared" si="8"/>
        <v>0</v>
      </c>
    </row>
    <row r="178" spans="1:10">
      <c r="A178" s="729" t="s">
        <v>5432</v>
      </c>
      <c r="B178" s="29" t="e">
        <f>SUMIF(#REF!,A178,#REF!)</f>
        <v>#REF!</v>
      </c>
      <c r="C178" s="29">
        <f t="shared" si="9"/>
        <v>0</v>
      </c>
      <c r="D178" s="29" t="e">
        <f t="shared" si="10"/>
        <v>#REF!</v>
      </c>
      <c r="E178" t="e">
        <f t="shared" si="11"/>
        <v>#REF!</v>
      </c>
      <c r="H178" t="s">
        <v>5436</v>
      </c>
      <c r="I178" s="29">
        <v>0</v>
      </c>
      <c r="J178" s="29">
        <f t="shared" si="8"/>
        <v>0</v>
      </c>
    </row>
    <row r="179" spans="1:10">
      <c r="A179" s="729" t="s">
        <v>5433</v>
      </c>
      <c r="B179" s="29" t="e">
        <f>SUMIF(#REF!,A179,#REF!)</f>
        <v>#REF!</v>
      </c>
      <c r="C179" s="29">
        <f t="shared" si="9"/>
        <v>0</v>
      </c>
      <c r="D179" s="29" t="e">
        <f t="shared" si="10"/>
        <v>#REF!</v>
      </c>
      <c r="E179" t="e">
        <f t="shared" si="11"/>
        <v>#REF!</v>
      </c>
      <c r="H179" t="s">
        <v>5437</v>
      </c>
      <c r="I179" s="29">
        <v>0</v>
      </c>
      <c r="J179" s="29">
        <f t="shared" si="8"/>
        <v>0</v>
      </c>
    </row>
    <row r="180" spans="1:10">
      <c r="A180" s="729" t="s">
        <v>5406</v>
      </c>
      <c r="B180" s="29" t="e">
        <f>SUMIF(#REF!,A180,#REF!)</f>
        <v>#REF!</v>
      </c>
      <c r="C180" s="29">
        <f t="shared" si="9"/>
        <v>0</v>
      </c>
      <c r="D180" s="29" t="e">
        <f t="shared" si="10"/>
        <v>#REF!</v>
      </c>
      <c r="E180" t="e">
        <f t="shared" si="11"/>
        <v>#REF!</v>
      </c>
      <c r="H180" t="s">
        <v>5438</v>
      </c>
      <c r="I180" s="29">
        <v>0</v>
      </c>
      <c r="J180" s="29">
        <f t="shared" si="8"/>
        <v>0</v>
      </c>
    </row>
    <row r="181" spans="1:10">
      <c r="A181" s="729" t="s">
        <v>5434</v>
      </c>
      <c r="B181" s="29" t="e">
        <f>SUMIF(#REF!,A181,#REF!)</f>
        <v>#REF!</v>
      </c>
      <c r="C181" s="29">
        <f t="shared" si="9"/>
        <v>0</v>
      </c>
      <c r="D181" s="29" t="e">
        <f t="shared" si="10"/>
        <v>#REF!</v>
      </c>
      <c r="E181" t="e">
        <f t="shared" si="11"/>
        <v>#REF!</v>
      </c>
      <c r="H181" t="s">
        <v>5439</v>
      </c>
      <c r="I181" s="29">
        <v>0</v>
      </c>
      <c r="J181" s="29">
        <f t="shared" si="8"/>
        <v>0</v>
      </c>
    </row>
    <row r="182" spans="1:10">
      <c r="A182" s="729" t="s">
        <v>5425</v>
      </c>
      <c r="B182" s="29" t="e">
        <f>SUMIF(#REF!,A182,#REF!)</f>
        <v>#REF!</v>
      </c>
      <c r="C182" s="29">
        <f t="shared" si="9"/>
        <v>0</v>
      </c>
      <c r="D182" s="29" t="e">
        <f t="shared" si="10"/>
        <v>#REF!</v>
      </c>
      <c r="E182" t="e">
        <f t="shared" si="11"/>
        <v>#REF!</v>
      </c>
      <c r="H182" t="s">
        <v>5440</v>
      </c>
      <c r="I182" s="29">
        <v>0</v>
      </c>
      <c r="J182" s="29">
        <f t="shared" si="8"/>
        <v>0</v>
      </c>
    </row>
    <row r="183" spans="1:10">
      <c r="A183" s="729" t="s">
        <v>5423</v>
      </c>
      <c r="B183" s="29" t="e">
        <f>SUMIF(#REF!,A183,#REF!)</f>
        <v>#REF!</v>
      </c>
      <c r="C183" s="29">
        <f t="shared" si="9"/>
        <v>0</v>
      </c>
      <c r="D183" s="29" t="e">
        <f t="shared" si="10"/>
        <v>#REF!</v>
      </c>
      <c r="E183" t="e">
        <f t="shared" si="11"/>
        <v>#REF!</v>
      </c>
      <c r="H183" t="s">
        <v>5441</v>
      </c>
      <c r="I183" s="29">
        <v>0</v>
      </c>
      <c r="J183" s="29">
        <f t="shared" si="8"/>
        <v>0</v>
      </c>
    </row>
    <row r="184" spans="1:10">
      <c r="A184" s="729" t="s">
        <v>5435</v>
      </c>
      <c r="B184" s="29" t="e">
        <f>SUMIF(#REF!,A184,#REF!)</f>
        <v>#REF!</v>
      </c>
      <c r="C184" s="29">
        <f t="shared" si="9"/>
        <v>0</v>
      </c>
      <c r="D184" s="29" t="e">
        <f t="shared" si="10"/>
        <v>#REF!</v>
      </c>
      <c r="E184" t="e">
        <f t="shared" si="11"/>
        <v>#REF!</v>
      </c>
      <c r="H184" t="s">
        <v>5442</v>
      </c>
      <c r="I184" s="29">
        <v>0</v>
      </c>
      <c r="J184" s="29">
        <f t="shared" si="8"/>
        <v>0</v>
      </c>
    </row>
    <row r="185" spans="1:10">
      <c r="A185" s="729" t="s">
        <v>5436</v>
      </c>
      <c r="B185" s="29" t="e">
        <f>SUMIF(#REF!,A185,#REF!)</f>
        <v>#REF!</v>
      </c>
      <c r="C185" s="29">
        <f t="shared" si="9"/>
        <v>0</v>
      </c>
      <c r="D185" s="29" t="e">
        <f t="shared" si="10"/>
        <v>#REF!</v>
      </c>
      <c r="E185" t="e">
        <f t="shared" si="11"/>
        <v>#REF!</v>
      </c>
      <c r="H185" t="s">
        <v>2778</v>
      </c>
      <c r="I185" s="29">
        <v>10499215.826618021</v>
      </c>
      <c r="J185" s="29">
        <f t="shared" si="8"/>
        <v>0</v>
      </c>
    </row>
    <row r="186" spans="1:10">
      <c r="A186" s="729" t="s">
        <v>5437</v>
      </c>
      <c r="B186" s="29" t="e">
        <f>SUMIF(#REF!,A186,#REF!)</f>
        <v>#REF!</v>
      </c>
      <c r="C186" s="29">
        <f t="shared" si="9"/>
        <v>0</v>
      </c>
      <c r="D186" s="29" t="e">
        <f t="shared" si="10"/>
        <v>#REF!</v>
      </c>
      <c r="E186" t="e">
        <f t="shared" si="11"/>
        <v>#REF!</v>
      </c>
      <c r="H186" t="s">
        <v>2779</v>
      </c>
      <c r="I186" s="29">
        <v>9782264.1090860106</v>
      </c>
      <c r="J186" s="29">
        <f t="shared" si="8"/>
        <v>0</v>
      </c>
    </row>
    <row r="187" spans="1:10">
      <c r="A187" s="729" t="s">
        <v>5438</v>
      </c>
      <c r="B187" s="29" t="e">
        <f>SUMIF(#REF!,A187,#REF!)</f>
        <v>#REF!</v>
      </c>
      <c r="C187" s="29">
        <f t="shared" si="9"/>
        <v>0</v>
      </c>
      <c r="D187" s="29" t="e">
        <f t="shared" si="10"/>
        <v>#REF!</v>
      </c>
      <c r="E187" t="e">
        <f t="shared" si="11"/>
        <v>#REF!</v>
      </c>
      <c r="H187" t="s">
        <v>2780</v>
      </c>
      <c r="I187" s="29">
        <v>2400075.7609831295</v>
      </c>
      <c r="J187" s="29">
        <f t="shared" si="8"/>
        <v>0</v>
      </c>
    </row>
    <row r="188" spans="1:10">
      <c r="A188" s="729" t="s">
        <v>5439</v>
      </c>
      <c r="B188" s="29" t="e">
        <f>SUMIF(#REF!,A188,#REF!)</f>
        <v>#REF!</v>
      </c>
      <c r="C188" s="29">
        <f t="shared" si="9"/>
        <v>0</v>
      </c>
      <c r="D188" s="29" t="e">
        <f t="shared" si="10"/>
        <v>#REF!</v>
      </c>
      <c r="E188" t="e">
        <f t="shared" si="11"/>
        <v>#REF!</v>
      </c>
      <c r="H188" t="s">
        <v>2781</v>
      </c>
      <c r="I188" s="29">
        <v>4353083.0094720377</v>
      </c>
      <c r="J188" s="29">
        <f t="shared" si="8"/>
        <v>0</v>
      </c>
    </row>
    <row r="189" spans="1:10">
      <c r="A189" s="729" t="s">
        <v>5440</v>
      </c>
      <c r="B189" s="29" t="e">
        <f>SUMIF(#REF!,A189,#REF!)</f>
        <v>#REF!</v>
      </c>
      <c r="C189" s="29">
        <f t="shared" si="9"/>
        <v>0</v>
      </c>
      <c r="D189" s="29" t="e">
        <f t="shared" si="10"/>
        <v>#REF!</v>
      </c>
      <c r="E189" t="e">
        <f t="shared" si="11"/>
        <v>#REF!</v>
      </c>
      <c r="H189" t="s">
        <v>2782</v>
      </c>
      <c r="I189" s="29">
        <v>8204906.2646739148</v>
      </c>
      <c r="J189" s="29">
        <f t="shared" si="8"/>
        <v>0</v>
      </c>
    </row>
    <row r="190" spans="1:10">
      <c r="A190" s="729" t="s">
        <v>5441</v>
      </c>
      <c r="B190" s="29" t="e">
        <f>SUMIF(#REF!,A190,#REF!)</f>
        <v>#REF!</v>
      </c>
      <c r="C190" s="29">
        <f t="shared" si="9"/>
        <v>0</v>
      </c>
      <c r="D190" s="29" t="e">
        <f t="shared" si="10"/>
        <v>#REF!</v>
      </c>
      <c r="E190" t="e">
        <f t="shared" si="11"/>
        <v>#REF!</v>
      </c>
      <c r="H190" t="s">
        <v>2783</v>
      </c>
      <c r="I190" s="29">
        <v>2146643.9010237134</v>
      </c>
      <c r="J190" s="29">
        <f t="shared" si="8"/>
        <v>0</v>
      </c>
    </row>
    <row r="191" spans="1:10">
      <c r="A191" s="729" t="s">
        <v>5408</v>
      </c>
      <c r="B191" s="29" t="e">
        <f>SUMIF(#REF!,A191,#REF!)</f>
        <v>#REF!</v>
      </c>
      <c r="C191" s="29">
        <f t="shared" si="9"/>
        <v>0</v>
      </c>
      <c r="D191" s="29" t="e">
        <f t="shared" si="10"/>
        <v>#REF!</v>
      </c>
      <c r="E191" t="e">
        <f t="shared" si="11"/>
        <v>#REF!</v>
      </c>
      <c r="H191" t="s">
        <v>2784</v>
      </c>
      <c r="I191" s="29">
        <v>8837.6700249954374</v>
      </c>
      <c r="J191" s="29">
        <f t="shared" si="8"/>
        <v>0</v>
      </c>
    </row>
    <row r="192" spans="1:10">
      <c r="A192" s="729" t="s">
        <v>5442</v>
      </c>
      <c r="B192" s="29" t="e">
        <f>SUMIF(#REF!,A192,#REF!)</f>
        <v>#REF!</v>
      </c>
      <c r="C192" s="29">
        <f t="shared" si="9"/>
        <v>0</v>
      </c>
      <c r="D192" s="29" t="e">
        <f t="shared" si="10"/>
        <v>#REF!</v>
      </c>
      <c r="E192" t="e">
        <f t="shared" si="11"/>
        <v>#REF!</v>
      </c>
      <c r="H192" t="s">
        <v>2785</v>
      </c>
      <c r="I192" s="29">
        <v>-1.3929488023522845E-2</v>
      </c>
      <c r="J192" s="29">
        <f t="shared" si="8"/>
        <v>0</v>
      </c>
    </row>
    <row r="193" spans="1:10">
      <c r="A193" s="729" t="s">
        <v>5409</v>
      </c>
      <c r="B193" s="29" t="e">
        <f>SUMIF(#REF!,A193,#REF!)</f>
        <v>#REF!</v>
      </c>
      <c r="C193" s="29">
        <f t="shared" si="9"/>
        <v>0</v>
      </c>
      <c r="D193" s="29" t="e">
        <f t="shared" si="10"/>
        <v>#REF!</v>
      </c>
      <c r="E193" t="e">
        <f t="shared" si="11"/>
        <v>#REF!</v>
      </c>
      <c r="H193" t="s">
        <v>2786</v>
      </c>
      <c r="I193" s="29">
        <v>4150044.3459956311</v>
      </c>
      <c r="J193" s="29">
        <f t="shared" si="8"/>
        <v>0</v>
      </c>
    </row>
    <row r="194" spans="1:10">
      <c r="A194" s="729" t="s">
        <v>5421</v>
      </c>
      <c r="B194" s="29" t="e">
        <f>SUMIF(#REF!,A194,#REF!)</f>
        <v>#REF!</v>
      </c>
      <c r="C194" s="29">
        <f t="shared" si="9"/>
        <v>0</v>
      </c>
      <c r="D194" s="29" t="e">
        <f t="shared" si="10"/>
        <v>#REF!</v>
      </c>
      <c r="E194" t="e">
        <f t="shared" si="11"/>
        <v>#REF!</v>
      </c>
      <c r="H194" t="s">
        <v>2787</v>
      </c>
      <c r="I194" s="29">
        <v>1113978.3001059741</v>
      </c>
      <c r="J194" s="29">
        <f t="shared" si="8"/>
        <v>0</v>
      </c>
    </row>
    <row r="195" spans="1:10">
      <c r="A195" s="729" t="s">
        <v>5422</v>
      </c>
      <c r="B195" s="29" t="e">
        <f>SUMIF(#REF!,A195,#REF!)</f>
        <v>#REF!</v>
      </c>
      <c r="C195" s="29">
        <f t="shared" si="9"/>
        <v>0</v>
      </c>
      <c r="D195" s="29" t="e">
        <f t="shared" si="10"/>
        <v>#REF!</v>
      </c>
      <c r="E195" t="e">
        <f t="shared" si="11"/>
        <v>#REF!</v>
      </c>
      <c r="H195" t="s">
        <v>2788</v>
      </c>
      <c r="I195" s="29">
        <v>1605892.0588246284</v>
      </c>
      <c r="J195" s="29">
        <f t="shared" si="8"/>
        <v>0</v>
      </c>
    </row>
    <row r="196" spans="1:10">
      <c r="A196" s="729" t="s">
        <v>5411</v>
      </c>
      <c r="B196" s="29" t="e">
        <f>SUMIF(#REF!,A196,#REF!)</f>
        <v>#REF!</v>
      </c>
      <c r="C196" s="29">
        <f t="shared" si="9"/>
        <v>0</v>
      </c>
      <c r="D196" s="29">
        <v>0</v>
      </c>
      <c r="E196" t="e">
        <f t="shared" si="11"/>
        <v>#REF!</v>
      </c>
      <c r="H196" t="s">
        <v>2789</v>
      </c>
      <c r="I196" s="29">
        <v>899613.37422528968</v>
      </c>
      <c r="J196" s="29">
        <f t="shared" si="8"/>
        <v>0</v>
      </c>
    </row>
    <row r="197" spans="1:10">
      <c r="A197" s="729" t="s">
        <v>2308</v>
      </c>
      <c r="B197" s="29" t="e">
        <f>SUMIF(#REF!,A197,#REF!)</f>
        <v>#REF!</v>
      </c>
      <c r="C197" s="29">
        <f t="shared" si="9"/>
        <v>0</v>
      </c>
      <c r="D197" s="29" t="e">
        <f t="shared" si="10"/>
        <v>#REF!</v>
      </c>
      <c r="E197" t="e">
        <f t="shared" si="11"/>
        <v>#REF!</v>
      </c>
      <c r="H197" t="s">
        <v>2790</v>
      </c>
      <c r="I197" s="29">
        <v>354620.6660734216</v>
      </c>
      <c r="J197" s="29">
        <f t="shared" si="8"/>
        <v>0</v>
      </c>
    </row>
    <row r="198" spans="1:10">
      <c r="A198" s="729" t="s">
        <v>2778</v>
      </c>
      <c r="B198" s="29" t="e">
        <f>SUMIF(#REF!,A198,#REF!)</f>
        <v>#REF!</v>
      </c>
      <c r="C198" s="29">
        <f t="shared" si="9"/>
        <v>0</v>
      </c>
      <c r="D198" s="29" t="e">
        <f t="shared" si="10"/>
        <v>#REF!</v>
      </c>
      <c r="E198" t="e">
        <f t="shared" si="11"/>
        <v>#REF!</v>
      </c>
      <c r="H198" t="s">
        <v>2791</v>
      </c>
      <c r="I198" s="29">
        <v>45890.471050065047</v>
      </c>
      <c r="J198" s="29">
        <f t="shared" ref="J198:J228" si="12">I198/$I$230*$J$4</f>
        <v>0</v>
      </c>
    </row>
    <row r="199" spans="1:10">
      <c r="A199" s="729" t="s">
        <v>2787</v>
      </c>
      <c r="B199" s="29" t="e">
        <f>SUMIF(#REF!,A199,#REF!)</f>
        <v>#REF!</v>
      </c>
      <c r="C199" s="29">
        <f t="shared" ref="C199:C229" si="13">-SUMIF($H$6:$H$228,$A199,$J$6:$J$228)</f>
        <v>0</v>
      </c>
      <c r="D199" s="29" t="e">
        <f t="shared" ref="D199:D229" si="14">IF(+C199-B199&gt;0,0,+C199-B199)</f>
        <v>#REF!</v>
      </c>
      <c r="E199" t="e">
        <f t="shared" ref="E199:E229" si="15">IF(+C199-B199&gt;0,"Check as collected more than budget","")</f>
        <v>#REF!</v>
      </c>
      <c r="H199" t="s">
        <v>2792</v>
      </c>
      <c r="I199" s="29">
        <v>52802.984117064669</v>
      </c>
      <c r="J199" s="29">
        <f t="shared" si="12"/>
        <v>0</v>
      </c>
    </row>
    <row r="200" spans="1:10">
      <c r="A200" s="729" t="s">
        <v>2788</v>
      </c>
      <c r="B200" s="29" t="e">
        <f>SUMIF(#REF!,A200,#REF!)</f>
        <v>#REF!</v>
      </c>
      <c r="C200" s="29">
        <f t="shared" si="13"/>
        <v>0</v>
      </c>
      <c r="D200" s="29" t="e">
        <f t="shared" si="14"/>
        <v>#REF!</v>
      </c>
      <c r="E200" t="e">
        <f t="shared" si="15"/>
        <v>#REF!</v>
      </c>
      <c r="H200" t="s">
        <v>2793</v>
      </c>
      <c r="I200" s="29">
        <v>0</v>
      </c>
      <c r="J200" s="29">
        <f t="shared" si="12"/>
        <v>0</v>
      </c>
    </row>
    <row r="201" spans="1:10">
      <c r="A201" s="729" t="s">
        <v>2789</v>
      </c>
      <c r="B201" s="29" t="e">
        <f>SUMIF(#REF!,A201,#REF!)</f>
        <v>#REF!</v>
      </c>
      <c r="C201" s="29">
        <f t="shared" si="13"/>
        <v>0</v>
      </c>
      <c r="D201" s="29" t="e">
        <f t="shared" si="14"/>
        <v>#REF!</v>
      </c>
      <c r="E201" t="e">
        <f t="shared" si="15"/>
        <v>#REF!</v>
      </c>
      <c r="H201" t="s">
        <v>2794</v>
      </c>
      <c r="I201" s="29">
        <v>0</v>
      </c>
      <c r="J201" s="29">
        <f t="shared" si="12"/>
        <v>0</v>
      </c>
    </row>
    <row r="202" spans="1:10">
      <c r="A202" s="729" t="s">
        <v>2790</v>
      </c>
      <c r="B202" s="29" t="e">
        <f>SUMIF(#REF!,A202,#REF!)</f>
        <v>#REF!</v>
      </c>
      <c r="C202" s="29">
        <f t="shared" si="13"/>
        <v>0</v>
      </c>
      <c r="D202" s="29" t="e">
        <f t="shared" si="14"/>
        <v>#REF!</v>
      </c>
      <c r="E202" t="e">
        <f t="shared" si="15"/>
        <v>#REF!</v>
      </c>
      <c r="H202" t="s">
        <v>2795</v>
      </c>
      <c r="I202" s="29">
        <v>0</v>
      </c>
      <c r="J202" s="29">
        <f t="shared" si="12"/>
        <v>0</v>
      </c>
    </row>
    <row r="203" spans="1:10">
      <c r="A203" s="729" t="s">
        <v>2791</v>
      </c>
      <c r="B203" s="29" t="e">
        <f>SUMIF(#REF!,A203,#REF!)</f>
        <v>#REF!</v>
      </c>
      <c r="C203" s="29">
        <f t="shared" si="13"/>
        <v>0</v>
      </c>
      <c r="D203" s="29" t="e">
        <f t="shared" si="14"/>
        <v>#REF!</v>
      </c>
      <c r="E203" t="e">
        <f t="shared" si="15"/>
        <v>#REF!</v>
      </c>
      <c r="H203" t="s">
        <v>2796</v>
      </c>
      <c r="I203" s="29">
        <v>0</v>
      </c>
      <c r="J203" s="29">
        <f t="shared" si="12"/>
        <v>0</v>
      </c>
    </row>
    <row r="204" spans="1:10">
      <c r="A204" s="729" t="s">
        <v>2792</v>
      </c>
      <c r="B204" s="29" t="e">
        <f>SUMIF(#REF!,A204,#REF!)</f>
        <v>#REF!</v>
      </c>
      <c r="C204" s="29">
        <f t="shared" si="13"/>
        <v>0</v>
      </c>
      <c r="D204" s="29" t="e">
        <f t="shared" si="14"/>
        <v>#REF!</v>
      </c>
      <c r="E204" t="e">
        <f t="shared" si="15"/>
        <v>#REF!</v>
      </c>
      <c r="H204" t="s">
        <v>2797</v>
      </c>
      <c r="I204" s="29">
        <v>0</v>
      </c>
      <c r="J204" s="29">
        <f t="shared" si="12"/>
        <v>0</v>
      </c>
    </row>
    <row r="205" spans="1:10">
      <c r="A205" s="729" t="s">
        <v>2793</v>
      </c>
      <c r="B205" s="29" t="e">
        <f>SUMIF(#REF!,A205,#REF!)</f>
        <v>#REF!</v>
      </c>
      <c r="C205" s="29">
        <f t="shared" si="13"/>
        <v>0</v>
      </c>
      <c r="D205" s="29" t="e">
        <f t="shared" si="14"/>
        <v>#REF!</v>
      </c>
      <c r="E205" t="e">
        <f t="shared" si="15"/>
        <v>#REF!</v>
      </c>
      <c r="H205" t="s">
        <v>2798</v>
      </c>
      <c r="I205" s="29">
        <v>0</v>
      </c>
      <c r="J205" s="29">
        <f t="shared" si="12"/>
        <v>0</v>
      </c>
    </row>
    <row r="206" spans="1:10">
      <c r="A206" s="729" t="s">
        <v>2794</v>
      </c>
      <c r="B206" s="29" t="e">
        <f>SUMIF(#REF!,A206,#REF!)</f>
        <v>#REF!</v>
      </c>
      <c r="C206" s="29">
        <f t="shared" si="13"/>
        <v>0</v>
      </c>
      <c r="D206" s="29" t="e">
        <f t="shared" si="14"/>
        <v>#REF!</v>
      </c>
      <c r="E206" t="e">
        <f t="shared" si="15"/>
        <v>#REF!</v>
      </c>
      <c r="H206" t="s">
        <v>2799</v>
      </c>
      <c r="I206" s="29">
        <v>0</v>
      </c>
      <c r="J206" s="29">
        <f t="shared" si="12"/>
        <v>0</v>
      </c>
    </row>
    <row r="207" spans="1:10">
      <c r="A207" s="729" t="s">
        <v>2795</v>
      </c>
      <c r="B207" s="29" t="e">
        <f>SUMIF(#REF!,A207,#REF!)</f>
        <v>#REF!</v>
      </c>
      <c r="C207" s="29">
        <f t="shared" si="13"/>
        <v>0</v>
      </c>
      <c r="D207" s="29" t="e">
        <f t="shared" si="14"/>
        <v>#REF!</v>
      </c>
      <c r="E207" t="e">
        <f t="shared" si="15"/>
        <v>#REF!</v>
      </c>
      <c r="H207" t="s">
        <v>2800</v>
      </c>
      <c r="I207" s="29">
        <v>0</v>
      </c>
      <c r="J207" s="29">
        <f t="shared" si="12"/>
        <v>0</v>
      </c>
    </row>
    <row r="208" spans="1:10">
      <c r="A208" s="729" t="s">
        <v>2796</v>
      </c>
      <c r="B208" s="29" t="e">
        <f>SUMIF(#REF!,A208,#REF!)</f>
        <v>#REF!</v>
      </c>
      <c r="C208" s="29">
        <f t="shared" si="13"/>
        <v>0</v>
      </c>
      <c r="D208" s="29" t="e">
        <f t="shared" si="14"/>
        <v>#REF!</v>
      </c>
      <c r="E208" t="e">
        <f t="shared" si="15"/>
        <v>#REF!</v>
      </c>
      <c r="H208" t="s">
        <v>2801</v>
      </c>
      <c r="I208" s="29">
        <v>0</v>
      </c>
      <c r="J208" s="29">
        <f t="shared" si="12"/>
        <v>0</v>
      </c>
    </row>
    <row r="209" spans="1:10">
      <c r="A209" s="729" t="s">
        <v>2779</v>
      </c>
      <c r="B209" s="29" t="e">
        <f>SUMIF(#REF!,A209,#REF!)</f>
        <v>#REF!</v>
      </c>
      <c r="C209" s="29">
        <f t="shared" si="13"/>
        <v>0</v>
      </c>
      <c r="D209" s="29" t="e">
        <f t="shared" si="14"/>
        <v>#REF!</v>
      </c>
      <c r="E209" t="e">
        <f t="shared" si="15"/>
        <v>#REF!</v>
      </c>
      <c r="H209" t="s">
        <v>2802</v>
      </c>
      <c r="I209" s="29">
        <v>0</v>
      </c>
      <c r="J209" s="29">
        <f t="shared" si="12"/>
        <v>0</v>
      </c>
    </row>
    <row r="210" spans="1:10">
      <c r="A210" s="729" t="s">
        <v>2797</v>
      </c>
      <c r="B210" s="29" t="e">
        <f>SUMIF(#REF!,A210,#REF!)</f>
        <v>#REF!</v>
      </c>
      <c r="C210" s="29">
        <f t="shared" si="13"/>
        <v>0</v>
      </c>
      <c r="D210" s="29" t="e">
        <f t="shared" si="14"/>
        <v>#REF!</v>
      </c>
      <c r="E210" t="e">
        <f t="shared" si="15"/>
        <v>#REF!</v>
      </c>
      <c r="H210" t="s">
        <v>2803</v>
      </c>
      <c r="I210" s="29">
        <v>0</v>
      </c>
      <c r="J210" s="29">
        <f t="shared" si="12"/>
        <v>0</v>
      </c>
    </row>
    <row r="211" spans="1:10">
      <c r="A211" s="729" t="s">
        <v>2798</v>
      </c>
      <c r="B211" s="29" t="e">
        <f>SUMIF(#REF!,A211,#REF!)</f>
        <v>#REF!</v>
      </c>
      <c r="C211" s="29">
        <f t="shared" si="13"/>
        <v>0</v>
      </c>
      <c r="D211" s="29" t="e">
        <f t="shared" si="14"/>
        <v>#REF!</v>
      </c>
      <c r="E211" t="e">
        <f t="shared" si="15"/>
        <v>#REF!</v>
      </c>
      <c r="H211" t="s">
        <v>2804</v>
      </c>
      <c r="I211" s="29">
        <v>0</v>
      </c>
      <c r="J211" s="29">
        <f t="shared" si="12"/>
        <v>0</v>
      </c>
    </row>
    <row r="212" spans="1:10">
      <c r="A212" s="729" t="s">
        <v>2799</v>
      </c>
      <c r="B212" s="29" t="e">
        <f>SUMIF(#REF!,A212,#REF!)</f>
        <v>#REF!</v>
      </c>
      <c r="C212" s="29">
        <f t="shared" si="13"/>
        <v>0</v>
      </c>
      <c r="D212" s="29" t="e">
        <f t="shared" si="14"/>
        <v>#REF!</v>
      </c>
      <c r="E212" t="e">
        <f t="shared" si="15"/>
        <v>#REF!</v>
      </c>
      <c r="H212" t="s">
        <v>2805</v>
      </c>
      <c r="I212" s="29">
        <v>0</v>
      </c>
      <c r="J212" s="29">
        <f t="shared" si="12"/>
        <v>0</v>
      </c>
    </row>
    <row r="213" spans="1:10">
      <c r="A213" s="729" t="s">
        <v>2800</v>
      </c>
      <c r="B213" s="29" t="e">
        <f>SUMIF(#REF!,A213,#REF!)</f>
        <v>#REF!</v>
      </c>
      <c r="C213" s="29">
        <f t="shared" si="13"/>
        <v>0</v>
      </c>
      <c r="D213" s="29" t="e">
        <f t="shared" si="14"/>
        <v>#REF!</v>
      </c>
      <c r="E213" t="e">
        <f t="shared" si="15"/>
        <v>#REF!</v>
      </c>
      <c r="H213" t="s">
        <v>2806</v>
      </c>
      <c r="I213" s="29">
        <v>0</v>
      </c>
      <c r="J213" s="29">
        <f t="shared" si="12"/>
        <v>0</v>
      </c>
    </row>
    <row r="214" spans="1:10">
      <c r="A214" s="729" t="s">
        <v>2801</v>
      </c>
      <c r="B214" s="29" t="e">
        <f>SUMIF(#REF!,A214,#REF!)</f>
        <v>#REF!</v>
      </c>
      <c r="C214" s="29">
        <f t="shared" si="13"/>
        <v>0</v>
      </c>
      <c r="D214" s="29" t="e">
        <f t="shared" si="14"/>
        <v>#REF!</v>
      </c>
      <c r="E214" t="e">
        <f t="shared" si="15"/>
        <v>#REF!</v>
      </c>
      <c r="H214" t="s">
        <v>2807</v>
      </c>
      <c r="I214" s="29">
        <v>0</v>
      </c>
      <c r="J214" s="29">
        <f t="shared" si="12"/>
        <v>0</v>
      </c>
    </row>
    <row r="215" spans="1:10">
      <c r="A215" s="729" t="s">
        <v>2802</v>
      </c>
      <c r="B215" s="29" t="e">
        <f>SUMIF(#REF!,A215,#REF!)</f>
        <v>#REF!</v>
      </c>
      <c r="C215" s="29">
        <f t="shared" si="13"/>
        <v>0</v>
      </c>
      <c r="D215" s="29" t="e">
        <f t="shared" si="14"/>
        <v>#REF!</v>
      </c>
      <c r="E215" t="e">
        <f t="shared" si="15"/>
        <v>#REF!</v>
      </c>
      <c r="H215" t="s">
        <v>2808</v>
      </c>
      <c r="I215" s="29">
        <v>0</v>
      </c>
      <c r="J215" s="29">
        <f t="shared" si="12"/>
        <v>0</v>
      </c>
    </row>
    <row r="216" spans="1:10">
      <c r="A216" s="729" t="s">
        <v>2803</v>
      </c>
      <c r="B216" s="29" t="e">
        <f>SUMIF(#REF!,A216,#REF!)</f>
        <v>#REF!</v>
      </c>
      <c r="C216" s="29">
        <f t="shared" si="13"/>
        <v>0</v>
      </c>
      <c r="D216" s="29" t="e">
        <f t="shared" si="14"/>
        <v>#REF!</v>
      </c>
      <c r="E216" t="e">
        <f t="shared" si="15"/>
        <v>#REF!</v>
      </c>
      <c r="H216" t="s">
        <v>2809</v>
      </c>
      <c r="I216" s="29">
        <v>0</v>
      </c>
      <c r="J216" s="29">
        <f t="shared" si="12"/>
        <v>0</v>
      </c>
    </row>
    <row r="217" spans="1:10">
      <c r="A217" s="729" t="s">
        <v>2804</v>
      </c>
      <c r="B217" s="29" t="e">
        <f>SUMIF(#REF!,A217,#REF!)</f>
        <v>#REF!</v>
      </c>
      <c r="C217" s="29">
        <f t="shared" si="13"/>
        <v>0</v>
      </c>
      <c r="D217" s="29" t="e">
        <f t="shared" si="14"/>
        <v>#REF!</v>
      </c>
      <c r="E217" t="e">
        <f t="shared" si="15"/>
        <v>#REF!</v>
      </c>
      <c r="H217" t="s">
        <v>2810</v>
      </c>
      <c r="I217" s="29">
        <v>41107672.968059719</v>
      </c>
      <c r="J217" s="29">
        <f t="shared" si="12"/>
        <v>0</v>
      </c>
    </row>
    <row r="218" spans="1:10">
      <c r="A218" s="729" t="s">
        <v>2805</v>
      </c>
      <c r="B218" s="29" t="e">
        <f>SUMIF(#REF!,A218,#REF!)</f>
        <v>#REF!</v>
      </c>
      <c r="C218" s="29">
        <f t="shared" si="13"/>
        <v>0</v>
      </c>
      <c r="D218" s="29" t="e">
        <f t="shared" si="14"/>
        <v>#REF!</v>
      </c>
      <c r="E218" t="e">
        <f t="shared" si="15"/>
        <v>#REF!</v>
      </c>
      <c r="H218" t="s">
        <v>2811</v>
      </c>
      <c r="I218" s="29">
        <v>5922.96951805358</v>
      </c>
      <c r="J218" s="29">
        <f t="shared" si="12"/>
        <v>0</v>
      </c>
    </row>
    <row r="219" spans="1:10">
      <c r="A219" s="729" t="s">
        <v>2806</v>
      </c>
      <c r="B219" s="29" t="e">
        <f>SUMIF(#REF!,A219,#REF!)</f>
        <v>#REF!</v>
      </c>
      <c r="C219" s="29">
        <f t="shared" si="13"/>
        <v>0</v>
      </c>
      <c r="D219" s="29" t="e">
        <f t="shared" si="14"/>
        <v>#REF!</v>
      </c>
      <c r="E219" t="e">
        <f t="shared" si="15"/>
        <v>#REF!</v>
      </c>
      <c r="H219" t="s">
        <v>2812</v>
      </c>
      <c r="I219" s="29">
        <v>1855151.721413116</v>
      </c>
      <c r="J219" s="29">
        <f t="shared" si="12"/>
        <v>0</v>
      </c>
    </row>
    <row r="220" spans="1:10">
      <c r="A220" s="729" t="s">
        <v>2780</v>
      </c>
      <c r="B220" s="29" t="e">
        <f>SUMIF(#REF!,A220,#REF!)</f>
        <v>#REF!</v>
      </c>
      <c r="C220" s="29">
        <f t="shared" si="13"/>
        <v>0</v>
      </c>
      <c r="D220" s="29" t="e">
        <f t="shared" si="14"/>
        <v>#REF!</v>
      </c>
      <c r="E220" t="e">
        <f t="shared" si="15"/>
        <v>#REF!</v>
      </c>
      <c r="H220" t="s">
        <v>2813</v>
      </c>
      <c r="I220" s="29">
        <v>178073.58195365674</v>
      </c>
      <c r="J220" s="29">
        <f t="shared" si="12"/>
        <v>0</v>
      </c>
    </row>
    <row r="221" spans="1:10">
      <c r="A221" s="729" t="s">
        <v>2807</v>
      </c>
      <c r="B221" s="29" t="e">
        <f>SUMIF(#REF!,A221,#REF!)</f>
        <v>#REF!</v>
      </c>
      <c r="C221" s="29">
        <f t="shared" si="13"/>
        <v>0</v>
      </c>
      <c r="D221" s="29" t="e">
        <f t="shared" si="14"/>
        <v>#REF!</v>
      </c>
      <c r="E221" t="e">
        <f t="shared" si="15"/>
        <v>#REF!</v>
      </c>
      <c r="H221" t="s">
        <v>2814</v>
      </c>
      <c r="I221" s="29">
        <v>399859.64416211745</v>
      </c>
      <c r="J221" s="29">
        <f t="shared" si="12"/>
        <v>0</v>
      </c>
    </row>
    <row r="222" spans="1:10">
      <c r="A222" s="729" t="s">
        <v>2808</v>
      </c>
      <c r="B222" s="29" t="e">
        <f>SUMIF(#REF!,A222,#REF!)</f>
        <v>#REF!</v>
      </c>
      <c r="C222" s="29">
        <f t="shared" si="13"/>
        <v>0</v>
      </c>
      <c r="D222" s="29" t="e">
        <f t="shared" si="14"/>
        <v>#REF!</v>
      </c>
      <c r="E222" t="e">
        <f t="shared" si="15"/>
        <v>#REF!</v>
      </c>
      <c r="H222" t="s">
        <v>2815</v>
      </c>
      <c r="I222" s="29">
        <v>0</v>
      </c>
      <c r="J222" s="29">
        <f t="shared" si="12"/>
        <v>0</v>
      </c>
    </row>
    <row r="223" spans="1:10">
      <c r="A223" s="729" t="s">
        <v>2809</v>
      </c>
      <c r="B223" s="29" t="e">
        <f>SUMIF(#REF!,A223,#REF!)</f>
        <v>#REF!</v>
      </c>
      <c r="C223" s="29">
        <f t="shared" si="13"/>
        <v>0</v>
      </c>
      <c r="D223" s="29" t="e">
        <f t="shared" si="14"/>
        <v>#REF!</v>
      </c>
      <c r="E223" t="e">
        <f t="shared" si="15"/>
        <v>#REF!</v>
      </c>
      <c r="H223" t="s">
        <v>2816</v>
      </c>
      <c r="I223" s="29">
        <v>0</v>
      </c>
      <c r="J223" s="29">
        <f t="shared" si="12"/>
        <v>0</v>
      </c>
    </row>
    <row r="224" spans="1:10">
      <c r="A224" s="729" t="s">
        <v>2781</v>
      </c>
      <c r="B224" s="29" t="e">
        <f>SUMIF(#REF!,A224,#REF!)</f>
        <v>#REF!</v>
      </c>
      <c r="C224" s="29">
        <f t="shared" si="13"/>
        <v>0</v>
      </c>
      <c r="D224" s="29" t="e">
        <f t="shared" si="14"/>
        <v>#REF!</v>
      </c>
      <c r="E224" t="e">
        <f t="shared" si="15"/>
        <v>#REF!</v>
      </c>
      <c r="H224" t="s">
        <v>2817</v>
      </c>
      <c r="I224" s="29">
        <v>0</v>
      </c>
      <c r="J224" s="29">
        <f t="shared" si="12"/>
        <v>0</v>
      </c>
    </row>
    <row r="225" spans="1:11">
      <c r="A225" s="729" t="s">
        <v>2782</v>
      </c>
      <c r="B225" s="29" t="e">
        <f>SUMIF(#REF!,A225,#REF!)</f>
        <v>#REF!</v>
      </c>
      <c r="C225" s="29">
        <f t="shared" si="13"/>
        <v>0</v>
      </c>
      <c r="D225" s="29" t="e">
        <f t="shared" si="14"/>
        <v>#REF!</v>
      </c>
      <c r="E225" t="e">
        <f t="shared" si="15"/>
        <v>#REF!</v>
      </c>
      <c r="H225" t="s">
        <v>2818</v>
      </c>
      <c r="I225" s="29">
        <v>-4.5023985937625993E-2</v>
      </c>
      <c r="J225" s="29">
        <f t="shared" si="12"/>
        <v>0</v>
      </c>
    </row>
    <row r="226" spans="1:11">
      <c r="A226" s="729" t="s">
        <v>2783</v>
      </c>
      <c r="B226" s="29" t="e">
        <f>SUMIF(#REF!,A226,#REF!)</f>
        <v>#REF!</v>
      </c>
      <c r="C226" s="29">
        <f t="shared" si="13"/>
        <v>0</v>
      </c>
      <c r="D226" s="29" t="e">
        <f t="shared" si="14"/>
        <v>#REF!</v>
      </c>
      <c r="E226" t="e">
        <f t="shared" si="15"/>
        <v>#REF!</v>
      </c>
      <c r="H226" t="s">
        <v>2819</v>
      </c>
      <c r="I226" s="29">
        <v>0</v>
      </c>
      <c r="J226" s="29">
        <f t="shared" si="12"/>
        <v>0</v>
      </c>
    </row>
    <row r="227" spans="1:11">
      <c r="A227" s="729" t="s">
        <v>2784</v>
      </c>
      <c r="B227" s="29" t="e">
        <f>SUMIF(#REF!,A227,#REF!)</f>
        <v>#REF!</v>
      </c>
      <c r="C227" s="29">
        <f t="shared" si="13"/>
        <v>0</v>
      </c>
      <c r="D227" s="29" t="e">
        <f t="shared" si="14"/>
        <v>#REF!</v>
      </c>
      <c r="E227" t="e">
        <f t="shared" si="15"/>
        <v>#REF!</v>
      </c>
      <c r="H227" t="s">
        <v>2820</v>
      </c>
      <c r="I227" s="29">
        <v>0</v>
      </c>
      <c r="J227" s="29">
        <f t="shared" si="12"/>
        <v>0</v>
      </c>
    </row>
    <row r="228" spans="1:11">
      <c r="A228" s="729" t="s">
        <v>2785</v>
      </c>
      <c r="B228" s="29" t="e">
        <f>SUMIF(#REF!,A228,#REF!)</f>
        <v>#REF!</v>
      </c>
      <c r="C228" s="29">
        <f t="shared" si="13"/>
        <v>0</v>
      </c>
      <c r="D228" s="29" t="e">
        <f t="shared" si="14"/>
        <v>#REF!</v>
      </c>
      <c r="E228" t="e">
        <f t="shared" si="15"/>
        <v>#REF!</v>
      </c>
      <c r="H228" t="s">
        <v>2821</v>
      </c>
      <c r="I228" s="29">
        <v>0</v>
      </c>
      <c r="J228" s="29">
        <f t="shared" si="12"/>
        <v>0</v>
      </c>
    </row>
    <row r="229" spans="1:11">
      <c r="A229" s="729" t="s">
        <v>2786</v>
      </c>
      <c r="B229" s="29" t="e">
        <f>SUMIF(#REF!,A229,#REF!)</f>
        <v>#REF!</v>
      </c>
      <c r="C229" s="29">
        <f t="shared" si="13"/>
        <v>0</v>
      </c>
      <c r="D229" s="29" t="e">
        <f t="shared" si="14"/>
        <v>#REF!</v>
      </c>
      <c r="E229" t="e">
        <f t="shared" si="15"/>
        <v>#REF!</v>
      </c>
    </row>
    <row r="230" spans="1:11" ht="13.5" thickBot="1">
      <c r="B230" s="732" t="e">
        <f>SUM(B6:B229)</f>
        <v>#REF!</v>
      </c>
      <c r="C230" s="732">
        <f t="shared" ref="C230:D230" si="16">SUM(C6:C229)</f>
        <v>0</v>
      </c>
      <c r="D230" s="732" t="e">
        <f t="shared" si="16"/>
        <v>#REF!</v>
      </c>
      <c r="I230" s="732">
        <f t="shared" ref="I230:K230" si="17">SUM(I6:I229)</f>
        <v>253162671.45804662</v>
      </c>
      <c r="J230" s="732">
        <f t="shared" si="17"/>
        <v>0</v>
      </c>
      <c r="K230" s="732">
        <f t="shared" si="17"/>
        <v>0</v>
      </c>
    </row>
  </sheetData>
  <pageMargins left="0.51181102362204722" right="0.31496062992125984" top="0.55118110236220474" bottom="0.74803149606299213" header="0.31496062992125984" footer="0.31496062992125984"/>
  <pageSetup paperSize="8" fitToHeight="7" orientation="landscape" r:id="rId1"/>
  <headerFooter>
    <oddFooter>&amp;L&amp;F&amp;C&amp;A&amp;RPage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9426-7B5E-479C-8339-B3BB58A944B8}">
  <sheetPr codeName="Sheet37">
    <tabColor rgb="FFC00000"/>
    <pageSetUpPr fitToPage="1"/>
  </sheetPr>
  <dimension ref="A1:F243"/>
  <sheetViews>
    <sheetView workbookViewId="0">
      <selection activeCell="I6" sqref="I6:I11"/>
    </sheetView>
  </sheetViews>
  <sheetFormatPr defaultRowHeight="12.5"/>
  <cols>
    <col min="1" max="1" width="16.453125" customWidth="1"/>
    <col min="2" max="2" width="32.54296875" customWidth="1"/>
    <col min="3" max="3" width="5" customWidth="1"/>
    <col min="4" max="4" width="24" customWidth="1"/>
    <col min="5" max="5" width="32.54296875" customWidth="1"/>
    <col min="6" max="6" width="23.453125" customWidth="1"/>
  </cols>
  <sheetData>
    <row r="1" spans="1:6" ht="25">
      <c r="A1" s="773" t="s">
        <v>5534</v>
      </c>
      <c r="B1" s="301"/>
      <c r="C1" s="301"/>
      <c r="D1" s="301"/>
      <c r="E1" s="301"/>
      <c r="F1" s="301"/>
    </row>
    <row r="2" spans="1:6">
      <c r="A2" s="301"/>
      <c r="B2" s="301"/>
      <c r="C2" s="301"/>
      <c r="D2" s="301"/>
      <c r="E2" s="301"/>
      <c r="F2" s="301"/>
    </row>
    <row r="3" spans="1:6">
      <c r="A3" s="301" t="s">
        <v>5540</v>
      </c>
      <c r="B3" s="301"/>
      <c r="C3" s="301"/>
      <c r="D3" s="301"/>
      <c r="E3" s="301"/>
      <c r="F3" s="301"/>
    </row>
    <row r="4" spans="1:6">
      <c r="A4" s="301" t="s">
        <v>6670</v>
      </c>
      <c r="B4" s="301"/>
      <c r="C4" s="301"/>
      <c r="D4" s="301"/>
      <c r="E4" s="301"/>
      <c r="F4" s="301"/>
    </row>
    <row r="5" spans="1:6">
      <c r="A5" s="301"/>
      <c r="B5" s="301"/>
      <c r="C5" s="301"/>
      <c r="D5" s="301"/>
      <c r="E5" s="301"/>
      <c r="F5" s="301"/>
    </row>
    <row r="6" spans="1:6" ht="39">
      <c r="A6" s="774" t="s">
        <v>5535</v>
      </c>
      <c r="B6" s="774" t="s">
        <v>5536</v>
      </c>
      <c r="C6" s="774"/>
      <c r="D6" s="774" t="s">
        <v>5537</v>
      </c>
      <c r="E6" s="774" t="s">
        <v>5538</v>
      </c>
      <c r="F6" s="775" t="s">
        <v>5539</v>
      </c>
    </row>
    <row r="7" spans="1:6">
      <c r="A7" s="124" t="s">
        <v>2629</v>
      </c>
      <c r="B7" s="799" t="s">
        <v>91</v>
      </c>
      <c r="D7" t="s">
        <v>2629</v>
      </c>
      <c r="E7" s="799" t="s">
        <v>91</v>
      </c>
      <c r="F7" s="23">
        <v>1</v>
      </c>
    </row>
    <row r="8" spans="1:6">
      <c r="A8" t="s">
        <v>2631</v>
      </c>
      <c r="B8" s="799" t="s">
        <v>2632</v>
      </c>
      <c r="D8" t="s">
        <v>2631</v>
      </c>
      <c r="E8" s="799" t="s">
        <v>2632</v>
      </c>
      <c r="F8" s="23">
        <v>1</v>
      </c>
    </row>
    <row r="9" spans="1:6">
      <c r="A9" t="s">
        <v>2633</v>
      </c>
      <c r="B9" s="799" t="s">
        <v>2432</v>
      </c>
      <c r="D9" t="s">
        <v>2633</v>
      </c>
      <c r="E9" s="799" t="s">
        <v>2432</v>
      </c>
      <c r="F9" s="23">
        <v>1</v>
      </c>
    </row>
    <row r="10" spans="1:6">
      <c r="A10" t="s">
        <v>2634</v>
      </c>
      <c r="B10" s="799" t="s">
        <v>2635</v>
      </c>
      <c r="D10" t="s">
        <v>2634</v>
      </c>
      <c r="E10" s="799" t="s">
        <v>2635</v>
      </c>
      <c r="F10" s="23">
        <v>1</v>
      </c>
    </row>
    <row r="11" spans="1:6">
      <c r="A11" t="s">
        <v>2636</v>
      </c>
      <c r="B11" s="799" t="s">
        <v>2395</v>
      </c>
      <c r="D11" t="s">
        <v>2636</v>
      </c>
      <c r="E11" s="799" t="s">
        <v>2395</v>
      </c>
      <c r="F11" s="23">
        <v>1</v>
      </c>
    </row>
    <row r="12" spans="1:6">
      <c r="A12" t="s">
        <v>2638</v>
      </c>
      <c r="B12" s="799" t="s">
        <v>2566</v>
      </c>
      <c r="D12" t="s">
        <v>2638</v>
      </c>
      <c r="E12" s="799" t="s">
        <v>2566</v>
      </c>
      <c r="F12" s="23">
        <v>1</v>
      </c>
    </row>
    <row r="13" spans="1:6">
      <c r="A13" t="s">
        <v>2640</v>
      </c>
      <c r="B13" s="799" t="s">
        <v>4391</v>
      </c>
      <c r="D13" t="s">
        <v>2640</v>
      </c>
      <c r="E13" s="799" t="s">
        <v>4391</v>
      </c>
      <c r="F13" s="23">
        <v>1</v>
      </c>
    </row>
    <row r="14" spans="1:6">
      <c r="A14" t="s">
        <v>2642</v>
      </c>
      <c r="B14" s="799" t="s">
        <v>4392</v>
      </c>
      <c r="D14" t="s">
        <v>2642</v>
      </c>
      <c r="E14" s="799" t="s">
        <v>4392</v>
      </c>
      <c r="F14" s="23">
        <v>1</v>
      </c>
    </row>
    <row r="15" spans="1:6">
      <c r="A15" t="s">
        <v>2644</v>
      </c>
      <c r="B15" s="799" t="s">
        <v>4393</v>
      </c>
      <c r="D15" t="s">
        <v>2644</v>
      </c>
      <c r="E15" s="799" t="s">
        <v>4393</v>
      </c>
      <c r="F15" s="23">
        <v>1</v>
      </c>
    </row>
    <row r="16" spans="1:6">
      <c r="A16" t="s">
        <v>2646</v>
      </c>
      <c r="B16" s="799" t="s">
        <v>2570</v>
      </c>
      <c r="D16" t="s">
        <v>2646</v>
      </c>
      <c r="E16" s="799" t="s">
        <v>2570</v>
      </c>
      <c r="F16" s="23">
        <v>1</v>
      </c>
    </row>
    <row r="17" spans="1:6">
      <c r="A17" t="s">
        <v>2648</v>
      </c>
      <c r="B17" s="799" t="s">
        <v>2571</v>
      </c>
      <c r="D17" t="s">
        <v>2648</v>
      </c>
      <c r="E17" s="799" t="s">
        <v>2571</v>
      </c>
      <c r="F17" s="23">
        <v>1</v>
      </c>
    </row>
    <row r="18" spans="1:6">
      <c r="A18" t="s">
        <v>2650</v>
      </c>
      <c r="B18" s="799" t="s">
        <v>5813</v>
      </c>
      <c r="D18" t="s">
        <v>2650</v>
      </c>
      <c r="E18" s="799" t="s">
        <v>5813</v>
      </c>
      <c r="F18" s="23">
        <v>1</v>
      </c>
    </row>
    <row r="19" spans="1:6">
      <c r="A19" t="s">
        <v>2652</v>
      </c>
      <c r="B19" s="799" t="s">
        <v>2573</v>
      </c>
      <c r="D19" t="s">
        <v>2652</v>
      </c>
      <c r="E19" s="799" t="s">
        <v>2573</v>
      </c>
      <c r="F19" s="23">
        <v>1</v>
      </c>
    </row>
    <row r="20" spans="1:6">
      <c r="A20" t="s">
        <v>2654</v>
      </c>
      <c r="B20" s="799" t="s">
        <v>2574</v>
      </c>
      <c r="D20" t="s">
        <v>2654</v>
      </c>
      <c r="E20" s="799" t="s">
        <v>2574</v>
      </c>
      <c r="F20" s="23">
        <v>1</v>
      </c>
    </row>
    <row r="21" spans="1:6">
      <c r="A21" t="s">
        <v>2656</v>
      </c>
      <c r="B21" s="799" t="s">
        <v>2425</v>
      </c>
      <c r="D21" t="s">
        <v>2656</v>
      </c>
      <c r="E21" s="799" t="s">
        <v>2425</v>
      </c>
      <c r="F21" s="23">
        <v>1</v>
      </c>
    </row>
    <row r="22" spans="1:6">
      <c r="A22" t="s">
        <v>2658</v>
      </c>
      <c r="B22" s="799" t="s">
        <v>2426</v>
      </c>
      <c r="D22" t="s">
        <v>2658</v>
      </c>
      <c r="E22" s="799" t="s">
        <v>2426</v>
      </c>
      <c r="F22" s="23">
        <v>1</v>
      </c>
    </row>
    <row r="23" spans="1:6">
      <c r="A23" t="s">
        <v>2660</v>
      </c>
      <c r="B23" s="799" t="s">
        <v>1207</v>
      </c>
      <c r="D23" t="s">
        <v>2660</v>
      </c>
      <c r="E23" s="799" t="s">
        <v>1207</v>
      </c>
      <c r="F23" s="23">
        <v>1</v>
      </c>
    </row>
    <row r="24" spans="1:6">
      <c r="A24" t="s">
        <v>2662</v>
      </c>
      <c r="B24" s="799" t="s">
        <v>1208</v>
      </c>
      <c r="D24" t="s">
        <v>2662</v>
      </c>
      <c r="E24" s="799" t="s">
        <v>1208</v>
      </c>
      <c r="F24" s="23">
        <v>1</v>
      </c>
    </row>
    <row r="25" spans="1:6">
      <c r="A25" t="s">
        <v>2664</v>
      </c>
      <c r="B25" s="799" t="s">
        <v>2582</v>
      </c>
      <c r="D25" t="s">
        <v>2664</v>
      </c>
      <c r="E25" s="799" t="s">
        <v>2582</v>
      </c>
      <c r="F25" s="23">
        <v>1</v>
      </c>
    </row>
    <row r="26" spans="1:6">
      <c r="A26" t="s">
        <v>2666</v>
      </c>
      <c r="B26" s="799" t="s">
        <v>2583</v>
      </c>
      <c r="D26" t="s">
        <v>2666</v>
      </c>
      <c r="E26" s="799" t="s">
        <v>2583</v>
      </c>
      <c r="F26" s="23">
        <v>1</v>
      </c>
    </row>
    <row r="27" spans="1:6">
      <c r="A27" t="s">
        <v>2668</v>
      </c>
      <c r="B27" s="799" t="s">
        <v>2584</v>
      </c>
      <c r="D27" t="s">
        <v>2668</v>
      </c>
      <c r="E27" s="799" t="s">
        <v>2584</v>
      </c>
      <c r="F27" s="23">
        <v>1</v>
      </c>
    </row>
    <row r="28" spans="1:6">
      <c r="A28" t="s">
        <v>2670</v>
      </c>
      <c r="B28" s="799" t="s">
        <v>2585</v>
      </c>
      <c r="D28" t="s">
        <v>2670</v>
      </c>
      <c r="E28" s="799" t="s">
        <v>2585</v>
      </c>
      <c r="F28" s="23">
        <v>1</v>
      </c>
    </row>
    <row r="29" spans="1:6">
      <c r="A29" t="s">
        <v>2672</v>
      </c>
      <c r="B29" s="799" t="s">
        <v>2586</v>
      </c>
      <c r="D29" t="s">
        <v>2672</v>
      </c>
      <c r="E29" s="799" t="s">
        <v>2586</v>
      </c>
      <c r="F29" s="23">
        <v>1</v>
      </c>
    </row>
    <row r="30" spans="1:6">
      <c r="A30" t="s">
        <v>2674</v>
      </c>
      <c r="B30" s="799" t="s">
        <v>2587</v>
      </c>
      <c r="D30" t="s">
        <v>2674</v>
      </c>
      <c r="E30" s="799" t="s">
        <v>2587</v>
      </c>
      <c r="F30" s="23">
        <v>1</v>
      </c>
    </row>
    <row r="31" spans="1:6">
      <c r="A31" t="s">
        <v>2676</v>
      </c>
      <c r="B31" s="799" t="s">
        <v>2588</v>
      </c>
      <c r="D31" t="s">
        <v>2676</v>
      </c>
      <c r="E31" s="799" t="s">
        <v>2588</v>
      </c>
      <c r="F31" s="23">
        <v>1</v>
      </c>
    </row>
    <row r="32" spans="1:6">
      <c r="A32" t="s">
        <v>2678</v>
      </c>
      <c r="B32" s="799" t="s">
        <v>2427</v>
      </c>
      <c r="D32" t="s">
        <v>2678</v>
      </c>
      <c r="E32" s="799" t="s">
        <v>2427</v>
      </c>
      <c r="F32" s="23">
        <v>1</v>
      </c>
    </row>
    <row r="33" spans="1:6">
      <c r="A33" t="s">
        <v>2680</v>
      </c>
      <c r="B33" s="799" t="s">
        <v>3054</v>
      </c>
      <c r="D33" t="s">
        <v>2680</v>
      </c>
      <c r="E33" s="799" t="s">
        <v>3054</v>
      </c>
      <c r="F33" s="23">
        <v>1</v>
      </c>
    </row>
    <row r="34" spans="1:6">
      <c r="A34" t="s">
        <v>2682</v>
      </c>
      <c r="B34" s="799" t="s">
        <v>2683</v>
      </c>
      <c r="D34" t="s">
        <v>2682</v>
      </c>
      <c r="E34" s="799" t="s">
        <v>2683</v>
      </c>
      <c r="F34" s="23">
        <v>1</v>
      </c>
    </row>
    <row r="35" spans="1:6">
      <c r="A35" t="s">
        <v>2684</v>
      </c>
      <c r="B35" t="s">
        <v>2685</v>
      </c>
      <c r="D35" t="s">
        <v>2684</v>
      </c>
      <c r="E35" t="s">
        <v>2685</v>
      </c>
      <c r="F35" s="23">
        <v>1</v>
      </c>
    </row>
    <row r="36" spans="1:6">
      <c r="A36" t="s">
        <v>2686</v>
      </c>
      <c r="B36" t="s">
        <v>2687</v>
      </c>
      <c r="D36" t="s">
        <v>2686</v>
      </c>
      <c r="E36" t="s">
        <v>2687</v>
      </c>
      <c r="F36" s="23">
        <v>1</v>
      </c>
    </row>
    <row r="37" spans="1:6">
      <c r="A37" t="s">
        <v>2688</v>
      </c>
      <c r="B37" t="s">
        <v>2689</v>
      </c>
      <c r="D37" t="s">
        <v>2688</v>
      </c>
      <c r="E37" t="s">
        <v>2689</v>
      </c>
      <c r="F37" s="23">
        <v>1</v>
      </c>
    </row>
    <row r="38" spans="1:6">
      <c r="A38" t="s">
        <v>2690</v>
      </c>
      <c r="B38" t="s">
        <v>2691</v>
      </c>
      <c r="D38" t="s">
        <v>2690</v>
      </c>
      <c r="E38" t="s">
        <v>2691</v>
      </c>
      <c r="F38" s="23">
        <v>1</v>
      </c>
    </row>
    <row r="39" spans="1:6">
      <c r="A39" t="s">
        <v>2692</v>
      </c>
      <c r="B39" t="s">
        <v>2693</v>
      </c>
      <c r="D39" t="s">
        <v>2692</v>
      </c>
      <c r="E39" t="s">
        <v>2693</v>
      </c>
      <c r="F39" s="23">
        <v>1</v>
      </c>
    </row>
    <row r="40" spans="1:6">
      <c r="A40" t="s">
        <v>2694</v>
      </c>
      <c r="B40" t="s">
        <v>2695</v>
      </c>
      <c r="D40" t="s">
        <v>2694</v>
      </c>
      <c r="E40" t="s">
        <v>2695</v>
      </c>
      <c r="F40" s="23">
        <v>1</v>
      </c>
    </row>
    <row r="41" spans="1:6">
      <c r="A41" t="s">
        <v>2696</v>
      </c>
      <c r="B41" t="s">
        <v>2697</v>
      </c>
      <c r="D41" t="s">
        <v>2696</v>
      </c>
      <c r="E41" t="s">
        <v>2697</v>
      </c>
      <c r="F41" s="23">
        <v>1</v>
      </c>
    </row>
    <row r="42" spans="1:6">
      <c r="A42" t="s">
        <v>2698</v>
      </c>
      <c r="B42" t="s">
        <v>2699</v>
      </c>
      <c r="D42" t="s">
        <v>2698</v>
      </c>
      <c r="E42" t="s">
        <v>2699</v>
      </c>
      <c r="F42" s="23">
        <v>1</v>
      </c>
    </row>
    <row r="43" spans="1:6">
      <c r="A43" t="s">
        <v>2700</v>
      </c>
      <c r="B43" t="s">
        <v>2701</v>
      </c>
      <c r="D43" t="s">
        <v>2700</v>
      </c>
      <c r="E43" t="s">
        <v>2701</v>
      </c>
      <c r="F43" s="23">
        <v>1</v>
      </c>
    </row>
    <row r="44" spans="1:6">
      <c r="A44" t="s">
        <v>2702</v>
      </c>
      <c r="B44" t="s">
        <v>2703</v>
      </c>
      <c r="D44" t="s">
        <v>2702</v>
      </c>
      <c r="E44" t="s">
        <v>2703</v>
      </c>
      <c r="F44" s="23">
        <v>1</v>
      </c>
    </row>
    <row r="45" spans="1:6">
      <c r="A45" t="s">
        <v>2704</v>
      </c>
      <c r="B45" t="s">
        <v>2705</v>
      </c>
      <c r="D45" t="s">
        <v>2704</v>
      </c>
      <c r="E45" t="s">
        <v>2705</v>
      </c>
      <c r="F45" s="23">
        <v>1</v>
      </c>
    </row>
    <row r="46" spans="1:6">
      <c r="A46" t="s">
        <v>2706</v>
      </c>
      <c r="B46" t="s">
        <v>2707</v>
      </c>
      <c r="D46" t="s">
        <v>2706</v>
      </c>
      <c r="E46" t="s">
        <v>2707</v>
      </c>
      <c r="F46" s="23">
        <v>1</v>
      </c>
    </row>
    <row r="47" spans="1:6">
      <c r="A47" t="s">
        <v>2708</v>
      </c>
      <c r="B47" t="s">
        <v>2709</v>
      </c>
      <c r="D47" t="s">
        <v>2708</v>
      </c>
      <c r="E47" t="s">
        <v>2709</v>
      </c>
      <c r="F47" s="23">
        <v>1</v>
      </c>
    </row>
    <row r="48" spans="1:6">
      <c r="A48" t="s">
        <v>2710</v>
      </c>
      <c r="B48" t="s">
        <v>2711</v>
      </c>
      <c r="D48" t="s">
        <v>2710</v>
      </c>
      <c r="E48" t="s">
        <v>2711</v>
      </c>
      <c r="F48" s="23">
        <v>1</v>
      </c>
    </row>
    <row r="49" spans="1:6">
      <c r="A49" t="s">
        <v>2712</v>
      </c>
      <c r="B49" t="s">
        <v>2713</v>
      </c>
      <c r="D49" t="s">
        <v>2712</v>
      </c>
      <c r="E49" t="s">
        <v>2713</v>
      </c>
      <c r="F49" s="23">
        <v>1</v>
      </c>
    </row>
    <row r="50" spans="1:6">
      <c r="A50" t="s">
        <v>2842</v>
      </c>
      <c r="B50" s="799" t="s">
        <v>91</v>
      </c>
      <c r="D50" t="s">
        <v>2842</v>
      </c>
      <c r="E50" s="799" t="s">
        <v>91</v>
      </c>
      <c r="F50" s="23">
        <v>1</v>
      </c>
    </row>
    <row r="51" spans="1:6">
      <c r="A51" t="s">
        <v>2843</v>
      </c>
      <c r="B51" s="799" t="s">
        <v>2632</v>
      </c>
      <c r="D51" t="s">
        <v>2843</v>
      </c>
      <c r="E51" s="799" t="s">
        <v>2632</v>
      </c>
      <c r="F51" s="23">
        <v>1</v>
      </c>
    </row>
    <row r="52" spans="1:6">
      <c r="A52" t="s">
        <v>2844</v>
      </c>
      <c r="B52" s="799" t="s">
        <v>2888</v>
      </c>
      <c r="D52" t="s">
        <v>2844</v>
      </c>
      <c r="E52" s="799" t="s">
        <v>2888</v>
      </c>
      <c r="F52" s="23">
        <v>1</v>
      </c>
    </row>
    <row r="53" spans="1:6">
      <c r="A53" t="s">
        <v>2845</v>
      </c>
      <c r="B53" s="799" t="s">
        <v>2635</v>
      </c>
      <c r="D53" t="s">
        <v>2845</v>
      </c>
      <c r="E53" s="799" t="s">
        <v>2635</v>
      </c>
      <c r="F53" s="23">
        <v>1</v>
      </c>
    </row>
    <row r="54" spans="1:6">
      <c r="A54" t="s">
        <v>2846</v>
      </c>
      <c r="B54" s="799" t="s">
        <v>2395</v>
      </c>
      <c r="D54" t="s">
        <v>2846</v>
      </c>
      <c r="E54" s="799" t="s">
        <v>2395</v>
      </c>
      <c r="F54" s="23">
        <v>1</v>
      </c>
    </row>
    <row r="55" spans="1:6">
      <c r="A55" t="s">
        <v>2847</v>
      </c>
      <c r="B55" s="799" t="s">
        <v>2566</v>
      </c>
      <c r="D55" t="s">
        <v>2847</v>
      </c>
      <c r="E55" s="799" t="s">
        <v>2566</v>
      </c>
      <c r="F55" s="23">
        <v>1</v>
      </c>
    </row>
    <row r="56" spans="1:6">
      <c r="A56" t="s">
        <v>2848</v>
      </c>
      <c r="B56" s="799" t="s">
        <v>4333</v>
      </c>
      <c r="D56" t="s">
        <v>2848</v>
      </c>
      <c r="E56" s="799" t="s">
        <v>4333</v>
      </c>
      <c r="F56" s="23">
        <v>1</v>
      </c>
    </row>
    <row r="57" spans="1:6">
      <c r="A57" t="s">
        <v>2849</v>
      </c>
      <c r="B57" s="799" t="s">
        <v>2643</v>
      </c>
      <c r="D57" t="s">
        <v>2849</v>
      </c>
      <c r="E57" s="799" t="s">
        <v>2643</v>
      </c>
      <c r="F57" s="23">
        <v>1</v>
      </c>
    </row>
    <row r="58" spans="1:6">
      <c r="A58" t="s">
        <v>2850</v>
      </c>
      <c r="B58" s="799" t="s">
        <v>2645</v>
      </c>
      <c r="D58" t="s">
        <v>2850</v>
      </c>
      <c r="E58" s="799" t="s">
        <v>2645</v>
      </c>
      <c r="F58" s="23">
        <v>1</v>
      </c>
    </row>
    <row r="59" spans="1:6">
      <c r="A59" t="s">
        <v>2851</v>
      </c>
      <c r="B59" s="799" t="s">
        <v>2570</v>
      </c>
      <c r="D59" t="s">
        <v>2851</v>
      </c>
      <c r="E59" s="799" t="s">
        <v>2570</v>
      </c>
      <c r="F59" s="23">
        <v>1</v>
      </c>
    </row>
    <row r="60" spans="1:6">
      <c r="A60" t="s">
        <v>2852</v>
      </c>
      <c r="B60" s="799" t="s">
        <v>2571</v>
      </c>
      <c r="D60" t="s">
        <v>2852</v>
      </c>
      <c r="E60" s="799" t="s">
        <v>2571</v>
      </c>
      <c r="F60" s="23">
        <v>1</v>
      </c>
    </row>
    <row r="61" spans="1:6">
      <c r="A61" t="s">
        <v>2853</v>
      </c>
      <c r="B61" s="799" t="s">
        <v>5813</v>
      </c>
      <c r="D61" t="s">
        <v>2853</v>
      </c>
      <c r="E61" s="799" t="s">
        <v>5813</v>
      </c>
      <c r="F61" s="23">
        <v>1</v>
      </c>
    </row>
    <row r="62" spans="1:6">
      <c r="A62" t="s">
        <v>2854</v>
      </c>
      <c r="B62" s="799" t="s">
        <v>2573</v>
      </c>
      <c r="D62" t="s">
        <v>2854</v>
      </c>
      <c r="E62" s="799" t="s">
        <v>2573</v>
      </c>
      <c r="F62" s="23">
        <v>1</v>
      </c>
    </row>
    <row r="63" spans="1:6">
      <c r="A63" t="s">
        <v>2855</v>
      </c>
      <c r="B63" s="799" t="s">
        <v>2574</v>
      </c>
      <c r="D63" t="s">
        <v>2855</v>
      </c>
      <c r="E63" s="799" t="s">
        <v>2574</v>
      </c>
      <c r="F63" s="23">
        <v>1</v>
      </c>
    </row>
    <row r="64" spans="1:6">
      <c r="A64" t="s">
        <v>2856</v>
      </c>
      <c r="B64" s="799" t="s">
        <v>2425</v>
      </c>
      <c r="D64" t="s">
        <v>2856</v>
      </c>
      <c r="E64" s="799" t="s">
        <v>2425</v>
      </c>
      <c r="F64" s="23">
        <v>1</v>
      </c>
    </row>
    <row r="65" spans="1:6">
      <c r="A65" t="s">
        <v>2857</v>
      </c>
      <c r="B65" s="799" t="s">
        <v>2426</v>
      </c>
      <c r="D65" t="s">
        <v>2857</v>
      </c>
      <c r="E65" s="799" t="s">
        <v>2426</v>
      </c>
      <c r="F65" s="23">
        <v>1</v>
      </c>
    </row>
    <row r="66" spans="1:6">
      <c r="A66" t="s">
        <v>2858</v>
      </c>
      <c r="B66" s="799" t="s">
        <v>1207</v>
      </c>
      <c r="D66" t="s">
        <v>2858</v>
      </c>
      <c r="E66" s="799" t="s">
        <v>1207</v>
      </c>
      <c r="F66" s="23">
        <v>1</v>
      </c>
    </row>
    <row r="67" spans="1:6">
      <c r="A67" t="s">
        <v>2859</v>
      </c>
      <c r="B67" s="799" t="s">
        <v>1208</v>
      </c>
      <c r="D67" t="s">
        <v>2859</v>
      </c>
      <c r="E67" s="799" t="s">
        <v>1208</v>
      </c>
      <c r="F67" s="23">
        <v>1</v>
      </c>
    </row>
    <row r="68" spans="1:6">
      <c r="A68" t="s">
        <v>2860</v>
      </c>
      <c r="B68" s="799" t="s">
        <v>2582</v>
      </c>
      <c r="D68" t="s">
        <v>2860</v>
      </c>
      <c r="E68" s="799" t="s">
        <v>2582</v>
      </c>
      <c r="F68" s="23">
        <v>1</v>
      </c>
    </row>
    <row r="69" spans="1:6">
      <c r="A69" t="s">
        <v>2861</v>
      </c>
      <c r="B69" s="799" t="s">
        <v>2583</v>
      </c>
      <c r="D69" t="s">
        <v>2861</v>
      </c>
      <c r="E69" s="799" t="s">
        <v>2583</v>
      </c>
      <c r="F69" s="23">
        <v>1</v>
      </c>
    </row>
    <row r="70" spans="1:6">
      <c r="A70" t="s">
        <v>2862</v>
      </c>
      <c r="B70" s="799" t="s">
        <v>2584</v>
      </c>
      <c r="D70" t="s">
        <v>2862</v>
      </c>
      <c r="E70" s="799" t="s">
        <v>2584</v>
      </c>
      <c r="F70" s="23">
        <v>1</v>
      </c>
    </row>
    <row r="71" spans="1:6">
      <c r="A71" t="s">
        <v>2863</v>
      </c>
      <c r="B71" s="799" t="s">
        <v>2585</v>
      </c>
      <c r="D71" t="s">
        <v>2863</v>
      </c>
      <c r="E71" s="799" t="s">
        <v>2585</v>
      </c>
      <c r="F71" s="23">
        <v>1</v>
      </c>
    </row>
    <row r="72" spans="1:6">
      <c r="A72" t="s">
        <v>2864</v>
      </c>
      <c r="B72" s="799" t="s">
        <v>2586</v>
      </c>
      <c r="D72" t="s">
        <v>2864</v>
      </c>
      <c r="E72" s="799" t="s">
        <v>2586</v>
      </c>
      <c r="F72" s="23">
        <v>1</v>
      </c>
    </row>
    <row r="73" spans="1:6">
      <c r="A73" t="s">
        <v>2865</v>
      </c>
      <c r="B73" s="799" t="s">
        <v>2587</v>
      </c>
      <c r="D73" t="s">
        <v>2865</v>
      </c>
      <c r="E73" s="799" t="s">
        <v>2587</v>
      </c>
      <c r="F73" s="23">
        <v>1</v>
      </c>
    </row>
    <row r="74" spans="1:6">
      <c r="A74" t="s">
        <v>2866</v>
      </c>
      <c r="B74" s="799" t="s">
        <v>2588</v>
      </c>
      <c r="D74" t="s">
        <v>2866</v>
      </c>
      <c r="E74" s="799" t="s">
        <v>2588</v>
      </c>
      <c r="F74" s="23">
        <v>1</v>
      </c>
    </row>
    <row r="75" spans="1:6">
      <c r="A75" t="s">
        <v>2867</v>
      </c>
      <c r="B75" s="799" t="s">
        <v>2427</v>
      </c>
      <c r="D75" t="s">
        <v>2867</v>
      </c>
      <c r="E75" s="799" t="s">
        <v>2427</v>
      </c>
      <c r="F75" s="23">
        <v>1</v>
      </c>
    </row>
    <row r="76" spans="1:6">
      <c r="A76" t="s">
        <v>2868</v>
      </c>
      <c r="B76" s="799" t="s">
        <v>3054</v>
      </c>
      <c r="D76" t="s">
        <v>2868</v>
      </c>
      <c r="E76" s="799" t="s">
        <v>3054</v>
      </c>
      <c r="F76" s="23">
        <v>1</v>
      </c>
    </row>
    <row r="77" spans="1:6">
      <c r="A77" t="s">
        <v>2869</v>
      </c>
      <c r="B77" s="799" t="s">
        <v>2683</v>
      </c>
      <c r="D77" t="s">
        <v>2869</v>
      </c>
      <c r="E77" s="799" t="s">
        <v>2683</v>
      </c>
      <c r="F77" s="23">
        <v>1</v>
      </c>
    </row>
    <row r="78" spans="1:6">
      <c r="A78" t="s">
        <v>2870</v>
      </c>
      <c r="B78" t="s">
        <v>2685</v>
      </c>
      <c r="D78" t="s">
        <v>2870</v>
      </c>
      <c r="E78" t="s">
        <v>2685</v>
      </c>
      <c r="F78" s="23">
        <v>1</v>
      </c>
    </row>
    <row r="79" spans="1:6">
      <c r="A79" t="s">
        <v>2871</v>
      </c>
      <c r="B79" t="s">
        <v>2687</v>
      </c>
      <c r="D79" t="s">
        <v>2871</v>
      </c>
      <c r="E79" t="s">
        <v>2687</v>
      </c>
      <c r="F79" s="23">
        <v>1</v>
      </c>
    </row>
    <row r="80" spans="1:6">
      <c r="A80" t="s">
        <v>2872</v>
      </c>
      <c r="B80" t="s">
        <v>2689</v>
      </c>
      <c r="D80" t="s">
        <v>2872</v>
      </c>
      <c r="E80" t="s">
        <v>2689</v>
      </c>
      <c r="F80" s="23">
        <v>1</v>
      </c>
    </row>
    <row r="81" spans="1:6">
      <c r="A81" t="s">
        <v>2873</v>
      </c>
      <c r="B81" t="s">
        <v>2691</v>
      </c>
      <c r="D81" t="s">
        <v>2873</v>
      </c>
      <c r="E81" t="s">
        <v>2691</v>
      </c>
      <c r="F81" s="23">
        <v>1</v>
      </c>
    </row>
    <row r="82" spans="1:6">
      <c r="A82" t="s">
        <v>2874</v>
      </c>
      <c r="B82" t="s">
        <v>2693</v>
      </c>
      <c r="D82" t="s">
        <v>2874</v>
      </c>
      <c r="E82" t="s">
        <v>2693</v>
      </c>
      <c r="F82" s="23">
        <v>1</v>
      </c>
    </row>
    <row r="83" spans="1:6">
      <c r="A83" t="s">
        <v>2875</v>
      </c>
      <c r="B83" t="s">
        <v>2695</v>
      </c>
      <c r="D83" t="s">
        <v>2875</v>
      </c>
      <c r="E83" t="s">
        <v>2695</v>
      </c>
      <c r="F83" s="23">
        <v>1</v>
      </c>
    </row>
    <row r="84" spans="1:6">
      <c r="A84" t="s">
        <v>2876</v>
      </c>
      <c r="B84" t="s">
        <v>2697</v>
      </c>
      <c r="D84" t="s">
        <v>2876</v>
      </c>
      <c r="E84" t="s">
        <v>2697</v>
      </c>
      <c r="F84" s="23">
        <v>1</v>
      </c>
    </row>
    <row r="85" spans="1:6">
      <c r="A85" t="s">
        <v>2877</v>
      </c>
      <c r="B85" t="s">
        <v>2699</v>
      </c>
      <c r="D85" t="s">
        <v>2877</v>
      </c>
      <c r="E85" t="s">
        <v>2699</v>
      </c>
      <c r="F85" s="23">
        <v>1</v>
      </c>
    </row>
    <row r="86" spans="1:6">
      <c r="A86" t="s">
        <v>2878</v>
      </c>
      <c r="B86" t="s">
        <v>2701</v>
      </c>
      <c r="D86" t="s">
        <v>2878</v>
      </c>
      <c r="E86" t="s">
        <v>2701</v>
      </c>
      <c r="F86" s="23">
        <v>1</v>
      </c>
    </row>
    <row r="87" spans="1:6">
      <c r="A87" t="s">
        <v>2879</v>
      </c>
      <c r="B87" t="s">
        <v>2703</v>
      </c>
      <c r="D87" t="s">
        <v>2879</v>
      </c>
      <c r="E87" t="s">
        <v>2703</v>
      </c>
      <c r="F87" s="23">
        <v>1</v>
      </c>
    </row>
    <row r="88" spans="1:6">
      <c r="A88" t="s">
        <v>2880</v>
      </c>
      <c r="B88" t="s">
        <v>2705</v>
      </c>
      <c r="D88" t="s">
        <v>2880</v>
      </c>
      <c r="E88" t="s">
        <v>2705</v>
      </c>
      <c r="F88" s="23">
        <v>1</v>
      </c>
    </row>
    <row r="89" spans="1:6">
      <c r="A89" t="s">
        <v>2881</v>
      </c>
      <c r="B89" t="s">
        <v>2707</v>
      </c>
      <c r="D89" t="s">
        <v>2881</v>
      </c>
      <c r="E89" t="s">
        <v>2707</v>
      </c>
      <c r="F89" s="23">
        <v>1</v>
      </c>
    </row>
    <row r="90" spans="1:6">
      <c r="A90" t="s">
        <v>2882</v>
      </c>
      <c r="B90" t="s">
        <v>2709</v>
      </c>
      <c r="D90" t="s">
        <v>2882</v>
      </c>
      <c r="E90" t="s">
        <v>2709</v>
      </c>
      <c r="F90" s="23">
        <v>1</v>
      </c>
    </row>
    <row r="91" spans="1:6">
      <c r="A91" t="s">
        <v>2883</v>
      </c>
      <c r="B91" t="s">
        <v>2711</v>
      </c>
      <c r="D91" t="s">
        <v>2883</v>
      </c>
      <c r="E91" t="s">
        <v>2711</v>
      </c>
      <c r="F91" s="23">
        <v>1</v>
      </c>
    </row>
    <row r="92" spans="1:6">
      <c r="A92" t="s">
        <v>2884</v>
      </c>
      <c r="B92" t="s">
        <v>2713</v>
      </c>
      <c r="D92" t="s">
        <v>2884</v>
      </c>
      <c r="E92" t="s">
        <v>2713</v>
      </c>
      <c r="F92" s="23">
        <v>1</v>
      </c>
    </row>
    <row r="93" spans="1:6">
      <c r="A93" t="s">
        <v>2714</v>
      </c>
      <c r="B93" s="799" t="s">
        <v>91</v>
      </c>
      <c r="D93" t="s">
        <v>2714</v>
      </c>
      <c r="E93" s="799" t="s">
        <v>91</v>
      </c>
      <c r="F93" s="23">
        <v>1</v>
      </c>
    </row>
    <row r="94" spans="1:6">
      <c r="A94" t="s">
        <v>2715</v>
      </c>
      <c r="B94" s="799" t="s">
        <v>2632</v>
      </c>
      <c r="D94" t="s">
        <v>2715</v>
      </c>
      <c r="E94" s="799" t="s">
        <v>2632</v>
      </c>
      <c r="F94" s="23">
        <v>1</v>
      </c>
    </row>
    <row r="95" spans="1:6">
      <c r="A95" t="s">
        <v>2716</v>
      </c>
      <c r="B95" s="799" t="s">
        <v>2888</v>
      </c>
      <c r="D95" t="s">
        <v>2716</v>
      </c>
      <c r="E95" s="799" t="s">
        <v>2888</v>
      </c>
      <c r="F95" s="23">
        <v>1</v>
      </c>
    </row>
    <row r="96" spans="1:6">
      <c r="A96" t="s">
        <v>2717</v>
      </c>
      <c r="B96" s="799" t="s">
        <v>2635</v>
      </c>
      <c r="D96" t="s">
        <v>2717</v>
      </c>
      <c r="E96" s="799" t="s">
        <v>2635</v>
      </c>
      <c r="F96" s="23">
        <v>1</v>
      </c>
    </row>
    <row r="97" spans="1:6">
      <c r="A97" t="s">
        <v>2718</v>
      </c>
      <c r="B97" s="799" t="s">
        <v>2395</v>
      </c>
      <c r="D97" t="s">
        <v>2718</v>
      </c>
      <c r="E97" s="799" t="s">
        <v>2395</v>
      </c>
      <c r="F97" s="23">
        <v>1</v>
      </c>
    </row>
    <row r="98" spans="1:6">
      <c r="A98" t="s">
        <v>2719</v>
      </c>
      <c r="B98" s="799" t="s">
        <v>2566</v>
      </c>
      <c r="D98" t="s">
        <v>2719</v>
      </c>
      <c r="E98" s="799" t="s">
        <v>2566</v>
      </c>
      <c r="F98" s="23">
        <v>1</v>
      </c>
    </row>
    <row r="99" spans="1:6">
      <c r="A99" t="s">
        <v>2720</v>
      </c>
      <c r="B99" s="799" t="s">
        <v>4333</v>
      </c>
      <c r="D99" t="s">
        <v>2720</v>
      </c>
      <c r="E99" s="799" t="s">
        <v>4333</v>
      </c>
      <c r="F99" s="23">
        <v>1</v>
      </c>
    </row>
    <row r="100" spans="1:6">
      <c r="A100" t="s">
        <v>2721</v>
      </c>
      <c r="B100" s="799" t="s">
        <v>2643</v>
      </c>
      <c r="D100" t="s">
        <v>2721</v>
      </c>
      <c r="E100" s="799" t="s">
        <v>2643</v>
      </c>
      <c r="F100" s="23">
        <v>1</v>
      </c>
    </row>
    <row r="101" spans="1:6">
      <c r="A101" t="s">
        <v>2722</v>
      </c>
      <c r="B101" s="799" t="s">
        <v>2645</v>
      </c>
      <c r="D101" t="s">
        <v>2722</v>
      </c>
      <c r="E101" s="799" t="s">
        <v>2645</v>
      </c>
      <c r="F101" s="23">
        <v>1</v>
      </c>
    </row>
    <row r="102" spans="1:6">
      <c r="A102" t="s">
        <v>2723</v>
      </c>
      <c r="B102" s="799" t="s">
        <v>2570</v>
      </c>
      <c r="D102" t="s">
        <v>2723</v>
      </c>
      <c r="E102" s="799" t="s">
        <v>2570</v>
      </c>
      <c r="F102" s="23">
        <v>1</v>
      </c>
    </row>
    <row r="103" spans="1:6">
      <c r="A103" t="s">
        <v>2724</v>
      </c>
      <c r="B103" s="799" t="s">
        <v>2571</v>
      </c>
      <c r="D103" t="s">
        <v>2724</v>
      </c>
      <c r="E103" s="799" t="s">
        <v>2571</v>
      </c>
      <c r="F103" s="23">
        <v>1</v>
      </c>
    </row>
    <row r="104" spans="1:6">
      <c r="A104" t="s">
        <v>2725</v>
      </c>
      <c r="B104" s="799" t="s">
        <v>5813</v>
      </c>
      <c r="D104" t="s">
        <v>2725</v>
      </c>
      <c r="E104" s="799" t="s">
        <v>5813</v>
      </c>
      <c r="F104" s="23">
        <v>1</v>
      </c>
    </row>
    <row r="105" spans="1:6">
      <c r="A105" t="s">
        <v>2726</v>
      </c>
      <c r="B105" s="799" t="s">
        <v>2573</v>
      </c>
      <c r="D105" t="s">
        <v>2726</v>
      </c>
      <c r="E105" s="799" t="s">
        <v>2573</v>
      </c>
      <c r="F105" s="23">
        <v>1</v>
      </c>
    </row>
    <row r="106" spans="1:6">
      <c r="A106" t="s">
        <v>2727</v>
      </c>
      <c r="B106" s="799" t="s">
        <v>2574</v>
      </c>
      <c r="D106" t="s">
        <v>2727</v>
      </c>
      <c r="E106" s="799" t="s">
        <v>2574</v>
      </c>
      <c r="F106" s="23">
        <v>1</v>
      </c>
    </row>
    <row r="107" spans="1:6">
      <c r="A107" t="s">
        <v>2728</v>
      </c>
      <c r="B107" s="799" t="s">
        <v>2425</v>
      </c>
      <c r="D107" t="s">
        <v>2728</v>
      </c>
      <c r="E107" s="799" t="s">
        <v>2425</v>
      </c>
      <c r="F107" s="23">
        <v>1</v>
      </c>
    </row>
    <row r="108" spans="1:6">
      <c r="A108" t="s">
        <v>2729</v>
      </c>
      <c r="B108" s="799" t="s">
        <v>2426</v>
      </c>
      <c r="D108" t="s">
        <v>2729</v>
      </c>
      <c r="E108" s="799" t="s">
        <v>2426</v>
      </c>
      <c r="F108" s="23">
        <v>1</v>
      </c>
    </row>
    <row r="109" spans="1:6">
      <c r="A109" t="s">
        <v>2730</v>
      </c>
      <c r="B109" s="799" t="s">
        <v>1207</v>
      </c>
      <c r="D109" t="s">
        <v>2730</v>
      </c>
      <c r="E109" s="799" t="s">
        <v>1207</v>
      </c>
      <c r="F109" s="23">
        <v>1</v>
      </c>
    </row>
    <row r="110" spans="1:6">
      <c r="A110" t="s">
        <v>2731</v>
      </c>
      <c r="B110" s="799" t="s">
        <v>1208</v>
      </c>
      <c r="D110" t="s">
        <v>2731</v>
      </c>
      <c r="E110" s="799" t="s">
        <v>1208</v>
      </c>
      <c r="F110" s="23">
        <v>1</v>
      </c>
    </row>
    <row r="111" spans="1:6">
      <c r="A111" t="s">
        <v>2732</v>
      </c>
      <c r="B111" s="799" t="s">
        <v>2582</v>
      </c>
      <c r="D111" t="s">
        <v>2732</v>
      </c>
      <c r="E111" s="799" t="s">
        <v>2582</v>
      </c>
      <c r="F111" s="23">
        <v>1</v>
      </c>
    </row>
    <row r="112" spans="1:6">
      <c r="A112" t="s">
        <v>2733</v>
      </c>
      <c r="B112" s="799" t="s">
        <v>2583</v>
      </c>
      <c r="D112" t="s">
        <v>2733</v>
      </c>
      <c r="E112" s="799" t="s">
        <v>2583</v>
      </c>
      <c r="F112" s="23">
        <v>1</v>
      </c>
    </row>
    <row r="113" spans="1:6">
      <c r="A113" t="s">
        <v>2734</v>
      </c>
      <c r="B113" s="799" t="s">
        <v>2584</v>
      </c>
      <c r="D113" t="s">
        <v>2734</v>
      </c>
      <c r="E113" s="799" t="s">
        <v>2584</v>
      </c>
      <c r="F113" s="23">
        <v>1</v>
      </c>
    </row>
    <row r="114" spans="1:6">
      <c r="A114" t="s">
        <v>2735</v>
      </c>
      <c r="B114" s="799" t="s">
        <v>2585</v>
      </c>
      <c r="D114" t="s">
        <v>2735</v>
      </c>
      <c r="E114" s="799" t="s">
        <v>2585</v>
      </c>
      <c r="F114" s="23">
        <v>1</v>
      </c>
    </row>
    <row r="115" spans="1:6">
      <c r="A115" t="s">
        <v>2736</v>
      </c>
      <c r="B115" s="799" t="s">
        <v>2586</v>
      </c>
      <c r="D115" t="s">
        <v>2736</v>
      </c>
      <c r="E115" s="799" t="s">
        <v>2586</v>
      </c>
      <c r="F115" s="23">
        <v>1</v>
      </c>
    </row>
    <row r="116" spans="1:6">
      <c r="A116" t="s">
        <v>2737</v>
      </c>
      <c r="B116" s="799" t="s">
        <v>2587</v>
      </c>
      <c r="D116" t="s">
        <v>2737</v>
      </c>
      <c r="E116" s="799" t="s">
        <v>2587</v>
      </c>
      <c r="F116" s="23">
        <v>1</v>
      </c>
    </row>
    <row r="117" spans="1:6">
      <c r="A117" t="s">
        <v>2738</v>
      </c>
      <c r="B117" s="799" t="s">
        <v>2588</v>
      </c>
      <c r="D117" t="s">
        <v>2738</v>
      </c>
      <c r="E117" s="799" t="s">
        <v>2588</v>
      </c>
      <c r="F117" s="23">
        <v>1</v>
      </c>
    </row>
    <row r="118" spans="1:6">
      <c r="A118" t="s">
        <v>2739</v>
      </c>
      <c r="B118" s="799" t="s">
        <v>2427</v>
      </c>
      <c r="D118" t="s">
        <v>2739</v>
      </c>
      <c r="E118" s="799" t="s">
        <v>2427</v>
      </c>
      <c r="F118" s="23">
        <v>1</v>
      </c>
    </row>
    <row r="119" spans="1:6">
      <c r="A119" t="s">
        <v>2740</v>
      </c>
      <c r="B119" s="799" t="s">
        <v>3054</v>
      </c>
      <c r="D119" t="s">
        <v>2740</v>
      </c>
      <c r="E119" s="799" t="s">
        <v>3054</v>
      </c>
      <c r="F119" s="23">
        <v>1</v>
      </c>
    </row>
    <row r="120" spans="1:6">
      <c r="A120" t="s">
        <v>2741</v>
      </c>
      <c r="B120" s="799" t="s">
        <v>2683</v>
      </c>
      <c r="D120" t="s">
        <v>2741</v>
      </c>
      <c r="E120" s="799" t="s">
        <v>2683</v>
      </c>
      <c r="F120" s="23">
        <v>1</v>
      </c>
    </row>
    <row r="121" spans="1:6">
      <c r="A121" t="s">
        <v>2742</v>
      </c>
      <c r="B121" t="s">
        <v>2685</v>
      </c>
      <c r="D121" t="s">
        <v>2742</v>
      </c>
      <c r="E121" t="s">
        <v>2685</v>
      </c>
      <c r="F121" s="23">
        <v>1</v>
      </c>
    </row>
    <row r="122" spans="1:6">
      <c r="A122" t="s">
        <v>2743</v>
      </c>
      <c r="B122" t="s">
        <v>2687</v>
      </c>
      <c r="D122" t="s">
        <v>2743</v>
      </c>
      <c r="E122" t="s">
        <v>2687</v>
      </c>
      <c r="F122" s="23">
        <v>1</v>
      </c>
    </row>
    <row r="123" spans="1:6">
      <c r="A123" t="s">
        <v>2744</v>
      </c>
      <c r="B123" t="s">
        <v>2689</v>
      </c>
      <c r="D123" t="s">
        <v>2744</v>
      </c>
      <c r="E123" t="s">
        <v>2689</v>
      </c>
      <c r="F123" s="23">
        <v>1</v>
      </c>
    </row>
    <row r="124" spans="1:6">
      <c r="A124" t="s">
        <v>2745</v>
      </c>
      <c r="B124" t="s">
        <v>2691</v>
      </c>
      <c r="D124" t="s">
        <v>2745</v>
      </c>
      <c r="E124" t="s">
        <v>2691</v>
      </c>
      <c r="F124" s="23">
        <v>1</v>
      </c>
    </row>
    <row r="125" spans="1:6">
      <c r="A125" t="s">
        <v>2746</v>
      </c>
      <c r="B125" t="s">
        <v>2693</v>
      </c>
      <c r="D125" t="s">
        <v>2746</v>
      </c>
      <c r="E125" t="s">
        <v>2693</v>
      </c>
      <c r="F125" s="23">
        <v>1</v>
      </c>
    </row>
    <row r="126" spans="1:6">
      <c r="A126" t="s">
        <v>2747</v>
      </c>
      <c r="B126" t="s">
        <v>2695</v>
      </c>
      <c r="D126" t="s">
        <v>2747</v>
      </c>
      <c r="E126" t="s">
        <v>2695</v>
      </c>
      <c r="F126" s="23">
        <v>1</v>
      </c>
    </row>
    <row r="127" spans="1:6">
      <c r="A127" t="s">
        <v>2748</v>
      </c>
      <c r="B127" t="s">
        <v>2697</v>
      </c>
      <c r="D127" t="s">
        <v>2748</v>
      </c>
      <c r="E127" t="s">
        <v>2697</v>
      </c>
      <c r="F127" s="23">
        <v>1</v>
      </c>
    </row>
    <row r="128" spans="1:6">
      <c r="A128" t="s">
        <v>2749</v>
      </c>
      <c r="B128" t="s">
        <v>2699</v>
      </c>
      <c r="D128" t="s">
        <v>2749</v>
      </c>
      <c r="E128" t="s">
        <v>2699</v>
      </c>
      <c r="F128" s="23">
        <v>1</v>
      </c>
    </row>
    <row r="129" spans="1:6">
      <c r="A129" t="s">
        <v>2750</v>
      </c>
      <c r="B129" t="s">
        <v>2701</v>
      </c>
      <c r="D129" t="s">
        <v>2750</v>
      </c>
      <c r="E129" t="s">
        <v>2701</v>
      </c>
      <c r="F129" s="23">
        <v>1</v>
      </c>
    </row>
    <row r="130" spans="1:6">
      <c r="A130" t="s">
        <v>2751</v>
      </c>
      <c r="B130" t="s">
        <v>2703</v>
      </c>
      <c r="D130" t="s">
        <v>2751</v>
      </c>
      <c r="E130" t="s">
        <v>2703</v>
      </c>
      <c r="F130" s="23">
        <v>1</v>
      </c>
    </row>
    <row r="131" spans="1:6">
      <c r="A131" t="s">
        <v>2752</v>
      </c>
      <c r="B131" t="s">
        <v>2705</v>
      </c>
      <c r="D131" t="s">
        <v>2752</v>
      </c>
      <c r="E131" t="s">
        <v>2705</v>
      </c>
      <c r="F131" s="23">
        <v>1</v>
      </c>
    </row>
    <row r="132" spans="1:6">
      <c r="A132" t="s">
        <v>2753</v>
      </c>
      <c r="B132" t="s">
        <v>2707</v>
      </c>
      <c r="D132" t="s">
        <v>2753</v>
      </c>
      <c r="E132" t="s">
        <v>2707</v>
      </c>
      <c r="F132" s="23">
        <v>1</v>
      </c>
    </row>
    <row r="133" spans="1:6">
      <c r="A133" t="s">
        <v>2754</v>
      </c>
      <c r="B133" t="s">
        <v>2709</v>
      </c>
      <c r="D133" t="s">
        <v>2754</v>
      </c>
      <c r="E133" t="s">
        <v>2709</v>
      </c>
      <c r="F133" s="23">
        <v>1</v>
      </c>
    </row>
    <row r="134" spans="1:6">
      <c r="A134" t="s">
        <v>2755</v>
      </c>
      <c r="B134" t="s">
        <v>2711</v>
      </c>
      <c r="D134" t="s">
        <v>2755</v>
      </c>
      <c r="E134" t="s">
        <v>2711</v>
      </c>
      <c r="F134" s="23">
        <v>1</v>
      </c>
    </row>
    <row r="135" spans="1:6">
      <c r="A135" t="s">
        <v>2756</v>
      </c>
      <c r="B135" t="s">
        <v>2713</v>
      </c>
      <c r="D135" t="s">
        <v>2756</v>
      </c>
      <c r="E135" t="s">
        <v>2713</v>
      </c>
      <c r="F135" s="23">
        <v>1</v>
      </c>
    </row>
    <row r="136" spans="1:6">
      <c r="A136" t="s">
        <v>2308</v>
      </c>
      <c r="D136" t="s">
        <v>2308</v>
      </c>
      <c r="F136" s="23">
        <v>1</v>
      </c>
    </row>
    <row r="137" spans="1:6">
      <c r="A137" t="s">
        <v>5405</v>
      </c>
      <c r="B137" s="799" t="s">
        <v>2405</v>
      </c>
      <c r="D137" t="s">
        <v>5405</v>
      </c>
      <c r="E137" t="s">
        <v>2405</v>
      </c>
      <c r="F137" s="23">
        <v>1</v>
      </c>
    </row>
    <row r="138" spans="1:6">
      <c r="A138" t="s">
        <v>5400</v>
      </c>
      <c r="B138" s="799" t="s">
        <v>2603</v>
      </c>
      <c r="D138" t="s">
        <v>5400</v>
      </c>
      <c r="E138" t="s">
        <v>2603</v>
      </c>
      <c r="F138" s="23">
        <v>1</v>
      </c>
    </row>
    <row r="139" spans="1:6">
      <c r="A139" t="s">
        <v>5395</v>
      </c>
      <c r="B139" s="799" t="s">
        <v>2396</v>
      </c>
      <c r="D139" t="s">
        <v>5395</v>
      </c>
      <c r="E139" t="s">
        <v>2396</v>
      </c>
      <c r="F139" s="23">
        <v>1</v>
      </c>
    </row>
    <row r="140" spans="1:6">
      <c r="A140" t="s">
        <v>5406</v>
      </c>
      <c r="B140" s="799" t="s">
        <v>5528</v>
      </c>
      <c r="D140" t="s">
        <v>5406</v>
      </c>
      <c r="E140" t="s">
        <v>2604</v>
      </c>
      <c r="F140" s="23">
        <v>1</v>
      </c>
    </row>
    <row r="141" spans="1:6">
      <c r="A141" t="s">
        <v>5408</v>
      </c>
      <c r="B141" s="799" t="s">
        <v>2605</v>
      </c>
      <c r="D141" t="s">
        <v>5408</v>
      </c>
      <c r="E141" t="s">
        <v>2605</v>
      </c>
      <c r="F141" s="23">
        <v>1</v>
      </c>
    </row>
    <row r="142" spans="1:6">
      <c r="A142" t="s">
        <v>5409</v>
      </c>
      <c r="B142" s="799" t="s">
        <v>5541</v>
      </c>
      <c r="D142" t="s">
        <v>5409</v>
      </c>
      <c r="E142" t="s">
        <v>2606</v>
      </c>
      <c r="F142" s="23">
        <v>1</v>
      </c>
    </row>
    <row r="143" spans="1:6">
      <c r="A143" t="s">
        <v>5421</v>
      </c>
      <c r="B143" s="799" t="s">
        <v>2607</v>
      </c>
      <c r="D143" t="s">
        <v>5421</v>
      </c>
      <c r="E143" t="s">
        <v>2607</v>
      </c>
      <c r="F143" s="23">
        <v>1</v>
      </c>
    </row>
    <row r="144" spans="1:6">
      <c r="A144" t="s">
        <v>5422</v>
      </c>
      <c r="B144" s="799" t="s">
        <v>2608</v>
      </c>
      <c r="D144" t="s">
        <v>5422</v>
      </c>
      <c r="E144" t="s">
        <v>2608</v>
      </c>
      <c r="F144" s="23">
        <v>1</v>
      </c>
    </row>
    <row r="145" spans="1:6">
      <c r="A145" t="s">
        <v>5411</v>
      </c>
      <c r="B145" s="799" t="s">
        <v>2393</v>
      </c>
      <c r="D145" t="s">
        <v>5411</v>
      </c>
      <c r="E145" t="s">
        <v>2393</v>
      </c>
      <c r="F145" s="23">
        <v>1</v>
      </c>
    </row>
    <row r="146" spans="1:6">
      <c r="A146" t="s">
        <v>5414</v>
      </c>
      <c r="B146" s="799" t="s">
        <v>2270</v>
      </c>
      <c r="D146" t="s">
        <v>5414</v>
      </c>
      <c r="E146" t="s">
        <v>2270</v>
      </c>
      <c r="F146" s="23">
        <v>1</v>
      </c>
    </row>
    <row r="147" spans="1:6">
      <c r="A147" t="s">
        <v>5403</v>
      </c>
      <c r="B147" s="799" t="s">
        <v>2609</v>
      </c>
      <c r="D147" t="s">
        <v>5403</v>
      </c>
      <c r="E147" t="s">
        <v>2609</v>
      </c>
      <c r="F147" s="23">
        <v>1</v>
      </c>
    </row>
    <row r="148" spans="1:6">
      <c r="A148" t="s">
        <v>5415</v>
      </c>
      <c r="B148" s="799" t="s">
        <v>2394</v>
      </c>
      <c r="D148" t="s">
        <v>5415</v>
      </c>
      <c r="E148" t="s">
        <v>2394</v>
      </c>
      <c r="F148" s="23">
        <v>1</v>
      </c>
    </row>
    <row r="149" spans="1:6">
      <c r="A149" t="s">
        <v>5407</v>
      </c>
      <c r="B149" s="799" t="s">
        <v>2397</v>
      </c>
      <c r="D149" t="s">
        <v>5407</v>
      </c>
      <c r="E149" t="s">
        <v>2397</v>
      </c>
      <c r="F149" s="23">
        <v>1</v>
      </c>
    </row>
    <row r="150" spans="1:6">
      <c r="A150" t="s">
        <v>5416</v>
      </c>
      <c r="B150" s="799" t="s">
        <v>2401</v>
      </c>
      <c r="D150" t="s">
        <v>5416</v>
      </c>
      <c r="E150" t="s">
        <v>2401</v>
      </c>
      <c r="F150" s="23">
        <v>1</v>
      </c>
    </row>
    <row r="151" spans="1:6">
      <c r="A151" t="s">
        <v>5412</v>
      </c>
      <c r="B151" s="799" t="s">
        <v>2400</v>
      </c>
      <c r="D151" t="s">
        <v>5412</v>
      </c>
      <c r="E151" t="s">
        <v>2400</v>
      </c>
      <c r="F151" s="23">
        <v>1</v>
      </c>
    </row>
    <row r="152" spans="1:6">
      <c r="A152" t="s">
        <v>5398</v>
      </c>
      <c r="B152" s="799" t="s">
        <v>2402</v>
      </c>
      <c r="D152" t="s">
        <v>5398</v>
      </c>
      <c r="E152" t="s">
        <v>2402</v>
      </c>
      <c r="F152" s="23">
        <v>1</v>
      </c>
    </row>
    <row r="153" spans="1:6">
      <c r="A153" t="s">
        <v>5399</v>
      </c>
      <c r="B153" s="799" t="s">
        <v>2403</v>
      </c>
      <c r="D153" t="s">
        <v>5399</v>
      </c>
      <c r="E153" t="s">
        <v>2403</v>
      </c>
      <c r="F153" s="23">
        <v>1</v>
      </c>
    </row>
    <row r="154" spans="1:6">
      <c r="A154" t="s">
        <v>5402</v>
      </c>
      <c r="B154" s="799" t="s">
        <v>2610</v>
      </c>
      <c r="D154" t="s">
        <v>5402</v>
      </c>
      <c r="E154" t="s">
        <v>2610</v>
      </c>
      <c r="F154" s="23">
        <v>1</v>
      </c>
    </row>
    <row r="155" spans="1:6">
      <c r="A155" t="s">
        <v>5417</v>
      </c>
      <c r="B155" s="799" t="s">
        <v>2611</v>
      </c>
      <c r="D155" t="s">
        <v>5417</v>
      </c>
      <c r="E155" t="s">
        <v>2611</v>
      </c>
      <c r="F155" s="23">
        <v>1</v>
      </c>
    </row>
    <row r="156" spans="1:6">
      <c r="A156" t="s">
        <v>5427</v>
      </c>
      <c r="B156" s="799" t="s">
        <v>2612</v>
      </c>
      <c r="D156" t="s">
        <v>5427</v>
      </c>
      <c r="E156" t="s">
        <v>2612</v>
      </c>
      <c r="F156" s="23">
        <v>1</v>
      </c>
    </row>
    <row r="157" spans="1:6">
      <c r="A157" t="s">
        <v>5396</v>
      </c>
      <c r="B157" s="799" t="s">
        <v>2613</v>
      </c>
      <c r="D157" t="s">
        <v>5396</v>
      </c>
      <c r="E157" t="s">
        <v>2613</v>
      </c>
      <c r="F157" s="23">
        <v>1</v>
      </c>
    </row>
    <row r="158" spans="1:6">
      <c r="A158" t="s">
        <v>5413</v>
      </c>
      <c r="B158" s="799" t="s">
        <v>2404</v>
      </c>
      <c r="D158" t="s">
        <v>5413</v>
      </c>
      <c r="E158" t="s">
        <v>2404</v>
      </c>
      <c r="F158" s="23">
        <v>1</v>
      </c>
    </row>
    <row r="159" spans="1:6">
      <c r="A159" t="s">
        <v>5418</v>
      </c>
      <c r="B159" s="799" t="s">
        <v>2614</v>
      </c>
      <c r="D159" t="s">
        <v>5418</v>
      </c>
      <c r="E159" t="s">
        <v>2614</v>
      </c>
      <c r="F159" s="23">
        <v>1</v>
      </c>
    </row>
    <row r="160" spans="1:6">
      <c r="A160" t="s">
        <v>5410</v>
      </c>
      <c r="B160" s="799" t="s">
        <v>2326</v>
      </c>
      <c r="D160" t="s">
        <v>5410</v>
      </c>
      <c r="E160" t="s">
        <v>2326</v>
      </c>
      <c r="F160" s="23">
        <v>1</v>
      </c>
    </row>
    <row r="161" spans="1:6">
      <c r="A161" t="s">
        <v>5404</v>
      </c>
      <c r="B161" s="799" t="s">
        <v>1247</v>
      </c>
      <c r="D161" t="s">
        <v>5404</v>
      </c>
      <c r="E161" t="s">
        <v>1247</v>
      </c>
      <c r="F161" s="23">
        <v>1</v>
      </c>
    </row>
    <row r="162" spans="1:6">
      <c r="A162" t="s">
        <v>5401</v>
      </c>
      <c r="B162" s="799" t="s">
        <v>2617</v>
      </c>
      <c r="D162" t="s">
        <v>5401</v>
      </c>
      <c r="E162" t="s">
        <v>2617</v>
      </c>
      <c r="F162" s="23">
        <v>1</v>
      </c>
    </row>
    <row r="163" spans="1:6">
      <c r="A163" t="s">
        <v>5394</v>
      </c>
      <c r="B163" s="799" t="s">
        <v>2398</v>
      </c>
      <c r="D163" t="s">
        <v>5394</v>
      </c>
      <c r="E163" t="s">
        <v>2398</v>
      </c>
      <c r="F163" s="23">
        <v>1</v>
      </c>
    </row>
    <row r="164" spans="1:6">
      <c r="A164" t="s">
        <v>5428</v>
      </c>
      <c r="B164" s="799" t="s">
        <v>2683</v>
      </c>
      <c r="D164" t="s">
        <v>5428</v>
      </c>
      <c r="E164" t="s">
        <v>2683</v>
      </c>
      <c r="F164" s="23">
        <v>1</v>
      </c>
    </row>
    <row r="165" spans="1:6">
      <c r="A165" t="s">
        <v>5393</v>
      </c>
      <c r="B165" s="799" t="s">
        <v>2399</v>
      </c>
      <c r="D165" t="s">
        <v>5393</v>
      </c>
      <c r="E165" t="s">
        <v>2399</v>
      </c>
      <c r="F165" s="23">
        <v>1</v>
      </c>
    </row>
    <row r="166" spans="1:6">
      <c r="A166" t="s">
        <v>5397</v>
      </c>
      <c r="B166" s="799" t="s">
        <v>2619</v>
      </c>
      <c r="D166" t="s">
        <v>5397</v>
      </c>
      <c r="E166" t="s">
        <v>2619</v>
      </c>
      <c r="F166" s="23">
        <v>1</v>
      </c>
    </row>
    <row r="167" spans="1:6">
      <c r="A167" t="s">
        <v>5429</v>
      </c>
      <c r="B167" s="799" t="s">
        <v>2395</v>
      </c>
      <c r="D167" t="s">
        <v>5429</v>
      </c>
      <c r="E167" t="s">
        <v>2395</v>
      </c>
      <c r="F167" s="23">
        <v>1</v>
      </c>
    </row>
    <row r="168" spans="1:6">
      <c r="A168" t="s">
        <v>5419</v>
      </c>
      <c r="B168" s="799" t="s">
        <v>2620</v>
      </c>
      <c r="D168" t="s">
        <v>5419</v>
      </c>
      <c r="E168" t="s">
        <v>2620</v>
      </c>
      <c r="F168" s="23">
        <v>1</v>
      </c>
    </row>
    <row r="169" spans="1:6">
      <c r="A169" t="s">
        <v>5420</v>
      </c>
      <c r="B169" s="799" t="s">
        <v>2406</v>
      </c>
      <c r="D169" t="s">
        <v>5420</v>
      </c>
      <c r="E169" t="s">
        <v>2406</v>
      </c>
      <c r="F169" s="23">
        <v>1</v>
      </c>
    </row>
    <row r="170" spans="1:6">
      <c r="A170" t="s">
        <v>5424</v>
      </c>
      <c r="B170" s="799" t="s">
        <v>2618</v>
      </c>
      <c r="D170" t="s">
        <v>5424</v>
      </c>
      <c r="E170" t="s">
        <v>2618</v>
      </c>
      <c r="F170" s="23">
        <v>1</v>
      </c>
    </row>
    <row r="171" spans="1:6">
      <c r="A171" t="s">
        <v>5430</v>
      </c>
      <c r="B171" s="799" t="s">
        <v>2615</v>
      </c>
      <c r="D171" t="s">
        <v>5430</v>
      </c>
      <c r="E171" t="s">
        <v>2615</v>
      </c>
      <c r="F171" s="23">
        <v>1</v>
      </c>
    </row>
    <row r="172" spans="1:6">
      <c r="A172" t="s">
        <v>5431</v>
      </c>
      <c r="B172" s="799" t="s">
        <v>2616</v>
      </c>
      <c r="D172" t="s">
        <v>5431</v>
      </c>
      <c r="E172" t="s">
        <v>2616</v>
      </c>
      <c r="F172" s="23">
        <v>1</v>
      </c>
    </row>
    <row r="173" spans="1:6">
      <c r="A173" t="s">
        <v>5426</v>
      </c>
      <c r="B173" s="799" t="s">
        <v>3051</v>
      </c>
      <c r="D173" t="s">
        <v>5426</v>
      </c>
      <c r="E173" t="s">
        <v>3051</v>
      </c>
      <c r="F173" s="23">
        <v>1</v>
      </c>
    </row>
    <row r="174" spans="1:6">
      <c r="A174" t="s">
        <v>5432</v>
      </c>
      <c r="B174" s="799" t="s">
        <v>3055</v>
      </c>
      <c r="D174" t="s">
        <v>5432</v>
      </c>
      <c r="E174" t="s">
        <v>3055</v>
      </c>
      <c r="F174" s="23">
        <v>1</v>
      </c>
    </row>
    <row r="175" spans="1:6">
      <c r="A175" t="s">
        <v>5433</v>
      </c>
      <c r="B175" s="799" t="s">
        <v>3052</v>
      </c>
      <c r="D175" t="s">
        <v>5433</v>
      </c>
      <c r="E175" t="s">
        <v>3052</v>
      </c>
      <c r="F175" s="23">
        <v>1</v>
      </c>
    </row>
    <row r="176" spans="1:6">
      <c r="A176" t="s">
        <v>5434</v>
      </c>
      <c r="B176" s="799" t="s">
        <v>2572</v>
      </c>
      <c r="D176" t="s">
        <v>5434</v>
      </c>
      <c r="E176" t="s">
        <v>4334</v>
      </c>
      <c r="F176" s="23">
        <v>1</v>
      </c>
    </row>
    <row r="177" spans="1:6">
      <c r="A177" t="s">
        <v>5425</v>
      </c>
      <c r="B177" s="799" t="s">
        <v>4339</v>
      </c>
      <c r="D177" t="s">
        <v>5425</v>
      </c>
      <c r="E177" t="s">
        <v>4339</v>
      </c>
      <c r="F177" s="23">
        <v>1</v>
      </c>
    </row>
    <row r="178" spans="1:6">
      <c r="A178" t="s">
        <v>5423</v>
      </c>
      <c r="B178" s="799" t="s">
        <v>4388</v>
      </c>
      <c r="D178" t="s">
        <v>5423</v>
      </c>
      <c r="E178" t="s">
        <v>4388</v>
      </c>
      <c r="F178" s="23">
        <v>1</v>
      </c>
    </row>
    <row r="179" spans="1:6">
      <c r="A179" t="s">
        <v>5435</v>
      </c>
      <c r="B179" s="799" t="s">
        <v>5806</v>
      </c>
      <c r="D179" t="s">
        <v>5435</v>
      </c>
      <c r="E179" s="799" t="s">
        <v>5806</v>
      </c>
      <c r="F179" s="23">
        <v>1</v>
      </c>
    </row>
    <row r="180" spans="1:6">
      <c r="A180" t="s">
        <v>5436</v>
      </c>
      <c r="B180" s="799" t="s">
        <v>2765</v>
      </c>
      <c r="D180" t="s">
        <v>5436</v>
      </c>
      <c r="E180" t="s">
        <v>2765</v>
      </c>
      <c r="F180" s="23">
        <v>1</v>
      </c>
    </row>
    <row r="181" spans="1:6">
      <c r="A181" t="s">
        <v>5437</v>
      </c>
      <c r="B181" t="s">
        <v>2767</v>
      </c>
      <c r="D181" t="s">
        <v>5437</v>
      </c>
      <c r="E181" t="s">
        <v>2767</v>
      </c>
      <c r="F181" s="23">
        <v>1</v>
      </c>
    </row>
    <row r="182" spans="1:6">
      <c r="A182" t="s">
        <v>5438</v>
      </c>
      <c r="B182" t="s">
        <v>2769</v>
      </c>
      <c r="D182" t="s">
        <v>5438</v>
      </c>
      <c r="E182" t="s">
        <v>2769</v>
      </c>
      <c r="F182" s="23">
        <v>1</v>
      </c>
    </row>
    <row r="183" spans="1:6">
      <c r="A183" t="s">
        <v>5439</v>
      </c>
      <c r="B183" t="s">
        <v>2771</v>
      </c>
      <c r="D183" t="s">
        <v>5439</v>
      </c>
      <c r="E183" t="s">
        <v>2771</v>
      </c>
      <c r="F183" s="23">
        <v>1</v>
      </c>
    </row>
    <row r="184" spans="1:6">
      <c r="A184" t="s">
        <v>5440</v>
      </c>
      <c r="B184" t="s">
        <v>2773</v>
      </c>
      <c r="D184" t="s">
        <v>5440</v>
      </c>
      <c r="E184" t="s">
        <v>2773</v>
      </c>
      <c r="F184" s="23">
        <v>1</v>
      </c>
    </row>
    <row r="185" spans="1:6">
      <c r="A185" t="s">
        <v>5441</v>
      </c>
      <c r="B185" t="s">
        <v>2775</v>
      </c>
      <c r="D185" t="s">
        <v>5441</v>
      </c>
      <c r="E185" t="s">
        <v>2775</v>
      </c>
      <c r="F185" s="23">
        <v>1</v>
      </c>
    </row>
    <row r="186" spans="1:6">
      <c r="A186" t="s">
        <v>5442</v>
      </c>
      <c r="B186" t="s">
        <v>2777</v>
      </c>
      <c r="D186" t="s">
        <v>5442</v>
      </c>
      <c r="E186" t="s">
        <v>2777</v>
      </c>
      <c r="F186" s="23">
        <v>1</v>
      </c>
    </row>
    <row r="187" spans="1:6">
      <c r="A187" t="s">
        <v>2778</v>
      </c>
      <c r="B187" s="799" t="s">
        <v>91</v>
      </c>
      <c r="D187" t="s">
        <v>2778</v>
      </c>
      <c r="E187" s="799" t="s">
        <v>91</v>
      </c>
      <c r="F187" s="23">
        <v>1</v>
      </c>
    </row>
    <row r="188" spans="1:6">
      <c r="A188" t="s">
        <v>2779</v>
      </c>
      <c r="B188" s="799" t="s">
        <v>1206</v>
      </c>
      <c r="D188" t="s">
        <v>2779</v>
      </c>
      <c r="E188" s="799" t="s">
        <v>1206</v>
      </c>
      <c r="F188" s="23">
        <v>1</v>
      </c>
    </row>
    <row r="189" spans="1:6">
      <c r="A189" t="s">
        <v>2780</v>
      </c>
      <c r="B189" s="799" t="s">
        <v>1208</v>
      </c>
      <c r="D189" t="s">
        <v>2780</v>
      </c>
      <c r="E189" s="799" t="s">
        <v>1208</v>
      </c>
      <c r="F189" s="23">
        <v>1</v>
      </c>
    </row>
    <row r="190" spans="1:6">
      <c r="A190" t="s">
        <v>2781</v>
      </c>
      <c r="B190" s="799" t="s">
        <v>1207</v>
      </c>
      <c r="D190" t="s">
        <v>2781</v>
      </c>
      <c r="E190" s="799" t="s">
        <v>1207</v>
      </c>
      <c r="F190" s="23">
        <v>1</v>
      </c>
    </row>
    <row r="191" spans="1:6">
      <c r="A191" t="s">
        <v>2782</v>
      </c>
      <c r="B191" s="799" t="s">
        <v>1209</v>
      </c>
      <c r="D191" t="s">
        <v>2782</v>
      </c>
      <c r="E191" s="799" t="s">
        <v>1209</v>
      </c>
      <c r="F191" s="23">
        <v>1</v>
      </c>
    </row>
    <row r="192" spans="1:6">
      <c r="A192" t="s">
        <v>2783</v>
      </c>
      <c r="B192" s="799" t="s">
        <v>2943</v>
      </c>
      <c r="D192" t="s">
        <v>2783</v>
      </c>
      <c r="E192" s="799" t="s">
        <v>2943</v>
      </c>
      <c r="F192" s="23">
        <v>1</v>
      </c>
    </row>
    <row r="193" spans="1:6">
      <c r="A193" t="s">
        <v>2784</v>
      </c>
      <c r="B193" s="799" t="s">
        <v>4339</v>
      </c>
      <c r="D193" t="s">
        <v>2784</v>
      </c>
      <c r="E193" s="799" t="s">
        <v>4339</v>
      </c>
      <c r="F193" s="23">
        <v>1</v>
      </c>
    </row>
    <row r="194" spans="1:6">
      <c r="A194" t="s">
        <v>2785</v>
      </c>
      <c r="B194" s="799" t="s">
        <v>4335</v>
      </c>
      <c r="D194" t="s">
        <v>2785</v>
      </c>
      <c r="E194" s="799" t="s">
        <v>4335</v>
      </c>
      <c r="F194" s="23">
        <v>1</v>
      </c>
    </row>
    <row r="195" spans="1:6">
      <c r="A195" t="s">
        <v>2786</v>
      </c>
      <c r="B195" s="799" t="s">
        <v>4338</v>
      </c>
      <c r="D195" t="s">
        <v>2786</v>
      </c>
      <c r="E195" s="799" t="s">
        <v>4338</v>
      </c>
      <c r="F195" s="23">
        <v>1</v>
      </c>
    </row>
    <row r="196" spans="1:6">
      <c r="A196" t="s">
        <v>2787</v>
      </c>
      <c r="B196" s="799" t="s">
        <v>4336</v>
      </c>
      <c r="D196" t="s">
        <v>2787</v>
      </c>
      <c r="E196" s="799" t="s">
        <v>4336</v>
      </c>
      <c r="F196" s="23">
        <v>1</v>
      </c>
    </row>
    <row r="197" spans="1:6">
      <c r="A197" t="s">
        <v>2788</v>
      </c>
      <c r="B197" s="799" t="s">
        <v>5809</v>
      </c>
      <c r="D197" t="s">
        <v>2788</v>
      </c>
      <c r="E197" s="799" t="s">
        <v>5809</v>
      </c>
      <c r="F197" s="23">
        <v>1</v>
      </c>
    </row>
    <row r="198" spans="1:6">
      <c r="A198" t="s">
        <v>2789</v>
      </c>
      <c r="B198" s="799" t="s">
        <v>3049</v>
      </c>
      <c r="D198" t="s">
        <v>2789</v>
      </c>
      <c r="E198" s="799" t="s">
        <v>3049</v>
      </c>
      <c r="F198" s="23">
        <v>1</v>
      </c>
    </row>
    <row r="199" spans="1:6">
      <c r="A199" t="s">
        <v>2790</v>
      </c>
      <c r="B199" s="799" t="s">
        <v>4396</v>
      </c>
      <c r="D199" t="s">
        <v>2790</v>
      </c>
      <c r="E199" s="799" t="s">
        <v>4396</v>
      </c>
      <c r="F199" s="23">
        <v>1</v>
      </c>
    </row>
    <row r="200" spans="1:6">
      <c r="A200" t="s">
        <v>2791</v>
      </c>
      <c r="B200" s="799" t="s">
        <v>2586</v>
      </c>
      <c r="D200" t="s">
        <v>2791</v>
      </c>
      <c r="E200" s="799" t="s">
        <v>2586</v>
      </c>
      <c r="F200" s="23">
        <v>1</v>
      </c>
    </row>
    <row r="201" spans="1:6">
      <c r="A201" t="s">
        <v>2792</v>
      </c>
      <c r="B201" s="799" t="s">
        <v>4397</v>
      </c>
      <c r="D201" t="s">
        <v>2792</v>
      </c>
      <c r="E201" s="799" t="s">
        <v>4397</v>
      </c>
      <c r="F201" s="23">
        <v>1</v>
      </c>
    </row>
    <row r="202" spans="1:6">
      <c r="A202" t="s">
        <v>2793</v>
      </c>
      <c r="B202" s="799" t="s">
        <v>2659</v>
      </c>
      <c r="D202" t="s">
        <v>2793</v>
      </c>
      <c r="E202" s="799" t="s">
        <v>2659</v>
      </c>
      <c r="F202" s="23">
        <v>1</v>
      </c>
    </row>
    <row r="203" spans="1:6">
      <c r="A203" t="s">
        <v>2794</v>
      </c>
      <c r="B203" s="799" t="s">
        <v>5810</v>
      </c>
      <c r="D203" t="s">
        <v>2794</v>
      </c>
      <c r="E203" s="799" t="s">
        <v>5810</v>
      </c>
      <c r="F203" s="23">
        <v>1</v>
      </c>
    </row>
    <row r="204" spans="1:6">
      <c r="A204" t="s">
        <v>2795</v>
      </c>
      <c r="B204" s="799" t="s">
        <v>5811</v>
      </c>
      <c r="D204" t="s">
        <v>2795</v>
      </c>
      <c r="E204" s="799" t="s">
        <v>5811</v>
      </c>
      <c r="F204" s="23">
        <v>1</v>
      </c>
    </row>
    <row r="205" spans="1:6">
      <c r="A205" t="s">
        <v>2796</v>
      </c>
      <c r="B205" s="799" t="s">
        <v>5812</v>
      </c>
      <c r="D205" t="s">
        <v>2796</v>
      </c>
      <c r="E205" s="799" t="s">
        <v>5812</v>
      </c>
      <c r="F205" s="23">
        <v>1</v>
      </c>
    </row>
    <row r="206" spans="1:6">
      <c r="A206" t="s">
        <v>2797</v>
      </c>
      <c r="B206" s="799" t="s">
        <v>5813</v>
      </c>
      <c r="D206" t="s">
        <v>2797</v>
      </c>
      <c r="E206" s="799" t="s">
        <v>5813</v>
      </c>
      <c r="F206" s="23">
        <v>1</v>
      </c>
    </row>
    <row r="207" spans="1:6">
      <c r="A207" t="s">
        <v>2798</v>
      </c>
      <c r="B207" s="799" t="s">
        <v>5814</v>
      </c>
      <c r="D207" t="s">
        <v>2798</v>
      </c>
      <c r="E207" s="799" t="s">
        <v>5814</v>
      </c>
      <c r="F207" s="23">
        <v>1</v>
      </c>
    </row>
    <row r="208" spans="1:6">
      <c r="A208" t="s">
        <v>2799</v>
      </c>
      <c r="B208" s="799" t="s">
        <v>5815</v>
      </c>
      <c r="D208" t="s">
        <v>2799</v>
      </c>
      <c r="E208" s="799" t="s">
        <v>5815</v>
      </c>
      <c r="F208" s="23">
        <v>1</v>
      </c>
    </row>
    <row r="209" spans="1:6">
      <c r="A209" t="s">
        <v>2800</v>
      </c>
      <c r="B209" s="799" t="s">
        <v>2673</v>
      </c>
      <c r="D209" t="s">
        <v>2800</v>
      </c>
      <c r="E209" s="799" t="s">
        <v>2673</v>
      </c>
      <c r="F209" s="23">
        <v>1</v>
      </c>
    </row>
    <row r="210" spans="1:6">
      <c r="A210" t="s">
        <v>2801</v>
      </c>
      <c r="B210" t="s">
        <v>2675</v>
      </c>
      <c r="D210" t="s">
        <v>2801</v>
      </c>
      <c r="E210" t="s">
        <v>2675</v>
      </c>
      <c r="F210" s="23">
        <v>1</v>
      </c>
    </row>
    <row r="211" spans="1:6">
      <c r="A211" t="s">
        <v>2802</v>
      </c>
      <c r="B211" t="s">
        <v>2677</v>
      </c>
      <c r="D211" t="s">
        <v>2802</v>
      </c>
      <c r="E211" t="s">
        <v>2677</v>
      </c>
      <c r="F211" s="23">
        <v>1</v>
      </c>
    </row>
    <row r="212" spans="1:6">
      <c r="A212" t="s">
        <v>2803</v>
      </c>
      <c r="B212" t="s">
        <v>2679</v>
      </c>
      <c r="D212" t="s">
        <v>2803</v>
      </c>
      <c r="E212" t="s">
        <v>2679</v>
      </c>
      <c r="F212" s="23">
        <v>1</v>
      </c>
    </row>
    <row r="213" spans="1:6">
      <c r="A213" t="s">
        <v>2804</v>
      </c>
      <c r="B213" t="s">
        <v>2681</v>
      </c>
      <c r="D213" t="s">
        <v>2804</v>
      </c>
      <c r="E213" t="s">
        <v>2681</v>
      </c>
      <c r="F213" s="23">
        <v>1</v>
      </c>
    </row>
    <row r="214" spans="1:6">
      <c r="A214" t="s">
        <v>2805</v>
      </c>
      <c r="B214" t="s">
        <v>2683</v>
      </c>
      <c r="D214" t="s">
        <v>2805</v>
      </c>
      <c r="E214" t="s">
        <v>2683</v>
      </c>
      <c r="F214" s="23">
        <v>1</v>
      </c>
    </row>
    <row r="215" spans="1:6">
      <c r="A215" t="s">
        <v>2806</v>
      </c>
      <c r="B215" t="s">
        <v>2685</v>
      </c>
      <c r="D215" t="s">
        <v>2806</v>
      </c>
      <c r="E215" t="s">
        <v>2685</v>
      </c>
      <c r="F215" s="23">
        <v>1</v>
      </c>
    </row>
    <row r="216" spans="1:6">
      <c r="A216" t="s">
        <v>2807</v>
      </c>
      <c r="B216" t="s">
        <v>2687</v>
      </c>
      <c r="D216" t="s">
        <v>2807</v>
      </c>
      <c r="E216" t="s">
        <v>2687</v>
      </c>
      <c r="F216" s="23">
        <v>1</v>
      </c>
    </row>
    <row r="217" spans="1:6">
      <c r="A217" t="s">
        <v>2808</v>
      </c>
      <c r="B217" t="s">
        <v>2689</v>
      </c>
      <c r="D217" t="s">
        <v>2808</v>
      </c>
      <c r="E217" t="s">
        <v>2689</v>
      </c>
      <c r="F217" s="23">
        <v>1</v>
      </c>
    </row>
    <row r="218" spans="1:6">
      <c r="A218" t="s">
        <v>2809</v>
      </c>
      <c r="B218" t="s">
        <v>2691</v>
      </c>
      <c r="D218" t="s">
        <v>2809</v>
      </c>
      <c r="E218" t="s">
        <v>2691</v>
      </c>
      <c r="F218" s="23">
        <v>1</v>
      </c>
    </row>
    <row r="219" spans="1:6">
      <c r="A219" t="s">
        <v>2810</v>
      </c>
      <c r="B219" s="799" t="s">
        <v>91</v>
      </c>
      <c r="D219" t="s">
        <v>2810</v>
      </c>
      <c r="E219" s="799" t="s">
        <v>91</v>
      </c>
      <c r="F219" s="23">
        <v>1</v>
      </c>
    </row>
    <row r="220" spans="1:6">
      <c r="A220" t="s">
        <v>2811</v>
      </c>
      <c r="B220" s="799" t="s">
        <v>1206</v>
      </c>
      <c r="D220" t="s">
        <v>2811</v>
      </c>
      <c r="E220" s="799" t="s">
        <v>1206</v>
      </c>
      <c r="F220" s="23">
        <v>1</v>
      </c>
    </row>
    <row r="221" spans="1:6">
      <c r="A221" t="s">
        <v>2812</v>
      </c>
      <c r="B221" s="799" t="s">
        <v>1208</v>
      </c>
      <c r="D221" t="s">
        <v>2812</v>
      </c>
      <c r="E221" s="799" t="s">
        <v>1208</v>
      </c>
      <c r="F221" s="23">
        <v>1</v>
      </c>
    </row>
    <row r="222" spans="1:6">
      <c r="A222" t="s">
        <v>2813</v>
      </c>
      <c r="B222" s="799" t="s">
        <v>1207</v>
      </c>
      <c r="D222" t="s">
        <v>2813</v>
      </c>
      <c r="E222" s="799" t="s">
        <v>1207</v>
      </c>
      <c r="F222" s="23">
        <v>1</v>
      </c>
    </row>
    <row r="223" spans="1:6">
      <c r="A223" t="s">
        <v>2814</v>
      </c>
      <c r="B223" s="799" t="s">
        <v>1209</v>
      </c>
      <c r="D223" t="s">
        <v>2814</v>
      </c>
      <c r="E223" s="799" t="s">
        <v>1209</v>
      </c>
      <c r="F223" s="23">
        <v>1</v>
      </c>
    </row>
    <row r="224" spans="1:6">
      <c r="A224" t="s">
        <v>2815</v>
      </c>
      <c r="B224" s="799" t="s">
        <v>2943</v>
      </c>
      <c r="D224" t="s">
        <v>2815</v>
      </c>
      <c r="E224" s="799" t="s">
        <v>2943</v>
      </c>
      <c r="F224" s="23">
        <v>1</v>
      </c>
    </row>
    <row r="225" spans="1:6">
      <c r="A225" t="s">
        <v>2816</v>
      </c>
      <c r="B225" s="799" t="s">
        <v>4339</v>
      </c>
      <c r="D225" t="s">
        <v>2816</v>
      </c>
      <c r="E225" s="799" t="s">
        <v>4339</v>
      </c>
      <c r="F225" s="23">
        <v>1</v>
      </c>
    </row>
    <row r="226" spans="1:6">
      <c r="A226" t="s">
        <v>2817</v>
      </c>
      <c r="B226" s="799" t="s">
        <v>4335</v>
      </c>
      <c r="D226" t="s">
        <v>2817</v>
      </c>
      <c r="E226" s="799" t="s">
        <v>4335</v>
      </c>
      <c r="F226" s="23">
        <v>1</v>
      </c>
    </row>
    <row r="227" spans="1:6">
      <c r="A227" t="s">
        <v>2818</v>
      </c>
      <c r="B227" s="799" t="s">
        <v>4338</v>
      </c>
      <c r="D227" t="s">
        <v>2818</v>
      </c>
      <c r="E227" s="799" t="s">
        <v>4338</v>
      </c>
      <c r="F227" s="23">
        <v>1</v>
      </c>
    </row>
    <row r="228" spans="1:6">
      <c r="A228" t="s">
        <v>2819</v>
      </c>
      <c r="B228" s="799" t="s">
        <v>4336</v>
      </c>
      <c r="D228" t="s">
        <v>2819</v>
      </c>
      <c r="E228" s="799" t="s">
        <v>4336</v>
      </c>
      <c r="F228" s="23">
        <v>1</v>
      </c>
    </row>
    <row r="229" spans="1:6">
      <c r="A229" t="s">
        <v>2820</v>
      </c>
      <c r="B229" s="799" t="s">
        <v>5809</v>
      </c>
      <c r="D229" t="s">
        <v>2820</v>
      </c>
      <c r="E229" s="799" t="s">
        <v>5809</v>
      </c>
      <c r="F229" s="23">
        <v>1</v>
      </c>
    </row>
    <row r="230" spans="1:6">
      <c r="A230" t="s">
        <v>2821</v>
      </c>
      <c r="B230" s="799" t="s">
        <v>3049</v>
      </c>
      <c r="D230" t="s">
        <v>2821</v>
      </c>
      <c r="E230" s="799" t="s">
        <v>3049</v>
      </c>
      <c r="F230" s="23">
        <v>1</v>
      </c>
    </row>
    <row r="231" spans="1:6">
      <c r="A231" t="s">
        <v>2822</v>
      </c>
      <c r="B231" s="799" t="s">
        <v>4396</v>
      </c>
      <c r="D231" t="s">
        <v>2822</v>
      </c>
      <c r="E231" s="799" t="s">
        <v>4396</v>
      </c>
      <c r="F231" s="23">
        <v>1</v>
      </c>
    </row>
    <row r="232" spans="1:6">
      <c r="A232" t="s">
        <v>2823</v>
      </c>
      <c r="B232" s="799" t="s">
        <v>2586</v>
      </c>
      <c r="D232" t="s">
        <v>2823</v>
      </c>
      <c r="E232" s="799" t="s">
        <v>2586</v>
      </c>
      <c r="F232" s="23">
        <v>1</v>
      </c>
    </row>
    <row r="233" spans="1:6">
      <c r="A233" t="s">
        <v>2824</v>
      </c>
      <c r="B233" s="799" t="s">
        <v>4397</v>
      </c>
      <c r="D233" t="s">
        <v>2824</v>
      </c>
      <c r="E233" s="799" t="s">
        <v>4397</v>
      </c>
      <c r="F233" s="23">
        <v>1</v>
      </c>
    </row>
    <row r="234" spans="1:6">
      <c r="A234" t="s">
        <v>2825</v>
      </c>
      <c r="B234" s="799" t="s">
        <v>2659</v>
      </c>
      <c r="D234" t="s">
        <v>2825</v>
      </c>
      <c r="E234" s="799" t="s">
        <v>2659</v>
      </c>
      <c r="F234" s="23">
        <v>1</v>
      </c>
    </row>
    <row r="235" spans="1:6">
      <c r="A235" t="s">
        <v>2826</v>
      </c>
      <c r="B235" s="799" t="s">
        <v>5810</v>
      </c>
      <c r="D235" t="s">
        <v>2826</v>
      </c>
      <c r="E235" s="799" t="s">
        <v>5810</v>
      </c>
      <c r="F235" s="23">
        <v>1</v>
      </c>
    </row>
    <row r="236" spans="1:6">
      <c r="A236" t="s">
        <v>2827</v>
      </c>
      <c r="B236" s="799" t="s">
        <v>5811</v>
      </c>
      <c r="D236" t="s">
        <v>2827</v>
      </c>
      <c r="E236" s="799" t="s">
        <v>5811</v>
      </c>
      <c r="F236" s="23">
        <v>1</v>
      </c>
    </row>
    <row r="237" spans="1:6">
      <c r="A237" t="s">
        <v>2828</v>
      </c>
      <c r="B237" s="799" t="s">
        <v>5812</v>
      </c>
      <c r="D237" t="s">
        <v>2828</v>
      </c>
      <c r="E237" s="799" t="s">
        <v>5812</v>
      </c>
      <c r="F237" s="23">
        <v>1</v>
      </c>
    </row>
    <row r="238" spans="1:6">
      <c r="A238" t="s">
        <v>2829</v>
      </c>
      <c r="B238" s="799" t="s">
        <v>5813</v>
      </c>
      <c r="D238" t="s">
        <v>2829</v>
      </c>
      <c r="E238" s="799" t="s">
        <v>5813</v>
      </c>
      <c r="F238" s="23">
        <v>1</v>
      </c>
    </row>
    <row r="239" spans="1:6">
      <c r="A239" t="s">
        <v>2830</v>
      </c>
      <c r="B239" s="799" t="s">
        <v>5814</v>
      </c>
      <c r="D239" t="s">
        <v>2830</v>
      </c>
      <c r="E239" s="799" t="s">
        <v>5814</v>
      </c>
      <c r="F239" s="23">
        <v>1</v>
      </c>
    </row>
    <row r="240" spans="1:6">
      <c r="A240" t="s">
        <v>2831</v>
      </c>
      <c r="B240" s="799" t="s">
        <v>5815</v>
      </c>
      <c r="D240" t="s">
        <v>2831</v>
      </c>
      <c r="E240" s="799" t="s">
        <v>5815</v>
      </c>
      <c r="F240" s="23">
        <v>1</v>
      </c>
    </row>
    <row r="241" spans="1:6">
      <c r="A241" s="124" t="s">
        <v>2832</v>
      </c>
      <c r="B241" s="799" t="s">
        <v>2673</v>
      </c>
      <c r="D241" s="124" t="s">
        <v>2832</v>
      </c>
      <c r="E241" s="799" t="s">
        <v>2673</v>
      </c>
      <c r="F241" s="23">
        <v>1</v>
      </c>
    </row>
    <row r="242" spans="1:6">
      <c r="A242" s="124" t="s">
        <v>2833</v>
      </c>
      <c r="B242" s="799" t="s">
        <v>6190</v>
      </c>
      <c r="D242" s="124" t="s">
        <v>2833</v>
      </c>
      <c r="E242" s="799" t="s">
        <v>6190</v>
      </c>
      <c r="F242" s="23">
        <v>1</v>
      </c>
    </row>
    <row r="243" spans="1:6">
      <c r="A243" s="124" t="s">
        <v>2834</v>
      </c>
      <c r="B243" s="799" t="s">
        <v>6191</v>
      </c>
      <c r="D243" s="124" t="s">
        <v>2834</v>
      </c>
      <c r="E243" s="799" t="s">
        <v>6191</v>
      </c>
      <c r="F243" s="23">
        <v>1</v>
      </c>
    </row>
  </sheetData>
  <pageMargins left="0.51181102362204722" right="0.31496062992125984" top="0.55118110236220474" bottom="0.74803149606299213" header="0.31496062992125984" footer="0.31496062992125984"/>
  <pageSetup paperSize="8" fitToHeight="6" orientation="landscape" r:id="rId1"/>
  <headerFooter>
    <oddFooter>&amp;L&amp;F&amp;C&amp;A&amp;RPage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G331"/>
  <sheetViews>
    <sheetView workbookViewId="0">
      <pane xSplit="2" ySplit="11" topLeftCell="J161" activePane="bottomRight" state="frozen"/>
      <selection pane="topRight" activeCell="C1" sqref="C1"/>
      <selection pane="bottomLeft" activeCell="A12" sqref="A12"/>
      <selection pane="bottomRight" activeCell="L169" sqref="L169"/>
    </sheetView>
  </sheetViews>
  <sheetFormatPr defaultColWidth="8.54296875" defaultRowHeight="12.5"/>
  <cols>
    <col min="1" max="1" width="21.54296875" customWidth="1"/>
    <col min="2" max="2" width="18.54296875" customWidth="1"/>
    <col min="3" max="3" width="17.54296875" customWidth="1"/>
    <col min="4" max="4" width="12.54296875" customWidth="1"/>
    <col min="5" max="9" width="15.54296875" customWidth="1"/>
    <col min="10" max="10" width="16.54296875" customWidth="1"/>
    <col min="11" max="11" width="11.54296875" customWidth="1"/>
    <col min="12" max="21" width="10" bestFit="1" customWidth="1"/>
    <col min="22" max="22" width="12.453125" customWidth="1"/>
    <col min="24" max="26" width="10.54296875" customWidth="1"/>
    <col min="27" max="27" width="11.54296875" customWidth="1"/>
  </cols>
  <sheetData>
    <row r="1" spans="1:33" ht="23">
      <c r="A1" s="318" t="s">
        <v>4357</v>
      </c>
      <c r="B1" s="318"/>
    </row>
    <row r="3" spans="1:33">
      <c r="A3" t="s">
        <v>4358</v>
      </c>
    </row>
    <row r="5" spans="1:33">
      <c r="A5" s="306" t="s">
        <v>4359</v>
      </c>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row>
    <row r="6" spans="1:33">
      <c r="A6" s="306" t="s">
        <v>4360</v>
      </c>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row>
    <row r="7" spans="1:33">
      <c r="A7" s="306" t="s">
        <v>4361</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row>
    <row r="8" spans="1:33">
      <c r="A8" s="306" t="s">
        <v>4362</v>
      </c>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row>
    <row r="9" spans="1:33" ht="13">
      <c r="A9" s="306"/>
      <c r="B9" s="306"/>
      <c r="C9" s="306"/>
      <c r="D9" s="306"/>
      <c r="E9" s="306"/>
      <c r="F9" s="306"/>
      <c r="G9" s="306"/>
      <c r="H9" s="306"/>
      <c r="I9" s="306"/>
      <c r="J9" s="306"/>
      <c r="K9" s="306"/>
      <c r="L9" s="306"/>
      <c r="M9" s="306"/>
      <c r="N9" s="306"/>
      <c r="O9" s="306"/>
      <c r="P9" s="306"/>
      <c r="Q9" s="306"/>
      <c r="R9" s="306"/>
      <c r="S9" s="306"/>
      <c r="T9" s="306"/>
      <c r="U9" s="306"/>
      <c r="V9" s="306"/>
      <c r="W9" s="306"/>
      <c r="X9" s="304" t="s">
        <v>4363</v>
      </c>
      <c r="Y9" s="304"/>
      <c r="Z9" s="304"/>
      <c r="AA9" s="304"/>
      <c r="AB9" s="306"/>
      <c r="AC9" s="306"/>
      <c r="AD9" s="306"/>
      <c r="AE9" s="306"/>
      <c r="AF9" s="306"/>
      <c r="AG9" s="306"/>
    </row>
    <row r="10" spans="1:33">
      <c r="A10" s="319"/>
      <c r="B10" s="319">
        <v>1</v>
      </c>
      <c r="C10" s="319">
        <v>2</v>
      </c>
      <c r="D10" s="319">
        <v>3</v>
      </c>
      <c r="E10" s="319">
        <v>4</v>
      </c>
      <c r="F10" s="319">
        <v>5</v>
      </c>
      <c r="G10" s="319">
        <v>6</v>
      </c>
      <c r="H10" s="319">
        <v>7</v>
      </c>
      <c r="I10" s="319">
        <v>8</v>
      </c>
      <c r="J10" s="319">
        <v>9</v>
      </c>
      <c r="K10" s="319">
        <v>10</v>
      </c>
      <c r="L10" s="319">
        <v>11</v>
      </c>
      <c r="M10" s="319">
        <v>12</v>
      </c>
      <c r="N10" s="319">
        <v>13</v>
      </c>
      <c r="O10" s="319">
        <v>14</v>
      </c>
      <c r="P10" s="319">
        <v>15</v>
      </c>
      <c r="Q10" s="319">
        <v>16</v>
      </c>
      <c r="R10" s="319">
        <v>17</v>
      </c>
      <c r="S10" s="319">
        <v>18</v>
      </c>
      <c r="T10" s="319">
        <v>19</v>
      </c>
      <c r="U10" s="319">
        <v>20</v>
      </c>
      <c r="V10" s="319">
        <v>21</v>
      </c>
      <c r="W10" s="306"/>
      <c r="X10" s="306"/>
      <c r="Y10" s="306"/>
      <c r="Z10" s="306"/>
      <c r="AA10" s="306"/>
      <c r="AB10" s="306"/>
      <c r="AC10" s="306"/>
      <c r="AD10" s="306"/>
      <c r="AE10" s="306"/>
      <c r="AF10" s="306"/>
      <c r="AG10" s="306"/>
    </row>
    <row r="11" spans="1:33" ht="39">
      <c r="A11" s="320" t="s">
        <v>4364</v>
      </c>
      <c r="B11" s="320" t="s">
        <v>4365</v>
      </c>
      <c r="C11" s="321" t="s">
        <v>4366</v>
      </c>
      <c r="D11" s="321" t="s">
        <v>4367</v>
      </c>
      <c r="E11" s="320" t="s">
        <v>4368</v>
      </c>
      <c r="F11" s="321" t="s">
        <v>4369</v>
      </c>
      <c r="G11" s="321" t="s">
        <v>4370</v>
      </c>
      <c r="H11" s="321" t="s">
        <v>4371</v>
      </c>
      <c r="I11" s="321" t="s">
        <v>4372</v>
      </c>
      <c r="J11" s="321" t="s">
        <v>4373</v>
      </c>
      <c r="K11" s="321"/>
      <c r="L11" s="322">
        <v>2019</v>
      </c>
      <c r="M11" s="322">
        <v>2020</v>
      </c>
      <c r="N11" s="322">
        <v>2021</v>
      </c>
      <c r="O11" s="322">
        <v>2022</v>
      </c>
      <c r="P11" s="322">
        <v>2023</v>
      </c>
      <c r="Q11" s="322">
        <v>2024</v>
      </c>
      <c r="R11" s="322">
        <v>2025</v>
      </c>
      <c r="S11" s="322">
        <v>2026</v>
      </c>
      <c r="T11" s="322">
        <v>2027</v>
      </c>
      <c r="U11" s="322">
        <v>2028</v>
      </c>
      <c r="V11" s="322" t="s">
        <v>891</v>
      </c>
      <c r="W11" s="306"/>
      <c r="X11" s="322">
        <v>2016</v>
      </c>
      <c r="Y11" s="322">
        <v>2017</v>
      </c>
      <c r="Z11" s="322">
        <v>2018</v>
      </c>
      <c r="AA11" s="322" t="s">
        <v>891</v>
      </c>
      <c r="AB11" s="306"/>
      <c r="AC11" s="306"/>
      <c r="AD11" s="306"/>
      <c r="AE11" s="306"/>
      <c r="AF11" s="306"/>
      <c r="AG11" s="306"/>
    </row>
    <row r="12" spans="1:33">
      <c r="A12" s="306" t="s">
        <v>853</v>
      </c>
      <c r="B12" s="306" t="s">
        <v>2629</v>
      </c>
      <c r="C12" s="323">
        <v>10240207</v>
      </c>
      <c r="D12" s="323">
        <v>3072062.1</v>
      </c>
      <c r="E12" s="323">
        <v>7168144.9000000004</v>
      </c>
      <c r="F12" s="323">
        <v>1695302</v>
      </c>
      <c r="G12" s="323">
        <v>1932882</v>
      </c>
      <c r="H12" s="323">
        <v>2420847</v>
      </c>
      <c r="I12" s="323">
        <v>6049031</v>
      </c>
      <c r="J12" s="323">
        <v>604903.1</v>
      </c>
      <c r="K12" s="306"/>
      <c r="L12" s="323">
        <v>1628923.8</v>
      </c>
      <c r="M12" s="323">
        <v>1628923.8</v>
      </c>
      <c r="N12" s="323">
        <v>1628923.8</v>
      </c>
      <c r="O12" s="323">
        <v>1628923.8</v>
      </c>
      <c r="P12" s="323">
        <v>1628923.8</v>
      </c>
      <c r="Q12" s="323">
        <v>1628923.8</v>
      </c>
      <c r="R12" s="323">
        <v>1628923.8</v>
      </c>
      <c r="S12" s="323">
        <v>604903.1</v>
      </c>
      <c r="T12" s="323">
        <v>604903.1</v>
      </c>
      <c r="U12" s="323">
        <v>604903.1</v>
      </c>
      <c r="V12" s="323">
        <v>13217175.9</v>
      </c>
      <c r="W12" s="324" t="s">
        <v>465</v>
      </c>
      <c r="X12" s="323">
        <v>3226806</v>
      </c>
      <c r="Y12" s="323">
        <v>3016556</v>
      </c>
      <c r="Z12" s="323">
        <v>3044021</v>
      </c>
      <c r="AA12" s="323">
        <v>9287383</v>
      </c>
      <c r="AB12" s="306"/>
      <c r="AC12" s="306"/>
      <c r="AD12" s="306"/>
      <c r="AE12" s="306"/>
      <c r="AF12" s="306"/>
      <c r="AG12" s="306"/>
    </row>
    <row r="13" spans="1:33">
      <c r="A13" s="306" t="s">
        <v>2428</v>
      </c>
      <c r="B13" s="306" t="s">
        <v>2631</v>
      </c>
      <c r="C13" s="323">
        <v>3588978</v>
      </c>
      <c r="D13" s="323">
        <v>1076693.3999999999</v>
      </c>
      <c r="E13" s="323">
        <v>2512284.6</v>
      </c>
      <c r="F13" s="323">
        <v>6837</v>
      </c>
      <c r="G13" s="323">
        <v>61905</v>
      </c>
      <c r="H13" s="323">
        <v>211145</v>
      </c>
      <c r="I13" s="323">
        <v>279887</v>
      </c>
      <c r="J13" s="323">
        <v>27988.7</v>
      </c>
      <c r="K13" s="306"/>
      <c r="L13" s="323">
        <v>386886.5</v>
      </c>
      <c r="M13" s="323">
        <v>386886.5</v>
      </c>
      <c r="N13" s="323">
        <v>386886.5</v>
      </c>
      <c r="O13" s="323">
        <v>386886.5</v>
      </c>
      <c r="P13" s="323">
        <v>386886.5</v>
      </c>
      <c r="Q13" s="323">
        <v>386886.5</v>
      </c>
      <c r="R13" s="323">
        <v>386886.5</v>
      </c>
      <c r="S13" s="323">
        <v>27988.7</v>
      </c>
      <c r="T13" s="323">
        <v>27988.7</v>
      </c>
      <c r="U13" s="323">
        <v>27988.7</v>
      </c>
      <c r="V13" s="323">
        <v>2792171.6000000006</v>
      </c>
      <c r="W13" s="324" t="s">
        <v>465</v>
      </c>
      <c r="X13" s="323">
        <v>488742</v>
      </c>
      <c r="Y13" s="323">
        <v>1003076</v>
      </c>
      <c r="Z13" s="323">
        <v>1129603</v>
      </c>
      <c r="AA13" s="323">
        <v>2621421</v>
      </c>
      <c r="AB13" s="306"/>
      <c r="AC13" s="306"/>
      <c r="AD13" s="306"/>
      <c r="AE13" s="306"/>
      <c r="AF13" s="306"/>
      <c r="AG13" s="306"/>
    </row>
    <row r="14" spans="1:33">
      <c r="A14" s="306" t="s">
        <v>2429</v>
      </c>
      <c r="B14" s="306" t="s">
        <v>2633</v>
      </c>
      <c r="C14" s="323">
        <v>2186012</v>
      </c>
      <c r="D14" s="323">
        <v>655803.6</v>
      </c>
      <c r="E14" s="323">
        <v>1530208.4</v>
      </c>
      <c r="F14" s="323">
        <v>4102</v>
      </c>
      <c r="G14" s="323">
        <v>37143</v>
      </c>
      <c r="H14" s="323">
        <v>126687</v>
      </c>
      <c r="I14" s="323">
        <v>167932</v>
      </c>
      <c r="J14" s="323">
        <v>16793.2</v>
      </c>
      <c r="K14" s="306"/>
      <c r="L14" s="323">
        <v>235394.4</v>
      </c>
      <c r="M14" s="323">
        <v>235394.4</v>
      </c>
      <c r="N14" s="323">
        <v>235394.4</v>
      </c>
      <c r="O14" s="323">
        <v>235394.4</v>
      </c>
      <c r="P14" s="323">
        <v>235394.4</v>
      </c>
      <c r="Q14" s="323">
        <v>235394.4</v>
      </c>
      <c r="R14" s="323">
        <v>235394.4</v>
      </c>
      <c r="S14" s="323">
        <v>16793.2</v>
      </c>
      <c r="T14" s="323">
        <v>16793.2</v>
      </c>
      <c r="U14" s="323">
        <v>16793.2</v>
      </c>
      <c r="V14" s="323">
        <v>1698140.3999999997</v>
      </c>
      <c r="W14" s="324" t="s">
        <v>465</v>
      </c>
      <c r="X14" s="323">
        <v>265246</v>
      </c>
      <c r="Y14" s="323">
        <v>488175</v>
      </c>
      <c r="Z14" s="323">
        <v>488333</v>
      </c>
      <c r="AA14" s="323">
        <v>1241754</v>
      </c>
      <c r="AB14" s="306"/>
      <c r="AC14" s="306"/>
      <c r="AD14" s="306"/>
      <c r="AE14" s="306"/>
      <c r="AF14" s="306"/>
      <c r="AG14" s="306"/>
    </row>
    <row r="15" spans="1:33">
      <c r="A15" s="306" t="s">
        <v>2430</v>
      </c>
      <c r="B15" s="306" t="s">
        <v>2634</v>
      </c>
      <c r="C15" s="323">
        <v>0</v>
      </c>
      <c r="D15" s="323">
        <v>0</v>
      </c>
      <c r="E15" s="323">
        <v>0</v>
      </c>
      <c r="F15" s="323"/>
      <c r="G15" s="323"/>
      <c r="H15" s="323"/>
      <c r="I15" s="323">
        <v>0</v>
      </c>
      <c r="J15" s="323">
        <v>0</v>
      </c>
      <c r="K15" s="306"/>
      <c r="L15" s="323">
        <v>0</v>
      </c>
      <c r="M15" s="323">
        <v>0</v>
      </c>
      <c r="N15" s="323">
        <v>0</v>
      </c>
      <c r="O15" s="323">
        <v>0</v>
      </c>
      <c r="P15" s="323">
        <v>0</v>
      </c>
      <c r="Q15" s="323">
        <v>0</v>
      </c>
      <c r="R15" s="323">
        <v>0</v>
      </c>
      <c r="S15" s="323">
        <v>0</v>
      </c>
      <c r="T15" s="323">
        <v>0</v>
      </c>
      <c r="U15" s="323">
        <v>0</v>
      </c>
      <c r="V15" s="323">
        <v>0</v>
      </c>
      <c r="W15" s="324" t="s">
        <v>465</v>
      </c>
      <c r="X15" s="323"/>
      <c r="Y15" s="323"/>
      <c r="Z15" s="323"/>
      <c r="AA15" s="323">
        <v>0</v>
      </c>
      <c r="AB15" s="306"/>
      <c r="AC15" s="306"/>
      <c r="AD15" s="306"/>
      <c r="AE15" s="306"/>
      <c r="AF15" s="306"/>
      <c r="AG15" s="306"/>
    </row>
    <row r="16" spans="1:33">
      <c r="A16" s="306" t="s">
        <v>2411</v>
      </c>
      <c r="B16" s="306" t="s">
        <v>2636</v>
      </c>
      <c r="C16" s="323">
        <v>0</v>
      </c>
      <c r="D16" s="323">
        <v>0</v>
      </c>
      <c r="E16" s="323">
        <v>0</v>
      </c>
      <c r="F16" s="323"/>
      <c r="G16" s="323"/>
      <c r="H16" s="323"/>
      <c r="I16" s="323">
        <v>0</v>
      </c>
      <c r="J16" s="323">
        <v>0</v>
      </c>
      <c r="K16" s="306"/>
      <c r="L16" s="323">
        <v>0</v>
      </c>
      <c r="M16" s="323">
        <v>0</v>
      </c>
      <c r="N16" s="323">
        <v>0</v>
      </c>
      <c r="O16" s="323">
        <v>0</v>
      </c>
      <c r="P16" s="323">
        <v>0</v>
      </c>
      <c r="Q16" s="323">
        <v>0</v>
      </c>
      <c r="R16" s="323">
        <v>0</v>
      </c>
      <c r="S16" s="323">
        <v>0</v>
      </c>
      <c r="T16" s="323">
        <v>0</v>
      </c>
      <c r="U16" s="323">
        <v>0</v>
      </c>
      <c r="V16" s="323">
        <v>0</v>
      </c>
      <c r="W16" s="324" t="s">
        <v>465</v>
      </c>
      <c r="X16" s="323"/>
      <c r="Y16" s="323"/>
      <c r="Z16" s="323"/>
      <c r="AA16" s="323">
        <v>0</v>
      </c>
      <c r="AB16" s="306"/>
      <c r="AC16" s="306"/>
      <c r="AD16" s="306"/>
      <c r="AE16" s="306"/>
      <c r="AF16" s="306"/>
      <c r="AG16" s="306"/>
    </row>
    <row r="17" spans="1:33">
      <c r="A17" s="306" t="s">
        <v>2412</v>
      </c>
      <c r="B17" s="306" t="s">
        <v>2638</v>
      </c>
      <c r="C17" s="323">
        <v>0</v>
      </c>
      <c r="D17" s="323">
        <v>0</v>
      </c>
      <c r="E17" s="323">
        <v>0</v>
      </c>
      <c r="F17" s="323"/>
      <c r="G17" s="323"/>
      <c r="H17" s="323"/>
      <c r="I17" s="323">
        <v>0</v>
      </c>
      <c r="J17" s="323">
        <v>0</v>
      </c>
      <c r="K17" s="306"/>
      <c r="L17" s="323">
        <v>0</v>
      </c>
      <c r="M17" s="323">
        <v>0</v>
      </c>
      <c r="N17" s="323">
        <v>0</v>
      </c>
      <c r="O17" s="323">
        <v>0</v>
      </c>
      <c r="P17" s="323">
        <v>0</v>
      </c>
      <c r="Q17" s="323">
        <v>0</v>
      </c>
      <c r="R17" s="323">
        <v>0</v>
      </c>
      <c r="S17" s="323">
        <v>0</v>
      </c>
      <c r="T17" s="323">
        <v>0</v>
      </c>
      <c r="U17" s="323">
        <v>0</v>
      </c>
      <c r="V17" s="323">
        <v>0</v>
      </c>
      <c r="W17" s="324" t="s">
        <v>465</v>
      </c>
      <c r="X17" s="323"/>
      <c r="Y17" s="323"/>
      <c r="Z17" s="323"/>
      <c r="AA17" s="323">
        <v>0</v>
      </c>
      <c r="AB17" s="306"/>
      <c r="AC17" s="306"/>
      <c r="AD17" s="306"/>
      <c r="AE17" s="306"/>
      <c r="AF17" s="306"/>
      <c r="AG17" s="306"/>
    </row>
    <row r="18" spans="1:33">
      <c r="A18" s="306" t="s">
        <v>2413</v>
      </c>
      <c r="B18" s="306" t="s">
        <v>2640</v>
      </c>
      <c r="C18" s="323">
        <v>0</v>
      </c>
      <c r="D18" s="323">
        <v>0</v>
      </c>
      <c r="E18" s="323">
        <v>0</v>
      </c>
      <c r="F18" s="323"/>
      <c r="G18" s="323"/>
      <c r="H18" s="323"/>
      <c r="I18" s="323">
        <v>0</v>
      </c>
      <c r="J18" s="323">
        <v>0</v>
      </c>
      <c r="K18" s="306"/>
      <c r="L18" s="323">
        <v>0</v>
      </c>
      <c r="M18" s="323">
        <v>0</v>
      </c>
      <c r="N18" s="323">
        <v>0</v>
      </c>
      <c r="O18" s="323">
        <v>0</v>
      </c>
      <c r="P18" s="323">
        <v>0</v>
      </c>
      <c r="Q18" s="323">
        <v>0</v>
      </c>
      <c r="R18" s="323">
        <v>0</v>
      </c>
      <c r="S18" s="323">
        <v>0</v>
      </c>
      <c r="T18" s="323">
        <v>0</v>
      </c>
      <c r="U18" s="323">
        <v>0</v>
      </c>
      <c r="V18" s="323">
        <v>0</v>
      </c>
      <c r="W18" s="324" t="s">
        <v>465</v>
      </c>
      <c r="X18" s="323"/>
      <c r="Y18" s="323"/>
      <c r="Z18" s="323"/>
      <c r="AA18" s="323">
        <v>0</v>
      </c>
      <c r="AB18" s="306"/>
      <c r="AC18" s="306"/>
      <c r="AD18" s="306"/>
      <c r="AE18" s="306"/>
      <c r="AF18" s="306"/>
      <c r="AG18" s="306"/>
    </row>
    <row r="19" spans="1:33">
      <c r="A19" s="306" t="s">
        <v>2414</v>
      </c>
      <c r="B19" s="306" t="s">
        <v>2642</v>
      </c>
      <c r="C19" s="323">
        <v>0</v>
      </c>
      <c r="D19" s="323">
        <v>0</v>
      </c>
      <c r="E19" s="323">
        <v>0</v>
      </c>
      <c r="F19" s="323"/>
      <c r="G19" s="323"/>
      <c r="H19" s="323"/>
      <c r="I19" s="323">
        <v>0</v>
      </c>
      <c r="J19" s="323">
        <v>0</v>
      </c>
      <c r="K19" s="306"/>
      <c r="L19" s="323">
        <v>0</v>
      </c>
      <c r="M19" s="323">
        <v>0</v>
      </c>
      <c r="N19" s="323">
        <v>0</v>
      </c>
      <c r="O19" s="323">
        <v>0</v>
      </c>
      <c r="P19" s="323">
        <v>0</v>
      </c>
      <c r="Q19" s="323">
        <v>0</v>
      </c>
      <c r="R19" s="323">
        <v>0</v>
      </c>
      <c r="S19" s="323">
        <v>0</v>
      </c>
      <c r="T19" s="323">
        <v>0</v>
      </c>
      <c r="U19" s="323">
        <v>0</v>
      </c>
      <c r="V19" s="323">
        <v>0</v>
      </c>
      <c r="W19" s="324" t="s">
        <v>465</v>
      </c>
      <c r="X19" s="323"/>
      <c r="Y19" s="323"/>
      <c r="Z19" s="323"/>
      <c r="AA19" s="323">
        <v>0</v>
      </c>
      <c r="AB19" s="306"/>
      <c r="AC19" s="306"/>
      <c r="AD19" s="306"/>
      <c r="AE19" s="306"/>
      <c r="AF19" s="306"/>
      <c r="AG19" s="306"/>
    </row>
    <row r="20" spans="1:33">
      <c r="A20" s="306" t="s">
        <v>2415</v>
      </c>
      <c r="B20" s="306" t="s">
        <v>2644</v>
      </c>
      <c r="C20" s="323">
        <v>0</v>
      </c>
      <c r="D20" s="323">
        <v>0</v>
      </c>
      <c r="E20" s="323">
        <v>0</v>
      </c>
      <c r="F20" s="323"/>
      <c r="G20" s="323"/>
      <c r="H20" s="323"/>
      <c r="I20" s="323">
        <v>0</v>
      </c>
      <c r="J20" s="323">
        <v>0</v>
      </c>
      <c r="K20" s="306"/>
      <c r="L20" s="323">
        <v>0</v>
      </c>
      <c r="M20" s="323">
        <v>0</v>
      </c>
      <c r="N20" s="323">
        <v>0</v>
      </c>
      <c r="O20" s="323">
        <v>0</v>
      </c>
      <c r="P20" s="323">
        <v>0</v>
      </c>
      <c r="Q20" s="323">
        <v>0</v>
      </c>
      <c r="R20" s="323">
        <v>0</v>
      </c>
      <c r="S20" s="323">
        <v>0</v>
      </c>
      <c r="T20" s="323">
        <v>0</v>
      </c>
      <c r="U20" s="323">
        <v>0</v>
      </c>
      <c r="V20" s="323">
        <v>0</v>
      </c>
      <c r="W20" s="324" t="s">
        <v>465</v>
      </c>
      <c r="X20" s="323"/>
      <c r="Y20" s="323"/>
      <c r="Z20" s="323"/>
      <c r="AA20" s="323">
        <v>0</v>
      </c>
      <c r="AB20" s="306"/>
      <c r="AC20" s="306"/>
      <c r="AD20" s="306"/>
      <c r="AE20" s="306"/>
      <c r="AF20" s="306"/>
      <c r="AG20" s="306"/>
    </row>
    <row r="21" spans="1:33">
      <c r="A21" s="306" t="s">
        <v>2575</v>
      </c>
      <c r="B21" s="306" t="s">
        <v>2646</v>
      </c>
      <c r="C21" s="323">
        <v>0</v>
      </c>
      <c r="D21" s="323">
        <v>0</v>
      </c>
      <c r="E21" s="323">
        <v>0</v>
      </c>
      <c r="F21" s="323"/>
      <c r="G21" s="323"/>
      <c r="H21" s="323"/>
      <c r="I21" s="323">
        <v>0</v>
      </c>
      <c r="J21" s="323">
        <v>0</v>
      </c>
      <c r="K21" s="306"/>
      <c r="L21" s="323">
        <v>0</v>
      </c>
      <c r="M21" s="323">
        <v>0</v>
      </c>
      <c r="N21" s="323">
        <v>0</v>
      </c>
      <c r="O21" s="323">
        <v>0</v>
      </c>
      <c r="P21" s="323">
        <v>0</v>
      </c>
      <c r="Q21" s="323">
        <v>0</v>
      </c>
      <c r="R21" s="323">
        <v>0</v>
      </c>
      <c r="S21" s="323">
        <v>0</v>
      </c>
      <c r="T21" s="323">
        <v>0</v>
      </c>
      <c r="U21" s="323">
        <v>0</v>
      </c>
      <c r="V21" s="323">
        <v>0</v>
      </c>
      <c r="W21" s="324" t="s">
        <v>465</v>
      </c>
      <c r="X21" s="323"/>
      <c r="Y21" s="323"/>
      <c r="Z21" s="323"/>
      <c r="AA21" s="323">
        <v>0</v>
      </c>
      <c r="AB21" s="306"/>
      <c r="AC21" s="306"/>
      <c r="AD21" s="306"/>
      <c r="AE21" s="306"/>
      <c r="AF21" s="306"/>
      <c r="AG21" s="306"/>
    </row>
    <row r="22" spans="1:33">
      <c r="A22" s="306" t="s">
        <v>2576</v>
      </c>
      <c r="B22" s="306" t="s">
        <v>2648</v>
      </c>
      <c r="C22" s="323">
        <v>0</v>
      </c>
      <c r="D22" s="323">
        <v>0</v>
      </c>
      <c r="E22" s="323">
        <v>0</v>
      </c>
      <c r="F22" s="323"/>
      <c r="G22" s="323"/>
      <c r="H22" s="323"/>
      <c r="I22" s="323">
        <v>0</v>
      </c>
      <c r="J22" s="323">
        <v>0</v>
      </c>
      <c r="K22" s="306"/>
      <c r="L22" s="323">
        <v>0</v>
      </c>
      <c r="M22" s="323">
        <v>0</v>
      </c>
      <c r="N22" s="323">
        <v>0</v>
      </c>
      <c r="O22" s="323">
        <v>0</v>
      </c>
      <c r="P22" s="323">
        <v>0</v>
      </c>
      <c r="Q22" s="323">
        <v>0</v>
      </c>
      <c r="R22" s="323">
        <v>0</v>
      </c>
      <c r="S22" s="323">
        <v>0</v>
      </c>
      <c r="T22" s="323">
        <v>0</v>
      </c>
      <c r="U22" s="323">
        <v>0</v>
      </c>
      <c r="V22" s="323">
        <v>0</v>
      </c>
      <c r="W22" s="324" t="s">
        <v>465</v>
      </c>
      <c r="X22" s="323"/>
      <c r="Y22" s="323"/>
      <c r="Z22" s="323"/>
      <c r="AA22" s="323">
        <v>0</v>
      </c>
      <c r="AB22" s="306"/>
      <c r="AC22" s="306"/>
      <c r="AD22" s="306"/>
      <c r="AE22" s="306"/>
      <c r="AF22" s="306"/>
      <c r="AG22" s="306"/>
    </row>
    <row r="23" spans="1:33">
      <c r="A23" s="306" t="s">
        <v>2577</v>
      </c>
      <c r="B23" s="306" t="s">
        <v>2650</v>
      </c>
      <c r="C23" s="323">
        <v>0</v>
      </c>
      <c r="D23" s="323">
        <v>0</v>
      </c>
      <c r="E23" s="323">
        <v>0</v>
      </c>
      <c r="F23" s="323"/>
      <c r="G23" s="323"/>
      <c r="H23" s="323"/>
      <c r="I23" s="323">
        <v>0</v>
      </c>
      <c r="J23" s="323">
        <v>0</v>
      </c>
      <c r="K23" s="306"/>
      <c r="L23" s="323">
        <v>0</v>
      </c>
      <c r="M23" s="323">
        <v>0</v>
      </c>
      <c r="N23" s="323">
        <v>0</v>
      </c>
      <c r="O23" s="323">
        <v>0</v>
      </c>
      <c r="P23" s="323">
        <v>0</v>
      </c>
      <c r="Q23" s="323">
        <v>0</v>
      </c>
      <c r="R23" s="323">
        <v>0</v>
      </c>
      <c r="S23" s="323">
        <v>0</v>
      </c>
      <c r="T23" s="323">
        <v>0</v>
      </c>
      <c r="U23" s="323">
        <v>0</v>
      </c>
      <c r="V23" s="323">
        <v>0</v>
      </c>
      <c r="W23" s="324" t="s">
        <v>465</v>
      </c>
      <c r="X23" s="323"/>
      <c r="Y23" s="323"/>
      <c r="Z23" s="323"/>
      <c r="AA23" s="323">
        <v>0</v>
      </c>
      <c r="AB23" s="306"/>
      <c r="AC23" s="306"/>
      <c r="AD23" s="306"/>
      <c r="AE23" s="306"/>
      <c r="AF23" s="306"/>
      <c r="AG23" s="306"/>
    </row>
    <row r="24" spans="1:33">
      <c r="A24" s="306" t="s">
        <v>2578</v>
      </c>
      <c r="B24" s="306" t="s">
        <v>2652</v>
      </c>
      <c r="C24" s="323">
        <v>0</v>
      </c>
      <c r="D24" s="323">
        <v>0</v>
      </c>
      <c r="E24" s="323">
        <v>0</v>
      </c>
      <c r="F24" s="323"/>
      <c r="G24" s="323"/>
      <c r="H24" s="323"/>
      <c r="I24" s="323">
        <v>0</v>
      </c>
      <c r="J24" s="323">
        <v>0</v>
      </c>
      <c r="K24" s="306"/>
      <c r="L24" s="323">
        <v>0</v>
      </c>
      <c r="M24" s="323">
        <v>0</v>
      </c>
      <c r="N24" s="323">
        <v>0</v>
      </c>
      <c r="O24" s="323">
        <v>0</v>
      </c>
      <c r="P24" s="323">
        <v>0</v>
      </c>
      <c r="Q24" s="323">
        <v>0</v>
      </c>
      <c r="R24" s="323">
        <v>0</v>
      </c>
      <c r="S24" s="323">
        <v>0</v>
      </c>
      <c r="T24" s="323">
        <v>0</v>
      </c>
      <c r="U24" s="323">
        <v>0</v>
      </c>
      <c r="V24" s="323">
        <v>0</v>
      </c>
      <c r="W24" s="324" t="s">
        <v>465</v>
      </c>
      <c r="X24" s="323"/>
      <c r="Y24" s="323"/>
      <c r="Z24" s="323"/>
      <c r="AA24" s="323">
        <v>0</v>
      </c>
      <c r="AB24" s="306"/>
      <c r="AC24" s="306"/>
      <c r="AD24" s="306"/>
      <c r="AE24" s="306"/>
      <c r="AF24" s="306"/>
      <c r="AG24" s="306"/>
    </row>
    <row r="25" spans="1:33">
      <c r="A25" s="306" t="s">
        <v>2555</v>
      </c>
      <c r="B25" s="306" t="s">
        <v>2654</v>
      </c>
      <c r="C25" s="323">
        <v>64048</v>
      </c>
      <c r="D25" s="323">
        <v>19214.399999999998</v>
      </c>
      <c r="E25" s="323">
        <v>44833.600000000006</v>
      </c>
      <c r="F25" s="323"/>
      <c r="G25" s="323"/>
      <c r="H25" s="323"/>
      <c r="I25" s="323">
        <v>0</v>
      </c>
      <c r="J25" s="323">
        <v>0</v>
      </c>
      <c r="K25" s="306"/>
      <c r="L25" s="323">
        <v>6404.8000000000011</v>
      </c>
      <c r="M25" s="323">
        <v>6404.8000000000011</v>
      </c>
      <c r="N25" s="323">
        <v>6404.8000000000011</v>
      </c>
      <c r="O25" s="323">
        <v>6404.8000000000011</v>
      </c>
      <c r="P25" s="323">
        <v>6404.8000000000011</v>
      </c>
      <c r="Q25" s="323">
        <v>6404.8000000000011</v>
      </c>
      <c r="R25" s="323">
        <v>6404.8000000000011</v>
      </c>
      <c r="S25" s="323">
        <v>0</v>
      </c>
      <c r="T25" s="323">
        <v>0</v>
      </c>
      <c r="U25" s="323">
        <v>0</v>
      </c>
      <c r="V25" s="323">
        <v>44833.600000000013</v>
      </c>
      <c r="W25" s="324" t="s">
        <v>465</v>
      </c>
      <c r="X25" s="323">
        <v>97206</v>
      </c>
      <c r="Y25" s="323">
        <v>99557</v>
      </c>
      <c r="Z25" s="323">
        <v>95727</v>
      </c>
      <c r="AA25" s="323">
        <v>292490</v>
      </c>
      <c r="AB25" s="306"/>
      <c r="AC25" s="306"/>
      <c r="AD25" s="306"/>
      <c r="AE25" s="306"/>
      <c r="AF25" s="306"/>
      <c r="AG25" s="306"/>
    </row>
    <row r="26" spans="1:33">
      <c r="A26" s="306" t="s">
        <v>2416</v>
      </c>
      <c r="B26" s="306" t="s">
        <v>2656</v>
      </c>
      <c r="C26" s="323">
        <v>59764</v>
      </c>
      <c r="D26" s="323">
        <v>17929.2</v>
      </c>
      <c r="E26" s="323">
        <v>41834.800000000003</v>
      </c>
      <c r="F26" s="323"/>
      <c r="G26" s="323"/>
      <c r="H26" s="323"/>
      <c r="I26" s="323">
        <v>0</v>
      </c>
      <c r="J26" s="323">
        <v>0</v>
      </c>
      <c r="K26" s="306"/>
      <c r="L26" s="323">
        <v>5976.4000000000005</v>
      </c>
      <c r="M26" s="323">
        <v>5976.4000000000005</v>
      </c>
      <c r="N26" s="323">
        <v>5976.4000000000005</v>
      </c>
      <c r="O26" s="323">
        <v>5976.4000000000005</v>
      </c>
      <c r="P26" s="323">
        <v>5976.4000000000005</v>
      </c>
      <c r="Q26" s="323">
        <v>5976.4000000000005</v>
      </c>
      <c r="R26" s="323">
        <v>5976.4000000000005</v>
      </c>
      <c r="S26" s="323">
        <v>0</v>
      </c>
      <c r="T26" s="323">
        <v>0</v>
      </c>
      <c r="U26" s="323">
        <v>0</v>
      </c>
      <c r="V26" s="323">
        <v>41834.800000000003</v>
      </c>
      <c r="W26" s="324" t="s">
        <v>465</v>
      </c>
      <c r="X26" s="323">
        <v>47251</v>
      </c>
      <c r="Y26" s="323">
        <v>-15320</v>
      </c>
      <c r="Z26" s="323">
        <v>-16434</v>
      </c>
      <c r="AA26" s="323">
        <v>15497</v>
      </c>
      <c r="AB26" s="306"/>
      <c r="AC26" s="306"/>
      <c r="AD26" s="306"/>
      <c r="AE26" s="306"/>
      <c r="AF26" s="306"/>
      <c r="AG26" s="306"/>
    </row>
    <row r="27" spans="1:33">
      <c r="A27" s="306" t="s">
        <v>2417</v>
      </c>
      <c r="B27" s="306" t="s">
        <v>2658</v>
      </c>
      <c r="C27" s="323">
        <v>920078</v>
      </c>
      <c r="D27" s="323">
        <v>276023.39999999997</v>
      </c>
      <c r="E27" s="323">
        <v>644054.60000000009</v>
      </c>
      <c r="F27" s="323">
        <v>790078</v>
      </c>
      <c r="G27" s="323">
        <v>839689</v>
      </c>
      <c r="H27" s="323">
        <v>900766</v>
      </c>
      <c r="I27" s="323">
        <v>2530533</v>
      </c>
      <c r="J27" s="323">
        <v>253053.3</v>
      </c>
      <c r="K27" s="306"/>
      <c r="L27" s="323">
        <v>345061.1</v>
      </c>
      <c r="M27" s="323">
        <v>345061.1</v>
      </c>
      <c r="N27" s="323">
        <v>345061.1</v>
      </c>
      <c r="O27" s="323">
        <v>345061.1</v>
      </c>
      <c r="P27" s="323">
        <v>345061.1</v>
      </c>
      <c r="Q27" s="323">
        <v>345061.1</v>
      </c>
      <c r="R27" s="323">
        <v>345061.1</v>
      </c>
      <c r="S27" s="323">
        <v>253053.3</v>
      </c>
      <c r="T27" s="323">
        <v>253053.3</v>
      </c>
      <c r="U27" s="323">
        <v>253053.3</v>
      </c>
      <c r="V27" s="323">
        <v>3174587.5999999996</v>
      </c>
      <c r="W27" s="324" t="s">
        <v>465</v>
      </c>
      <c r="X27" s="323">
        <v>1356888</v>
      </c>
      <c r="Y27" s="323">
        <v>1301122</v>
      </c>
      <c r="Z27" s="323">
        <v>1183078</v>
      </c>
      <c r="AA27" s="323">
        <v>3841088</v>
      </c>
      <c r="AB27" s="306"/>
      <c r="AC27" s="306"/>
      <c r="AD27" s="306"/>
      <c r="AE27" s="306"/>
      <c r="AF27" s="306"/>
      <c r="AG27" s="306"/>
    </row>
    <row r="28" spans="1:33">
      <c r="A28" s="306" t="s">
        <v>2418</v>
      </c>
      <c r="B28" s="306" t="s">
        <v>2660</v>
      </c>
      <c r="C28" s="323">
        <v>38631</v>
      </c>
      <c r="D28" s="323">
        <v>11589.3</v>
      </c>
      <c r="E28" s="323">
        <v>27041.7</v>
      </c>
      <c r="F28" s="323">
        <v>1214</v>
      </c>
      <c r="G28" s="323">
        <v>1290</v>
      </c>
      <c r="H28" s="323">
        <v>1384</v>
      </c>
      <c r="I28" s="323">
        <v>3888</v>
      </c>
      <c r="J28" s="323">
        <v>388.8</v>
      </c>
      <c r="K28" s="306"/>
      <c r="L28" s="323">
        <v>4251.8999999999996</v>
      </c>
      <c r="M28" s="323">
        <v>4251.8999999999996</v>
      </c>
      <c r="N28" s="323">
        <v>4251.8999999999996</v>
      </c>
      <c r="O28" s="323">
        <v>4251.8999999999996</v>
      </c>
      <c r="P28" s="323">
        <v>4251.8999999999996</v>
      </c>
      <c r="Q28" s="323">
        <v>4251.8999999999996</v>
      </c>
      <c r="R28" s="323">
        <v>4251.8999999999996</v>
      </c>
      <c r="S28" s="323">
        <v>388.8</v>
      </c>
      <c r="T28" s="323">
        <v>388.8</v>
      </c>
      <c r="U28" s="323">
        <v>388.8</v>
      </c>
      <c r="V28" s="323">
        <v>30929.7</v>
      </c>
      <c r="W28" s="324" t="s">
        <v>465</v>
      </c>
      <c r="X28" s="323">
        <v>58630</v>
      </c>
      <c r="Y28" s="323">
        <v>58976</v>
      </c>
      <c r="Z28" s="323">
        <v>54456</v>
      </c>
      <c r="AA28" s="323">
        <v>172062</v>
      </c>
      <c r="AB28" s="306"/>
      <c r="AC28" s="306"/>
      <c r="AD28" s="306"/>
      <c r="AE28" s="306"/>
      <c r="AF28" s="306"/>
      <c r="AG28" s="306"/>
    </row>
    <row r="29" spans="1:33">
      <c r="A29" s="306" t="s">
        <v>2419</v>
      </c>
      <c r="B29" s="306" t="s">
        <v>2662</v>
      </c>
      <c r="C29" s="323">
        <v>493906</v>
      </c>
      <c r="D29" s="323">
        <v>148171.79999999999</v>
      </c>
      <c r="E29" s="323">
        <v>345734.2</v>
      </c>
      <c r="F29" s="323">
        <v>99675</v>
      </c>
      <c r="G29" s="323">
        <v>105934</v>
      </c>
      <c r="H29" s="323">
        <v>113640</v>
      </c>
      <c r="I29" s="323">
        <v>319249</v>
      </c>
      <c r="J29" s="323">
        <v>31924.9</v>
      </c>
      <c r="K29" s="306"/>
      <c r="L29" s="323">
        <v>81315.5</v>
      </c>
      <c r="M29" s="323">
        <v>81315.5</v>
      </c>
      <c r="N29" s="323">
        <v>81315.5</v>
      </c>
      <c r="O29" s="323">
        <v>81315.5</v>
      </c>
      <c r="P29" s="323">
        <v>81315.5</v>
      </c>
      <c r="Q29" s="323">
        <v>81315.5</v>
      </c>
      <c r="R29" s="323">
        <v>81315.5</v>
      </c>
      <c r="S29" s="323">
        <v>31924.9</v>
      </c>
      <c r="T29" s="323">
        <v>31924.9</v>
      </c>
      <c r="U29" s="323">
        <v>31924.9</v>
      </c>
      <c r="V29" s="323">
        <v>664983.20000000007</v>
      </c>
      <c r="W29" s="324" t="s">
        <v>465</v>
      </c>
      <c r="X29" s="323">
        <v>498085</v>
      </c>
      <c r="Y29" s="323">
        <v>142360</v>
      </c>
      <c r="Z29" s="323">
        <v>132066</v>
      </c>
      <c r="AA29" s="323">
        <v>772511</v>
      </c>
      <c r="AB29" s="306"/>
      <c r="AC29" s="306"/>
      <c r="AD29" s="306"/>
      <c r="AE29" s="306"/>
      <c r="AF29" s="306"/>
      <c r="AG29" s="306"/>
    </row>
    <row r="30" spans="1:33">
      <c r="A30" s="306" t="s">
        <v>2420</v>
      </c>
      <c r="B30" s="306" t="s">
        <v>2664</v>
      </c>
      <c r="C30" s="323">
        <v>137495</v>
      </c>
      <c r="D30" s="323">
        <v>41248.5</v>
      </c>
      <c r="E30" s="323">
        <v>96246.5</v>
      </c>
      <c r="F30" s="323"/>
      <c r="G30" s="323"/>
      <c r="H30" s="323"/>
      <c r="I30" s="323">
        <v>0</v>
      </c>
      <c r="J30" s="323">
        <v>0</v>
      </c>
      <c r="K30" s="306"/>
      <c r="L30" s="323">
        <v>13749.5</v>
      </c>
      <c r="M30" s="323">
        <v>13749.5</v>
      </c>
      <c r="N30" s="323">
        <v>13749.5</v>
      </c>
      <c r="O30" s="323">
        <v>13749.5</v>
      </c>
      <c r="P30" s="323">
        <v>13749.5</v>
      </c>
      <c r="Q30" s="323">
        <v>13749.5</v>
      </c>
      <c r="R30" s="323">
        <v>13749.5</v>
      </c>
      <c r="S30" s="323">
        <v>0</v>
      </c>
      <c r="T30" s="323">
        <v>0</v>
      </c>
      <c r="U30" s="323">
        <v>0</v>
      </c>
      <c r="V30" s="323">
        <v>96246.5</v>
      </c>
      <c r="W30" s="324" t="s">
        <v>465</v>
      </c>
      <c r="X30" s="323">
        <v>208675</v>
      </c>
      <c r="Y30" s="323">
        <v>209212</v>
      </c>
      <c r="Z30" s="323">
        <v>192044</v>
      </c>
      <c r="AA30" s="323">
        <v>609931</v>
      </c>
      <c r="AB30" s="306"/>
      <c r="AC30" s="306"/>
      <c r="AD30" s="306"/>
      <c r="AE30" s="306"/>
      <c r="AF30" s="306"/>
      <c r="AG30" s="306"/>
    </row>
    <row r="31" spans="1:33">
      <c r="A31" s="306" t="s">
        <v>2421</v>
      </c>
      <c r="B31" s="306" t="s">
        <v>2666</v>
      </c>
      <c r="C31" s="323">
        <v>0</v>
      </c>
      <c r="D31" s="323">
        <v>0</v>
      </c>
      <c r="E31" s="323">
        <v>0</v>
      </c>
      <c r="F31" s="323"/>
      <c r="G31" s="323"/>
      <c r="H31" s="323"/>
      <c r="I31" s="323">
        <v>0</v>
      </c>
      <c r="J31" s="323">
        <v>0</v>
      </c>
      <c r="K31" s="306"/>
      <c r="L31" s="323">
        <v>0</v>
      </c>
      <c r="M31" s="323">
        <v>0</v>
      </c>
      <c r="N31" s="323">
        <v>0</v>
      </c>
      <c r="O31" s="323">
        <v>0</v>
      </c>
      <c r="P31" s="323">
        <v>0</v>
      </c>
      <c r="Q31" s="323">
        <v>0</v>
      </c>
      <c r="R31" s="323">
        <v>0</v>
      </c>
      <c r="S31" s="323">
        <v>0</v>
      </c>
      <c r="T31" s="323">
        <v>0</v>
      </c>
      <c r="U31" s="323">
        <v>0</v>
      </c>
      <c r="V31" s="323">
        <v>0</v>
      </c>
      <c r="W31" s="324" t="s">
        <v>465</v>
      </c>
      <c r="X31" s="323"/>
      <c r="Y31" s="323"/>
      <c r="Z31" s="323"/>
      <c r="AA31" s="323">
        <v>0</v>
      </c>
      <c r="AB31" s="306"/>
      <c r="AC31" s="306"/>
      <c r="AD31" s="306"/>
      <c r="AE31" s="306"/>
      <c r="AF31" s="306"/>
      <c r="AG31" s="306"/>
    </row>
    <row r="32" spans="1:33">
      <c r="A32" s="306" t="s">
        <v>2422</v>
      </c>
      <c r="B32" s="306" t="s">
        <v>2668</v>
      </c>
      <c r="C32" s="323">
        <v>0</v>
      </c>
      <c r="D32" s="323">
        <v>0</v>
      </c>
      <c r="E32" s="323">
        <v>0</v>
      </c>
      <c r="F32" s="323"/>
      <c r="G32" s="323"/>
      <c r="H32" s="323"/>
      <c r="I32" s="323">
        <v>0</v>
      </c>
      <c r="J32" s="323">
        <v>0</v>
      </c>
      <c r="K32" s="306"/>
      <c r="L32" s="323">
        <v>0</v>
      </c>
      <c r="M32" s="323">
        <v>0</v>
      </c>
      <c r="N32" s="323">
        <v>0</v>
      </c>
      <c r="O32" s="323">
        <v>0</v>
      </c>
      <c r="P32" s="323">
        <v>0</v>
      </c>
      <c r="Q32" s="323">
        <v>0</v>
      </c>
      <c r="R32" s="323">
        <v>0</v>
      </c>
      <c r="S32" s="323">
        <v>0</v>
      </c>
      <c r="T32" s="323">
        <v>0</v>
      </c>
      <c r="U32" s="323">
        <v>0</v>
      </c>
      <c r="V32" s="323">
        <v>0</v>
      </c>
      <c r="W32" s="324" t="s">
        <v>465</v>
      </c>
      <c r="X32" s="323"/>
      <c r="Y32" s="323"/>
      <c r="Z32" s="323"/>
      <c r="AA32" s="323">
        <v>0</v>
      </c>
      <c r="AB32" s="306"/>
      <c r="AC32" s="306"/>
      <c r="AD32" s="306"/>
      <c r="AE32" s="306"/>
      <c r="AF32" s="306"/>
      <c r="AG32" s="306"/>
    </row>
    <row r="33" spans="1:33">
      <c r="A33" s="306" t="s">
        <v>2423</v>
      </c>
      <c r="B33" s="306" t="s">
        <v>2670</v>
      </c>
      <c r="C33" s="323">
        <v>0</v>
      </c>
      <c r="D33" s="323">
        <v>0</v>
      </c>
      <c r="E33" s="323">
        <v>0</v>
      </c>
      <c r="F33" s="323"/>
      <c r="G33" s="323"/>
      <c r="H33" s="323"/>
      <c r="I33" s="323">
        <v>0</v>
      </c>
      <c r="J33" s="323">
        <v>0</v>
      </c>
      <c r="K33" s="306"/>
      <c r="L33" s="323">
        <v>0</v>
      </c>
      <c r="M33" s="323">
        <v>0</v>
      </c>
      <c r="N33" s="323">
        <v>0</v>
      </c>
      <c r="O33" s="323">
        <v>0</v>
      </c>
      <c r="P33" s="323">
        <v>0</v>
      </c>
      <c r="Q33" s="323">
        <v>0</v>
      </c>
      <c r="R33" s="323">
        <v>0</v>
      </c>
      <c r="S33" s="323">
        <v>0</v>
      </c>
      <c r="T33" s="323">
        <v>0</v>
      </c>
      <c r="U33" s="323">
        <v>0</v>
      </c>
      <c r="V33" s="323">
        <v>0</v>
      </c>
      <c r="W33" s="324" t="s">
        <v>465</v>
      </c>
      <c r="X33" s="323"/>
      <c r="Y33" s="323"/>
      <c r="Z33" s="323"/>
      <c r="AA33" s="323">
        <v>0</v>
      </c>
      <c r="AB33" s="306"/>
      <c r="AC33" s="306"/>
      <c r="AD33" s="306"/>
      <c r="AE33" s="306"/>
      <c r="AF33" s="306"/>
      <c r="AG33" s="306"/>
    </row>
    <row r="34" spans="1:33">
      <c r="A34" s="306" t="s">
        <v>2424</v>
      </c>
      <c r="B34" s="306" t="s">
        <v>2672</v>
      </c>
      <c r="C34" s="323">
        <v>0</v>
      </c>
      <c r="D34" s="323">
        <v>0</v>
      </c>
      <c r="E34" s="323">
        <v>0</v>
      </c>
      <c r="F34" s="323"/>
      <c r="G34" s="323"/>
      <c r="H34" s="323"/>
      <c r="I34" s="323">
        <v>0</v>
      </c>
      <c r="J34" s="323">
        <v>0</v>
      </c>
      <c r="K34" s="306"/>
      <c r="L34" s="323">
        <v>0</v>
      </c>
      <c r="M34" s="323">
        <v>0</v>
      </c>
      <c r="N34" s="323">
        <v>0</v>
      </c>
      <c r="O34" s="323">
        <v>0</v>
      </c>
      <c r="P34" s="323">
        <v>0</v>
      </c>
      <c r="Q34" s="323">
        <v>0</v>
      </c>
      <c r="R34" s="323">
        <v>0</v>
      </c>
      <c r="S34" s="323">
        <v>0</v>
      </c>
      <c r="T34" s="323">
        <v>0</v>
      </c>
      <c r="U34" s="323">
        <v>0</v>
      </c>
      <c r="V34" s="323">
        <v>0</v>
      </c>
      <c r="W34" s="324" t="s">
        <v>465</v>
      </c>
      <c r="X34" s="323"/>
      <c r="Y34" s="323"/>
      <c r="Z34" s="323"/>
      <c r="AA34" s="323">
        <v>0</v>
      </c>
      <c r="AB34" s="306"/>
      <c r="AC34" s="306"/>
      <c r="AD34" s="306"/>
      <c r="AE34" s="306"/>
      <c r="AF34" s="306"/>
      <c r="AG34" s="306"/>
    </row>
    <row r="35" spans="1:33">
      <c r="A35" s="306" t="s">
        <v>2579</v>
      </c>
      <c r="B35" s="306" t="s">
        <v>2674</v>
      </c>
      <c r="C35" s="323">
        <v>0</v>
      </c>
      <c r="D35" s="323">
        <v>0</v>
      </c>
      <c r="E35" s="323">
        <v>0</v>
      </c>
      <c r="F35" s="323"/>
      <c r="G35" s="323"/>
      <c r="H35" s="323"/>
      <c r="I35" s="323">
        <v>0</v>
      </c>
      <c r="J35" s="323">
        <v>0</v>
      </c>
      <c r="K35" s="306"/>
      <c r="L35" s="323">
        <v>0</v>
      </c>
      <c r="M35" s="323">
        <v>0</v>
      </c>
      <c r="N35" s="323">
        <v>0</v>
      </c>
      <c r="O35" s="323">
        <v>0</v>
      </c>
      <c r="P35" s="323">
        <v>0</v>
      </c>
      <c r="Q35" s="323">
        <v>0</v>
      </c>
      <c r="R35" s="323">
        <v>0</v>
      </c>
      <c r="S35" s="323">
        <v>0</v>
      </c>
      <c r="T35" s="323">
        <v>0</v>
      </c>
      <c r="U35" s="323">
        <v>0</v>
      </c>
      <c r="V35" s="323">
        <v>0</v>
      </c>
      <c r="W35" s="324" t="s">
        <v>465</v>
      </c>
      <c r="X35" s="323"/>
      <c r="Y35" s="323"/>
      <c r="Z35" s="323"/>
      <c r="AA35" s="323">
        <v>0</v>
      </c>
      <c r="AB35" s="306"/>
      <c r="AC35" s="306"/>
      <c r="AD35" s="306"/>
      <c r="AE35" s="306"/>
      <c r="AF35" s="306"/>
      <c r="AG35" s="306"/>
    </row>
    <row r="36" spans="1:33">
      <c r="A36" s="306" t="s">
        <v>2580</v>
      </c>
      <c r="B36" s="306" t="s">
        <v>2676</v>
      </c>
      <c r="C36" s="323">
        <v>0</v>
      </c>
      <c r="D36" s="323">
        <v>0</v>
      </c>
      <c r="E36" s="323">
        <v>0</v>
      </c>
      <c r="F36" s="323"/>
      <c r="G36" s="323"/>
      <c r="H36" s="323"/>
      <c r="I36" s="323">
        <v>0</v>
      </c>
      <c r="J36" s="323">
        <v>0</v>
      </c>
      <c r="K36" s="306"/>
      <c r="L36" s="323">
        <v>0</v>
      </c>
      <c r="M36" s="323">
        <v>0</v>
      </c>
      <c r="N36" s="323">
        <v>0</v>
      </c>
      <c r="O36" s="323">
        <v>0</v>
      </c>
      <c r="P36" s="323">
        <v>0</v>
      </c>
      <c r="Q36" s="323">
        <v>0</v>
      </c>
      <c r="R36" s="323">
        <v>0</v>
      </c>
      <c r="S36" s="323">
        <v>0</v>
      </c>
      <c r="T36" s="323">
        <v>0</v>
      </c>
      <c r="U36" s="323">
        <v>0</v>
      </c>
      <c r="V36" s="323">
        <v>0</v>
      </c>
      <c r="W36" s="324" t="s">
        <v>465</v>
      </c>
      <c r="X36" s="323"/>
      <c r="Y36" s="323"/>
      <c r="Z36" s="323"/>
      <c r="AA36" s="323">
        <v>0</v>
      </c>
      <c r="AB36" s="306"/>
      <c r="AC36" s="306"/>
      <c r="AD36" s="306"/>
      <c r="AE36" s="306"/>
      <c r="AF36" s="306"/>
      <c r="AG36" s="306"/>
    </row>
    <row r="37" spans="1:33">
      <c r="A37" s="306" t="s">
        <v>2581</v>
      </c>
      <c r="B37" s="306" t="s">
        <v>2678</v>
      </c>
      <c r="C37" s="323">
        <v>0</v>
      </c>
      <c r="D37" s="323">
        <v>0</v>
      </c>
      <c r="E37" s="323">
        <v>0</v>
      </c>
      <c r="F37" s="323"/>
      <c r="G37" s="323"/>
      <c r="H37" s="323"/>
      <c r="I37" s="323">
        <v>0</v>
      </c>
      <c r="J37" s="323">
        <v>0</v>
      </c>
      <c r="K37" s="306"/>
      <c r="L37" s="323">
        <v>0</v>
      </c>
      <c r="M37" s="323">
        <v>0</v>
      </c>
      <c r="N37" s="323">
        <v>0</v>
      </c>
      <c r="O37" s="323">
        <v>0</v>
      </c>
      <c r="P37" s="323">
        <v>0</v>
      </c>
      <c r="Q37" s="323">
        <v>0</v>
      </c>
      <c r="R37" s="323">
        <v>0</v>
      </c>
      <c r="S37" s="323">
        <v>0</v>
      </c>
      <c r="T37" s="323">
        <v>0</v>
      </c>
      <c r="U37" s="323">
        <v>0</v>
      </c>
      <c r="V37" s="323">
        <v>0</v>
      </c>
      <c r="W37" s="324" t="s">
        <v>465</v>
      </c>
      <c r="X37" s="323"/>
      <c r="Y37" s="323"/>
      <c r="Z37" s="323"/>
      <c r="AA37" s="323">
        <v>0</v>
      </c>
      <c r="AB37" s="306"/>
      <c r="AC37" s="306"/>
      <c r="AD37" s="306"/>
      <c r="AE37" s="306"/>
      <c r="AF37" s="306"/>
      <c r="AG37" s="306"/>
    </row>
    <row r="38" spans="1:33">
      <c r="A38" s="306" t="s">
        <v>3012</v>
      </c>
      <c r="B38" s="306" t="s">
        <v>2499</v>
      </c>
      <c r="C38" s="323">
        <v>0</v>
      </c>
      <c r="D38" s="323">
        <v>0</v>
      </c>
      <c r="E38" s="323">
        <v>0</v>
      </c>
      <c r="F38" s="323"/>
      <c r="G38" s="323"/>
      <c r="H38" s="323"/>
      <c r="I38" s="323">
        <v>0</v>
      </c>
      <c r="J38" s="323">
        <v>0</v>
      </c>
      <c r="K38" s="306"/>
      <c r="L38" s="323">
        <v>0</v>
      </c>
      <c r="M38" s="323">
        <v>0</v>
      </c>
      <c r="N38" s="323">
        <v>0</v>
      </c>
      <c r="O38" s="323">
        <v>0</v>
      </c>
      <c r="P38" s="323">
        <v>0</v>
      </c>
      <c r="Q38" s="323">
        <v>0</v>
      </c>
      <c r="R38" s="323">
        <v>0</v>
      </c>
      <c r="S38" s="323">
        <v>0</v>
      </c>
      <c r="T38" s="323">
        <v>0</v>
      </c>
      <c r="U38" s="323">
        <v>0</v>
      </c>
      <c r="V38" s="323">
        <v>0</v>
      </c>
      <c r="W38" s="324" t="s">
        <v>465</v>
      </c>
      <c r="X38" s="323"/>
      <c r="Y38" s="323"/>
      <c r="Z38" s="323"/>
      <c r="AA38" s="323">
        <v>0</v>
      </c>
      <c r="AB38" s="306"/>
      <c r="AC38" s="306"/>
      <c r="AD38" s="306"/>
      <c r="AE38" s="306"/>
      <c r="AF38" s="306"/>
      <c r="AG38" s="306"/>
    </row>
    <row r="39" spans="1:33">
      <c r="A39" s="306" t="s">
        <v>2267</v>
      </c>
      <c r="B39" s="306" t="s">
        <v>2714</v>
      </c>
      <c r="C39" s="323">
        <v>1275412</v>
      </c>
      <c r="D39" s="323">
        <v>382623.6</v>
      </c>
      <c r="E39" s="323">
        <v>892788.4</v>
      </c>
      <c r="F39" s="323">
        <v>3498</v>
      </c>
      <c r="G39" s="323">
        <v>3718</v>
      </c>
      <c r="H39" s="323">
        <v>3988</v>
      </c>
      <c r="I39" s="323">
        <v>11204</v>
      </c>
      <c r="J39" s="323">
        <v>1120.4000000000001</v>
      </c>
      <c r="K39" s="306"/>
      <c r="L39" s="323">
        <v>128661.59999999999</v>
      </c>
      <c r="M39" s="323">
        <v>128661.59999999999</v>
      </c>
      <c r="N39" s="323">
        <v>128661.59999999999</v>
      </c>
      <c r="O39" s="323">
        <v>128661.59999999999</v>
      </c>
      <c r="P39" s="323">
        <v>128661.59999999999</v>
      </c>
      <c r="Q39" s="323">
        <v>128661.59999999999</v>
      </c>
      <c r="R39" s="323">
        <v>128661.59999999999</v>
      </c>
      <c r="S39" s="323">
        <v>1120.4000000000001</v>
      </c>
      <c r="T39" s="323">
        <v>1120.4000000000001</v>
      </c>
      <c r="U39" s="323">
        <v>1120.4000000000001</v>
      </c>
      <c r="V39" s="323">
        <v>903992.4</v>
      </c>
      <c r="W39" s="324" t="s">
        <v>2266</v>
      </c>
      <c r="X39" s="323">
        <v>413603</v>
      </c>
      <c r="Y39" s="323">
        <v>734399</v>
      </c>
      <c r="Z39" s="323">
        <v>1605368</v>
      </c>
      <c r="AA39" s="323">
        <v>2753370</v>
      </c>
      <c r="AB39" s="306"/>
      <c r="AC39" s="306"/>
      <c r="AD39" s="306"/>
      <c r="AE39" s="306"/>
      <c r="AF39" s="306"/>
      <c r="AG39" s="306"/>
    </row>
    <row r="40" spans="1:33">
      <c r="A40" s="306" t="s">
        <v>2433</v>
      </c>
      <c r="B40" s="306" t="s">
        <v>2715</v>
      </c>
      <c r="C40" s="323"/>
      <c r="D40" s="323">
        <v>0</v>
      </c>
      <c r="E40" s="323">
        <v>0</v>
      </c>
      <c r="F40" s="323"/>
      <c r="G40" s="323"/>
      <c r="H40" s="323"/>
      <c r="I40" s="323">
        <v>0</v>
      </c>
      <c r="J40" s="323">
        <v>0</v>
      </c>
      <c r="K40" s="306"/>
      <c r="L40" s="323">
        <v>0</v>
      </c>
      <c r="M40" s="323">
        <v>0</v>
      </c>
      <c r="N40" s="323">
        <v>0</v>
      </c>
      <c r="O40" s="323">
        <v>0</v>
      </c>
      <c r="P40" s="323">
        <v>0</v>
      </c>
      <c r="Q40" s="323">
        <v>0</v>
      </c>
      <c r="R40" s="323">
        <v>0</v>
      </c>
      <c r="S40" s="323">
        <v>0</v>
      </c>
      <c r="T40" s="323">
        <v>0</v>
      </c>
      <c r="U40" s="323">
        <v>0</v>
      </c>
      <c r="V40" s="323">
        <v>0</v>
      </c>
      <c r="W40" s="324" t="s">
        <v>2266</v>
      </c>
      <c r="X40" s="323">
        <v>-648</v>
      </c>
      <c r="Y40" s="323">
        <v>-1666</v>
      </c>
      <c r="Z40" s="323">
        <v>-1787</v>
      </c>
      <c r="AA40" s="323">
        <v>-4101</v>
      </c>
      <c r="AB40" s="306"/>
      <c r="AC40" s="306"/>
      <c r="AD40" s="306"/>
      <c r="AE40" s="306"/>
      <c r="AF40" s="306"/>
      <c r="AG40" s="306"/>
    </row>
    <row r="41" spans="1:33">
      <c r="A41" s="306" t="s">
        <v>2434</v>
      </c>
      <c r="B41" s="306" t="s">
        <v>2716</v>
      </c>
      <c r="C41" s="323"/>
      <c r="D41" s="323">
        <v>0</v>
      </c>
      <c r="E41" s="323">
        <v>0</v>
      </c>
      <c r="F41" s="323"/>
      <c r="G41" s="323"/>
      <c r="H41" s="323"/>
      <c r="I41" s="323">
        <v>0</v>
      </c>
      <c r="J41" s="323">
        <v>0</v>
      </c>
      <c r="K41" s="306"/>
      <c r="L41" s="323">
        <v>0</v>
      </c>
      <c r="M41" s="323">
        <v>0</v>
      </c>
      <c r="N41" s="323">
        <v>0</v>
      </c>
      <c r="O41" s="323">
        <v>0</v>
      </c>
      <c r="P41" s="323">
        <v>0</v>
      </c>
      <c r="Q41" s="323">
        <v>0</v>
      </c>
      <c r="R41" s="323">
        <v>0</v>
      </c>
      <c r="S41" s="323">
        <v>0</v>
      </c>
      <c r="T41" s="323">
        <v>0</v>
      </c>
      <c r="U41" s="323">
        <v>0</v>
      </c>
      <c r="V41" s="323">
        <v>0</v>
      </c>
      <c r="W41" s="324" t="s">
        <v>2266</v>
      </c>
      <c r="X41" s="323">
        <v>-7949</v>
      </c>
      <c r="Y41" s="323">
        <v>-20438</v>
      </c>
      <c r="Z41" s="323">
        <v>-21925</v>
      </c>
      <c r="AA41" s="323">
        <v>-50312</v>
      </c>
      <c r="AB41" s="306"/>
      <c r="AC41" s="306"/>
      <c r="AD41" s="306"/>
      <c r="AE41" s="306"/>
      <c r="AF41" s="306"/>
      <c r="AG41" s="306"/>
    </row>
    <row r="42" spans="1:33">
      <c r="A42" s="306" t="s">
        <v>2435</v>
      </c>
      <c r="B42" s="306" t="s">
        <v>2717</v>
      </c>
      <c r="C42" s="323"/>
      <c r="D42" s="323">
        <v>0</v>
      </c>
      <c r="E42" s="323">
        <v>0</v>
      </c>
      <c r="F42" s="323"/>
      <c r="G42" s="323"/>
      <c r="H42" s="323"/>
      <c r="I42" s="323">
        <v>0</v>
      </c>
      <c r="J42" s="323">
        <v>0</v>
      </c>
      <c r="K42" s="306"/>
      <c r="L42" s="323">
        <v>0</v>
      </c>
      <c r="M42" s="323">
        <v>0</v>
      </c>
      <c r="N42" s="323">
        <v>0</v>
      </c>
      <c r="O42" s="323">
        <v>0</v>
      </c>
      <c r="P42" s="323">
        <v>0</v>
      </c>
      <c r="Q42" s="323">
        <v>0</v>
      </c>
      <c r="R42" s="323">
        <v>0</v>
      </c>
      <c r="S42" s="323">
        <v>0</v>
      </c>
      <c r="T42" s="323">
        <v>0</v>
      </c>
      <c r="U42" s="323">
        <v>0</v>
      </c>
      <c r="V42" s="323">
        <v>0</v>
      </c>
      <c r="W42" s="324" t="s">
        <v>2266</v>
      </c>
      <c r="X42" s="323"/>
      <c r="Y42" s="323"/>
      <c r="Z42" s="323"/>
      <c r="AA42" s="323">
        <v>0</v>
      </c>
      <c r="AB42" s="306"/>
      <c r="AC42" s="306"/>
      <c r="AD42" s="306"/>
      <c r="AE42" s="306"/>
      <c r="AF42" s="306"/>
      <c r="AG42" s="306"/>
    </row>
    <row r="43" spans="1:33">
      <c r="A43" s="306" t="s">
        <v>2436</v>
      </c>
      <c r="B43" s="306" t="s">
        <v>2718</v>
      </c>
      <c r="C43" s="323"/>
      <c r="D43" s="323">
        <v>0</v>
      </c>
      <c r="E43" s="323">
        <v>0</v>
      </c>
      <c r="F43" s="323"/>
      <c r="G43" s="323"/>
      <c r="H43" s="323"/>
      <c r="I43" s="323">
        <v>0</v>
      </c>
      <c r="J43" s="323">
        <v>0</v>
      </c>
      <c r="K43" s="306"/>
      <c r="L43" s="323">
        <v>0</v>
      </c>
      <c r="M43" s="323">
        <v>0</v>
      </c>
      <c r="N43" s="323">
        <v>0</v>
      </c>
      <c r="O43" s="323">
        <v>0</v>
      </c>
      <c r="P43" s="323">
        <v>0</v>
      </c>
      <c r="Q43" s="323">
        <v>0</v>
      </c>
      <c r="R43" s="323">
        <v>0</v>
      </c>
      <c r="S43" s="323">
        <v>0</v>
      </c>
      <c r="T43" s="323">
        <v>0</v>
      </c>
      <c r="U43" s="323">
        <v>0</v>
      </c>
      <c r="V43" s="323">
        <v>0</v>
      </c>
      <c r="W43" s="324" t="s">
        <v>2266</v>
      </c>
      <c r="X43" s="323"/>
      <c r="Y43" s="323"/>
      <c r="Z43" s="323"/>
      <c r="AA43" s="323">
        <v>0</v>
      </c>
      <c r="AB43" s="306"/>
      <c r="AC43" s="306"/>
      <c r="AD43" s="306"/>
      <c r="AE43" s="306"/>
      <c r="AF43" s="306"/>
      <c r="AG43" s="306"/>
    </row>
    <row r="44" spans="1:33">
      <c r="A44" s="306" t="s">
        <v>2437</v>
      </c>
      <c r="B44" s="306" t="s">
        <v>2719</v>
      </c>
      <c r="C44" s="323"/>
      <c r="D44" s="323">
        <v>0</v>
      </c>
      <c r="E44" s="323">
        <v>0</v>
      </c>
      <c r="F44" s="323"/>
      <c r="G44" s="323"/>
      <c r="H44" s="323"/>
      <c r="I44" s="323">
        <v>0</v>
      </c>
      <c r="J44" s="323">
        <v>0</v>
      </c>
      <c r="K44" s="306"/>
      <c r="L44" s="323">
        <v>0</v>
      </c>
      <c r="M44" s="323">
        <v>0</v>
      </c>
      <c r="N44" s="323">
        <v>0</v>
      </c>
      <c r="O44" s="323">
        <v>0</v>
      </c>
      <c r="P44" s="323">
        <v>0</v>
      </c>
      <c r="Q44" s="323">
        <v>0</v>
      </c>
      <c r="R44" s="323">
        <v>0</v>
      </c>
      <c r="S44" s="323">
        <v>0</v>
      </c>
      <c r="T44" s="323">
        <v>0</v>
      </c>
      <c r="U44" s="323">
        <v>0</v>
      </c>
      <c r="V44" s="323">
        <v>0</v>
      </c>
      <c r="W44" s="324" t="s">
        <v>2266</v>
      </c>
      <c r="X44" s="323"/>
      <c r="Y44" s="323"/>
      <c r="Z44" s="323"/>
      <c r="AA44" s="323">
        <v>0</v>
      </c>
      <c r="AB44" s="306"/>
      <c r="AC44" s="306"/>
      <c r="AD44" s="306"/>
      <c r="AE44" s="306"/>
      <c r="AF44" s="306"/>
      <c r="AG44" s="306"/>
    </row>
    <row r="45" spans="1:33">
      <c r="A45" s="306" t="s">
        <v>2438</v>
      </c>
      <c r="B45" s="306" t="s">
        <v>2720</v>
      </c>
      <c r="C45" s="323"/>
      <c r="D45" s="323">
        <v>0</v>
      </c>
      <c r="E45" s="323">
        <v>0</v>
      </c>
      <c r="F45" s="323"/>
      <c r="G45" s="323"/>
      <c r="H45" s="323"/>
      <c r="I45" s="323">
        <v>0</v>
      </c>
      <c r="J45" s="323">
        <v>0</v>
      </c>
      <c r="K45" s="306"/>
      <c r="L45" s="323">
        <v>0</v>
      </c>
      <c r="M45" s="323">
        <v>0</v>
      </c>
      <c r="N45" s="323">
        <v>0</v>
      </c>
      <c r="O45" s="323">
        <v>0</v>
      </c>
      <c r="P45" s="323">
        <v>0</v>
      </c>
      <c r="Q45" s="323">
        <v>0</v>
      </c>
      <c r="R45" s="323">
        <v>0</v>
      </c>
      <c r="S45" s="323">
        <v>0</v>
      </c>
      <c r="T45" s="323">
        <v>0</v>
      </c>
      <c r="U45" s="323">
        <v>0</v>
      </c>
      <c r="V45" s="323">
        <v>0</v>
      </c>
      <c r="W45" s="324" t="s">
        <v>2266</v>
      </c>
      <c r="X45" s="323"/>
      <c r="Y45" s="323"/>
      <c r="Z45" s="323"/>
      <c r="AA45" s="323">
        <v>0</v>
      </c>
      <c r="AB45" s="306"/>
      <c r="AC45" s="306"/>
      <c r="AD45" s="306"/>
      <c r="AE45" s="306"/>
      <c r="AF45" s="306"/>
      <c r="AG45" s="306"/>
    </row>
    <row r="46" spans="1:33">
      <c r="A46" s="306" t="s">
        <v>2409</v>
      </c>
      <c r="B46" s="306" t="s">
        <v>2721</v>
      </c>
      <c r="C46" s="323">
        <v>37864</v>
      </c>
      <c r="D46" s="323">
        <v>11359.199999999999</v>
      </c>
      <c r="E46" s="323">
        <v>26504.800000000003</v>
      </c>
      <c r="F46" s="323">
        <v>46636</v>
      </c>
      <c r="G46" s="323">
        <v>139886</v>
      </c>
      <c r="H46" s="323">
        <v>252981</v>
      </c>
      <c r="I46" s="323">
        <v>439503</v>
      </c>
      <c r="J46" s="323">
        <v>43950.3</v>
      </c>
      <c r="K46" s="306"/>
      <c r="L46" s="323">
        <v>47736.700000000004</v>
      </c>
      <c r="M46" s="323">
        <v>47736.700000000004</v>
      </c>
      <c r="N46" s="323">
        <v>47736.700000000004</v>
      </c>
      <c r="O46" s="323">
        <v>47736.700000000004</v>
      </c>
      <c r="P46" s="323">
        <v>47736.700000000004</v>
      </c>
      <c r="Q46" s="323">
        <v>47736.700000000004</v>
      </c>
      <c r="R46" s="323">
        <v>47736.700000000004</v>
      </c>
      <c r="S46" s="323">
        <v>43950.3</v>
      </c>
      <c r="T46" s="323">
        <v>43950.3</v>
      </c>
      <c r="U46" s="323">
        <v>43950.3</v>
      </c>
      <c r="V46" s="323">
        <v>466007.8</v>
      </c>
      <c r="W46" s="324" t="s">
        <v>2266</v>
      </c>
      <c r="X46" s="323">
        <v>67585</v>
      </c>
      <c r="Y46" s="323">
        <v>149081</v>
      </c>
      <c r="Z46" s="323">
        <v>222020</v>
      </c>
      <c r="AA46" s="323">
        <v>438686</v>
      </c>
      <c r="AB46" s="306"/>
      <c r="AC46" s="306"/>
      <c r="AD46" s="306"/>
      <c r="AE46" s="306"/>
      <c r="AF46" s="306"/>
      <c r="AG46" s="306"/>
    </row>
    <row r="47" spans="1:33">
      <c r="A47" s="306" t="s">
        <v>2439</v>
      </c>
      <c r="B47" s="306" t="s">
        <v>2722</v>
      </c>
      <c r="C47" s="323"/>
      <c r="D47" s="323">
        <v>0</v>
      </c>
      <c r="E47" s="323">
        <v>0</v>
      </c>
      <c r="F47" s="323"/>
      <c r="G47" s="323"/>
      <c r="H47" s="323"/>
      <c r="I47" s="323">
        <v>0</v>
      </c>
      <c r="J47" s="323">
        <v>0</v>
      </c>
      <c r="K47" s="306"/>
      <c r="L47" s="323">
        <v>0</v>
      </c>
      <c r="M47" s="323">
        <v>0</v>
      </c>
      <c r="N47" s="323">
        <v>0</v>
      </c>
      <c r="O47" s="323">
        <v>0</v>
      </c>
      <c r="P47" s="323">
        <v>0</v>
      </c>
      <c r="Q47" s="323">
        <v>0</v>
      </c>
      <c r="R47" s="323">
        <v>0</v>
      </c>
      <c r="S47" s="323">
        <v>0</v>
      </c>
      <c r="T47" s="323">
        <v>0</v>
      </c>
      <c r="U47" s="323">
        <v>0</v>
      </c>
      <c r="V47" s="323">
        <v>0</v>
      </c>
      <c r="W47" s="324" t="s">
        <v>2266</v>
      </c>
      <c r="X47" s="323"/>
      <c r="Y47" s="323"/>
      <c r="Z47" s="323"/>
      <c r="AA47" s="323">
        <v>0</v>
      </c>
      <c r="AB47" s="306"/>
      <c r="AC47" s="306"/>
      <c r="AD47" s="306"/>
      <c r="AE47" s="306"/>
      <c r="AF47" s="306"/>
      <c r="AG47" s="306"/>
    </row>
    <row r="48" spans="1:33">
      <c r="A48" s="306" t="s">
        <v>2589</v>
      </c>
      <c r="B48" s="306" t="s">
        <v>2723</v>
      </c>
      <c r="C48" s="323"/>
      <c r="D48" s="323">
        <v>0</v>
      </c>
      <c r="E48" s="323">
        <v>0</v>
      </c>
      <c r="F48" s="323"/>
      <c r="G48" s="323"/>
      <c r="H48" s="323"/>
      <c r="I48" s="323">
        <v>0</v>
      </c>
      <c r="J48" s="323">
        <v>0</v>
      </c>
      <c r="K48" s="306"/>
      <c r="L48" s="323">
        <v>0</v>
      </c>
      <c r="M48" s="323">
        <v>0</v>
      </c>
      <c r="N48" s="323">
        <v>0</v>
      </c>
      <c r="O48" s="323">
        <v>0</v>
      </c>
      <c r="P48" s="323">
        <v>0</v>
      </c>
      <c r="Q48" s="323">
        <v>0</v>
      </c>
      <c r="R48" s="323">
        <v>0</v>
      </c>
      <c r="S48" s="323">
        <v>0</v>
      </c>
      <c r="T48" s="323">
        <v>0</v>
      </c>
      <c r="U48" s="323">
        <v>0</v>
      </c>
      <c r="V48" s="323">
        <v>0</v>
      </c>
      <c r="W48" s="324" t="s">
        <v>2266</v>
      </c>
      <c r="X48" s="323"/>
      <c r="Y48" s="323"/>
      <c r="Z48" s="323"/>
      <c r="AA48" s="323">
        <v>0</v>
      </c>
      <c r="AB48" s="306"/>
      <c r="AC48" s="306"/>
      <c r="AD48" s="306"/>
      <c r="AE48" s="306"/>
      <c r="AF48" s="306"/>
      <c r="AG48" s="306"/>
    </row>
    <row r="49" spans="1:33">
      <c r="A49" s="306" t="s">
        <v>2590</v>
      </c>
      <c r="B49" s="306" t="s">
        <v>2724</v>
      </c>
      <c r="C49" s="323"/>
      <c r="D49" s="323">
        <v>0</v>
      </c>
      <c r="E49" s="323">
        <v>0</v>
      </c>
      <c r="F49" s="323"/>
      <c r="G49" s="323"/>
      <c r="H49" s="323"/>
      <c r="I49" s="323">
        <v>0</v>
      </c>
      <c r="J49" s="323">
        <v>0</v>
      </c>
      <c r="K49" s="306"/>
      <c r="L49" s="323">
        <v>0</v>
      </c>
      <c r="M49" s="323">
        <v>0</v>
      </c>
      <c r="N49" s="323">
        <v>0</v>
      </c>
      <c r="O49" s="323">
        <v>0</v>
      </c>
      <c r="P49" s="323">
        <v>0</v>
      </c>
      <c r="Q49" s="323">
        <v>0</v>
      </c>
      <c r="R49" s="323">
        <v>0</v>
      </c>
      <c r="S49" s="323">
        <v>0</v>
      </c>
      <c r="T49" s="323">
        <v>0</v>
      </c>
      <c r="U49" s="323">
        <v>0</v>
      </c>
      <c r="V49" s="323">
        <v>0</v>
      </c>
      <c r="W49" s="324" t="s">
        <v>2266</v>
      </c>
      <c r="X49" s="323"/>
      <c r="Y49" s="323"/>
      <c r="Z49" s="323"/>
      <c r="AA49" s="323">
        <v>0</v>
      </c>
      <c r="AB49" s="306"/>
      <c r="AC49" s="306"/>
      <c r="AD49" s="306"/>
      <c r="AE49" s="306"/>
      <c r="AF49" s="306"/>
      <c r="AG49" s="306"/>
    </row>
    <row r="50" spans="1:33">
      <c r="A50" s="306" t="s">
        <v>2591</v>
      </c>
      <c r="B50" s="306" t="s">
        <v>2725</v>
      </c>
      <c r="C50" s="323"/>
      <c r="D50" s="323">
        <v>0</v>
      </c>
      <c r="E50" s="323">
        <v>0</v>
      </c>
      <c r="F50" s="323"/>
      <c r="G50" s="323"/>
      <c r="H50" s="323"/>
      <c r="I50" s="323">
        <v>0</v>
      </c>
      <c r="J50" s="323">
        <v>0</v>
      </c>
      <c r="K50" s="306"/>
      <c r="L50" s="323">
        <v>0</v>
      </c>
      <c r="M50" s="323">
        <v>0</v>
      </c>
      <c r="N50" s="323">
        <v>0</v>
      </c>
      <c r="O50" s="323">
        <v>0</v>
      </c>
      <c r="P50" s="323">
        <v>0</v>
      </c>
      <c r="Q50" s="323">
        <v>0</v>
      </c>
      <c r="R50" s="323">
        <v>0</v>
      </c>
      <c r="S50" s="323">
        <v>0</v>
      </c>
      <c r="T50" s="323">
        <v>0</v>
      </c>
      <c r="U50" s="323">
        <v>0</v>
      </c>
      <c r="V50" s="323">
        <v>0</v>
      </c>
      <c r="W50" s="324" t="s">
        <v>2266</v>
      </c>
      <c r="X50" s="323"/>
      <c r="Y50" s="323"/>
      <c r="Z50" s="323"/>
      <c r="AA50" s="323">
        <v>0</v>
      </c>
      <c r="AB50" s="306"/>
      <c r="AC50" s="306"/>
      <c r="AD50" s="306"/>
      <c r="AE50" s="306"/>
      <c r="AF50" s="306"/>
      <c r="AG50" s="306"/>
    </row>
    <row r="51" spans="1:33">
      <c r="A51" s="306" t="s">
        <v>2592</v>
      </c>
      <c r="B51" s="306" t="s">
        <v>2726</v>
      </c>
      <c r="C51" s="323"/>
      <c r="D51" s="323">
        <v>0</v>
      </c>
      <c r="E51" s="323">
        <v>0</v>
      </c>
      <c r="F51" s="323"/>
      <c r="G51" s="323"/>
      <c r="H51" s="323"/>
      <c r="I51" s="323">
        <v>0</v>
      </c>
      <c r="J51" s="323">
        <v>0</v>
      </c>
      <c r="K51" s="306"/>
      <c r="L51" s="323">
        <v>0</v>
      </c>
      <c r="M51" s="323">
        <v>0</v>
      </c>
      <c r="N51" s="323">
        <v>0</v>
      </c>
      <c r="O51" s="323">
        <v>0</v>
      </c>
      <c r="P51" s="323">
        <v>0</v>
      </c>
      <c r="Q51" s="323">
        <v>0</v>
      </c>
      <c r="R51" s="323">
        <v>0</v>
      </c>
      <c r="S51" s="323">
        <v>0</v>
      </c>
      <c r="T51" s="323">
        <v>0</v>
      </c>
      <c r="U51" s="323">
        <v>0</v>
      </c>
      <c r="V51" s="323">
        <v>0</v>
      </c>
      <c r="W51" s="324" t="s">
        <v>2266</v>
      </c>
      <c r="X51" s="323"/>
      <c r="Y51" s="323"/>
      <c r="Z51" s="323"/>
      <c r="AA51" s="323">
        <v>0</v>
      </c>
      <c r="AB51" s="306"/>
      <c r="AC51" s="306"/>
      <c r="AD51" s="306"/>
      <c r="AE51" s="306"/>
      <c r="AF51" s="306"/>
      <c r="AG51" s="306"/>
    </row>
    <row r="52" spans="1:33">
      <c r="A52" s="306" t="s">
        <v>2547</v>
      </c>
      <c r="B52" s="306" t="s">
        <v>2727</v>
      </c>
      <c r="C52" s="323">
        <v>6755</v>
      </c>
      <c r="D52" s="323">
        <v>2026.5</v>
      </c>
      <c r="E52" s="323">
        <v>4728.5</v>
      </c>
      <c r="F52" s="323"/>
      <c r="G52" s="323"/>
      <c r="H52" s="323"/>
      <c r="I52" s="323">
        <v>0</v>
      </c>
      <c r="J52" s="323">
        <v>0</v>
      </c>
      <c r="K52" s="306"/>
      <c r="L52" s="323">
        <v>675.5</v>
      </c>
      <c r="M52" s="323">
        <v>675.5</v>
      </c>
      <c r="N52" s="323">
        <v>675.5</v>
      </c>
      <c r="O52" s="323">
        <v>675.5</v>
      </c>
      <c r="P52" s="323">
        <v>675.5</v>
      </c>
      <c r="Q52" s="323">
        <v>675.5</v>
      </c>
      <c r="R52" s="323">
        <v>675.5</v>
      </c>
      <c r="S52" s="323">
        <v>0</v>
      </c>
      <c r="T52" s="323">
        <v>0</v>
      </c>
      <c r="U52" s="323">
        <v>0</v>
      </c>
      <c r="V52" s="323">
        <v>4728.5</v>
      </c>
      <c r="W52" s="324" t="s">
        <v>2266</v>
      </c>
      <c r="X52" s="323">
        <v>47759</v>
      </c>
      <c r="Y52" s="323">
        <v>65644</v>
      </c>
      <c r="Z52" s="323">
        <v>63119</v>
      </c>
      <c r="AA52" s="323">
        <v>176522</v>
      </c>
      <c r="AB52" s="306"/>
      <c r="AC52" s="306"/>
      <c r="AD52" s="306"/>
      <c r="AE52" s="306"/>
      <c r="AF52" s="306"/>
      <c r="AG52" s="306"/>
    </row>
    <row r="53" spans="1:33">
      <c r="A53" s="306" t="s">
        <v>2440</v>
      </c>
      <c r="B53" s="306" t="s">
        <v>2728</v>
      </c>
      <c r="C53" s="323"/>
      <c r="D53" s="323">
        <v>0</v>
      </c>
      <c r="E53" s="323">
        <v>0</v>
      </c>
      <c r="F53" s="323"/>
      <c r="G53" s="323"/>
      <c r="H53" s="323"/>
      <c r="I53" s="323">
        <v>0</v>
      </c>
      <c r="J53" s="323">
        <v>0</v>
      </c>
      <c r="K53" s="306"/>
      <c r="L53" s="323">
        <v>0</v>
      </c>
      <c r="M53" s="323">
        <v>0</v>
      </c>
      <c r="N53" s="323">
        <v>0</v>
      </c>
      <c r="O53" s="323">
        <v>0</v>
      </c>
      <c r="P53" s="323">
        <v>0</v>
      </c>
      <c r="Q53" s="323">
        <v>0</v>
      </c>
      <c r="R53" s="323">
        <v>0</v>
      </c>
      <c r="S53" s="323">
        <v>0</v>
      </c>
      <c r="T53" s="323">
        <v>0</v>
      </c>
      <c r="U53" s="323">
        <v>0</v>
      </c>
      <c r="V53" s="323">
        <v>0</v>
      </c>
      <c r="W53" s="324" t="s">
        <v>2266</v>
      </c>
      <c r="X53" s="323"/>
      <c r="Y53" s="323"/>
      <c r="Z53" s="323"/>
      <c r="AA53" s="323">
        <v>0</v>
      </c>
      <c r="AB53" s="306"/>
      <c r="AC53" s="306"/>
      <c r="AD53" s="306"/>
      <c r="AE53" s="306"/>
      <c r="AF53" s="306"/>
      <c r="AG53" s="306"/>
    </row>
    <row r="54" spans="1:33">
      <c r="A54" s="306" t="s">
        <v>2441</v>
      </c>
      <c r="B54" s="306" t="s">
        <v>2729</v>
      </c>
      <c r="C54" s="323">
        <v>43374</v>
      </c>
      <c r="D54" s="323">
        <v>13012.199999999999</v>
      </c>
      <c r="E54" s="323">
        <v>30361.800000000003</v>
      </c>
      <c r="F54" s="323">
        <v>473714</v>
      </c>
      <c r="G54" s="323">
        <v>503459</v>
      </c>
      <c r="H54" s="323">
        <v>540080</v>
      </c>
      <c r="I54" s="323">
        <v>1517253</v>
      </c>
      <c r="J54" s="323">
        <v>151725.29999999999</v>
      </c>
      <c r="K54" s="306"/>
      <c r="L54" s="323">
        <v>156062.69999999998</v>
      </c>
      <c r="M54" s="323">
        <v>156062.69999999998</v>
      </c>
      <c r="N54" s="323">
        <v>156062.69999999998</v>
      </c>
      <c r="O54" s="323">
        <v>156062.69999999998</v>
      </c>
      <c r="P54" s="323">
        <v>156062.69999999998</v>
      </c>
      <c r="Q54" s="323">
        <v>156062.69999999998</v>
      </c>
      <c r="R54" s="323">
        <v>156062.69999999998</v>
      </c>
      <c r="S54" s="323">
        <v>151725.29999999999</v>
      </c>
      <c r="T54" s="323">
        <v>151725.29999999999</v>
      </c>
      <c r="U54" s="323">
        <v>151725.29999999999</v>
      </c>
      <c r="V54" s="323">
        <v>1547614.8</v>
      </c>
      <c r="W54" s="324" t="s">
        <v>2266</v>
      </c>
      <c r="X54" s="323">
        <v>280600</v>
      </c>
      <c r="Y54" s="323">
        <v>229519</v>
      </c>
      <c r="Z54" s="323">
        <v>208705</v>
      </c>
      <c r="AA54" s="323">
        <v>718824</v>
      </c>
      <c r="AB54" s="306"/>
      <c r="AC54" s="306"/>
      <c r="AD54" s="306"/>
      <c r="AE54" s="306"/>
      <c r="AF54" s="306"/>
      <c r="AG54" s="306"/>
    </row>
    <row r="55" spans="1:33">
      <c r="A55" s="306" t="s">
        <v>2442</v>
      </c>
      <c r="B55" s="306" t="s">
        <v>2730</v>
      </c>
      <c r="C55" s="323">
        <v>6485</v>
      </c>
      <c r="D55" s="323">
        <v>1945.5</v>
      </c>
      <c r="E55" s="323">
        <v>4539.5</v>
      </c>
      <c r="F55" s="323">
        <v>29546</v>
      </c>
      <c r="G55" s="323">
        <v>31401</v>
      </c>
      <c r="H55" s="323">
        <v>33685</v>
      </c>
      <c r="I55" s="323">
        <v>94632</v>
      </c>
      <c r="J55" s="323">
        <v>9463.2000000000007</v>
      </c>
      <c r="K55" s="306"/>
      <c r="L55" s="323">
        <v>10111.700000000001</v>
      </c>
      <c r="M55" s="323">
        <v>10111.700000000001</v>
      </c>
      <c r="N55" s="323">
        <v>10111.700000000001</v>
      </c>
      <c r="O55" s="323">
        <v>10111.700000000001</v>
      </c>
      <c r="P55" s="323">
        <v>10111.700000000001</v>
      </c>
      <c r="Q55" s="323">
        <v>10111.700000000001</v>
      </c>
      <c r="R55" s="323">
        <v>10111.700000000001</v>
      </c>
      <c r="S55" s="323">
        <v>9463.2000000000007</v>
      </c>
      <c r="T55" s="323">
        <v>9463.2000000000007</v>
      </c>
      <c r="U55" s="323">
        <v>9463.2000000000007</v>
      </c>
      <c r="V55" s="323">
        <v>99171.499999999985</v>
      </c>
      <c r="W55" s="324" t="s">
        <v>2266</v>
      </c>
      <c r="X55" s="323">
        <v>33170</v>
      </c>
      <c r="Y55" s="323">
        <v>-8872</v>
      </c>
      <c r="Z55" s="323">
        <v>-9517</v>
      </c>
      <c r="AA55" s="323">
        <v>14781</v>
      </c>
      <c r="AB55" s="306"/>
      <c r="AC55" s="306"/>
      <c r="AD55" s="306"/>
      <c r="AE55" s="306"/>
      <c r="AF55" s="306"/>
      <c r="AG55" s="306"/>
    </row>
    <row r="56" spans="1:33">
      <c r="A56" s="306" t="s">
        <v>2408</v>
      </c>
      <c r="B56" s="306" t="s">
        <v>2731</v>
      </c>
      <c r="C56" s="323">
        <v>13223</v>
      </c>
      <c r="D56" s="323">
        <v>3966.8999999999996</v>
      </c>
      <c r="E56" s="323">
        <v>9256.1</v>
      </c>
      <c r="F56" s="323">
        <v>1465</v>
      </c>
      <c r="G56" s="323">
        <v>1557</v>
      </c>
      <c r="H56" s="323">
        <v>1670</v>
      </c>
      <c r="I56" s="323">
        <v>4692</v>
      </c>
      <c r="J56" s="323">
        <v>469.2</v>
      </c>
      <c r="K56" s="306"/>
      <c r="L56" s="323">
        <v>1791.5</v>
      </c>
      <c r="M56" s="323">
        <v>1791.5</v>
      </c>
      <c r="N56" s="323">
        <v>1791.5</v>
      </c>
      <c r="O56" s="323">
        <v>1791.5</v>
      </c>
      <c r="P56" s="323">
        <v>1791.5</v>
      </c>
      <c r="Q56" s="323">
        <v>1791.5</v>
      </c>
      <c r="R56" s="323">
        <v>1791.5</v>
      </c>
      <c r="S56" s="323">
        <v>469.2</v>
      </c>
      <c r="T56" s="323">
        <v>469.2</v>
      </c>
      <c r="U56" s="323">
        <v>469.2</v>
      </c>
      <c r="V56" s="323">
        <v>13948.100000000002</v>
      </c>
      <c r="W56" s="324" t="s">
        <v>2266</v>
      </c>
      <c r="X56" s="323">
        <v>114412</v>
      </c>
      <c r="Y56" s="323">
        <v>123390</v>
      </c>
      <c r="Z56" s="323">
        <v>118257</v>
      </c>
      <c r="AA56" s="323">
        <v>356059</v>
      </c>
      <c r="AB56" s="306"/>
      <c r="AC56" s="306"/>
      <c r="AD56" s="306"/>
      <c r="AE56" s="306"/>
      <c r="AF56" s="306"/>
      <c r="AG56" s="306"/>
    </row>
    <row r="57" spans="1:33">
      <c r="A57" s="306" t="s">
        <v>2410</v>
      </c>
      <c r="B57" s="306" t="s">
        <v>2732</v>
      </c>
      <c r="C57" s="323">
        <v>17589</v>
      </c>
      <c r="D57" s="323">
        <v>5276.7</v>
      </c>
      <c r="E57" s="323">
        <v>12312.3</v>
      </c>
      <c r="F57" s="323"/>
      <c r="G57" s="323"/>
      <c r="H57" s="323"/>
      <c r="I57" s="323">
        <v>0</v>
      </c>
      <c r="J57" s="323">
        <v>0</v>
      </c>
      <c r="K57" s="306"/>
      <c r="L57" s="323">
        <v>1758.8999999999999</v>
      </c>
      <c r="M57" s="323">
        <v>1758.8999999999999</v>
      </c>
      <c r="N57" s="323">
        <v>1758.8999999999999</v>
      </c>
      <c r="O57" s="323">
        <v>1758.8999999999999</v>
      </c>
      <c r="P57" s="323">
        <v>1758.8999999999999</v>
      </c>
      <c r="Q57" s="323">
        <v>1758.8999999999999</v>
      </c>
      <c r="R57" s="323">
        <v>1758.8999999999999</v>
      </c>
      <c r="S57" s="323">
        <v>0</v>
      </c>
      <c r="T57" s="323">
        <v>0</v>
      </c>
      <c r="U57" s="323">
        <v>0</v>
      </c>
      <c r="V57" s="323">
        <v>12312.3</v>
      </c>
      <c r="W57" s="324" t="s">
        <v>2266</v>
      </c>
      <c r="X57" s="323">
        <v>122229</v>
      </c>
      <c r="Y57" s="323">
        <v>61218</v>
      </c>
      <c r="Z57" s="323">
        <v>56196</v>
      </c>
      <c r="AA57" s="323">
        <v>239643</v>
      </c>
      <c r="AB57" s="306"/>
      <c r="AC57" s="306"/>
      <c r="AD57" s="306"/>
      <c r="AE57" s="306"/>
      <c r="AF57" s="306"/>
      <c r="AG57" s="306"/>
    </row>
    <row r="58" spans="1:33">
      <c r="A58" s="306" t="s">
        <v>2443</v>
      </c>
      <c r="B58" s="306" t="s">
        <v>2733</v>
      </c>
      <c r="C58" s="323"/>
      <c r="D58" s="323">
        <v>0</v>
      </c>
      <c r="E58" s="323">
        <v>0</v>
      </c>
      <c r="F58" s="323"/>
      <c r="G58" s="323"/>
      <c r="H58" s="323"/>
      <c r="I58" s="323">
        <v>0</v>
      </c>
      <c r="J58" s="323">
        <v>0</v>
      </c>
      <c r="K58" s="306"/>
      <c r="L58" s="323">
        <v>0</v>
      </c>
      <c r="M58" s="323">
        <v>0</v>
      </c>
      <c r="N58" s="323">
        <v>0</v>
      </c>
      <c r="O58" s="323">
        <v>0</v>
      </c>
      <c r="P58" s="323">
        <v>0</v>
      </c>
      <c r="Q58" s="323">
        <v>0</v>
      </c>
      <c r="R58" s="323">
        <v>0</v>
      </c>
      <c r="S58" s="323">
        <v>0</v>
      </c>
      <c r="T58" s="323">
        <v>0</v>
      </c>
      <c r="U58" s="323">
        <v>0</v>
      </c>
      <c r="V58" s="323">
        <v>0</v>
      </c>
      <c r="W58" s="324" t="s">
        <v>2266</v>
      </c>
      <c r="X58" s="323"/>
      <c r="Y58" s="323"/>
      <c r="Z58" s="323"/>
      <c r="AA58" s="323">
        <v>0</v>
      </c>
      <c r="AB58" s="306"/>
      <c r="AC58" s="306"/>
      <c r="AD58" s="306"/>
      <c r="AE58" s="306"/>
      <c r="AF58" s="306"/>
      <c r="AG58" s="306"/>
    </row>
    <row r="59" spans="1:33">
      <c r="A59" s="306" t="s">
        <v>2444</v>
      </c>
      <c r="B59" s="306" t="s">
        <v>2734</v>
      </c>
      <c r="C59" s="323">
        <v>102</v>
      </c>
      <c r="D59" s="323">
        <v>30.599999999999998</v>
      </c>
      <c r="E59" s="323">
        <v>71.400000000000006</v>
      </c>
      <c r="F59" s="323"/>
      <c r="G59" s="323"/>
      <c r="H59" s="323"/>
      <c r="I59" s="323">
        <v>0</v>
      </c>
      <c r="J59" s="323">
        <v>0</v>
      </c>
      <c r="K59" s="306"/>
      <c r="L59" s="323">
        <v>10.200000000000001</v>
      </c>
      <c r="M59" s="323">
        <v>10.200000000000001</v>
      </c>
      <c r="N59" s="323">
        <v>10.200000000000001</v>
      </c>
      <c r="O59" s="323">
        <v>10.200000000000001</v>
      </c>
      <c r="P59" s="323">
        <v>10.200000000000001</v>
      </c>
      <c r="Q59" s="323">
        <v>10.200000000000001</v>
      </c>
      <c r="R59" s="323">
        <v>10.200000000000001</v>
      </c>
      <c r="S59" s="323">
        <v>0</v>
      </c>
      <c r="T59" s="323">
        <v>0</v>
      </c>
      <c r="U59" s="323">
        <v>0</v>
      </c>
      <c r="V59" s="323">
        <v>71.400000000000006</v>
      </c>
      <c r="W59" s="324" t="s">
        <v>2266</v>
      </c>
      <c r="X59" s="323">
        <v>977</v>
      </c>
      <c r="Y59" s="323">
        <v>955</v>
      </c>
      <c r="Z59" s="323">
        <v>835</v>
      </c>
      <c r="AA59" s="323">
        <v>2767</v>
      </c>
      <c r="AB59" s="306"/>
      <c r="AC59" s="306"/>
      <c r="AD59" s="306"/>
      <c r="AE59" s="306"/>
      <c r="AF59" s="306"/>
      <c r="AG59" s="306"/>
    </row>
    <row r="60" spans="1:33">
      <c r="A60" s="306" t="s">
        <v>2445</v>
      </c>
      <c r="B60" s="306" t="s">
        <v>2735</v>
      </c>
      <c r="C60" s="323"/>
      <c r="D60" s="323">
        <v>0</v>
      </c>
      <c r="E60" s="323">
        <v>0</v>
      </c>
      <c r="F60" s="323"/>
      <c r="G60" s="323"/>
      <c r="H60" s="323"/>
      <c r="I60" s="323">
        <v>0</v>
      </c>
      <c r="J60" s="323">
        <v>0</v>
      </c>
      <c r="K60" s="306"/>
      <c r="L60" s="323">
        <v>0</v>
      </c>
      <c r="M60" s="323">
        <v>0</v>
      </c>
      <c r="N60" s="323">
        <v>0</v>
      </c>
      <c r="O60" s="323">
        <v>0</v>
      </c>
      <c r="P60" s="323">
        <v>0</v>
      </c>
      <c r="Q60" s="323">
        <v>0</v>
      </c>
      <c r="R60" s="323">
        <v>0</v>
      </c>
      <c r="S60" s="323">
        <v>0</v>
      </c>
      <c r="T60" s="323">
        <v>0</v>
      </c>
      <c r="U60" s="323">
        <v>0</v>
      </c>
      <c r="V60" s="323">
        <v>0</v>
      </c>
      <c r="W60" s="324" t="s">
        <v>2266</v>
      </c>
      <c r="X60" s="323"/>
      <c r="Y60" s="323"/>
      <c r="Z60" s="323"/>
      <c r="AA60" s="323">
        <v>0</v>
      </c>
      <c r="AB60" s="306"/>
      <c r="AC60" s="306"/>
      <c r="AD60" s="306"/>
      <c r="AE60" s="306"/>
      <c r="AF60" s="306"/>
      <c r="AG60" s="306"/>
    </row>
    <row r="61" spans="1:33">
      <c r="A61" s="306" t="s">
        <v>2446</v>
      </c>
      <c r="B61" s="306" t="s">
        <v>2736</v>
      </c>
      <c r="C61" s="323"/>
      <c r="D61" s="323">
        <v>0</v>
      </c>
      <c r="E61" s="323">
        <v>0</v>
      </c>
      <c r="F61" s="323"/>
      <c r="G61" s="323"/>
      <c r="H61" s="323"/>
      <c r="I61" s="323">
        <v>0</v>
      </c>
      <c r="J61" s="323">
        <v>0</v>
      </c>
      <c r="K61" s="306"/>
      <c r="L61" s="323">
        <v>0</v>
      </c>
      <c r="M61" s="323">
        <v>0</v>
      </c>
      <c r="N61" s="323">
        <v>0</v>
      </c>
      <c r="O61" s="323">
        <v>0</v>
      </c>
      <c r="P61" s="323">
        <v>0</v>
      </c>
      <c r="Q61" s="323">
        <v>0</v>
      </c>
      <c r="R61" s="323">
        <v>0</v>
      </c>
      <c r="S61" s="323">
        <v>0</v>
      </c>
      <c r="T61" s="323">
        <v>0</v>
      </c>
      <c r="U61" s="323">
        <v>0</v>
      </c>
      <c r="V61" s="323">
        <v>0</v>
      </c>
      <c r="W61" s="324" t="s">
        <v>2266</v>
      </c>
      <c r="X61" s="323"/>
      <c r="Y61" s="323"/>
      <c r="Z61" s="323"/>
      <c r="AA61" s="323">
        <v>0</v>
      </c>
      <c r="AB61" s="306"/>
      <c r="AC61" s="306"/>
      <c r="AD61" s="306"/>
      <c r="AE61" s="306"/>
      <c r="AF61" s="306"/>
      <c r="AG61" s="306"/>
    </row>
    <row r="62" spans="1:33">
      <c r="A62" s="306" t="s">
        <v>2593</v>
      </c>
      <c r="B62" s="306" t="s">
        <v>2737</v>
      </c>
      <c r="C62" s="323"/>
      <c r="D62" s="323">
        <v>0</v>
      </c>
      <c r="E62" s="323">
        <v>0</v>
      </c>
      <c r="F62" s="323"/>
      <c r="G62" s="323"/>
      <c r="H62" s="323"/>
      <c r="I62" s="323">
        <v>0</v>
      </c>
      <c r="J62" s="323">
        <v>0</v>
      </c>
      <c r="K62" s="306"/>
      <c r="L62" s="323">
        <v>0</v>
      </c>
      <c r="M62" s="323">
        <v>0</v>
      </c>
      <c r="N62" s="323">
        <v>0</v>
      </c>
      <c r="O62" s="323">
        <v>0</v>
      </c>
      <c r="P62" s="323">
        <v>0</v>
      </c>
      <c r="Q62" s="323">
        <v>0</v>
      </c>
      <c r="R62" s="323">
        <v>0</v>
      </c>
      <c r="S62" s="323">
        <v>0</v>
      </c>
      <c r="T62" s="323">
        <v>0</v>
      </c>
      <c r="U62" s="323">
        <v>0</v>
      </c>
      <c r="V62" s="323">
        <v>0</v>
      </c>
      <c r="W62" s="324" t="s">
        <v>2266</v>
      </c>
      <c r="X62" s="323"/>
      <c r="Y62" s="323"/>
      <c r="Z62" s="323"/>
      <c r="AA62" s="323">
        <v>0</v>
      </c>
      <c r="AB62" s="306"/>
      <c r="AC62" s="306"/>
      <c r="AD62" s="306"/>
      <c r="AE62" s="306"/>
      <c r="AF62" s="306"/>
      <c r="AG62" s="306"/>
    </row>
    <row r="63" spans="1:33">
      <c r="A63" s="306" t="s">
        <v>2594</v>
      </c>
      <c r="B63" s="306" t="s">
        <v>2738</v>
      </c>
      <c r="C63" s="323"/>
      <c r="D63" s="323">
        <v>0</v>
      </c>
      <c r="E63" s="323">
        <v>0</v>
      </c>
      <c r="F63" s="323"/>
      <c r="G63" s="323"/>
      <c r="H63" s="323"/>
      <c r="I63" s="323">
        <v>0</v>
      </c>
      <c r="J63" s="323">
        <v>0</v>
      </c>
      <c r="K63" s="306"/>
      <c r="L63" s="323">
        <v>0</v>
      </c>
      <c r="M63" s="323">
        <v>0</v>
      </c>
      <c r="N63" s="323">
        <v>0</v>
      </c>
      <c r="O63" s="323">
        <v>0</v>
      </c>
      <c r="P63" s="323">
        <v>0</v>
      </c>
      <c r="Q63" s="323">
        <v>0</v>
      </c>
      <c r="R63" s="323">
        <v>0</v>
      </c>
      <c r="S63" s="323">
        <v>0</v>
      </c>
      <c r="T63" s="323">
        <v>0</v>
      </c>
      <c r="U63" s="323">
        <v>0</v>
      </c>
      <c r="V63" s="323">
        <v>0</v>
      </c>
      <c r="W63" s="324" t="s">
        <v>2266</v>
      </c>
      <c r="X63" s="323"/>
      <c r="Y63" s="323"/>
      <c r="Z63" s="323"/>
      <c r="AA63" s="323">
        <v>0</v>
      </c>
      <c r="AB63" s="306"/>
      <c r="AC63" s="306"/>
      <c r="AD63" s="306"/>
      <c r="AE63" s="306"/>
      <c r="AF63" s="306"/>
      <c r="AG63" s="306"/>
    </row>
    <row r="64" spans="1:33">
      <c r="A64" s="306" t="s">
        <v>2554</v>
      </c>
      <c r="B64" s="306" t="s">
        <v>2739</v>
      </c>
      <c r="C64" s="323">
        <v>107</v>
      </c>
      <c r="D64" s="323">
        <v>32.1</v>
      </c>
      <c r="E64" s="323">
        <v>74.900000000000006</v>
      </c>
      <c r="F64" s="323"/>
      <c r="G64" s="323"/>
      <c r="H64" s="323"/>
      <c r="I64" s="323">
        <v>0</v>
      </c>
      <c r="J64" s="323">
        <v>0</v>
      </c>
      <c r="K64" s="306"/>
      <c r="L64" s="323">
        <v>10.700000000000001</v>
      </c>
      <c r="M64" s="323">
        <v>10.700000000000001</v>
      </c>
      <c r="N64" s="323">
        <v>10.700000000000001</v>
      </c>
      <c r="O64" s="323">
        <v>10.700000000000001</v>
      </c>
      <c r="P64" s="323">
        <v>10.700000000000001</v>
      </c>
      <c r="Q64" s="323">
        <v>10.700000000000001</v>
      </c>
      <c r="R64" s="323">
        <v>10.700000000000001</v>
      </c>
      <c r="S64" s="323">
        <v>0</v>
      </c>
      <c r="T64" s="323">
        <v>0</v>
      </c>
      <c r="U64" s="323">
        <v>0</v>
      </c>
      <c r="V64" s="323">
        <v>74.900000000000006</v>
      </c>
      <c r="W64" s="324" t="s">
        <v>2266</v>
      </c>
      <c r="X64" s="323">
        <v>1020</v>
      </c>
      <c r="Y64" s="323">
        <v>996</v>
      </c>
      <c r="Z64" s="323">
        <v>903</v>
      </c>
      <c r="AA64" s="323">
        <v>2919</v>
      </c>
      <c r="AB64" s="306"/>
      <c r="AC64" s="306"/>
      <c r="AD64" s="306"/>
      <c r="AE64" s="306"/>
      <c r="AF64" s="306"/>
      <c r="AG64" s="306"/>
    </row>
    <row r="65" spans="1:33">
      <c r="A65" s="306" t="s">
        <v>3011</v>
      </c>
      <c r="B65" s="306" t="s">
        <v>2499</v>
      </c>
      <c r="C65" s="323"/>
      <c r="D65" s="323">
        <v>0</v>
      </c>
      <c r="E65" s="323">
        <v>0</v>
      </c>
      <c r="F65" s="323"/>
      <c r="G65" s="323"/>
      <c r="H65" s="323"/>
      <c r="I65" s="323">
        <v>0</v>
      </c>
      <c r="J65" s="323">
        <v>0</v>
      </c>
      <c r="K65" s="306"/>
      <c r="L65" s="323">
        <v>0</v>
      </c>
      <c r="M65" s="323">
        <v>0</v>
      </c>
      <c r="N65" s="323">
        <v>0</v>
      </c>
      <c r="O65" s="323">
        <v>0</v>
      </c>
      <c r="P65" s="323">
        <v>0</v>
      </c>
      <c r="Q65" s="323">
        <v>0</v>
      </c>
      <c r="R65" s="323">
        <v>0</v>
      </c>
      <c r="S65" s="323">
        <v>0</v>
      </c>
      <c r="T65" s="323">
        <v>0</v>
      </c>
      <c r="U65" s="323">
        <v>0</v>
      </c>
      <c r="V65" s="323">
        <v>0</v>
      </c>
      <c r="W65" s="324" t="s">
        <v>2266</v>
      </c>
      <c r="X65" s="323"/>
      <c r="Y65" s="323"/>
      <c r="Z65" s="323"/>
      <c r="AA65" s="323">
        <v>0</v>
      </c>
      <c r="AB65" s="306"/>
      <c r="AC65" s="306"/>
      <c r="AD65" s="306"/>
      <c r="AE65" s="306"/>
      <c r="AF65" s="306"/>
      <c r="AG65" s="306"/>
    </row>
    <row r="66" spans="1:33">
      <c r="A66" s="306" t="s">
        <v>2268</v>
      </c>
      <c r="B66" s="306" t="s">
        <v>2842</v>
      </c>
      <c r="C66" s="323">
        <v>691637</v>
      </c>
      <c r="D66" s="323">
        <v>207491.1</v>
      </c>
      <c r="E66" s="323">
        <v>484145.9</v>
      </c>
      <c r="F66" s="323">
        <v>957219</v>
      </c>
      <c r="G66" s="323">
        <v>1017325</v>
      </c>
      <c r="H66" s="323">
        <v>1091323</v>
      </c>
      <c r="I66" s="323">
        <v>3065867</v>
      </c>
      <c r="J66" s="323">
        <v>306586.7</v>
      </c>
      <c r="K66" s="306"/>
      <c r="L66" s="323">
        <v>375750.40000000002</v>
      </c>
      <c r="M66" s="323">
        <v>375750.40000000002</v>
      </c>
      <c r="N66" s="323">
        <v>375750.40000000002</v>
      </c>
      <c r="O66" s="323">
        <v>375750.40000000002</v>
      </c>
      <c r="P66" s="323">
        <v>375750.40000000002</v>
      </c>
      <c r="Q66" s="323">
        <v>375750.40000000002</v>
      </c>
      <c r="R66" s="323">
        <v>375750.40000000002</v>
      </c>
      <c r="S66" s="323">
        <v>306586.7</v>
      </c>
      <c r="T66" s="323">
        <v>306586.7</v>
      </c>
      <c r="U66" s="323">
        <v>306586.7</v>
      </c>
      <c r="V66" s="323">
        <v>3550012.9000000004</v>
      </c>
      <c r="W66" s="324" t="s">
        <v>2628</v>
      </c>
      <c r="X66" s="323">
        <v>2586181</v>
      </c>
      <c r="Y66" s="323">
        <v>2926470</v>
      </c>
      <c r="Z66" s="323">
        <v>3184981</v>
      </c>
      <c r="AA66" s="323">
        <v>8697632</v>
      </c>
      <c r="AB66" s="306"/>
      <c r="AC66" s="306"/>
      <c r="AD66" s="306"/>
      <c r="AE66" s="306"/>
      <c r="AF66" s="306"/>
      <c r="AG66" s="306"/>
    </row>
    <row r="67" spans="1:33">
      <c r="A67" s="306" t="s">
        <v>2447</v>
      </c>
      <c r="B67" s="306" t="s">
        <v>2843</v>
      </c>
      <c r="C67" s="323"/>
      <c r="D67" s="323">
        <v>0</v>
      </c>
      <c r="E67" s="323">
        <v>0</v>
      </c>
      <c r="F67" s="323"/>
      <c r="G67" s="323"/>
      <c r="H67" s="323"/>
      <c r="I67" s="323">
        <v>0</v>
      </c>
      <c r="J67" s="323">
        <v>0</v>
      </c>
      <c r="K67" s="306"/>
      <c r="L67" s="323">
        <v>0</v>
      </c>
      <c r="M67" s="323">
        <v>0</v>
      </c>
      <c r="N67" s="323">
        <v>0</v>
      </c>
      <c r="O67" s="323">
        <v>0</v>
      </c>
      <c r="P67" s="323">
        <v>0</v>
      </c>
      <c r="Q67" s="323">
        <v>0</v>
      </c>
      <c r="R67" s="323">
        <v>0</v>
      </c>
      <c r="S67" s="323">
        <v>0</v>
      </c>
      <c r="T67" s="323">
        <v>0</v>
      </c>
      <c r="U67" s="323">
        <v>0</v>
      </c>
      <c r="V67" s="323">
        <v>0</v>
      </c>
      <c r="W67" s="324" t="s">
        <v>2628</v>
      </c>
      <c r="X67" s="323">
        <v>-4763</v>
      </c>
      <c r="Y67" s="323">
        <v>-12245</v>
      </c>
      <c r="Z67" s="323">
        <v>-13136</v>
      </c>
      <c r="AA67" s="323">
        <v>-30144</v>
      </c>
      <c r="AB67" s="306"/>
      <c r="AC67" s="306"/>
      <c r="AD67" s="306"/>
      <c r="AE67" s="306"/>
      <c r="AF67" s="306"/>
      <c r="AG67" s="306"/>
    </row>
    <row r="68" spans="1:33">
      <c r="A68" s="306" t="s">
        <v>2448</v>
      </c>
      <c r="B68" s="306" t="s">
        <v>2844</v>
      </c>
      <c r="C68" s="323">
        <v>62976</v>
      </c>
      <c r="D68" s="323">
        <v>18892.8</v>
      </c>
      <c r="E68" s="323">
        <v>44083.199999999997</v>
      </c>
      <c r="F68" s="323"/>
      <c r="G68" s="323"/>
      <c r="H68" s="323"/>
      <c r="I68" s="323">
        <v>0</v>
      </c>
      <c r="J68" s="323">
        <v>0</v>
      </c>
      <c r="K68" s="306"/>
      <c r="L68" s="323">
        <v>6297.5999999999995</v>
      </c>
      <c r="M68" s="323">
        <v>6297.5999999999995</v>
      </c>
      <c r="N68" s="323">
        <v>6297.5999999999995</v>
      </c>
      <c r="O68" s="323">
        <v>6297.5999999999995</v>
      </c>
      <c r="P68" s="323">
        <v>6297.5999999999995</v>
      </c>
      <c r="Q68" s="323">
        <v>6297.5999999999995</v>
      </c>
      <c r="R68" s="323">
        <v>6297.5999999999995</v>
      </c>
      <c r="S68" s="323">
        <v>0</v>
      </c>
      <c r="T68" s="323">
        <v>0</v>
      </c>
      <c r="U68" s="323">
        <v>0</v>
      </c>
      <c r="V68" s="323">
        <v>44083.199999999997</v>
      </c>
      <c r="W68" s="324" t="s">
        <v>2628</v>
      </c>
      <c r="X68" s="323">
        <v>297760</v>
      </c>
      <c r="Y68" s="323">
        <v>218441</v>
      </c>
      <c r="Z68" s="323">
        <v>201428</v>
      </c>
      <c r="AA68" s="323">
        <v>717629</v>
      </c>
      <c r="AB68" s="306"/>
      <c r="AC68" s="306"/>
      <c r="AD68" s="306"/>
      <c r="AE68" s="306"/>
      <c r="AF68" s="306"/>
      <c r="AG68" s="306"/>
    </row>
    <row r="69" spans="1:33">
      <c r="A69" s="306" t="s">
        <v>2449</v>
      </c>
      <c r="B69" s="306" t="s">
        <v>2845</v>
      </c>
      <c r="C69" s="323"/>
      <c r="D69" s="323">
        <v>0</v>
      </c>
      <c r="E69" s="323">
        <v>0</v>
      </c>
      <c r="F69" s="323">
        <v>245633</v>
      </c>
      <c r="G69" s="323">
        <v>261057</v>
      </c>
      <c r="H69" s="323">
        <v>280046</v>
      </c>
      <c r="I69" s="323">
        <v>786736</v>
      </c>
      <c r="J69" s="323">
        <v>78673.600000000006</v>
      </c>
      <c r="K69" s="306"/>
      <c r="L69" s="323">
        <v>78673.600000000006</v>
      </c>
      <c r="M69" s="323">
        <v>78673.600000000006</v>
      </c>
      <c r="N69" s="323">
        <v>78673.600000000006</v>
      </c>
      <c r="O69" s="323">
        <v>78673.600000000006</v>
      </c>
      <c r="P69" s="323">
        <v>78673.600000000006</v>
      </c>
      <c r="Q69" s="323">
        <v>78673.600000000006</v>
      </c>
      <c r="R69" s="323">
        <v>78673.600000000006</v>
      </c>
      <c r="S69" s="323">
        <v>78673.600000000006</v>
      </c>
      <c r="T69" s="323">
        <v>78673.600000000006</v>
      </c>
      <c r="U69" s="323">
        <v>78673.600000000006</v>
      </c>
      <c r="V69" s="323">
        <v>786735.99999999988</v>
      </c>
      <c r="W69" s="324" t="s">
        <v>2628</v>
      </c>
      <c r="X69" s="323">
        <v>-1130</v>
      </c>
      <c r="Y69" s="323">
        <v>-2906</v>
      </c>
      <c r="Z69" s="323">
        <v>-3118</v>
      </c>
      <c r="AA69" s="323">
        <v>-7154</v>
      </c>
      <c r="AB69" s="306"/>
      <c r="AC69" s="306"/>
      <c r="AD69" s="306"/>
      <c r="AE69" s="306"/>
      <c r="AF69" s="306"/>
      <c r="AG69" s="306"/>
    </row>
    <row r="70" spans="1:33">
      <c r="A70" s="306" t="s">
        <v>2450</v>
      </c>
      <c r="B70" s="306" t="s">
        <v>2846</v>
      </c>
      <c r="C70" s="323"/>
      <c r="D70" s="323">
        <v>0</v>
      </c>
      <c r="E70" s="323">
        <v>0</v>
      </c>
      <c r="F70" s="323"/>
      <c r="G70" s="323"/>
      <c r="H70" s="323"/>
      <c r="I70" s="323">
        <v>0</v>
      </c>
      <c r="J70" s="323">
        <v>0</v>
      </c>
      <c r="K70" s="306"/>
      <c r="L70" s="323">
        <v>0</v>
      </c>
      <c r="M70" s="323">
        <v>0</v>
      </c>
      <c r="N70" s="323">
        <v>0</v>
      </c>
      <c r="O70" s="323">
        <v>0</v>
      </c>
      <c r="P70" s="323">
        <v>0</v>
      </c>
      <c r="Q70" s="323">
        <v>0</v>
      </c>
      <c r="R70" s="323">
        <v>0</v>
      </c>
      <c r="S70" s="323">
        <v>0</v>
      </c>
      <c r="T70" s="323">
        <v>0</v>
      </c>
      <c r="U70" s="323">
        <v>0</v>
      </c>
      <c r="V70" s="323">
        <v>0</v>
      </c>
      <c r="W70" s="324" t="s">
        <v>2628</v>
      </c>
      <c r="X70" s="323"/>
      <c r="Y70" s="323"/>
      <c r="Z70" s="323"/>
      <c r="AA70" s="323">
        <v>0</v>
      </c>
      <c r="AB70" s="306"/>
      <c r="AC70" s="306"/>
      <c r="AD70" s="306"/>
      <c r="AE70" s="306"/>
      <c r="AF70" s="306"/>
      <c r="AG70" s="306"/>
    </row>
    <row r="71" spans="1:33">
      <c r="A71" s="306" t="s">
        <v>2451</v>
      </c>
      <c r="B71" s="306" t="s">
        <v>2847</v>
      </c>
      <c r="C71" s="323"/>
      <c r="D71" s="323">
        <v>0</v>
      </c>
      <c r="E71" s="323">
        <v>0</v>
      </c>
      <c r="F71" s="323"/>
      <c r="G71" s="323"/>
      <c r="H71" s="323"/>
      <c r="I71" s="323">
        <v>0</v>
      </c>
      <c r="J71" s="323">
        <v>0</v>
      </c>
      <c r="K71" s="306"/>
      <c r="L71" s="323">
        <v>0</v>
      </c>
      <c r="M71" s="323">
        <v>0</v>
      </c>
      <c r="N71" s="323">
        <v>0</v>
      </c>
      <c r="O71" s="323">
        <v>0</v>
      </c>
      <c r="P71" s="323">
        <v>0</v>
      </c>
      <c r="Q71" s="323">
        <v>0</v>
      </c>
      <c r="R71" s="323">
        <v>0</v>
      </c>
      <c r="S71" s="323">
        <v>0</v>
      </c>
      <c r="T71" s="323">
        <v>0</v>
      </c>
      <c r="U71" s="323">
        <v>0</v>
      </c>
      <c r="V71" s="323">
        <v>0</v>
      </c>
      <c r="W71" s="324" t="s">
        <v>2628</v>
      </c>
      <c r="X71" s="323"/>
      <c r="Y71" s="323"/>
      <c r="Z71" s="323"/>
      <c r="AA71" s="323">
        <v>0</v>
      </c>
      <c r="AB71" s="306"/>
      <c r="AC71" s="306"/>
      <c r="AD71" s="306"/>
      <c r="AE71" s="306"/>
      <c r="AF71" s="306"/>
      <c r="AG71" s="306"/>
    </row>
    <row r="72" spans="1:33">
      <c r="A72" s="306" t="s">
        <v>2452</v>
      </c>
      <c r="B72" s="306" t="s">
        <v>2848</v>
      </c>
      <c r="C72" s="323"/>
      <c r="D72" s="323">
        <v>0</v>
      </c>
      <c r="E72" s="323">
        <v>0</v>
      </c>
      <c r="F72" s="323"/>
      <c r="G72" s="323"/>
      <c r="H72" s="323"/>
      <c r="I72" s="323">
        <v>0</v>
      </c>
      <c r="J72" s="323">
        <v>0</v>
      </c>
      <c r="K72" s="306"/>
      <c r="L72" s="323">
        <v>0</v>
      </c>
      <c r="M72" s="323">
        <v>0</v>
      </c>
      <c r="N72" s="323">
        <v>0</v>
      </c>
      <c r="O72" s="323">
        <v>0</v>
      </c>
      <c r="P72" s="323">
        <v>0</v>
      </c>
      <c r="Q72" s="323">
        <v>0</v>
      </c>
      <c r="R72" s="323">
        <v>0</v>
      </c>
      <c r="S72" s="323">
        <v>0</v>
      </c>
      <c r="T72" s="323">
        <v>0</v>
      </c>
      <c r="U72" s="323">
        <v>0</v>
      </c>
      <c r="V72" s="323">
        <v>0</v>
      </c>
      <c r="W72" s="324" t="s">
        <v>2628</v>
      </c>
      <c r="X72" s="323"/>
      <c r="Y72" s="323"/>
      <c r="Z72" s="323"/>
      <c r="AA72" s="323">
        <v>0</v>
      </c>
      <c r="AB72" s="306"/>
      <c r="AC72" s="306"/>
      <c r="AD72" s="306"/>
      <c r="AE72" s="306"/>
      <c r="AF72" s="306"/>
      <c r="AG72" s="306"/>
    </row>
    <row r="73" spans="1:33">
      <c r="A73" s="306" t="s">
        <v>2407</v>
      </c>
      <c r="B73" s="306" t="s">
        <v>2849</v>
      </c>
      <c r="C73" s="323">
        <v>112276</v>
      </c>
      <c r="D73" s="323">
        <v>33682.799999999996</v>
      </c>
      <c r="E73" s="323">
        <v>78593.200000000012</v>
      </c>
      <c r="F73" s="323">
        <v>28993</v>
      </c>
      <c r="G73" s="323">
        <v>30814</v>
      </c>
      <c r="H73" s="323">
        <v>33055</v>
      </c>
      <c r="I73" s="323">
        <v>92862</v>
      </c>
      <c r="J73" s="323">
        <v>9286.2000000000007</v>
      </c>
      <c r="K73" s="306"/>
      <c r="L73" s="323">
        <v>20513.800000000003</v>
      </c>
      <c r="M73" s="323">
        <v>20513.800000000003</v>
      </c>
      <c r="N73" s="323">
        <v>20513.800000000003</v>
      </c>
      <c r="O73" s="323">
        <v>20513.800000000003</v>
      </c>
      <c r="P73" s="323">
        <v>20513.800000000003</v>
      </c>
      <c r="Q73" s="323">
        <v>20513.800000000003</v>
      </c>
      <c r="R73" s="323">
        <v>20513.800000000003</v>
      </c>
      <c r="S73" s="323">
        <v>9286.2000000000007</v>
      </c>
      <c r="T73" s="323">
        <v>9286.2000000000007</v>
      </c>
      <c r="U73" s="323">
        <v>9286.2000000000007</v>
      </c>
      <c r="V73" s="323">
        <v>171455.20000000007</v>
      </c>
      <c r="W73" s="324" t="s">
        <v>2628</v>
      </c>
      <c r="X73" s="323">
        <v>199563</v>
      </c>
      <c r="Y73" s="323">
        <v>370333</v>
      </c>
      <c r="Z73" s="323">
        <v>567172</v>
      </c>
      <c r="AA73" s="323">
        <v>1137068</v>
      </c>
      <c r="AB73" s="306"/>
      <c r="AC73" s="306"/>
      <c r="AD73" s="306"/>
      <c r="AE73" s="306"/>
      <c r="AF73" s="306"/>
      <c r="AG73" s="306"/>
    </row>
    <row r="74" spans="1:33">
      <c r="A74" s="306" t="s">
        <v>2453</v>
      </c>
      <c r="B74" s="306" t="s">
        <v>2850</v>
      </c>
      <c r="C74" s="323"/>
      <c r="D74" s="323">
        <v>0</v>
      </c>
      <c r="E74" s="323">
        <v>0</v>
      </c>
      <c r="F74" s="323"/>
      <c r="G74" s="323"/>
      <c r="H74" s="323"/>
      <c r="I74" s="323">
        <v>0</v>
      </c>
      <c r="J74" s="323">
        <v>0</v>
      </c>
      <c r="K74" s="306"/>
      <c r="L74" s="323">
        <v>0</v>
      </c>
      <c r="M74" s="323">
        <v>0</v>
      </c>
      <c r="N74" s="323">
        <v>0</v>
      </c>
      <c r="O74" s="323">
        <v>0</v>
      </c>
      <c r="P74" s="323">
        <v>0</v>
      </c>
      <c r="Q74" s="323">
        <v>0</v>
      </c>
      <c r="R74" s="323">
        <v>0</v>
      </c>
      <c r="S74" s="323">
        <v>0</v>
      </c>
      <c r="T74" s="323">
        <v>0</v>
      </c>
      <c r="U74" s="323">
        <v>0</v>
      </c>
      <c r="V74" s="323">
        <v>0</v>
      </c>
      <c r="W74" s="324" t="s">
        <v>2628</v>
      </c>
      <c r="X74" s="323"/>
      <c r="Y74" s="323"/>
      <c r="Z74" s="323"/>
      <c r="AA74" s="323">
        <v>0</v>
      </c>
      <c r="AB74" s="306"/>
      <c r="AC74" s="306"/>
      <c r="AD74" s="306"/>
      <c r="AE74" s="306"/>
      <c r="AF74" s="306"/>
      <c r="AG74" s="306"/>
    </row>
    <row r="75" spans="1:33">
      <c r="A75" s="306" t="s">
        <v>2595</v>
      </c>
      <c r="B75" s="306" t="s">
        <v>2851</v>
      </c>
      <c r="C75" s="323">
        <v>11456</v>
      </c>
      <c r="D75" s="323">
        <v>3436.7999999999997</v>
      </c>
      <c r="E75" s="323">
        <v>8019.2000000000007</v>
      </c>
      <c r="F75" s="323"/>
      <c r="G75" s="323"/>
      <c r="H75" s="323"/>
      <c r="I75" s="323">
        <v>0</v>
      </c>
      <c r="J75" s="323">
        <v>0</v>
      </c>
      <c r="K75" s="306"/>
      <c r="L75" s="323">
        <v>1145.6000000000001</v>
      </c>
      <c r="M75" s="323">
        <v>1145.6000000000001</v>
      </c>
      <c r="N75" s="323">
        <v>1145.6000000000001</v>
      </c>
      <c r="O75" s="323">
        <v>1145.6000000000001</v>
      </c>
      <c r="P75" s="323">
        <v>1145.6000000000001</v>
      </c>
      <c r="Q75" s="323">
        <v>1145.6000000000001</v>
      </c>
      <c r="R75" s="323">
        <v>1145.6000000000001</v>
      </c>
      <c r="S75" s="323">
        <v>0</v>
      </c>
      <c r="T75" s="323">
        <v>0</v>
      </c>
      <c r="U75" s="323">
        <v>0</v>
      </c>
      <c r="V75" s="323">
        <v>8019.2000000000016</v>
      </c>
      <c r="W75" s="324" t="s">
        <v>2628</v>
      </c>
      <c r="X75" s="323">
        <v>653</v>
      </c>
      <c r="Y75" s="323">
        <v>-2080</v>
      </c>
      <c r="Z75" s="323">
        <v>16031</v>
      </c>
      <c r="AA75" s="323">
        <v>14604</v>
      </c>
      <c r="AB75" s="306"/>
      <c r="AC75" s="306"/>
      <c r="AD75" s="306"/>
      <c r="AE75" s="306"/>
      <c r="AF75" s="306"/>
      <c r="AG75" s="306"/>
    </row>
    <row r="76" spans="1:33">
      <c r="A76" s="306" t="s">
        <v>2553</v>
      </c>
      <c r="B76" s="306" t="s">
        <v>2852</v>
      </c>
      <c r="C76" s="323">
        <v>13306</v>
      </c>
      <c r="D76" s="323">
        <v>3991.7999999999997</v>
      </c>
      <c r="E76" s="323">
        <v>9314.2000000000007</v>
      </c>
      <c r="F76" s="323"/>
      <c r="G76" s="323"/>
      <c r="H76" s="323"/>
      <c r="I76" s="323">
        <v>0</v>
      </c>
      <c r="J76" s="323">
        <v>0</v>
      </c>
      <c r="K76" s="306"/>
      <c r="L76" s="323">
        <v>1330.6000000000001</v>
      </c>
      <c r="M76" s="323">
        <v>1330.6000000000001</v>
      </c>
      <c r="N76" s="323">
        <v>1330.6000000000001</v>
      </c>
      <c r="O76" s="323">
        <v>1330.6000000000001</v>
      </c>
      <c r="P76" s="323">
        <v>1330.6000000000001</v>
      </c>
      <c r="Q76" s="323">
        <v>1330.6000000000001</v>
      </c>
      <c r="R76" s="323">
        <v>1330.6000000000001</v>
      </c>
      <c r="S76" s="323">
        <v>0</v>
      </c>
      <c r="T76" s="323">
        <v>0</v>
      </c>
      <c r="U76" s="323">
        <v>0</v>
      </c>
      <c r="V76" s="323">
        <v>9314.2000000000007</v>
      </c>
      <c r="W76" s="324" t="s">
        <v>2628</v>
      </c>
      <c r="X76" s="323">
        <v>74899</v>
      </c>
      <c r="Y76" s="323">
        <v>75995</v>
      </c>
      <c r="Z76" s="323">
        <v>71240</v>
      </c>
      <c r="AA76" s="323">
        <v>222134</v>
      </c>
      <c r="AB76" s="306"/>
      <c r="AC76" s="306"/>
      <c r="AD76" s="306"/>
      <c r="AE76" s="306"/>
      <c r="AF76" s="306"/>
      <c r="AG76" s="306"/>
    </row>
    <row r="77" spans="1:33">
      <c r="A77" s="306" t="s">
        <v>2550</v>
      </c>
      <c r="B77" s="306" t="s">
        <v>2853</v>
      </c>
      <c r="C77" s="323">
        <v>667</v>
      </c>
      <c r="D77" s="323">
        <v>200.1</v>
      </c>
      <c r="E77" s="323">
        <v>466.9</v>
      </c>
      <c r="F77" s="323"/>
      <c r="G77" s="323"/>
      <c r="H77" s="323"/>
      <c r="I77" s="323">
        <v>0</v>
      </c>
      <c r="J77" s="323">
        <v>0</v>
      </c>
      <c r="K77" s="306"/>
      <c r="L77" s="323">
        <v>66.7</v>
      </c>
      <c r="M77" s="323">
        <v>66.7</v>
      </c>
      <c r="N77" s="323">
        <v>66.7</v>
      </c>
      <c r="O77" s="323">
        <v>66.7</v>
      </c>
      <c r="P77" s="323">
        <v>66.7</v>
      </c>
      <c r="Q77" s="323">
        <v>66.7</v>
      </c>
      <c r="R77" s="323">
        <v>66.7</v>
      </c>
      <c r="S77" s="323">
        <v>0</v>
      </c>
      <c r="T77" s="323">
        <v>0</v>
      </c>
      <c r="U77" s="323">
        <v>0</v>
      </c>
      <c r="V77" s="323">
        <v>466.9</v>
      </c>
      <c r="W77" s="324" t="s">
        <v>2628</v>
      </c>
      <c r="X77" s="323">
        <v>3754</v>
      </c>
      <c r="Y77" s="323">
        <v>3974</v>
      </c>
      <c r="Z77" s="323">
        <v>4236</v>
      </c>
      <c r="AA77" s="323">
        <v>11964</v>
      </c>
      <c r="AB77" s="306"/>
      <c r="AC77" s="306"/>
      <c r="AD77" s="306"/>
      <c r="AE77" s="306"/>
      <c r="AF77" s="306"/>
      <c r="AG77" s="306"/>
    </row>
    <row r="78" spans="1:33">
      <c r="A78" s="306" t="s">
        <v>2596</v>
      </c>
      <c r="B78" s="306" t="s">
        <v>2854</v>
      </c>
      <c r="C78" s="323"/>
      <c r="D78" s="323">
        <v>0</v>
      </c>
      <c r="E78" s="323">
        <v>0</v>
      </c>
      <c r="F78" s="323"/>
      <c r="G78" s="323"/>
      <c r="H78" s="323"/>
      <c r="I78" s="323">
        <v>0</v>
      </c>
      <c r="J78" s="323">
        <v>0</v>
      </c>
      <c r="K78" s="306"/>
      <c r="L78" s="323">
        <v>0</v>
      </c>
      <c r="M78" s="323">
        <v>0</v>
      </c>
      <c r="N78" s="323">
        <v>0</v>
      </c>
      <c r="O78" s="323">
        <v>0</v>
      </c>
      <c r="P78" s="323">
        <v>0</v>
      </c>
      <c r="Q78" s="323">
        <v>0</v>
      </c>
      <c r="R78" s="323">
        <v>0</v>
      </c>
      <c r="S78" s="323">
        <v>0</v>
      </c>
      <c r="T78" s="323">
        <v>0</v>
      </c>
      <c r="U78" s="323">
        <v>0</v>
      </c>
      <c r="V78" s="323">
        <v>0</v>
      </c>
      <c r="W78" s="324" t="s">
        <v>2628</v>
      </c>
      <c r="X78" s="323"/>
      <c r="Y78" s="323"/>
      <c r="Z78" s="323"/>
      <c r="AA78" s="323">
        <v>0</v>
      </c>
      <c r="AB78" s="306"/>
      <c r="AC78" s="306"/>
      <c r="AD78" s="306"/>
      <c r="AE78" s="306"/>
      <c r="AF78" s="306"/>
      <c r="AG78" s="306"/>
    </row>
    <row r="79" spans="1:33">
      <c r="A79" s="306" t="s">
        <v>2549</v>
      </c>
      <c r="B79" s="306" t="s">
        <v>2855</v>
      </c>
      <c r="C79" s="323">
        <v>42511</v>
      </c>
      <c r="D79" s="323">
        <v>12753.3</v>
      </c>
      <c r="E79" s="323">
        <v>29757.7</v>
      </c>
      <c r="F79" s="323"/>
      <c r="G79" s="323"/>
      <c r="H79" s="323"/>
      <c r="I79" s="323">
        <v>0</v>
      </c>
      <c r="J79" s="323">
        <v>0</v>
      </c>
      <c r="K79" s="306"/>
      <c r="L79" s="323">
        <v>4251.1000000000004</v>
      </c>
      <c r="M79" s="323">
        <v>4251.1000000000004</v>
      </c>
      <c r="N79" s="323">
        <v>4251.1000000000004</v>
      </c>
      <c r="O79" s="323">
        <v>4251.1000000000004</v>
      </c>
      <c r="P79" s="323">
        <v>4251.1000000000004</v>
      </c>
      <c r="Q79" s="323">
        <v>4251.1000000000004</v>
      </c>
      <c r="R79" s="323">
        <v>4251.1000000000004</v>
      </c>
      <c r="S79" s="323">
        <v>0</v>
      </c>
      <c r="T79" s="323">
        <v>0</v>
      </c>
      <c r="U79" s="323">
        <v>0</v>
      </c>
      <c r="V79" s="323">
        <v>29757.699999999997</v>
      </c>
      <c r="W79" s="324" t="s">
        <v>2628</v>
      </c>
      <c r="X79" s="323">
        <v>238418</v>
      </c>
      <c r="Y79" s="323">
        <v>242907</v>
      </c>
      <c r="Z79" s="323">
        <v>233559</v>
      </c>
      <c r="AA79" s="323">
        <v>714884</v>
      </c>
      <c r="AB79" s="306"/>
      <c r="AC79" s="306"/>
      <c r="AD79" s="306"/>
      <c r="AE79" s="306"/>
      <c r="AF79" s="306"/>
      <c r="AG79" s="306"/>
    </row>
    <row r="80" spans="1:33">
      <c r="A80" s="306" t="s">
        <v>2454</v>
      </c>
      <c r="B80" s="306" t="s">
        <v>2856</v>
      </c>
      <c r="C80" s="323">
        <v>11183</v>
      </c>
      <c r="D80" s="323">
        <v>3354.9</v>
      </c>
      <c r="E80" s="323">
        <v>7828.1</v>
      </c>
      <c r="F80" s="323">
        <v>4266</v>
      </c>
      <c r="G80" s="323">
        <v>4533</v>
      </c>
      <c r="H80" s="323">
        <v>4863</v>
      </c>
      <c r="I80" s="323">
        <v>13662</v>
      </c>
      <c r="J80" s="323">
        <v>1366.2</v>
      </c>
      <c r="K80" s="306"/>
      <c r="L80" s="323">
        <v>2484.5</v>
      </c>
      <c r="M80" s="323">
        <v>2484.5</v>
      </c>
      <c r="N80" s="323">
        <v>2484.5</v>
      </c>
      <c r="O80" s="323">
        <v>2484.5</v>
      </c>
      <c r="P80" s="323">
        <v>2484.5</v>
      </c>
      <c r="Q80" s="323">
        <v>2484.5</v>
      </c>
      <c r="R80" s="323">
        <v>2484.5</v>
      </c>
      <c r="S80" s="323">
        <v>1366.2</v>
      </c>
      <c r="T80" s="323">
        <v>1366.2</v>
      </c>
      <c r="U80" s="323">
        <v>1366.2</v>
      </c>
      <c r="V80" s="323">
        <v>21490.100000000002</v>
      </c>
      <c r="W80" s="324" t="s">
        <v>2628</v>
      </c>
      <c r="X80" s="323">
        <v>48781</v>
      </c>
      <c r="Y80" s="323">
        <v>28970</v>
      </c>
      <c r="Z80" s="323">
        <v>27026</v>
      </c>
      <c r="AA80" s="323">
        <v>104777</v>
      </c>
      <c r="AB80" s="306"/>
      <c r="AC80" s="306"/>
      <c r="AD80" s="306"/>
      <c r="AE80" s="306"/>
      <c r="AF80" s="306"/>
      <c r="AG80" s="306"/>
    </row>
    <row r="81" spans="1:33">
      <c r="A81" s="306" t="s">
        <v>2455</v>
      </c>
      <c r="B81" s="306" t="s">
        <v>2857</v>
      </c>
      <c r="C81" s="323">
        <v>219881</v>
      </c>
      <c r="D81" s="323">
        <v>65964.3</v>
      </c>
      <c r="E81" s="323">
        <v>153916.70000000001</v>
      </c>
      <c r="F81" s="323">
        <v>70039</v>
      </c>
      <c r="G81" s="323">
        <v>74437</v>
      </c>
      <c r="H81" s="323">
        <v>79852</v>
      </c>
      <c r="I81" s="323">
        <v>224328</v>
      </c>
      <c r="J81" s="323">
        <v>22432.799999999999</v>
      </c>
      <c r="K81" s="306"/>
      <c r="L81" s="323">
        <v>44420.9</v>
      </c>
      <c r="M81" s="323">
        <v>44420.9</v>
      </c>
      <c r="N81" s="323">
        <v>44420.9</v>
      </c>
      <c r="O81" s="323">
        <v>44420.9</v>
      </c>
      <c r="P81" s="323">
        <v>44420.9</v>
      </c>
      <c r="Q81" s="323">
        <v>44420.9</v>
      </c>
      <c r="R81" s="323">
        <v>44420.9</v>
      </c>
      <c r="S81" s="323">
        <v>22432.799999999999</v>
      </c>
      <c r="T81" s="323">
        <v>22432.799999999999</v>
      </c>
      <c r="U81" s="323">
        <v>22432.799999999999</v>
      </c>
      <c r="V81" s="323">
        <v>378244.7</v>
      </c>
      <c r="W81" s="324" t="s">
        <v>2628</v>
      </c>
      <c r="X81" s="323">
        <v>823353</v>
      </c>
      <c r="Y81" s="323">
        <v>1077070</v>
      </c>
      <c r="Z81" s="323">
        <v>1098327</v>
      </c>
      <c r="AA81" s="323">
        <v>2998750</v>
      </c>
      <c r="AB81" s="306"/>
      <c r="AC81" s="306"/>
      <c r="AD81" s="306"/>
      <c r="AE81" s="306"/>
      <c r="AF81" s="306"/>
      <c r="AG81" s="306"/>
    </row>
    <row r="82" spans="1:33">
      <c r="A82" s="306" t="s">
        <v>2456</v>
      </c>
      <c r="B82" s="306" t="s">
        <v>2858</v>
      </c>
      <c r="C82" s="323">
        <v>56129</v>
      </c>
      <c r="D82" s="323">
        <v>16838.7</v>
      </c>
      <c r="E82" s="323">
        <v>39290.300000000003</v>
      </c>
      <c r="F82" s="323">
        <v>50796</v>
      </c>
      <c r="G82" s="323">
        <v>53986</v>
      </c>
      <c r="H82" s="323">
        <v>57913</v>
      </c>
      <c r="I82" s="323">
        <v>162695</v>
      </c>
      <c r="J82" s="323">
        <v>16269.5</v>
      </c>
      <c r="K82" s="306"/>
      <c r="L82" s="323">
        <v>21882.400000000001</v>
      </c>
      <c r="M82" s="323">
        <v>21882.400000000001</v>
      </c>
      <c r="N82" s="323">
        <v>21882.400000000001</v>
      </c>
      <c r="O82" s="323">
        <v>21882.400000000001</v>
      </c>
      <c r="P82" s="323">
        <v>21882.400000000001</v>
      </c>
      <c r="Q82" s="323">
        <v>21882.400000000001</v>
      </c>
      <c r="R82" s="323">
        <v>21882.400000000001</v>
      </c>
      <c r="S82" s="323">
        <v>16269.5</v>
      </c>
      <c r="T82" s="323">
        <v>16269.5</v>
      </c>
      <c r="U82" s="323">
        <v>16269.5</v>
      </c>
      <c r="V82" s="323">
        <v>201985.3</v>
      </c>
      <c r="W82" s="324" t="s">
        <v>2628</v>
      </c>
      <c r="X82" s="323">
        <v>244448</v>
      </c>
      <c r="Y82" s="323">
        <v>179294</v>
      </c>
      <c r="Z82" s="323">
        <v>165555</v>
      </c>
      <c r="AA82" s="323">
        <v>589297</v>
      </c>
      <c r="AB82" s="306"/>
      <c r="AC82" s="306"/>
      <c r="AD82" s="306"/>
      <c r="AE82" s="306"/>
      <c r="AF82" s="306"/>
      <c r="AG82" s="306"/>
    </row>
    <row r="83" spans="1:33">
      <c r="A83" s="306" t="s">
        <v>2457</v>
      </c>
      <c r="B83" s="306" t="s">
        <v>2859</v>
      </c>
      <c r="C83" s="323">
        <v>603860</v>
      </c>
      <c r="D83" s="323">
        <v>181158</v>
      </c>
      <c r="E83" s="323">
        <v>422702</v>
      </c>
      <c r="F83" s="323">
        <v>66959</v>
      </c>
      <c r="G83" s="323">
        <v>209402</v>
      </c>
      <c r="H83" s="323">
        <v>282921</v>
      </c>
      <c r="I83" s="323">
        <v>559282</v>
      </c>
      <c r="J83" s="323">
        <v>55928.2</v>
      </c>
      <c r="K83" s="306"/>
      <c r="L83" s="323">
        <v>116314.2</v>
      </c>
      <c r="M83" s="323">
        <v>116314.2</v>
      </c>
      <c r="N83" s="323">
        <v>116314.2</v>
      </c>
      <c r="O83" s="323">
        <v>116314.2</v>
      </c>
      <c r="P83" s="323">
        <v>116314.2</v>
      </c>
      <c r="Q83" s="323">
        <v>116314.2</v>
      </c>
      <c r="R83" s="323">
        <v>116314.2</v>
      </c>
      <c r="S83" s="323">
        <v>55928.2</v>
      </c>
      <c r="T83" s="323">
        <v>55928.2</v>
      </c>
      <c r="U83" s="323">
        <v>55928.2</v>
      </c>
      <c r="V83" s="323">
        <v>981983.99999999977</v>
      </c>
      <c r="W83" s="324" t="s">
        <v>2628</v>
      </c>
      <c r="X83" s="323">
        <v>2945519</v>
      </c>
      <c r="Y83" s="323">
        <v>3141237</v>
      </c>
      <c r="Z83" s="323">
        <v>2989920</v>
      </c>
      <c r="AA83" s="323">
        <v>9076676</v>
      </c>
      <c r="AB83" s="306"/>
      <c r="AC83" s="306"/>
      <c r="AD83" s="306"/>
      <c r="AE83" s="306"/>
      <c r="AF83" s="306"/>
      <c r="AG83" s="306"/>
    </row>
    <row r="84" spans="1:33">
      <c r="A84" s="306" t="s">
        <v>2458</v>
      </c>
      <c r="B84" s="306" t="s">
        <v>2860</v>
      </c>
      <c r="C84" s="323">
        <v>122765</v>
      </c>
      <c r="D84" s="323">
        <v>36829.5</v>
      </c>
      <c r="E84" s="323">
        <v>85935.5</v>
      </c>
      <c r="F84" s="323"/>
      <c r="G84" s="323"/>
      <c r="H84" s="323"/>
      <c r="I84" s="323">
        <v>0</v>
      </c>
      <c r="J84" s="323">
        <v>0</v>
      </c>
      <c r="K84" s="306"/>
      <c r="L84" s="323">
        <v>12276.5</v>
      </c>
      <c r="M84" s="323">
        <v>12276.5</v>
      </c>
      <c r="N84" s="323">
        <v>12276.5</v>
      </c>
      <c r="O84" s="323">
        <v>12276.5</v>
      </c>
      <c r="P84" s="323">
        <v>12276.5</v>
      </c>
      <c r="Q84" s="323">
        <v>12276.5</v>
      </c>
      <c r="R84" s="323">
        <v>12276.5</v>
      </c>
      <c r="S84" s="323">
        <v>0</v>
      </c>
      <c r="T84" s="323">
        <v>0</v>
      </c>
      <c r="U84" s="323">
        <v>0</v>
      </c>
      <c r="V84" s="323">
        <v>85935.5</v>
      </c>
      <c r="W84" s="324" t="s">
        <v>2628</v>
      </c>
      <c r="X84" s="323">
        <v>614633</v>
      </c>
      <c r="Y84" s="323">
        <v>624452</v>
      </c>
      <c r="Z84" s="323">
        <v>573289</v>
      </c>
      <c r="AA84" s="323">
        <v>1812374</v>
      </c>
      <c r="AB84" s="306"/>
      <c r="AC84" s="306"/>
      <c r="AD84" s="306"/>
      <c r="AE84" s="306"/>
      <c r="AF84" s="306"/>
      <c r="AG84" s="306"/>
    </row>
    <row r="85" spans="1:33">
      <c r="A85" s="306" t="s">
        <v>2459</v>
      </c>
      <c r="B85" s="306" t="s">
        <v>2861</v>
      </c>
      <c r="C85" s="323"/>
      <c r="D85" s="323">
        <v>0</v>
      </c>
      <c r="E85" s="323">
        <v>0</v>
      </c>
      <c r="F85" s="323"/>
      <c r="G85" s="323"/>
      <c r="H85" s="323"/>
      <c r="I85" s="323">
        <v>0</v>
      </c>
      <c r="J85" s="323">
        <v>0</v>
      </c>
      <c r="K85" s="306"/>
      <c r="L85" s="323">
        <v>0</v>
      </c>
      <c r="M85" s="323">
        <v>0</v>
      </c>
      <c r="N85" s="323">
        <v>0</v>
      </c>
      <c r="O85" s="323">
        <v>0</v>
      </c>
      <c r="P85" s="323">
        <v>0</v>
      </c>
      <c r="Q85" s="323">
        <v>0</v>
      </c>
      <c r="R85" s="323">
        <v>0</v>
      </c>
      <c r="S85" s="323">
        <v>0</v>
      </c>
      <c r="T85" s="323">
        <v>0</v>
      </c>
      <c r="U85" s="323">
        <v>0</v>
      </c>
      <c r="V85" s="323">
        <v>0</v>
      </c>
      <c r="W85" s="324" t="s">
        <v>2628</v>
      </c>
      <c r="X85" s="323"/>
      <c r="Y85" s="323"/>
      <c r="Z85" s="323"/>
      <c r="AA85" s="323">
        <v>0</v>
      </c>
      <c r="AB85" s="306"/>
      <c r="AC85" s="306"/>
      <c r="AD85" s="306"/>
      <c r="AE85" s="306"/>
      <c r="AF85" s="306"/>
      <c r="AG85" s="306"/>
    </row>
    <row r="86" spans="1:33">
      <c r="A86" s="306" t="s">
        <v>2460</v>
      </c>
      <c r="B86" s="306" t="s">
        <v>2862</v>
      </c>
      <c r="C86" s="323">
        <v>5337</v>
      </c>
      <c r="D86" s="323">
        <v>1601.1</v>
      </c>
      <c r="E86" s="323">
        <v>3735.9</v>
      </c>
      <c r="F86" s="323">
        <v>5992</v>
      </c>
      <c r="G86" s="323">
        <v>6368</v>
      </c>
      <c r="H86" s="323">
        <v>6832</v>
      </c>
      <c r="I86" s="323">
        <v>19192</v>
      </c>
      <c r="J86" s="323">
        <v>1919.2</v>
      </c>
      <c r="K86" s="306"/>
      <c r="L86" s="323">
        <v>2452.9</v>
      </c>
      <c r="M86" s="323">
        <v>2452.9</v>
      </c>
      <c r="N86" s="323">
        <v>2452.9</v>
      </c>
      <c r="O86" s="323">
        <v>2452.9</v>
      </c>
      <c r="P86" s="323">
        <v>2452.9</v>
      </c>
      <c r="Q86" s="323">
        <v>2452.9</v>
      </c>
      <c r="R86" s="323">
        <v>2452.9</v>
      </c>
      <c r="S86" s="323">
        <v>1919.2</v>
      </c>
      <c r="T86" s="323">
        <v>1919.2</v>
      </c>
      <c r="U86" s="323">
        <v>1919.2</v>
      </c>
      <c r="V86" s="323">
        <v>22927.9</v>
      </c>
      <c r="W86" s="324" t="s">
        <v>2628</v>
      </c>
      <c r="X86" s="323">
        <v>30043</v>
      </c>
      <c r="Y86" s="323">
        <v>29762</v>
      </c>
      <c r="Z86" s="323">
        <v>26068</v>
      </c>
      <c r="AA86" s="323">
        <v>85873</v>
      </c>
      <c r="AB86" s="306"/>
      <c r="AC86" s="306"/>
      <c r="AD86" s="306"/>
      <c r="AE86" s="306"/>
      <c r="AF86" s="306"/>
      <c r="AG86" s="306"/>
    </row>
    <row r="87" spans="1:33">
      <c r="A87" s="306" t="s">
        <v>2461</v>
      </c>
      <c r="B87" s="306" t="s">
        <v>2863</v>
      </c>
      <c r="C87" s="323">
        <v>4960</v>
      </c>
      <c r="D87" s="323">
        <v>1488</v>
      </c>
      <c r="E87" s="323">
        <v>3472</v>
      </c>
      <c r="F87" s="323">
        <v>3402</v>
      </c>
      <c r="G87" s="323">
        <v>3616</v>
      </c>
      <c r="H87" s="323">
        <v>3879</v>
      </c>
      <c r="I87" s="323">
        <v>10897</v>
      </c>
      <c r="J87" s="323">
        <v>1089.7</v>
      </c>
      <c r="K87" s="306"/>
      <c r="L87" s="323">
        <v>1585.7</v>
      </c>
      <c r="M87" s="323">
        <v>1585.7</v>
      </c>
      <c r="N87" s="323">
        <v>1585.7</v>
      </c>
      <c r="O87" s="323">
        <v>1585.7</v>
      </c>
      <c r="P87" s="323">
        <v>1585.7</v>
      </c>
      <c r="Q87" s="323">
        <v>1585.7</v>
      </c>
      <c r="R87" s="323">
        <v>1585.7</v>
      </c>
      <c r="S87" s="323">
        <v>1089.7</v>
      </c>
      <c r="T87" s="323">
        <v>1089.7</v>
      </c>
      <c r="U87" s="323">
        <v>1089.7</v>
      </c>
      <c r="V87" s="323">
        <v>14369.000000000004</v>
      </c>
      <c r="W87" s="324" t="s">
        <v>2628</v>
      </c>
      <c r="X87" s="323">
        <v>24901</v>
      </c>
      <c r="Y87" s="323">
        <v>23316</v>
      </c>
      <c r="Z87" s="323">
        <v>21335</v>
      </c>
      <c r="AA87" s="323">
        <v>69552</v>
      </c>
      <c r="AB87" s="306"/>
      <c r="AC87" s="306"/>
      <c r="AD87" s="306"/>
      <c r="AE87" s="306"/>
      <c r="AF87" s="306"/>
      <c r="AG87" s="306"/>
    </row>
    <row r="88" spans="1:33">
      <c r="A88" s="306" t="s">
        <v>2462</v>
      </c>
      <c r="B88" s="306" t="s">
        <v>2864</v>
      </c>
      <c r="C88" s="323"/>
      <c r="D88" s="323">
        <v>0</v>
      </c>
      <c r="E88" s="323">
        <v>0</v>
      </c>
      <c r="F88" s="323"/>
      <c r="G88" s="323"/>
      <c r="H88" s="323"/>
      <c r="I88" s="323">
        <v>0</v>
      </c>
      <c r="J88" s="323">
        <v>0</v>
      </c>
      <c r="K88" s="306"/>
      <c r="L88" s="323">
        <v>0</v>
      </c>
      <c r="M88" s="323">
        <v>0</v>
      </c>
      <c r="N88" s="323">
        <v>0</v>
      </c>
      <c r="O88" s="323">
        <v>0</v>
      </c>
      <c r="P88" s="323">
        <v>0</v>
      </c>
      <c r="Q88" s="323">
        <v>0</v>
      </c>
      <c r="R88" s="323">
        <v>0</v>
      </c>
      <c r="S88" s="323">
        <v>0</v>
      </c>
      <c r="T88" s="323">
        <v>0</v>
      </c>
      <c r="U88" s="323">
        <v>0</v>
      </c>
      <c r="V88" s="323">
        <v>0</v>
      </c>
      <c r="W88" s="324" t="s">
        <v>2628</v>
      </c>
      <c r="X88" s="323"/>
      <c r="Y88" s="323"/>
      <c r="Z88" s="323"/>
      <c r="AA88" s="323">
        <v>0</v>
      </c>
      <c r="AB88" s="306"/>
      <c r="AC88" s="306"/>
      <c r="AD88" s="306"/>
      <c r="AE88" s="306"/>
      <c r="AF88" s="306"/>
      <c r="AG88" s="306"/>
    </row>
    <row r="89" spans="1:33">
      <c r="A89" s="306" t="s">
        <v>2551</v>
      </c>
      <c r="B89" s="306" t="s">
        <v>2865</v>
      </c>
      <c r="C89" s="323">
        <v>3325</v>
      </c>
      <c r="D89" s="323">
        <v>997.5</v>
      </c>
      <c r="E89" s="323">
        <v>2327.5</v>
      </c>
      <c r="F89" s="323"/>
      <c r="G89" s="323"/>
      <c r="H89" s="323"/>
      <c r="I89" s="323">
        <v>0</v>
      </c>
      <c r="J89" s="323">
        <v>0</v>
      </c>
      <c r="K89" s="306"/>
      <c r="L89" s="323">
        <v>332.5</v>
      </c>
      <c r="M89" s="323">
        <v>332.5</v>
      </c>
      <c r="N89" s="323">
        <v>332.5</v>
      </c>
      <c r="O89" s="323">
        <v>332.5</v>
      </c>
      <c r="P89" s="323">
        <v>332.5</v>
      </c>
      <c r="Q89" s="323">
        <v>332.5</v>
      </c>
      <c r="R89" s="323">
        <v>332.5</v>
      </c>
      <c r="S89" s="323">
        <v>0</v>
      </c>
      <c r="T89" s="323">
        <v>0</v>
      </c>
      <c r="U89" s="323">
        <v>0</v>
      </c>
      <c r="V89" s="323">
        <v>2327.5</v>
      </c>
      <c r="W89" s="324" t="s">
        <v>2628</v>
      </c>
      <c r="X89" s="323">
        <v>17892</v>
      </c>
      <c r="Y89" s="323">
        <v>17029</v>
      </c>
      <c r="Z89" s="323">
        <v>16385</v>
      </c>
      <c r="AA89" s="323">
        <v>51306</v>
      </c>
      <c r="AB89" s="306"/>
      <c r="AC89" s="306"/>
      <c r="AD89" s="306"/>
      <c r="AE89" s="306"/>
      <c r="AF89" s="306"/>
      <c r="AG89" s="306"/>
    </row>
    <row r="90" spans="1:33">
      <c r="A90" s="306" t="s">
        <v>2597</v>
      </c>
      <c r="B90" s="306" t="s">
        <v>2866</v>
      </c>
      <c r="C90" s="323"/>
      <c r="D90" s="323">
        <v>0</v>
      </c>
      <c r="E90" s="323">
        <v>0</v>
      </c>
      <c r="F90" s="323"/>
      <c r="G90" s="323"/>
      <c r="H90" s="323"/>
      <c r="I90" s="323">
        <v>0</v>
      </c>
      <c r="J90" s="323">
        <v>0</v>
      </c>
      <c r="K90" s="306"/>
      <c r="L90" s="323">
        <v>0</v>
      </c>
      <c r="M90" s="323">
        <v>0</v>
      </c>
      <c r="N90" s="323">
        <v>0</v>
      </c>
      <c r="O90" s="323">
        <v>0</v>
      </c>
      <c r="P90" s="323">
        <v>0</v>
      </c>
      <c r="Q90" s="323">
        <v>0</v>
      </c>
      <c r="R90" s="323">
        <v>0</v>
      </c>
      <c r="S90" s="323">
        <v>0</v>
      </c>
      <c r="T90" s="323">
        <v>0</v>
      </c>
      <c r="U90" s="323">
        <v>0</v>
      </c>
      <c r="V90" s="323">
        <v>0</v>
      </c>
      <c r="W90" s="324" t="s">
        <v>2628</v>
      </c>
      <c r="X90" s="323"/>
      <c r="Y90" s="323"/>
      <c r="Z90" s="323"/>
      <c r="AA90" s="323">
        <v>0</v>
      </c>
      <c r="AB90" s="306"/>
      <c r="AC90" s="306"/>
      <c r="AD90" s="306"/>
      <c r="AE90" s="306"/>
      <c r="AF90" s="306"/>
      <c r="AG90" s="306"/>
    </row>
    <row r="91" spans="1:33">
      <c r="A91" s="306" t="s">
        <v>2552</v>
      </c>
      <c r="B91" s="306" t="s">
        <v>2867</v>
      </c>
      <c r="C91" s="323">
        <v>2691</v>
      </c>
      <c r="D91" s="323">
        <v>807.3</v>
      </c>
      <c r="E91" s="323">
        <v>1883.7</v>
      </c>
      <c r="F91" s="323"/>
      <c r="G91" s="323"/>
      <c r="H91" s="323"/>
      <c r="I91" s="323">
        <v>0</v>
      </c>
      <c r="J91" s="323">
        <v>0</v>
      </c>
      <c r="K91" s="306"/>
      <c r="L91" s="323">
        <v>269.10000000000002</v>
      </c>
      <c r="M91" s="323">
        <v>269.10000000000002</v>
      </c>
      <c r="N91" s="323">
        <v>269.10000000000002</v>
      </c>
      <c r="O91" s="323">
        <v>269.10000000000002</v>
      </c>
      <c r="P91" s="323">
        <v>269.10000000000002</v>
      </c>
      <c r="Q91" s="323">
        <v>269.10000000000002</v>
      </c>
      <c r="R91" s="323">
        <v>269.10000000000002</v>
      </c>
      <c r="S91" s="323">
        <v>0</v>
      </c>
      <c r="T91" s="323">
        <v>0</v>
      </c>
      <c r="U91" s="323">
        <v>0</v>
      </c>
      <c r="V91" s="323">
        <v>1883.6999999999998</v>
      </c>
      <c r="W91" s="324" t="s">
        <v>2628</v>
      </c>
      <c r="X91" s="323">
        <v>15113</v>
      </c>
      <c r="Y91" s="323">
        <v>15031</v>
      </c>
      <c r="Z91" s="323">
        <v>13697</v>
      </c>
      <c r="AA91" s="323">
        <v>43841</v>
      </c>
      <c r="AB91" s="306"/>
      <c r="AC91" s="306"/>
      <c r="AD91" s="306"/>
      <c r="AE91" s="306"/>
      <c r="AF91" s="306"/>
      <c r="AG91" s="306"/>
    </row>
    <row r="92" spans="1:33">
      <c r="A92" s="306" t="s">
        <v>3010</v>
      </c>
      <c r="B92" s="306" t="s">
        <v>2499</v>
      </c>
      <c r="C92" s="323"/>
      <c r="D92" s="323">
        <v>0</v>
      </c>
      <c r="E92" s="323">
        <v>0</v>
      </c>
      <c r="F92" s="323"/>
      <c r="G92" s="323"/>
      <c r="H92" s="323"/>
      <c r="I92" s="323">
        <v>0</v>
      </c>
      <c r="J92" s="323">
        <v>0</v>
      </c>
      <c r="K92" s="306"/>
      <c r="L92" s="323">
        <v>0</v>
      </c>
      <c r="M92" s="323">
        <v>0</v>
      </c>
      <c r="N92" s="323">
        <v>0</v>
      </c>
      <c r="O92" s="323">
        <v>0</v>
      </c>
      <c r="P92" s="323">
        <v>0</v>
      </c>
      <c r="Q92" s="323">
        <v>0</v>
      </c>
      <c r="R92" s="323">
        <v>0</v>
      </c>
      <c r="S92" s="323">
        <v>0</v>
      </c>
      <c r="T92" s="323">
        <v>0</v>
      </c>
      <c r="U92" s="323">
        <v>0</v>
      </c>
      <c r="V92" s="323">
        <v>0</v>
      </c>
      <c r="W92" s="324" t="s">
        <v>2628</v>
      </c>
      <c r="X92" s="323"/>
      <c r="Y92" s="323"/>
      <c r="Z92" s="323"/>
      <c r="AA92" s="323">
        <v>0</v>
      </c>
      <c r="AB92" s="306"/>
      <c r="AC92" s="306"/>
      <c r="AD92" s="306"/>
      <c r="AE92" s="306"/>
      <c r="AF92" s="306"/>
      <c r="AG92" s="306"/>
    </row>
    <row r="93" spans="1:33">
      <c r="A93" s="306" t="s">
        <v>2308</v>
      </c>
      <c r="B93" s="306" t="s">
        <v>2499</v>
      </c>
      <c r="C93" s="323"/>
      <c r="D93" s="323">
        <v>0</v>
      </c>
      <c r="E93" s="323">
        <v>0</v>
      </c>
      <c r="F93" s="323"/>
      <c r="G93" s="323"/>
      <c r="H93" s="323"/>
      <c r="I93" s="323">
        <v>0</v>
      </c>
      <c r="J93" s="323">
        <v>0</v>
      </c>
      <c r="K93" s="306"/>
      <c r="L93" s="323">
        <v>0</v>
      </c>
      <c r="M93" s="323">
        <v>0</v>
      </c>
      <c r="N93" s="323">
        <v>0</v>
      </c>
      <c r="O93" s="323">
        <v>0</v>
      </c>
      <c r="P93" s="323">
        <v>0</v>
      </c>
      <c r="Q93" s="323">
        <v>0</v>
      </c>
      <c r="R93" s="323">
        <v>0</v>
      </c>
      <c r="S93" s="323">
        <v>0</v>
      </c>
      <c r="T93" s="323">
        <v>0</v>
      </c>
      <c r="U93" s="323">
        <v>0</v>
      </c>
      <c r="V93" s="323">
        <v>0</v>
      </c>
      <c r="W93" s="324" t="s">
        <v>466</v>
      </c>
      <c r="X93" s="323"/>
      <c r="Y93" s="323"/>
      <c r="Z93" s="323"/>
      <c r="AA93" s="323">
        <v>0</v>
      </c>
      <c r="AB93" s="306"/>
      <c r="AC93" s="306"/>
      <c r="AD93" s="306"/>
      <c r="AE93" s="306"/>
      <c r="AF93" s="306"/>
      <c r="AG93" s="306"/>
    </row>
    <row r="94" spans="1:33">
      <c r="A94" s="306" t="s">
        <v>2311</v>
      </c>
      <c r="B94" s="306" t="s">
        <v>2311</v>
      </c>
      <c r="C94" s="323">
        <v>91</v>
      </c>
      <c r="D94" s="323">
        <v>27.3</v>
      </c>
      <c r="E94" s="323">
        <v>63.7</v>
      </c>
      <c r="F94" s="323"/>
      <c r="G94" s="323"/>
      <c r="H94" s="323"/>
      <c r="I94" s="323">
        <v>0</v>
      </c>
      <c r="J94" s="323">
        <v>0</v>
      </c>
      <c r="K94" s="306"/>
      <c r="L94" s="323">
        <v>9.1</v>
      </c>
      <c r="M94" s="323">
        <v>9.1</v>
      </c>
      <c r="N94" s="323">
        <v>9.1</v>
      </c>
      <c r="O94" s="323">
        <v>9.1</v>
      </c>
      <c r="P94" s="323">
        <v>9.1</v>
      </c>
      <c r="Q94" s="323">
        <v>9.1</v>
      </c>
      <c r="R94" s="323">
        <v>9.1</v>
      </c>
      <c r="S94" s="323">
        <v>0</v>
      </c>
      <c r="T94" s="323">
        <v>0</v>
      </c>
      <c r="U94" s="323">
        <v>0</v>
      </c>
      <c r="V94" s="323">
        <v>63.7</v>
      </c>
      <c r="W94" s="324" t="s">
        <v>466</v>
      </c>
      <c r="X94" s="323">
        <v>1229</v>
      </c>
      <c r="Y94" s="323">
        <v>1306</v>
      </c>
      <c r="Z94" s="323">
        <v>1401</v>
      </c>
      <c r="AA94" s="323">
        <v>3936</v>
      </c>
      <c r="AB94" s="306"/>
      <c r="AC94" s="306"/>
      <c r="AD94" s="306"/>
      <c r="AE94" s="306"/>
      <c r="AF94" s="306"/>
      <c r="AG94" s="306"/>
    </row>
    <row r="95" spans="1:33">
      <c r="A95" s="306" t="s">
        <v>2324</v>
      </c>
      <c r="B95" s="306" t="s">
        <v>2324</v>
      </c>
      <c r="C95" s="323">
        <v>39044</v>
      </c>
      <c r="D95" s="323">
        <v>11713.199999999999</v>
      </c>
      <c r="E95" s="323">
        <v>27330.800000000003</v>
      </c>
      <c r="F95" s="323"/>
      <c r="G95" s="323"/>
      <c r="H95" s="323"/>
      <c r="I95" s="323">
        <v>0</v>
      </c>
      <c r="J95" s="323">
        <v>0</v>
      </c>
      <c r="K95" s="306"/>
      <c r="L95" s="323">
        <v>3904.4000000000005</v>
      </c>
      <c r="M95" s="323">
        <v>3904.4000000000005</v>
      </c>
      <c r="N95" s="323">
        <v>3904.4000000000005</v>
      </c>
      <c r="O95" s="323">
        <v>3904.4000000000005</v>
      </c>
      <c r="P95" s="323">
        <v>3904.4000000000005</v>
      </c>
      <c r="Q95" s="323">
        <v>3904.4000000000005</v>
      </c>
      <c r="R95" s="323">
        <v>3904.4000000000005</v>
      </c>
      <c r="S95" s="323">
        <v>0</v>
      </c>
      <c r="T95" s="323">
        <v>0</v>
      </c>
      <c r="U95" s="323">
        <v>0</v>
      </c>
      <c r="V95" s="323">
        <v>27330.800000000007</v>
      </c>
      <c r="W95" s="324" t="s">
        <v>466</v>
      </c>
      <c r="X95" s="323">
        <v>507350</v>
      </c>
      <c r="Y95" s="323">
        <v>517183</v>
      </c>
      <c r="Z95" s="323">
        <v>490036</v>
      </c>
      <c r="AA95" s="323">
        <v>1514569</v>
      </c>
      <c r="AB95" s="306"/>
      <c r="AC95" s="306"/>
      <c r="AD95" s="306"/>
      <c r="AE95" s="306"/>
      <c r="AF95" s="306"/>
      <c r="AG95" s="306"/>
    </row>
    <row r="96" spans="1:33">
      <c r="A96" s="306" t="s">
        <v>2314</v>
      </c>
      <c r="B96" s="306" t="s">
        <v>2314</v>
      </c>
      <c r="C96" s="323">
        <v>5634</v>
      </c>
      <c r="D96" s="323">
        <v>1690.2</v>
      </c>
      <c r="E96" s="323">
        <v>3943.8</v>
      </c>
      <c r="F96" s="323">
        <v>231031</v>
      </c>
      <c r="G96" s="323">
        <v>245538</v>
      </c>
      <c r="H96" s="323">
        <v>263398</v>
      </c>
      <c r="I96" s="323">
        <v>739967</v>
      </c>
      <c r="J96" s="323">
        <v>73996.7</v>
      </c>
      <c r="K96" s="306"/>
      <c r="L96" s="323">
        <v>74560.099999999991</v>
      </c>
      <c r="M96" s="323">
        <v>74560.099999999991</v>
      </c>
      <c r="N96" s="323">
        <v>74560.099999999991</v>
      </c>
      <c r="O96" s="323">
        <v>74560.099999999991</v>
      </c>
      <c r="P96" s="323">
        <v>74560.099999999991</v>
      </c>
      <c r="Q96" s="323">
        <v>74560.099999999991</v>
      </c>
      <c r="R96" s="323">
        <v>74560.099999999991</v>
      </c>
      <c r="S96" s="323">
        <v>73996.7</v>
      </c>
      <c r="T96" s="323">
        <v>73996.7</v>
      </c>
      <c r="U96" s="323">
        <v>73996.7</v>
      </c>
      <c r="V96" s="323">
        <v>743910.79999999981</v>
      </c>
      <c r="W96" s="324" t="s">
        <v>466</v>
      </c>
      <c r="X96" s="323">
        <v>75708</v>
      </c>
      <c r="Y96" s="323">
        <v>74364</v>
      </c>
      <c r="Z96" s="323">
        <v>65948</v>
      </c>
      <c r="AA96" s="323">
        <v>216020</v>
      </c>
      <c r="AB96" s="306"/>
      <c r="AC96" s="306"/>
      <c r="AD96" s="306"/>
      <c r="AE96" s="306"/>
      <c r="AF96" s="306"/>
      <c r="AG96" s="306"/>
    </row>
    <row r="97" spans="1:33">
      <c r="A97" s="306" t="s">
        <v>2312</v>
      </c>
      <c r="B97" s="306" t="s">
        <v>2312</v>
      </c>
      <c r="C97" s="323">
        <v>109025</v>
      </c>
      <c r="D97" s="323">
        <v>32707.5</v>
      </c>
      <c r="E97" s="323">
        <v>76317.5</v>
      </c>
      <c r="F97" s="323"/>
      <c r="G97" s="323"/>
      <c r="H97" s="323"/>
      <c r="I97" s="323">
        <v>0</v>
      </c>
      <c r="J97" s="323">
        <v>0</v>
      </c>
      <c r="K97" s="306"/>
      <c r="L97" s="323">
        <v>10902.5</v>
      </c>
      <c r="M97" s="323">
        <v>10902.5</v>
      </c>
      <c r="N97" s="323">
        <v>10902.5</v>
      </c>
      <c r="O97" s="323">
        <v>10902.5</v>
      </c>
      <c r="P97" s="323">
        <v>10902.5</v>
      </c>
      <c r="Q97" s="323">
        <v>10902.5</v>
      </c>
      <c r="R97" s="323">
        <v>10902.5</v>
      </c>
      <c r="S97" s="323">
        <v>0</v>
      </c>
      <c r="T97" s="323">
        <v>0</v>
      </c>
      <c r="U97" s="323">
        <v>0</v>
      </c>
      <c r="V97" s="323">
        <v>76317.5</v>
      </c>
      <c r="W97" s="324" t="s">
        <v>466</v>
      </c>
      <c r="X97" s="323">
        <v>435730</v>
      </c>
      <c r="Y97" s="323">
        <v>710925</v>
      </c>
      <c r="Z97" s="323">
        <v>751850</v>
      </c>
      <c r="AA97" s="323">
        <v>1898505</v>
      </c>
      <c r="AB97" s="306"/>
      <c r="AC97" s="306"/>
      <c r="AD97" s="306"/>
      <c r="AE97" s="306"/>
      <c r="AF97" s="306"/>
      <c r="AG97" s="306"/>
    </row>
    <row r="98" spans="1:33">
      <c r="A98" s="306" t="s">
        <v>2310</v>
      </c>
      <c r="B98" s="306" t="s">
        <v>2310</v>
      </c>
      <c r="C98" s="323">
        <v>82607</v>
      </c>
      <c r="D98" s="323">
        <v>24782.1</v>
      </c>
      <c r="E98" s="323">
        <v>57824.9</v>
      </c>
      <c r="F98" s="323"/>
      <c r="G98" s="323"/>
      <c r="H98" s="323"/>
      <c r="I98" s="323">
        <v>0</v>
      </c>
      <c r="J98" s="323">
        <v>0</v>
      </c>
      <c r="K98" s="306"/>
      <c r="L98" s="323">
        <v>8260.7000000000007</v>
      </c>
      <c r="M98" s="323">
        <v>8260.7000000000007</v>
      </c>
      <c r="N98" s="323">
        <v>8260.7000000000007</v>
      </c>
      <c r="O98" s="323">
        <v>8260.7000000000007</v>
      </c>
      <c r="P98" s="323">
        <v>8260.7000000000007</v>
      </c>
      <c r="Q98" s="323">
        <v>8260.7000000000007</v>
      </c>
      <c r="R98" s="323">
        <v>8260.7000000000007</v>
      </c>
      <c r="S98" s="323">
        <v>0</v>
      </c>
      <c r="T98" s="323">
        <v>0</v>
      </c>
      <c r="U98" s="323">
        <v>0</v>
      </c>
      <c r="V98" s="323">
        <v>57824.899999999994</v>
      </c>
      <c r="W98" s="324" t="s">
        <v>466</v>
      </c>
      <c r="X98" s="323">
        <v>43269</v>
      </c>
      <c r="Y98" s="323">
        <v>21559</v>
      </c>
      <c r="Z98" s="323">
        <v>-80878</v>
      </c>
      <c r="AA98" s="323">
        <v>-16050</v>
      </c>
      <c r="AB98" s="306"/>
      <c r="AC98" s="306"/>
      <c r="AD98" s="306"/>
      <c r="AE98" s="306"/>
      <c r="AF98" s="306"/>
      <c r="AG98" s="306"/>
    </row>
    <row r="99" spans="1:33">
      <c r="A99" s="306" t="s">
        <v>2325</v>
      </c>
      <c r="B99" s="306" t="s">
        <v>2325</v>
      </c>
      <c r="C99" s="323">
        <v>202130</v>
      </c>
      <c r="D99" s="323">
        <v>60639</v>
      </c>
      <c r="E99" s="323">
        <v>141491</v>
      </c>
      <c r="F99" s="323"/>
      <c r="G99" s="323"/>
      <c r="H99" s="323"/>
      <c r="I99" s="323">
        <v>0</v>
      </c>
      <c r="J99" s="323">
        <v>0</v>
      </c>
      <c r="K99" s="306"/>
      <c r="L99" s="323">
        <v>20213</v>
      </c>
      <c r="M99" s="323">
        <v>20213</v>
      </c>
      <c r="N99" s="323">
        <v>20213</v>
      </c>
      <c r="O99" s="323">
        <v>20213</v>
      </c>
      <c r="P99" s="323">
        <v>20213</v>
      </c>
      <c r="Q99" s="323">
        <v>20213</v>
      </c>
      <c r="R99" s="323">
        <v>20213</v>
      </c>
      <c r="S99" s="323">
        <v>0</v>
      </c>
      <c r="T99" s="323">
        <v>0</v>
      </c>
      <c r="U99" s="323">
        <v>0</v>
      </c>
      <c r="V99" s="323">
        <v>141491</v>
      </c>
      <c r="W99" s="324" t="s">
        <v>466</v>
      </c>
      <c r="X99" s="323">
        <v>347635</v>
      </c>
      <c r="Y99" s="323">
        <v>782358</v>
      </c>
      <c r="Z99" s="323">
        <v>1072760</v>
      </c>
      <c r="AA99" s="323">
        <v>2202753</v>
      </c>
      <c r="AB99" s="306"/>
      <c r="AC99" s="306"/>
      <c r="AD99" s="306"/>
      <c r="AE99" s="306"/>
      <c r="AF99" s="306"/>
      <c r="AG99" s="306"/>
    </row>
    <row r="100" spans="1:33">
      <c r="A100" s="306" t="s">
        <v>2323</v>
      </c>
      <c r="B100" s="306" t="s">
        <v>2323</v>
      </c>
      <c r="C100" s="323">
        <v>20898</v>
      </c>
      <c r="D100" s="323">
        <v>6269.4</v>
      </c>
      <c r="E100" s="323">
        <v>14628.6</v>
      </c>
      <c r="F100" s="323">
        <v>7475</v>
      </c>
      <c r="G100" s="323">
        <v>7944</v>
      </c>
      <c r="H100" s="323">
        <v>8522</v>
      </c>
      <c r="I100" s="323">
        <v>23941</v>
      </c>
      <c r="J100" s="323">
        <v>2394.1</v>
      </c>
      <c r="K100" s="306"/>
      <c r="L100" s="323">
        <v>4483.8999999999996</v>
      </c>
      <c r="M100" s="323">
        <v>4483.8999999999996</v>
      </c>
      <c r="N100" s="323">
        <v>4483.8999999999996</v>
      </c>
      <c r="O100" s="323">
        <v>4483.8999999999996</v>
      </c>
      <c r="P100" s="323">
        <v>4483.8999999999996</v>
      </c>
      <c r="Q100" s="323">
        <v>4483.8999999999996</v>
      </c>
      <c r="R100" s="323">
        <v>4483.8999999999996</v>
      </c>
      <c r="S100" s="323">
        <v>2394.1</v>
      </c>
      <c r="T100" s="323">
        <v>2394.1</v>
      </c>
      <c r="U100" s="323">
        <v>2394.1</v>
      </c>
      <c r="V100" s="323">
        <v>38569.599999999999</v>
      </c>
      <c r="W100" s="324" t="s">
        <v>466</v>
      </c>
      <c r="X100" s="323">
        <v>35693</v>
      </c>
      <c r="Y100" s="323">
        <v>61543</v>
      </c>
      <c r="Z100" s="323">
        <v>52909</v>
      </c>
      <c r="AA100" s="323">
        <v>150145</v>
      </c>
      <c r="AB100" s="306"/>
      <c r="AC100" s="306"/>
      <c r="AD100" s="306"/>
      <c r="AE100" s="306"/>
      <c r="AF100" s="306"/>
      <c r="AG100" s="306"/>
    </row>
    <row r="101" spans="1:33">
      <c r="A101" s="306" t="s">
        <v>2313</v>
      </c>
      <c r="B101" s="306" t="s">
        <v>2313</v>
      </c>
      <c r="C101" s="323">
        <v>1466</v>
      </c>
      <c r="D101" s="323">
        <v>439.8</v>
      </c>
      <c r="E101" s="323">
        <v>1026.2</v>
      </c>
      <c r="F101" s="323"/>
      <c r="G101" s="323"/>
      <c r="H101" s="323"/>
      <c r="I101" s="323">
        <v>0</v>
      </c>
      <c r="J101" s="323">
        <v>0</v>
      </c>
      <c r="K101" s="306"/>
      <c r="L101" s="323">
        <v>146.6</v>
      </c>
      <c r="M101" s="323">
        <v>146.6</v>
      </c>
      <c r="N101" s="323">
        <v>146.6</v>
      </c>
      <c r="O101" s="323">
        <v>146.6</v>
      </c>
      <c r="P101" s="323">
        <v>146.6</v>
      </c>
      <c r="Q101" s="323">
        <v>146.6</v>
      </c>
      <c r="R101" s="323">
        <v>146.6</v>
      </c>
      <c r="S101" s="323">
        <v>0</v>
      </c>
      <c r="T101" s="323">
        <v>0</v>
      </c>
      <c r="U101" s="323">
        <v>0</v>
      </c>
      <c r="V101" s="323">
        <v>1026.2</v>
      </c>
      <c r="W101" s="324" t="s">
        <v>466</v>
      </c>
      <c r="X101" s="323">
        <v>11557</v>
      </c>
      <c r="Y101" s="323">
        <v>-196</v>
      </c>
      <c r="Z101" s="323">
        <v>-210</v>
      </c>
      <c r="AA101" s="323">
        <v>11151</v>
      </c>
      <c r="AB101" s="306"/>
      <c r="AC101" s="306"/>
      <c r="AD101" s="306"/>
      <c r="AE101" s="306"/>
      <c r="AF101" s="306"/>
      <c r="AG101" s="306"/>
    </row>
    <row r="102" spans="1:33">
      <c r="A102" s="306" t="s">
        <v>2309</v>
      </c>
      <c r="B102" s="306" t="s">
        <v>2309</v>
      </c>
      <c r="C102" s="323">
        <v>180</v>
      </c>
      <c r="D102" s="323">
        <v>54</v>
      </c>
      <c r="E102" s="323">
        <v>126</v>
      </c>
      <c r="F102" s="323"/>
      <c r="G102" s="323"/>
      <c r="H102" s="323"/>
      <c r="I102" s="323">
        <v>0</v>
      </c>
      <c r="J102" s="323">
        <v>0</v>
      </c>
      <c r="K102" s="306"/>
      <c r="L102" s="323">
        <v>18</v>
      </c>
      <c r="M102" s="323">
        <v>18</v>
      </c>
      <c r="N102" s="323">
        <v>18</v>
      </c>
      <c r="O102" s="323">
        <v>18</v>
      </c>
      <c r="P102" s="323">
        <v>18</v>
      </c>
      <c r="Q102" s="323">
        <v>18</v>
      </c>
      <c r="R102" s="323">
        <v>18</v>
      </c>
      <c r="S102" s="323">
        <v>0</v>
      </c>
      <c r="T102" s="323">
        <v>0</v>
      </c>
      <c r="U102" s="323">
        <v>0</v>
      </c>
      <c r="V102" s="323">
        <v>126</v>
      </c>
      <c r="W102" s="324" t="s">
        <v>466</v>
      </c>
      <c r="X102" s="323">
        <v>2433</v>
      </c>
      <c r="Y102" s="323">
        <v>2419</v>
      </c>
      <c r="Z102" s="323">
        <v>2231</v>
      </c>
      <c r="AA102" s="323">
        <v>7083</v>
      </c>
      <c r="AB102" s="306"/>
      <c r="AC102" s="306"/>
      <c r="AD102" s="306"/>
      <c r="AE102" s="306"/>
      <c r="AF102" s="306"/>
      <c r="AG102" s="306"/>
    </row>
    <row r="103" spans="1:33">
      <c r="A103" s="306" t="s">
        <v>2322</v>
      </c>
      <c r="B103" s="306" t="s">
        <v>2322</v>
      </c>
      <c r="C103" s="323">
        <v>1588</v>
      </c>
      <c r="D103" s="323">
        <v>476.4</v>
      </c>
      <c r="E103" s="323">
        <v>1111.5999999999999</v>
      </c>
      <c r="F103" s="323"/>
      <c r="G103" s="323"/>
      <c r="H103" s="323"/>
      <c r="I103" s="323">
        <v>0</v>
      </c>
      <c r="J103" s="323">
        <v>0</v>
      </c>
      <c r="K103" s="306"/>
      <c r="L103" s="323">
        <v>158.79999999999998</v>
      </c>
      <c r="M103" s="323">
        <v>158.79999999999998</v>
      </c>
      <c r="N103" s="323">
        <v>158.79999999999998</v>
      </c>
      <c r="O103" s="323">
        <v>158.79999999999998</v>
      </c>
      <c r="P103" s="323">
        <v>158.79999999999998</v>
      </c>
      <c r="Q103" s="323">
        <v>158.79999999999998</v>
      </c>
      <c r="R103" s="323">
        <v>158.79999999999998</v>
      </c>
      <c r="S103" s="323">
        <v>0</v>
      </c>
      <c r="T103" s="323">
        <v>0</v>
      </c>
      <c r="U103" s="323">
        <v>0</v>
      </c>
      <c r="V103" s="323">
        <v>1111.5999999999999</v>
      </c>
      <c r="W103" s="324" t="s">
        <v>466</v>
      </c>
      <c r="X103" s="323">
        <v>15910</v>
      </c>
      <c r="Y103" s="323">
        <v>8124</v>
      </c>
      <c r="Z103" s="323">
        <v>7611</v>
      </c>
      <c r="AA103" s="323">
        <v>31645</v>
      </c>
      <c r="AB103" s="306"/>
      <c r="AC103" s="306"/>
      <c r="AD103" s="306"/>
      <c r="AE103" s="306"/>
      <c r="AF103" s="306"/>
      <c r="AG103" s="306"/>
    </row>
    <row r="104" spans="1:33">
      <c r="A104" s="306" t="s">
        <v>2332</v>
      </c>
      <c r="B104" s="306" t="s">
        <v>2332</v>
      </c>
      <c r="C104" s="323">
        <v>223068</v>
      </c>
      <c r="D104" s="323">
        <v>66920.399999999994</v>
      </c>
      <c r="E104" s="323">
        <v>156147.6</v>
      </c>
      <c r="F104" s="323"/>
      <c r="G104" s="323"/>
      <c r="H104" s="323"/>
      <c r="I104" s="323">
        <v>0</v>
      </c>
      <c r="J104" s="323">
        <v>0</v>
      </c>
      <c r="K104" s="306"/>
      <c r="L104" s="323">
        <v>22306.799999999999</v>
      </c>
      <c r="M104" s="323">
        <v>22306.799999999999</v>
      </c>
      <c r="N104" s="323">
        <v>22306.799999999999</v>
      </c>
      <c r="O104" s="323">
        <v>22306.799999999999</v>
      </c>
      <c r="P104" s="323">
        <v>22306.799999999999</v>
      </c>
      <c r="Q104" s="323">
        <v>22306.799999999999</v>
      </c>
      <c r="R104" s="323">
        <v>22306.799999999999</v>
      </c>
      <c r="S104" s="323">
        <v>0</v>
      </c>
      <c r="T104" s="323">
        <v>0</v>
      </c>
      <c r="U104" s="323">
        <v>0</v>
      </c>
      <c r="V104" s="323">
        <v>156147.59999999998</v>
      </c>
      <c r="W104" s="324" t="s">
        <v>466</v>
      </c>
      <c r="X104" s="323">
        <v>188040</v>
      </c>
      <c r="Y104" s="323">
        <v>229382</v>
      </c>
      <c r="Z104" s="323">
        <v>342948</v>
      </c>
      <c r="AA104" s="323">
        <v>760370</v>
      </c>
      <c r="AB104" s="306"/>
      <c r="AC104" s="306"/>
      <c r="AD104" s="306"/>
      <c r="AE104" s="306"/>
      <c r="AF104" s="306"/>
      <c r="AG104" s="306"/>
    </row>
    <row r="105" spans="1:33">
      <c r="A105" s="306" t="s">
        <v>2333</v>
      </c>
      <c r="B105" s="306" t="s">
        <v>2333</v>
      </c>
      <c r="C105" s="323">
        <v>2077</v>
      </c>
      <c r="D105" s="323">
        <v>623.1</v>
      </c>
      <c r="E105" s="323">
        <v>1453.9</v>
      </c>
      <c r="F105" s="323"/>
      <c r="G105" s="323"/>
      <c r="H105" s="323"/>
      <c r="I105" s="323">
        <v>0</v>
      </c>
      <c r="J105" s="323">
        <v>0</v>
      </c>
      <c r="K105" s="306"/>
      <c r="L105" s="323">
        <v>207.70000000000002</v>
      </c>
      <c r="M105" s="323">
        <v>207.70000000000002</v>
      </c>
      <c r="N105" s="323">
        <v>207.70000000000002</v>
      </c>
      <c r="O105" s="323">
        <v>207.70000000000002</v>
      </c>
      <c r="P105" s="323">
        <v>207.70000000000002</v>
      </c>
      <c r="Q105" s="323">
        <v>207.70000000000002</v>
      </c>
      <c r="R105" s="323">
        <v>207.70000000000002</v>
      </c>
      <c r="S105" s="323">
        <v>0</v>
      </c>
      <c r="T105" s="323">
        <v>0</v>
      </c>
      <c r="U105" s="323">
        <v>0</v>
      </c>
      <c r="V105" s="323">
        <v>1453.9</v>
      </c>
      <c r="W105" s="324" t="s">
        <v>466</v>
      </c>
      <c r="X105" s="323">
        <v>28065</v>
      </c>
      <c r="Y105" s="323">
        <v>29404</v>
      </c>
      <c r="Z105" s="323">
        <v>30425</v>
      </c>
      <c r="AA105" s="323">
        <v>87894</v>
      </c>
      <c r="AB105" s="306"/>
      <c r="AC105" s="306"/>
      <c r="AD105" s="306"/>
      <c r="AE105" s="306"/>
      <c r="AF105" s="306"/>
      <c r="AG105" s="306"/>
    </row>
    <row r="106" spans="1:33">
      <c r="A106" s="306" t="s">
        <v>2331</v>
      </c>
      <c r="B106" s="306" t="s">
        <v>2331</v>
      </c>
      <c r="C106" s="323">
        <v>148</v>
      </c>
      <c r="D106" s="323">
        <v>44.4</v>
      </c>
      <c r="E106" s="323">
        <v>103.6</v>
      </c>
      <c r="F106" s="323"/>
      <c r="G106" s="323"/>
      <c r="H106" s="323"/>
      <c r="I106" s="323">
        <v>0</v>
      </c>
      <c r="J106" s="323">
        <v>0</v>
      </c>
      <c r="K106" s="306"/>
      <c r="L106" s="323">
        <v>14.799999999999999</v>
      </c>
      <c r="M106" s="323">
        <v>14.799999999999999</v>
      </c>
      <c r="N106" s="323">
        <v>14.799999999999999</v>
      </c>
      <c r="O106" s="323">
        <v>14.799999999999999</v>
      </c>
      <c r="P106" s="323">
        <v>14.799999999999999</v>
      </c>
      <c r="Q106" s="323">
        <v>14.799999999999999</v>
      </c>
      <c r="R106" s="323">
        <v>14.799999999999999</v>
      </c>
      <c r="S106" s="323">
        <v>0</v>
      </c>
      <c r="T106" s="323">
        <v>0</v>
      </c>
      <c r="U106" s="323">
        <v>0</v>
      </c>
      <c r="V106" s="323">
        <v>103.6</v>
      </c>
      <c r="W106" s="324" t="s">
        <v>466</v>
      </c>
      <c r="X106" s="323">
        <v>1774</v>
      </c>
      <c r="Y106" s="323">
        <v>1515</v>
      </c>
      <c r="Z106" s="323">
        <v>1538</v>
      </c>
      <c r="AA106" s="323">
        <v>4827</v>
      </c>
      <c r="AB106" s="306"/>
      <c r="AC106" s="306"/>
      <c r="AD106" s="306"/>
      <c r="AE106" s="306"/>
      <c r="AF106" s="306"/>
      <c r="AG106" s="306"/>
    </row>
    <row r="107" spans="1:33">
      <c r="A107" s="306" t="s">
        <v>2330</v>
      </c>
      <c r="B107" s="306" t="s">
        <v>2330</v>
      </c>
      <c r="C107" s="323">
        <v>5114</v>
      </c>
      <c r="D107" s="323">
        <v>1534.2</v>
      </c>
      <c r="E107" s="323">
        <v>3579.8</v>
      </c>
      <c r="F107" s="323"/>
      <c r="G107" s="323"/>
      <c r="H107" s="323"/>
      <c r="I107" s="323">
        <v>0</v>
      </c>
      <c r="J107" s="323">
        <v>0</v>
      </c>
      <c r="K107" s="306"/>
      <c r="L107" s="323">
        <v>511.40000000000003</v>
      </c>
      <c r="M107" s="323">
        <v>511.40000000000003</v>
      </c>
      <c r="N107" s="323">
        <v>511.40000000000003</v>
      </c>
      <c r="O107" s="323">
        <v>511.40000000000003</v>
      </c>
      <c r="P107" s="323">
        <v>511.40000000000003</v>
      </c>
      <c r="Q107" s="323">
        <v>511.40000000000003</v>
      </c>
      <c r="R107" s="323">
        <v>511.40000000000003</v>
      </c>
      <c r="S107" s="323">
        <v>0</v>
      </c>
      <c r="T107" s="323">
        <v>0</v>
      </c>
      <c r="U107" s="323">
        <v>0</v>
      </c>
      <c r="V107" s="323">
        <v>3579.8</v>
      </c>
      <c r="W107" s="324" t="s">
        <v>466</v>
      </c>
      <c r="X107" s="323">
        <v>54053</v>
      </c>
      <c r="Y107" s="323">
        <v>33036</v>
      </c>
      <c r="Z107" s="323">
        <v>30913</v>
      </c>
      <c r="AA107" s="323">
        <v>118002</v>
      </c>
      <c r="AB107" s="306"/>
      <c r="AC107" s="306"/>
      <c r="AD107" s="306"/>
      <c r="AE107" s="306"/>
      <c r="AF107" s="306"/>
      <c r="AG107" s="306"/>
    </row>
    <row r="108" spans="1:33">
      <c r="A108" s="306" t="s">
        <v>2334</v>
      </c>
      <c r="B108" s="306" t="s">
        <v>2334</v>
      </c>
      <c r="C108" s="323">
        <v>40</v>
      </c>
      <c r="D108" s="323">
        <v>12</v>
      </c>
      <c r="E108" s="323">
        <v>28</v>
      </c>
      <c r="F108" s="323"/>
      <c r="G108" s="323"/>
      <c r="H108" s="323"/>
      <c r="I108" s="323">
        <v>0</v>
      </c>
      <c r="J108" s="323">
        <v>0</v>
      </c>
      <c r="K108" s="306"/>
      <c r="L108" s="323">
        <v>4</v>
      </c>
      <c r="M108" s="323">
        <v>4</v>
      </c>
      <c r="N108" s="323">
        <v>4</v>
      </c>
      <c r="O108" s="323">
        <v>4</v>
      </c>
      <c r="P108" s="323">
        <v>4</v>
      </c>
      <c r="Q108" s="323">
        <v>4</v>
      </c>
      <c r="R108" s="323">
        <v>4</v>
      </c>
      <c r="S108" s="323">
        <v>0</v>
      </c>
      <c r="T108" s="323">
        <v>0</v>
      </c>
      <c r="U108" s="323">
        <v>0</v>
      </c>
      <c r="V108" s="323">
        <v>28</v>
      </c>
      <c r="W108" s="324" t="s">
        <v>466</v>
      </c>
      <c r="X108" s="323">
        <v>485</v>
      </c>
      <c r="Y108" s="323">
        <v>414</v>
      </c>
      <c r="Z108" s="323">
        <v>387</v>
      </c>
      <c r="AA108" s="323">
        <v>1286</v>
      </c>
      <c r="AB108" s="306"/>
      <c r="AC108" s="306"/>
      <c r="AD108" s="306"/>
      <c r="AE108" s="306"/>
      <c r="AF108" s="306"/>
      <c r="AG108" s="306"/>
    </row>
    <row r="109" spans="1:33">
      <c r="A109" s="306" t="s">
        <v>2329</v>
      </c>
      <c r="B109" s="306" t="s">
        <v>2329</v>
      </c>
      <c r="C109" s="323">
        <v>3532</v>
      </c>
      <c r="D109" s="323">
        <v>1059.5999999999999</v>
      </c>
      <c r="E109" s="323">
        <v>2472.4</v>
      </c>
      <c r="F109" s="323"/>
      <c r="G109" s="323"/>
      <c r="H109" s="323"/>
      <c r="I109" s="323">
        <v>0</v>
      </c>
      <c r="J109" s="323">
        <v>0</v>
      </c>
      <c r="K109" s="306"/>
      <c r="L109" s="323">
        <v>353.2</v>
      </c>
      <c r="M109" s="323">
        <v>353.2</v>
      </c>
      <c r="N109" s="323">
        <v>353.2</v>
      </c>
      <c r="O109" s="323">
        <v>353.2</v>
      </c>
      <c r="P109" s="323">
        <v>353.2</v>
      </c>
      <c r="Q109" s="323">
        <v>353.2</v>
      </c>
      <c r="R109" s="323">
        <v>353.2</v>
      </c>
      <c r="S109" s="323">
        <v>0</v>
      </c>
      <c r="T109" s="323">
        <v>0</v>
      </c>
      <c r="U109" s="323">
        <v>0</v>
      </c>
      <c r="V109" s="323">
        <v>2472.3999999999996</v>
      </c>
      <c r="W109" s="324" t="s">
        <v>466</v>
      </c>
      <c r="X109" s="323">
        <v>47770</v>
      </c>
      <c r="Y109" s="323">
        <v>48869</v>
      </c>
      <c r="Z109" s="323">
        <v>47520</v>
      </c>
      <c r="AA109" s="323">
        <v>144159</v>
      </c>
      <c r="AB109" s="306"/>
      <c r="AC109" s="306"/>
      <c r="AD109" s="306"/>
      <c r="AE109" s="306"/>
      <c r="AF109" s="306"/>
      <c r="AG109" s="306"/>
    </row>
    <row r="110" spans="1:33">
      <c r="A110" s="306" t="s">
        <v>2388</v>
      </c>
      <c r="B110" s="306" t="s">
        <v>2388</v>
      </c>
      <c r="C110" s="323">
        <v>64</v>
      </c>
      <c r="D110" s="323">
        <v>19.2</v>
      </c>
      <c r="E110" s="323">
        <v>44.8</v>
      </c>
      <c r="F110" s="323"/>
      <c r="G110" s="323"/>
      <c r="H110" s="323"/>
      <c r="I110" s="323">
        <v>0</v>
      </c>
      <c r="J110" s="323">
        <v>0</v>
      </c>
      <c r="K110" s="306"/>
      <c r="L110" s="323">
        <v>6.3999999999999995</v>
      </c>
      <c r="M110" s="323">
        <v>6.3999999999999995</v>
      </c>
      <c r="N110" s="323">
        <v>6.3999999999999995</v>
      </c>
      <c r="O110" s="323">
        <v>6.3999999999999995</v>
      </c>
      <c r="P110" s="323">
        <v>6.3999999999999995</v>
      </c>
      <c r="Q110" s="323">
        <v>6.3999999999999995</v>
      </c>
      <c r="R110" s="323">
        <v>6.3999999999999995</v>
      </c>
      <c r="S110" s="323">
        <v>0</v>
      </c>
      <c r="T110" s="323">
        <v>0</v>
      </c>
      <c r="U110" s="323">
        <v>0</v>
      </c>
      <c r="V110" s="323">
        <v>44.8</v>
      </c>
      <c r="W110" s="324" t="s">
        <v>466</v>
      </c>
      <c r="X110" s="323">
        <v>862</v>
      </c>
      <c r="Y110" s="323">
        <v>821</v>
      </c>
      <c r="Z110" s="323">
        <v>686</v>
      </c>
      <c r="AA110" s="323">
        <v>2369</v>
      </c>
      <c r="AB110" s="306"/>
      <c r="AC110" s="306"/>
      <c r="AD110" s="306"/>
      <c r="AE110" s="306"/>
      <c r="AF110" s="306"/>
      <c r="AG110" s="306"/>
    </row>
    <row r="111" spans="1:33">
      <c r="A111" s="306" t="s">
        <v>2389</v>
      </c>
      <c r="B111" s="306" t="s">
        <v>2389</v>
      </c>
      <c r="C111" s="323">
        <v>105068</v>
      </c>
      <c r="D111" s="323">
        <v>31520.399999999998</v>
      </c>
      <c r="E111" s="323">
        <v>73547.600000000006</v>
      </c>
      <c r="F111" s="323">
        <v>25291</v>
      </c>
      <c r="G111" s="323">
        <v>26879</v>
      </c>
      <c r="H111" s="323">
        <v>28834</v>
      </c>
      <c r="I111" s="323">
        <v>81004</v>
      </c>
      <c r="J111" s="323">
        <v>8100.4</v>
      </c>
      <c r="K111" s="306"/>
      <c r="L111" s="323">
        <v>18607.2</v>
      </c>
      <c r="M111" s="323">
        <v>18607.2</v>
      </c>
      <c r="N111" s="323">
        <v>18607.2</v>
      </c>
      <c r="O111" s="323">
        <v>18607.2</v>
      </c>
      <c r="P111" s="323">
        <v>18607.2</v>
      </c>
      <c r="Q111" s="323">
        <v>18607.2</v>
      </c>
      <c r="R111" s="323">
        <v>18607.2</v>
      </c>
      <c r="S111" s="323">
        <v>8100.4</v>
      </c>
      <c r="T111" s="323">
        <v>8100.4</v>
      </c>
      <c r="U111" s="323">
        <v>8100.4</v>
      </c>
      <c r="V111" s="323">
        <v>154551.59999999998</v>
      </c>
      <c r="W111" s="324" t="s">
        <v>466</v>
      </c>
      <c r="X111" s="323">
        <v>355469</v>
      </c>
      <c r="Y111" s="323">
        <v>556540</v>
      </c>
      <c r="Z111" s="323">
        <v>697113</v>
      </c>
      <c r="AA111" s="323">
        <v>1609122</v>
      </c>
      <c r="AB111" s="306"/>
      <c r="AC111" s="306"/>
      <c r="AD111" s="306"/>
      <c r="AE111" s="306"/>
      <c r="AF111" s="306"/>
      <c r="AG111" s="306"/>
    </row>
    <row r="112" spans="1:33">
      <c r="A112" s="306" t="s">
        <v>2390</v>
      </c>
      <c r="B112" s="306" t="s">
        <v>2390</v>
      </c>
      <c r="C112" s="323">
        <v>65458</v>
      </c>
      <c r="D112" s="323">
        <v>19637.399999999998</v>
      </c>
      <c r="E112" s="323">
        <v>45820.600000000006</v>
      </c>
      <c r="F112" s="323"/>
      <c r="G112" s="323"/>
      <c r="H112" s="323"/>
      <c r="I112" s="323">
        <v>0</v>
      </c>
      <c r="J112" s="323">
        <v>0</v>
      </c>
      <c r="K112" s="306"/>
      <c r="L112" s="323">
        <v>6545.8000000000011</v>
      </c>
      <c r="M112" s="323">
        <v>6545.8000000000011</v>
      </c>
      <c r="N112" s="323">
        <v>6545.8000000000011</v>
      </c>
      <c r="O112" s="323">
        <v>6545.8000000000011</v>
      </c>
      <c r="P112" s="323">
        <v>6545.8000000000011</v>
      </c>
      <c r="Q112" s="323">
        <v>6545.8000000000011</v>
      </c>
      <c r="R112" s="323">
        <v>6545.8000000000011</v>
      </c>
      <c r="S112" s="323">
        <v>0</v>
      </c>
      <c r="T112" s="323">
        <v>0</v>
      </c>
      <c r="U112" s="323">
        <v>0</v>
      </c>
      <c r="V112" s="323">
        <v>45820.600000000013</v>
      </c>
      <c r="W112" s="324" t="s">
        <v>466</v>
      </c>
      <c r="X112" s="323">
        <v>-40412</v>
      </c>
      <c r="Y112" s="323">
        <v>-190068</v>
      </c>
      <c r="Z112" s="323">
        <v>-210762</v>
      </c>
      <c r="AA112" s="323">
        <v>-441242</v>
      </c>
      <c r="AB112" s="306"/>
      <c r="AC112" s="306"/>
      <c r="AD112" s="306"/>
      <c r="AE112" s="306"/>
      <c r="AF112" s="306"/>
      <c r="AG112" s="306"/>
    </row>
    <row r="113" spans="1:33">
      <c r="A113" s="306" t="s">
        <v>2391</v>
      </c>
      <c r="B113" s="306" t="s">
        <v>2391</v>
      </c>
      <c r="C113" s="323"/>
      <c r="D113" s="323">
        <v>0</v>
      </c>
      <c r="E113" s="323">
        <v>0</v>
      </c>
      <c r="F113" s="323"/>
      <c r="G113" s="323"/>
      <c r="H113" s="323"/>
      <c r="I113" s="323">
        <v>0</v>
      </c>
      <c r="J113" s="323">
        <v>0</v>
      </c>
      <c r="K113" s="306"/>
      <c r="L113" s="323">
        <v>0</v>
      </c>
      <c r="M113" s="323">
        <v>0</v>
      </c>
      <c r="N113" s="323">
        <v>0</v>
      </c>
      <c r="O113" s="323">
        <v>0</v>
      </c>
      <c r="P113" s="323">
        <v>0</v>
      </c>
      <c r="Q113" s="323">
        <v>0</v>
      </c>
      <c r="R113" s="323">
        <v>0</v>
      </c>
      <c r="S113" s="323">
        <v>0</v>
      </c>
      <c r="T113" s="323">
        <v>0</v>
      </c>
      <c r="U113" s="323">
        <v>0</v>
      </c>
      <c r="V113" s="323">
        <v>0</v>
      </c>
      <c r="W113" s="324" t="s">
        <v>466</v>
      </c>
      <c r="X113" s="323"/>
      <c r="Y113" s="323"/>
      <c r="Z113" s="323"/>
      <c r="AA113" s="323">
        <v>0</v>
      </c>
      <c r="AB113" s="306"/>
      <c r="AC113" s="306"/>
      <c r="AD113" s="306"/>
      <c r="AE113" s="306"/>
      <c r="AF113" s="306"/>
      <c r="AG113" s="306"/>
    </row>
    <row r="114" spans="1:33">
      <c r="A114" s="306" t="s">
        <v>2392</v>
      </c>
      <c r="B114" s="306" t="s">
        <v>2392</v>
      </c>
      <c r="C114" s="323">
        <v>46863</v>
      </c>
      <c r="D114" s="323">
        <v>14058.9</v>
      </c>
      <c r="E114" s="323">
        <v>32804.1</v>
      </c>
      <c r="F114" s="323"/>
      <c r="G114" s="323"/>
      <c r="H114" s="323"/>
      <c r="I114" s="323">
        <v>0</v>
      </c>
      <c r="J114" s="323">
        <v>0</v>
      </c>
      <c r="K114" s="306"/>
      <c r="L114" s="323">
        <v>4686.3</v>
      </c>
      <c r="M114" s="323">
        <v>4686.3</v>
      </c>
      <c r="N114" s="323">
        <v>4686.3</v>
      </c>
      <c r="O114" s="323">
        <v>4686.3</v>
      </c>
      <c r="P114" s="323">
        <v>4686.3</v>
      </c>
      <c r="Q114" s="323">
        <v>4686.3</v>
      </c>
      <c r="R114" s="323">
        <v>4686.3</v>
      </c>
      <c r="S114" s="323">
        <v>0</v>
      </c>
      <c r="T114" s="323">
        <v>0</v>
      </c>
      <c r="U114" s="323">
        <v>0</v>
      </c>
      <c r="V114" s="323">
        <v>32804.1</v>
      </c>
      <c r="W114" s="324" t="s">
        <v>466</v>
      </c>
      <c r="X114" s="323">
        <v>37031</v>
      </c>
      <c r="Y114" s="323">
        <v>19016</v>
      </c>
      <c r="Z114" s="323">
        <v>-31112</v>
      </c>
      <c r="AA114" s="323">
        <v>24935</v>
      </c>
      <c r="AB114" s="306"/>
      <c r="AC114" s="306"/>
      <c r="AD114" s="306"/>
      <c r="AE114" s="306"/>
      <c r="AF114" s="306"/>
      <c r="AG114" s="306"/>
    </row>
    <row r="115" spans="1:33">
      <c r="A115" s="306" t="s">
        <v>2387</v>
      </c>
      <c r="B115" s="306" t="s">
        <v>2387</v>
      </c>
      <c r="C115" s="323">
        <v>61</v>
      </c>
      <c r="D115" s="323">
        <v>18.3</v>
      </c>
      <c r="E115" s="323">
        <v>42.7</v>
      </c>
      <c r="F115" s="323"/>
      <c r="G115" s="323"/>
      <c r="H115" s="323"/>
      <c r="I115" s="323">
        <v>0</v>
      </c>
      <c r="J115" s="323">
        <v>0</v>
      </c>
      <c r="K115" s="306"/>
      <c r="L115" s="323">
        <v>6.1000000000000005</v>
      </c>
      <c r="M115" s="323">
        <v>6.1000000000000005</v>
      </c>
      <c r="N115" s="323">
        <v>6.1000000000000005</v>
      </c>
      <c r="O115" s="323">
        <v>6.1000000000000005</v>
      </c>
      <c r="P115" s="323">
        <v>6.1000000000000005</v>
      </c>
      <c r="Q115" s="323">
        <v>6.1000000000000005</v>
      </c>
      <c r="R115" s="323">
        <v>6.1000000000000005</v>
      </c>
      <c r="S115" s="323">
        <v>0</v>
      </c>
      <c r="T115" s="323">
        <v>0</v>
      </c>
      <c r="U115" s="323">
        <v>0</v>
      </c>
      <c r="V115" s="323">
        <v>42.7</v>
      </c>
      <c r="W115" s="324" t="s">
        <v>466</v>
      </c>
      <c r="X115" s="323">
        <v>779</v>
      </c>
      <c r="Y115" s="323">
        <v>714</v>
      </c>
      <c r="Z115" s="323">
        <v>656</v>
      </c>
      <c r="AA115" s="323">
        <v>2149</v>
      </c>
      <c r="AB115" s="306"/>
      <c r="AC115" s="306"/>
      <c r="AD115" s="306"/>
      <c r="AE115" s="306"/>
      <c r="AF115" s="306"/>
      <c r="AG115" s="306"/>
    </row>
    <row r="116" spans="1:33">
      <c r="A116" s="306" t="s">
        <v>2565</v>
      </c>
      <c r="B116" s="306" t="s">
        <v>2565</v>
      </c>
      <c r="C116" s="323">
        <v>958</v>
      </c>
      <c r="D116" s="323">
        <v>287.39999999999998</v>
      </c>
      <c r="E116" s="323">
        <v>670.6</v>
      </c>
      <c r="F116" s="323"/>
      <c r="G116" s="323"/>
      <c r="H116" s="323"/>
      <c r="I116" s="323">
        <v>0</v>
      </c>
      <c r="J116" s="323">
        <v>0</v>
      </c>
      <c r="K116" s="306"/>
      <c r="L116" s="323">
        <v>95.8</v>
      </c>
      <c r="M116" s="323">
        <v>95.8</v>
      </c>
      <c r="N116" s="323">
        <v>95.8</v>
      </c>
      <c r="O116" s="323">
        <v>95.8</v>
      </c>
      <c r="P116" s="323">
        <v>95.8</v>
      </c>
      <c r="Q116" s="323">
        <v>95.8</v>
      </c>
      <c r="R116" s="323">
        <v>95.8</v>
      </c>
      <c r="S116" s="323">
        <v>0</v>
      </c>
      <c r="T116" s="323">
        <v>0</v>
      </c>
      <c r="U116" s="323">
        <v>0</v>
      </c>
      <c r="V116" s="323">
        <v>670.59999999999991</v>
      </c>
      <c r="W116" s="324" t="s">
        <v>466</v>
      </c>
      <c r="X116" s="323">
        <v>12113</v>
      </c>
      <c r="Y116" s="323">
        <v>10919</v>
      </c>
      <c r="Z116" s="323">
        <v>9965</v>
      </c>
      <c r="AA116" s="323">
        <v>32997</v>
      </c>
      <c r="AB116" s="306"/>
      <c r="AC116" s="306"/>
      <c r="AD116" s="306"/>
      <c r="AE116" s="306"/>
      <c r="AF116" s="306"/>
      <c r="AG116" s="306"/>
    </row>
    <row r="117" spans="1:33">
      <c r="A117" s="306" t="s">
        <v>2560</v>
      </c>
      <c r="B117" s="306" t="s">
        <v>2560</v>
      </c>
      <c r="C117" s="323">
        <v>145</v>
      </c>
      <c r="D117" s="323">
        <v>43.5</v>
      </c>
      <c r="E117" s="323">
        <v>101.5</v>
      </c>
      <c r="F117" s="323"/>
      <c r="G117" s="323"/>
      <c r="H117" s="323"/>
      <c r="I117" s="323">
        <v>0</v>
      </c>
      <c r="J117" s="323">
        <v>0</v>
      </c>
      <c r="K117" s="306"/>
      <c r="L117" s="323">
        <v>14.5</v>
      </c>
      <c r="M117" s="323">
        <v>14.5</v>
      </c>
      <c r="N117" s="323">
        <v>14.5</v>
      </c>
      <c r="O117" s="323">
        <v>14.5</v>
      </c>
      <c r="P117" s="323">
        <v>14.5</v>
      </c>
      <c r="Q117" s="323">
        <v>14.5</v>
      </c>
      <c r="R117" s="323">
        <v>14.5</v>
      </c>
      <c r="S117" s="323">
        <v>0</v>
      </c>
      <c r="T117" s="323">
        <v>0</v>
      </c>
      <c r="U117" s="323">
        <v>0</v>
      </c>
      <c r="V117" s="323">
        <v>101.5</v>
      </c>
      <c r="W117" s="324" t="s">
        <v>466</v>
      </c>
      <c r="X117" s="323">
        <v>1882</v>
      </c>
      <c r="Y117" s="323">
        <v>1787</v>
      </c>
      <c r="Z117" s="323">
        <v>1665</v>
      </c>
      <c r="AA117" s="323">
        <v>5334</v>
      </c>
      <c r="AB117" s="306"/>
      <c r="AC117" s="306"/>
      <c r="AD117" s="306"/>
      <c r="AE117" s="306"/>
      <c r="AF117" s="306"/>
      <c r="AG117" s="306"/>
    </row>
    <row r="118" spans="1:33">
      <c r="A118" s="306" t="s">
        <v>2561</v>
      </c>
      <c r="B118" s="306" t="s">
        <v>2561</v>
      </c>
      <c r="C118" s="323">
        <v>305</v>
      </c>
      <c r="D118" s="323">
        <v>91.5</v>
      </c>
      <c r="E118" s="323">
        <v>213.5</v>
      </c>
      <c r="F118" s="323">
        <v>10472</v>
      </c>
      <c r="G118" s="323">
        <v>11130</v>
      </c>
      <c r="H118" s="323">
        <v>11939</v>
      </c>
      <c r="I118" s="323">
        <v>33541</v>
      </c>
      <c r="J118" s="323">
        <v>3354.1</v>
      </c>
      <c r="K118" s="306"/>
      <c r="L118" s="323">
        <v>3384.6</v>
      </c>
      <c r="M118" s="323">
        <v>3384.6</v>
      </c>
      <c r="N118" s="323">
        <v>3384.6</v>
      </c>
      <c r="O118" s="323">
        <v>3384.6</v>
      </c>
      <c r="P118" s="323">
        <v>3384.6</v>
      </c>
      <c r="Q118" s="323">
        <v>3384.6</v>
      </c>
      <c r="R118" s="323">
        <v>3384.6</v>
      </c>
      <c r="S118" s="323">
        <v>3354.1</v>
      </c>
      <c r="T118" s="323">
        <v>3354.1</v>
      </c>
      <c r="U118" s="323">
        <v>3354.1</v>
      </c>
      <c r="V118" s="323">
        <v>33754.499999999993</v>
      </c>
      <c r="W118" s="324" t="s">
        <v>466</v>
      </c>
      <c r="X118" s="323">
        <v>3960</v>
      </c>
      <c r="Y118" s="323">
        <v>3449</v>
      </c>
      <c r="Z118" s="323">
        <v>2737</v>
      </c>
      <c r="AA118" s="323">
        <v>10146</v>
      </c>
      <c r="AB118" s="306"/>
      <c r="AC118" s="306"/>
      <c r="AD118" s="306"/>
      <c r="AE118" s="306"/>
      <c r="AF118" s="306"/>
      <c r="AG118" s="306"/>
    </row>
    <row r="119" spans="1:33">
      <c r="A119" s="306" t="s">
        <v>2562</v>
      </c>
      <c r="B119" s="306" t="s">
        <v>2562</v>
      </c>
      <c r="C119" s="323">
        <v>45006</v>
      </c>
      <c r="D119" s="323">
        <v>13501.8</v>
      </c>
      <c r="E119" s="323">
        <v>31504.2</v>
      </c>
      <c r="F119" s="323"/>
      <c r="G119" s="323"/>
      <c r="H119" s="323"/>
      <c r="I119" s="323">
        <v>0</v>
      </c>
      <c r="J119" s="323">
        <v>0</v>
      </c>
      <c r="K119" s="306"/>
      <c r="L119" s="323">
        <v>4500.6000000000004</v>
      </c>
      <c r="M119" s="323">
        <v>4500.6000000000004</v>
      </c>
      <c r="N119" s="323">
        <v>4500.6000000000004</v>
      </c>
      <c r="O119" s="323">
        <v>4500.6000000000004</v>
      </c>
      <c r="P119" s="323">
        <v>4500.6000000000004</v>
      </c>
      <c r="Q119" s="323">
        <v>4500.6000000000004</v>
      </c>
      <c r="R119" s="323">
        <v>4500.6000000000004</v>
      </c>
      <c r="S119" s="323">
        <v>0</v>
      </c>
      <c r="T119" s="323">
        <v>0</v>
      </c>
      <c r="U119" s="323">
        <v>0</v>
      </c>
      <c r="V119" s="323">
        <v>31504.199999999997</v>
      </c>
      <c r="W119" s="324" t="s">
        <v>466</v>
      </c>
      <c r="X119" s="323">
        <v>595197</v>
      </c>
      <c r="Y119" s="323">
        <v>577785</v>
      </c>
      <c r="Z119" s="323">
        <v>530820</v>
      </c>
      <c r="AA119" s="323">
        <v>1703802</v>
      </c>
      <c r="AB119" s="306"/>
      <c r="AC119" s="306"/>
      <c r="AD119" s="306"/>
      <c r="AE119" s="306"/>
      <c r="AF119" s="306"/>
      <c r="AG119" s="306"/>
    </row>
    <row r="120" spans="1:33">
      <c r="A120" s="306" t="s">
        <v>2563</v>
      </c>
      <c r="B120" s="306" t="s">
        <v>2563</v>
      </c>
      <c r="C120" s="323">
        <v>6187</v>
      </c>
      <c r="D120" s="323">
        <v>1856.1</v>
      </c>
      <c r="E120" s="323">
        <v>4330.8999999999996</v>
      </c>
      <c r="F120" s="323">
        <v>230990</v>
      </c>
      <c r="G120" s="323">
        <v>245495</v>
      </c>
      <c r="H120" s="323">
        <v>263351</v>
      </c>
      <c r="I120" s="323">
        <v>739836</v>
      </c>
      <c r="J120" s="323">
        <v>73983.600000000006</v>
      </c>
      <c r="K120" s="306"/>
      <c r="L120" s="323">
        <v>74602.3</v>
      </c>
      <c r="M120" s="323">
        <v>74602.3</v>
      </c>
      <c r="N120" s="323">
        <v>74602.3</v>
      </c>
      <c r="O120" s="323">
        <v>74602.3</v>
      </c>
      <c r="P120" s="323">
        <v>74602.3</v>
      </c>
      <c r="Q120" s="323">
        <v>74602.3</v>
      </c>
      <c r="R120" s="323">
        <v>74602.3</v>
      </c>
      <c r="S120" s="323">
        <v>73983.600000000006</v>
      </c>
      <c r="T120" s="323">
        <v>73983.600000000006</v>
      </c>
      <c r="U120" s="323">
        <v>73983.600000000006</v>
      </c>
      <c r="V120" s="323">
        <v>744166.89999999991</v>
      </c>
      <c r="W120" s="324" t="s">
        <v>466</v>
      </c>
      <c r="X120" s="323">
        <v>82539</v>
      </c>
      <c r="Y120" s="323">
        <v>80934</v>
      </c>
      <c r="Z120" s="323">
        <v>73919</v>
      </c>
      <c r="AA120" s="323">
        <v>237392</v>
      </c>
      <c r="AB120" s="306"/>
      <c r="AC120" s="306"/>
      <c r="AD120" s="306"/>
      <c r="AE120" s="306"/>
      <c r="AF120" s="306"/>
      <c r="AG120" s="306"/>
    </row>
    <row r="121" spans="1:33">
      <c r="A121" s="306" t="s">
        <v>2558</v>
      </c>
      <c r="B121" s="306" t="s">
        <v>2558</v>
      </c>
      <c r="C121" s="323">
        <v>1982</v>
      </c>
      <c r="D121" s="323">
        <v>594.6</v>
      </c>
      <c r="E121" s="323">
        <v>1387.4</v>
      </c>
      <c r="F121" s="323">
        <v>4244</v>
      </c>
      <c r="G121" s="323">
        <v>4510</v>
      </c>
      <c r="H121" s="323">
        <v>4838</v>
      </c>
      <c r="I121" s="323">
        <v>13592</v>
      </c>
      <c r="J121" s="323">
        <v>1359.2</v>
      </c>
      <c r="K121" s="306"/>
      <c r="L121" s="323">
        <v>1557.4</v>
      </c>
      <c r="M121" s="323">
        <v>1557.4</v>
      </c>
      <c r="N121" s="323">
        <v>1557.4</v>
      </c>
      <c r="O121" s="323">
        <v>1557.4</v>
      </c>
      <c r="P121" s="323">
        <v>1557.4</v>
      </c>
      <c r="Q121" s="323">
        <v>1557.4</v>
      </c>
      <c r="R121" s="323">
        <v>1557.4</v>
      </c>
      <c r="S121" s="323">
        <v>1359.2</v>
      </c>
      <c r="T121" s="323">
        <v>1359.2</v>
      </c>
      <c r="U121" s="323">
        <v>1359.2</v>
      </c>
      <c r="V121" s="323">
        <v>14979.400000000001</v>
      </c>
      <c r="W121" s="324" t="s">
        <v>466</v>
      </c>
      <c r="X121" s="323">
        <v>18840</v>
      </c>
      <c r="Y121" s="323">
        <v>6185</v>
      </c>
      <c r="Z121" s="323">
        <v>3854</v>
      </c>
      <c r="AA121" s="323">
        <v>28879</v>
      </c>
      <c r="AB121" s="306"/>
      <c r="AC121" s="306"/>
      <c r="AD121" s="306"/>
      <c r="AE121" s="306"/>
      <c r="AF121" s="306"/>
      <c r="AG121" s="306"/>
    </row>
    <row r="122" spans="1:33">
      <c r="A122" s="306" t="s">
        <v>2564</v>
      </c>
      <c r="B122" s="306" t="s">
        <v>2564</v>
      </c>
      <c r="C122" s="323">
        <v>1238</v>
      </c>
      <c r="D122" s="323">
        <v>371.4</v>
      </c>
      <c r="E122" s="323">
        <v>866.6</v>
      </c>
      <c r="F122" s="323">
        <v>26256</v>
      </c>
      <c r="G122" s="323">
        <v>27905</v>
      </c>
      <c r="H122" s="323">
        <v>29934</v>
      </c>
      <c r="I122" s="323">
        <v>84095</v>
      </c>
      <c r="J122" s="323">
        <v>8409.5</v>
      </c>
      <c r="K122" s="306"/>
      <c r="L122" s="323">
        <v>8533.2999999999993</v>
      </c>
      <c r="M122" s="323">
        <v>8533.2999999999993</v>
      </c>
      <c r="N122" s="323">
        <v>8533.2999999999993</v>
      </c>
      <c r="O122" s="323">
        <v>8533.2999999999993</v>
      </c>
      <c r="P122" s="323">
        <v>8533.2999999999993</v>
      </c>
      <c r="Q122" s="323">
        <v>8533.2999999999993</v>
      </c>
      <c r="R122" s="323">
        <v>8533.2999999999993</v>
      </c>
      <c r="S122" s="323">
        <v>8409.5</v>
      </c>
      <c r="T122" s="323">
        <v>8409.5</v>
      </c>
      <c r="U122" s="323">
        <v>8409.5</v>
      </c>
      <c r="V122" s="323">
        <v>84961.600000000006</v>
      </c>
      <c r="W122" s="324" t="s">
        <v>466</v>
      </c>
      <c r="X122" s="323">
        <v>8715</v>
      </c>
      <c r="Y122" s="323">
        <v>-2845</v>
      </c>
      <c r="Z122" s="323">
        <v>-3052</v>
      </c>
      <c r="AA122" s="323">
        <v>2818</v>
      </c>
      <c r="AB122" s="306"/>
      <c r="AC122" s="306"/>
      <c r="AD122" s="306"/>
      <c r="AE122" s="306"/>
      <c r="AF122" s="306"/>
      <c r="AG122" s="306"/>
    </row>
    <row r="123" spans="1:33">
      <c r="A123" s="306" t="s">
        <v>2601</v>
      </c>
      <c r="B123" s="306" t="s">
        <v>2601</v>
      </c>
      <c r="C123" s="323">
        <v>2060</v>
      </c>
      <c r="D123" s="323">
        <v>618</v>
      </c>
      <c r="E123" s="323">
        <v>1442</v>
      </c>
      <c r="F123" s="323"/>
      <c r="G123" s="323"/>
      <c r="H123" s="323"/>
      <c r="I123" s="323">
        <v>0</v>
      </c>
      <c r="J123" s="323">
        <v>0</v>
      </c>
      <c r="K123" s="306"/>
      <c r="L123" s="323">
        <v>206</v>
      </c>
      <c r="M123" s="323">
        <v>206</v>
      </c>
      <c r="N123" s="323">
        <v>206</v>
      </c>
      <c r="O123" s="323">
        <v>206</v>
      </c>
      <c r="P123" s="323">
        <v>206</v>
      </c>
      <c r="Q123" s="323">
        <v>206</v>
      </c>
      <c r="R123" s="323">
        <v>206</v>
      </c>
      <c r="S123" s="323">
        <v>0</v>
      </c>
      <c r="T123" s="323">
        <v>0</v>
      </c>
      <c r="U123" s="323">
        <v>0</v>
      </c>
      <c r="V123" s="323">
        <v>1442</v>
      </c>
      <c r="W123" s="324" t="s">
        <v>466</v>
      </c>
      <c r="X123" s="323">
        <v>27866</v>
      </c>
      <c r="Y123" s="323">
        <v>27998</v>
      </c>
      <c r="Z123" s="323">
        <v>26219</v>
      </c>
      <c r="AA123" s="323">
        <v>82083</v>
      </c>
      <c r="AB123" s="306"/>
      <c r="AC123" s="306"/>
      <c r="AD123" s="306"/>
      <c r="AE123" s="306"/>
      <c r="AF123" s="306"/>
      <c r="AG123" s="306"/>
    </row>
    <row r="124" spans="1:33">
      <c r="A124" s="306" t="s">
        <v>2602</v>
      </c>
      <c r="B124" s="306" t="s">
        <v>2602</v>
      </c>
      <c r="C124" s="323"/>
      <c r="D124" s="323">
        <v>0</v>
      </c>
      <c r="E124" s="323">
        <v>0</v>
      </c>
      <c r="F124" s="323"/>
      <c r="G124" s="323"/>
      <c r="H124" s="323"/>
      <c r="I124" s="323">
        <v>0</v>
      </c>
      <c r="J124" s="323">
        <v>0</v>
      </c>
      <c r="K124" s="306"/>
      <c r="L124" s="323">
        <v>0</v>
      </c>
      <c r="M124" s="323">
        <v>0</v>
      </c>
      <c r="N124" s="323">
        <v>0</v>
      </c>
      <c r="O124" s="323">
        <v>0</v>
      </c>
      <c r="P124" s="323">
        <v>0</v>
      </c>
      <c r="Q124" s="323">
        <v>0</v>
      </c>
      <c r="R124" s="323">
        <v>0</v>
      </c>
      <c r="S124" s="323">
        <v>0</v>
      </c>
      <c r="T124" s="323">
        <v>0</v>
      </c>
      <c r="U124" s="323">
        <v>0</v>
      </c>
      <c r="V124" s="323">
        <v>0</v>
      </c>
      <c r="W124" s="324" t="s">
        <v>466</v>
      </c>
      <c r="X124" s="323">
        <v>-60</v>
      </c>
      <c r="Y124" s="323">
        <v>-153</v>
      </c>
      <c r="Z124" s="323">
        <v>-164</v>
      </c>
      <c r="AA124" s="323">
        <v>-377</v>
      </c>
      <c r="AB124" s="306"/>
      <c r="AC124" s="306"/>
      <c r="AD124" s="306"/>
      <c r="AE124" s="306"/>
      <c r="AF124" s="306"/>
      <c r="AG124" s="306"/>
    </row>
    <row r="125" spans="1:33">
      <c r="A125" s="306" t="s">
        <v>2556</v>
      </c>
      <c r="B125" s="306" t="s">
        <v>2556</v>
      </c>
      <c r="C125" s="323">
        <v>717229</v>
      </c>
      <c r="D125" s="323">
        <v>215168.69999999998</v>
      </c>
      <c r="E125" s="323">
        <v>502060.30000000005</v>
      </c>
      <c r="F125" s="323"/>
      <c r="G125" s="323"/>
      <c r="H125" s="323"/>
      <c r="I125" s="323">
        <v>0</v>
      </c>
      <c r="J125" s="323">
        <v>0</v>
      </c>
      <c r="K125" s="306"/>
      <c r="L125" s="323">
        <v>71722.900000000009</v>
      </c>
      <c r="M125" s="323">
        <v>71722.900000000009</v>
      </c>
      <c r="N125" s="323">
        <v>71722.900000000009</v>
      </c>
      <c r="O125" s="323">
        <v>71722.900000000009</v>
      </c>
      <c r="P125" s="323">
        <v>71722.900000000009</v>
      </c>
      <c r="Q125" s="323">
        <v>71722.900000000009</v>
      </c>
      <c r="R125" s="323">
        <v>71722.900000000009</v>
      </c>
      <c r="S125" s="323">
        <v>0</v>
      </c>
      <c r="T125" s="323">
        <v>0</v>
      </c>
      <c r="U125" s="323">
        <v>0</v>
      </c>
      <c r="V125" s="323">
        <v>502060.3000000001</v>
      </c>
      <c r="W125" s="324" t="s">
        <v>466</v>
      </c>
      <c r="X125" s="323">
        <v>185646</v>
      </c>
      <c r="Y125" s="323">
        <v>-279908</v>
      </c>
      <c r="Z125" s="323">
        <v>-924250</v>
      </c>
      <c r="AA125" s="323">
        <v>-1018512</v>
      </c>
      <c r="AB125" s="306"/>
      <c r="AC125" s="306"/>
      <c r="AD125" s="306"/>
      <c r="AE125" s="306"/>
      <c r="AF125" s="306"/>
      <c r="AG125" s="306"/>
    </row>
    <row r="126" spans="1:33">
      <c r="A126" s="306" t="s">
        <v>2557</v>
      </c>
      <c r="B126" s="306" t="s">
        <v>2557</v>
      </c>
      <c r="C126" s="323">
        <v>380987</v>
      </c>
      <c r="D126" s="323">
        <v>114296.09999999999</v>
      </c>
      <c r="E126" s="323">
        <v>266690.90000000002</v>
      </c>
      <c r="F126" s="323"/>
      <c r="G126" s="323"/>
      <c r="H126" s="323"/>
      <c r="I126" s="323">
        <v>0</v>
      </c>
      <c r="J126" s="323">
        <v>0</v>
      </c>
      <c r="K126" s="306"/>
      <c r="L126" s="323">
        <v>38098.700000000004</v>
      </c>
      <c r="M126" s="323">
        <v>38098.700000000004</v>
      </c>
      <c r="N126" s="323">
        <v>38098.700000000004</v>
      </c>
      <c r="O126" s="323">
        <v>38098.700000000004</v>
      </c>
      <c r="P126" s="323">
        <v>38098.700000000004</v>
      </c>
      <c r="Q126" s="323">
        <v>38098.700000000004</v>
      </c>
      <c r="R126" s="323">
        <v>38098.700000000004</v>
      </c>
      <c r="S126" s="323">
        <v>0</v>
      </c>
      <c r="T126" s="323">
        <v>0</v>
      </c>
      <c r="U126" s="323">
        <v>0</v>
      </c>
      <c r="V126" s="323">
        <v>266690.90000000002</v>
      </c>
      <c r="W126" s="324" t="s">
        <v>466</v>
      </c>
      <c r="X126" s="323">
        <v>384976</v>
      </c>
      <c r="Y126" s="323">
        <v>277410</v>
      </c>
      <c r="Z126" s="323">
        <v>54750</v>
      </c>
      <c r="AA126" s="323">
        <v>717136</v>
      </c>
      <c r="AB126" s="306"/>
      <c r="AC126" s="306"/>
      <c r="AD126" s="306"/>
      <c r="AE126" s="306"/>
      <c r="AF126" s="306"/>
      <c r="AG126" s="306"/>
    </row>
    <row r="127" spans="1:33">
      <c r="A127" s="306" t="s">
        <v>2600</v>
      </c>
      <c r="B127" s="306" t="s">
        <v>2600</v>
      </c>
      <c r="C127" s="323"/>
      <c r="D127" s="323">
        <v>0</v>
      </c>
      <c r="E127" s="323">
        <v>0</v>
      </c>
      <c r="F127" s="323"/>
      <c r="G127" s="323"/>
      <c r="H127" s="323"/>
      <c r="I127" s="323">
        <v>0</v>
      </c>
      <c r="J127" s="323">
        <v>0</v>
      </c>
      <c r="K127" s="306"/>
      <c r="L127" s="323">
        <v>0</v>
      </c>
      <c r="M127" s="323">
        <v>0</v>
      </c>
      <c r="N127" s="323">
        <v>0</v>
      </c>
      <c r="O127" s="323">
        <v>0</v>
      </c>
      <c r="P127" s="323">
        <v>0</v>
      </c>
      <c r="Q127" s="323">
        <v>0</v>
      </c>
      <c r="R127" s="323">
        <v>0</v>
      </c>
      <c r="S127" s="323">
        <v>0</v>
      </c>
      <c r="T127" s="323">
        <v>0</v>
      </c>
      <c r="U127" s="323">
        <v>0</v>
      </c>
      <c r="V127" s="323">
        <v>0</v>
      </c>
      <c r="W127" s="324" t="s">
        <v>466</v>
      </c>
      <c r="X127" s="323"/>
      <c r="Y127" s="323"/>
      <c r="Z127" s="323"/>
      <c r="AA127" s="323">
        <v>0</v>
      </c>
      <c r="AB127" s="306"/>
      <c r="AC127" s="306"/>
      <c r="AD127" s="306"/>
      <c r="AE127" s="306"/>
      <c r="AF127" s="306"/>
      <c r="AG127" s="306"/>
    </row>
    <row r="128" spans="1:33">
      <c r="A128" s="306" t="s">
        <v>2598</v>
      </c>
      <c r="B128" s="306" t="s">
        <v>2598</v>
      </c>
      <c r="C128" s="323"/>
      <c r="D128" s="323">
        <v>0</v>
      </c>
      <c r="E128" s="323">
        <v>0</v>
      </c>
      <c r="F128" s="323"/>
      <c r="G128" s="323"/>
      <c r="H128" s="323"/>
      <c r="I128" s="323">
        <v>0</v>
      </c>
      <c r="J128" s="323">
        <v>0</v>
      </c>
      <c r="K128" s="306"/>
      <c r="L128" s="323">
        <v>0</v>
      </c>
      <c r="M128" s="323">
        <v>0</v>
      </c>
      <c r="N128" s="323">
        <v>0</v>
      </c>
      <c r="O128" s="323">
        <v>0</v>
      </c>
      <c r="P128" s="323">
        <v>0</v>
      </c>
      <c r="Q128" s="323">
        <v>0</v>
      </c>
      <c r="R128" s="323">
        <v>0</v>
      </c>
      <c r="S128" s="323">
        <v>0</v>
      </c>
      <c r="T128" s="323">
        <v>0</v>
      </c>
      <c r="U128" s="323">
        <v>0</v>
      </c>
      <c r="V128" s="323">
        <v>0</v>
      </c>
      <c r="W128" s="324" t="s">
        <v>466</v>
      </c>
      <c r="X128" s="323"/>
      <c r="Y128" s="323"/>
      <c r="Z128" s="323"/>
      <c r="AA128" s="323">
        <v>0</v>
      </c>
      <c r="AB128" s="306"/>
      <c r="AC128" s="306"/>
      <c r="AD128" s="306"/>
      <c r="AE128" s="306"/>
      <c r="AF128" s="306"/>
      <c r="AG128" s="306"/>
    </row>
    <row r="129" spans="1:33">
      <c r="A129" s="306" t="s">
        <v>2599</v>
      </c>
      <c r="B129" s="306" t="s">
        <v>2599</v>
      </c>
      <c r="C129" s="323"/>
      <c r="D129" s="323">
        <v>0</v>
      </c>
      <c r="E129" s="323">
        <v>0</v>
      </c>
      <c r="F129" s="323"/>
      <c r="G129" s="323"/>
      <c r="H129" s="323"/>
      <c r="I129" s="323">
        <v>0</v>
      </c>
      <c r="J129" s="323">
        <v>0</v>
      </c>
      <c r="K129" s="306"/>
      <c r="L129" s="323">
        <v>0</v>
      </c>
      <c r="M129" s="323">
        <v>0</v>
      </c>
      <c r="N129" s="323">
        <v>0</v>
      </c>
      <c r="O129" s="323">
        <v>0</v>
      </c>
      <c r="P129" s="323">
        <v>0</v>
      </c>
      <c r="Q129" s="323">
        <v>0</v>
      </c>
      <c r="R129" s="323">
        <v>0</v>
      </c>
      <c r="S129" s="323">
        <v>0</v>
      </c>
      <c r="T129" s="323">
        <v>0</v>
      </c>
      <c r="U129" s="323">
        <v>0</v>
      </c>
      <c r="V129" s="323">
        <v>0</v>
      </c>
      <c r="W129" s="324" t="s">
        <v>466</v>
      </c>
      <c r="X129" s="323"/>
      <c r="Y129" s="323"/>
      <c r="Z129" s="323"/>
      <c r="AA129" s="323">
        <v>0</v>
      </c>
      <c r="AB129" s="306"/>
      <c r="AC129" s="306"/>
      <c r="AD129" s="306"/>
      <c r="AE129" s="306"/>
      <c r="AF129" s="306"/>
      <c r="AG129" s="306"/>
    </row>
    <row r="130" spans="1:33">
      <c r="A130" s="306" t="s">
        <v>2757</v>
      </c>
      <c r="B130" s="306" t="s">
        <v>2757</v>
      </c>
      <c r="C130" s="323"/>
      <c r="D130" s="323">
        <v>0</v>
      </c>
      <c r="E130" s="323">
        <v>0</v>
      </c>
      <c r="F130" s="323"/>
      <c r="G130" s="323"/>
      <c r="H130" s="323"/>
      <c r="I130" s="323">
        <v>0</v>
      </c>
      <c r="J130" s="323">
        <v>0</v>
      </c>
      <c r="K130" s="306"/>
      <c r="L130" s="323">
        <v>0</v>
      </c>
      <c r="M130" s="323">
        <v>0</v>
      </c>
      <c r="N130" s="323">
        <v>0</v>
      </c>
      <c r="O130" s="323">
        <v>0</v>
      </c>
      <c r="P130" s="323">
        <v>0</v>
      </c>
      <c r="Q130" s="323">
        <v>0</v>
      </c>
      <c r="R130" s="323">
        <v>0</v>
      </c>
      <c r="S130" s="323">
        <v>0</v>
      </c>
      <c r="T130" s="323">
        <v>0</v>
      </c>
      <c r="U130" s="323">
        <v>0</v>
      </c>
      <c r="V130" s="323">
        <v>0</v>
      </c>
      <c r="W130" s="324" t="s">
        <v>466</v>
      </c>
      <c r="X130" s="323"/>
      <c r="Y130" s="323"/>
      <c r="Z130" s="323"/>
      <c r="AA130" s="323">
        <v>0</v>
      </c>
      <c r="AB130" s="306"/>
      <c r="AC130" s="306"/>
      <c r="AD130" s="306"/>
      <c r="AE130" s="306"/>
      <c r="AF130" s="306"/>
      <c r="AG130" s="306"/>
    </row>
    <row r="131" spans="1:33">
      <c r="A131" s="306" t="s">
        <v>2758</v>
      </c>
      <c r="B131" s="306" t="s">
        <v>2758</v>
      </c>
      <c r="C131" s="323"/>
      <c r="D131" s="323">
        <v>0</v>
      </c>
      <c r="E131" s="323">
        <v>0</v>
      </c>
      <c r="F131" s="323"/>
      <c r="G131" s="323"/>
      <c r="H131" s="323"/>
      <c r="I131" s="323">
        <v>0</v>
      </c>
      <c r="J131" s="323">
        <v>0</v>
      </c>
      <c r="K131" s="306"/>
      <c r="L131" s="323">
        <v>0</v>
      </c>
      <c r="M131" s="323">
        <v>0</v>
      </c>
      <c r="N131" s="323">
        <v>0</v>
      </c>
      <c r="O131" s="323">
        <v>0</v>
      </c>
      <c r="P131" s="323">
        <v>0</v>
      </c>
      <c r="Q131" s="323">
        <v>0</v>
      </c>
      <c r="R131" s="323">
        <v>0</v>
      </c>
      <c r="S131" s="323">
        <v>0</v>
      </c>
      <c r="T131" s="323">
        <v>0</v>
      </c>
      <c r="U131" s="323">
        <v>0</v>
      </c>
      <c r="V131" s="323">
        <v>0</v>
      </c>
      <c r="W131" s="324" t="s">
        <v>466</v>
      </c>
      <c r="X131" s="323"/>
      <c r="Y131" s="323"/>
      <c r="Z131" s="323"/>
      <c r="AA131" s="323">
        <v>0</v>
      </c>
      <c r="AB131" s="306"/>
      <c r="AC131" s="306"/>
      <c r="AD131" s="306"/>
      <c r="AE131" s="306"/>
      <c r="AF131" s="306"/>
      <c r="AG131" s="306"/>
    </row>
    <row r="132" spans="1:33">
      <c r="A132" s="306" t="s">
        <v>2759</v>
      </c>
      <c r="B132" s="306" t="s">
        <v>2759</v>
      </c>
      <c r="C132" s="323"/>
      <c r="D132" s="323">
        <v>0</v>
      </c>
      <c r="E132" s="323">
        <v>0</v>
      </c>
      <c r="F132" s="323"/>
      <c r="G132" s="323"/>
      <c r="H132" s="323"/>
      <c r="I132" s="323">
        <v>0</v>
      </c>
      <c r="J132" s="323">
        <v>0</v>
      </c>
      <c r="K132" s="306"/>
      <c r="L132" s="323">
        <v>0</v>
      </c>
      <c r="M132" s="323">
        <v>0</v>
      </c>
      <c r="N132" s="323">
        <v>0</v>
      </c>
      <c r="O132" s="323">
        <v>0</v>
      </c>
      <c r="P132" s="323">
        <v>0</v>
      </c>
      <c r="Q132" s="323">
        <v>0</v>
      </c>
      <c r="R132" s="323">
        <v>0</v>
      </c>
      <c r="S132" s="323">
        <v>0</v>
      </c>
      <c r="T132" s="323">
        <v>0</v>
      </c>
      <c r="U132" s="323">
        <v>0</v>
      </c>
      <c r="V132" s="323">
        <v>0</v>
      </c>
      <c r="W132" s="324" t="s">
        <v>466</v>
      </c>
      <c r="X132" s="323"/>
      <c r="Y132" s="323"/>
      <c r="Z132" s="323"/>
      <c r="AA132" s="323">
        <v>0</v>
      </c>
      <c r="AB132" s="306"/>
      <c r="AC132" s="306"/>
      <c r="AD132" s="306"/>
      <c r="AE132" s="306"/>
      <c r="AF132" s="306"/>
      <c r="AG132" s="306"/>
    </row>
    <row r="133" spans="1:33">
      <c r="A133" s="306" t="s">
        <v>2760</v>
      </c>
      <c r="B133" s="306" t="s">
        <v>2760</v>
      </c>
      <c r="C133" s="323"/>
      <c r="D133" s="323">
        <v>0</v>
      </c>
      <c r="E133" s="323">
        <v>0</v>
      </c>
      <c r="F133" s="323"/>
      <c r="G133" s="323"/>
      <c r="H133" s="323"/>
      <c r="I133" s="323">
        <v>0</v>
      </c>
      <c r="J133" s="323">
        <v>0</v>
      </c>
      <c r="K133" s="306"/>
      <c r="L133" s="323">
        <v>0</v>
      </c>
      <c r="M133" s="323">
        <v>0</v>
      </c>
      <c r="N133" s="323">
        <v>0</v>
      </c>
      <c r="O133" s="323">
        <v>0</v>
      </c>
      <c r="P133" s="323">
        <v>0</v>
      </c>
      <c r="Q133" s="323">
        <v>0</v>
      </c>
      <c r="R133" s="323">
        <v>0</v>
      </c>
      <c r="S133" s="323">
        <v>0</v>
      </c>
      <c r="T133" s="323">
        <v>0</v>
      </c>
      <c r="U133" s="323">
        <v>0</v>
      </c>
      <c r="V133" s="323">
        <v>0</v>
      </c>
      <c r="W133" s="324" t="s">
        <v>466</v>
      </c>
      <c r="X133" s="323"/>
      <c r="Y133" s="323"/>
      <c r="Z133" s="323"/>
      <c r="AA133" s="323">
        <v>0</v>
      </c>
      <c r="AB133" s="306"/>
      <c r="AC133" s="306"/>
      <c r="AD133" s="306"/>
      <c r="AE133" s="306"/>
      <c r="AF133" s="306"/>
      <c r="AG133" s="306"/>
    </row>
    <row r="134" spans="1:33">
      <c r="A134" s="306"/>
      <c r="B134" s="306"/>
      <c r="C134" s="323"/>
      <c r="D134" s="323"/>
      <c r="E134" s="323"/>
      <c r="F134" s="323"/>
      <c r="G134" s="323"/>
      <c r="H134" s="323"/>
      <c r="I134" s="323">
        <v>0</v>
      </c>
      <c r="J134" s="323"/>
      <c r="K134" s="306"/>
      <c r="L134" s="323"/>
      <c r="M134" s="323"/>
      <c r="N134" s="323"/>
      <c r="O134" s="323"/>
      <c r="P134" s="323"/>
      <c r="Q134" s="323"/>
      <c r="R134" s="323"/>
      <c r="S134" s="323"/>
      <c r="T134" s="323"/>
      <c r="U134" s="323"/>
      <c r="V134" s="323"/>
      <c r="W134" s="324"/>
      <c r="X134" s="323"/>
      <c r="Y134" s="323"/>
      <c r="Z134" s="323"/>
      <c r="AA134" s="323">
        <v>0</v>
      </c>
      <c r="AB134" s="306"/>
      <c r="AC134" s="306"/>
      <c r="AD134" s="306"/>
      <c r="AE134" s="306"/>
      <c r="AF134" s="306"/>
      <c r="AG134" s="306"/>
    </row>
    <row r="135" spans="1:33">
      <c r="A135" s="306" t="s">
        <v>943</v>
      </c>
      <c r="B135" s="306" t="s">
        <v>2778</v>
      </c>
      <c r="C135" s="323">
        <v>8868198</v>
      </c>
      <c r="D135" s="323">
        <v>2660459.4</v>
      </c>
      <c r="E135" s="323">
        <v>6207738.5999999996</v>
      </c>
      <c r="F135" s="323">
        <v>705632</v>
      </c>
      <c r="G135" s="323">
        <v>882914</v>
      </c>
      <c r="H135" s="323">
        <v>1044327</v>
      </c>
      <c r="I135" s="323">
        <v>2632873</v>
      </c>
      <c r="J135" s="323">
        <v>263287.3</v>
      </c>
      <c r="K135" s="306"/>
      <c r="L135" s="323">
        <v>1150107.0999999999</v>
      </c>
      <c r="M135" s="323">
        <v>1150107.0999999999</v>
      </c>
      <c r="N135" s="323">
        <v>1150107.0999999999</v>
      </c>
      <c r="O135" s="323">
        <v>1150107.0999999999</v>
      </c>
      <c r="P135" s="323">
        <v>1150107.0999999999</v>
      </c>
      <c r="Q135" s="323">
        <v>1150107.0999999999</v>
      </c>
      <c r="R135" s="323">
        <v>1150107.0999999999</v>
      </c>
      <c r="S135" s="323">
        <v>263287.3</v>
      </c>
      <c r="T135" s="323">
        <v>263287.3</v>
      </c>
      <c r="U135" s="323">
        <v>263287.3</v>
      </c>
      <c r="V135" s="323">
        <v>8840611.5999999996</v>
      </c>
      <c r="W135" s="324" t="s">
        <v>461</v>
      </c>
      <c r="X135" s="323">
        <v>3058875</v>
      </c>
      <c r="Y135" s="323">
        <v>2659804</v>
      </c>
      <c r="Z135" s="323">
        <v>2513530</v>
      </c>
      <c r="AA135" s="323">
        <v>8232209</v>
      </c>
      <c r="AB135" s="306"/>
      <c r="AC135" s="306"/>
      <c r="AD135" s="306"/>
      <c r="AE135" s="306"/>
      <c r="AF135" s="306"/>
      <c r="AG135" s="306"/>
    </row>
    <row r="136" spans="1:33">
      <c r="A136" s="306" t="s">
        <v>2208</v>
      </c>
      <c r="B136" s="306" t="s">
        <v>2791</v>
      </c>
      <c r="C136" s="323"/>
      <c r="D136" s="323">
        <v>0</v>
      </c>
      <c r="E136" s="323">
        <v>0</v>
      </c>
      <c r="F136" s="323"/>
      <c r="G136" s="323"/>
      <c r="H136" s="323"/>
      <c r="I136" s="323">
        <v>0</v>
      </c>
      <c r="J136" s="323">
        <v>0</v>
      </c>
      <c r="K136" s="306"/>
      <c r="L136" s="323">
        <v>0</v>
      </c>
      <c r="M136" s="323">
        <v>0</v>
      </c>
      <c r="N136" s="323">
        <v>0</v>
      </c>
      <c r="O136" s="323">
        <v>0</v>
      </c>
      <c r="P136" s="323">
        <v>0</v>
      </c>
      <c r="Q136" s="323">
        <v>0</v>
      </c>
      <c r="R136" s="323">
        <v>0</v>
      </c>
      <c r="S136" s="323">
        <v>0</v>
      </c>
      <c r="T136" s="323">
        <v>0</v>
      </c>
      <c r="U136" s="323">
        <v>0</v>
      </c>
      <c r="V136" s="323">
        <v>0</v>
      </c>
      <c r="W136" s="324" t="s">
        <v>461</v>
      </c>
      <c r="X136" s="323"/>
      <c r="Y136" s="323"/>
      <c r="Z136" s="323"/>
      <c r="AA136" s="323">
        <v>0</v>
      </c>
      <c r="AB136" s="306"/>
      <c r="AC136" s="306"/>
      <c r="AD136" s="306"/>
      <c r="AE136" s="306"/>
      <c r="AF136" s="306"/>
      <c r="AG136" s="306"/>
    </row>
    <row r="137" spans="1:33">
      <c r="A137" s="306" t="s">
        <v>944</v>
      </c>
      <c r="B137" s="306" t="s">
        <v>2784</v>
      </c>
      <c r="C137" s="323"/>
      <c r="D137" s="323">
        <v>0</v>
      </c>
      <c r="E137" s="323">
        <v>0</v>
      </c>
      <c r="F137" s="323"/>
      <c r="G137" s="323"/>
      <c r="H137" s="323"/>
      <c r="I137" s="323">
        <v>0</v>
      </c>
      <c r="J137" s="323">
        <v>0</v>
      </c>
      <c r="K137" s="306"/>
      <c r="L137" s="323">
        <v>0</v>
      </c>
      <c r="M137" s="323">
        <v>0</v>
      </c>
      <c r="N137" s="323">
        <v>0</v>
      </c>
      <c r="O137" s="323">
        <v>0</v>
      </c>
      <c r="P137" s="323">
        <v>0</v>
      </c>
      <c r="Q137" s="323">
        <v>0</v>
      </c>
      <c r="R137" s="323">
        <v>0</v>
      </c>
      <c r="S137" s="323">
        <v>0</v>
      </c>
      <c r="T137" s="323">
        <v>0</v>
      </c>
      <c r="U137" s="323">
        <v>0</v>
      </c>
      <c r="V137" s="323">
        <v>0</v>
      </c>
      <c r="W137" s="324" t="s">
        <v>461</v>
      </c>
      <c r="X137" s="323"/>
      <c r="Y137" s="323"/>
      <c r="Z137" s="323"/>
      <c r="AA137" s="323">
        <v>0</v>
      </c>
      <c r="AB137" s="306"/>
      <c r="AC137" s="306"/>
      <c r="AD137" s="306"/>
      <c r="AE137" s="306"/>
      <c r="AF137" s="306"/>
      <c r="AG137" s="306"/>
    </row>
    <row r="138" spans="1:33">
      <c r="A138" s="306" t="s">
        <v>2335</v>
      </c>
      <c r="B138" s="306" t="s">
        <v>2779</v>
      </c>
      <c r="C138" s="323">
        <v>623507</v>
      </c>
      <c r="D138" s="323">
        <v>187052.1</v>
      </c>
      <c r="E138" s="323">
        <v>436454.9</v>
      </c>
      <c r="F138" s="323">
        <v>524714</v>
      </c>
      <c r="G138" s="323">
        <v>571639</v>
      </c>
      <c r="H138" s="323">
        <v>622336</v>
      </c>
      <c r="I138" s="323">
        <v>1718689</v>
      </c>
      <c r="J138" s="323">
        <v>171868.9</v>
      </c>
      <c r="K138" s="306"/>
      <c r="L138" s="323">
        <v>234219.6</v>
      </c>
      <c r="M138" s="323">
        <v>234219.6</v>
      </c>
      <c r="N138" s="323">
        <v>234219.6</v>
      </c>
      <c r="O138" s="323">
        <v>234219.6</v>
      </c>
      <c r="P138" s="323">
        <v>234219.6</v>
      </c>
      <c r="Q138" s="323">
        <v>234219.6</v>
      </c>
      <c r="R138" s="323">
        <v>234219.6</v>
      </c>
      <c r="S138" s="323">
        <v>171868.9</v>
      </c>
      <c r="T138" s="323">
        <v>171868.9</v>
      </c>
      <c r="U138" s="323">
        <v>171868.9</v>
      </c>
      <c r="V138" s="323">
        <v>2155143.9</v>
      </c>
      <c r="W138" s="324" t="s">
        <v>461</v>
      </c>
      <c r="X138" s="323">
        <v>982681</v>
      </c>
      <c r="Y138" s="323">
        <v>1129522</v>
      </c>
      <c r="Z138" s="323">
        <v>1087422</v>
      </c>
      <c r="AA138" s="323">
        <v>3199625</v>
      </c>
      <c r="AB138" s="306"/>
      <c r="AC138" s="306"/>
      <c r="AD138" s="306"/>
      <c r="AE138" s="306"/>
      <c r="AF138" s="306"/>
      <c r="AG138" s="306"/>
    </row>
    <row r="139" spans="1:33">
      <c r="A139" s="306" t="s">
        <v>2336</v>
      </c>
      <c r="B139" s="306" t="s">
        <v>2780</v>
      </c>
      <c r="C139" s="323">
        <v>594666</v>
      </c>
      <c r="D139" s="323">
        <v>178399.8</v>
      </c>
      <c r="E139" s="323">
        <v>416266.2</v>
      </c>
      <c r="F139" s="323">
        <v>291785</v>
      </c>
      <c r="G139" s="323">
        <v>312517</v>
      </c>
      <c r="H139" s="323">
        <v>337199</v>
      </c>
      <c r="I139" s="323">
        <v>941501</v>
      </c>
      <c r="J139" s="323">
        <v>94150.1</v>
      </c>
      <c r="K139" s="306"/>
      <c r="L139" s="323">
        <v>153616.70000000001</v>
      </c>
      <c r="M139" s="323">
        <v>153616.70000000001</v>
      </c>
      <c r="N139" s="323">
        <v>153616.70000000001</v>
      </c>
      <c r="O139" s="323">
        <v>153616.70000000001</v>
      </c>
      <c r="P139" s="323">
        <v>153616.70000000001</v>
      </c>
      <c r="Q139" s="323">
        <v>153616.70000000001</v>
      </c>
      <c r="R139" s="323">
        <v>153616.70000000001</v>
      </c>
      <c r="S139" s="323">
        <v>94150.1</v>
      </c>
      <c r="T139" s="323">
        <v>94150.1</v>
      </c>
      <c r="U139" s="323">
        <v>94150.1</v>
      </c>
      <c r="V139" s="323">
        <v>1357767.2000000002</v>
      </c>
      <c r="W139" s="324" t="s">
        <v>461</v>
      </c>
      <c r="X139" s="323">
        <v>481788</v>
      </c>
      <c r="Y139" s="323">
        <v>412173</v>
      </c>
      <c r="Z139" s="323">
        <v>298258</v>
      </c>
      <c r="AA139" s="323">
        <v>1192219</v>
      </c>
      <c r="AB139" s="306"/>
      <c r="AC139" s="306"/>
      <c r="AD139" s="306"/>
      <c r="AE139" s="306"/>
      <c r="AF139" s="306"/>
      <c r="AG139" s="306"/>
    </row>
    <row r="140" spans="1:33">
      <c r="A140" s="306" t="s">
        <v>2337</v>
      </c>
      <c r="B140" s="306" t="s">
        <v>2781</v>
      </c>
      <c r="C140" s="323">
        <v>1058331</v>
      </c>
      <c r="D140" s="323">
        <v>317499.3</v>
      </c>
      <c r="E140" s="323">
        <v>740831.7</v>
      </c>
      <c r="F140" s="323">
        <v>312092</v>
      </c>
      <c r="G140" s="323">
        <v>345744</v>
      </c>
      <c r="H140" s="323">
        <v>374853</v>
      </c>
      <c r="I140" s="323">
        <v>1032689</v>
      </c>
      <c r="J140" s="323">
        <v>103268.9</v>
      </c>
      <c r="K140" s="306"/>
      <c r="L140" s="323">
        <v>209102</v>
      </c>
      <c r="M140" s="323">
        <v>209102</v>
      </c>
      <c r="N140" s="323">
        <v>209102</v>
      </c>
      <c r="O140" s="323">
        <v>209102</v>
      </c>
      <c r="P140" s="323">
        <v>209102</v>
      </c>
      <c r="Q140" s="323">
        <v>209102</v>
      </c>
      <c r="R140" s="323">
        <v>209102</v>
      </c>
      <c r="S140" s="323">
        <v>103268.9</v>
      </c>
      <c r="T140" s="323">
        <v>103268.9</v>
      </c>
      <c r="U140" s="323">
        <v>103268.9</v>
      </c>
      <c r="V140" s="323">
        <v>1773520.6999999997</v>
      </c>
      <c r="W140" s="324" t="s">
        <v>461</v>
      </c>
      <c r="X140" s="323">
        <v>716041</v>
      </c>
      <c r="Y140" s="323">
        <v>939446</v>
      </c>
      <c r="Z140" s="323">
        <v>903763</v>
      </c>
      <c r="AA140" s="323">
        <v>2559250</v>
      </c>
      <c r="AB140" s="306"/>
      <c r="AC140" s="306"/>
      <c r="AD140" s="306"/>
      <c r="AE140" s="306"/>
      <c r="AF140" s="306"/>
      <c r="AG140" s="306"/>
    </row>
    <row r="141" spans="1:33">
      <c r="A141" s="306" t="s">
        <v>2338</v>
      </c>
      <c r="B141" s="306" t="s">
        <v>2782</v>
      </c>
      <c r="C141" s="323">
        <v>770291</v>
      </c>
      <c r="D141" s="323">
        <v>231087.3</v>
      </c>
      <c r="E141" s="323">
        <v>539203.69999999995</v>
      </c>
      <c r="F141" s="323">
        <v>1783</v>
      </c>
      <c r="G141" s="323">
        <v>9864</v>
      </c>
      <c r="H141" s="323">
        <v>22476</v>
      </c>
      <c r="I141" s="323">
        <v>34123</v>
      </c>
      <c r="J141" s="323">
        <v>3412.3</v>
      </c>
      <c r="K141" s="306"/>
      <c r="L141" s="323">
        <v>80441.399999999994</v>
      </c>
      <c r="M141" s="323">
        <v>80441.399999999994</v>
      </c>
      <c r="N141" s="323">
        <v>80441.399999999994</v>
      </c>
      <c r="O141" s="323">
        <v>80441.399999999994</v>
      </c>
      <c r="P141" s="323">
        <v>80441.399999999994</v>
      </c>
      <c r="Q141" s="323">
        <v>80441.399999999994</v>
      </c>
      <c r="R141" s="323">
        <v>80441.399999999994</v>
      </c>
      <c r="S141" s="323">
        <v>3412.3</v>
      </c>
      <c r="T141" s="323">
        <v>3412.3</v>
      </c>
      <c r="U141" s="323">
        <v>3412.3</v>
      </c>
      <c r="V141" s="323">
        <v>573326.70000000019</v>
      </c>
      <c r="W141" s="324" t="s">
        <v>461</v>
      </c>
      <c r="X141" s="323">
        <v>316832</v>
      </c>
      <c r="Y141" s="323">
        <v>292386</v>
      </c>
      <c r="Z141" s="323">
        <v>238872</v>
      </c>
      <c r="AA141" s="323">
        <v>848090</v>
      </c>
      <c r="AB141" s="306"/>
      <c r="AC141" s="306"/>
      <c r="AD141" s="306"/>
      <c r="AE141" s="306"/>
      <c r="AF141" s="306"/>
      <c r="AG141" s="306"/>
    </row>
    <row r="142" spans="1:33">
      <c r="A142" s="306" t="s">
        <v>3022</v>
      </c>
      <c r="B142" s="306" t="s">
        <v>2499</v>
      </c>
      <c r="C142" s="323">
        <v>0</v>
      </c>
      <c r="D142" s="323">
        <v>0</v>
      </c>
      <c r="E142" s="323">
        <v>0</v>
      </c>
      <c r="F142" s="323"/>
      <c r="G142" s="323"/>
      <c r="H142" s="323"/>
      <c r="I142" s="323">
        <v>0</v>
      </c>
      <c r="J142" s="323">
        <v>0</v>
      </c>
      <c r="K142" s="306"/>
      <c r="L142" s="323">
        <v>0</v>
      </c>
      <c r="M142" s="323">
        <v>0</v>
      </c>
      <c r="N142" s="323">
        <v>0</v>
      </c>
      <c r="O142" s="323">
        <v>0</v>
      </c>
      <c r="P142" s="323">
        <v>0</v>
      </c>
      <c r="Q142" s="323">
        <v>0</v>
      </c>
      <c r="R142" s="323">
        <v>0</v>
      </c>
      <c r="S142" s="323">
        <v>0</v>
      </c>
      <c r="T142" s="323">
        <v>0</v>
      </c>
      <c r="U142" s="323">
        <v>0</v>
      </c>
      <c r="V142" s="323">
        <v>0</v>
      </c>
      <c r="W142" s="324" t="s">
        <v>461</v>
      </c>
      <c r="X142" s="323"/>
      <c r="Y142" s="323"/>
      <c r="Z142" s="323"/>
      <c r="AA142" s="323">
        <v>0</v>
      </c>
      <c r="AB142" s="306"/>
      <c r="AC142" s="306"/>
      <c r="AD142" s="306"/>
      <c r="AE142" s="306"/>
      <c r="AF142" s="306"/>
      <c r="AG142" s="306"/>
    </row>
    <row r="143" spans="1:33">
      <c r="A143" s="306" t="s">
        <v>2784</v>
      </c>
      <c r="B143" s="306" t="s">
        <v>2499</v>
      </c>
      <c r="C143" s="323">
        <v>0</v>
      </c>
      <c r="D143" s="323">
        <v>0</v>
      </c>
      <c r="E143" s="323">
        <v>0</v>
      </c>
      <c r="F143" s="323"/>
      <c r="G143" s="323"/>
      <c r="H143" s="323"/>
      <c r="I143" s="323">
        <v>0</v>
      </c>
      <c r="J143" s="323">
        <v>0</v>
      </c>
      <c r="K143" s="306"/>
      <c r="L143" s="323">
        <v>0</v>
      </c>
      <c r="M143" s="323">
        <v>0</v>
      </c>
      <c r="N143" s="323">
        <v>0</v>
      </c>
      <c r="O143" s="323">
        <v>0</v>
      </c>
      <c r="P143" s="323">
        <v>0</v>
      </c>
      <c r="Q143" s="323">
        <v>0</v>
      </c>
      <c r="R143" s="323">
        <v>0</v>
      </c>
      <c r="S143" s="323">
        <v>0</v>
      </c>
      <c r="T143" s="323">
        <v>0</v>
      </c>
      <c r="U143" s="323">
        <v>0</v>
      </c>
      <c r="V143" s="323">
        <v>0</v>
      </c>
      <c r="W143" s="324" t="s">
        <v>461</v>
      </c>
      <c r="X143" s="323"/>
      <c r="Y143" s="323"/>
      <c r="Z143" s="323"/>
      <c r="AA143" s="323">
        <v>0</v>
      </c>
      <c r="AB143" s="306"/>
      <c r="AC143" s="306"/>
      <c r="AD143" s="306"/>
      <c r="AE143" s="306"/>
      <c r="AF143" s="306"/>
      <c r="AG143" s="306"/>
    </row>
    <row r="144" spans="1:33">
      <c r="A144" s="306" t="s">
        <v>2785</v>
      </c>
      <c r="B144" s="306" t="s">
        <v>2499</v>
      </c>
      <c r="C144" s="323">
        <v>0</v>
      </c>
      <c r="D144" s="323">
        <v>0</v>
      </c>
      <c r="E144" s="323">
        <v>0</v>
      </c>
      <c r="F144" s="323"/>
      <c r="G144" s="323"/>
      <c r="H144" s="323"/>
      <c r="I144" s="323">
        <v>0</v>
      </c>
      <c r="J144" s="323">
        <v>0</v>
      </c>
      <c r="K144" s="306"/>
      <c r="L144" s="323">
        <v>0</v>
      </c>
      <c r="M144" s="323">
        <v>0</v>
      </c>
      <c r="N144" s="323">
        <v>0</v>
      </c>
      <c r="O144" s="323">
        <v>0</v>
      </c>
      <c r="P144" s="323">
        <v>0</v>
      </c>
      <c r="Q144" s="323">
        <v>0</v>
      </c>
      <c r="R144" s="323">
        <v>0</v>
      </c>
      <c r="S144" s="323">
        <v>0</v>
      </c>
      <c r="T144" s="323">
        <v>0</v>
      </c>
      <c r="U144" s="323">
        <v>0</v>
      </c>
      <c r="V144" s="323">
        <v>0</v>
      </c>
      <c r="W144" s="324" t="s">
        <v>461</v>
      </c>
      <c r="X144" s="323"/>
      <c r="Y144" s="323"/>
      <c r="Z144" s="323"/>
      <c r="AA144" s="323">
        <v>0</v>
      </c>
      <c r="AB144" s="306"/>
      <c r="AC144" s="306"/>
      <c r="AD144" s="306"/>
      <c r="AE144" s="306"/>
      <c r="AF144" s="306"/>
      <c r="AG144" s="306"/>
    </row>
    <row r="145" spans="1:33">
      <c r="A145" s="306" t="s">
        <v>2786</v>
      </c>
      <c r="B145" s="306" t="s">
        <v>2499</v>
      </c>
      <c r="C145" s="323">
        <v>0</v>
      </c>
      <c r="D145" s="323">
        <v>0</v>
      </c>
      <c r="E145" s="323">
        <v>0</v>
      </c>
      <c r="F145" s="323"/>
      <c r="G145" s="323"/>
      <c r="H145" s="323"/>
      <c r="I145" s="323">
        <v>0</v>
      </c>
      <c r="J145" s="323">
        <v>0</v>
      </c>
      <c r="K145" s="306"/>
      <c r="L145" s="323">
        <v>0</v>
      </c>
      <c r="M145" s="323">
        <v>0</v>
      </c>
      <c r="N145" s="323">
        <v>0</v>
      </c>
      <c r="O145" s="323">
        <v>0</v>
      </c>
      <c r="P145" s="323">
        <v>0</v>
      </c>
      <c r="Q145" s="323">
        <v>0</v>
      </c>
      <c r="R145" s="323">
        <v>0</v>
      </c>
      <c r="S145" s="323">
        <v>0</v>
      </c>
      <c r="T145" s="323">
        <v>0</v>
      </c>
      <c r="U145" s="323">
        <v>0</v>
      </c>
      <c r="V145" s="323">
        <v>0</v>
      </c>
      <c r="W145" s="324" t="s">
        <v>461</v>
      </c>
      <c r="X145" s="323"/>
      <c r="Y145" s="323"/>
      <c r="Z145" s="323"/>
      <c r="AA145" s="323">
        <v>0</v>
      </c>
      <c r="AB145" s="306"/>
      <c r="AC145" s="306"/>
      <c r="AD145" s="306"/>
      <c r="AE145" s="306"/>
      <c r="AF145" s="306"/>
      <c r="AG145" s="306"/>
    </row>
    <row r="146" spans="1:33">
      <c r="A146" s="306" t="s">
        <v>2787</v>
      </c>
      <c r="B146" s="306" t="s">
        <v>2499</v>
      </c>
      <c r="C146" s="323">
        <v>0</v>
      </c>
      <c r="D146" s="323">
        <v>0</v>
      </c>
      <c r="E146" s="323">
        <v>0</v>
      </c>
      <c r="F146" s="323"/>
      <c r="G146" s="323"/>
      <c r="H146" s="323"/>
      <c r="I146" s="323">
        <v>0</v>
      </c>
      <c r="J146" s="323">
        <v>0</v>
      </c>
      <c r="K146" s="306"/>
      <c r="L146" s="323">
        <v>0</v>
      </c>
      <c r="M146" s="323">
        <v>0</v>
      </c>
      <c r="N146" s="323">
        <v>0</v>
      </c>
      <c r="O146" s="323">
        <v>0</v>
      </c>
      <c r="P146" s="323">
        <v>0</v>
      </c>
      <c r="Q146" s="323">
        <v>0</v>
      </c>
      <c r="R146" s="323">
        <v>0</v>
      </c>
      <c r="S146" s="323">
        <v>0</v>
      </c>
      <c r="T146" s="323">
        <v>0</v>
      </c>
      <c r="U146" s="323">
        <v>0</v>
      </c>
      <c r="V146" s="323">
        <v>0</v>
      </c>
      <c r="W146" s="324" t="s">
        <v>461</v>
      </c>
      <c r="X146" s="323"/>
      <c r="Y146" s="323"/>
      <c r="Z146" s="323"/>
      <c r="AA146" s="323">
        <v>0</v>
      </c>
      <c r="AB146" s="306"/>
      <c r="AC146" s="306"/>
      <c r="AD146" s="306"/>
      <c r="AE146" s="306"/>
      <c r="AF146" s="306"/>
      <c r="AG146" s="306"/>
    </row>
    <row r="147" spans="1:33">
      <c r="A147" s="306" t="s">
        <v>2788</v>
      </c>
      <c r="B147" s="306" t="s">
        <v>2499</v>
      </c>
      <c r="C147" s="323">
        <v>0</v>
      </c>
      <c r="D147" s="323">
        <v>0</v>
      </c>
      <c r="E147" s="323">
        <v>0</v>
      </c>
      <c r="F147" s="323"/>
      <c r="G147" s="323"/>
      <c r="H147" s="323"/>
      <c r="I147" s="323">
        <v>0</v>
      </c>
      <c r="J147" s="323">
        <v>0</v>
      </c>
      <c r="K147" s="306"/>
      <c r="L147" s="323">
        <v>0</v>
      </c>
      <c r="M147" s="323">
        <v>0</v>
      </c>
      <c r="N147" s="323">
        <v>0</v>
      </c>
      <c r="O147" s="323">
        <v>0</v>
      </c>
      <c r="P147" s="323">
        <v>0</v>
      </c>
      <c r="Q147" s="323">
        <v>0</v>
      </c>
      <c r="R147" s="323">
        <v>0</v>
      </c>
      <c r="S147" s="323">
        <v>0</v>
      </c>
      <c r="T147" s="323">
        <v>0</v>
      </c>
      <c r="U147" s="323">
        <v>0</v>
      </c>
      <c r="V147" s="323">
        <v>0</v>
      </c>
      <c r="W147" s="324" t="s">
        <v>461</v>
      </c>
      <c r="X147" s="323"/>
      <c r="Y147" s="323"/>
      <c r="Z147" s="323"/>
      <c r="AA147" s="323">
        <v>0</v>
      </c>
      <c r="AB147" s="306"/>
      <c r="AC147" s="306"/>
      <c r="AD147" s="306"/>
      <c r="AE147" s="306"/>
      <c r="AF147" s="306"/>
      <c r="AG147" s="306"/>
    </row>
    <row r="148" spans="1:33">
      <c r="A148" s="306" t="s">
        <v>942</v>
      </c>
      <c r="B148" s="306" t="s">
        <v>2810</v>
      </c>
      <c r="C148" s="323">
        <v>1727714</v>
      </c>
      <c r="D148" s="323">
        <v>518314.19999999995</v>
      </c>
      <c r="E148" s="323">
        <v>1209399.8</v>
      </c>
      <c r="F148" s="323">
        <v>1144678</v>
      </c>
      <c r="G148" s="323">
        <v>2167436</v>
      </c>
      <c r="H148" s="323">
        <v>3430098</v>
      </c>
      <c r="I148" s="323">
        <v>6742212</v>
      </c>
      <c r="J148" s="323">
        <v>674221.2</v>
      </c>
      <c r="K148" s="306"/>
      <c r="L148" s="323">
        <v>846992.6</v>
      </c>
      <c r="M148" s="323">
        <v>846992.6</v>
      </c>
      <c r="N148" s="323">
        <v>846992.6</v>
      </c>
      <c r="O148" s="323">
        <v>846992.6</v>
      </c>
      <c r="P148" s="323">
        <v>846992.6</v>
      </c>
      <c r="Q148" s="323">
        <v>846992.6</v>
      </c>
      <c r="R148" s="323">
        <v>846992.6</v>
      </c>
      <c r="S148" s="323">
        <v>674221.2</v>
      </c>
      <c r="T148" s="323">
        <v>674221.2</v>
      </c>
      <c r="U148" s="323">
        <v>674221.2</v>
      </c>
      <c r="V148" s="323">
        <v>7951611.7999999998</v>
      </c>
      <c r="W148" s="324" t="s">
        <v>460</v>
      </c>
      <c r="X148" s="323">
        <v>941871</v>
      </c>
      <c r="Y148" s="323">
        <v>908931</v>
      </c>
      <c r="Z148" s="323">
        <v>954067</v>
      </c>
      <c r="AA148" s="323">
        <v>2804869</v>
      </c>
      <c r="AB148" s="306"/>
      <c r="AC148" s="306"/>
      <c r="AD148" s="306"/>
      <c r="AE148" s="306"/>
      <c r="AF148" s="306"/>
      <c r="AG148" s="306"/>
    </row>
    <row r="149" spans="1:33">
      <c r="A149" s="306" t="s">
        <v>2382</v>
      </c>
      <c r="B149" s="306" t="s">
        <v>2823</v>
      </c>
      <c r="C149" s="323"/>
      <c r="D149" s="323">
        <v>0</v>
      </c>
      <c r="E149" s="323">
        <v>0</v>
      </c>
      <c r="F149" s="323"/>
      <c r="G149" s="323"/>
      <c r="H149" s="323"/>
      <c r="I149" s="323">
        <v>0</v>
      </c>
      <c r="J149" s="323">
        <v>0</v>
      </c>
      <c r="K149" s="306"/>
      <c r="L149" s="323">
        <v>0</v>
      </c>
      <c r="M149" s="323">
        <v>0</v>
      </c>
      <c r="N149" s="323">
        <v>0</v>
      </c>
      <c r="O149" s="323">
        <v>0</v>
      </c>
      <c r="P149" s="323">
        <v>0</v>
      </c>
      <c r="Q149" s="323">
        <v>0</v>
      </c>
      <c r="R149" s="323">
        <v>0</v>
      </c>
      <c r="S149" s="323">
        <v>0</v>
      </c>
      <c r="T149" s="323">
        <v>0</v>
      </c>
      <c r="U149" s="323">
        <v>0</v>
      </c>
      <c r="V149" s="323">
        <v>0</v>
      </c>
      <c r="W149" s="324" t="s">
        <v>460</v>
      </c>
      <c r="X149" s="323"/>
      <c r="Y149" s="323"/>
      <c r="Z149" s="323"/>
      <c r="AA149" s="323">
        <v>0</v>
      </c>
      <c r="AB149" s="306"/>
      <c r="AC149" s="306"/>
      <c r="AD149" s="306"/>
      <c r="AE149" s="306"/>
      <c r="AF149" s="306"/>
      <c r="AG149" s="306"/>
    </row>
    <row r="150" spans="1:33">
      <c r="A150" s="306" t="s">
        <v>2383</v>
      </c>
      <c r="B150" s="306" t="s">
        <v>2816</v>
      </c>
      <c r="C150" s="323"/>
      <c r="D150" s="323">
        <v>0</v>
      </c>
      <c r="E150" s="323">
        <v>0</v>
      </c>
      <c r="F150" s="323"/>
      <c r="G150" s="323"/>
      <c r="H150" s="323"/>
      <c r="I150" s="323">
        <v>0</v>
      </c>
      <c r="J150" s="323">
        <v>0</v>
      </c>
      <c r="K150" s="306"/>
      <c r="L150" s="323">
        <v>0</v>
      </c>
      <c r="M150" s="323">
        <v>0</v>
      </c>
      <c r="N150" s="323">
        <v>0</v>
      </c>
      <c r="O150" s="323">
        <v>0</v>
      </c>
      <c r="P150" s="323">
        <v>0</v>
      </c>
      <c r="Q150" s="323">
        <v>0</v>
      </c>
      <c r="R150" s="323">
        <v>0</v>
      </c>
      <c r="S150" s="323">
        <v>0</v>
      </c>
      <c r="T150" s="323">
        <v>0</v>
      </c>
      <c r="U150" s="323">
        <v>0</v>
      </c>
      <c r="V150" s="323">
        <v>0</v>
      </c>
      <c r="W150" s="324" t="s">
        <v>460</v>
      </c>
      <c r="X150" s="323"/>
      <c r="Y150" s="323"/>
      <c r="Z150" s="323"/>
      <c r="AA150" s="323">
        <v>0</v>
      </c>
      <c r="AB150" s="306"/>
      <c r="AC150" s="306"/>
      <c r="AD150" s="306"/>
      <c r="AE150" s="306"/>
      <c r="AF150" s="306"/>
      <c r="AG150" s="306"/>
    </row>
    <row r="151" spans="1:33">
      <c r="A151" s="306" t="s">
        <v>2352</v>
      </c>
      <c r="B151" s="306" t="s">
        <v>2811</v>
      </c>
      <c r="C151" s="323">
        <v>56376</v>
      </c>
      <c r="D151" s="323">
        <v>16912.8</v>
      </c>
      <c r="E151" s="323">
        <v>39463.199999999997</v>
      </c>
      <c r="F151" s="323">
        <v>156</v>
      </c>
      <c r="G151" s="323">
        <v>4107</v>
      </c>
      <c r="H151" s="323">
        <v>10045</v>
      </c>
      <c r="I151" s="323">
        <v>14308</v>
      </c>
      <c r="J151" s="323">
        <v>1430.8</v>
      </c>
      <c r="K151" s="306"/>
      <c r="L151" s="323">
        <v>7068.4</v>
      </c>
      <c r="M151" s="323">
        <v>7068.4</v>
      </c>
      <c r="N151" s="323">
        <v>7068.4</v>
      </c>
      <c r="O151" s="323">
        <v>7068.4</v>
      </c>
      <c r="P151" s="323">
        <v>7068.4</v>
      </c>
      <c r="Q151" s="323">
        <v>7068.4</v>
      </c>
      <c r="R151" s="323">
        <v>7068.4</v>
      </c>
      <c r="S151" s="323">
        <v>1430.8</v>
      </c>
      <c r="T151" s="323">
        <v>1430.8</v>
      </c>
      <c r="U151" s="323">
        <v>1430.8</v>
      </c>
      <c r="V151" s="323">
        <v>53771.200000000012</v>
      </c>
      <c r="W151" s="324" t="s">
        <v>460</v>
      </c>
      <c r="X151" s="323">
        <v>103127</v>
      </c>
      <c r="Y151" s="323">
        <v>106777</v>
      </c>
      <c r="Z151" s="323">
        <v>101298</v>
      </c>
      <c r="AA151" s="323">
        <v>311202</v>
      </c>
      <c r="AB151" s="306"/>
      <c r="AC151" s="306"/>
      <c r="AD151" s="306"/>
      <c r="AE151" s="306"/>
      <c r="AF151" s="306"/>
      <c r="AG151" s="306"/>
    </row>
    <row r="152" spans="1:33">
      <c r="A152" s="306" t="s">
        <v>2353</v>
      </c>
      <c r="B152" s="306" t="s">
        <v>2812</v>
      </c>
      <c r="C152" s="323">
        <v>417655</v>
      </c>
      <c r="D152" s="323">
        <v>125296.5</v>
      </c>
      <c r="E152" s="323">
        <v>292358.5</v>
      </c>
      <c r="F152" s="323">
        <v>13619</v>
      </c>
      <c r="G152" s="323">
        <v>42831</v>
      </c>
      <c r="H152" s="323">
        <v>79054</v>
      </c>
      <c r="I152" s="323">
        <v>135504</v>
      </c>
      <c r="J152" s="323">
        <v>13550.4</v>
      </c>
      <c r="K152" s="306"/>
      <c r="L152" s="323">
        <v>55315.9</v>
      </c>
      <c r="M152" s="323">
        <v>55315.9</v>
      </c>
      <c r="N152" s="323">
        <v>55315.9</v>
      </c>
      <c r="O152" s="323">
        <v>55315.9</v>
      </c>
      <c r="P152" s="323">
        <v>55315.9</v>
      </c>
      <c r="Q152" s="323">
        <v>55315.9</v>
      </c>
      <c r="R152" s="323">
        <v>55315.9</v>
      </c>
      <c r="S152" s="323">
        <v>13550.4</v>
      </c>
      <c r="T152" s="323">
        <v>13550.4</v>
      </c>
      <c r="U152" s="323">
        <v>13550.4</v>
      </c>
      <c r="V152" s="323">
        <v>427862.50000000012</v>
      </c>
      <c r="W152" s="324" t="s">
        <v>460</v>
      </c>
      <c r="X152" s="323">
        <v>33311</v>
      </c>
      <c r="Y152" s="323">
        <v>23071</v>
      </c>
      <c r="Z152" s="323">
        <v>-38865</v>
      </c>
      <c r="AA152" s="323">
        <v>17517</v>
      </c>
      <c r="AB152" s="306"/>
      <c r="AC152" s="306"/>
      <c r="AD152" s="306"/>
      <c r="AE152" s="306"/>
      <c r="AF152" s="306"/>
      <c r="AG152" s="306"/>
    </row>
    <row r="153" spans="1:33">
      <c r="A153" s="306" t="s">
        <v>2354</v>
      </c>
      <c r="B153" s="306" t="s">
        <v>2813</v>
      </c>
      <c r="C153" s="323">
        <v>3413</v>
      </c>
      <c r="D153" s="323">
        <v>1023.9</v>
      </c>
      <c r="E153" s="323">
        <v>2389.1</v>
      </c>
      <c r="F153" s="323">
        <v>835</v>
      </c>
      <c r="G153" s="323">
        <v>2184</v>
      </c>
      <c r="H153" s="323">
        <v>4533</v>
      </c>
      <c r="I153" s="323">
        <v>7552</v>
      </c>
      <c r="J153" s="323">
        <v>755.2</v>
      </c>
      <c r="K153" s="306"/>
      <c r="L153" s="323">
        <v>1096.5</v>
      </c>
      <c r="M153" s="323">
        <v>1096.5</v>
      </c>
      <c r="N153" s="323">
        <v>1096.5</v>
      </c>
      <c r="O153" s="323">
        <v>1096.5</v>
      </c>
      <c r="P153" s="323">
        <v>1096.5</v>
      </c>
      <c r="Q153" s="323">
        <v>1096.5</v>
      </c>
      <c r="R153" s="323">
        <v>1096.5</v>
      </c>
      <c r="S153" s="323">
        <v>755.2</v>
      </c>
      <c r="T153" s="323">
        <v>755.2</v>
      </c>
      <c r="U153" s="323">
        <v>755.2</v>
      </c>
      <c r="V153" s="323">
        <v>9941.1000000000022</v>
      </c>
      <c r="W153" s="324" t="s">
        <v>460</v>
      </c>
      <c r="X153" s="323">
        <v>1029</v>
      </c>
      <c r="Y153" s="323">
        <v>2097</v>
      </c>
      <c r="Z153" s="323">
        <v>3583</v>
      </c>
      <c r="AA153" s="323">
        <v>6709</v>
      </c>
      <c r="AB153" s="306"/>
      <c r="AC153" s="306"/>
      <c r="AD153" s="306"/>
      <c r="AE153" s="306"/>
      <c r="AF153" s="306"/>
      <c r="AG153" s="306"/>
    </row>
    <row r="154" spans="1:33">
      <c r="A154" s="306" t="s">
        <v>2355</v>
      </c>
      <c r="B154" s="306" t="s">
        <v>2814</v>
      </c>
      <c r="C154" s="323">
        <v>468346</v>
      </c>
      <c r="D154" s="323">
        <v>140503.79999999999</v>
      </c>
      <c r="E154" s="323">
        <v>327842.2</v>
      </c>
      <c r="F154" s="323">
        <v>28804</v>
      </c>
      <c r="G154" s="323">
        <v>100631</v>
      </c>
      <c r="H154" s="323">
        <v>169609</v>
      </c>
      <c r="I154" s="323">
        <v>299044</v>
      </c>
      <c r="J154" s="323">
        <v>29904.400000000001</v>
      </c>
      <c r="K154" s="306"/>
      <c r="L154" s="323">
        <v>76739</v>
      </c>
      <c r="M154" s="323">
        <v>76739</v>
      </c>
      <c r="N154" s="323">
        <v>76739</v>
      </c>
      <c r="O154" s="323">
        <v>76739</v>
      </c>
      <c r="P154" s="323">
        <v>76739</v>
      </c>
      <c r="Q154" s="323">
        <v>76739</v>
      </c>
      <c r="R154" s="323">
        <v>76739</v>
      </c>
      <c r="S154" s="323">
        <v>29904.400000000001</v>
      </c>
      <c r="T154" s="323">
        <v>29904.400000000001</v>
      </c>
      <c r="U154" s="323">
        <v>29904.400000000001</v>
      </c>
      <c r="V154" s="323">
        <v>626886.20000000007</v>
      </c>
      <c r="W154" s="324" t="s">
        <v>460</v>
      </c>
      <c r="X154" s="323">
        <v>55485</v>
      </c>
      <c r="Y154" s="323">
        <v>96917</v>
      </c>
      <c r="Z154" s="323">
        <v>72610</v>
      </c>
      <c r="AA154" s="323">
        <v>225012</v>
      </c>
      <c r="AB154" s="306"/>
      <c r="AC154" s="306"/>
      <c r="AD154" s="306"/>
      <c r="AE154" s="306"/>
      <c r="AF154" s="306"/>
      <c r="AG154" s="306"/>
    </row>
    <row r="155" spans="1:33">
      <c r="A155" s="306" t="s">
        <v>3016</v>
      </c>
      <c r="B155" s="306" t="s">
        <v>2499</v>
      </c>
      <c r="C155" s="323">
        <v>0</v>
      </c>
      <c r="D155" s="323">
        <v>0</v>
      </c>
      <c r="E155" s="323">
        <v>0</v>
      </c>
      <c r="F155" s="323"/>
      <c r="G155" s="323"/>
      <c r="H155" s="323"/>
      <c r="I155" s="323">
        <v>0</v>
      </c>
      <c r="J155" s="323">
        <v>0</v>
      </c>
      <c r="K155" s="306"/>
      <c r="L155" s="323">
        <v>0</v>
      </c>
      <c r="M155" s="323">
        <v>0</v>
      </c>
      <c r="N155" s="323">
        <v>0</v>
      </c>
      <c r="O155" s="323">
        <v>0</v>
      </c>
      <c r="P155" s="323">
        <v>0</v>
      </c>
      <c r="Q155" s="323">
        <v>0</v>
      </c>
      <c r="R155" s="323">
        <v>0</v>
      </c>
      <c r="S155" s="323">
        <v>0</v>
      </c>
      <c r="T155" s="323">
        <v>0</v>
      </c>
      <c r="U155" s="323">
        <v>0</v>
      </c>
      <c r="V155" s="323">
        <v>0</v>
      </c>
      <c r="W155" s="324" t="s">
        <v>460</v>
      </c>
      <c r="X155" s="323"/>
      <c r="Y155" s="323"/>
      <c r="Z155" s="323"/>
      <c r="AA155" s="323">
        <v>0</v>
      </c>
      <c r="AB155" s="306"/>
      <c r="AC155" s="306"/>
      <c r="AD155" s="306"/>
      <c r="AE155" s="306"/>
      <c r="AF155" s="306"/>
      <c r="AG155" s="306"/>
    </row>
    <row r="156" spans="1:33">
      <c r="A156" s="306" t="s">
        <v>3018</v>
      </c>
      <c r="B156" s="306" t="s">
        <v>2499</v>
      </c>
      <c r="C156" s="323">
        <v>0</v>
      </c>
      <c r="D156" s="323">
        <v>0</v>
      </c>
      <c r="E156" s="323">
        <v>0</v>
      </c>
      <c r="F156" s="323"/>
      <c r="G156" s="323"/>
      <c r="H156" s="323"/>
      <c r="I156" s="323">
        <v>0</v>
      </c>
      <c r="J156" s="323">
        <v>0</v>
      </c>
      <c r="K156" s="306"/>
      <c r="L156" s="323">
        <v>0</v>
      </c>
      <c r="M156" s="323">
        <v>0</v>
      </c>
      <c r="N156" s="323">
        <v>0</v>
      </c>
      <c r="O156" s="323">
        <v>0</v>
      </c>
      <c r="P156" s="323">
        <v>0</v>
      </c>
      <c r="Q156" s="323">
        <v>0</v>
      </c>
      <c r="R156" s="323">
        <v>0</v>
      </c>
      <c r="S156" s="323">
        <v>0</v>
      </c>
      <c r="T156" s="323">
        <v>0</v>
      </c>
      <c r="U156" s="323">
        <v>0</v>
      </c>
      <c r="V156" s="323">
        <v>0</v>
      </c>
      <c r="W156" s="324" t="s">
        <v>460</v>
      </c>
      <c r="X156" s="323"/>
      <c r="Y156" s="323"/>
      <c r="Z156" s="323"/>
      <c r="AA156" s="323">
        <v>0</v>
      </c>
      <c r="AB156" s="306"/>
      <c r="AC156" s="306"/>
      <c r="AD156" s="306"/>
      <c r="AE156" s="306"/>
      <c r="AF156" s="306"/>
      <c r="AG156" s="306"/>
    </row>
    <row r="157" spans="1:33">
      <c r="A157" s="306" t="s">
        <v>2816</v>
      </c>
      <c r="B157" s="306" t="s">
        <v>2499</v>
      </c>
      <c r="C157" s="323">
        <v>0</v>
      </c>
      <c r="D157" s="323">
        <v>0</v>
      </c>
      <c r="E157" s="323">
        <v>0</v>
      </c>
      <c r="F157" s="323"/>
      <c r="G157" s="323"/>
      <c r="H157" s="323"/>
      <c r="I157" s="323">
        <v>0</v>
      </c>
      <c r="J157" s="323">
        <v>0</v>
      </c>
      <c r="K157" s="306"/>
      <c r="L157" s="323">
        <v>0</v>
      </c>
      <c r="M157" s="323">
        <v>0</v>
      </c>
      <c r="N157" s="323">
        <v>0</v>
      </c>
      <c r="O157" s="323">
        <v>0</v>
      </c>
      <c r="P157" s="323">
        <v>0</v>
      </c>
      <c r="Q157" s="323">
        <v>0</v>
      </c>
      <c r="R157" s="323">
        <v>0</v>
      </c>
      <c r="S157" s="323">
        <v>0</v>
      </c>
      <c r="T157" s="323">
        <v>0</v>
      </c>
      <c r="U157" s="323">
        <v>0</v>
      </c>
      <c r="V157" s="323">
        <v>0</v>
      </c>
      <c r="W157" s="324" t="s">
        <v>460</v>
      </c>
      <c r="X157" s="323"/>
      <c r="Y157" s="323"/>
      <c r="Z157" s="323"/>
      <c r="AA157" s="323">
        <v>0</v>
      </c>
      <c r="AB157" s="306"/>
      <c r="AC157" s="306"/>
      <c r="AD157" s="306"/>
      <c r="AE157" s="306"/>
      <c r="AF157" s="306"/>
      <c r="AG157" s="306"/>
    </row>
    <row r="158" spans="1:33">
      <c r="A158" s="306" t="s">
        <v>2817</v>
      </c>
      <c r="B158" s="306" t="s">
        <v>2499</v>
      </c>
      <c r="C158" s="323">
        <v>0</v>
      </c>
      <c r="D158" s="323">
        <v>0</v>
      </c>
      <c r="E158" s="323">
        <v>0</v>
      </c>
      <c r="F158" s="323"/>
      <c r="G158" s="323"/>
      <c r="H158" s="323"/>
      <c r="I158" s="323">
        <v>0</v>
      </c>
      <c r="J158" s="323">
        <v>0</v>
      </c>
      <c r="K158" s="306"/>
      <c r="L158" s="323">
        <v>0</v>
      </c>
      <c r="M158" s="323">
        <v>0</v>
      </c>
      <c r="N158" s="323">
        <v>0</v>
      </c>
      <c r="O158" s="323">
        <v>0</v>
      </c>
      <c r="P158" s="323">
        <v>0</v>
      </c>
      <c r="Q158" s="323">
        <v>0</v>
      </c>
      <c r="R158" s="323">
        <v>0</v>
      </c>
      <c r="S158" s="323">
        <v>0</v>
      </c>
      <c r="T158" s="323">
        <v>0</v>
      </c>
      <c r="U158" s="323">
        <v>0</v>
      </c>
      <c r="V158" s="323">
        <v>0</v>
      </c>
      <c r="W158" s="324" t="s">
        <v>460</v>
      </c>
      <c r="X158" s="323"/>
      <c r="Y158" s="323"/>
      <c r="Z158" s="323"/>
      <c r="AA158" s="323">
        <v>0</v>
      </c>
      <c r="AB158" s="306"/>
      <c r="AC158" s="306"/>
      <c r="AD158" s="306"/>
      <c r="AE158" s="306"/>
      <c r="AF158" s="306"/>
      <c r="AG158" s="306"/>
    </row>
    <row r="159" spans="1:33">
      <c r="A159" s="306" t="s">
        <v>2818</v>
      </c>
      <c r="B159" s="306" t="s">
        <v>2499</v>
      </c>
      <c r="C159" s="323">
        <v>0</v>
      </c>
      <c r="D159" s="323">
        <v>0</v>
      </c>
      <c r="E159" s="323">
        <v>0</v>
      </c>
      <c r="F159" s="323"/>
      <c r="G159" s="323"/>
      <c r="H159" s="323"/>
      <c r="I159" s="323">
        <v>0</v>
      </c>
      <c r="J159" s="323">
        <v>0</v>
      </c>
      <c r="K159" s="306"/>
      <c r="L159" s="323">
        <v>0</v>
      </c>
      <c r="M159" s="323">
        <v>0</v>
      </c>
      <c r="N159" s="323">
        <v>0</v>
      </c>
      <c r="O159" s="323">
        <v>0</v>
      </c>
      <c r="P159" s="323">
        <v>0</v>
      </c>
      <c r="Q159" s="323">
        <v>0</v>
      </c>
      <c r="R159" s="323">
        <v>0</v>
      </c>
      <c r="S159" s="323">
        <v>0</v>
      </c>
      <c r="T159" s="323">
        <v>0</v>
      </c>
      <c r="U159" s="323">
        <v>0</v>
      </c>
      <c r="V159" s="323">
        <v>0</v>
      </c>
      <c r="W159" s="324" t="s">
        <v>460</v>
      </c>
      <c r="X159" s="323"/>
      <c r="Y159" s="323"/>
      <c r="Z159" s="323"/>
      <c r="AA159" s="323">
        <v>0</v>
      </c>
      <c r="AB159" s="306"/>
      <c r="AC159" s="306"/>
      <c r="AD159" s="306"/>
      <c r="AE159" s="306"/>
      <c r="AF159" s="306"/>
      <c r="AG159" s="306"/>
    </row>
    <row r="160" spans="1:33">
      <c r="A160" s="306" t="s">
        <v>2819</v>
      </c>
      <c r="B160" s="306" t="s">
        <v>2499</v>
      </c>
      <c r="C160" s="323">
        <v>0</v>
      </c>
      <c r="D160" s="323">
        <v>0</v>
      </c>
      <c r="E160" s="323">
        <v>0</v>
      </c>
      <c r="F160" s="323"/>
      <c r="G160" s="323"/>
      <c r="H160" s="323"/>
      <c r="I160" s="323">
        <v>0</v>
      </c>
      <c r="J160" s="323">
        <v>0</v>
      </c>
      <c r="K160" s="306"/>
      <c r="L160" s="323">
        <v>0</v>
      </c>
      <c r="M160" s="323">
        <v>0</v>
      </c>
      <c r="N160" s="323">
        <v>0</v>
      </c>
      <c r="O160" s="323">
        <v>0</v>
      </c>
      <c r="P160" s="323">
        <v>0</v>
      </c>
      <c r="Q160" s="323">
        <v>0</v>
      </c>
      <c r="R160" s="323">
        <v>0</v>
      </c>
      <c r="S160" s="323">
        <v>0</v>
      </c>
      <c r="T160" s="323">
        <v>0</v>
      </c>
      <c r="U160" s="323">
        <v>0</v>
      </c>
      <c r="V160" s="323">
        <v>0</v>
      </c>
      <c r="W160" s="324" t="s">
        <v>460</v>
      </c>
      <c r="X160" s="323"/>
      <c r="Y160" s="323"/>
      <c r="Z160" s="323"/>
      <c r="AA160" s="323">
        <v>0</v>
      </c>
      <c r="AB160" s="306"/>
      <c r="AC160" s="306"/>
      <c r="AD160" s="306"/>
      <c r="AE160" s="306"/>
      <c r="AF160" s="306"/>
      <c r="AG160" s="306"/>
    </row>
    <row r="161" spans="1:33">
      <c r="A161" s="306" t="s">
        <v>2820</v>
      </c>
      <c r="B161" s="306"/>
      <c r="C161" s="323"/>
      <c r="D161" s="323"/>
      <c r="E161" s="323"/>
      <c r="F161" s="323"/>
      <c r="G161" s="323"/>
      <c r="H161" s="323"/>
      <c r="I161" s="323">
        <v>0</v>
      </c>
      <c r="J161" s="323"/>
      <c r="K161" s="306"/>
      <c r="L161" s="323"/>
      <c r="M161" s="323"/>
      <c r="N161" s="323"/>
      <c r="O161" s="323"/>
      <c r="P161" s="323"/>
      <c r="Q161" s="323"/>
      <c r="R161" s="323"/>
      <c r="S161" s="323"/>
      <c r="T161" s="323"/>
      <c r="U161" s="323"/>
      <c r="V161" s="323"/>
      <c r="W161" s="306"/>
      <c r="X161" s="323"/>
      <c r="Y161" s="323"/>
      <c r="Z161" s="323"/>
      <c r="AA161" s="323"/>
      <c r="AB161" s="306"/>
      <c r="AC161" s="306"/>
      <c r="AD161" s="306"/>
      <c r="AE161" s="306"/>
      <c r="AF161" s="306"/>
      <c r="AG161" s="306"/>
    </row>
    <row r="162" spans="1:33" ht="13.5" thickBot="1">
      <c r="A162" s="306"/>
      <c r="B162" s="325"/>
      <c r="C162" s="326">
        <v>37753740</v>
      </c>
      <c r="D162" s="326">
        <v>11326122.000000002</v>
      </c>
      <c r="E162" s="326">
        <v>26427617.999999993</v>
      </c>
      <c r="F162" s="326">
        <v>8145223</v>
      </c>
      <c r="G162" s="326">
        <v>10329670</v>
      </c>
      <c r="H162" s="326">
        <v>13152903</v>
      </c>
      <c r="I162" s="326">
        <v>31627796</v>
      </c>
      <c r="J162" s="326">
        <v>3162779.5999999996</v>
      </c>
      <c r="K162" s="326">
        <v>0</v>
      </c>
      <c r="L162" s="326">
        <v>6938153.6000000015</v>
      </c>
      <c r="M162" s="326">
        <v>6938153.6000000015</v>
      </c>
      <c r="N162" s="326">
        <v>6938153.6000000015</v>
      </c>
      <c r="O162" s="326">
        <v>6938153.6000000015</v>
      </c>
      <c r="P162" s="326">
        <v>6938153.6000000015</v>
      </c>
      <c r="Q162" s="326">
        <v>6938153.6000000015</v>
      </c>
      <c r="R162" s="326">
        <v>6938153.6000000015</v>
      </c>
      <c r="S162" s="326">
        <v>3162779.5999999996</v>
      </c>
      <c r="T162" s="326">
        <v>3162779.5999999996</v>
      </c>
      <c r="U162" s="326">
        <v>3162779.5999999996</v>
      </c>
      <c r="V162" s="326">
        <v>58055414.000000007</v>
      </c>
      <c r="W162" s="306"/>
      <c r="X162" s="326">
        <v>25643449</v>
      </c>
      <c r="Y162" s="326">
        <v>26778903</v>
      </c>
      <c r="Z162" s="326">
        <v>26924034</v>
      </c>
      <c r="AA162" s="326">
        <v>79346386</v>
      </c>
      <c r="AB162" s="306"/>
      <c r="AC162" s="306"/>
      <c r="AD162" s="306"/>
      <c r="AE162" s="306"/>
      <c r="AF162" s="306"/>
      <c r="AG162" s="306"/>
    </row>
    <row r="163" spans="1:33" ht="13">
      <c r="A163" s="306"/>
      <c r="B163" s="325" t="s">
        <v>4355</v>
      </c>
      <c r="C163" s="325">
        <v>37753740</v>
      </c>
      <c r="D163" s="325">
        <v>11326122.000000002</v>
      </c>
      <c r="E163" s="325">
        <v>26427617.999999993</v>
      </c>
      <c r="F163" s="325">
        <v>8145223</v>
      </c>
      <c r="G163" s="325">
        <v>10329670</v>
      </c>
      <c r="H163" s="325">
        <v>13152903</v>
      </c>
      <c r="I163" s="325">
        <v>31627796</v>
      </c>
      <c r="J163" s="325">
        <v>3162779.5999999996</v>
      </c>
      <c r="K163" s="325">
        <v>0</v>
      </c>
      <c r="L163" s="325">
        <v>6938153.6000000015</v>
      </c>
      <c r="M163" s="325">
        <v>6938153.6000000015</v>
      </c>
      <c r="N163" s="325">
        <v>6938153.6000000015</v>
      </c>
      <c r="O163" s="325">
        <v>6938153.6000000015</v>
      </c>
      <c r="P163" s="325">
        <v>6938153.6000000015</v>
      </c>
      <c r="Q163" s="325">
        <v>6938153.6000000015</v>
      </c>
      <c r="R163" s="325">
        <v>6938153.6000000015</v>
      </c>
      <c r="S163" s="325">
        <v>3162779.5999999996</v>
      </c>
      <c r="T163" s="325">
        <v>3162779.5999999996</v>
      </c>
      <c r="U163" s="325">
        <v>3162779.5999999996</v>
      </c>
      <c r="V163" s="325">
        <v>58055414.000000007</v>
      </c>
      <c r="W163" s="306"/>
      <c r="X163" s="325">
        <v>25643449</v>
      </c>
      <c r="Y163" s="325">
        <v>26778903</v>
      </c>
      <c r="Z163" s="325">
        <v>26924034</v>
      </c>
      <c r="AA163" s="325">
        <v>79346386</v>
      </c>
      <c r="AB163" s="306"/>
      <c r="AC163" s="306"/>
      <c r="AD163" s="306"/>
      <c r="AE163" s="306"/>
      <c r="AF163" s="306"/>
      <c r="AG163" s="306"/>
    </row>
    <row r="164" spans="1:33">
      <c r="A164" s="306"/>
      <c r="B164" s="306"/>
      <c r="C164" s="323"/>
      <c r="D164" s="323"/>
      <c r="E164" s="323"/>
      <c r="F164" s="323"/>
      <c r="G164" s="323"/>
      <c r="H164" s="323"/>
      <c r="I164" s="323"/>
      <c r="J164" s="323"/>
      <c r="K164" s="306"/>
      <c r="L164" s="323"/>
      <c r="M164" s="323"/>
      <c r="N164" s="323"/>
      <c r="O164" s="323"/>
      <c r="P164" s="323"/>
      <c r="Q164" s="323"/>
      <c r="R164" s="323"/>
      <c r="S164" s="323"/>
      <c r="T164" s="323"/>
      <c r="U164" s="323"/>
      <c r="V164" s="323"/>
      <c r="W164" s="306"/>
      <c r="X164" s="323"/>
      <c r="Y164" s="323"/>
      <c r="Z164" s="323"/>
      <c r="AA164" s="323"/>
      <c r="AB164" s="306"/>
      <c r="AC164" s="306"/>
      <c r="AD164" s="306"/>
      <c r="AE164" s="306"/>
      <c r="AF164" s="306"/>
      <c r="AG164" s="306"/>
    </row>
    <row r="165" spans="1:33">
      <c r="A165" s="306"/>
      <c r="B165" s="306"/>
      <c r="C165" s="323">
        <v>37753740</v>
      </c>
      <c r="D165" s="323">
        <v>11326122.000000002</v>
      </c>
      <c r="E165" s="323">
        <v>26427617.999999993</v>
      </c>
      <c r="F165" s="323">
        <v>8145223</v>
      </c>
      <c r="G165" s="323">
        <v>10329670</v>
      </c>
      <c r="H165" s="323">
        <v>13152903</v>
      </c>
      <c r="I165" s="323">
        <v>-2700684</v>
      </c>
      <c r="J165" s="323"/>
      <c r="K165" s="306"/>
      <c r="L165" s="323"/>
      <c r="M165" s="323"/>
      <c r="N165" s="323"/>
      <c r="O165" s="323"/>
      <c r="P165" s="323"/>
      <c r="Q165" s="323"/>
      <c r="R165" s="323"/>
      <c r="S165" s="323"/>
      <c r="T165" s="323"/>
      <c r="U165" s="323"/>
      <c r="V165" s="323"/>
      <c r="W165" s="306"/>
      <c r="X165" s="323"/>
      <c r="Y165" s="323"/>
      <c r="Z165" s="323"/>
      <c r="AA165" s="323"/>
      <c r="AB165" s="306"/>
      <c r="AC165" s="306"/>
      <c r="AD165" s="306"/>
      <c r="AE165" s="306"/>
      <c r="AF165" s="306"/>
      <c r="AG165" s="306"/>
    </row>
    <row r="166" spans="1:33" ht="13">
      <c r="A166" s="306" t="s">
        <v>465</v>
      </c>
      <c r="B166" s="306"/>
      <c r="C166" s="323">
        <v>17729119</v>
      </c>
      <c r="D166" s="323">
        <v>5318735.7</v>
      </c>
      <c r="E166" s="323">
        <v>12410383.299999999</v>
      </c>
      <c r="F166" s="323">
        <v>2597208</v>
      </c>
      <c r="G166" s="323">
        <v>2978843</v>
      </c>
      <c r="H166" s="323">
        <v>3774469</v>
      </c>
      <c r="I166" s="323">
        <v>9350520</v>
      </c>
      <c r="J166" s="323"/>
      <c r="K166" s="306"/>
      <c r="L166" s="323">
        <v>2707963.9</v>
      </c>
      <c r="M166" s="323">
        <v>2707963.9</v>
      </c>
      <c r="N166" s="323">
        <v>2707963.9</v>
      </c>
      <c r="O166" s="323">
        <v>2707963.9</v>
      </c>
      <c r="P166" s="323">
        <v>2707963.9</v>
      </c>
      <c r="Q166" s="323">
        <v>2707963.9</v>
      </c>
      <c r="R166" s="323">
        <v>2707963.9</v>
      </c>
      <c r="S166" s="323">
        <v>935051.99999999988</v>
      </c>
      <c r="T166" s="323">
        <v>935051.99999999988</v>
      </c>
      <c r="U166" s="323">
        <v>935051.99999999988</v>
      </c>
      <c r="V166" s="325">
        <v>21760903.299999997</v>
      </c>
      <c r="W166" s="306"/>
      <c r="X166" s="325">
        <v>6247529</v>
      </c>
      <c r="Y166" s="325">
        <v>6303714</v>
      </c>
      <c r="Z166" s="325">
        <v>6302894</v>
      </c>
      <c r="AA166" s="325">
        <v>18854137</v>
      </c>
      <c r="AB166" s="306"/>
      <c r="AC166" s="306"/>
      <c r="AD166" s="306"/>
      <c r="AE166" s="306"/>
      <c r="AF166" s="306"/>
      <c r="AG166" s="306"/>
    </row>
    <row r="167" spans="1:33" ht="13">
      <c r="A167" s="306" t="s">
        <v>2266</v>
      </c>
      <c r="B167" s="306"/>
      <c r="C167" s="323">
        <v>1400911</v>
      </c>
      <c r="D167" s="323">
        <v>420273.3</v>
      </c>
      <c r="E167" s="323">
        <v>980637.70000000019</v>
      </c>
      <c r="F167" s="323">
        <v>554859</v>
      </c>
      <c r="G167" s="323">
        <v>680021</v>
      </c>
      <c r="H167" s="323">
        <v>832404</v>
      </c>
      <c r="I167" s="323">
        <v>2067284</v>
      </c>
      <c r="J167" s="323"/>
      <c r="K167" s="306"/>
      <c r="L167" s="323">
        <v>346819.50000000006</v>
      </c>
      <c r="M167" s="323">
        <v>346819.50000000006</v>
      </c>
      <c r="N167" s="323">
        <v>346819.50000000006</v>
      </c>
      <c r="O167" s="323">
        <v>346819.50000000006</v>
      </c>
      <c r="P167" s="323">
        <v>346819.50000000006</v>
      </c>
      <c r="Q167" s="323">
        <v>346819.50000000006</v>
      </c>
      <c r="R167" s="323">
        <v>346819.50000000006</v>
      </c>
      <c r="S167" s="323">
        <v>206728.40000000002</v>
      </c>
      <c r="T167" s="323">
        <v>206728.40000000002</v>
      </c>
      <c r="U167" s="323">
        <v>206728.40000000002</v>
      </c>
      <c r="V167" s="325">
        <v>3047921.6999999997</v>
      </c>
      <c r="W167" s="306"/>
      <c r="X167" s="325">
        <v>1072758</v>
      </c>
      <c r="Y167" s="325">
        <v>1334226</v>
      </c>
      <c r="Z167" s="325">
        <v>2242174</v>
      </c>
      <c r="AA167" s="325">
        <v>4649158</v>
      </c>
      <c r="AB167" s="306"/>
      <c r="AC167" s="306"/>
      <c r="AD167" s="306"/>
      <c r="AE167" s="306"/>
      <c r="AF167" s="306"/>
      <c r="AG167" s="306"/>
    </row>
    <row r="168" spans="1:33" ht="13">
      <c r="A168" s="306" t="s">
        <v>2628</v>
      </c>
      <c r="B168" s="306"/>
      <c r="C168" s="323">
        <v>1964960</v>
      </c>
      <c r="D168" s="323">
        <v>589488</v>
      </c>
      <c r="E168" s="323">
        <v>1375471.9999999998</v>
      </c>
      <c r="F168" s="323">
        <v>1433299</v>
      </c>
      <c r="G168" s="323">
        <v>1661538</v>
      </c>
      <c r="H168" s="323">
        <v>1840684</v>
      </c>
      <c r="I168" s="323">
        <v>4935521</v>
      </c>
      <c r="J168" s="323"/>
      <c r="K168" s="306"/>
      <c r="L168" s="323">
        <v>690048.09999999986</v>
      </c>
      <c r="M168" s="323">
        <v>690048.09999999986</v>
      </c>
      <c r="N168" s="323">
        <v>690048.09999999986</v>
      </c>
      <c r="O168" s="323">
        <v>690048.09999999986</v>
      </c>
      <c r="P168" s="323">
        <v>690048.09999999986</v>
      </c>
      <c r="Q168" s="323">
        <v>690048.09999999986</v>
      </c>
      <c r="R168" s="323">
        <v>690048.09999999986</v>
      </c>
      <c r="S168" s="323">
        <v>493552.10000000009</v>
      </c>
      <c r="T168" s="323">
        <v>493552.10000000009</v>
      </c>
      <c r="U168" s="323">
        <v>493552.10000000009</v>
      </c>
      <c r="V168" s="325">
        <v>6310993.0000000019</v>
      </c>
      <c r="W168" s="306"/>
      <c r="X168" s="325">
        <v>8160018</v>
      </c>
      <c r="Y168" s="325">
        <v>8957050</v>
      </c>
      <c r="Z168" s="325">
        <v>9193995</v>
      </c>
      <c r="AA168" s="325">
        <v>26311063</v>
      </c>
      <c r="AB168" s="306"/>
      <c r="AC168" s="306"/>
      <c r="AD168" s="306"/>
      <c r="AE168" s="306"/>
      <c r="AF168" s="306"/>
      <c r="AG168" s="306"/>
    </row>
    <row r="169" spans="1:33" ht="13">
      <c r="A169" s="306" t="s">
        <v>466</v>
      </c>
      <c r="B169" s="306"/>
      <c r="C169" s="323">
        <v>2070253</v>
      </c>
      <c r="D169" s="323">
        <v>621075.89999999991</v>
      </c>
      <c r="E169" s="323">
        <v>1449177.0999999996</v>
      </c>
      <c r="F169" s="323">
        <v>535759</v>
      </c>
      <c r="G169" s="323">
        <v>569401</v>
      </c>
      <c r="H169" s="323">
        <v>610816</v>
      </c>
      <c r="I169" s="323">
        <v>1715976</v>
      </c>
      <c r="J169" s="323"/>
      <c r="K169" s="306"/>
      <c r="L169" s="323">
        <v>378622.9</v>
      </c>
      <c r="M169" s="323">
        <v>378622.9</v>
      </c>
      <c r="N169" s="323">
        <v>378622.9</v>
      </c>
      <c r="O169" s="323">
        <v>378622.9</v>
      </c>
      <c r="P169" s="323">
        <v>378622.9</v>
      </c>
      <c r="Q169" s="323">
        <v>378622.9</v>
      </c>
      <c r="R169" s="323">
        <v>378622.9</v>
      </c>
      <c r="S169" s="323">
        <v>171597.60000000003</v>
      </c>
      <c r="T169" s="323">
        <v>171597.60000000003</v>
      </c>
      <c r="U169" s="323">
        <v>171597.60000000003</v>
      </c>
      <c r="V169" s="325">
        <v>3165153.1</v>
      </c>
      <c r="W169" s="306"/>
      <c r="X169" s="325">
        <v>3472104</v>
      </c>
      <c r="Y169" s="325">
        <v>3612789</v>
      </c>
      <c r="Z169" s="325">
        <v>3050433</v>
      </c>
      <c r="AA169" s="325">
        <v>10135326</v>
      </c>
      <c r="AB169" s="306"/>
      <c r="AC169" s="306"/>
      <c r="AD169" s="306"/>
      <c r="AE169" s="306"/>
      <c r="AF169" s="306"/>
      <c r="AG169" s="306"/>
    </row>
    <row r="170" spans="1:33" ht="13">
      <c r="A170" s="306" t="s">
        <v>461</v>
      </c>
      <c r="B170" s="306"/>
      <c r="C170" s="323">
        <v>11914993</v>
      </c>
      <c r="D170" s="323">
        <v>3574497.8999999994</v>
      </c>
      <c r="E170" s="323">
        <v>8340495.1000000006</v>
      </c>
      <c r="F170" s="323">
        <v>1836006</v>
      </c>
      <c r="G170" s="323">
        <v>2122678</v>
      </c>
      <c r="H170" s="323">
        <v>2401191</v>
      </c>
      <c r="I170" s="323">
        <v>6359875</v>
      </c>
      <c r="J170" s="323"/>
      <c r="K170" s="306"/>
      <c r="L170" s="323">
        <v>1827486.7999999998</v>
      </c>
      <c r="M170" s="323">
        <v>1827486.7999999998</v>
      </c>
      <c r="N170" s="323">
        <v>1827486.7999999998</v>
      </c>
      <c r="O170" s="323">
        <v>1827486.7999999998</v>
      </c>
      <c r="P170" s="323">
        <v>1827486.7999999998</v>
      </c>
      <c r="Q170" s="323">
        <v>1827486.7999999998</v>
      </c>
      <c r="R170" s="323">
        <v>1827486.7999999998</v>
      </c>
      <c r="S170" s="323">
        <v>635987.5</v>
      </c>
      <c r="T170" s="323">
        <v>635987.5</v>
      </c>
      <c r="U170" s="323">
        <v>635987.5</v>
      </c>
      <c r="V170" s="325">
        <v>14700370.099999998</v>
      </c>
      <c r="W170" s="306"/>
      <c r="X170" s="325">
        <v>5556217</v>
      </c>
      <c r="Y170" s="325">
        <v>5433331</v>
      </c>
      <c r="Z170" s="325">
        <v>5041845</v>
      </c>
      <c r="AA170" s="325">
        <v>16031393</v>
      </c>
      <c r="AB170" s="306"/>
      <c r="AC170" s="306"/>
      <c r="AD170" s="306"/>
      <c r="AE170" s="306"/>
      <c r="AF170" s="306"/>
      <c r="AG170" s="306"/>
    </row>
    <row r="171" spans="1:33" ht="13">
      <c r="A171" s="306" t="s">
        <v>460</v>
      </c>
      <c r="B171" s="306"/>
      <c r="C171" s="323">
        <v>2673504</v>
      </c>
      <c r="D171" s="323">
        <v>802051.2</v>
      </c>
      <c r="E171" s="323">
        <v>1871452.8</v>
      </c>
      <c r="F171" s="323">
        <v>1188092</v>
      </c>
      <c r="G171" s="323">
        <v>2317189</v>
      </c>
      <c r="H171" s="323">
        <v>3693339</v>
      </c>
      <c r="I171" s="323">
        <v>7198620</v>
      </c>
      <c r="J171" s="323"/>
      <c r="K171" s="306"/>
      <c r="L171" s="323">
        <v>987212.4</v>
      </c>
      <c r="M171" s="323">
        <v>987212.4</v>
      </c>
      <c r="N171" s="323">
        <v>987212.4</v>
      </c>
      <c r="O171" s="323">
        <v>987212.4</v>
      </c>
      <c r="P171" s="323">
        <v>987212.4</v>
      </c>
      <c r="Q171" s="323">
        <v>987212.4</v>
      </c>
      <c r="R171" s="323">
        <v>987212.4</v>
      </c>
      <c r="S171" s="323">
        <v>719862</v>
      </c>
      <c r="T171" s="323">
        <v>719862</v>
      </c>
      <c r="U171" s="323">
        <v>719862</v>
      </c>
      <c r="V171" s="325">
        <v>9070072.7999999989</v>
      </c>
      <c r="W171" s="306"/>
      <c r="X171" s="325">
        <v>1134823</v>
      </c>
      <c r="Y171" s="325">
        <v>1137793</v>
      </c>
      <c r="Z171" s="325">
        <v>1092693</v>
      </c>
      <c r="AA171" s="325">
        <v>3365309</v>
      </c>
      <c r="AB171" s="306"/>
      <c r="AC171" s="306"/>
      <c r="AD171" s="306"/>
      <c r="AE171" s="306"/>
      <c r="AF171" s="306"/>
      <c r="AG171" s="306"/>
    </row>
    <row r="172" spans="1:33" ht="13.5" thickBot="1">
      <c r="A172" s="306"/>
      <c r="B172" s="306"/>
      <c r="C172" s="326">
        <v>37753740</v>
      </c>
      <c r="D172" s="326">
        <v>11326122</v>
      </c>
      <c r="E172" s="326">
        <v>26427618</v>
      </c>
      <c r="F172" s="326">
        <v>8145223</v>
      </c>
      <c r="G172" s="326">
        <v>10329670</v>
      </c>
      <c r="H172" s="326">
        <v>13152903</v>
      </c>
      <c r="I172" s="326">
        <v>31627796</v>
      </c>
      <c r="J172" s="325"/>
      <c r="K172" s="304"/>
      <c r="L172" s="326">
        <v>6938153.5999999996</v>
      </c>
      <c r="M172" s="326">
        <v>6938153.5999999996</v>
      </c>
      <c r="N172" s="326">
        <v>6938153.5999999996</v>
      </c>
      <c r="O172" s="326">
        <v>6938153.5999999996</v>
      </c>
      <c r="P172" s="326">
        <v>6938153.5999999996</v>
      </c>
      <c r="Q172" s="326">
        <v>6938153.5999999996</v>
      </c>
      <c r="R172" s="326">
        <v>6938153.5999999996</v>
      </c>
      <c r="S172" s="326">
        <v>3162779.6</v>
      </c>
      <c r="T172" s="326">
        <v>3162779.6</v>
      </c>
      <c r="U172" s="326">
        <v>3162779.6</v>
      </c>
      <c r="V172" s="326">
        <v>58055414</v>
      </c>
      <c r="W172" s="306"/>
      <c r="X172" s="326">
        <v>25643449</v>
      </c>
      <c r="Y172" s="326">
        <v>26778903</v>
      </c>
      <c r="Z172" s="326">
        <v>26924034</v>
      </c>
      <c r="AA172" s="326">
        <v>79346386</v>
      </c>
      <c r="AB172" s="306"/>
      <c r="AC172" s="306"/>
      <c r="AD172" s="306"/>
      <c r="AE172" s="306"/>
      <c r="AF172" s="306"/>
      <c r="AG172" s="306"/>
    </row>
    <row r="173" spans="1:33">
      <c r="A173" s="306"/>
      <c r="B173" s="306"/>
      <c r="C173" s="323"/>
      <c r="D173" s="323"/>
      <c r="E173" s="323"/>
      <c r="F173" s="323"/>
      <c r="G173" s="323"/>
      <c r="H173" s="323"/>
      <c r="I173" s="323"/>
      <c r="J173" s="323"/>
      <c r="K173" s="306"/>
      <c r="L173" s="323"/>
      <c r="M173" s="323"/>
      <c r="N173" s="323"/>
      <c r="O173" s="323"/>
      <c r="P173" s="323"/>
      <c r="Q173" s="323"/>
      <c r="R173" s="323"/>
      <c r="S173" s="323"/>
      <c r="T173" s="323"/>
      <c r="U173" s="323"/>
      <c r="V173" s="323"/>
      <c r="W173" s="306"/>
      <c r="X173" s="323"/>
      <c r="Y173" s="323"/>
      <c r="Z173" s="323"/>
      <c r="AA173" s="323"/>
      <c r="AB173" s="306"/>
      <c r="AC173" s="306"/>
      <c r="AD173" s="306"/>
      <c r="AE173" s="306"/>
      <c r="AF173" s="306"/>
      <c r="AG173" s="306"/>
    </row>
    <row r="174" spans="1:33">
      <c r="A174" s="306"/>
      <c r="B174" s="306"/>
      <c r="C174" s="323"/>
      <c r="D174" s="323"/>
      <c r="E174" s="323"/>
      <c r="F174" s="323"/>
      <c r="G174" s="323"/>
      <c r="H174" s="323"/>
      <c r="I174" s="323"/>
      <c r="J174" s="323"/>
      <c r="K174" s="306"/>
      <c r="L174" s="323"/>
      <c r="M174" s="323"/>
      <c r="N174" s="323"/>
      <c r="O174" s="323"/>
      <c r="P174" s="323"/>
      <c r="Q174" s="323"/>
      <c r="R174" s="323"/>
      <c r="S174" s="323"/>
      <c r="T174" s="323"/>
      <c r="U174" s="323"/>
      <c r="V174" s="323"/>
      <c r="W174" s="306"/>
      <c r="X174" s="323"/>
      <c r="Y174" s="323"/>
      <c r="Z174" s="323"/>
      <c r="AA174" s="323"/>
      <c r="AB174" s="306"/>
      <c r="AC174" s="306"/>
      <c r="AD174" s="306"/>
      <c r="AE174" s="306"/>
      <c r="AF174" s="306"/>
      <c r="AG174" s="306"/>
    </row>
    <row r="175" spans="1:33">
      <c r="A175" s="306"/>
      <c r="B175" s="306"/>
      <c r="C175" s="323"/>
      <c r="D175" s="323"/>
      <c r="E175" s="323"/>
      <c r="F175" s="323"/>
      <c r="G175" s="323"/>
      <c r="H175" s="323"/>
      <c r="I175" s="323"/>
      <c r="J175" s="323"/>
      <c r="K175" s="306"/>
      <c r="L175" s="323"/>
      <c r="M175" s="323"/>
      <c r="N175" s="323"/>
      <c r="O175" s="323"/>
      <c r="P175" s="323"/>
      <c r="Q175" s="323"/>
      <c r="R175" s="323"/>
      <c r="S175" s="323"/>
      <c r="T175" s="323"/>
      <c r="U175" s="323"/>
      <c r="V175" s="323"/>
      <c r="W175" s="306"/>
      <c r="X175" s="323"/>
      <c r="Y175" s="323"/>
      <c r="Z175" s="323"/>
      <c r="AA175" s="323"/>
      <c r="AB175" s="306"/>
      <c r="AC175" s="306"/>
      <c r="AD175" s="306"/>
      <c r="AE175" s="306"/>
      <c r="AF175" s="306"/>
      <c r="AG175" s="306"/>
    </row>
    <row r="176" spans="1:33">
      <c r="A176" s="306"/>
      <c r="B176" s="306"/>
      <c r="C176" s="323"/>
      <c r="D176" s="323"/>
      <c r="E176" s="323"/>
      <c r="F176" s="323"/>
      <c r="G176" s="323"/>
      <c r="H176" s="323"/>
      <c r="I176" s="323"/>
      <c r="J176" s="323"/>
      <c r="K176" s="306"/>
      <c r="L176" s="323"/>
      <c r="M176" s="323"/>
      <c r="N176" s="323"/>
      <c r="O176" s="323"/>
      <c r="P176" s="323"/>
      <c r="Q176" s="323"/>
      <c r="R176" s="323"/>
      <c r="S176" s="323"/>
      <c r="T176" s="323"/>
      <c r="U176" s="323"/>
      <c r="V176" s="323"/>
      <c r="W176" s="306"/>
      <c r="X176" s="323"/>
      <c r="Y176" s="323"/>
      <c r="Z176" s="323"/>
      <c r="AA176" s="323"/>
      <c r="AB176" s="306"/>
      <c r="AC176" s="306"/>
      <c r="AD176" s="306"/>
      <c r="AE176" s="306"/>
      <c r="AF176" s="306"/>
      <c r="AG176" s="306"/>
    </row>
    <row r="177" spans="1:33">
      <c r="A177" s="306"/>
      <c r="B177" s="306"/>
      <c r="C177" s="323"/>
      <c r="D177" s="323"/>
      <c r="E177" s="323"/>
      <c r="F177" s="323"/>
      <c r="G177" s="323"/>
      <c r="H177" s="323"/>
      <c r="I177" s="323"/>
      <c r="J177" s="323"/>
      <c r="K177" s="306"/>
      <c r="L177" s="323"/>
      <c r="M177" s="323"/>
      <c r="N177" s="323"/>
      <c r="O177" s="323"/>
      <c r="P177" s="323"/>
      <c r="Q177" s="323"/>
      <c r="R177" s="323"/>
      <c r="S177" s="323"/>
      <c r="T177" s="323"/>
      <c r="U177" s="323"/>
      <c r="V177" s="323"/>
      <c r="W177" s="306"/>
      <c r="X177" s="323"/>
      <c r="Y177" s="323"/>
      <c r="Z177" s="323"/>
      <c r="AA177" s="323"/>
      <c r="AB177" s="306"/>
      <c r="AC177" s="306"/>
      <c r="AD177" s="306"/>
      <c r="AE177" s="306"/>
      <c r="AF177" s="306"/>
      <c r="AG177" s="306"/>
    </row>
    <row r="178" spans="1:33">
      <c r="A178" s="306"/>
      <c r="B178" s="306"/>
      <c r="C178" s="306"/>
      <c r="D178" s="323"/>
      <c r="E178" s="323"/>
      <c r="F178" s="323"/>
      <c r="G178" s="323"/>
      <c r="H178" s="323"/>
      <c r="I178" s="323"/>
      <c r="J178" s="323"/>
      <c r="K178" s="306"/>
      <c r="L178" s="323"/>
      <c r="M178" s="323"/>
      <c r="N178" s="323"/>
      <c r="O178" s="323"/>
      <c r="P178" s="323"/>
      <c r="Q178" s="323"/>
      <c r="R178" s="323"/>
      <c r="S178" s="323"/>
      <c r="T178" s="323"/>
      <c r="U178" s="323"/>
      <c r="V178" s="323"/>
      <c r="W178" s="306"/>
      <c r="X178" s="306"/>
      <c r="Y178" s="306"/>
      <c r="Z178" s="306"/>
      <c r="AA178" s="306"/>
      <c r="AB178" s="306"/>
      <c r="AC178" s="306"/>
      <c r="AD178" s="306"/>
      <c r="AE178" s="306"/>
      <c r="AF178" s="306"/>
      <c r="AG178" s="306"/>
    </row>
    <row r="179" spans="1:33">
      <c r="A179" s="306"/>
      <c r="B179" s="306"/>
      <c r="C179" s="323"/>
      <c r="D179" s="323"/>
      <c r="E179" s="323"/>
      <c r="F179" s="323"/>
      <c r="G179" s="323"/>
      <c r="H179" s="323"/>
      <c r="I179" s="323"/>
      <c r="J179" s="323"/>
      <c r="K179" s="306"/>
      <c r="L179" s="323"/>
      <c r="M179" s="323"/>
      <c r="N179" s="323"/>
      <c r="O179" s="323"/>
      <c r="P179" s="323"/>
      <c r="Q179" s="323"/>
      <c r="R179" s="323"/>
      <c r="S179" s="323"/>
      <c r="T179" s="323"/>
      <c r="U179" s="323"/>
      <c r="V179" s="323"/>
      <c r="W179" s="306"/>
      <c r="X179" s="306"/>
      <c r="Y179" s="306"/>
      <c r="Z179" s="306"/>
      <c r="AA179" s="306"/>
      <c r="AB179" s="306"/>
      <c r="AC179" s="306"/>
      <c r="AD179" s="306"/>
      <c r="AE179" s="306"/>
      <c r="AF179" s="306"/>
      <c r="AG179" s="306"/>
    </row>
    <row r="180" spans="1:33">
      <c r="A180" s="306"/>
      <c r="B180" s="306"/>
      <c r="C180" s="323"/>
      <c r="D180" s="323"/>
      <c r="E180" s="323"/>
      <c r="F180" s="323"/>
      <c r="G180" s="323"/>
      <c r="H180" s="323"/>
      <c r="I180" s="323"/>
      <c r="J180" s="323"/>
      <c r="K180" s="306"/>
      <c r="L180" s="323"/>
      <c r="M180" s="323"/>
      <c r="N180" s="323"/>
      <c r="O180" s="323"/>
      <c r="P180" s="323"/>
      <c r="Q180" s="323"/>
      <c r="R180" s="323"/>
      <c r="S180" s="323"/>
      <c r="T180" s="323"/>
      <c r="U180" s="323"/>
      <c r="V180" s="323"/>
      <c r="W180" s="306"/>
      <c r="X180" s="306"/>
      <c r="Y180" s="306"/>
      <c r="Z180" s="306"/>
      <c r="AA180" s="306"/>
      <c r="AB180" s="306"/>
      <c r="AC180" s="306"/>
      <c r="AD180" s="306"/>
      <c r="AE180" s="306"/>
      <c r="AF180" s="306"/>
      <c r="AG180" s="306"/>
    </row>
    <row r="181" spans="1:33">
      <c r="A181" s="306"/>
      <c r="B181" s="306"/>
      <c r="C181" s="323"/>
      <c r="D181" s="323"/>
      <c r="E181" s="323"/>
      <c r="F181" s="323"/>
      <c r="G181" s="323"/>
      <c r="H181" s="323"/>
      <c r="I181" s="323"/>
      <c r="J181" s="323"/>
      <c r="K181" s="306"/>
      <c r="L181" s="323"/>
      <c r="M181" s="323"/>
      <c r="N181" s="323"/>
      <c r="O181" s="323"/>
      <c r="P181" s="323"/>
      <c r="Q181" s="323"/>
      <c r="R181" s="323"/>
      <c r="S181" s="323"/>
      <c r="T181" s="323"/>
      <c r="U181" s="323"/>
      <c r="V181" s="323"/>
      <c r="W181" s="306"/>
      <c r="X181" s="306"/>
      <c r="Y181" s="306"/>
      <c r="Z181" s="306"/>
      <c r="AA181" s="306"/>
      <c r="AB181" s="306"/>
      <c r="AC181" s="306"/>
      <c r="AD181" s="306"/>
      <c r="AE181" s="306"/>
      <c r="AF181" s="306"/>
      <c r="AG181" s="306"/>
    </row>
    <row r="182" spans="1:33">
      <c r="A182" s="306"/>
      <c r="B182" s="306"/>
      <c r="C182" s="323"/>
      <c r="D182" s="323"/>
      <c r="E182" s="323"/>
      <c r="F182" s="323"/>
      <c r="G182" s="323"/>
      <c r="H182" s="323"/>
      <c r="I182" s="323"/>
      <c r="J182" s="323"/>
      <c r="K182" s="306"/>
      <c r="L182" s="323"/>
      <c r="M182" s="323"/>
      <c r="N182" s="323"/>
      <c r="O182" s="323"/>
      <c r="P182" s="323"/>
      <c r="Q182" s="323"/>
      <c r="R182" s="323"/>
      <c r="S182" s="323"/>
      <c r="T182" s="323"/>
      <c r="U182" s="323"/>
      <c r="V182" s="323"/>
      <c r="W182" s="306"/>
      <c r="X182" s="306"/>
      <c r="Y182" s="306"/>
      <c r="Z182" s="306"/>
      <c r="AA182" s="306"/>
      <c r="AB182" s="306"/>
      <c r="AC182" s="306"/>
      <c r="AD182" s="306"/>
      <c r="AE182" s="306"/>
      <c r="AF182" s="306"/>
      <c r="AG182" s="306"/>
    </row>
    <row r="183" spans="1:33">
      <c r="A183" s="306"/>
      <c r="B183" s="306"/>
      <c r="C183" s="323"/>
      <c r="D183" s="323"/>
      <c r="E183" s="323"/>
      <c r="F183" s="323"/>
      <c r="G183" s="323"/>
      <c r="H183" s="323"/>
      <c r="I183" s="323"/>
      <c r="J183" s="323"/>
      <c r="K183" s="306"/>
      <c r="L183" s="323"/>
      <c r="M183" s="323"/>
      <c r="N183" s="323"/>
      <c r="O183" s="323"/>
      <c r="P183" s="323"/>
      <c r="Q183" s="323"/>
      <c r="R183" s="323"/>
      <c r="S183" s="323"/>
      <c r="T183" s="323"/>
      <c r="U183" s="323"/>
      <c r="V183" s="323"/>
      <c r="W183" s="306"/>
      <c r="X183" s="306"/>
      <c r="Y183" s="306"/>
      <c r="Z183" s="306"/>
      <c r="AA183" s="306"/>
      <c r="AB183" s="306"/>
      <c r="AC183" s="306"/>
      <c r="AD183" s="306"/>
      <c r="AE183" s="306"/>
      <c r="AF183" s="306"/>
      <c r="AG183" s="306"/>
    </row>
    <row r="184" spans="1:33">
      <c r="A184" s="306"/>
      <c r="B184" s="306"/>
      <c r="C184" s="323"/>
      <c r="D184" s="323"/>
      <c r="E184" s="323"/>
      <c r="F184" s="323"/>
      <c r="G184" s="323"/>
      <c r="H184" s="323"/>
      <c r="I184" s="323"/>
      <c r="J184" s="323"/>
      <c r="K184" s="306"/>
      <c r="L184" s="323"/>
      <c r="M184" s="323"/>
      <c r="N184" s="323"/>
      <c r="O184" s="323"/>
      <c r="P184" s="323"/>
      <c r="Q184" s="323"/>
      <c r="R184" s="323"/>
      <c r="S184" s="323"/>
      <c r="T184" s="323"/>
      <c r="U184" s="323"/>
      <c r="V184" s="323"/>
      <c r="W184" s="306"/>
      <c r="X184" s="306"/>
      <c r="Y184" s="306"/>
      <c r="Z184" s="306"/>
      <c r="AA184" s="306"/>
      <c r="AB184" s="306"/>
      <c r="AC184" s="306"/>
      <c r="AD184" s="306"/>
      <c r="AE184" s="306"/>
      <c r="AF184" s="306"/>
      <c r="AG184" s="306"/>
    </row>
    <row r="185" spans="1:33">
      <c r="A185" s="306"/>
      <c r="B185" s="306"/>
      <c r="C185" s="323"/>
      <c r="D185" s="323"/>
      <c r="E185" s="323"/>
      <c r="F185" s="323"/>
      <c r="G185" s="323"/>
      <c r="H185" s="323"/>
      <c r="I185" s="323"/>
      <c r="J185" s="323"/>
      <c r="K185" s="306"/>
      <c r="L185" s="323"/>
      <c r="M185" s="323"/>
      <c r="N185" s="323"/>
      <c r="O185" s="323"/>
      <c r="P185" s="323"/>
      <c r="Q185" s="323"/>
      <c r="R185" s="323"/>
      <c r="S185" s="323"/>
      <c r="T185" s="323"/>
      <c r="U185" s="323"/>
      <c r="V185" s="323"/>
      <c r="W185" s="306"/>
      <c r="X185" s="306"/>
      <c r="Y185" s="306"/>
      <c r="Z185" s="306"/>
      <c r="AA185" s="306"/>
      <c r="AB185" s="306"/>
      <c r="AC185" s="306"/>
      <c r="AD185" s="306"/>
      <c r="AE185" s="306"/>
      <c r="AF185" s="306"/>
      <c r="AG185" s="306"/>
    </row>
    <row r="186" spans="1:33">
      <c r="A186" s="306"/>
      <c r="B186" s="306"/>
      <c r="C186" s="323"/>
      <c r="D186" s="323"/>
      <c r="E186" s="323"/>
      <c r="F186" s="323"/>
      <c r="G186" s="323"/>
      <c r="H186" s="323"/>
      <c r="I186" s="323"/>
      <c r="J186" s="323"/>
      <c r="K186" s="306"/>
      <c r="L186" s="323"/>
      <c r="M186" s="323"/>
      <c r="N186" s="323"/>
      <c r="O186" s="323"/>
      <c r="P186" s="323"/>
      <c r="Q186" s="323"/>
      <c r="R186" s="323"/>
      <c r="S186" s="323"/>
      <c r="T186" s="323"/>
      <c r="U186" s="323"/>
      <c r="V186" s="323"/>
      <c r="W186" s="306"/>
      <c r="X186" s="306"/>
      <c r="Y186" s="306"/>
      <c r="Z186" s="306"/>
      <c r="AA186" s="306"/>
      <c r="AB186" s="306"/>
      <c r="AC186" s="306"/>
      <c r="AD186" s="306"/>
      <c r="AE186" s="306"/>
      <c r="AF186" s="306"/>
      <c r="AG186" s="306"/>
    </row>
    <row r="187" spans="1:33">
      <c r="A187" s="306"/>
      <c r="B187" s="306"/>
      <c r="C187" s="323"/>
      <c r="D187" s="323"/>
      <c r="E187" s="323"/>
      <c r="F187" s="323"/>
      <c r="G187" s="323"/>
      <c r="H187" s="323"/>
      <c r="I187" s="323"/>
      <c r="J187" s="323"/>
      <c r="K187" s="306"/>
      <c r="L187" s="323"/>
      <c r="M187" s="323"/>
      <c r="N187" s="323"/>
      <c r="O187" s="323"/>
      <c r="P187" s="323"/>
      <c r="Q187" s="323"/>
      <c r="R187" s="323"/>
      <c r="S187" s="323"/>
      <c r="T187" s="323"/>
      <c r="U187" s="323"/>
      <c r="V187" s="323"/>
      <c r="W187" s="306"/>
      <c r="X187" s="306"/>
      <c r="Y187" s="306"/>
      <c r="Z187" s="306"/>
      <c r="AA187" s="306"/>
      <c r="AB187" s="306"/>
      <c r="AC187" s="306"/>
      <c r="AD187" s="306"/>
      <c r="AE187" s="306"/>
      <c r="AF187" s="306"/>
      <c r="AG187" s="306"/>
    </row>
    <row r="188" spans="1:33">
      <c r="A188" s="306"/>
      <c r="B188" s="306"/>
      <c r="C188" s="323"/>
      <c r="D188" s="323"/>
      <c r="E188" s="323"/>
      <c r="F188" s="323"/>
      <c r="G188" s="323"/>
      <c r="H188" s="323"/>
      <c r="I188" s="323"/>
      <c r="J188" s="323"/>
      <c r="K188" s="306"/>
      <c r="L188" s="323"/>
      <c r="M188" s="323"/>
      <c r="N188" s="323"/>
      <c r="O188" s="323"/>
      <c r="P188" s="323"/>
      <c r="Q188" s="323"/>
      <c r="R188" s="323"/>
      <c r="S188" s="323"/>
      <c r="T188" s="323"/>
      <c r="U188" s="323"/>
      <c r="V188" s="323"/>
      <c r="W188" s="306"/>
      <c r="X188" s="306"/>
      <c r="Y188" s="306"/>
      <c r="Z188" s="306"/>
      <c r="AA188" s="306"/>
      <c r="AB188" s="306"/>
      <c r="AC188" s="306"/>
      <c r="AD188" s="306"/>
      <c r="AE188" s="306"/>
      <c r="AF188" s="306"/>
      <c r="AG188" s="306"/>
    </row>
    <row r="189" spans="1:33">
      <c r="A189" s="306"/>
      <c r="B189" s="306"/>
      <c r="C189" s="323"/>
      <c r="D189" s="323"/>
      <c r="E189" s="323"/>
      <c r="F189" s="323"/>
      <c r="G189" s="323"/>
      <c r="H189" s="323"/>
      <c r="I189" s="323"/>
      <c r="J189" s="323"/>
      <c r="K189" s="306"/>
      <c r="L189" s="323"/>
      <c r="M189" s="323"/>
      <c r="N189" s="323"/>
      <c r="O189" s="323"/>
      <c r="P189" s="323"/>
      <c r="Q189" s="323"/>
      <c r="R189" s="323"/>
      <c r="S189" s="323"/>
      <c r="T189" s="323"/>
      <c r="U189" s="323"/>
      <c r="V189" s="323"/>
      <c r="W189" s="306"/>
      <c r="X189" s="306"/>
      <c r="Y189" s="306"/>
      <c r="Z189" s="306"/>
      <c r="AA189" s="306"/>
      <c r="AB189" s="306"/>
      <c r="AC189" s="306"/>
      <c r="AD189" s="306"/>
      <c r="AE189" s="306"/>
      <c r="AF189" s="306"/>
      <c r="AG189" s="306"/>
    </row>
    <row r="190" spans="1:33">
      <c r="A190" s="306"/>
      <c r="B190" s="306"/>
      <c r="C190" s="323"/>
      <c r="D190" s="323"/>
      <c r="E190" s="323"/>
      <c r="F190" s="323"/>
      <c r="G190" s="323"/>
      <c r="H190" s="323"/>
      <c r="I190" s="323"/>
      <c r="J190" s="323"/>
      <c r="K190" s="306"/>
      <c r="L190" s="323"/>
      <c r="M190" s="323"/>
      <c r="N190" s="323"/>
      <c r="O190" s="323"/>
      <c r="P190" s="323"/>
      <c r="Q190" s="323"/>
      <c r="R190" s="323"/>
      <c r="S190" s="323"/>
      <c r="T190" s="323"/>
      <c r="U190" s="323"/>
      <c r="V190" s="323"/>
      <c r="W190" s="306"/>
      <c r="X190" s="306"/>
      <c r="Y190" s="306"/>
      <c r="Z190" s="306"/>
      <c r="AA190" s="306"/>
      <c r="AB190" s="306"/>
      <c r="AC190" s="306"/>
      <c r="AD190" s="306"/>
      <c r="AE190" s="306"/>
      <c r="AF190" s="306"/>
      <c r="AG190" s="306"/>
    </row>
    <row r="191" spans="1:33">
      <c r="A191" s="306"/>
      <c r="B191" s="306"/>
      <c r="C191" s="323"/>
      <c r="D191" s="323"/>
      <c r="E191" s="323"/>
      <c r="F191" s="323"/>
      <c r="G191" s="323"/>
      <c r="H191" s="323"/>
      <c r="I191" s="323"/>
      <c r="J191" s="323"/>
      <c r="K191" s="306"/>
      <c r="L191" s="323"/>
      <c r="M191" s="323"/>
      <c r="N191" s="323"/>
      <c r="O191" s="323"/>
      <c r="P191" s="323"/>
      <c r="Q191" s="323"/>
      <c r="R191" s="323"/>
      <c r="S191" s="323"/>
      <c r="T191" s="323"/>
      <c r="U191" s="323"/>
      <c r="V191" s="323"/>
      <c r="W191" s="306"/>
      <c r="X191" s="306"/>
      <c r="Y191" s="306"/>
      <c r="Z191" s="306"/>
      <c r="AA191" s="306"/>
      <c r="AB191" s="306"/>
      <c r="AC191" s="306"/>
      <c r="AD191" s="306"/>
      <c r="AE191" s="306"/>
      <c r="AF191" s="306"/>
      <c r="AG191" s="306"/>
    </row>
    <row r="192" spans="1:33">
      <c r="A192" s="306"/>
      <c r="B192" s="306"/>
      <c r="C192" s="323"/>
      <c r="D192" s="323"/>
      <c r="E192" s="323"/>
      <c r="F192" s="323"/>
      <c r="G192" s="323"/>
      <c r="H192" s="323"/>
      <c r="I192" s="323"/>
      <c r="J192" s="323"/>
      <c r="K192" s="306"/>
      <c r="L192" s="323"/>
      <c r="M192" s="323"/>
      <c r="N192" s="323"/>
      <c r="O192" s="323"/>
      <c r="P192" s="323"/>
      <c r="Q192" s="323"/>
      <c r="R192" s="323"/>
      <c r="S192" s="323"/>
      <c r="T192" s="323"/>
      <c r="U192" s="323"/>
      <c r="V192" s="323"/>
      <c r="W192" s="306"/>
      <c r="X192" s="306"/>
      <c r="Y192" s="306"/>
      <c r="Z192" s="306"/>
      <c r="AA192" s="306"/>
      <c r="AB192" s="306"/>
      <c r="AC192" s="306"/>
      <c r="AD192" s="306"/>
      <c r="AE192" s="306"/>
      <c r="AF192" s="306"/>
      <c r="AG192" s="306"/>
    </row>
    <row r="193" spans="1:33">
      <c r="A193" s="306"/>
      <c r="B193" s="306"/>
      <c r="C193" s="323"/>
      <c r="D193" s="323"/>
      <c r="E193" s="323"/>
      <c r="F193" s="323"/>
      <c r="G193" s="323"/>
      <c r="H193" s="323"/>
      <c r="I193" s="323"/>
      <c r="J193" s="323"/>
      <c r="K193" s="306"/>
      <c r="L193" s="323"/>
      <c r="M193" s="323"/>
      <c r="N193" s="323"/>
      <c r="O193" s="323"/>
      <c r="P193" s="323"/>
      <c r="Q193" s="323"/>
      <c r="R193" s="323"/>
      <c r="S193" s="323"/>
      <c r="T193" s="323"/>
      <c r="U193" s="323"/>
      <c r="V193" s="323"/>
      <c r="W193" s="306"/>
      <c r="X193" s="306"/>
      <c r="Y193" s="306"/>
      <c r="Z193" s="306"/>
      <c r="AA193" s="306"/>
      <c r="AB193" s="306"/>
      <c r="AC193" s="306"/>
      <c r="AD193" s="306"/>
      <c r="AE193" s="306"/>
      <c r="AF193" s="306"/>
      <c r="AG193" s="306"/>
    </row>
    <row r="194" spans="1:33">
      <c r="A194" s="306"/>
      <c r="B194" s="306"/>
      <c r="C194" s="323"/>
      <c r="D194" s="323"/>
      <c r="E194" s="323"/>
      <c r="F194" s="323"/>
      <c r="G194" s="323"/>
      <c r="H194" s="323"/>
      <c r="I194" s="323"/>
      <c r="J194" s="323"/>
      <c r="K194" s="306"/>
      <c r="L194" s="323"/>
      <c r="M194" s="323"/>
      <c r="N194" s="323"/>
      <c r="O194" s="323"/>
      <c r="P194" s="323"/>
      <c r="Q194" s="323"/>
      <c r="R194" s="323"/>
      <c r="S194" s="323"/>
      <c r="T194" s="323"/>
      <c r="U194" s="323"/>
      <c r="V194" s="323"/>
      <c r="W194" s="306"/>
      <c r="X194" s="306"/>
      <c r="Y194" s="306"/>
      <c r="Z194" s="306"/>
      <c r="AA194" s="306"/>
      <c r="AB194" s="306"/>
      <c r="AC194" s="306"/>
      <c r="AD194" s="306"/>
      <c r="AE194" s="306"/>
      <c r="AF194" s="306"/>
      <c r="AG194" s="306"/>
    </row>
    <row r="195" spans="1:33">
      <c r="A195" s="306"/>
      <c r="B195" s="306"/>
      <c r="C195" s="323"/>
      <c r="D195" s="323"/>
      <c r="E195" s="323"/>
      <c r="F195" s="323"/>
      <c r="G195" s="323"/>
      <c r="H195" s="323"/>
      <c r="I195" s="323"/>
      <c r="J195" s="323"/>
      <c r="K195" s="306"/>
      <c r="L195" s="323"/>
      <c r="M195" s="323"/>
      <c r="N195" s="323"/>
      <c r="O195" s="323"/>
      <c r="P195" s="323"/>
      <c r="Q195" s="323"/>
      <c r="R195" s="323"/>
      <c r="S195" s="323"/>
      <c r="T195" s="323"/>
      <c r="U195" s="323"/>
      <c r="V195" s="323"/>
      <c r="W195" s="306"/>
      <c r="X195" s="306"/>
      <c r="Y195" s="306"/>
      <c r="Z195" s="306"/>
      <c r="AA195" s="306"/>
      <c r="AB195" s="306"/>
      <c r="AC195" s="306"/>
      <c r="AD195" s="306"/>
      <c r="AE195" s="306"/>
      <c r="AF195" s="306"/>
      <c r="AG195" s="306"/>
    </row>
    <row r="196" spans="1:33">
      <c r="A196" s="306"/>
      <c r="B196" s="306"/>
      <c r="C196" s="323"/>
      <c r="D196" s="323"/>
      <c r="E196" s="323"/>
      <c r="F196" s="323"/>
      <c r="G196" s="323"/>
      <c r="H196" s="323"/>
      <c r="I196" s="323"/>
      <c r="J196" s="323"/>
      <c r="K196" s="306"/>
      <c r="L196" s="323"/>
      <c r="M196" s="323"/>
      <c r="N196" s="323"/>
      <c r="O196" s="323"/>
      <c r="P196" s="323"/>
      <c r="Q196" s="323"/>
      <c r="R196" s="323"/>
      <c r="S196" s="323"/>
      <c r="T196" s="323"/>
      <c r="U196" s="323"/>
      <c r="V196" s="323"/>
      <c r="W196" s="306"/>
      <c r="X196" s="306"/>
      <c r="Y196" s="306"/>
      <c r="Z196" s="306"/>
      <c r="AA196" s="306"/>
      <c r="AB196" s="306"/>
      <c r="AC196" s="306"/>
      <c r="AD196" s="306"/>
      <c r="AE196" s="306"/>
      <c r="AF196" s="306"/>
      <c r="AG196" s="306"/>
    </row>
    <row r="197" spans="1:33">
      <c r="A197" s="306"/>
      <c r="B197" s="306"/>
      <c r="C197" s="323"/>
      <c r="D197" s="323"/>
      <c r="E197" s="323"/>
      <c r="F197" s="323"/>
      <c r="G197" s="323"/>
      <c r="H197" s="323"/>
      <c r="I197" s="323"/>
      <c r="J197" s="323"/>
      <c r="K197" s="306"/>
      <c r="L197" s="323"/>
      <c r="M197" s="323"/>
      <c r="N197" s="323"/>
      <c r="O197" s="323"/>
      <c r="P197" s="323"/>
      <c r="Q197" s="323"/>
      <c r="R197" s="323"/>
      <c r="S197" s="323"/>
      <c r="T197" s="323"/>
      <c r="U197" s="323"/>
      <c r="V197" s="323"/>
      <c r="W197" s="306"/>
      <c r="X197" s="306"/>
      <c r="Y197" s="306"/>
      <c r="Z197" s="306"/>
      <c r="AA197" s="306"/>
      <c r="AB197" s="306"/>
      <c r="AC197" s="306"/>
      <c r="AD197" s="306"/>
      <c r="AE197" s="306"/>
      <c r="AF197" s="306"/>
      <c r="AG197" s="306"/>
    </row>
    <row r="198" spans="1:33">
      <c r="A198" s="306"/>
      <c r="B198" s="306"/>
      <c r="C198" s="323"/>
      <c r="D198" s="323"/>
      <c r="E198" s="323"/>
      <c r="F198" s="323"/>
      <c r="G198" s="323"/>
      <c r="H198" s="323"/>
      <c r="I198" s="323"/>
      <c r="J198" s="323"/>
      <c r="K198" s="306"/>
      <c r="L198" s="323"/>
      <c r="M198" s="323"/>
      <c r="N198" s="323"/>
      <c r="O198" s="323"/>
      <c r="P198" s="323"/>
      <c r="Q198" s="323"/>
      <c r="R198" s="323"/>
      <c r="S198" s="323"/>
      <c r="T198" s="323"/>
      <c r="U198" s="323"/>
      <c r="V198" s="323"/>
      <c r="W198" s="306"/>
      <c r="X198" s="306"/>
      <c r="Y198" s="306"/>
      <c r="Z198" s="306"/>
      <c r="AA198" s="306"/>
      <c r="AB198" s="306"/>
      <c r="AC198" s="306"/>
      <c r="AD198" s="306"/>
      <c r="AE198" s="306"/>
      <c r="AF198" s="306"/>
      <c r="AG198" s="306"/>
    </row>
    <row r="199" spans="1:33">
      <c r="A199" s="306"/>
      <c r="B199" s="306"/>
      <c r="C199" s="323"/>
      <c r="D199" s="323"/>
      <c r="E199" s="323"/>
      <c r="F199" s="323"/>
      <c r="G199" s="323"/>
      <c r="H199" s="323"/>
      <c r="I199" s="323"/>
      <c r="J199" s="323"/>
      <c r="K199" s="306"/>
      <c r="L199" s="323"/>
      <c r="M199" s="323"/>
      <c r="N199" s="323"/>
      <c r="O199" s="323"/>
      <c r="P199" s="323"/>
      <c r="Q199" s="323"/>
      <c r="R199" s="323"/>
      <c r="S199" s="323"/>
      <c r="T199" s="323"/>
      <c r="U199" s="323"/>
      <c r="V199" s="323"/>
      <c r="W199" s="306"/>
      <c r="X199" s="306"/>
      <c r="Y199" s="306"/>
      <c r="Z199" s="306"/>
      <c r="AA199" s="306"/>
      <c r="AB199" s="306"/>
      <c r="AC199" s="306"/>
      <c r="AD199" s="306"/>
      <c r="AE199" s="306"/>
      <c r="AF199" s="306"/>
      <c r="AG199" s="306"/>
    </row>
    <row r="200" spans="1:33">
      <c r="A200" s="306"/>
      <c r="B200" s="306"/>
      <c r="C200" s="323"/>
      <c r="D200" s="323"/>
      <c r="E200" s="323"/>
      <c r="F200" s="323"/>
      <c r="G200" s="323"/>
      <c r="H200" s="323"/>
      <c r="I200" s="323"/>
      <c r="J200" s="323"/>
      <c r="K200" s="306"/>
      <c r="L200" s="323"/>
      <c r="M200" s="323"/>
      <c r="N200" s="323"/>
      <c r="O200" s="323"/>
      <c r="P200" s="323"/>
      <c r="Q200" s="323"/>
      <c r="R200" s="323"/>
      <c r="S200" s="323"/>
      <c r="T200" s="323"/>
      <c r="U200" s="323"/>
      <c r="V200" s="323"/>
      <c r="W200" s="306"/>
      <c r="X200" s="306"/>
      <c r="Y200" s="306"/>
      <c r="Z200" s="306"/>
      <c r="AA200" s="306"/>
      <c r="AB200" s="306"/>
      <c r="AC200" s="306"/>
      <c r="AD200" s="306"/>
      <c r="AE200" s="306"/>
      <c r="AF200" s="306"/>
      <c r="AG200" s="306"/>
    </row>
    <row r="201" spans="1:33">
      <c r="A201" s="306"/>
      <c r="B201" s="306"/>
      <c r="C201" s="323"/>
      <c r="D201" s="323"/>
      <c r="E201" s="323"/>
      <c r="F201" s="323"/>
      <c r="G201" s="323"/>
      <c r="H201" s="323"/>
      <c r="I201" s="323"/>
      <c r="J201" s="323"/>
      <c r="K201" s="306"/>
      <c r="L201" s="323"/>
      <c r="M201" s="323"/>
      <c r="N201" s="323"/>
      <c r="O201" s="323"/>
      <c r="P201" s="323"/>
      <c r="Q201" s="323"/>
      <c r="R201" s="323"/>
      <c r="S201" s="323"/>
      <c r="T201" s="323"/>
      <c r="U201" s="323"/>
      <c r="V201" s="323"/>
      <c r="W201" s="306"/>
      <c r="X201" s="306"/>
      <c r="Y201" s="306"/>
      <c r="Z201" s="306"/>
      <c r="AA201" s="306"/>
      <c r="AB201" s="306"/>
      <c r="AC201" s="306"/>
      <c r="AD201" s="306"/>
      <c r="AE201" s="306"/>
      <c r="AF201" s="306"/>
      <c r="AG201" s="306"/>
    </row>
    <row r="202" spans="1:33">
      <c r="A202" s="306"/>
      <c r="B202" s="306"/>
      <c r="C202" s="323"/>
      <c r="D202" s="323"/>
      <c r="E202" s="323"/>
      <c r="F202" s="323"/>
      <c r="G202" s="323"/>
      <c r="H202" s="323"/>
      <c r="I202" s="306"/>
      <c r="J202" s="323"/>
      <c r="K202" s="306"/>
      <c r="L202" s="323"/>
      <c r="M202" s="323"/>
      <c r="N202" s="323"/>
      <c r="O202" s="323"/>
      <c r="P202" s="323"/>
      <c r="Q202" s="323"/>
      <c r="R202" s="323"/>
      <c r="S202" s="323"/>
      <c r="T202" s="323"/>
      <c r="U202" s="323"/>
      <c r="V202" s="323"/>
      <c r="W202" s="306"/>
      <c r="X202" s="306"/>
      <c r="Y202" s="306"/>
      <c r="Z202" s="306"/>
      <c r="AA202" s="306"/>
      <c r="AB202" s="306"/>
      <c r="AC202" s="306"/>
      <c r="AD202" s="306"/>
      <c r="AE202" s="306"/>
      <c r="AF202" s="306"/>
      <c r="AG202" s="306"/>
    </row>
    <row r="203" spans="1:33">
      <c r="A203" s="306"/>
      <c r="B203" s="306"/>
      <c r="C203" s="323"/>
      <c r="D203" s="323"/>
      <c r="E203" s="323"/>
      <c r="F203" s="323"/>
      <c r="G203" s="323"/>
      <c r="H203" s="323"/>
      <c r="I203" s="323"/>
      <c r="J203" s="323"/>
      <c r="K203" s="306"/>
      <c r="L203" s="323"/>
      <c r="M203" s="323"/>
      <c r="N203" s="323"/>
      <c r="O203" s="323"/>
      <c r="P203" s="323"/>
      <c r="Q203" s="323"/>
      <c r="R203" s="323"/>
      <c r="S203" s="323"/>
      <c r="T203" s="323"/>
      <c r="U203" s="323"/>
      <c r="V203" s="323"/>
      <c r="W203" s="306"/>
      <c r="X203" s="306"/>
      <c r="Y203" s="306"/>
      <c r="Z203" s="306"/>
      <c r="AA203" s="306"/>
      <c r="AB203" s="306"/>
      <c r="AC203" s="306"/>
      <c r="AD203" s="306"/>
      <c r="AE203" s="306"/>
      <c r="AF203" s="306"/>
      <c r="AG203" s="306"/>
    </row>
    <row r="204" spans="1:33">
      <c r="A204" s="306"/>
      <c r="B204" s="306"/>
      <c r="C204" s="323"/>
      <c r="D204" s="323"/>
      <c r="E204" s="323"/>
      <c r="F204" s="323"/>
      <c r="G204" s="323"/>
      <c r="H204" s="323"/>
      <c r="I204" s="323"/>
      <c r="J204" s="323"/>
      <c r="K204" s="306"/>
      <c r="L204" s="323"/>
      <c r="M204" s="323"/>
      <c r="N204" s="323"/>
      <c r="O204" s="323"/>
      <c r="P204" s="323"/>
      <c r="Q204" s="323"/>
      <c r="R204" s="323"/>
      <c r="S204" s="323"/>
      <c r="T204" s="323"/>
      <c r="U204" s="323"/>
      <c r="V204" s="323"/>
      <c r="W204" s="306"/>
      <c r="X204" s="306"/>
      <c r="Y204" s="306"/>
      <c r="Z204" s="306"/>
      <c r="AA204" s="306"/>
      <c r="AB204" s="306"/>
      <c r="AC204" s="306"/>
      <c r="AD204" s="306"/>
      <c r="AE204" s="306"/>
      <c r="AF204" s="306"/>
      <c r="AG204" s="306"/>
    </row>
    <row r="205" spans="1:33">
      <c r="A205" s="306"/>
      <c r="B205" s="306"/>
      <c r="C205" s="323"/>
      <c r="D205" s="323"/>
      <c r="E205" s="323"/>
      <c r="F205" s="323"/>
      <c r="G205" s="323"/>
      <c r="H205" s="323"/>
      <c r="I205" s="323"/>
      <c r="J205" s="323"/>
      <c r="K205" s="306"/>
      <c r="L205" s="323"/>
      <c r="M205" s="323"/>
      <c r="N205" s="323"/>
      <c r="O205" s="323"/>
      <c r="P205" s="323"/>
      <c r="Q205" s="323"/>
      <c r="R205" s="323"/>
      <c r="S205" s="323"/>
      <c r="T205" s="323"/>
      <c r="U205" s="323"/>
      <c r="V205" s="323"/>
      <c r="W205" s="306"/>
      <c r="X205" s="306"/>
      <c r="Y205" s="306"/>
      <c r="Z205" s="306"/>
      <c r="AA205" s="306"/>
      <c r="AB205" s="306"/>
      <c r="AC205" s="306"/>
      <c r="AD205" s="306"/>
      <c r="AE205" s="306"/>
      <c r="AF205" s="306"/>
      <c r="AG205" s="306"/>
    </row>
    <row r="206" spans="1:33">
      <c r="A206" s="306"/>
      <c r="B206" s="306"/>
      <c r="C206" s="323"/>
      <c r="D206" s="323"/>
      <c r="E206" s="323"/>
      <c r="F206" s="323"/>
      <c r="G206" s="323"/>
      <c r="H206" s="323"/>
      <c r="I206" s="323"/>
      <c r="J206" s="323"/>
      <c r="K206" s="306"/>
      <c r="L206" s="323"/>
      <c r="M206" s="323"/>
      <c r="N206" s="323"/>
      <c r="O206" s="323"/>
      <c r="P206" s="323"/>
      <c r="Q206" s="323"/>
      <c r="R206" s="323"/>
      <c r="S206" s="323"/>
      <c r="T206" s="323"/>
      <c r="U206" s="323"/>
      <c r="V206" s="323"/>
      <c r="W206" s="306"/>
      <c r="X206" s="306"/>
      <c r="Y206" s="306"/>
      <c r="Z206" s="306"/>
      <c r="AA206" s="306"/>
      <c r="AB206" s="306"/>
      <c r="AC206" s="306"/>
      <c r="AD206" s="306"/>
      <c r="AE206" s="306"/>
      <c r="AF206" s="306"/>
      <c r="AG206" s="306"/>
    </row>
    <row r="207" spans="1:33">
      <c r="A207" s="306"/>
      <c r="B207" s="306"/>
      <c r="C207" s="323"/>
      <c r="D207" s="323"/>
      <c r="E207" s="323"/>
      <c r="F207" s="323"/>
      <c r="G207" s="323"/>
      <c r="H207" s="323"/>
      <c r="I207" s="323"/>
      <c r="J207" s="323"/>
      <c r="K207" s="306"/>
      <c r="L207" s="323"/>
      <c r="M207" s="323"/>
      <c r="N207" s="323"/>
      <c r="O207" s="323"/>
      <c r="P207" s="323"/>
      <c r="Q207" s="323"/>
      <c r="R207" s="323"/>
      <c r="S207" s="323"/>
      <c r="T207" s="323"/>
      <c r="U207" s="323"/>
      <c r="V207" s="323"/>
      <c r="W207" s="306"/>
      <c r="X207" s="306"/>
      <c r="Y207" s="306"/>
      <c r="Z207" s="306"/>
      <c r="AA207" s="306"/>
      <c r="AB207" s="306"/>
      <c r="AC207" s="306"/>
      <c r="AD207" s="306"/>
      <c r="AE207" s="306"/>
      <c r="AF207" s="306"/>
      <c r="AG207" s="306"/>
    </row>
    <row r="208" spans="1:33">
      <c r="A208" s="306"/>
      <c r="B208" s="306"/>
      <c r="C208" s="323"/>
      <c r="D208" s="323"/>
      <c r="E208" s="323"/>
      <c r="F208" s="323"/>
      <c r="G208" s="323"/>
      <c r="H208" s="323"/>
      <c r="I208" s="323"/>
      <c r="J208" s="323"/>
      <c r="K208" s="306"/>
      <c r="L208" s="323"/>
      <c r="M208" s="323"/>
      <c r="N208" s="323"/>
      <c r="O208" s="323"/>
      <c r="P208" s="323"/>
      <c r="Q208" s="323"/>
      <c r="R208" s="323"/>
      <c r="S208" s="323"/>
      <c r="T208" s="323"/>
      <c r="U208" s="323"/>
      <c r="V208" s="323"/>
      <c r="W208" s="306"/>
      <c r="X208" s="306"/>
      <c r="Y208" s="306"/>
      <c r="Z208" s="306"/>
      <c r="AA208" s="306"/>
      <c r="AB208" s="306"/>
      <c r="AC208" s="306"/>
      <c r="AD208" s="306"/>
      <c r="AE208" s="306"/>
      <c r="AF208" s="306"/>
      <c r="AG208" s="306"/>
    </row>
    <row r="209" spans="1:33">
      <c r="A209" s="306"/>
      <c r="B209" s="306"/>
      <c r="C209" s="323"/>
      <c r="D209" s="323"/>
      <c r="E209" s="323"/>
      <c r="F209" s="323"/>
      <c r="G209" s="323"/>
      <c r="H209" s="323"/>
      <c r="I209" s="323"/>
      <c r="J209" s="323"/>
      <c r="K209" s="306"/>
      <c r="L209" s="323"/>
      <c r="M209" s="323"/>
      <c r="N209" s="323"/>
      <c r="O209" s="323"/>
      <c r="P209" s="323"/>
      <c r="Q209" s="323"/>
      <c r="R209" s="323"/>
      <c r="S209" s="323"/>
      <c r="T209" s="323"/>
      <c r="U209" s="323"/>
      <c r="V209" s="323"/>
      <c r="W209" s="306"/>
      <c r="X209" s="306"/>
      <c r="Y209" s="306"/>
      <c r="Z209" s="306"/>
      <c r="AA209" s="306"/>
      <c r="AB209" s="306"/>
      <c r="AC209" s="306"/>
      <c r="AD209" s="306"/>
      <c r="AE209" s="306"/>
      <c r="AF209" s="306"/>
      <c r="AG209" s="306"/>
    </row>
    <row r="210" spans="1:33">
      <c r="A210" s="306"/>
      <c r="B210" s="306"/>
      <c r="C210" s="323"/>
      <c r="D210" s="323"/>
      <c r="E210" s="323"/>
      <c r="F210" s="323"/>
      <c r="G210" s="323"/>
      <c r="H210" s="323"/>
      <c r="I210" s="323"/>
      <c r="J210" s="323"/>
      <c r="K210" s="306"/>
      <c r="L210" s="323"/>
      <c r="M210" s="323"/>
      <c r="N210" s="323"/>
      <c r="O210" s="323"/>
      <c r="P210" s="323"/>
      <c r="Q210" s="323"/>
      <c r="R210" s="323"/>
      <c r="S210" s="323"/>
      <c r="T210" s="323"/>
      <c r="U210" s="323"/>
      <c r="V210" s="323"/>
      <c r="W210" s="306"/>
      <c r="X210" s="306"/>
      <c r="Y210" s="306"/>
      <c r="Z210" s="306"/>
      <c r="AA210" s="306"/>
      <c r="AB210" s="306"/>
      <c r="AC210" s="306"/>
      <c r="AD210" s="306"/>
      <c r="AE210" s="306"/>
      <c r="AF210" s="306"/>
      <c r="AG210" s="306"/>
    </row>
    <row r="211" spans="1:33">
      <c r="A211" s="306"/>
      <c r="B211" s="306"/>
      <c r="C211" s="323"/>
      <c r="D211" s="323"/>
      <c r="E211" s="323"/>
      <c r="F211" s="323"/>
      <c r="G211" s="323"/>
      <c r="H211" s="323"/>
      <c r="I211" s="323"/>
      <c r="J211" s="323"/>
      <c r="K211" s="306"/>
      <c r="L211" s="323"/>
      <c r="M211" s="323"/>
      <c r="N211" s="323"/>
      <c r="O211" s="323"/>
      <c r="P211" s="323"/>
      <c r="Q211" s="323"/>
      <c r="R211" s="323"/>
      <c r="S211" s="323"/>
      <c r="T211" s="323"/>
      <c r="U211" s="323"/>
      <c r="V211" s="323"/>
      <c r="W211" s="306"/>
      <c r="X211" s="306"/>
      <c r="Y211" s="306"/>
      <c r="Z211" s="306"/>
      <c r="AA211" s="306"/>
      <c r="AB211" s="306"/>
      <c r="AC211" s="306"/>
      <c r="AD211" s="306"/>
      <c r="AE211" s="306"/>
      <c r="AF211" s="306"/>
      <c r="AG211" s="306"/>
    </row>
    <row r="212" spans="1:33">
      <c r="A212" s="306"/>
      <c r="B212" s="306"/>
      <c r="C212" s="323"/>
      <c r="D212" s="323"/>
      <c r="E212" s="323"/>
      <c r="F212" s="323"/>
      <c r="G212" s="323"/>
      <c r="H212" s="323"/>
      <c r="I212" s="323"/>
      <c r="J212" s="323"/>
      <c r="K212" s="306"/>
      <c r="L212" s="323"/>
      <c r="M212" s="323"/>
      <c r="N212" s="323"/>
      <c r="O212" s="323"/>
      <c r="P212" s="323"/>
      <c r="Q212" s="323"/>
      <c r="R212" s="323"/>
      <c r="S212" s="323"/>
      <c r="T212" s="323"/>
      <c r="U212" s="323"/>
      <c r="V212" s="323"/>
      <c r="W212" s="306"/>
      <c r="X212" s="306"/>
      <c r="Y212" s="306"/>
      <c r="Z212" s="306"/>
      <c r="AA212" s="306"/>
      <c r="AB212" s="306"/>
      <c r="AC212" s="306"/>
      <c r="AD212" s="306"/>
      <c r="AE212" s="306"/>
      <c r="AF212" s="306"/>
      <c r="AG212" s="306"/>
    </row>
    <row r="213" spans="1:33">
      <c r="A213" s="306"/>
      <c r="B213" s="306"/>
      <c r="C213" s="323"/>
      <c r="D213" s="323"/>
      <c r="E213" s="323"/>
      <c r="F213" s="323"/>
      <c r="G213" s="323"/>
      <c r="H213" s="323"/>
      <c r="I213" s="323"/>
      <c r="J213" s="323"/>
      <c r="K213" s="306"/>
      <c r="L213" s="323"/>
      <c r="M213" s="323"/>
      <c r="N213" s="323"/>
      <c r="O213" s="323"/>
      <c r="P213" s="323"/>
      <c r="Q213" s="323"/>
      <c r="R213" s="323"/>
      <c r="S213" s="323"/>
      <c r="T213" s="323"/>
      <c r="U213" s="323"/>
      <c r="V213" s="323"/>
      <c r="W213" s="306"/>
      <c r="X213" s="306"/>
      <c r="Y213" s="306"/>
      <c r="Z213" s="306"/>
      <c r="AA213" s="306"/>
      <c r="AB213" s="306"/>
      <c r="AC213" s="306"/>
      <c r="AD213" s="306"/>
      <c r="AE213" s="306"/>
      <c r="AF213" s="306"/>
      <c r="AG213" s="306"/>
    </row>
    <row r="214" spans="1:33">
      <c r="A214" s="306"/>
      <c r="B214" s="306"/>
      <c r="C214" s="323"/>
      <c r="D214" s="323"/>
      <c r="E214" s="323"/>
      <c r="F214" s="323"/>
      <c r="G214" s="323"/>
      <c r="H214" s="323"/>
      <c r="I214" s="323"/>
      <c r="J214" s="323"/>
      <c r="K214" s="306"/>
      <c r="L214" s="323"/>
      <c r="M214" s="323"/>
      <c r="N214" s="323"/>
      <c r="O214" s="323"/>
      <c r="P214" s="323"/>
      <c r="Q214" s="323"/>
      <c r="R214" s="323"/>
      <c r="S214" s="323"/>
      <c r="T214" s="323"/>
      <c r="U214" s="323"/>
      <c r="V214" s="323"/>
      <c r="W214" s="306"/>
      <c r="X214" s="306"/>
      <c r="Y214" s="306"/>
      <c r="Z214" s="306"/>
      <c r="AA214" s="306"/>
      <c r="AB214" s="306"/>
      <c r="AC214" s="306"/>
      <c r="AD214" s="306"/>
      <c r="AE214" s="306"/>
      <c r="AF214" s="306"/>
      <c r="AG214" s="306"/>
    </row>
    <row r="215" spans="1:33">
      <c r="A215" s="306"/>
      <c r="B215" s="306"/>
      <c r="C215" s="323"/>
      <c r="D215" s="323"/>
      <c r="E215" s="323"/>
      <c r="F215" s="323"/>
      <c r="G215" s="323"/>
      <c r="H215" s="323"/>
      <c r="I215" s="323"/>
      <c r="J215" s="323"/>
      <c r="K215" s="306"/>
      <c r="L215" s="323"/>
      <c r="M215" s="323"/>
      <c r="N215" s="323"/>
      <c r="O215" s="323"/>
      <c r="P215" s="323"/>
      <c r="Q215" s="323"/>
      <c r="R215" s="323"/>
      <c r="S215" s="323"/>
      <c r="T215" s="323"/>
      <c r="U215" s="323"/>
      <c r="V215" s="323"/>
      <c r="W215" s="306"/>
      <c r="X215" s="306"/>
      <c r="Y215" s="306"/>
      <c r="Z215" s="306"/>
      <c r="AA215" s="306"/>
      <c r="AB215" s="306"/>
      <c r="AC215" s="306"/>
      <c r="AD215" s="306"/>
      <c r="AE215" s="306"/>
      <c r="AF215" s="306"/>
      <c r="AG215" s="306"/>
    </row>
    <row r="216" spans="1:33">
      <c r="A216" s="306"/>
      <c r="B216" s="306"/>
      <c r="C216" s="323"/>
      <c r="D216" s="323"/>
      <c r="E216" s="323"/>
      <c r="F216" s="323"/>
      <c r="G216" s="323"/>
      <c r="H216" s="323"/>
      <c r="I216" s="323"/>
      <c r="J216" s="323"/>
      <c r="K216" s="306"/>
      <c r="L216" s="323"/>
      <c r="M216" s="323"/>
      <c r="N216" s="323"/>
      <c r="O216" s="323"/>
      <c r="P216" s="323"/>
      <c r="Q216" s="323"/>
      <c r="R216" s="323"/>
      <c r="S216" s="323"/>
      <c r="T216" s="323"/>
      <c r="U216" s="323"/>
      <c r="V216" s="323"/>
      <c r="W216" s="306"/>
      <c r="X216" s="306"/>
      <c r="Y216" s="306"/>
      <c r="Z216" s="306"/>
      <c r="AA216" s="306"/>
      <c r="AB216" s="306"/>
      <c r="AC216" s="306"/>
      <c r="AD216" s="306"/>
      <c r="AE216" s="306"/>
      <c r="AF216" s="306"/>
      <c r="AG216" s="306"/>
    </row>
    <row r="217" spans="1:33">
      <c r="A217" s="306"/>
      <c r="B217" s="306"/>
      <c r="C217" s="323"/>
      <c r="D217" s="323"/>
      <c r="E217" s="323"/>
      <c r="F217" s="323"/>
      <c r="G217" s="323"/>
      <c r="H217" s="323"/>
      <c r="I217" s="323"/>
      <c r="J217" s="323"/>
      <c r="K217" s="306"/>
      <c r="L217" s="323"/>
      <c r="M217" s="323"/>
      <c r="N217" s="323"/>
      <c r="O217" s="323"/>
      <c r="P217" s="323"/>
      <c r="Q217" s="323"/>
      <c r="R217" s="323"/>
      <c r="S217" s="323"/>
      <c r="T217" s="323"/>
      <c r="U217" s="323"/>
      <c r="V217" s="323"/>
      <c r="W217" s="306"/>
      <c r="X217" s="306"/>
      <c r="Y217" s="306"/>
      <c r="Z217" s="306"/>
      <c r="AA217" s="306"/>
      <c r="AB217" s="306"/>
      <c r="AC217" s="306"/>
      <c r="AD217" s="306"/>
      <c r="AE217" s="306"/>
      <c r="AF217" s="306"/>
      <c r="AG217" s="306"/>
    </row>
    <row r="218" spans="1:33">
      <c r="A218" s="306"/>
      <c r="B218" s="306"/>
      <c r="C218" s="323"/>
      <c r="D218" s="323"/>
      <c r="E218" s="323"/>
      <c r="F218" s="323"/>
      <c r="G218" s="323"/>
      <c r="H218" s="323"/>
      <c r="I218" s="323"/>
      <c r="J218" s="323"/>
      <c r="K218" s="306"/>
      <c r="L218" s="323"/>
      <c r="M218" s="323"/>
      <c r="N218" s="323"/>
      <c r="O218" s="323"/>
      <c r="P218" s="323"/>
      <c r="Q218" s="323"/>
      <c r="R218" s="323"/>
      <c r="S218" s="323"/>
      <c r="T218" s="323"/>
      <c r="U218" s="323"/>
      <c r="V218" s="323"/>
      <c r="W218" s="306"/>
      <c r="X218" s="306"/>
      <c r="Y218" s="306"/>
      <c r="Z218" s="306"/>
      <c r="AA218" s="306"/>
      <c r="AB218" s="306"/>
      <c r="AC218" s="306"/>
      <c r="AD218" s="306"/>
      <c r="AE218" s="306"/>
      <c r="AF218" s="306"/>
      <c r="AG218" s="306"/>
    </row>
    <row r="219" spans="1:33">
      <c r="A219" s="306"/>
      <c r="B219" s="306"/>
      <c r="C219" s="323"/>
      <c r="D219" s="323"/>
      <c r="E219" s="323"/>
      <c r="F219" s="323"/>
      <c r="G219" s="323"/>
      <c r="H219" s="323"/>
      <c r="I219" s="323"/>
      <c r="J219" s="323"/>
      <c r="K219" s="306"/>
      <c r="L219" s="323"/>
      <c r="M219" s="323"/>
      <c r="N219" s="323"/>
      <c r="O219" s="323"/>
      <c r="P219" s="323"/>
      <c r="Q219" s="323"/>
      <c r="R219" s="323"/>
      <c r="S219" s="323"/>
      <c r="T219" s="323"/>
      <c r="U219" s="323"/>
      <c r="V219" s="323"/>
      <c r="W219" s="306"/>
      <c r="X219" s="306"/>
      <c r="Y219" s="306"/>
      <c r="Z219" s="306"/>
      <c r="AA219" s="306"/>
      <c r="AB219" s="306"/>
      <c r="AC219" s="306"/>
      <c r="AD219" s="306"/>
      <c r="AE219" s="306"/>
      <c r="AF219" s="306"/>
      <c r="AG219" s="306"/>
    </row>
    <row r="220" spans="1:33">
      <c r="A220" s="306"/>
      <c r="B220" s="306"/>
      <c r="C220" s="323"/>
      <c r="D220" s="323"/>
      <c r="E220" s="323"/>
      <c r="F220" s="323"/>
      <c r="G220" s="323"/>
      <c r="H220" s="323"/>
      <c r="I220" s="323"/>
      <c r="J220" s="323"/>
      <c r="K220" s="306"/>
      <c r="L220" s="323"/>
      <c r="M220" s="323"/>
      <c r="N220" s="323"/>
      <c r="O220" s="323"/>
      <c r="P220" s="323"/>
      <c r="Q220" s="323"/>
      <c r="R220" s="323"/>
      <c r="S220" s="323"/>
      <c r="T220" s="323"/>
      <c r="U220" s="323"/>
      <c r="V220" s="323"/>
      <c r="W220" s="306"/>
      <c r="X220" s="306"/>
      <c r="Y220" s="306"/>
      <c r="Z220" s="306"/>
      <c r="AA220" s="306"/>
      <c r="AB220" s="306"/>
      <c r="AC220" s="306"/>
      <c r="AD220" s="306"/>
      <c r="AE220" s="306"/>
      <c r="AF220" s="306"/>
      <c r="AG220" s="306"/>
    </row>
    <row r="221" spans="1:33">
      <c r="A221" s="306"/>
      <c r="B221" s="306"/>
      <c r="C221" s="323"/>
      <c r="D221" s="323"/>
      <c r="E221" s="323"/>
      <c r="F221" s="323"/>
      <c r="G221" s="323"/>
      <c r="H221" s="323"/>
      <c r="I221" s="323"/>
      <c r="J221" s="323"/>
      <c r="K221" s="306"/>
      <c r="L221" s="323"/>
      <c r="M221" s="323"/>
      <c r="N221" s="323"/>
      <c r="O221" s="323"/>
      <c r="P221" s="323"/>
      <c r="Q221" s="323"/>
      <c r="R221" s="323"/>
      <c r="S221" s="323"/>
      <c r="T221" s="323"/>
      <c r="U221" s="323"/>
      <c r="V221" s="323"/>
      <c r="W221" s="306"/>
      <c r="X221" s="306"/>
      <c r="Y221" s="306"/>
      <c r="Z221" s="306"/>
      <c r="AA221" s="306"/>
      <c r="AB221" s="306"/>
      <c r="AC221" s="306"/>
      <c r="AD221" s="306"/>
      <c r="AE221" s="306"/>
      <c r="AF221" s="306"/>
      <c r="AG221" s="306"/>
    </row>
    <row r="222" spans="1:33">
      <c r="A222" s="306"/>
      <c r="B222" s="306"/>
      <c r="C222" s="323"/>
      <c r="D222" s="323"/>
      <c r="E222" s="323"/>
      <c r="F222" s="323"/>
      <c r="G222" s="323"/>
      <c r="H222" s="323"/>
      <c r="I222" s="323"/>
      <c r="J222" s="323"/>
      <c r="K222" s="306"/>
      <c r="L222" s="323"/>
      <c r="M222" s="323"/>
      <c r="N222" s="323"/>
      <c r="O222" s="323"/>
      <c r="P222" s="323"/>
      <c r="Q222" s="323"/>
      <c r="R222" s="323"/>
      <c r="S222" s="323"/>
      <c r="T222" s="323"/>
      <c r="U222" s="323"/>
      <c r="V222" s="323"/>
      <c r="W222" s="306"/>
      <c r="X222" s="306"/>
      <c r="Y222" s="306"/>
      <c r="Z222" s="306"/>
      <c r="AA222" s="306"/>
      <c r="AB222" s="306"/>
      <c r="AC222" s="306"/>
      <c r="AD222" s="306"/>
      <c r="AE222" s="306"/>
      <c r="AF222" s="306"/>
      <c r="AG222" s="306"/>
    </row>
    <row r="223" spans="1:33">
      <c r="A223" s="306"/>
      <c r="B223" s="306"/>
      <c r="C223" s="323"/>
      <c r="D223" s="323"/>
      <c r="E223" s="323"/>
      <c r="F223" s="323"/>
      <c r="G223" s="323"/>
      <c r="H223" s="323"/>
      <c r="I223" s="323"/>
      <c r="J223" s="323"/>
      <c r="K223" s="306"/>
      <c r="L223" s="323"/>
      <c r="M223" s="323"/>
      <c r="N223" s="323"/>
      <c r="O223" s="323"/>
      <c r="P223" s="323"/>
      <c r="Q223" s="323"/>
      <c r="R223" s="323"/>
      <c r="S223" s="323"/>
      <c r="T223" s="323"/>
      <c r="U223" s="323"/>
      <c r="V223" s="323"/>
      <c r="W223" s="306"/>
      <c r="X223" s="306"/>
      <c r="Y223" s="306"/>
      <c r="Z223" s="306"/>
      <c r="AA223" s="306"/>
      <c r="AB223" s="306"/>
      <c r="AC223" s="306"/>
      <c r="AD223" s="306"/>
      <c r="AE223" s="306"/>
      <c r="AF223" s="306"/>
      <c r="AG223" s="306"/>
    </row>
    <row r="224" spans="1:33">
      <c r="A224" s="306"/>
      <c r="B224" s="306"/>
      <c r="C224" s="323"/>
      <c r="D224" s="323"/>
      <c r="E224" s="323"/>
      <c r="F224" s="323"/>
      <c r="G224" s="323"/>
      <c r="H224" s="323"/>
      <c r="I224" s="323"/>
      <c r="J224" s="323"/>
      <c r="K224" s="306"/>
      <c r="L224" s="323"/>
      <c r="M224" s="323"/>
      <c r="N224" s="323"/>
      <c r="O224" s="323"/>
      <c r="P224" s="323"/>
      <c r="Q224" s="323"/>
      <c r="R224" s="323"/>
      <c r="S224" s="323"/>
      <c r="T224" s="323"/>
      <c r="U224" s="323"/>
      <c r="V224" s="323"/>
      <c r="W224" s="306"/>
      <c r="X224" s="306"/>
      <c r="Y224" s="306"/>
      <c r="Z224" s="306"/>
      <c r="AA224" s="306"/>
      <c r="AB224" s="306"/>
      <c r="AC224" s="306"/>
      <c r="AD224" s="306"/>
      <c r="AE224" s="306"/>
      <c r="AF224" s="306"/>
      <c r="AG224" s="306"/>
    </row>
    <row r="225" spans="1:33">
      <c r="A225" s="306"/>
      <c r="B225" s="306"/>
      <c r="C225" s="323"/>
      <c r="D225" s="323"/>
      <c r="E225" s="323"/>
      <c r="F225" s="323"/>
      <c r="G225" s="323"/>
      <c r="H225" s="323"/>
      <c r="I225" s="323"/>
      <c r="J225" s="323"/>
      <c r="K225" s="306"/>
      <c r="L225" s="323"/>
      <c r="M225" s="323"/>
      <c r="N225" s="323"/>
      <c r="O225" s="323"/>
      <c r="P225" s="323"/>
      <c r="Q225" s="323"/>
      <c r="R225" s="323"/>
      <c r="S225" s="323"/>
      <c r="T225" s="323"/>
      <c r="U225" s="323"/>
      <c r="V225" s="323"/>
      <c r="W225" s="306"/>
      <c r="X225" s="306"/>
      <c r="Y225" s="306"/>
      <c r="Z225" s="306"/>
      <c r="AA225" s="306"/>
      <c r="AB225" s="306"/>
      <c r="AC225" s="306"/>
      <c r="AD225" s="306"/>
      <c r="AE225" s="306"/>
      <c r="AF225" s="306"/>
      <c r="AG225" s="306"/>
    </row>
    <row r="226" spans="1:33">
      <c r="A226" s="306"/>
      <c r="B226" s="306"/>
      <c r="C226" s="323"/>
      <c r="D226" s="323"/>
      <c r="E226" s="323"/>
      <c r="F226" s="323"/>
      <c r="G226" s="323"/>
      <c r="H226" s="323"/>
      <c r="I226" s="323"/>
      <c r="J226" s="323"/>
      <c r="K226" s="306"/>
      <c r="L226" s="323"/>
      <c r="M226" s="323"/>
      <c r="N226" s="323"/>
      <c r="O226" s="323"/>
      <c r="P226" s="323"/>
      <c r="Q226" s="323"/>
      <c r="R226" s="323"/>
      <c r="S226" s="323"/>
      <c r="T226" s="323"/>
      <c r="U226" s="323"/>
      <c r="V226" s="323"/>
      <c r="W226" s="306"/>
      <c r="X226" s="306"/>
      <c r="Y226" s="306"/>
      <c r="Z226" s="306"/>
      <c r="AA226" s="306"/>
      <c r="AB226" s="306"/>
      <c r="AC226" s="306"/>
      <c r="AD226" s="306"/>
      <c r="AE226" s="306"/>
      <c r="AF226" s="306"/>
      <c r="AG226" s="306"/>
    </row>
    <row r="227" spans="1:33">
      <c r="A227" s="306"/>
      <c r="B227" s="306"/>
      <c r="C227" s="323"/>
      <c r="D227" s="323"/>
      <c r="E227" s="323"/>
      <c r="F227" s="323"/>
      <c r="G227" s="323"/>
      <c r="H227" s="323"/>
      <c r="I227" s="323"/>
      <c r="J227" s="323"/>
      <c r="K227" s="306"/>
      <c r="L227" s="323"/>
      <c r="M227" s="323"/>
      <c r="N227" s="323"/>
      <c r="O227" s="323"/>
      <c r="P227" s="323"/>
      <c r="Q227" s="323"/>
      <c r="R227" s="323"/>
      <c r="S227" s="323"/>
      <c r="T227" s="323"/>
      <c r="U227" s="323"/>
      <c r="V227" s="323"/>
      <c r="W227" s="306"/>
      <c r="X227" s="306"/>
      <c r="Y227" s="306"/>
      <c r="Z227" s="306"/>
      <c r="AA227" s="306"/>
      <c r="AB227" s="306"/>
      <c r="AC227" s="306"/>
      <c r="AD227" s="306"/>
      <c r="AE227" s="306"/>
      <c r="AF227" s="306"/>
      <c r="AG227" s="306"/>
    </row>
    <row r="228" spans="1:33">
      <c r="A228" s="306"/>
      <c r="B228" s="306"/>
      <c r="C228" s="323"/>
      <c r="D228" s="323"/>
      <c r="E228" s="323"/>
      <c r="F228" s="323"/>
      <c r="G228" s="323"/>
      <c r="H228" s="323"/>
      <c r="I228" s="323"/>
      <c r="J228" s="323"/>
      <c r="K228" s="306"/>
      <c r="L228" s="323"/>
      <c r="M228" s="323"/>
      <c r="N228" s="323"/>
      <c r="O228" s="323"/>
      <c r="P228" s="323"/>
      <c r="Q228" s="323"/>
      <c r="R228" s="323"/>
      <c r="S228" s="323"/>
      <c r="T228" s="323"/>
      <c r="U228" s="323"/>
      <c r="V228" s="323"/>
      <c r="W228" s="306"/>
      <c r="X228" s="306"/>
      <c r="Y228" s="306"/>
      <c r="Z228" s="306"/>
      <c r="AA228" s="306"/>
      <c r="AB228" s="306"/>
      <c r="AC228" s="306"/>
      <c r="AD228" s="306"/>
      <c r="AE228" s="306"/>
      <c r="AF228" s="306"/>
      <c r="AG228" s="306"/>
    </row>
    <row r="229" spans="1:33">
      <c r="A229" s="306"/>
      <c r="B229" s="306"/>
      <c r="C229" s="323"/>
      <c r="D229" s="323"/>
      <c r="E229" s="323"/>
      <c r="F229" s="323"/>
      <c r="G229" s="323"/>
      <c r="H229" s="323"/>
      <c r="I229" s="323"/>
      <c r="J229" s="323"/>
      <c r="K229" s="306"/>
      <c r="L229" s="323"/>
      <c r="M229" s="323"/>
      <c r="N229" s="323"/>
      <c r="O229" s="323"/>
      <c r="P229" s="323"/>
      <c r="Q229" s="323"/>
      <c r="R229" s="323"/>
      <c r="S229" s="323"/>
      <c r="T229" s="323"/>
      <c r="U229" s="323"/>
      <c r="V229" s="323"/>
      <c r="W229" s="306"/>
      <c r="X229" s="306"/>
      <c r="Y229" s="306"/>
      <c r="Z229" s="306"/>
      <c r="AA229" s="306"/>
      <c r="AB229" s="306"/>
      <c r="AC229" s="306"/>
      <c r="AD229" s="306"/>
      <c r="AE229" s="306"/>
      <c r="AF229" s="306"/>
      <c r="AG229" s="306"/>
    </row>
    <row r="230" spans="1:33">
      <c r="A230" s="306"/>
      <c r="B230" s="306"/>
      <c r="C230" s="323"/>
      <c r="D230" s="323"/>
      <c r="E230" s="323"/>
      <c r="F230" s="323"/>
      <c r="G230" s="323"/>
      <c r="H230" s="323"/>
      <c r="I230" s="323"/>
      <c r="J230" s="323"/>
      <c r="K230" s="306"/>
      <c r="L230" s="323"/>
      <c r="M230" s="323"/>
      <c r="N230" s="323"/>
      <c r="O230" s="323"/>
      <c r="P230" s="323"/>
      <c r="Q230" s="323"/>
      <c r="R230" s="323"/>
      <c r="S230" s="323"/>
      <c r="T230" s="323"/>
      <c r="U230" s="323"/>
      <c r="V230" s="323"/>
      <c r="W230" s="306"/>
      <c r="X230" s="306"/>
      <c r="Y230" s="306"/>
      <c r="Z230" s="306"/>
      <c r="AA230" s="306"/>
      <c r="AB230" s="306"/>
      <c r="AC230" s="306"/>
      <c r="AD230" s="306"/>
      <c r="AE230" s="306"/>
      <c r="AF230" s="306"/>
      <c r="AG230" s="306"/>
    </row>
    <row r="231" spans="1:33">
      <c r="A231" s="306"/>
      <c r="B231" s="306"/>
      <c r="C231" s="323"/>
      <c r="D231" s="323"/>
      <c r="E231" s="323"/>
      <c r="F231" s="323"/>
      <c r="G231" s="323"/>
      <c r="H231" s="323"/>
      <c r="I231" s="323"/>
      <c r="J231" s="323"/>
      <c r="K231" s="306"/>
      <c r="L231" s="323"/>
      <c r="M231" s="323"/>
      <c r="N231" s="323"/>
      <c r="O231" s="323"/>
      <c r="P231" s="323"/>
      <c r="Q231" s="323"/>
      <c r="R231" s="323"/>
      <c r="S231" s="323"/>
      <c r="T231" s="323"/>
      <c r="U231" s="323"/>
      <c r="V231" s="323"/>
      <c r="W231" s="306"/>
      <c r="X231" s="306"/>
      <c r="Y231" s="306"/>
      <c r="Z231" s="306"/>
      <c r="AA231" s="306"/>
      <c r="AB231" s="306"/>
      <c r="AC231" s="306"/>
      <c r="AD231" s="306"/>
      <c r="AE231" s="306"/>
      <c r="AF231" s="306"/>
      <c r="AG231" s="306"/>
    </row>
    <row r="232" spans="1:33">
      <c r="A232" s="306"/>
      <c r="B232" s="306"/>
      <c r="C232" s="323"/>
      <c r="D232" s="323"/>
      <c r="E232" s="323"/>
      <c r="F232" s="323"/>
      <c r="G232" s="323"/>
      <c r="H232" s="323"/>
      <c r="I232" s="323"/>
      <c r="J232" s="323"/>
      <c r="K232" s="306"/>
      <c r="L232" s="323"/>
      <c r="M232" s="323"/>
      <c r="N232" s="323"/>
      <c r="O232" s="323"/>
      <c r="P232" s="323"/>
      <c r="Q232" s="323"/>
      <c r="R232" s="323"/>
      <c r="S232" s="323"/>
      <c r="T232" s="323"/>
      <c r="U232" s="323"/>
      <c r="V232" s="323"/>
      <c r="W232" s="306"/>
      <c r="X232" s="306"/>
      <c r="Y232" s="306"/>
      <c r="Z232" s="306"/>
      <c r="AA232" s="306"/>
      <c r="AB232" s="306"/>
      <c r="AC232" s="306"/>
      <c r="AD232" s="306"/>
      <c r="AE232" s="306"/>
      <c r="AF232" s="306"/>
      <c r="AG232" s="306"/>
    </row>
    <row r="233" spans="1:33">
      <c r="A233" s="306"/>
      <c r="B233" s="306"/>
      <c r="C233" s="323"/>
      <c r="D233" s="323"/>
      <c r="E233" s="323"/>
      <c r="F233" s="323"/>
      <c r="G233" s="323"/>
      <c r="H233" s="323"/>
      <c r="I233" s="323"/>
      <c r="J233" s="323"/>
      <c r="K233" s="306"/>
      <c r="L233" s="323"/>
      <c r="M233" s="323"/>
      <c r="N233" s="323"/>
      <c r="O233" s="323"/>
      <c r="P233" s="323"/>
      <c r="Q233" s="323"/>
      <c r="R233" s="323"/>
      <c r="S233" s="323"/>
      <c r="T233" s="323"/>
      <c r="U233" s="323"/>
      <c r="V233" s="323"/>
      <c r="W233" s="306"/>
      <c r="X233" s="306"/>
      <c r="Y233" s="306"/>
      <c r="Z233" s="306"/>
      <c r="AA233" s="306"/>
      <c r="AB233" s="306"/>
      <c r="AC233" s="306"/>
      <c r="AD233" s="306"/>
      <c r="AE233" s="306"/>
      <c r="AF233" s="306"/>
      <c r="AG233" s="306"/>
    </row>
    <row r="234" spans="1:33">
      <c r="A234" s="306"/>
      <c r="B234" s="306"/>
      <c r="C234" s="323"/>
      <c r="D234" s="323"/>
      <c r="E234" s="323"/>
      <c r="F234" s="323"/>
      <c r="G234" s="323"/>
      <c r="H234" s="323"/>
      <c r="I234" s="323"/>
      <c r="J234" s="323"/>
      <c r="K234" s="306"/>
      <c r="L234" s="323"/>
      <c r="M234" s="323"/>
      <c r="N234" s="323"/>
      <c r="O234" s="323"/>
      <c r="P234" s="323"/>
      <c r="Q234" s="323"/>
      <c r="R234" s="323"/>
      <c r="S234" s="323"/>
      <c r="T234" s="323"/>
      <c r="U234" s="323"/>
      <c r="V234" s="323"/>
      <c r="W234" s="306"/>
      <c r="X234" s="306"/>
      <c r="Y234" s="306"/>
      <c r="Z234" s="306"/>
      <c r="AA234" s="306"/>
      <c r="AB234" s="306"/>
      <c r="AC234" s="306"/>
      <c r="AD234" s="306"/>
      <c r="AE234" s="306"/>
      <c r="AF234" s="306"/>
      <c r="AG234" s="306"/>
    </row>
    <row r="235" spans="1:33">
      <c r="A235" s="306"/>
      <c r="B235" s="306"/>
      <c r="C235" s="323"/>
      <c r="D235" s="323"/>
      <c r="E235" s="323"/>
      <c r="F235" s="323"/>
      <c r="G235" s="323"/>
      <c r="H235" s="323"/>
      <c r="I235" s="323"/>
      <c r="J235" s="323"/>
      <c r="K235" s="306"/>
      <c r="L235" s="323"/>
      <c r="M235" s="323"/>
      <c r="N235" s="323"/>
      <c r="O235" s="323"/>
      <c r="P235" s="323"/>
      <c r="Q235" s="323"/>
      <c r="R235" s="323"/>
      <c r="S235" s="323"/>
      <c r="T235" s="323"/>
      <c r="U235" s="323"/>
      <c r="V235" s="323"/>
      <c r="W235" s="306"/>
      <c r="X235" s="306"/>
      <c r="Y235" s="306"/>
      <c r="Z235" s="306"/>
      <c r="AA235" s="306"/>
      <c r="AB235" s="306"/>
      <c r="AC235" s="306"/>
      <c r="AD235" s="306"/>
      <c r="AE235" s="306"/>
      <c r="AF235" s="306"/>
      <c r="AG235" s="306"/>
    </row>
    <row r="236" spans="1:33">
      <c r="A236" s="306"/>
      <c r="B236" s="306"/>
      <c r="C236" s="323"/>
      <c r="D236" s="323"/>
      <c r="E236" s="323"/>
      <c r="F236" s="323"/>
      <c r="G236" s="323"/>
      <c r="H236" s="323"/>
      <c r="I236" s="323"/>
      <c r="J236" s="323"/>
      <c r="K236" s="306"/>
      <c r="L236" s="323"/>
      <c r="M236" s="323"/>
      <c r="N236" s="323"/>
      <c r="O236" s="323"/>
      <c r="P236" s="323"/>
      <c r="Q236" s="323"/>
      <c r="R236" s="323"/>
      <c r="S236" s="323"/>
      <c r="T236" s="323"/>
      <c r="U236" s="323"/>
      <c r="V236" s="323"/>
      <c r="W236" s="306"/>
      <c r="X236" s="306"/>
      <c r="Y236" s="306"/>
      <c r="Z236" s="306"/>
      <c r="AA236" s="306"/>
      <c r="AB236" s="306"/>
      <c r="AC236" s="306"/>
      <c r="AD236" s="306"/>
      <c r="AE236" s="306"/>
      <c r="AF236" s="306"/>
      <c r="AG236" s="306"/>
    </row>
    <row r="237" spans="1:33">
      <c r="A237" s="306"/>
      <c r="B237" s="306"/>
      <c r="C237" s="323"/>
      <c r="D237" s="323"/>
      <c r="E237" s="323"/>
      <c r="F237" s="323"/>
      <c r="G237" s="323"/>
      <c r="H237" s="323"/>
      <c r="I237" s="323"/>
      <c r="J237" s="323"/>
      <c r="K237" s="306"/>
      <c r="L237" s="323"/>
      <c r="M237" s="323"/>
      <c r="N237" s="323"/>
      <c r="O237" s="323"/>
      <c r="P237" s="323"/>
      <c r="Q237" s="323"/>
      <c r="R237" s="323"/>
      <c r="S237" s="323"/>
      <c r="T237" s="323"/>
      <c r="U237" s="323"/>
      <c r="V237" s="323"/>
      <c r="W237" s="306"/>
      <c r="X237" s="306"/>
      <c r="Y237" s="306"/>
      <c r="Z237" s="306"/>
      <c r="AA237" s="306"/>
      <c r="AB237" s="306"/>
      <c r="AC237" s="306"/>
      <c r="AD237" s="306"/>
      <c r="AE237" s="306"/>
      <c r="AF237" s="306"/>
      <c r="AG237" s="306"/>
    </row>
    <row r="238" spans="1:33">
      <c r="A238" s="306"/>
      <c r="B238" s="306"/>
      <c r="C238" s="323"/>
      <c r="D238" s="323"/>
      <c r="E238" s="323"/>
      <c r="F238" s="323"/>
      <c r="G238" s="323"/>
      <c r="H238" s="323"/>
      <c r="I238" s="323"/>
      <c r="J238" s="323"/>
      <c r="K238" s="306"/>
      <c r="L238" s="323"/>
      <c r="M238" s="323"/>
      <c r="N238" s="323"/>
      <c r="O238" s="323"/>
      <c r="P238" s="323"/>
      <c r="Q238" s="323"/>
      <c r="R238" s="323"/>
      <c r="S238" s="323"/>
      <c r="T238" s="323"/>
      <c r="U238" s="323"/>
      <c r="V238" s="323"/>
      <c r="W238" s="306"/>
      <c r="X238" s="306"/>
      <c r="Y238" s="306"/>
      <c r="Z238" s="306"/>
      <c r="AA238" s="306"/>
      <c r="AB238" s="306"/>
      <c r="AC238" s="306"/>
      <c r="AD238" s="306"/>
      <c r="AE238" s="306"/>
      <c r="AF238" s="306"/>
      <c r="AG238" s="306"/>
    </row>
    <row r="239" spans="1:33">
      <c r="A239" s="306"/>
      <c r="B239" s="306"/>
      <c r="C239" s="323"/>
      <c r="D239" s="323"/>
      <c r="E239" s="323"/>
      <c r="F239" s="323"/>
      <c r="G239" s="323"/>
      <c r="H239" s="323"/>
      <c r="I239" s="323"/>
      <c r="J239" s="323"/>
      <c r="K239" s="306"/>
      <c r="L239" s="323"/>
      <c r="M239" s="323"/>
      <c r="N239" s="323"/>
      <c r="O239" s="323"/>
      <c r="P239" s="323"/>
      <c r="Q239" s="323"/>
      <c r="R239" s="323"/>
      <c r="S239" s="323"/>
      <c r="T239" s="323"/>
      <c r="U239" s="323"/>
      <c r="V239" s="323"/>
      <c r="W239" s="306"/>
      <c r="X239" s="306"/>
      <c r="Y239" s="306"/>
      <c r="Z239" s="306"/>
      <c r="AA239" s="306"/>
      <c r="AB239" s="306"/>
      <c r="AC239" s="306"/>
      <c r="AD239" s="306"/>
      <c r="AE239" s="306"/>
      <c r="AF239" s="306"/>
      <c r="AG239" s="306"/>
    </row>
    <row r="240" spans="1:33">
      <c r="A240" s="306"/>
      <c r="B240" s="306"/>
      <c r="C240" s="323"/>
      <c r="D240" s="323"/>
      <c r="E240" s="323"/>
      <c r="F240" s="323"/>
      <c r="G240" s="323"/>
      <c r="H240" s="323"/>
      <c r="I240" s="323"/>
      <c r="J240" s="323"/>
      <c r="K240" s="306"/>
      <c r="L240" s="323"/>
      <c r="M240" s="323"/>
      <c r="N240" s="323"/>
      <c r="O240" s="323"/>
      <c r="P240" s="323"/>
      <c r="Q240" s="323"/>
      <c r="R240" s="323"/>
      <c r="S240" s="323"/>
      <c r="T240" s="323"/>
      <c r="U240" s="323"/>
      <c r="V240" s="323"/>
      <c r="W240" s="306"/>
      <c r="X240" s="306"/>
      <c r="Y240" s="306"/>
      <c r="Z240" s="306"/>
      <c r="AA240" s="306"/>
      <c r="AB240" s="306"/>
      <c r="AC240" s="306"/>
      <c r="AD240" s="306"/>
      <c r="AE240" s="306"/>
      <c r="AF240" s="306"/>
      <c r="AG240" s="306"/>
    </row>
    <row r="241" spans="1:33">
      <c r="A241" s="306"/>
      <c r="B241" s="306"/>
      <c r="C241" s="323"/>
      <c r="D241" s="323"/>
      <c r="E241" s="323"/>
      <c r="F241" s="323"/>
      <c r="G241" s="323"/>
      <c r="H241" s="323"/>
      <c r="I241" s="323"/>
      <c r="J241" s="323"/>
      <c r="K241" s="306"/>
      <c r="L241" s="323"/>
      <c r="M241" s="323"/>
      <c r="N241" s="323"/>
      <c r="O241" s="323"/>
      <c r="P241" s="323"/>
      <c r="Q241" s="323"/>
      <c r="R241" s="323"/>
      <c r="S241" s="323"/>
      <c r="T241" s="323"/>
      <c r="U241" s="323"/>
      <c r="V241" s="323"/>
      <c r="W241" s="306"/>
      <c r="X241" s="306"/>
      <c r="Y241" s="306"/>
      <c r="Z241" s="306"/>
      <c r="AA241" s="306"/>
      <c r="AB241" s="306"/>
      <c r="AC241" s="306"/>
      <c r="AD241" s="306"/>
      <c r="AE241" s="306"/>
      <c r="AF241" s="306"/>
      <c r="AG241" s="306"/>
    </row>
    <row r="242" spans="1:33">
      <c r="A242" s="306"/>
      <c r="B242" s="306"/>
      <c r="C242" s="323"/>
      <c r="D242" s="323"/>
      <c r="E242" s="323"/>
      <c r="F242" s="323"/>
      <c r="G242" s="323"/>
      <c r="H242" s="323"/>
      <c r="I242" s="323"/>
      <c r="J242" s="323"/>
      <c r="K242" s="306"/>
      <c r="L242" s="323"/>
      <c r="M242" s="323"/>
      <c r="N242" s="323"/>
      <c r="O242" s="323"/>
      <c r="P242" s="323"/>
      <c r="Q242" s="323"/>
      <c r="R242" s="323"/>
      <c r="S242" s="323"/>
      <c r="T242" s="323"/>
      <c r="U242" s="323"/>
      <c r="V242" s="323"/>
      <c r="W242" s="306"/>
      <c r="X242" s="306"/>
      <c r="Y242" s="306"/>
      <c r="Z242" s="306"/>
      <c r="AA242" s="306"/>
      <c r="AB242" s="306"/>
      <c r="AC242" s="306"/>
      <c r="AD242" s="306"/>
      <c r="AE242" s="306"/>
      <c r="AF242" s="306"/>
      <c r="AG242" s="306"/>
    </row>
    <row r="243" spans="1:33">
      <c r="A243" s="306"/>
      <c r="B243" s="306"/>
      <c r="C243" s="323"/>
      <c r="D243" s="323"/>
      <c r="E243" s="323"/>
      <c r="F243" s="323"/>
      <c r="G243" s="323"/>
      <c r="H243" s="323"/>
      <c r="I243" s="323"/>
      <c r="J243" s="323"/>
      <c r="K243" s="306"/>
      <c r="L243" s="323"/>
      <c r="M243" s="323"/>
      <c r="N243" s="323"/>
      <c r="O243" s="323"/>
      <c r="P243" s="323"/>
      <c r="Q243" s="323"/>
      <c r="R243" s="323"/>
      <c r="S243" s="323"/>
      <c r="T243" s="323"/>
      <c r="U243" s="323"/>
      <c r="V243" s="323"/>
      <c r="W243" s="306"/>
      <c r="X243" s="306"/>
      <c r="Y243" s="306"/>
      <c r="Z243" s="306"/>
      <c r="AA243" s="306"/>
      <c r="AB243" s="306"/>
      <c r="AC243" s="306"/>
      <c r="AD243" s="306"/>
      <c r="AE243" s="306"/>
      <c r="AF243" s="306"/>
      <c r="AG243" s="306"/>
    </row>
    <row r="244" spans="1:33">
      <c r="A244" s="306"/>
      <c r="B244" s="306"/>
      <c r="C244" s="323"/>
      <c r="D244" s="323"/>
      <c r="E244" s="323"/>
      <c r="F244" s="323"/>
      <c r="G244" s="323"/>
      <c r="H244" s="323"/>
      <c r="I244" s="323"/>
      <c r="J244" s="323"/>
      <c r="K244" s="306"/>
      <c r="L244" s="323"/>
      <c r="M244" s="323"/>
      <c r="N244" s="323"/>
      <c r="O244" s="323"/>
      <c r="P244" s="323"/>
      <c r="Q244" s="323"/>
      <c r="R244" s="323"/>
      <c r="S244" s="323"/>
      <c r="T244" s="323"/>
      <c r="U244" s="323"/>
      <c r="V244" s="323"/>
      <c r="W244" s="306"/>
      <c r="X244" s="306"/>
      <c r="Y244" s="306"/>
      <c r="Z244" s="306"/>
      <c r="AA244" s="306"/>
      <c r="AB244" s="306"/>
      <c r="AC244" s="306"/>
      <c r="AD244" s="306"/>
      <c r="AE244" s="306"/>
      <c r="AF244" s="306"/>
      <c r="AG244" s="306"/>
    </row>
    <row r="245" spans="1:33">
      <c r="A245" s="306"/>
      <c r="B245" s="306"/>
      <c r="C245" s="323"/>
      <c r="D245" s="323"/>
      <c r="E245" s="323"/>
      <c r="F245" s="323"/>
      <c r="G245" s="323"/>
      <c r="H245" s="323"/>
      <c r="I245" s="323"/>
      <c r="J245" s="323"/>
      <c r="K245" s="306"/>
      <c r="L245" s="323"/>
      <c r="M245" s="323"/>
      <c r="N245" s="323"/>
      <c r="O245" s="323"/>
      <c r="P245" s="323"/>
      <c r="Q245" s="323"/>
      <c r="R245" s="323"/>
      <c r="S245" s="323"/>
      <c r="T245" s="323"/>
      <c r="U245" s="323"/>
      <c r="V245" s="323"/>
      <c r="W245" s="306"/>
      <c r="X245" s="306"/>
      <c r="Y245" s="306"/>
      <c r="Z245" s="306"/>
      <c r="AA245" s="306"/>
      <c r="AB245" s="306"/>
      <c r="AC245" s="306"/>
      <c r="AD245" s="306"/>
      <c r="AE245" s="306"/>
      <c r="AF245" s="306"/>
      <c r="AG245" s="306"/>
    </row>
    <row r="246" spans="1:33">
      <c r="A246" s="306"/>
      <c r="B246" s="306"/>
      <c r="C246" s="323"/>
      <c r="D246" s="323"/>
      <c r="E246" s="323"/>
      <c r="F246" s="323"/>
      <c r="G246" s="323"/>
      <c r="H246" s="323"/>
      <c r="I246" s="323"/>
      <c r="J246" s="323"/>
      <c r="K246" s="306"/>
      <c r="L246" s="323"/>
      <c r="M246" s="323"/>
      <c r="N246" s="323"/>
      <c r="O246" s="323"/>
      <c r="P246" s="323"/>
      <c r="Q246" s="323"/>
      <c r="R246" s="323"/>
      <c r="S246" s="323"/>
      <c r="T246" s="323"/>
      <c r="U246" s="323"/>
      <c r="V246" s="323"/>
      <c r="W246" s="306"/>
      <c r="X246" s="306"/>
      <c r="Y246" s="306"/>
      <c r="Z246" s="306"/>
      <c r="AA246" s="306"/>
      <c r="AB246" s="306"/>
      <c r="AC246" s="306"/>
      <c r="AD246" s="306"/>
      <c r="AE246" s="306"/>
      <c r="AF246" s="306"/>
      <c r="AG246" s="306"/>
    </row>
    <row r="247" spans="1:33">
      <c r="A247" s="306"/>
      <c r="B247" s="306"/>
      <c r="C247" s="323"/>
      <c r="D247" s="323"/>
      <c r="E247" s="323"/>
      <c r="F247" s="323"/>
      <c r="G247" s="323"/>
      <c r="H247" s="323"/>
      <c r="I247" s="323"/>
      <c r="J247" s="323"/>
      <c r="K247" s="306"/>
      <c r="L247" s="323"/>
      <c r="M247" s="323"/>
      <c r="N247" s="323"/>
      <c r="O247" s="323"/>
      <c r="P247" s="323"/>
      <c r="Q247" s="323"/>
      <c r="R247" s="323"/>
      <c r="S247" s="323"/>
      <c r="T247" s="323"/>
      <c r="U247" s="323"/>
      <c r="V247" s="323"/>
      <c r="W247" s="306"/>
      <c r="X247" s="306"/>
      <c r="Y247" s="306"/>
      <c r="Z247" s="306"/>
      <c r="AA247" s="306"/>
      <c r="AB247" s="306"/>
      <c r="AC247" s="306"/>
      <c r="AD247" s="306"/>
      <c r="AE247" s="306"/>
      <c r="AF247" s="306"/>
      <c r="AG247" s="306"/>
    </row>
    <row r="248" spans="1:33">
      <c r="A248" s="306"/>
      <c r="B248" s="306"/>
      <c r="C248" s="323"/>
      <c r="D248" s="323"/>
      <c r="E248" s="323"/>
      <c r="F248" s="323"/>
      <c r="G248" s="323"/>
      <c r="H248" s="323"/>
      <c r="I248" s="323"/>
      <c r="J248" s="323"/>
      <c r="K248" s="306"/>
      <c r="L248" s="323"/>
      <c r="M248" s="323"/>
      <c r="N248" s="323"/>
      <c r="O248" s="323"/>
      <c r="P248" s="323"/>
      <c r="Q248" s="323"/>
      <c r="R248" s="323"/>
      <c r="S248" s="323"/>
      <c r="T248" s="323"/>
      <c r="U248" s="323"/>
      <c r="V248" s="323"/>
      <c r="W248" s="306"/>
      <c r="X248" s="306"/>
      <c r="Y248" s="306"/>
      <c r="Z248" s="306"/>
      <c r="AA248" s="306"/>
      <c r="AB248" s="306"/>
      <c r="AC248" s="306"/>
      <c r="AD248" s="306"/>
      <c r="AE248" s="306"/>
      <c r="AF248" s="306"/>
      <c r="AG248" s="306"/>
    </row>
    <row r="249" spans="1:33">
      <c r="A249" s="306"/>
      <c r="B249" s="306"/>
      <c r="C249" s="323"/>
      <c r="D249" s="323"/>
      <c r="E249" s="323"/>
      <c r="F249" s="323"/>
      <c r="G249" s="323"/>
      <c r="H249" s="323"/>
      <c r="I249" s="323"/>
      <c r="J249" s="323"/>
      <c r="K249" s="306"/>
      <c r="L249" s="323"/>
      <c r="M249" s="323"/>
      <c r="N249" s="323"/>
      <c r="O249" s="323"/>
      <c r="P249" s="323"/>
      <c r="Q249" s="323"/>
      <c r="R249" s="323"/>
      <c r="S249" s="323"/>
      <c r="T249" s="323"/>
      <c r="U249" s="323"/>
      <c r="V249" s="323"/>
      <c r="W249" s="306"/>
      <c r="X249" s="306"/>
      <c r="Y249" s="306"/>
      <c r="Z249" s="306"/>
      <c r="AA249" s="306"/>
      <c r="AB249" s="306"/>
      <c r="AC249" s="306"/>
      <c r="AD249" s="306"/>
      <c r="AE249" s="306"/>
      <c r="AF249" s="306"/>
      <c r="AG249" s="306"/>
    </row>
    <row r="250" spans="1:33">
      <c r="A250" s="306"/>
      <c r="B250" s="306"/>
      <c r="C250" s="323"/>
      <c r="D250" s="323"/>
      <c r="E250" s="323"/>
      <c r="F250" s="323"/>
      <c r="G250" s="323"/>
      <c r="H250" s="323"/>
      <c r="I250" s="323"/>
      <c r="J250" s="323"/>
      <c r="K250" s="306"/>
      <c r="L250" s="323"/>
      <c r="M250" s="323"/>
      <c r="N250" s="323"/>
      <c r="O250" s="323"/>
      <c r="P250" s="323"/>
      <c r="Q250" s="323"/>
      <c r="R250" s="323"/>
      <c r="S250" s="323"/>
      <c r="T250" s="323"/>
      <c r="U250" s="323"/>
      <c r="V250" s="323"/>
      <c r="W250" s="306"/>
      <c r="X250" s="306"/>
      <c r="Y250" s="306"/>
      <c r="Z250" s="306"/>
      <c r="AA250" s="306"/>
      <c r="AB250" s="306"/>
      <c r="AC250" s="306"/>
      <c r="AD250" s="306"/>
      <c r="AE250" s="306"/>
      <c r="AF250" s="306"/>
      <c r="AG250" s="306"/>
    </row>
    <row r="251" spans="1:33">
      <c r="A251" s="306"/>
      <c r="B251" s="306"/>
      <c r="C251" s="323"/>
      <c r="D251" s="323"/>
      <c r="E251" s="323"/>
      <c r="F251" s="323"/>
      <c r="G251" s="323"/>
      <c r="H251" s="323"/>
      <c r="I251" s="323"/>
      <c r="J251" s="323"/>
      <c r="K251" s="306"/>
      <c r="L251" s="323"/>
      <c r="M251" s="323"/>
      <c r="N251" s="323"/>
      <c r="O251" s="323"/>
      <c r="P251" s="323"/>
      <c r="Q251" s="323"/>
      <c r="R251" s="323"/>
      <c r="S251" s="323"/>
      <c r="T251" s="323"/>
      <c r="U251" s="323"/>
      <c r="V251" s="323"/>
      <c r="W251" s="306"/>
      <c r="X251" s="306"/>
      <c r="Y251" s="306"/>
      <c r="Z251" s="306"/>
      <c r="AA251" s="306"/>
      <c r="AB251" s="306"/>
      <c r="AC251" s="306"/>
      <c r="AD251" s="306"/>
      <c r="AE251" s="306"/>
      <c r="AF251" s="306"/>
      <c r="AG251" s="306"/>
    </row>
    <row r="252" spans="1:33">
      <c r="A252" s="306"/>
      <c r="B252" s="306"/>
      <c r="C252" s="323"/>
      <c r="D252" s="323"/>
      <c r="E252" s="323"/>
      <c r="F252" s="323"/>
      <c r="G252" s="323"/>
      <c r="H252" s="323"/>
      <c r="I252" s="323"/>
      <c r="J252" s="323"/>
      <c r="K252" s="306"/>
      <c r="L252" s="323"/>
      <c r="M252" s="323"/>
      <c r="N252" s="323"/>
      <c r="O252" s="323"/>
      <c r="P252" s="323"/>
      <c r="Q252" s="323"/>
      <c r="R252" s="323"/>
      <c r="S252" s="323"/>
      <c r="T252" s="323"/>
      <c r="U252" s="323"/>
      <c r="V252" s="323"/>
      <c r="W252" s="306"/>
      <c r="X252" s="306"/>
      <c r="Y252" s="306"/>
      <c r="Z252" s="306"/>
      <c r="AA252" s="306"/>
      <c r="AB252" s="306"/>
      <c r="AC252" s="306"/>
      <c r="AD252" s="306"/>
      <c r="AE252" s="306"/>
      <c r="AF252" s="306"/>
      <c r="AG252" s="306"/>
    </row>
    <row r="253" spans="1:33">
      <c r="A253" s="306"/>
      <c r="B253" s="306"/>
      <c r="C253" s="323"/>
      <c r="D253" s="323"/>
      <c r="E253" s="323"/>
      <c r="F253" s="323"/>
      <c r="G253" s="323"/>
      <c r="H253" s="323"/>
      <c r="I253" s="323"/>
      <c r="J253" s="323"/>
      <c r="K253" s="306"/>
      <c r="L253" s="323"/>
      <c r="M253" s="323"/>
      <c r="N253" s="323"/>
      <c r="O253" s="323"/>
      <c r="P253" s="323"/>
      <c r="Q253" s="323"/>
      <c r="R253" s="323"/>
      <c r="S253" s="323"/>
      <c r="T253" s="323"/>
      <c r="U253" s="323"/>
      <c r="V253" s="323"/>
      <c r="W253" s="306"/>
      <c r="X253" s="306"/>
      <c r="Y253" s="306"/>
      <c r="Z253" s="306"/>
      <c r="AA253" s="306"/>
      <c r="AB253" s="306"/>
      <c r="AC253" s="306"/>
      <c r="AD253" s="306"/>
      <c r="AE253" s="306"/>
      <c r="AF253" s="306"/>
      <c r="AG253" s="306"/>
    </row>
    <row r="254" spans="1:33">
      <c r="A254" s="306"/>
      <c r="B254" s="306"/>
      <c r="C254" s="323"/>
      <c r="D254" s="323"/>
      <c r="E254" s="323"/>
      <c r="F254" s="323"/>
      <c r="G254" s="323"/>
      <c r="H254" s="323"/>
      <c r="I254" s="323"/>
      <c r="J254" s="323"/>
      <c r="K254" s="306"/>
      <c r="L254" s="323"/>
      <c r="M254" s="323"/>
      <c r="N254" s="323"/>
      <c r="O254" s="323"/>
      <c r="P254" s="323"/>
      <c r="Q254" s="323"/>
      <c r="R254" s="323"/>
      <c r="S254" s="323"/>
      <c r="T254" s="323"/>
      <c r="U254" s="323"/>
      <c r="V254" s="323"/>
      <c r="W254" s="306"/>
      <c r="X254" s="306"/>
      <c r="Y254" s="306"/>
      <c r="Z254" s="306"/>
      <c r="AA254" s="306"/>
      <c r="AB254" s="306"/>
      <c r="AC254" s="306"/>
      <c r="AD254" s="306"/>
      <c r="AE254" s="306"/>
      <c r="AF254" s="306"/>
      <c r="AG254" s="306"/>
    </row>
    <row r="255" spans="1:33">
      <c r="A255" s="306"/>
      <c r="B255" s="306"/>
      <c r="C255" s="323"/>
      <c r="D255" s="323"/>
      <c r="E255" s="323"/>
      <c r="F255" s="323"/>
      <c r="G255" s="323"/>
      <c r="H255" s="323"/>
      <c r="I255" s="323"/>
      <c r="J255" s="323"/>
      <c r="K255" s="306"/>
      <c r="L255" s="323"/>
      <c r="M255" s="323"/>
      <c r="N255" s="323"/>
      <c r="O255" s="323"/>
      <c r="P255" s="323"/>
      <c r="Q255" s="323"/>
      <c r="R255" s="323"/>
      <c r="S255" s="323"/>
      <c r="T255" s="323"/>
      <c r="U255" s="323"/>
      <c r="V255" s="323"/>
      <c r="W255" s="306"/>
      <c r="X255" s="306"/>
      <c r="Y255" s="306"/>
      <c r="Z255" s="306"/>
      <c r="AA255" s="306"/>
      <c r="AB255" s="306"/>
      <c r="AC255" s="306"/>
      <c r="AD255" s="306"/>
      <c r="AE255" s="306"/>
      <c r="AF255" s="306"/>
      <c r="AG255" s="306"/>
    </row>
    <row r="256" spans="1:33">
      <c r="A256" s="306"/>
      <c r="B256" s="306"/>
      <c r="C256" s="323"/>
      <c r="D256" s="323"/>
      <c r="E256" s="323"/>
      <c r="F256" s="323"/>
      <c r="G256" s="323"/>
      <c r="H256" s="323"/>
      <c r="I256" s="323"/>
      <c r="J256" s="323"/>
      <c r="K256" s="306"/>
      <c r="L256" s="323"/>
      <c r="M256" s="323"/>
      <c r="N256" s="323"/>
      <c r="O256" s="323"/>
      <c r="P256" s="323"/>
      <c r="Q256" s="323"/>
      <c r="R256" s="323"/>
      <c r="S256" s="323"/>
      <c r="T256" s="323"/>
      <c r="U256" s="323"/>
      <c r="V256" s="323"/>
      <c r="W256" s="306"/>
      <c r="X256" s="306"/>
      <c r="Y256" s="306"/>
      <c r="Z256" s="306"/>
      <c r="AA256" s="306"/>
      <c r="AB256" s="306"/>
      <c r="AC256" s="306"/>
      <c r="AD256" s="306"/>
      <c r="AE256" s="306"/>
      <c r="AF256" s="306"/>
      <c r="AG256" s="306"/>
    </row>
    <row r="257" spans="1:33">
      <c r="A257" s="306"/>
      <c r="B257" s="306"/>
      <c r="C257" s="323"/>
      <c r="D257" s="323"/>
      <c r="E257" s="323"/>
      <c r="F257" s="323"/>
      <c r="G257" s="323"/>
      <c r="H257" s="323"/>
      <c r="I257" s="323"/>
      <c r="J257" s="323"/>
      <c r="K257" s="306"/>
      <c r="L257" s="323"/>
      <c r="M257" s="323"/>
      <c r="N257" s="323"/>
      <c r="O257" s="323"/>
      <c r="P257" s="323"/>
      <c r="Q257" s="323"/>
      <c r="R257" s="323"/>
      <c r="S257" s="323"/>
      <c r="T257" s="323"/>
      <c r="U257" s="323"/>
      <c r="V257" s="323"/>
      <c r="W257" s="306"/>
      <c r="X257" s="306"/>
      <c r="Y257" s="306"/>
      <c r="Z257" s="306"/>
      <c r="AA257" s="306"/>
      <c r="AB257" s="306"/>
      <c r="AC257" s="306"/>
      <c r="AD257" s="306"/>
      <c r="AE257" s="306"/>
      <c r="AF257" s="306"/>
      <c r="AG257" s="306"/>
    </row>
    <row r="258" spans="1:33">
      <c r="A258" s="306"/>
      <c r="B258" s="306"/>
      <c r="C258" s="323"/>
      <c r="D258" s="323"/>
      <c r="E258" s="323"/>
      <c r="F258" s="323"/>
      <c r="G258" s="323"/>
      <c r="H258" s="323"/>
      <c r="I258" s="323"/>
      <c r="J258" s="323"/>
      <c r="K258" s="306"/>
      <c r="L258" s="323"/>
      <c r="M258" s="323"/>
      <c r="N258" s="323"/>
      <c r="O258" s="323"/>
      <c r="P258" s="323"/>
      <c r="Q258" s="323"/>
      <c r="R258" s="323"/>
      <c r="S258" s="323"/>
      <c r="T258" s="323"/>
      <c r="U258" s="323"/>
      <c r="V258" s="323"/>
      <c r="W258" s="306"/>
      <c r="X258" s="306"/>
      <c r="Y258" s="306"/>
      <c r="Z258" s="306"/>
      <c r="AA258" s="306"/>
      <c r="AB258" s="306"/>
      <c r="AC258" s="306"/>
      <c r="AD258" s="306"/>
      <c r="AE258" s="306"/>
      <c r="AF258" s="306"/>
      <c r="AG258" s="306"/>
    </row>
    <row r="259" spans="1:33">
      <c r="A259" s="306"/>
      <c r="B259" s="306"/>
      <c r="C259" s="323"/>
      <c r="D259" s="323"/>
      <c r="E259" s="323"/>
      <c r="F259" s="323"/>
      <c r="G259" s="323"/>
      <c r="H259" s="323"/>
      <c r="I259" s="323"/>
      <c r="J259" s="323"/>
      <c r="K259" s="306"/>
      <c r="L259" s="323"/>
      <c r="M259" s="323"/>
      <c r="N259" s="323"/>
      <c r="O259" s="323"/>
      <c r="P259" s="323"/>
      <c r="Q259" s="323"/>
      <c r="R259" s="323"/>
      <c r="S259" s="323"/>
      <c r="T259" s="323"/>
      <c r="U259" s="323"/>
      <c r="V259" s="323"/>
      <c r="W259" s="306"/>
      <c r="X259" s="306"/>
      <c r="Y259" s="306"/>
      <c r="Z259" s="306"/>
      <c r="AA259" s="306"/>
      <c r="AB259" s="306"/>
      <c r="AC259" s="306"/>
      <c r="AD259" s="306"/>
      <c r="AE259" s="306"/>
      <c r="AF259" s="306"/>
      <c r="AG259" s="306"/>
    </row>
    <row r="260" spans="1:33">
      <c r="A260" s="306"/>
      <c r="B260" s="306"/>
      <c r="C260" s="323"/>
      <c r="D260" s="323"/>
      <c r="E260" s="323"/>
      <c r="F260" s="323"/>
      <c r="G260" s="323"/>
      <c r="H260" s="323"/>
      <c r="I260" s="323"/>
      <c r="J260" s="323"/>
      <c r="K260" s="306"/>
      <c r="L260" s="323"/>
      <c r="M260" s="323"/>
      <c r="N260" s="323"/>
      <c r="O260" s="323"/>
      <c r="P260" s="323"/>
      <c r="Q260" s="323"/>
      <c r="R260" s="323"/>
      <c r="S260" s="323"/>
      <c r="T260" s="323"/>
      <c r="U260" s="323"/>
      <c r="V260" s="323"/>
      <c r="W260" s="306"/>
      <c r="X260" s="306"/>
      <c r="Y260" s="306"/>
      <c r="Z260" s="306"/>
      <c r="AA260" s="306"/>
      <c r="AB260" s="306"/>
      <c r="AC260" s="306"/>
      <c r="AD260" s="306"/>
      <c r="AE260" s="306"/>
      <c r="AF260" s="306"/>
      <c r="AG260" s="306"/>
    </row>
    <row r="261" spans="1:33">
      <c r="A261" s="306"/>
      <c r="B261" s="306"/>
      <c r="C261" s="323"/>
      <c r="D261" s="323"/>
      <c r="E261" s="323"/>
      <c r="F261" s="323"/>
      <c r="G261" s="323"/>
      <c r="H261" s="323"/>
      <c r="I261" s="323"/>
      <c r="J261" s="323"/>
      <c r="K261" s="306"/>
      <c r="L261" s="323"/>
      <c r="M261" s="323"/>
      <c r="N261" s="323"/>
      <c r="O261" s="323"/>
      <c r="P261" s="323"/>
      <c r="Q261" s="323"/>
      <c r="R261" s="323"/>
      <c r="S261" s="323"/>
      <c r="T261" s="323"/>
      <c r="U261" s="323"/>
      <c r="V261" s="323"/>
      <c r="W261" s="306"/>
      <c r="X261" s="306"/>
      <c r="Y261" s="306"/>
      <c r="Z261" s="306"/>
      <c r="AA261" s="306"/>
      <c r="AB261" s="306"/>
      <c r="AC261" s="306"/>
      <c r="AD261" s="306"/>
      <c r="AE261" s="306"/>
      <c r="AF261" s="306"/>
      <c r="AG261" s="306"/>
    </row>
    <row r="262" spans="1:33">
      <c r="A262" s="306"/>
      <c r="B262" s="306"/>
      <c r="C262" s="323"/>
      <c r="D262" s="323"/>
      <c r="E262" s="323"/>
      <c r="F262" s="323"/>
      <c r="G262" s="323"/>
      <c r="H262" s="323"/>
      <c r="I262" s="323"/>
      <c r="J262" s="323"/>
      <c r="K262" s="306"/>
      <c r="L262" s="323"/>
      <c r="M262" s="323"/>
      <c r="N262" s="323"/>
      <c r="O262" s="323"/>
      <c r="P262" s="323"/>
      <c r="Q262" s="323"/>
      <c r="R262" s="323"/>
      <c r="S262" s="323"/>
      <c r="T262" s="323"/>
      <c r="U262" s="323"/>
      <c r="V262" s="323"/>
      <c r="W262" s="306"/>
      <c r="X262" s="306"/>
      <c r="Y262" s="306"/>
      <c r="Z262" s="306"/>
      <c r="AA262" s="306"/>
      <c r="AB262" s="306"/>
      <c r="AC262" s="306"/>
      <c r="AD262" s="306"/>
      <c r="AE262" s="306"/>
      <c r="AF262" s="306"/>
      <c r="AG262" s="306"/>
    </row>
    <row r="263" spans="1:33">
      <c r="A263" s="306"/>
      <c r="B263" s="306"/>
      <c r="C263" s="323"/>
      <c r="D263" s="323"/>
      <c r="E263" s="323"/>
      <c r="F263" s="323"/>
      <c r="G263" s="323"/>
      <c r="H263" s="323"/>
      <c r="I263" s="323"/>
      <c r="J263" s="323"/>
      <c r="K263" s="306"/>
      <c r="L263" s="323"/>
      <c r="M263" s="323"/>
      <c r="N263" s="323"/>
      <c r="O263" s="323"/>
      <c r="P263" s="323"/>
      <c r="Q263" s="323"/>
      <c r="R263" s="323"/>
      <c r="S263" s="323"/>
      <c r="T263" s="323"/>
      <c r="U263" s="323"/>
      <c r="V263" s="323"/>
      <c r="W263" s="306"/>
      <c r="X263" s="306"/>
      <c r="Y263" s="306"/>
      <c r="Z263" s="306"/>
      <c r="AA263" s="306"/>
      <c r="AB263" s="306"/>
      <c r="AC263" s="306"/>
      <c r="AD263" s="306"/>
      <c r="AE263" s="306"/>
      <c r="AF263" s="306"/>
      <c r="AG263" s="306"/>
    </row>
    <row r="264" spans="1:33">
      <c r="A264" s="306"/>
      <c r="B264" s="306"/>
      <c r="C264" s="323"/>
      <c r="D264" s="323"/>
      <c r="E264" s="323"/>
      <c r="F264" s="323"/>
      <c r="G264" s="323"/>
      <c r="H264" s="323"/>
      <c r="I264" s="323"/>
      <c r="J264" s="323"/>
      <c r="K264" s="306"/>
      <c r="L264" s="323"/>
      <c r="M264" s="323"/>
      <c r="N264" s="323"/>
      <c r="O264" s="323"/>
      <c r="P264" s="323"/>
      <c r="Q264" s="323"/>
      <c r="R264" s="323"/>
      <c r="S264" s="323"/>
      <c r="T264" s="323"/>
      <c r="U264" s="323"/>
      <c r="V264" s="323"/>
      <c r="W264" s="306"/>
      <c r="X264" s="306"/>
      <c r="Y264" s="306"/>
      <c r="Z264" s="306"/>
      <c r="AA264" s="306"/>
      <c r="AB264" s="306"/>
      <c r="AC264" s="306"/>
      <c r="AD264" s="306"/>
      <c r="AE264" s="306"/>
      <c r="AF264" s="306"/>
      <c r="AG264" s="306"/>
    </row>
    <row r="265" spans="1:33">
      <c r="A265" s="306"/>
      <c r="B265" s="306"/>
      <c r="C265" s="323"/>
      <c r="D265" s="323"/>
      <c r="E265" s="323"/>
      <c r="F265" s="323"/>
      <c r="G265" s="323"/>
      <c r="H265" s="323"/>
      <c r="I265" s="323"/>
      <c r="J265" s="323"/>
      <c r="K265" s="306"/>
      <c r="L265" s="323"/>
      <c r="M265" s="323"/>
      <c r="N265" s="323"/>
      <c r="O265" s="323"/>
      <c r="P265" s="323"/>
      <c r="Q265" s="323"/>
      <c r="R265" s="323"/>
      <c r="S265" s="323"/>
      <c r="T265" s="323"/>
      <c r="U265" s="323"/>
      <c r="V265" s="323"/>
      <c r="W265" s="306"/>
      <c r="X265" s="306"/>
      <c r="Y265" s="306"/>
      <c r="Z265" s="306"/>
      <c r="AA265" s="306"/>
      <c r="AB265" s="306"/>
      <c r="AC265" s="306"/>
      <c r="AD265" s="306"/>
      <c r="AE265" s="306"/>
      <c r="AF265" s="306"/>
      <c r="AG265" s="306"/>
    </row>
    <row r="266" spans="1:33">
      <c r="A266" s="306"/>
      <c r="B266" s="306"/>
      <c r="C266" s="323"/>
      <c r="D266" s="323"/>
      <c r="E266" s="323"/>
      <c r="F266" s="323"/>
      <c r="G266" s="323"/>
      <c r="H266" s="323"/>
      <c r="I266" s="323"/>
      <c r="J266" s="323"/>
      <c r="K266" s="306"/>
      <c r="L266" s="323"/>
      <c r="M266" s="323"/>
      <c r="N266" s="323"/>
      <c r="O266" s="323"/>
      <c r="P266" s="323"/>
      <c r="Q266" s="323"/>
      <c r="R266" s="323"/>
      <c r="S266" s="323"/>
      <c r="T266" s="323"/>
      <c r="U266" s="323"/>
      <c r="V266" s="323"/>
      <c r="W266" s="306"/>
      <c r="X266" s="306"/>
      <c r="Y266" s="306"/>
      <c r="Z266" s="306"/>
      <c r="AA266" s="306"/>
      <c r="AB266" s="306"/>
      <c r="AC266" s="306"/>
      <c r="AD266" s="306"/>
      <c r="AE266" s="306"/>
      <c r="AF266" s="306"/>
      <c r="AG266" s="306"/>
    </row>
    <row r="267" spans="1:33">
      <c r="A267" s="306"/>
      <c r="B267" s="306"/>
      <c r="C267" s="323"/>
      <c r="D267" s="323"/>
      <c r="E267" s="323"/>
      <c r="F267" s="323"/>
      <c r="G267" s="323"/>
      <c r="H267" s="323"/>
      <c r="I267" s="323"/>
      <c r="J267" s="323"/>
      <c r="K267" s="306"/>
      <c r="L267" s="323"/>
      <c r="M267" s="323"/>
      <c r="N267" s="323"/>
      <c r="O267" s="323"/>
      <c r="P267" s="323"/>
      <c r="Q267" s="323"/>
      <c r="R267" s="323"/>
      <c r="S267" s="323"/>
      <c r="T267" s="323"/>
      <c r="U267" s="323"/>
      <c r="V267" s="323"/>
      <c r="W267" s="306"/>
      <c r="X267" s="306"/>
      <c r="Y267" s="306"/>
      <c r="Z267" s="306"/>
      <c r="AA267" s="306"/>
      <c r="AB267" s="306"/>
      <c r="AC267" s="306"/>
      <c r="AD267" s="306"/>
      <c r="AE267" s="306"/>
      <c r="AF267" s="306"/>
      <c r="AG267" s="306"/>
    </row>
    <row r="268" spans="1:33">
      <c r="A268" s="306"/>
      <c r="B268" s="306"/>
      <c r="C268" s="323"/>
      <c r="D268" s="323"/>
      <c r="E268" s="323"/>
      <c r="F268" s="323"/>
      <c r="G268" s="323"/>
      <c r="H268" s="323"/>
      <c r="I268" s="323"/>
      <c r="J268" s="323"/>
      <c r="K268" s="306"/>
      <c r="L268" s="323"/>
      <c r="M268" s="323"/>
      <c r="N268" s="323"/>
      <c r="O268" s="323"/>
      <c r="P268" s="323"/>
      <c r="Q268" s="323"/>
      <c r="R268" s="323"/>
      <c r="S268" s="323"/>
      <c r="T268" s="323"/>
      <c r="U268" s="323"/>
      <c r="V268" s="323"/>
      <c r="W268" s="306"/>
      <c r="X268" s="306"/>
      <c r="Y268" s="306"/>
      <c r="Z268" s="306"/>
      <c r="AA268" s="306"/>
      <c r="AB268" s="306"/>
      <c r="AC268" s="306"/>
      <c r="AD268" s="306"/>
      <c r="AE268" s="306"/>
      <c r="AF268" s="306"/>
      <c r="AG268" s="306"/>
    </row>
    <row r="269" spans="1:33">
      <c r="A269" s="306"/>
      <c r="B269" s="306"/>
      <c r="C269" s="323"/>
      <c r="D269" s="323"/>
      <c r="E269" s="323"/>
      <c r="F269" s="323"/>
      <c r="G269" s="323"/>
      <c r="H269" s="323"/>
      <c r="I269" s="323"/>
      <c r="J269" s="323"/>
      <c r="K269" s="306"/>
      <c r="L269" s="323"/>
      <c r="M269" s="323"/>
      <c r="N269" s="323"/>
      <c r="O269" s="323"/>
      <c r="P269" s="323"/>
      <c r="Q269" s="323"/>
      <c r="R269" s="323"/>
      <c r="S269" s="323"/>
      <c r="T269" s="323"/>
      <c r="U269" s="323"/>
      <c r="V269" s="323"/>
      <c r="W269" s="306"/>
      <c r="X269" s="306"/>
      <c r="Y269" s="306"/>
      <c r="Z269" s="306"/>
      <c r="AA269" s="306"/>
      <c r="AB269" s="306"/>
      <c r="AC269" s="306"/>
      <c r="AD269" s="306"/>
      <c r="AE269" s="306"/>
      <c r="AF269" s="306"/>
      <c r="AG269" s="306"/>
    </row>
    <row r="270" spans="1:33">
      <c r="A270" s="306"/>
      <c r="B270" s="306"/>
      <c r="C270" s="323"/>
      <c r="D270" s="323"/>
      <c r="E270" s="323"/>
      <c r="F270" s="323"/>
      <c r="G270" s="323"/>
      <c r="H270" s="323"/>
      <c r="I270" s="323"/>
      <c r="J270" s="323"/>
      <c r="K270" s="306"/>
      <c r="L270" s="323"/>
      <c r="M270" s="323"/>
      <c r="N270" s="323"/>
      <c r="O270" s="323"/>
      <c r="P270" s="323"/>
      <c r="Q270" s="323"/>
      <c r="R270" s="323"/>
      <c r="S270" s="323"/>
      <c r="T270" s="323"/>
      <c r="U270" s="323"/>
      <c r="V270" s="323"/>
      <c r="W270" s="306"/>
      <c r="X270" s="306"/>
      <c r="Y270" s="306"/>
      <c r="Z270" s="306"/>
      <c r="AA270" s="306"/>
      <c r="AB270" s="306"/>
      <c r="AC270" s="306"/>
      <c r="AD270" s="306"/>
      <c r="AE270" s="306"/>
      <c r="AF270" s="306"/>
      <c r="AG270" s="306"/>
    </row>
    <row r="271" spans="1:33">
      <c r="A271" s="306"/>
      <c r="B271" s="306"/>
      <c r="C271" s="323"/>
      <c r="D271" s="323"/>
      <c r="E271" s="323"/>
      <c r="F271" s="323"/>
      <c r="G271" s="323"/>
      <c r="H271" s="323"/>
      <c r="I271" s="323"/>
      <c r="J271" s="323"/>
      <c r="K271" s="306"/>
      <c r="L271" s="323"/>
      <c r="M271" s="323"/>
      <c r="N271" s="323"/>
      <c r="O271" s="323"/>
      <c r="P271" s="323"/>
      <c r="Q271" s="323"/>
      <c r="R271" s="323"/>
      <c r="S271" s="323"/>
      <c r="T271" s="323"/>
      <c r="U271" s="323"/>
      <c r="V271" s="323"/>
      <c r="W271" s="306"/>
      <c r="X271" s="306"/>
      <c r="Y271" s="306"/>
      <c r="Z271" s="306"/>
      <c r="AA271" s="306"/>
      <c r="AB271" s="306"/>
      <c r="AC271" s="306"/>
      <c r="AD271" s="306"/>
      <c r="AE271" s="306"/>
      <c r="AF271" s="306"/>
      <c r="AG271" s="306"/>
    </row>
    <row r="272" spans="1:33">
      <c r="A272" s="306"/>
      <c r="B272" s="306"/>
      <c r="C272" s="323"/>
      <c r="D272" s="323"/>
      <c r="E272" s="323"/>
      <c r="F272" s="323"/>
      <c r="G272" s="323"/>
      <c r="H272" s="323"/>
      <c r="I272" s="323"/>
      <c r="J272" s="323"/>
      <c r="K272" s="306"/>
      <c r="L272" s="323"/>
      <c r="M272" s="323"/>
      <c r="N272" s="323"/>
      <c r="O272" s="323"/>
      <c r="P272" s="323"/>
      <c r="Q272" s="323"/>
      <c r="R272" s="323"/>
      <c r="S272" s="323"/>
      <c r="T272" s="323"/>
      <c r="U272" s="323"/>
      <c r="V272" s="323"/>
      <c r="W272" s="306"/>
      <c r="X272" s="306"/>
      <c r="Y272" s="306"/>
      <c r="Z272" s="306"/>
      <c r="AA272" s="306"/>
      <c r="AB272" s="306"/>
      <c r="AC272" s="306"/>
      <c r="AD272" s="306"/>
      <c r="AE272" s="306"/>
      <c r="AF272" s="306"/>
      <c r="AG272" s="306"/>
    </row>
    <row r="273" spans="1:33">
      <c r="A273" s="306"/>
      <c r="B273" s="306"/>
      <c r="C273" s="323"/>
      <c r="D273" s="323"/>
      <c r="E273" s="323"/>
      <c r="F273" s="323"/>
      <c r="G273" s="323"/>
      <c r="H273" s="323"/>
      <c r="I273" s="323"/>
      <c r="J273" s="323"/>
      <c r="K273" s="306"/>
      <c r="L273" s="323"/>
      <c r="M273" s="323"/>
      <c r="N273" s="323"/>
      <c r="O273" s="323"/>
      <c r="P273" s="323"/>
      <c r="Q273" s="323"/>
      <c r="R273" s="323"/>
      <c r="S273" s="323"/>
      <c r="T273" s="323"/>
      <c r="U273" s="323"/>
      <c r="V273" s="323"/>
      <c r="W273" s="306"/>
      <c r="X273" s="306"/>
      <c r="Y273" s="306"/>
      <c r="Z273" s="306"/>
      <c r="AA273" s="306"/>
      <c r="AB273" s="306"/>
      <c r="AC273" s="306"/>
      <c r="AD273" s="306"/>
      <c r="AE273" s="306"/>
      <c r="AF273" s="306"/>
      <c r="AG273" s="306"/>
    </row>
    <row r="274" spans="1:33">
      <c r="A274" s="306"/>
      <c r="B274" s="306"/>
      <c r="C274" s="323"/>
      <c r="D274" s="323"/>
      <c r="E274" s="323"/>
      <c r="F274" s="323"/>
      <c r="G274" s="323"/>
      <c r="H274" s="323"/>
      <c r="I274" s="323"/>
      <c r="J274" s="323"/>
      <c r="K274" s="306"/>
      <c r="L274" s="323"/>
      <c r="M274" s="323"/>
      <c r="N274" s="323"/>
      <c r="O274" s="323"/>
      <c r="P274" s="323"/>
      <c r="Q274" s="323"/>
      <c r="R274" s="323"/>
      <c r="S274" s="323"/>
      <c r="T274" s="323"/>
      <c r="U274" s="323"/>
      <c r="V274" s="323"/>
      <c r="W274" s="306"/>
      <c r="X274" s="306"/>
      <c r="Y274" s="306"/>
      <c r="Z274" s="306"/>
      <c r="AA274" s="306"/>
      <c r="AB274" s="306"/>
      <c r="AC274" s="306"/>
      <c r="AD274" s="306"/>
      <c r="AE274" s="306"/>
      <c r="AF274" s="306"/>
      <c r="AG274" s="306"/>
    </row>
    <row r="275" spans="1:33">
      <c r="A275" s="306"/>
      <c r="B275" s="306"/>
      <c r="C275" s="323"/>
      <c r="D275" s="323"/>
      <c r="E275" s="323"/>
      <c r="F275" s="323"/>
      <c r="G275" s="323"/>
      <c r="H275" s="323"/>
      <c r="I275" s="323"/>
      <c r="J275" s="323"/>
      <c r="K275" s="306"/>
      <c r="L275" s="323"/>
      <c r="M275" s="323"/>
      <c r="N275" s="323"/>
      <c r="O275" s="323"/>
      <c r="P275" s="323"/>
      <c r="Q275" s="323"/>
      <c r="R275" s="323"/>
      <c r="S275" s="323"/>
      <c r="T275" s="323"/>
      <c r="U275" s="323"/>
      <c r="V275" s="323"/>
      <c r="W275" s="306"/>
      <c r="X275" s="306"/>
      <c r="Y275" s="306"/>
      <c r="Z275" s="306"/>
      <c r="AA275" s="306"/>
      <c r="AB275" s="306"/>
      <c r="AC275" s="306"/>
      <c r="AD275" s="306"/>
      <c r="AE275" s="306"/>
      <c r="AF275" s="306"/>
      <c r="AG275" s="306"/>
    </row>
    <row r="276" spans="1:33">
      <c r="A276" s="306"/>
      <c r="B276" s="306"/>
      <c r="C276" s="323"/>
      <c r="D276" s="323"/>
      <c r="E276" s="323"/>
      <c r="F276" s="323"/>
      <c r="G276" s="323"/>
      <c r="H276" s="323"/>
      <c r="I276" s="323"/>
      <c r="J276" s="323"/>
      <c r="K276" s="306"/>
      <c r="L276" s="323"/>
      <c r="M276" s="323"/>
      <c r="N276" s="323"/>
      <c r="O276" s="323"/>
      <c r="P276" s="323"/>
      <c r="Q276" s="323"/>
      <c r="R276" s="323"/>
      <c r="S276" s="323"/>
      <c r="T276" s="323"/>
      <c r="U276" s="323"/>
      <c r="V276" s="323"/>
      <c r="W276" s="306"/>
      <c r="X276" s="306"/>
      <c r="Y276" s="306"/>
      <c r="Z276" s="306"/>
      <c r="AA276" s="306"/>
      <c r="AB276" s="306"/>
      <c r="AC276" s="306"/>
      <c r="AD276" s="306"/>
      <c r="AE276" s="306"/>
      <c r="AF276" s="306"/>
      <c r="AG276" s="306"/>
    </row>
    <row r="277" spans="1:33">
      <c r="A277" s="306"/>
      <c r="B277" s="306"/>
      <c r="C277" s="323"/>
      <c r="D277" s="323"/>
      <c r="E277" s="323"/>
      <c r="F277" s="323"/>
      <c r="G277" s="323"/>
      <c r="H277" s="323"/>
      <c r="I277" s="323"/>
      <c r="J277" s="323"/>
      <c r="K277" s="306"/>
      <c r="L277" s="323"/>
      <c r="M277" s="323"/>
      <c r="N277" s="323"/>
      <c r="O277" s="323"/>
      <c r="P277" s="323"/>
      <c r="Q277" s="323"/>
      <c r="R277" s="323"/>
      <c r="S277" s="323"/>
      <c r="T277" s="323"/>
      <c r="U277" s="323"/>
      <c r="V277" s="323"/>
      <c r="W277" s="306"/>
      <c r="X277" s="306"/>
      <c r="Y277" s="306"/>
      <c r="Z277" s="306"/>
      <c r="AA277" s="306"/>
      <c r="AB277" s="306"/>
      <c r="AC277" s="306"/>
      <c r="AD277" s="306"/>
      <c r="AE277" s="306"/>
      <c r="AF277" s="306"/>
      <c r="AG277" s="306"/>
    </row>
    <row r="278" spans="1:33">
      <c r="A278" s="306"/>
      <c r="B278" s="306"/>
      <c r="C278" s="323"/>
      <c r="D278" s="323"/>
      <c r="E278" s="323"/>
      <c r="F278" s="323"/>
      <c r="G278" s="323"/>
      <c r="H278" s="323"/>
      <c r="I278" s="323"/>
      <c r="J278" s="323"/>
      <c r="K278" s="306"/>
      <c r="L278" s="323"/>
      <c r="M278" s="323"/>
      <c r="N278" s="323"/>
      <c r="O278" s="323"/>
      <c r="P278" s="323"/>
      <c r="Q278" s="323"/>
      <c r="R278" s="323"/>
      <c r="S278" s="323"/>
      <c r="T278" s="323"/>
      <c r="U278" s="323"/>
      <c r="V278" s="323"/>
      <c r="W278" s="306"/>
      <c r="X278" s="306"/>
      <c r="Y278" s="306"/>
      <c r="Z278" s="306"/>
      <c r="AA278" s="306"/>
      <c r="AB278" s="306"/>
      <c r="AC278" s="306"/>
      <c r="AD278" s="306"/>
      <c r="AE278" s="306"/>
      <c r="AF278" s="306"/>
      <c r="AG278" s="306"/>
    </row>
    <row r="279" spans="1:33">
      <c r="A279" s="306"/>
      <c r="B279" s="306"/>
      <c r="C279" s="323"/>
      <c r="D279" s="323"/>
      <c r="E279" s="323"/>
      <c r="F279" s="323"/>
      <c r="G279" s="323"/>
      <c r="H279" s="323"/>
      <c r="I279" s="323"/>
      <c r="J279" s="323"/>
      <c r="K279" s="306"/>
      <c r="L279" s="323"/>
      <c r="M279" s="323"/>
      <c r="N279" s="323"/>
      <c r="O279" s="323"/>
      <c r="P279" s="323"/>
      <c r="Q279" s="323"/>
      <c r="R279" s="323"/>
      <c r="S279" s="323"/>
      <c r="T279" s="323"/>
      <c r="U279" s="323"/>
      <c r="V279" s="323"/>
      <c r="W279" s="306"/>
      <c r="X279" s="306"/>
      <c r="Y279" s="306"/>
      <c r="Z279" s="306"/>
      <c r="AA279" s="306"/>
      <c r="AB279" s="306"/>
      <c r="AC279" s="306"/>
      <c r="AD279" s="306"/>
      <c r="AE279" s="306"/>
      <c r="AF279" s="306"/>
      <c r="AG279" s="306"/>
    </row>
    <row r="280" spans="1:33">
      <c r="A280" s="306"/>
      <c r="B280" s="306"/>
      <c r="C280" s="323"/>
      <c r="D280" s="323"/>
      <c r="E280" s="323"/>
      <c r="F280" s="323"/>
      <c r="G280" s="323"/>
      <c r="H280" s="323"/>
      <c r="I280" s="323"/>
      <c r="J280" s="323"/>
      <c r="K280" s="306"/>
      <c r="L280" s="323"/>
      <c r="M280" s="323"/>
      <c r="N280" s="323"/>
      <c r="O280" s="323"/>
      <c r="P280" s="323"/>
      <c r="Q280" s="323"/>
      <c r="R280" s="323"/>
      <c r="S280" s="323"/>
      <c r="T280" s="323"/>
      <c r="U280" s="323"/>
      <c r="V280" s="323"/>
      <c r="W280" s="306"/>
      <c r="X280" s="306"/>
      <c r="Y280" s="306"/>
      <c r="Z280" s="306"/>
      <c r="AA280" s="306"/>
      <c r="AB280" s="306"/>
      <c r="AC280" s="306"/>
      <c r="AD280" s="306"/>
      <c r="AE280" s="306"/>
      <c r="AF280" s="306"/>
      <c r="AG280" s="306"/>
    </row>
    <row r="281" spans="1:33">
      <c r="A281" s="306"/>
      <c r="B281" s="306"/>
      <c r="C281" s="323"/>
      <c r="D281" s="323"/>
      <c r="E281" s="323"/>
      <c r="F281" s="323"/>
      <c r="G281" s="323"/>
      <c r="H281" s="323"/>
      <c r="I281" s="323"/>
      <c r="J281" s="323"/>
      <c r="K281" s="306"/>
      <c r="L281" s="323"/>
      <c r="M281" s="323"/>
      <c r="N281" s="323"/>
      <c r="O281" s="323"/>
      <c r="P281" s="323"/>
      <c r="Q281" s="323"/>
      <c r="R281" s="323"/>
      <c r="S281" s="323"/>
      <c r="T281" s="323"/>
      <c r="U281" s="323"/>
      <c r="V281" s="323"/>
      <c r="W281" s="306"/>
      <c r="X281" s="306"/>
      <c r="Y281" s="306"/>
      <c r="Z281" s="306"/>
      <c r="AA281" s="306"/>
      <c r="AB281" s="306"/>
      <c r="AC281" s="306"/>
      <c r="AD281" s="306"/>
      <c r="AE281" s="306"/>
      <c r="AF281" s="306"/>
      <c r="AG281" s="306"/>
    </row>
    <row r="282" spans="1:33">
      <c r="A282" s="306"/>
      <c r="B282" s="306"/>
      <c r="C282" s="323"/>
      <c r="D282" s="323"/>
      <c r="E282" s="323"/>
      <c r="F282" s="323"/>
      <c r="G282" s="323"/>
      <c r="H282" s="323"/>
      <c r="I282" s="323"/>
      <c r="J282" s="323"/>
      <c r="K282" s="306"/>
      <c r="L282" s="323"/>
      <c r="M282" s="323"/>
      <c r="N282" s="323"/>
      <c r="O282" s="323"/>
      <c r="P282" s="323"/>
      <c r="Q282" s="323"/>
      <c r="R282" s="323"/>
      <c r="S282" s="323"/>
      <c r="T282" s="323"/>
      <c r="U282" s="323"/>
      <c r="V282" s="323"/>
      <c r="W282" s="306"/>
      <c r="X282" s="306"/>
      <c r="Y282" s="306"/>
      <c r="Z282" s="306"/>
      <c r="AA282" s="306"/>
      <c r="AB282" s="306"/>
      <c r="AC282" s="306"/>
      <c r="AD282" s="306"/>
      <c r="AE282" s="306"/>
      <c r="AF282" s="306"/>
      <c r="AG282" s="306"/>
    </row>
    <row r="283" spans="1:33">
      <c r="A283" s="306"/>
      <c r="B283" s="306"/>
      <c r="C283" s="323"/>
      <c r="D283" s="323"/>
      <c r="E283" s="323"/>
      <c r="F283" s="323"/>
      <c r="G283" s="323"/>
      <c r="H283" s="323"/>
      <c r="I283" s="323"/>
      <c r="J283" s="323"/>
      <c r="K283" s="306"/>
      <c r="L283" s="323"/>
      <c r="M283" s="323"/>
      <c r="N283" s="323"/>
      <c r="O283" s="323"/>
      <c r="P283" s="323"/>
      <c r="Q283" s="323"/>
      <c r="R283" s="323"/>
      <c r="S283" s="323"/>
      <c r="T283" s="323"/>
      <c r="U283" s="323"/>
      <c r="V283" s="323"/>
      <c r="W283" s="306"/>
      <c r="X283" s="306"/>
      <c r="Y283" s="306"/>
      <c r="Z283" s="306"/>
      <c r="AA283" s="306"/>
      <c r="AB283" s="306"/>
      <c r="AC283" s="306"/>
      <c r="AD283" s="306"/>
      <c r="AE283" s="306"/>
      <c r="AF283" s="306"/>
      <c r="AG283" s="306"/>
    </row>
    <row r="284" spans="1:33">
      <c r="C284" s="29"/>
      <c r="D284" s="29"/>
      <c r="E284" s="29"/>
      <c r="F284" s="29"/>
      <c r="G284" s="29"/>
      <c r="H284" s="29"/>
      <c r="I284" s="29"/>
      <c r="J284" s="29"/>
      <c r="L284" s="29"/>
      <c r="M284" s="29"/>
      <c r="N284" s="29"/>
      <c r="O284" s="29"/>
      <c r="P284" s="29"/>
      <c r="Q284" s="29"/>
      <c r="R284" s="29"/>
      <c r="S284" s="29"/>
      <c r="T284" s="29"/>
      <c r="U284" s="29"/>
      <c r="V284" s="29"/>
    </row>
    <row r="285" spans="1:33">
      <c r="C285" s="29"/>
      <c r="D285" s="29"/>
      <c r="E285" s="29"/>
      <c r="F285" s="29"/>
      <c r="G285" s="29"/>
      <c r="H285" s="29"/>
      <c r="I285" s="29"/>
      <c r="J285" s="29"/>
      <c r="L285" s="29"/>
      <c r="M285" s="29"/>
      <c r="N285" s="29"/>
      <c r="O285" s="29"/>
      <c r="P285" s="29"/>
      <c r="Q285" s="29"/>
      <c r="R285" s="29"/>
      <c r="S285" s="29"/>
      <c r="T285" s="29"/>
      <c r="U285" s="29"/>
      <c r="V285" s="29"/>
    </row>
    <row r="286" spans="1:33">
      <c r="C286" s="29"/>
      <c r="D286" s="29"/>
      <c r="E286" s="29"/>
      <c r="F286" s="29"/>
      <c r="G286" s="29"/>
      <c r="H286" s="29"/>
      <c r="I286" s="29"/>
      <c r="J286" s="29"/>
      <c r="L286" s="29"/>
      <c r="M286" s="29"/>
      <c r="N286" s="29"/>
      <c r="O286" s="29"/>
      <c r="P286" s="29"/>
      <c r="Q286" s="29"/>
      <c r="R286" s="29"/>
      <c r="S286" s="29"/>
      <c r="T286" s="29"/>
      <c r="U286" s="29"/>
      <c r="V286" s="29"/>
    </row>
    <row r="287" spans="1:33">
      <c r="C287" s="29"/>
      <c r="D287" s="29"/>
      <c r="E287" s="29"/>
      <c r="F287" s="29"/>
      <c r="G287" s="29"/>
      <c r="H287" s="29"/>
      <c r="I287" s="29"/>
      <c r="J287" s="29"/>
      <c r="L287" s="29"/>
      <c r="M287" s="29"/>
      <c r="N287" s="29"/>
      <c r="O287" s="29"/>
      <c r="P287" s="29"/>
      <c r="Q287" s="29"/>
      <c r="R287" s="29"/>
      <c r="S287" s="29"/>
      <c r="T287" s="29"/>
      <c r="U287" s="29"/>
      <c r="V287" s="29"/>
    </row>
    <row r="288" spans="1:33">
      <c r="C288" s="29"/>
      <c r="D288" s="29"/>
      <c r="E288" s="29"/>
      <c r="F288" s="29"/>
      <c r="G288" s="29"/>
      <c r="H288" s="29"/>
      <c r="I288" s="29"/>
      <c r="J288" s="29"/>
      <c r="L288" s="29"/>
      <c r="M288" s="29"/>
      <c r="N288" s="29"/>
      <c r="O288" s="29"/>
      <c r="P288" s="29"/>
      <c r="Q288" s="29"/>
      <c r="R288" s="29"/>
      <c r="S288" s="29"/>
      <c r="T288" s="29"/>
      <c r="U288" s="29"/>
      <c r="V288" s="29"/>
    </row>
    <row r="289" spans="3:22">
      <c r="C289" s="29"/>
      <c r="D289" s="29"/>
      <c r="E289" s="29"/>
      <c r="F289" s="29"/>
      <c r="G289" s="29"/>
      <c r="H289" s="29"/>
      <c r="I289" s="29"/>
      <c r="J289" s="29"/>
      <c r="L289" s="29"/>
      <c r="M289" s="29"/>
      <c r="N289" s="29"/>
      <c r="O289" s="29"/>
      <c r="P289" s="29"/>
      <c r="Q289" s="29"/>
      <c r="R289" s="29"/>
      <c r="S289" s="29"/>
      <c r="T289" s="29"/>
      <c r="U289" s="29"/>
      <c r="V289" s="29"/>
    </row>
    <row r="290" spans="3:22">
      <c r="C290" s="29"/>
      <c r="D290" s="29"/>
      <c r="E290" s="29"/>
      <c r="F290" s="29"/>
      <c r="G290" s="29"/>
      <c r="H290" s="29"/>
      <c r="I290" s="29"/>
      <c r="J290" s="29"/>
      <c r="L290" s="29"/>
      <c r="M290" s="29"/>
      <c r="N290" s="29"/>
      <c r="O290" s="29"/>
      <c r="P290" s="29"/>
      <c r="Q290" s="29"/>
      <c r="R290" s="29"/>
      <c r="S290" s="29"/>
      <c r="T290" s="29"/>
      <c r="U290" s="29"/>
      <c r="V290" s="29"/>
    </row>
    <row r="291" spans="3:22">
      <c r="C291" s="29"/>
      <c r="D291" s="29"/>
      <c r="E291" s="29"/>
      <c r="F291" s="29"/>
      <c r="G291" s="29"/>
      <c r="H291" s="29"/>
      <c r="I291" s="29"/>
      <c r="J291" s="29"/>
      <c r="L291" s="29"/>
      <c r="M291" s="29"/>
      <c r="N291" s="29"/>
      <c r="O291" s="29"/>
      <c r="P291" s="29"/>
      <c r="Q291" s="29"/>
      <c r="R291" s="29"/>
      <c r="S291" s="29"/>
      <c r="T291" s="29"/>
      <c r="U291" s="29"/>
      <c r="V291" s="29"/>
    </row>
    <row r="292" spans="3:22">
      <c r="C292" s="29"/>
      <c r="D292" s="29"/>
      <c r="E292" s="29"/>
      <c r="F292" s="29"/>
      <c r="G292" s="29"/>
      <c r="H292" s="29"/>
      <c r="I292" s="29"/>
      <c r="J292" s="29"/>
      <c r="L292" s="29"/>
      <c r="M292" s="29"/>
      <c r="N292" s="29"/>
      <c r="O292" s="29"/>
      <c r="P292" s="29"/>
      <c r="Q292" s="29"/>
      <c r="R292" s="29"/>
      <c r="S292" s="29"/>
      <c r="T292" s="29"/>
      <c r="U292" s="29"/>
      <c r="V292" s="29"/>
    </row>
    <row r="293" spans="3:22">
      <c r="C293" s="29"/>
      <c r="D293" s="29"/>
      <c r="E293" s="29"/>
      <c r="F293" s="29"/>
      <c r="G293" s="29"/>
      <c r="H293" s="29"/>
      <c r="I293" s="29"/>
      <c r="J293" s="29"/>
      <c r="L293" s="29"/>
      <c r="M293" s="29"/>
      <c r="N293" s="29"/>
      <c r="O293" s="29"/>
      <c r="P293" s="29"/>
      <c r="Q293" s="29"/>
      <c r="R293" s="29"/>
      <c r="S293" s="29"/>
      <c r="T293" s="29"/>
      <c r="U293" s="29"/>
      <c r="V293" s="29"/>
    </row>
    <row r="294" spans="3:22">
      <c r="C294" s="29"/>
      <c r="D294" s="29"/>
      <c r="E294" s="29"/>
      <c r="F294" s="29"/>
      <c r="G294" s="29"/>
      <c r="H294" s="29"/>
      <c r="I294" s="29"/>
      <c r="J294" s="29"/>
      <c r="L294" s="29"/>
      <c r="M294" s="29"/>
      <c r="N294" s="29"/>
      <c r="O294" s="29"/>
      <c r="P294" s="29"/>
      <c r="Q294" s="29"/>
      <c r="R294" s="29"/>
      <c r="S294" s="29"/>
      <c r="T294" s="29"/>
      <c r="U294" s="29"/>
      <c r="V294" s="29"/>
    </row>
    <row r="295" spans="3:22">
      <c r="C295" s="29"/>
      <c r="D295" s="29"/>
      <c r="E295" s="29"/>
      <c r="F295" s="29"/>
      <c r="G295" s="29"/>
      <c r="H295" s="29"/>
      <c r="I295" s="29"/>
      <c r="J295" s="29"/>
      <c r="L295" s="29"/>
      <c r="M295" s="29"/>
      <c r="N295" s="29"/>
      <c r="O295" s="29"/>
      <c r="P295" s="29"/>
      <c r="Q295" s="29"/>
      <c r="R295" s="29"/>
      <c r="S295" s="29"/>
      <c r="T295" s="29"/>
      <c r="U295" s="29"/>
      <c r="V295" s="29"/>
    </row>
    <row r="296" spans="3:22">
      <c r="C296" s="29"/>
      <c r="D296" s="29"/>
      <c r="E296" s="29"/>
      <c r="F296" s="29"/>
      <c r="G296" s="29"/>
      <c r="H296" s="29"/>
      <c r="I296" s="29"/>
      <c r="J296" s="29"/>
      <c r="L296" s="29"/>
      <c r="M296" s="29"/>
      <c r="N296" s="29"/>
      <c r="O296" s="29"/>
      <c r="P296" s="29"/>
      <c r="Q296" s="29"/>
      <c r="R296" s="29"/>
      <c r="S296" s="29"/>
      <c r="T296" s="29"/>
      <c r="U296" s="29"/>
      <c r="V296" s="29"/>
    </row>
    <row r="297" spans="3:22">
      <c r="C297" s="29"/>
      <c r="D297" s="29"/>
      <c r="E297" s="29"/>
      <c r="F297" s="29"/>
      <c r="G297" s="29"/>
      <c r="H297" s="29"/>
      <c r="I297" s="29"/>
      <c r="J297" s="29"/>
      <c r="L297" s="29"/>
      <c r="M297" s="29"/>
      <c r="N297" s="29"/>
      <c r="O297" s="29"/>
      <c r="P297" s="29"/>
      <c r="Q297" s="29"/>
      <c r="R297" s="29"/>
      <c r="S297" s="29"/>
      <c r="T297" s="29"/>
      <c r="U297" s="29"/>
      <c r="V297" s="29"/>
    </row>
    <row r="298" spans="3:22">
      <c r="C298" s="29"/>
      <c r="D298" s="29"/>
      <c r="E298" s="29"/>
      <c r="F298" s="29"/>
      <c r="G298" s="29"/>
      <c r="H298" s="29"/>
      <c r="I298" s="29"/>
      <c r="J298" s="29"/>
      <c r="L298" s="29"/>
      <c r="M298" s="29"/>
      <c r="N298" s="29"/>
      <c r="O298" s="29"/>
      <c r="P298" s="29"/>
      <c r="Q298" s="29"/>
      <c r="R298" s="29"/>
      <c r="S298" s="29"/>
      <c r="T298" s="29"/>
      <c r="U298" s="29"/>
      <c r="V298" s="29"/>
    </row>
    <row r="299" spans="3:22">
      <c r="C299" s="29"/>
      <c r="D299" s="29"/>
      <c r="E299" s="29"/>
      <c r="F299" s="29"/>
      <c r="G299" s="29"/>
      <c r="H299" s="29"/>
      <c r="I299" s="29"/>
      <c r="J299" s="29"/>
      <c r="L299" s="29"/>
      <c r="M299" s="29"/>
      <c r="N299" s="29"/>
      <c r="O299" s="29"/>
      <c r="P299" s="29"/>
      <c r="Q299" s="29"/>
      <c r="R299" s="29"/>
      <c r="S299" s="29"/>
      <c r="T299" s="29"/>
      <c r="U299" s="29"/>
      <c r="V299" s="29"/>
    </row>
    <row r="300" spans="3:22">
      <c r="C300" s="29"/>
      <c r="D300" s="29"/>
      <c r="E300" s="29"/>
      <c r="F300" s="29"/>
      <c r="G300" s="29"/>
      <c r="H300" s="29"/>
      <c r="I300" s="29"/>
      <c r="J300" s="29"/>
      <c r="L300" s="29"/>
      <c r="M300" s="29"/>
      <c r="N300" s="29"/>
      <c r="O300" s="29"/>
      <c r="P300" s="29"/>
      <c r="Q300" s="29"/>
      <c r="R300" s="29"/>
      <c r="S300" s="29"/>
      <c r="T300" s="29"/>
      <c r="U300" s="29"/>
      <c r="V300" s="29"/>
    </row>
    <row r="301" spans="3:22">
      <c r="C301" s="29"/>
      <c r="D301" s="29"/>
      <c r="E301" s="29"/>
      <c r="F301" s="29"/>
      <c r="G301" s="29"/>
      <c r="H301" s="29"/>
      <c r="I301" s="29"/>
      <c r="J301" s="29"/>
      <c r="L301" s="29"/>
      <c r="M301" s="29"/>
      <c r="N301" s="29"/>
      <c r="O301" s="29"/>
      <c r="P301" s="29"/>
      <c r="Q301" s="29"/>
      <c r="R301" s="29"/>
      <c r="S301" s="29"/>
      <c r="T301" s="29"/>
      <c r="U301" s="29"/>
      <c r="V301" s="29"/>
    </row>
    <row r="302" spans="3:22">
      <c r="C302" s="29"/>
      <c r="D302" s="29"/>
      <c r="E302" s="29"/>
      <c r="F302" s="29"/>
      <c r="G302" s="29"/>
      <c r="H302" s="29"/>
      <c r="I302" s="29"/>
      <c r="J302" s="29"/>
      <c r="L302" s="29"/>
      <c r="M302" s="29"/>
      <c r="N302" s="29"/>
      <c r="O302" s="29"/>
      <c r="P302" s="29"/>
      <c r="Q302" s="29"/>
      <c r="R302" s="29"/>
      <c r="S302" s="29"/>
      <c r="T302" s="29"/>
      <c r="U302" s="29"/>
      <c r="V302" s="29"/>
    </row>
    <row r="303" spans="3:22">
      <c r="C303" s="29"/>
      <c r="D303" s="29"/>
      <c r="E303" s="29"/>
      <c r="F303" s="29"/>
      <c r="G303" s="29"/>
      <c r="H303" s="29"/>
      <c r="I303" s="29"/>
      <c r="J303" s="29"/>
      <c r="L303" s="29"/>
      <c r="M303" s="29"/>
      <c r="N303" s="29"/>
      <c r="O303" s="29"/>
      <c r="P303" s="29"/>
      <c r="Q303" s="29"/>
      <c r="R303" s="29"/>
      <c r="S303" s="29"/>
      <c r="T303" s="29"/>
      <c r="U303" s="29"/>
      <c r="V303" s="29"/>
    </row>
    <row r="304" spans="3:22">
      <c r="C304" s="29"/>
      <c r="D304" s="29"/>
      <c r="E304" s="29"/>
      <c r="F304" s="29"/>
      <c r="G304" s="29"/>
      <c r="H304" s="29"/>
      <c r="I304" s="29"/>
      <c r="J304" s="29"/>
      <c r="L304" s="29"/>
      <c r="M304" s="29"/>
      <c r="N304" s="29"/>
      <c r="O304" s="29"/>
      <c r="P304" s="29"/>
      <c r="Q304" s="29"/>
      <c r="R304" s="29"/>
      <c r="S304" s="29"/>
      <c r="T304" s="29"/>
      <c r="U304" s="29"/>
      <c r="V304" s="29"/>
    </row>
    <row r="305" spans="3:22">
      <c r="C305" s="29"/>
      <c r="D305" s="29"/>
      <c r="E305" s="29"/>
      <c r="F305" s="29"/>
      <c r="G305" s="29"/>
      <c r="H305" s="29"/>
      <c r="I305" s="29"/>
      <c r="J305" s="29"/>
      <c r="L305" s="29"/>
      <c r="M305" s="29"/>
      <c r="N305" s="29"/>
      <c r="O305" s="29"/>
      <c r="P305" s="29"/>
      <c r="Q305" s="29"/>
      <c r="R305" s="29"/>
      <c r="S305" s="29"/>
      <c r="T305" s="29"/>
      <c r="U305" s="29"/>
      <c r="V305" s="29"/>
    </row>
    <row r="306" spans="3:22">
      <c r="C306" s="29"/>
      <c r="D306" s="29"/>
      <c r="E306" s="29"/>
      <c r="F306" s="29"/>
      <c r="G306" s="29"/>
      <c r="H306" s="29"/>
      <c r="I306" s="29"/>
      <c r="J306" s="29"/>
      <c r="L306" s="29"/>
      <c r="M306" s="29"/>
      <c r="N306" s="29"/>
      <c r="O306" s="29"/>
      <c r="P306" s="29"/>
      <c r="Q306" s="29"/>
      <c r="R306" s="29"/>
      <c r="S306" s="29"/>
      <c r="T306" s="29"/>
      <c r="U306" s="29"/>
      <c r="V306" s="29"/>
    </row>
    <row r="307" spans="3:22">
      <c r="C307" s="29"/>
      <c r="D307" s="29"/>
      <c r="E307" s="29"/>
      <c r="F307" s="29"/>
      <c r="G307" s="29"/>
      <c r="H307" s="29"/>
      <c r="I307" s="29"/>
      <c r="J307" s="29"/>
      <c r="L307" s="29"/>
      <c r="M307" s="29"/>
      <c r="N307" s="29"/>
      <c r="O307" s="29"/>
      <c r="P307" s="29"/>
      <c r="Q307" s="29"/>
      <c r="R307" s="29"/>
      <c r="S307" s="29"/>
      <c r="T307" s="29"/>
      <c r="U307" s="29"/>
      <c r="V307" s="29"/>
    </row>
    <row r="308" spans="3:22">
      <c r="J308" s="29"/>
      <c r="L308" s="29"/>
      <c r="M308" s="29"/>
      <c r="N308" s="29"/>
      <c r="O308" s="29"/>
      <c r="P308" s="29"/>
      <c r="Q308" s="29"/>
      <c r="R308" s="29"/>
      <c r="S308" s="29"/>
      <c r="T308" s="29"/>
      <c r="U308" s="29"/>
      <c r="V308" s="29"/>
    </row>
    <row r="309" spans="3:22">
      <c r="J309" s="29"/>
      <c r="L309" s="29"/>
      <c r="M309" s="29"/>
      <c r="N309" s="29"/>
      <c r="O309" s="29"/>
      <c r="P309" s="29"/>
      <c r="Q309" s="29"/>
      <c r="R309" s="29"/>
      <c r="S309" s="29"/>
      <c r="T309" s="29"/>
      <c r="U309" s="29"/>
      <c r="V309" s="29"/>
    </row>
    <row r="310" spans="3:22">
      <c r="J310" s="29"/>
      <c r="L310" s="29"/>
      <c r="M310" s="29"/>
      <c r="N310" s="29"/>
      <c r="O310" s="29"/>
      <c r="P310" s="29"/>
      <c r="Q310" s="29"/>
      <c r="R310" s="29"/>
      <c r="S310" s="29"/>
      <c r="T310" s="29"/>
      <c r="U310" s="29"/>
      <c r="V310" s="29"/>
    </row>
    <row r="311" spans="3:22">
      <c r="J311" s="29"/>
      <c r="L311" s="29"/>
      <c r="M311" s="29"/>
      <c r="N311" s="29"/>
      <c r="O311" s="29"/>
      <c r="P311" s="29"/>
      <c r="Q311" s="29"/>
      <c r="R311" s="29"/>
      <c r="S311" s="29"/>
      <c r="T311" s="29"/>
      <c r="U311" s="29"/>
      <c r="V311" s="29"/>
    </row>
    <row r="312" spans="3:22">
      <c r="J312" s="29"/>
      <c r="L312" s="29"/>
      <c r="M312" s="29"/>
      <c r="N312" s="29"/>
      <c r="O312" s="29"/>
      <c r="P312" s="29"/>
      <c r="Q312" s="29"/>
      <c r="R312" s="29"/>
      <c r="S312" s="29"/>
      <c r="T312" s="29"/>
      <c r="U312" s="29"/>
      <c r="V312" s="29"/>
    </row>
    <row r="313" spans="3:22">
      <c r="J313" s="29"/>
      <c r="L313" s="29"/>
      <c r="M313" s="29"/>
      <c r="N313" s="29"/>
      <c r="O313" s="29"/>
      <c r="P313" s="29"/>
      <c r="Q313" s="29"/>
      <c r="R313" s="29"/>
      <c r="S313" s="29"/>
      <c r="T313" s="29"/>
      <c r="U313" s="29"/>
      <c r="V313" s="29"/>
    </row>
    <row r="314" spans="3:22">
      <c r="J314" s="29"/>
      <c r="L314" s="29"/>
      <c r="M314" s="29"/>
      <c r="N314" s="29"/>
      <c r="O314" s="29"/>
      <c r="P314" s="29"/>
      <c r="Q314" s="29"/>
      <c r="R314" s="29"/>
      <c r="S314" s="29"/>
      <c r="T314" s="29"/>
      <c r="U314" s="29"/>
      <c r="V314" s="29"/>
    </row>
    <row r="315" spans="3:22">
      <c r="J315" s="29"/>
      <c r="L315" s="29"/>
      <c r="M315" s="29"/>
      <c r="N315" s="29"/>
      <c r="O315" s="29"/>
      <c r="P315" s="29"/>
      <c r="Q315" s="29"/>
      <c r="R315" s="29"/>
      <c r="S315" s="29"/>
      <c r="T315" s="29"/>
      <c r="U315" s="29"/>
      <c r="V315" s="29"/>
    </row>
    <row r="316" spans="3:22">
      <c r="J316" s="29"/>
      <c r="L316" s="29"/>
      <c r="M316" s="29"/>
      <c r="N316" s="29"/>
      <c r="O316" s="29"/>
      <c r="P316" s="29"/>
      <c r="Q316" s="29"/>
      <c r="R316" s="29"/>
      <c r="S316" s="29"/>
      <c r="T316" s="29"/>
      <c r="U316" s="29"/>
      <c r="V316" s="29"/>
    </row>
    <row r="317" spans="3:22">
      <c r="J317" s="29"/>
      <c r="L317" s="29"/>
      <c r="M317" s="29"/>
      <c r="N317" s="29"/>
      <c r="O317" s="29"/>
      <c r="P317" s="29"/>
      <c r="Q317" s="29"/>
      <c r="R317" s="29"/>
      <c r="S317" s="29"/>
      <c r="T317" s="29"/>
      <c r="U317" s="29"/>
      <c r="V317" s="29"/>
    </row>
    <row r="318" spans="3:22">
      <c r="J318" s="29"/>
      <c r="L318" s="29"/>
      <c r="M318" s="29"/>
      <c r="N318" s="29"/>
      <c r="O318" s="29"/>
      <c r="P318" s="29"/>
      <c r="Q318" s="29"/>
      <c r="R318" s="29"/>
      <c r="S318" s="29"/>
      <c r="T318" s="29"/>
      <c r="U318" s="29"/>
      <c r="V318" s="29"/>
    </row>
    <row r="319" spans="3:22">
      <c r="J319" s="29"/>
      <c r="L319" s="29"/>
      <c r="M319" s="29"/>
      <c r="N319" s="29"/>
      <c r="O319" s="29"/>
      <c r="P319" s="29"/>
      <c r="Q319" s="29"/>
      <c r="R319" s="29"/>
      <c r="S319" s="29"/>
      <c r="T319" s="29"/>
      <c r="U319" s="29"/>
      <c r="V319" s="29"/>
    </row>
    <row r="320" spans="3:22">
      <c r="J320" s="29"/>
      <c r="L320" s="29"/>
      <c r="M320" s="29"/>
      <c r="N320" s="29"/>
      <c r="O320" s="29"/>
      <c r="P320" s="29"/>
      <c r="Q320" s="29"/>
      <c r="R320" s="29"/>
      <c r="S320" s="29"/>
      <c r="T320" s="29"/>
      <c r="U320" s="29"/>
      <c r="V320" s="29"/>
    </row>
    <row r="321" spans="10:22">
      <c r="J321" s="29"/>
      <c r="L321" s="29"/>
      <c r="M321" s="29"/>
      <c r="N321" s="29"/>
      <c r="O321" s="29"/>
      <c r="P321" s="29"/>
      <c r="Q321" s="29"/>
      <c r="R321" s="29"/>
      <c r="S321" s="29"/>
      <c r="T321" s="29"/>
      <c r="U321" s="29"/>
      <c r="V321" s="29"/>
    </row>
    <row r="322" spans="10:22">
      <c r="J322" s="29"/>
      <c r="L322" s="29"/>
      <c r="M322" s="29"/>
      <c r="N322" s="29"/>
      <c r="O322" s="29"/>
      <c r="P322" s="29"/>
      <c r="Q322" s="29"/>
      <c r="R322" s="29"/>
      <c r="S322" s="29"/>
      <c r="T322" s="29"/>
      <c r="U322" s="29"/>
      <c r="V322" s="29"/>
    </row>
    <row r="323" spans="10:22">
      <c r="J323" s="29"/>
      <c r="L323" s="29"/>
      <c r="M323" s="29"/>
      <c r="N323" s="29"/>
      <c r="O323" s="29"/>
      <c r="P323" s="29"/>
      <c r="Q323" s="29"/>
      <c r="R323" s="29"/>
      <c r="S323" s="29"/>
      <c r="T323" s="29"/>
      <c r="U323" s="29"/>
      <c r="V323" s="29"/>
    </row>
    <row r="324" spans="10:22">
      <c r="J324" s="29"/>
      <c r="L324" s="29"/>
      <c r="M324" s="29"/>
      <c r="N324" s="29"/>
      <c r="O324" s="29"/>
      <c r="P324" s="29"/>
      <c r="Q324" s="29"/>
      <c r="R324" s="29"/>
      <c r="S324" s="29"/>
      <c r="T324" s="29"/>
      <c r="U324" s="29"/>
      <c r="V324" s="29"/>
    </row>
    <row r="325" spans="10:22">
      <c r="J325" s="29"/>
      <c r="L325" s="29"/>
      <c r="M325" s="29"/>
      <c r="N325" s="29"/>
      <c r="O325" s="29"/>
      <c r="P325" s="29"/>
      <c r="Q325" s="29"/>
      <c r="R325" s="29"/>
      <c r="S325" s="29"/>
      <c r="T325" s="29"/>
      <c r="U325" s="29"/>
      <c r="V325" s="29"/>
    </row>
    <row r="326" spans="10:22">
      <c r="J326" s="29"/>
      <c r="L326" s="29"/>
      <c r="M326" s="29"/>
      <c r="N326" s="29"/>
      <c r="O326" s="29"/>
      <c r="P326" s="29"/>
      <c r="Q326" s="29"/>
      <c r="R326" s="29"/>
      <c r="S326" s="29"/>
      <c r="T326" s="29"/>
      <c r="U326" s="29"/>
      <c r="V326" s="29"/>
    </row>
    <row r="327" spans="10:22">
      <c r="J327" s="29"/>
      <c r="L327" s="29"/>
      <c r="M327" s="29"/>
      <c r="N327" s="29"/>
      <c r="O327" s="29"/>
      <c r="P327" s="29"/>
      <c r="Q327" s="29"/>
      <c r="R327" s="29"/>
      <c r="S327" s="29"/>
      <c r="T327" s="29"/>
      <c r="U327" s="29"/>
      <c r="V327" s="29"/>
    </row>
    <row r="328" spans="10:22">
      <c r="J328" s="29"/>
      <c r="L328" s="29"/>
      <c r="M328" s="29"/>
      <c r="N328" s="29"/>
      <c r="O328" s="29"/>
      <c r="P328" s="29"/>
      <c r="Q328" s="29"/>
      <c r="R328" s="29"/>
      <c r="S328" s="29"/>
      <c r="T328" s="29"/>
      <c r="U328" s="29"/>
      <c r="V328" s="29"/>
    </row>
    <row r="329" spans="10:22">
      <c r="J329" s="29"/>
      <c r="L329" s="29"/>
      <c r="M329" s="29"/>
      <c r="N329" s="29"/>
      <c r="O329" s="29"/>
      <c r="P329" s="29"/>
      <c r="Q329" s="29"/>
      <c r="R329" s="29"/>
      <c r="S329" s="29"/>
      <c r="T329" s="29"/>
      <c r="U329" s="29"/>
      <c r="V329" s="29"/>
    </row>
    <row r="330" spans="10:22">
      <c r="J330" s="29"/>
      <c r="L330" s="29"/>
      <c r="M330" s="29"/>
      <c r="N330" s="29"/>
      <c r="O330" s="29"/>
      <c r="P330" s="29"/>
      <c r="Q330" s="29"/>
      <c r="R330" s="29"/>
      <c r="S330" s="29"/>
      <c r="T330" s="29"/>
      <c r="U330" s="29"/>
      <c r="V330" s="29"/>
    </row>
    <row r="331" spans="10:22">
      <c r="J331" s="29"/>
      <c r="L331" s="29"/>
      <c r="M331" s="29"/>
      <c r="N331" s="29"/>
      <c r="O331" s="29"/>
      <c r="P331" s="29"/>
      <c r="Q331" s="29"/>
      <c r="R331" s="29"/>
      <c r="S331" s="29"/>
      <c r="T331" s="29"/>
      <c r="U331" s="29"/>
      <c r="V331" s="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6813-C631-413E-A7C8-954D7742C380}">
  <sheetPr codeName="Sheet36">
    <tabColor rgb="FFC00000"/>
    <pageSetUpPr fitToPage="1"/>
  </sheetPr>
  <dimension ref="A1:I26"/>
  <sheetViews>
    <sheetView workbookViewId="0">
      <selection activeCell="H6" sqref="H6"/>
    </sheetView>
  </sheetViews>
  <sheetFormatPr defaultRowHeight="12.5"/>
  <cols>
    <col min="1" max="1" width="21.1796875" customWidth="1"/>
    <col min="4" max="4" width="28.453125" customWidth="1"/>
    <col min="5" max="5" width="32.54296875" customWidth="1"/>
    <col min="7" max="7" width="28.81640625" bestFit="1" customWidth="1"/>
    <col min="8" max="8" width="16.453125" customWidth="1"/>
    <col min="9" max="9" width="36.1796875" bestFit="1" customWidth="1"/>
  </cols>
  <sheetData>
    <row r="1" spans="1:9" ht="20">
      <c r="A1" s="769" t="s">
        <v>5474</v>
      </c>
      <c r="B1" s="301"/>
      <c r="C1" s="301"/>
      <c r="D1" s="301"/>
      <c r="E1" s="301"/>
      <c r="F1" s="301"/>
      <c r="G1" s="301"/>
      <c r="H1" s="301"/>
      <c r="I1" s="301"/>
    </row>
    <row r="2" spans="1:9" ht="13">
      <c r="A2" s="772"/>
      <c r="B2" s="301"/>
      <c r="C2" s="301"/>
      <c r="D2" s="301"/>
      <c r="E2" s="301"/>
      <c r="F2" s="301"/>
      <c r="G2" s="301"/>
      <c r="H2" s="301"/>
      <c r="I2" s="301"/>
    </row>
    <row r="3" spans="1:9">
      <c r="A3" s="301"/>
      <c r="B3" s="301"/>
      <c r="C3" s="301"/>
      <c r="D3" s="301"/>
      <c r="E3" s="301"/>
      <c r="F3" s="301"/>
      <c r="G3" s="301"/>
      <c r="H3" s="301"/>
      <c r="I3" s="301"/>
    </row>
    <row r="4" spans="1:9">
      <c r="A4" s="301"/>
      <c r="B4" s="301"/>
      <c r="C4" s="301"/>
      <c r="D4" s="301"/>
      <c r="E4" s="301"/>
      <c r="F4" s="301"/>
      <c r="G4" s="301"/>
      <c r="H4" s="301"/>
      <c r="I4" s="301"/>
    </row>
    <row r="5" spans="1:9" ht="15.5">
      <c r="A5" s="770" t="s">
        <v>5475</v>
      </c>
      <c r="B5" s="301"/>
      <c r="C5" s="301"/>
      <c r="D5" s="770" t="s">
        <v>5523</v>
      </c>
      <c r="E5" s="770" t="s">
        <v>5522</v>
      </c>
      <c r="F5" s="301"/>
      <c r="G5" s="770" t="s">
        <v>7005</v>
      </c>
      <c r="H5" s="770" t="s">
        <v>7006</v>
      </c>
      <c r="I5" s="301"/>
    </row>
    <row r="6" spans="1:9">
      <c r="A6" s="301" t="s">
        <v>5476</v>
      </c>
      <c r="B6" s="301"/>
      <c r="C6" s="301"/>
      <c r="D6" s="301" t="s">
        <v>5502</v>
      </c>
      <c r="E6" s="301" t="s">
        <v>5511</v>
      </c>
      <c r="F6" s="301"/>
      <c r="G6" s="301" t="s">
        <v>5497</v>
      </c>
      <c r="H6" s="771" t="str">
        <f>TRIM(LEFT(G6,3))</f>
        <v>CI</v>
      </c>
      <c r="I6" s="301" t="s">
        <v>5526</v>
      </c>
    </row>
    <row r="7" spans="1:9">
      <c r="A7" s="301" t="s">
        <v>5477</v>
      </c>
      <c r="B7" s="301"/>
      <c r="C7" s="301"/>
      <c r="D7" s="301" t="s">
        <v>5503</v>
      </c>
      <c r="E7" s="301" t="s">
        <v>5511</v>
      </c>
      <c r="F7" s="301"/>
      <c r="G7" s="301" t="s">
        <v>5498</v>
      </c>
      <c r="H7" s="771" t="str">
        <f t="shared" ref="H7:H11" si="0">TRIM(LEFT(G7,3))</f>
        <v>OSD</v>
      </c>
      <c r="I7" s="301" t="s">
        <v>5782</v>
      </c>
    </row>
    <row r="8" spans="1:9">
      <c r="A8" s="301" t="s">
        <v>5478</v>
      </c>
      <c r="B8" s="301"/>
      <c r="C8" s="301"/>
      <c r="D8" s="301" t="s">
        <v>5504</v>
      </c>
      <c r="E8" s="301" t="s">
        <v>5511</v>
      </c>
      <c r="F8" s="301"/>
      <c r="G8" s="301" t="s">
        <v>5499</v>
      </c>
      <c r="H8" s="771" t="str">
        <f t="shared" si="0"/>
        <v>OSL</v>
      </c>
      <c r="I8" s="301" t="s">
        <v>5783</v>
      </c>
    </row>
    <row r="9" spans="1:9">
      <c r="A9" s="301" t="s">
        <v>5479</v>
      </c>
      <c r="B9" s="301"/>
      <c r="C9" s="301"/>
      <c r="D9" s="301" t="s">
        <v>5505</v>
      </c>
      <c r="E9" s="301" t="s">
        <v>5511</v>
      </c>
      <c r="F9" s="301"/>
      <c r="G9" s="301" t="s">
        <v>5501</v>
      </c>
      <c r="H9" s="771" t="str">
        <f t="shared" si="0"/>
        <v>PTR</v>
      </c>
      <c r="I9" s="301" t="s">
        <v>896</v>
      </c>
    </row>
    <row r="10" spans="1:9">
      <c r="A10" s="301" t="s">
        <v>5480</v>
      </c>
      <c r="B10" s="301"/>
      <c r="C10" s="301"/>
      <c r="D10" s="301" t="s">
        <v>5506</v>
      </c>
      <c r="E10" s="301" t="s">
        <v>5511</v>
      </c>
      <c r="F10" s="301"/>
      <c r="G10" s="301" t="s">
        <v>5496</v>
      </c>
      <c r="H10" s="771" t="str">
        <f t="shared" si="0"/>
        <v>STW</v>
      </c>
      <c r="I10" s="301" t="s">
        <v>963</v>
      </c>
    </row>
    <row r="11" spans="1:9">
      <c r="A11" s="301" t="s">
        <v>5481</v>
      </c>
      <c r="B11" s="301"/>
      <c r="C11" s="301"/>
      <c r="D11" s="301" t="s">
        <v>5507</v>
      </c>
      <c r="E11" s="301" t="s">
        <v>5511</v>
      </c>
      <c r="F11" s="301"/>
      <c r="G11" s="301" t="s">
        <v>5500</v>
      </c>
      <c r="H11" s="771" t="str">
        <f t="shared" si="0"/>
        <v>TRA</v>
      </c>
      <c r="I11" s="301" t="s">
        <v>896</v>
      </c>
    </row>
    <row r="12" spans="1:9">
      <c r="A12" s="301" t="s">
        <v>5482</v>
      </c>
      <c r="B12" s="301"/>
      <c r="C12" s="301"/>
      <c r="D12" s="301" t="s">
        <v>5508</v>
      </c>
      <c r="E12" s="301" t="s">
        <v>5511</v>
      </c>
      <c r="F12" s="301"/>
      <c r="G12" s="301"/>
      <c r="H12" s="301"/>
      <c r="I12" s="301"/>
    </row>
    <row r="13" spans="1:9">
      <c r="A13" s="301" t="s">
        <v>5483</v>
      </c>
      <c r="B13" s="301"/>
      <c r="C13" s="301"/>
      <c r="D13" s="301" t="s">
        <v>5509</v>
      </c>
      <c r="E13" s="301" t="s">
        <v>5511</v>
      </c>
      <c r="F13" s="301"/>
      <c r="G13" s="301"/>
      <c r="H13" s="301"/>
      <c r="I13" s="301"/>
    </row>
    <row r="14" spans="1:9">
      <c r="A14" s="301" t="s">
        <v>5484</v>
      </c>
      <c r="B14" s="301"/>
      <c r="C14" s="301"/>
      <c r="D14" s="301" t="s">
        <v>5510</v>
      </c>
      <c r="E14" s="301" t="s">
        <v>5511</v>
      </c>
      <c r="F14" s="301"/>
      <c r="G14" s="301"/>
      <c r="H14" s="301"/>
      <c r="I14" s="301"/>
    </row>
    <row r="15" spans="1:9">
      <c r="A15" s="301" t="s">
        <v>5485</v>
      </c>
      <c r="B15" s="301"/>
      <c r="C15" s="301"/>
      <c r="D15" s="301" t="s">
        <v>5512</v>
      </c>
      <c r="E15" s="301" t="s">
        <v>5516</v>
      </c>
      <c r="F15" s="301"/>
      <c r="G15" s="301"/>
      <c r="H15" s="301"/>
      <c r="I15" s="301"/>
    </row>
    <row r="16" spans="1:9">
      <c r="A16" s="301" t="s">
        <v>5486</v>
      </c>
      <c r="B16" s="301"/>
      <c r="C16" s="301"/>
      <c r="D16" s="301" t="s">
        <v>5513</v>
      </c>
      <c r="E16" s="301" t="s">
        <v>5516</v>
      </c>
      <c r="F16" s="301"/>
      <c r="G16" s="301"/>
      <c r="H16" s="301"/>
      <c r="I16" s="301"/>
    </row>
    <row r="17" spans="1:9">
      <c r="A17" s="301" t="s">
        <v>5487</v>
      </c>
      <c r="B17" s="301"/>
      <c r="C17" s="301"/>
      <c r="D17" s="301" t="s">
        <v>5514</v>
      </c>
      <c r="E17" s="301" t="s">
        <v>5516</v>
      </c>
      <c r="F17" s="301"/>
      <c r="G17" s="301"/>
      <c r="H17" s="301"/>
      <c r="I17" s="301"/>
    </row>
    <row r="18" spans="1:9">
      <c r="A18" s="301" t="s">
        <v>5488</v>
      </c>
      <c r="B18" s="301"/>
      <c r="C18" s="301"/>
      <c r="D18" s="301" t="s">
        <v>5515</v>
      </c>
      <c r="E18" s="301" t="s">
        <v>5516</v>
      </c>
      <c r="F18" s="301"/>
      <c r="G18" s="301"/>
      <c r="H18" s="301"/>
      <c r="I18" s="301"/>
    </row>
    <row r="19" spans="1:9">
      <c r="A19" s="301" t="s">
        <v>5489</v>
      </c>
      <c r="B19" s="301"/>
      <c r="C19" s="301"/>
      <c r="D19" s="301" t="s">
        <v>5517</v>
      </c>
      <c r="E19" s="301" t="s">
        <v>5521</v>
      </c>
      <c r="F19" s="301"/>
      <c r="G19" s="301"/>
      <c r="H19" s="301"/>
      <c r="I19" s="301"/>
    </row>
    <row r="20" spans="1:9">
      <c r="A20" s="301" t="s">
        <v>5490</v>
      </c>
      <c r="B20" s="301"/>
      <c r="C20" s="301"/>
      <c r="D20" s="301" t="s">
        <v>5518</v>
      </c>
      <c r="E20" s="301" t="s">
        <v>5521</v>
      </c>
      <c r="F20" s="301"/>
      <c r="G20" s="301"/>
      <c r="H20" s="301"/>
      <c r="I20" s="301"/>
    </row>
    <row r="21" spans="1:9">
      <c r="A21" s="301" t="s">
        <v>5491</v>
      </c>
      <c r="B21" s="301"/>
      <c r="C21" s="301"/>
      <c r="D21" s="301" t="s">
        <v>5519</v>
      </c>
      <c r="E21" s="301" t="s">
        <v>5521</v>
      </c>
      <c r="F21" s="301"/>
      <c r="G21" s="301"/>
      <c r="H21" s="301"/>
      <c r="I21" s="301"/>
    </row>
    <row r="22" spans="1:9">
      <c r="A22" s="301" t="s">
        <v>5492</v>
      </c>
      <c r="B22" s="301"/>
      <c r="C22" s="301"/>
      <c r="D22" s="301" t="s">
        <v>5520</v>
      </c>
      <c r="E22" s="301" t="s">
        <v>5521</v>
      </c>
      <c r="F22" s="301"/>
      <c r="G22" s="301"/>
      <c r="H22" s="301"/>
      <c r="I22" s="301"/>
    </row>
    <row r="23" spans="1:9">
      <c r="A23" s="301" t="s">
        <v>4347</v>
      </c>
      <c r="B23" s="301"/>
      <c r="C23" s="301"/>
      <c r="D23" s="301"/>
      <c r="E23" s="301"/>
      <c r="F23" s="301"/>
      <c r="G23" s="301"/>
      <c r="H23" s="301"/>
      <c r="I23" s="301"/>
    </row>
    <row r="24" spans="1:9">
      <c r="A24" s="301" t="s">
        <v>5493</v>
      </c>
      <c r="B24" s="301"/>
      <c r="C24" s="301"/>
      <c r="D24" s="301"/>
      <c r="E24" s="301"/>
      <c r="F24" s="301"/>
      <c r="G24" s="301"/>
      <c r="H24" s="301"/>
      <c r="I24" s="301"/>
    </row>
    <row r="25" spans="1:9">
      <c r="A25" s="301" t="s">
        <v>5494</v>
      </c>
      <c r="B25" s="301"/>
      <c r="C25" s="301"/>
      <c r="D25" s="301"/>
      <c r="E25" s="301"/>
      <c r="F25" s="301"/>
      <c r="G25" s="301"/>
      <c r="H25" s="301"/>
      <c r="I25" s="301"/>
    </row>
    <row r="26" spans="1:9">
      <c r="A26" s="301" t="s">
        <v>5495</v>
      </c>
      <c r="B26" s="301"/>
      <c r="C26" s="301"/>
      <c r="D26" s="301"/>
      <c r="E26" s="301"/>
      <c r="F26" s="301"/>
      <c r="G26" s="301"/>
      <c r="H26" s="301"/>
      <c r="I26" s="301"/>
    </row>
  </sheetData>
  <sortState xmlns:xlrd2="http://schemas.microsoft.com/office/spreadsheetml/2017/richdata2" ref="G6:G11">
    <sortCondition ref="G6:G11"/>
  </sortState>
  <pageMargins left="0.70866141732283472" right="0.51181102362204722" top="0.55118110236220474" bottom="0.74803149606299213" header="0.31496062992125984" footer="0.31496062992125984"/>
  <pageSetup paperSize="8" orientation="landscape" r:id="rId1"/>
  <headerFooter>
    <oddFooter>&amp;L&amp;F&amp;C&amp;A&amp;RPage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376D1-0C2F-4051-AABD-B5CE6D54BF50}">
  <sheetPr codeName="Sheet38">
    <tabColor rgb="FFC00000"/>
    <pageSetUpPr fitToPage="1"/>
  </sheetPr>
  <dimension ref="A1:M249"/>
  <sheetViews>
    <sheetView topLeftCell="A104" workbookViewId="0">
      <selection activeCell="B116" sqref="B116"/>
    </sheetView>
  </sheetViews>
  <sheetFormatPr defaultRowHeight="12.5"/>
  <cols>
    <col min="1" max="1" width="24.54296875" customWidth="1"/>
    <col min="2" max="2" width="28.7265625" customWidth="1"/>
    <col min="3" max="3" width="37.54296875" customWidth="1"/>
    <col min="4" max="4" width="22.453125" customWidth="1"/>
    <col min="5" max="5" width="30.81640625" customWidth="1"/>
    <col min="6" max="6" width="35.453125" customWidth="1"/>
    <col min="7" max="7" width="17.26953125" customWidth="1"/>
    <col min="8" max="8" width="31.81640625" customWidth="1"/>
    <col min="9" max="9" width="16.54296875" customWidth="1"/>
    <col min="10" max="10" width="15.54296875" customWidth="1"/>
    <col min="11" max="11" width="14.81640625" customWidth="1"/>
    <col min="12" max="12" width="15.26953125" customWidth="1"/>
    <col min="13" max="13" width="12.26953125" customWidth="1"/>
  </cols>
  <sheetData>
    <row r="1" spans="1:10" ht="42">
      <c r="A1" s="798" t="s">
        <v>7009</v>
      </c>
      <c r="B1" s="798" t="s">
        <v>5461</v>
      </c>
      <c r="C1" s="798" t="s">
        <v>5524</v>
      </c>
      <c r="D1" s="798" t="s">
        <v>5469</v>
      </c>
      <c r="E1" s="798" t="s">
        <v>7007</v>
      </c>
      <c r="F1" s="798" t="s">
        <v>5547</v>
      </c>
      <c r="G1" s="798" t="s">
        <v>5461</v>
      </c>
      <c r="H1" s="798" t="s">
        <v>5804</v>
      </c>
      <c r="I1" s="798" t="s">
        <v>5805</v>
      </c>
      <c r="J1" s="798" t="s">
        <v>7008</v>
      </c>
    </row>
    <row r="2" spans="1:10">
      <c r="A2" s="799" t="s">
        <v>5525</v>
      </c>
      <c r="B2" s="799" t="s">
        <v>91</v>
      </c>
      <c r="C2" s="799" t="str">
        <f>A2&amp;" - "&amp;B2</f>
        <v>Reserve Acquisition - Auckland wide</v>
      </c>
      <c r="D2" s="799" t="s">
        <v>2629</v>
      </c>
      <c r="E2" s="799" t="str">
        <f>+C2</f>
        <v>Reserve Acquisition - Auckland wide</v>
      </c>
      <c r="F2" s="799" t="s">
        <v>3608</v>
      </c>
      <c r="G2" s="799" t="str">
        <f>+B2</f>
        <v>Auckland wide</v>
      </c>
      <c r="H2" s="799" t="s">
        <v>5443</v>
      </c>
      <c r="I2" s="799" t="s">
        <v>5444</v>
      </c>
      <c r="J2" t="str">
        <f t="shared" ref="J2:J65" si="0">TRIM(LEFT(D2,3))</f>
        <v>OSL</v>
      </c>
    </row>
    <row r="3" spans="1:10">
      <c r="A3" s="799" t="s">
        <v>5525</v>
      </c>
      <c r="B3" s="799" t="s">
        <v>2632</v>
      </c>
      <c r="C3" s="799" t="str">
        <f t="shared" ref="C3:C66" si="1">A3&amp;" - "&amp;B3</f>
        <v>Reserve Acquisition - Area 2</v>
      </c>
      <c r="D3" s="799" t="s">
        <v>2631</v>
      </c>
      <c r="E3" s="799" t="str">
        <f t="shared" ref="E3:E66" si="2">+C3</f>
        <v>Reserve Acquisition - Area 2</v>
      </c>
      <c r="F3" s="799" t="s">
        <v>3608</v>
      </c>
      <c r="G3" s="799" t="str">
        <f t="shared" ref="G3:G66" si="3">+B3</f>
        <v>Area 2</v>
      </c>
      <c r="H3" s="799"/>
      <c r="I3" s="799" t="s">
        <v>5444</v>
      </c>
      <c r="J3" t="str">
        <f t="shared" si="0"/>
        <v>OSL</v>
      </c>
    </row>
    <row r="4" spans="1:10">
      <c r="A4" s="799" t="s">
        <v>5525</v>
      </c>
      <c r="B4" s="799" t="s">
        <v>2432</v>
      </c>
      <c r="C4" s="799" t="str">
        <f t="shared" si="1"/>
        <v>Reserve Acquisition - Urban</v>
      </c>
      <c r="D4" s="799" t="s">
        <v>2633</v>
      </c>
      <c r="E4" s="799" t="str">
        <f t="shared" si="2"/>
        <v>Reserve Acquisition - Urban</v>
      </c>
      <c r="F4" s="799" t="s">
        <v>3608</v>
      </c>
      <c r="G4" s="799" t="str">
        <f t="shared" si="3"/>
        <v>Urban</v>
      </c>
      <c r="H4" s="799" t="s">
        <v>5445</v>
      </c>
      <c r="I4" s="799" t="s">
        <v>5444</v>
      </c>
      <c r="J4" t="str">
        <f t="shared" si="0"/>
        <v>OSL</v>
      </c>
    </row>
    <row r="5" spans="1:10">
      <c r="A5" s="799" t="s">
        <v>5525</v>
      </c>
      <c r="B5" s="799" t="s">
        <v>2635</v>
      </c>
      <c r="C5" s="799" t="str">
        <f t="shared" si="1"/>
        <v>Reserve Acquisition - Area 4</v>
      </c>
      <c r="D5" s="799" t="s">
        <v>2634</v>
      </c>
      <c r="E5" s="799" t="str">
        <f t="shared" si="2"/>
        <v>Reserve Acquisition - Area 4</v>
      </c>
      <c r="F5" s="799" t="s">
        <v>3608</v>
      </c>
      <c r="G5" s="799" t="str">
        <f t="shared" si="3"/>
        <v>Area 4</v>
      </c>
      <c r="H5" s="799"/>
      <c r="I5" s="799" t="s">
        <v>5444</v>
      </c>
      <c r="J5" t="str">
        <f t="shared" si="0"/>
        <v>OSL</v>
      </c>
    </row>
    <row r="6" spans="1:10">
      <c r="A6" s="799" t="s">
        <v>5525</v>
      </c>
      <c r="B6" s="799" t="s">
        <v>2395</v>
      </c>
      <c r="C6" s="799" t="str">
        <f t="shared" si="1"/>
        <v>Reserve Acquisition - Warkworth</v>
      </c>
      <c r="D6" s="799" t="s">
        <v>2636</v>
      </c>
      <c r="E6" s="799" t="str">
        <f t="shared" si="2"/>
        <v>Reserve Acquisition - Warkworth</v>
      </c>
      <c r="F6" s="799" t="s">
        <v>3607</v>
      </c>
      <c r="G6" s="799" t="str">
        <f t="shared" si="3"/>
        <v>Warkworth</v>
      </c>
      <c r="H6" s="799" t="s">
        <v>3607</v>
      </c>
      <c r="I6" s="799" t="s">
        <v>5444</v>
      </c>
      <c r="J6" t="str">
        <f t="shared" si="0"/>
        <v>OSL</v>
      </c>
    </row>
    <row r="7" spans="1:10">
      <c r="A7" s="799" t="s">
        <v>5525</v>
      </c>
      <c r="B7" s="799" t="s">
        <v>2566</v>
      </c>
      <c r="C7" s="799" t="str">
        <f t="shared" si="1"/>
        <v>Reserve Acquisition - Dairy Flat</v>
      </c>
      <c r="D7" s="799" t="s">
        <v>2638</v>
      </c>
      <c r="E7" s="799" t="str">
        <f t="shared" si="2"/>
        <v>Reserve Acquisition - Dairy Flat</v>
      </c>
      <c r="F7" s="799" t="s">
        <v>3607</v>
      </c>
      <c r="G7" s="799" t="str">
        <f t="shared" si="3"/>
        <v>Dairy Flat</v>
      </c>
      <c r="H7" s="799" t="s">
        <v>3607</v>
      </c>
      <c r="I7" s="799" t="s">
        <v>5444</v>
      </c>
      <c r="J7" t="str">
        <f t="shared" si="0"/>
        <v>OSL</v>
      </c>
    </row>
    <row r="8" spans="1:10">
      <c r="A8" s="799" t="s">
        <v>5525</v>
      </c>
      <c r="B8" s="799" t="s">
        <v>4391</v>
      </c>
      <c r="C8" s="799" t="str">
        <f t="shared" si="1"/>
        <v>Reserve Acquisition - Northwest Greenfield</v>
      </c>
      <c r="D8" s="799" t="s">
        <v>2640</v>
      </c>
      <c r="E8" s="799" t="str">
        <f t="shared" si="2"/>
        <v>Reserve Acquisition - Northwest Greenfield</v>
      </c>
      <c r="F8" s="799" t="s">
        <v>3608</v>
      </c>
      <c r="G8" s="799" t="str">
        <f t="shared" si="3"/>
        <v>Northwest Greenfield</v>
      </c>
      <c r="H8" s="799" t="s">
        <v>5445</v>
      </c>
      <c r="I8" s="799" t="s">
        <v>5444</v>
      </c>
      <c r="J8" t="str">
        <f t="shared" si="0"/>
        <v>OSL</v>
      </c>
    </row>
    <row r="9" spans="1:10">
      <c r="A9" s="799" t="s">
        <v>5525</v>
      </c>
      <c r="B9" s="799" t="s">
        <v>4392</v>
      </c>
      <c r="C9" s="799" t="str">
        <f t="shared" si="1"/>
        <v>Reserve Acquisition - North Greenfield</v>
      </c>
      <c r="D9" s="799" t="s">
        <v>2642</v>
      </c>
      <c r="E9" s="799" t="str">
        <f t="shared" si="2"/>
        <v>Reserve Acquisition - North Greenfield</v>
      </c>
      <c r="F9" s="799" t="s">
        <v>3608</v>
      </c>
      <c r="G9" s="799" t="str">
        <f t="shared" si="3"/>
        <v>North Greenfield</v>
      </c>
      <c r="H9" s="799" t="s">
        <v>5445</v>
      </c>
      <c r="I9" s="799" t="s">
        <v>5444</v>
      </c>
      <c r="J9" t="str">
        <f t="shared" si="0"/>
        <v>OSL</v>
      </c>
    </row>
    <row r="10" spans="1:10">
      <c r="A10" s="799" t="s">
        <v>5525</v>
      </c>
      <c r="B10" s="799" t="s">
        <v>4393</v>
      </c>
      <c r="C10" s="799" t="str">
        <f t="shared" si="1"/>
        <v>Reserve Acquisition - South Greenfield</v>
      </c>
      <c r="D10" s="799" t="s">
        <v>2644</v>
      </c>
      <c r="E10" s="799" t="str">
        <f t="shared" si="2"/>
        <v>Reserve Acquisition - South Greenfield</v>
      </c>
      <c r="F10" s="799" t="s">
        <v>3608</v>
      </c>
      <c r="G10" s="799" t="str">
        <f t="shared" si="3"/>
        <v>South Greenfield</v>
      </c>
      <c r="H10" s="799" t="s">
        <v>5445</v>
      </c>
      <c r="I10" s="799" t="s">
        <v>5444</v>
      </c>
      <c r="J10" t="str">
        <f t="shared" si="0"/>
        <v>OSL</v>
      </c>
    </row>
    <row r="11" spans="1:10">
      <c r="A11" s="799" t="s">
        <v>5525</v>
      </c>
      <c r="B11" s="799" t="s">
        <v>2570</v>
      </c>
      <c r="C11" s="799" t="str">
        <f t="shared" si="1"/>
        <v>Reserve Acquisition - Flatbush</v>
      </c>
      <c r="D11" s="799" t="s">
        <v>2646</v>
      </c>
      <c r="E11" s="799" t="str">
        <f t="shared" si="2"/>
        <v>Reserve Acquisition - Flatbush</v>
      </c>
      <c r="F11" s="799" t="s">
        <v>3607</v>
      </c>
      <c r="G11" s="799" t="str">
        <f t="shared" si="3"/>
        <v>Flatbush</v>
      </c>
      <c r="H11" s="799" t="s">
        <v>3607</v>
      </c>
      <c r="I11" s="799" t="s">
        <v>5444</v>
      </c>
      <c r="J11" t="str">
        <f t="shared" si="0"/>
        <v>OSL</v>
      </c>
    </row>
    <row r="12" spans="1:10">
      <c r="A12" s="799" t="s">
        <v>5525</v>
      </c>
      <c r="B12" s="799" t="s">
        <v>2571</v>
      </c>
      <c r="C12" s="799" t="str">
        <f t="shared" si="1"/>
        <v>Reserve Acquisition - Takanini</v>
      </c>
      <c r="D12" s="799" t="s">
        <v>2648</v>
      </c>
      <c r="E12" s="799" t="str">
        <f t="shared" si="2"/>
        <v>Reserve Acquisition - Takanini</v>
      </c>
      <c r="F12" s="799" t="s">
        <v>3607</v>
      </c>
      <c r="G12" s="799" t="str">
        <f t="shared" si="3"/>
        <v>Takanini</v>
      </c>
      <c r="H12" s="799" t="s">
        <v>3607</v>
      </c>
      <c r="I12" s="799" t="s">
        <v>5444</v>
      </c>
      <c r="J12" t="str">
        <f t="shared" si="0"/>
        <v>OSL</v>
      </c>
    </row>
    <row r="13" spans="1:10">
      <c r="A13" s="799" t="s">
        <v>5525</v>
      </c>
      <c r="B13" s="799" t="s">
        <v>2572</v>
      </c>
      <c r="C13" s="799" t="str">
        <f t="shared" si="1"/>
        <v>Reserve Acquisition - Opaheke / Drury</v>
      </c>
      <c r="D13" s="799" t="s">
        <v>2650</v>
      </c>
      <c r="E13" s="799" t="str">
        <f t="shared" si="2"/>
        <v>Reserve Acquisition - Opaheke / Drury</v>
      </c>
      <c r="F13" s="799" t="s">
        <v>3607</v>
      </c>
      <c r="G13" s="799" t="str">
        <f t="shared" si="3"/>
        <v>Opaheke / Drury</v>
      </c>
      <c r="H13" s="799" t="s">
        <v>3607</v>
      </c>
      <c r="I13" s="799" t="s">
        <v>5444</v>
      </c>
      <c r="J13" t="str">
        <f t="shared" si="0"/>
        <v>OSL</v>
      </c>
    </row>
    <row r="14" spans="1:10">
      <c r="A14" s="799" t="s">
        <v>5525</v>
      </c>
      <c r="B14" s="799" t="s">
        <v>2573</v>
      </c>
      <c r="C14" s="799" t="str">
        <f t="shared" si="1"/>
        <v>Reserve Acquisition - Hingaia</v>
      </c>
      <c r="D14" s="799" t="s">
        <v>2652</v>
      </c>
      <c r="E14" s="799" t="str">
        <f t="shared" si="2"/>
        <v>Reserve Acquisition - Hingaia</v>
      </c>
      <c r="F14" s="799" t="s">
        <v>3607</v>
      </c>
      <c r="G14" s="799" t="str">
        <f t="shared" si="3"/>
        <v>Hingaia</v>
      </c>
      <c r="H14" s="799" t="s">
        <v>3607</v>
      </c>
      <c r="I14" s="799" t="s">
        <v>5444</v>
      </c>
      <c r="J14" t="str">
        <f t="shared" si="0"/>
        <v>OSL</v>
      </c>
    </row>
    <row r="15" spans="1:10">
      <c r="A15" s="799" t="s">
        <v>5525</v>
      </c>
      <c r="B15" s="799" t="s">
        <v>2574</v>
      </c>
      <c r="C15" s="799" t="str">
        <f t="shared" si="1"/>
        <v>Reserve Acquisition - Paerata / Pukekohe</v>
      </c>
      <c r="D15" s="799" t="s">
        <v>2654</v>
      </c>
      <c r="E15" s="799" t="str">
        <f t="shared" si="2"/>
        <v>Reserve Acquisition - Paerata / Pukekohe</v>
      </c>
      <c r="F15" s="799" t="s">
        <v>3607</v>
      </c>
      <c r="G15" s="799" t="str">
        <f t="shared" si="3"/>
        <v>Paerata / Pukekohe</v>
      </c>
      <c r="H15" s="799" t="s">
        <v>3607</v>
      </c>
      <c r="I15" s="799" t="s">
        <v>5444</v>
      </c>
      <c r="J15" t="str">
        <f t="shared" si="0"/>
        <v>OSL</v>
      </c>
    </row>
    <row r="16" spans="1:10">
      <c r="A16" s="799" t="s">
        <v>5525</v>
      </c>
      <c r="B16" s="799" t="s">
        <v>2425</v>
      </c>
      <c r="C16" s="799" t="str">
        <f t="shared" si="1"/>
        <v>Reserve Acquisition - Hibiscus</v>
      </c>
      <c r="D16" s="799" t="s">
        <v>2656</v>
      </c>
      <c r="E16" s="799" t="str">
        <f t="shared" si="2"/>
        <v>Reserve Acquisition - Hibiscus</v>
      </c>
      <c r="F16" s="799" t="s">
        <v>3607</v>
      </c>
      <c r="G16" s="799" t="str">
        <f t="shared" si="3"/>
        <v>Hibiscus</v>
      </c>
      <c r="H16" s="799" t="s">
        <v>3607</v>
      </c>
      <c r="I16" s="799" t="s">
        <v>5444</v>
      </c>
      <c r="J16" t="str">
        <f t="shared" si="0"/>
        <v>OSL</v>
      </c>
    </row>
    <row r="17" spans="1:10">
      <c r="A17" s="799" t="s">
        <v>5525</v>
      </c>
      <c r="B17" s="799" t="s">
        <v>2426</v>
      </c>
      <c r="C17" s="799" t="str">
        <f t="shared" si="1"/>
        <v>Reserve Acquisition - North Shore</v>
      </c>
      <c r="D17" s="799" t="s">
        <v>2658</v>
      </c>
      <c r="E17" s="799" t="str">
        <f t="shared" si="2"/>
        <v>Reserve Acquisition - North Shore</v>
      </c>
      <c r="F17" s="799" t="s">
        <v>3607</v>
      </c>
      <c r="G17" s="799" t="str">
        <f t="shared" si="3"/>
        <v>North Shore</v>
      </c>
      <c r="H17" s="799" t="s">
        <v>3607</v>
      </c>
      <c r="I17" s="799" t="s">
        <v>5444</v>
      </c>
      <c r="J17" t="str">
        <f t="shared" si="0"/>
        <v>OSL</v>
      </c>
    </row>
    <row r="18" spans="1:10">
      <c r="A18" s="799" t="s">
        <v>5525</v>
      </c>
      <c r="B18" s="799" t="s">
        <v>1207</v>
      </c>
      <c r="C18" s="799" t="str">
        <f t="shared" si="1"/>
        <v>Reserve Acquisition - West</v>
      </c>
      <c r="D18" s="799" t="s">
        <v>2660</v>
      </c>
      <c r="E18" s="799" t="str">
        <f t="shared" si="2"/>
        <v>Reserve Acquisition - West</v>
      </c>
      <c r="F18" s="799" t="s">
        <v>3608</v>
      </c>
      <c r="G18" s="799" t="str">
        <f t="shared" si="3"/>
        <v>West</v>
      </c>
      <c r="H18" s="799" t="s">
        <v>3607</v>
      </c>
      <c r="I18" s="799" t="s">
        <v>5444</v>
      </c>
      <c r="J18" t="str">
        <f t="shared" si="0"/>
        <v>OSL</v>
      </c>
    </row>
    <row r="19" spans="1:10">
      <c r="A19" s="799" t="s">
        <v>5525</v>
      </c>
      <c r="B19" s="799" t="s">
        <v>1208</v>
      </c>
      <c r="C19" s="799" t="str">
        <f t="shared" si="1"/>
        <v>Reserve Acquisition - Central</v>
      </c>
      <c r="D19" s="799" t="s">
        <v>2662</v>
      </c>
      <c r="E19" s="799" t="str">
        <f t="shared" si="2"/>
        <v>Reserve Acquisition - Central</v>
      </c>
      <c r="F19" s="799" t="s">
        <v>3608</v>
      </c>
      <c r="G19" s="799" t="str">
        <f t="shared" si="3"/>
        <v>Central</v>
      </c>
      <c r="H19" s="799" t="s">
        <v>3607</v>
      </c>
      <c r="I19" s="799" t="s">
        <v>5444</v>
      </c>
      <c r="J19" t="str">
        <f t="shared" si="0"/>
        <v>OSL</v>
      </c>
    </row>
    <row r="20" spans="1:10">
      <c r="A20" s="799" t="s">
        <v>5525</v>
      </c>
      <c r="B20" s="799" t="s">
        <v>2582</v>
      </c>
      <c r="C20" s="799" t="str">
        <f t="shared" si="1"/>
        <v>Reserve Acquisition - South (West)</v>
      </c>
      <c r="D20" s="799" t="s">
        <v>2664</v>
      </c>
      <c r="E20" s="799" t="str">
        <f t="shared" si="2"/>
        <v>Reserve Acquisition - South (West)</v>
      </c>
      <c r="F20" s="799" t="s">
        <v>3608</v>
      </c>
      <c r="G20" s="799" t="str">
        <f t="shared" si="3"/>
        <v>South (West)</v>
      </c>
      <c r="H20" s="799" t="s">
        <v>3607</v>
      </c>
      <c r="I20" s="799" t="s">
        <v>5444</v>
      </c>
      <c r="J20" t="str">
        <f t="shared" si="0"/>
        <v>OSL</v>
      </c>
    </row>
    <row r="21" spans="1:10">
      <c r="A21" s="799" t="s">
        <v>5525</v>
      </c>
      <c r="B21" s="799" t="s">
        <v>2583</v>
      </c>
      <c r="C21" s="799" t="str">
        <f t="shared" si="1"/>
        <v>Reserve Acquisition - South (East)</v>
      </c>
      <c r="D21" s="799" t="s">
        <v>2666</v>
      </c>
      <c r="E21" s="799" t="str">
        <f t="shared" si="2"/>
        <v>Reserve Acquisition - South (East)</v>
      </c>
      <c r="F21" s="799" t="s">
        <v>3608</v>
      </c>
      <c r="G21" s="799" t="str">
        <f t="shared" si="3"/>
        <v>South (East)</v>
      </c>
      <c r="H21" s="799" t="s">
        <v>3607</v>
      </c>
      <c r="I21" s="799" t="s">
        <v>5444</v>
      </c>
      <c r="J21" t="str">
        <f t="shared" si="0"/>
        <v>OSL</v>
      </c>
    </row>
    <row r="22" spans="1:10">
      <c r="A22" s="799" t="s">
        <v>5525</v>
      </c>
      <c r="B22" s="799" t="s">
        <v>2584</v>
      </c>
      <c r="C22" s="799" t="str">
        <f t="shared" si="1"/>
        <v>Reserve Acquisition - Rural North Upper</v>
      </c>
      <c r="D22" s="799" t="s">
        <v>2668</v>
      </c>
      <c r="E22" s="799" t="str">
        <f t="shared" si="2"/>
        <v>Reserve Acquisition - Rural North Upper</v>
      </c>
      <c r="F22" s="799" t="s">
        <v>3608</v>
      </c>
      <c r="G22" s="799" t="str">
        <f t="shared" si="3"/>
        <v>Rural North Upper</v>
      </c>
      <c r="H22" s="799" t="s">
        <v>3607</v>
      </c>
      <c r="I22" s="799" t="s">
        <v>5444</v>
      </c>
      <c r="J22" t="str">
        <f t="shared" si="0"/>
        <v>OSL</v>
      </c>
    </row>
    <row r="23" spans="1:10">
      <c r="A23" s="799" t="s">
        <v>5525</v>
      </c>
      <c r="B23" s="799" t="s">
        <v>2585</v>
      </c>
      <c r="C23" s="799" t="str">
        <f t="shared" si="1"/>
        <v>Reserve Acquisition - Rural North Lower</v>
      </c>
      <c r="D23" s="799" t="s">
        <v>2670</v>
      </c>
      <c r="E23" s="799" t="str">
        <f t="shared" si="2"/>
        <v>Reserve Acquisition - Rural North Lower</v>
      </c>
      <c r="F23" s="799" t="s">
        <v>3608</v>
      </c>
      <c r="G23" s="799" t="str">
        <f t="shared" si="3"/>
        <v>Rural North Lower</v>
      </c>
      <c r="H23" s="799" t="s">
        <v>3607</v>
      </c>
      <c r="I23" s="799" t="s">
        <v>5444</v>
      </c>
      <c r="J23" t="str">
        <f t="shared" si="0"/>
        <v>OSL</v>
      </c>
    </row>
    <row r="24" spans="1:10">
      <c r="A24" s="799" t="s">
        <v>5525</v>
      </c>
      <c r="B24" s="799" t="s">
        <v>2586</v>
      </c>
      <c r="C24" s="799" t="str">
        <f t="shared" si="1"/>
        <v>Reserve Acquisition - Rural West</v>
      </c>
      <c r="D24" s="799" t="s">
        <v>2672</v>
      </c>
      <c r="E24" s="799" t="str">
        <f t="shared" si="2"/>
        <v>Reserve Acquisition - Rural West</v>
      </c>
      <c r="F24" s="799" t="s">
        <v>3608</v>
      </c>
      <c r="G24" s="799" t="str">
        <f t="shared" si="3"/>
        <v>Rural West</v>
      </c>
      <c r="H24" s="799" t="s">
        <v>3607</v>
      </c>
      <c r="I24" s="799" t="s">
        <v>5444</v>
      </c>
      <c r="J24" t="str">
        <f t="shared" si="0"/>
        <v>OSL</v>
      </c>
    </row>
    <row r="25" spans="1:10">
      <c r="A25" s="799" t="s">
        <v>5525</v>
      </c>
      <c r="B25" s="799" t="s">
        <v>2587</v>
      </c>
      <c r="C25" s="799" t="str">
        <f t="shared" si="1"/>
        <v>Reserve Acquisition - Rural South West</v>
      </c>
      <c r="D25" s="799" t="s">
        <v>2674</v>
      </c>
      <c r="E25" s="799" t="str">
        <f t="shared" si="2"/>
        <v>Reserve Acquisition - Rural South West</v>
      </c>
      <c r="F25" s="799" t="s">
        <v>3608</v>
      </c>
      <c r="G25" s="799" t="str">
        <f t="shared" si="3"/>
        <v>Rural South West</v>
      </c>
      <c r="H25" s="799" t="s">
        <v>3607</v>
      </c>
      <c r="I25" s="799" t="s">
        <v>5444</v>
      </c>
      <c r="J25" t="str">
        <f t="shared" si="0"/>
        <v>OSL</v>
      </c>
    </row>
    <row r="26" spans="1:10">
      <c r="A26" s="799" t="s">
        <v>5525</v>
      </c>
      <c r="B26" s="799" t="s">
        <v>2588</v>
      </c>
      <c r="C26" s="799" t="str">
        <f t="shared" si="1"/>
        <v>Reserve Acquisition - Rural South East</v>
      </c>
      <c r="D26" s="799" t="s">
        <v>2676</v>
      </c>
      <c r="E26" s="799" t="str">
        <f t="shared" si="2"/>
        <v>Reserve Acquisition - Rural South East</v>
      </c>
      <c r="F26" s="799" t="s">
        <v>3608</v>
      </c>
      <c r="G26" s="799" t="str">
        <f t="shared" si="3"/>
        <v>Rural South East</v>
      </c>
      <c r="H26" s="799" t="s">
        <v>3607</v>
      </c>
      <c r="I26" s="799" t="s">
        <v>5444</v>
      </c>
      <c r="J26" t="str">
        <f t="shared" si="0"/>
        <v>OSL</v>
      </c>
    </row>
    <row r="27" spans="1:10">
      <c r="A27" s="799" t="s">
        <v>5525</v>
      </c>
      <c r="B27" s="799" t="s">
        <v>2427</v>
      </c>
      <c r="C27" s="799" t="str">
        <f t="shared" si="1"/>
        <v>Reserve Acquisition - Rural Islands</v>
      </c>
      <c r="D27" s="799" t="s">
        <v>2678</v>
      </c>
      <c r="E27" s="799" t="str">
        <f t="shared" si="2"/>
        <v>Reserve Acquisition - Rural Islands</v>
      </c>
      <c r="F27" s="799" t="s">
        <v>3607</v>
      </c>
      <c r="G27" s="799" t="str">
        <f t="shared" si="3"/>
        <v>Rural Islands</v>
      </c>
      <c r="H27" s="799" t="s">
        <v>3607</v>
      </c>
      <c r="I27" s="799" t="s">
        <v>5444</v>
      </c>
      <c r="J27" t="str">
        <f t="shared" si="0"/>
        <v>OSL</v>
      </c>
    </row>
    <row r="28" spans="1:10">
      <c r="A28" s="799" t="s">
        <v>5525</v>
      </c>
      <c r="B28" s="799" t="s">
        <v>3054</v>
      </c>
      <c r="C28" s="799" t="str">
        <f t="shared" si="1"/>
        <v>Reserve Acquisition - Tamaki</v>
      </c>
      <c r="D28" s="799" t="s">
        <v>2680</v>
      </c>
      <c r="E28" s="799" t="str">
        <f t="shared" si="2"/>
        <v>Reserve Acquisition - Tamaki</v>
      </c>
      <c r="F28" s="799" t="s">
        <v>3607</v>
      </c>
      <c r="G28" s="799" t="str">
        <f t="shared" si="3"/>
        <v>Tamaki</v>
      </c>
      <c r="H28" s="799" t="s">
        <v>3607</v>
      </c>
      <c r="I28" s="799" t="s">
        <v>5444</v>
      </c>
      <c r="J28" t="str">
        <f t="shared" si="0"/>
        <v>OSL</v>
      </c>
    </row>
    <row r="29" spans="1:10">
      <c r="A29" s="799" t="s">
        <v>5525</v>
      </c>
      <c r="B29" s="799" t="s">
        <v>7052</v>
      </c>
      <c r="C29" s="799" t="str">
        <f t="shared" si="1"/>
        <v>Reserve Acquisition - Drury IPA</v>
      </c>
      <c r="D29" s="799" t="s">
        <v>2682</v>
      </c>
      <c r="E29" s="799" t="str">
        <f t="shared" si="2"/>
        <v>Reserve Acquisition - Drury IPA</v>
      </c>
      <c r="F29" s="799" t="s">
        <v>3607</v>
      </c>
      <c r="G29" s="799" t="str">
        <f t="shared" si="3"/>
        <v>Drury IPA</v>
      </c>
      <c r="H29" s="799"/>
      <c r="I29" s="799" t="s">
        <v>5444</v>
      </c>
      <c r="J29" t="str">
        <f t="shared" si="0"/>
        <v>OSL</v>
      </c>
    </row>
    <row r="30" spans="1:10">
      <c r="A30" s="799" t="s">
        <v>5525</v>
      </c>
      <c r="B30" s="799" t="s">
        <v>6900</v>
      </c>
      <c r="C30" s="799" t="str">
        <f t="shared" si="1"/>
        <v>Reserve Acquisition - Auranga</v>
      </c>
      <c r="D30" s="799" t="s">
        <v>2684</v>
      </c>
      <c r="E30" s="799" t="str">
        <f t="shared" si="2"/>
        <v>Reserve Acquisition - Auranga</v>
      </c>
      <c r="F30" s="799" t="s">
        <v>3607</v>
      </c>
      <c r="G30" s="799" t="str">
        <f t="shared" si="3"/>
        <v>Auranga</v>
      </c>
      <c r="H30" s="799"/>
      <c r="I30" s="799" t="s">
        <v>5444</v>
      </c>
      <c r="J30" t="str">
        <f t="shared" si="0"/>
        <v>OSL</v>
      </c>
    </row>
    <row r="31" spans="1:10">
      <c r="A31" s="799" t="s">
        <v>5525</v>
      </c>
      <c r="B31" s="799" t="s">
        <v>6701</v>
      </c>
      <c r="C31" s="799" t="str">
        <f t="shared" si="1"/>
        <v>Reserve Acquisition - Drury West 1 IPA</v>
      </c>
      <c r="D31" s="799" t="s">
        <v>2686</v>
      </c>
      <c r="E31" s="799" t="str">
        <f t="shared" si="2"/>
        <v>Reserve Acquisition - Drury West 1 IPA</v>
      </c>
      <c r="F31" s="799" t="s">
        <v>3607</v>
      </c>
      <c r="G31" s="799" t="str">
        <f t="shared" si="3"/>
        <v>Drury West 1 IPA</v>
      </c>
      <c r="H31" s="799"/>
      <c r="I31" s="799" t="s">
        <v>5444</v>
      </c>
      <c r="J31" t="str">
        <f t="shared" si="0"/>
        <v>OSL</v>
      </c>
    </row>
    <row r="32" spans="1:10">
      <c r="A32" s="799" t="s">
        <v>5525</v>
      </c>
      <c r="B32" s="799" t="s">
        <v>6702</v>
      </c>
      <c r="C32" s="799" t="str">
        <f t="shared" si="1"/>
        <v>Reserve Acquisition - Drury West 2 IPA</v>
      </c>
      <c r="D32" s="799" t="s">
        <v>2688</v>
      </c>
      <c r="E32" s="799" t="str">
        <f t="shared" si="2"/>
        <v>Reserve Acquisition - Drury West 2 IPA</v>
      </c>
      <c r="F32" s="799" t="s">
        <v>3607</v>
      </c>
      <c r="G32" s="799" t="str">
        <f t="shared" si="3"/>
        <v>Drury West 2 IPA</v>
      </c>
      <c r="H32" s="799"/>
      <c r="I32" s="799" t="s">
        <v>5444</v>
      </c>
      <c r="J32" t="str">
        <f t="shared" si="0"/>
        <v>OSL</v>
      </c>
    </row>
    <row r="33" spans="1:10">
      <c r="A33" s="799" t="s">
        <v>5525</v>
      </c>
      <c r="B33" s="799" t="s">
        <v>6703</v>
      </c>
      <c r="C33" s="799" t="str">
        <f t="shared" si="1"/>
        <v>Reserve Acquisition - Opaheke IPA</v>
      </c>
      <c r="D33" s="799" t="s">
        <v>2690</v>
      </c>
      <c r="E33" s="799" t="str">
        <f t="shared" si="2"/>
        <v>Reserve Acquisition - Opaheke IPA</v>
      </c>
      <c r="F33" s="799" t="s">
        <v>3607</v>
      </c>
      <c r="G33" s="799" t="str">
        <f t="shared" si="3"/>
        <v>Opaheke IPA</v>
      </c>
      <c r="H33" s="799"/>
      <c r="I33" s="799" t="s">
        <v>5444</v>
      </c>
      <c r="J33" t="str">
        <f t="shared" si="0"/>
        <v>OSL</v>
      </c>
    </row>
    <row r="34" spans="1:10">
      <c r="A34" s="799" t="s">
        <v>5525</v>
      </c>
      <c r="B34" s="799" t="s">
        <v>6700</v>
      </c>
      <c r="C34" s="799" t="str">
        <f t="shared" si="1"/>
        <v>Reserve Acquisition - Drury East IPA</v>
      </c>
      <c r="D34" s="799" t="s">
        <v>2692</v>
      </c>
      <c r="E34" s="799" t="str">
        <f t="shared" si="2"/>
        <v>Reserve Acquisition - Drury East IPA</v>
      </c>
      <c r="F34" s="799" t="s">
        <v>3607</v>
      </c>
      <c r="G34" s="799" t="str">
        <f t="shared" si="3"/>
        <v>Drury East IPA</v>
      </c>
      <c r="H34" s="799"/>
      <c r="I34" s="799" t="s">
        <v>5444</v>
      </c>
      <c r="J34" t="str">
        <f t="shared" si="0"/>
        <v>OSL</v>
      </c>
    </row>
    <row r="35" spans="1:10">
      <c r="A35" s="799" t="s">
        <v>5525</v>
      </c>
      <c r="B35" s="799" t="s">
        <v>6901</v>
      </c>
      <c r="C35" s="799" t="str">
        <f t="shared" si="1"/>
        <v>Reserve Acquisition - Drury IPA (Community spaces)</v>
      </c>
      <c r="D35" s="799" t="s">
        <v>2694</v>
      </c>
      <c r="E35" s="799" t="str">
        <f t="shared" si="2"/>
        <v>Reserve Acquisition - Drury IPA (Community spaces)</v>
      </c>
      <c r="F35" s="799" t="s">
        <v>3607</v>
      </c>
      <c r="G35" s="799" t="str">
        <f t="shared" si="3"/>
        <v>Drury IPA (Community spaces)</v>
      </c>
      <c r="H35" s="799"/>
      <c r="I35" s="799" t="s">
        <v>5444</v>
      </c>
      <c r="J35" t="str">
        <f t="shared" si="0"/>
        <v>OSL</v>
      </c>
    </row>
    <row r="36" spans="1:10">
      <c r="A36" s="799" t="s">
        <v>5525</v>
      </c>
      <c r="B36" s="799" t="s">
        <v>2697</v>
      </c>
      <c r="C36" s="799" t="str">
        <f t="shared" si="1"/>
        <v>Reserve Acquisition - Area 35</v>
      </c>
      <c r="D36" s="799" t="s">
        <v>2696</v>
      </c>
      <c r="E36" s="799" t="str">
        <f t="shared" si="2"/>
        <v>Reserve Acquisition - Area 35</v>
      </c>
      <c r="F36" s="799" t="s">
        <v>3607</v>
      </c>
      <c r="G36" s="799" t="str">
        <f t="shared" si="3"/>
        <v>Area 35</v>
      </c>
      <c r="H36" s="799"/>
      <c r="I36" s="799" t="s">
        <v>5444</v>
      </c>
      <c r="J36" t="str">
        <f t="shared" si="0"/>
        <v>OSL</v>
      </c>
    </row>
    <row r="37" spans="1:10">
      <c r="A37" s="799" t="s">
        <v>5525</v>
      </c>
      <c r="B37" s="799" t="s">
        <v>2699</v>
      </c>
      <c r="C37" s="799" t="str">
        <f t="shared" si="1"/>
        <v>Reserve Acquisition - Area 36</v>
      </c>
      <c r="D37" s="799" t="s">
        <v>2698</v>
      </c>
      <c r="E37" s="799" t="str">
        <f t="shared" si="2"/>
        <v>Reserve Acquisition - Area 36</v>
      </c>
      <c r="F37" s="799" t="s">
        <v>3607</v>
      </c>
      <c r="G37" s="799" t="str">
        <f t="shared" si="3"/>
        <v>Area 36</v>
      </c>
      <c r="H37" s="799"/>
      <c r="I37" s="799" t="s">
        <v>5444</v>
      </c>
      <c r="J37" t="str">
        <f t="shared" si="0"/>
        <v>OSL</v>
      </c>
    </row>
    <row r="38" spans="1:10">
      <c r="A38" s="799" t="s">
        <v>5525</v>
      </c>
      <c r="B38" s="799" t="s">
        <v>2701</v>
      </c>
      <c r="C38" s="799" t="str">
        <f t="shared" si="1"/>
        <v>Reserve Acquisition - Area 37</v>
      </c>
      <c r="D38" s="799" t="s">
        <v>2700</v>
      </c>
      <c r="E38" s="799" t="str">
        <f t="shared" si="2"/>
        <v>Reserve Acquisition - Area 37</v>
      </c>
      <c r="F38" s="799" t="s">
        <v>3607</v>
      </c>
      <c r="G38" s="799" t="str">
        <f t="shared" si="3"/>
        <v>Area 37</v>
      </c>
      <c r="H38" s="799"/>
      <c r="I38" s="799" t="s">
        <v>5444</v>
      </c>
      <c r="J38" t="str">
        <f t="shared" si="0"/>
        <v>OSL</v>
      </c>
    </row>
    <row r="39" spans="1:10">
      <c r="A39" s="799" t="s">
        <v>5525</v>
      </c>
      <c r="B39" s="799" t="s">
        <v>2703</v>
      </c>
      <c r="C39" s="799" t="str">
        <f t="shared" si="1"/>
        <v>Reserve Acquisition - Area 38</v>
      </c>
      <c r="D39" s="799" t="s">
        <v>2702</v>
      </c>
      <c r="E39" s="799" t="str">
        <f t="shared" si="2"/>
        <v>Reserve Acquisition - Area 38</v>
      </c>
      <c r="F39" s="799" t="s">
        <v>3607</v>
      </c>
      <c r="G39" s="799" t="str">
        <f t="shared" si="3"/>
        <v>Area 38</v>
      </c>
      <c r="H39" s="799"/>
      <c r="I39" s="799" t="s">
        <v>5444</v>
      </c>
      <c r="J39" t="str">
        <f t="shared" si="0"/>
        <v>OSL</v>
      </c>
    </row>
    <row r="40" spans="1:10">
      <c r="A40" s="799" t="s">
        <v>5525</v>
      </c>
      <c r="B40" s="799" t="s">
        <v>2705</v>
      </c>
      <c r="C40" s="799" t="str">
        <f t="shared" si="1"/>
        <v>Reserve Acquisition - Area 39</v>
      </c>
      <c r="D40" s="799" t="s">
        <v>2704</v>
      </c>
      <c r="E40" s="799" t="str">
        <f t="shared" si="2"/>
        <v>Reserve Acquisition - Area 39</v>
      </c>
      <c r="F40" s="799" t="s">
        <v>3607</v>
      </c>
      <c r="G40" s="799" t="str">
        <f t="shared" si="3"/>
        <v>Area 39</v>
      </c>
      <c r="H40" s="799"/>
      <c r="I40" s="799" t="s">
        <v>5444</v>
      </c>
      <c r="J40" t="str">
        <f t="shared" si="0"/>
        <v>OSL</v>
      </c>
    </row>
    <row r="41" spans="1:10">
      <c r="A41" s="799" t="s">
        <v>5525</v>
      </c>
      <c r="B41" s="799" t="s">
        <v>2707</v>
      </c>
      <c r="C41" s="799" t="str">
        <f t="shared" si="1"/>
        <v>Reserve Acquisition - Area 40</v>
      </c>
      <c r="D41" s="799" t="s">
        <v>2706</v>
      </c>
      <c r="E41" s="799" t="str">
        <f t="shared" si="2"/>
        <v>Reserve Acquisition - Area 40</v>
      </c>
      <c r="F41" s="799" t="s">
        <v>3607</v>
      </c>
      <c r="G41" s="799" t="str">
        <f t="shared" si="3"/>
        <v>Area 40</v>
      </c>
      <c r="H41" s="799"/>
      <c r="I41" s="799" t="s">
        <v>5444</v>
      </c>
      <c r="J41" t="str">
        <f t="shared" si="0"/>
        <v>OSL</v>
      </c>
    </row>
    <row r="42" spans="1:10">
      <c r="A42" s="799" t="s">
        <v>5525</v>
      </c>
      <c r="B42" s="799" t="s">
        <v>2709</v>
      </c>
      <c r="C42" s="799" t="str">
        <f t="shared" si="1"/>
        <v>Reserve Acquisition - Area 41</v>
      </c>
      <c r="D42" s="799" t="s">
        <v>2708</v>
      </c>
      <c r="E42" s="799" t="str">
        <f t="shared" si="2"/>
        <v>Reserve Acquisition - Area 41</v>
      </c>
      <c r="F42" s="799" t="s">
        <v>3607</v>
      </c>
      <c r="G42" s="799" t="str">
        <f t="shared" si="3"/>
        <v>Area 41</v>
      </c>
      <c r="H42" s="799"/>
      <c r="I42" s="799" t="s">
        <v>5444</v>
      </c>
      <c r="J42" t="str">
        <f t="shared" si="0"/>
        <v>OSL</v>
      </c>
    </row>
    <row r="43" spans="1:10">
      <c r="A43" s="799" t="s">
        <v>5525</v>
      </c>
      <c r="B43" s="799" t="s">
        <v>2711</v>
      </c>
      <c r="C43" s="799" t="str">
        <f t="shared" si="1"/>
        <v>Reserve Acquisition - Area 42</v>
      </c>
      <c r="D43" s="799" t="s">
        <v>2710</v>
      </c>
      <c r="E43" s="799" t="str">
        <f t="shared" si="2"/>
        <v>Reserve Acquisition - Area 42</v>
      </c>
      <c r="F43" s="799" t="s">
        <v>3607</v>
      </c>
      <c r="G43" s="799" t="str">
        <f t="shared" si="3"/>
        <v>Area 42</v>
      </c>
      <c r="H43" s="799"/>
      <c r="I43" s="799" t="s">
        <v>5444</v>
      </c>
      <c r="J43" t="str">
        <f t="shared" si="0"/>
        <v>OSL</v>
      </c>
    </row>
    <row r="44" spans="1:10">
      <c r="A44" s="799" t="s">
        <v>5525</v>
      </c>
      <c r="B44" s="799" t="s">
        <v>2713</v>
      </c>
      <c r="C44" s="799" t="str">
        <f t="shared" si="1"/>
        <v>Reserve Acquisition - Area 43</v>
      </c>
      <c r="D44" s="799" t="s">
        <v>2712</v>
      </c>
      <c r="E44" s="799" t="str">
        <f t="shared" si="2"/>
        <v>Reserve Acquisition - Area 43</v>
      </c>
      <c r="F44" s="799" t="s">
        <v>3607</v>
      </c>
      <c r="G44" s="799" t="str">
        <f t="shared" si="3"/>
        <v>Area 43</v>
      </c>
      <c r="H44" s="799"/>
      <c r="I44" s="799" t="s">
        <v>5444</v>
      </c>
      <c r="J44" t="str">
        <f t="shared" si="0"/>
        <v>OSL</v>
      </c>
    </row>
    <row r="45" spans="1:10">
      <c r="A45" s="799" t="s">
        <v>5526</v>
      </c>
      <c r="B45" s="799" t="s">
        <v>91</v>
      </c>
      <c r="C45" s="799" t="str">
        <f t="shared" si="1"/>
        <v>Community infrastructure - Auckland wide</v>
      </c>
      <c r="D45" s="799" t="s">
        <v>2842</v>
      </c>
      <c r="E45" s="799" t="str">
        <f t="shared" si="2"/>
        <v>Community infrastructure - Auckland wide</v>
      </c>
      <c r="F45" s="799" t="s">
        <v>3608</v>
      </c>
      <c r="G45" s="799" t="str">
        <f t="shared" si="3"/>
        <v>Auckland wide</v>
      </c>
      <c r="H45" s="799" t="s">
        <v>5443</v>
      </c>
      <c r="I45" s="799" t="s">
        <v>5444</v>
      </c>
      <c r="J45" t="str">
        <f t="shared" si="0"/>
        <v>CI</v>
      </c>
    </row>
    <row r="46" spans="1:10">
      <c r="A46" s="799" t="s">
        <v>5526</v>
      </c>
      <c r="B46" s="799" t="s">
        <v>2632</v>
      </c>
      <c r="C46" s="799" t="str">
        <f t="shared" si="1"/>
        <v>Community infrastructure - Area 2</v>
      </c>
      <c r="D46" s="799" t="s">
        <v>2843</v>
      </c>
      <c r="E46" s="799" t="str">
        <f t="shared" si="2"/>
        <v>Community infrastructure - Area 2</v>
      </c>
      <c r="F46" s="799" t="s">
        <v>3608</v>
      </c>
      <c r="G46" s="799" t="str">
        <f t="shared" si="3"/>
        <v>Area 2</v>
      </c>
      <c r="H46" s="799"/>
      <c r="I46" s="799" t="s">
        <v>5444</v>
      </c>
      <c r="J46" t="str">
        <f t="shared" si="0"/>
        <v>CI</v>
      </c>
    </row>
    <row r="47" spans="1:10">
      <c r="A47" s="799" t="s">
        <v>5526</v>
      </c>
      <c r="B47" s="799" t="s">
        <v>2888</v>
      </c>
      <c r="C47" s="799" t="str">
        <f t="shared" si="1"/>
        <v>Community infrastructure - Area 3</v>
      </c>
      <c r="D47" s="799" t="s">
        <v>2844</v>
      </c>
      <c r="E47" s="799" t="str">
        <f t="shared" si="2"/>
        <v>Community infrastructure - Area 3</v>
      </c>
      <c r="F47" s="799" t="s">
        <v>3608</v>
      </c>
      <c r="G47" s="799" t="str">
        <f t="shared" si="3"/>
        <v>Area 3</v>
      </c>
      <c r="H47" s="799"/>
      <c r="I47" s="799" t="s">
        <v>5444</v>
      </c>
      <c r="J47" t="str">
        <f t="shared" si="0"/>
        <v>CI</v>
      </c>
    </row>
    <row r="48" spans="1:10">
      <c r="A48" s="799" t="s">
        <v>5526</v>
      </c>
      <c r="B48" s="799" t="s">
        <v>2635</v>
      </c>
      <c r="C48" s="799" t="str">
        <f t="shared" si="1"/>
        <v>Community infrastructure - Area 4</v>
      </c>
      <c r="D48" s="799" t="s">
        <v>2845</v>
      </c>
      <c r="E48" s="799" t="str">
        <f t="shared" si="2"/>
        <v>Community infrastructure - Area 4</v>
      </c>
      <c r="F48" s="799" t="s">
        <v>3608</v>
      </c>
      <c r="G48" s="799" t="str">
        <f t="shared" si="3"/>
        <v>Area 4</v>
      </c>
      <c r="H48" s="799"/>
      <c r="I48" s="799" t="s">
        <v>5444</v>
      </c>
      <c r="J48" t="str">
        <f t="shared" si="0"/>
        <v>CI</v>
      </c>
    </row>
    <row r="49" spans="1:10">
      <c r="A49" s="799" t="s">
        <v>5526</v>
      </c>
      <c r="B49" s="799" t="s">
        <v>2395</v>
      </c>
      <c r="C49" s="799" t="str">
        <f t="shared" si="1"/>
        <v>Community infrastructure - Warkworth</v>
      </c>
      <c r="D49" s="799" t="s">
        <v>2846</v>
      </c>
      <c r="E49" s="799" t="str">
        <f t="shared" si="2"/>
        <v>Community infrastructure - Warkworth</v>
      </c>
      <c r="F49" s="799" t="s">
        <v>3607</v>
      </c>
      <c r="G49" s="799" t="str">
        <f t="shared" si="3"/>
        <v>Warkworth</v>
      </c>
      <c r="H49" s="799" t="s">
        <v>3607</v>
      </c>
      <c r="I49" s="799" t="s">
        <v>5444</v>
      </c>
      <c r="J49" t="str">
        <f t="shared" si="0"/>
        <v>CI</v>
      </c>
    </row>
    <row r="50" spans="1:10">
      <c r="A50" s="799" t="s">
        <v>5526</v>
      </c>
      <c r="B50" s="799" t="s">
        <v>2566</v>
      </c>
      <c r="C50" s="799" t="str">
        <f t="shared" si="1"/>
        <v>Community infrastructure - Dairy Flat</v>
      </c>
      <c r="D50" s="799" t="s">
        <v>2847</v>
      </c>
      <c r="E50" s="799" t="str">
        <f t="shared" si="2"/>
        <v>Community infrastructure - Dairy Flat</v>
      </c>
      <c r="F50" s="799" t="s">
        <v>3607</v>
      </c>
      <c r="G50" s="799" t="str">
        <f t="shared" si="3"/>
        <v>Dairy Flat</v>
      </c>
      <c r="H50" s="799" t="s">
        <v>3607</v>
      </c>
      <c r="I50" s="799" t="s">
        <v>5444</v>
      </c>
      <c r="J50" t="str">
        <f t="shared" si="0"/>
        <v>CI</v>
      </c>
    </row>
    <row r="51" spans="1:10">
      <c r="A51" s="799" t="s">
        <v>5526</v>
      </c>
      <c r="B51" s="799" t="s">
        <v>4333</v>
      </c>
      <c r="C51" s="799" t="str">
        <f t="shared" si="1"/>
        <v>Community infrastructure - Northwest</v>
      </c>
      <c r="D51" s="799" t="s">
        <v>2848</v>
      </c>
      <c r="E51" s="799" t="str">
        <f t="shared" si="2"/>
        <v>Community infrastructure - Northwest</v>
      </c>
      <c r="F51" s="799" t="s">
        <v>3608</v>
      </c>
      <c r="G51" s="799" t="str">
        <f t="shared" si="3"/>
        <v>Northwest</v>
      </c>
      <c r="H51" s="799" t="s">
        <v>3607</v>
      </c>
      <c r="I51" s="799" t="s">
        <v>5444</v>
      </c>
      <c r="J51" t="str">
        <f t="shared" si="0"/>
        <v>CI</v>
      </c>
    </row>
    <row r="52" spans="1:10">
      <c r="A52" s="799" t="s">
        <v>5526</v>
      </c>
      <c r="B52" s="799" t="s">
        <v>2643</v>
      </c>
      <c r="C52" s="799" t="str">
        <f t="shared" si="1"/>
        <v>Community infrastructure - Area 8</v>
      </c>
      <c r="D52" s="799" t="s">
        <v>2849</v>
      </c>
      <c r="E52" s="799" t="str">
        <f t="shared" si="2"/>
        <v>Community infrastructure - Area 8</v>
      </c>
      <c r="F52" s="799" t="s">
        <v>3607</v>
      </c>
      <c r="G52" s="799" t="str">
        <f t="shared" si="3"/>
        <v>Area 8</v>
      </c>
      <c r="H52" s="799"/>
      <c r="I52" s="799" t="s">
        <v>5444</v>
      </c>
      <c r="J52" t="str">
        <f t="shared" si="0"/>
        <v>CI</v>
      </c>
    </row>
    <row r="53" spans="1:10">
      <c r="A53" s="799" t="s">
        <v>5526</v>
      </c>
      <c r="B53" s="799" t="s">
        <v>2645</v>
      </c>
      <c r="C53" s="799" t="str">
        <f t="shared" si="1"/>
        <v>Community infrastructure - Area 9</v>
      </c>
      <c r="D53" s="799" t="s">
        <v>2850</v>
      </c>
      <c r="E53" s="799" t="str">
        <f t="shared" si="2"/>
        <v>Community infrastructure - Area 9</v>
      </c>
      <c r="F53" s="799" t="s">
        <v>3607</v>
      </c>
      <c r="G53" s="799" t="str">
        <f t="shared" si="3"/>
        <v>Area 9</v>
      </c>
      <c r="H53" s="799"/>
      <c r="I53" s="799" t="s">
        <v>5444</v>
      </c>
      <c r="J53" t="str">
        <f t="shared" si="0"/>
        <v>CI</v>
      </c>
    </row>
    <row r="54" spans="1:10">
      <c r="A54" s="799" t="s">
        <v>5526</v>
      </c>
      <c r="B54" s="799" t="s">
        <v>2570</v>
      </c>
      <c r="C54" s="799" t="str">
        <f t="shared" si="1"/>
        <v>Community infrastructure - Flatbush</v>
      </c>
      <c r="D54" s="799" t="s">
        <v>2851</v>
      </c>
      <c r="E54" s="799" t="str">
        <f t="shared" si="2"/>
        <v>Community infrastructure - Flatbush</v>
      </c>
      <c r="F54" s="799" t="s">
        <v>3607</v>
      </c>
      <c r="G54" s="799" t="str">
        <f t="shared" si="3"/>
        <v>Flatbush</v>
      </c>
      <c r="H54" s="799" t="s">
        <v>3607</v>
      </c>
      <c r="I54" s="799" t="s">
        <v>5444</v>
      </c>
      <c r="J54" t="str">
        <f t="shared" si="0"/>
        <v>CI</v>
      </c>
    </row>
    <row r="55" spans="1:10">
      <c r="A55" s="799" t="s">
        <v>5526</v>
      </c>
      <c r="B55" s="799" t="s">
        <v>2571</v>
      </c>
      <c r="C55" s="799" t="str">
        <f t="shared" si="1"/>
        <v>Community infrastructure - Takanini</v>
      </c>
      <c r="D55" s="799" t="s">
        <v>2852</v>
      </c>
      <c r="E55" s="799" t="str">
        <f t="shared" si="2"/>
        <v>Community infrastructure - Takanini</v>
      </c>
      <c r="F55" s="799" t="s">
        <v>3607</v>
      </c>
      <c r="G55" s="799" t="str">
        <f t="shared" si="3"/>
        <v>Takanini</v>
      </c>
      <c r="H55" s="799" t="s">
        <v>3607</v>
      </c>
      <c r="I55" s="799" t="s">
        <v>5444</v>
      </c>
      <c r="J55" t="str">
        <f t="shared" si="0"/>
        <v>CI</v>
      </c>
    </row>
    <row r="56" spans="1:10">
      <c r="A56" s="799" t="s">
        <v>5526</v>
      </c>
      <c r="B56" s="799" t="s">
        <v>2572</v>
      </c>
      <c r="C56" s="799" t="str">
        <f t="shared" si="1"/>
        <v>Community infrastructure - Opaheke / Drury</v>
      </c>
      <c r="D56" s="799" t="s">
        <v>2853</v>
      </c>
      <c r="E56" s="799" t="str">
        <f t="shared" si="2"/>
        <v>Community infrastructure - Opaheke / Drury</v>
      </c>
      <c r="F56" s="799" t="s">
        <v>3607</v>
      </c>
      <c r="G56" s="799" t="str">
        <f t="shared" si="3"/>
        <v>Opaheke / Drury</v>
      </c>
      <c r="H56" s="799" t="s">
        <v>3607</v>
      </c>
      <c r="I56" s="799" t="s">
        <v>5444</v>
      </c>
      <c r="J56" t="str">
        <f t="shared" si="0"/>
        <v>CI</v>
      </c>
    </row>
    <row r="57" spans="1:10">
      <c r="A57" s="799" t="s">
        <v>5526</v>
      </c>
      <c r="B57" s="799" t="s">
        <v>2573</v>
      </c>
      <c r="C57" s="799" t="str">
        <f t="shared" si="1"/>
        <v>Community infrastructure - Hingaia</v>
      </c>
      <c r="D57" s="799" t="s">
        <v>2854</v>
      </c>
      <c r="E57" s="799" t="str">
        <f t="shared" si="2"/>
        <v>Community infrastructure - Hingaia</v>
      </c>
      <c r="F57" s="799" t="s">
        <v>3607</v>
      </c>
      <c r="G57" s="799" t="str">
        <f t="shared" si="3"/>
        <v>Hingaia</v>
      </c>
      <c r="H57" s="799" t="s">
        <v>3607</v>
      </c>
      <c r="I57" s="799" t="s">
        <v>5444</v>
      </c>
      <c r="J57" t="str">
        <f t="shared" si="0"/>
        <v>CI</v>
      </c>
    </row>
    <row r="58" spans="1:10">
      <c r="A58" s="799" t="s">
        <v>5526</v>
      </c>
      <c r="B58" s="799" t="s">
        <v>2574</v>
      </c>
      <c r="C58" s="799" t="str">
        <f t="shared" si="1"/>
        <v>Community infrastructure - Paerata / Pukekohe</v>
      </c>
      <c r="D58" s="799" t="s">
        <v>2855</v>
      </c>
      <c r="E58" s="799" t="str">
        <f t="shared" si="2"/>
        <v>Community infrastructure - Paerata / Pukekohe</v>
      </c>
      <c r="F58" s="799" t="s">
        <v>3607</v>
      </c>
      <c r="G58" s="799" t="str">
        <f t="shared" si="3"/>
        <v>Paerata / Pukekohe</v>
      </c>
      <c r="H58" s="799" t="s">
        <v>3607</v>
      </c>
      <c r="I58" s="799" t="s">
        <v>5444</v>
      </c>
      <c r="J58" t="str">
        <f t="shared" si="0"/>
        <v>CI</v>
      </c>
    </row>
    <row r="59" spans="1:10">
      <c r="A59" s="799" t="s">
        <v>5526</v>
      </c>
      <c r="B59" s="799" t="s">
        <v>2425</v>
      </c>
      <c r="C59" s="799" t="str">
        <f t="shared" si="1"/>
        <v>Community infrastructure - Hibiscus</v>
      </c>
      <c r="D59" s="799" t="s">
        <v>2856</v>
      </c>
      <c r="E59" s="799" t="str">
        <f t="shared" si="2"/>
        <v>Community infrastructure - Hibiscus</v>
      </c>
      <c r="F59" s="799" t="s">
        <v>3607</v>
      </c>
      <c r="G59" s="799" t="str">
        <f t="shared" si="3"/>
        <v>Hibiscus</v>
      </c>
      <c r="H59" s="799" t="s">
        <v>3607</v>
      </c>
      <c r="I59" s="799" t="s">
        <v>5444</v>
      </c>
      <c r="J59" t="str">
        <f t="shared" si="0"/>
        <v>CI</v>
      </c>
    </row>
    <row r="60" spans="1:10">
      <c r="A60" s="799" t="s">
        <v>5526</v>
      </c>
      <c r="B60" s="799" t="s">
        <v>2426</v>
      </c>
      <c r="C60" s="799" t="str">
        <f t="shared" si="1"/>
        <v>Community infrastructure - North Shore</v>
      </c>
      <c r="D60" s="799" t="s">
        <v>2857</v>
      </c>
      <c r="E60" s="799" t="str">
        <f t="shared" si="2"/>
        <v>Community infrastructure - North Shore</v>
      </c>
      <c r="F60" s="799" t="s">
        <v>3607</v>
      </c>
      <c r="G60" s="799" t="str">
        <f t="shared" si="3"/>
        <v>North Shore</v>
      </c>
      <c r="H60" s="799" t="s">
        <v>3607</v>
      </c>
      <c r="I60" s="799" t="s">
        <v>5444</v>
      </c>
      <c r="J60" t="str">
        <f t="shared" si="0"/>
        <v>CI</v>
      </c>
    </row>
    <row r="61" spans="1:10">
      <c r="A61" s="799" t="s">
        <v>5526</v>
      </c>
      <c r="B61" s="799" t="s">
        <v>1207</v>
      </c>
      <c r="C61" s="799" t="str">
        <f t="shared" si="1"/>
        <v>Community infrastructure - West</v>
      </c>
      <c r="D61" s="799" t="s">
        <v>2858</v>
      </c>
      <c r="E61" s="799" t="str">
        <f t="shared" si="2"/>
        <v>Community infrastructure - West</v>
      </c>
      <c r="F61" s="799" t="s">
        <v>3608</v>
      </c>
      <c r="G61" s="799" t="str">
        <f t="shared" si="3"/>
        <v>West</v>
      </c>
      <c r="H61" s="799" t="s">
        <v>3607</v>
      </c>
      <c r="I61" s="799" t="s">
        <v>5444</v>
      </c>
      <c r="J61" t="str">
        <f t="shared" si="0"/>
        <v>CI</v>
      </c>
    </row>
    <row r="62" spans="1:10">
      <c r="A62" s="799" t="s">
        <v>5526</v>
      </c>
      <c r="B62" s="799" t="s">
        <v>1208</v>
      </c>
      <c r="C62" s="799" t="str">
        <f t="shared" si="1"/>
        <v>Community infrastructure - Central</v>
      </c>
      <c r="D62" s="799" t="s">
        <v>2859</v>
      </c>
      <c r="E62" s="799" t="str">
        <f t="shared" si="2"/>
        <v>Community infrastructure - Central</v>
      </c>
      <c r="F62" s="799" t="s">
        <v>3608</v>
      </c>
      <c r="G62" s="799" t="str">
        <f t="shared" si="3"/>
        <v>Central</v>
      </c>
      <c r="H62" s="799" t="s">
        <v>3607</v>
      </c>
      <c r="I62" s="799" t="s">
        <v>5444</v>
      </c>
      <c r="J62" t="str">
        <f t="shared" si="0"/>
        <v>CI</v>
      </c>
    </row>
    <row r="63" spans="1:10">
      <c r="A63" s="799" t="s">
        <v>5526</v>
      </c>
      <c r="B63" s="799" t="s">
        <v>2582</v>
      </c>
      <c r="C63" s="799" t="str">
        <f t="shared" si="1"/>
        <v>Community infrastructure - South (West)</v>
      </c>
      <c r="D63" s="799" t="s">
        <v>2860</v>
      </c>
      <c r="E63" s="799" t="str">
        <f t="shared" si="2"/>
        <v>Community infrastructure - South (West)</v>
      </c>
      <c r="F63" s="799" t="s">
        <v>3608</v>
      </c>
      <c r="G63" s="799" t="str">
        <f t="shared" si="3"/>
        <v>South (West)</v>
      </c>
      <c r="H63" s="799" t="s">
        <v>3607</v>
      </c>
      <c r="I63" s="799" t="s">
        <v>5444</v>
      </c>
      <c r="J63" t="str">
        <f t="shared" si="0"/>
        <v>CI</v>
      </c>
    </row>
    <row r="64" spans="1:10">
      <c r="A64" s="799" t="s">
        <v>5526</v>
      </c>
      <c r="B64" s="799" t="s">
        <v>2583</v>
      </c>
      <c r="C64" s="799" t="str">
        <f t="shared" si="1"/>
        <v>Community infrastructure - South (East)</v>
      </c>
      <c r="D64" s="799" t="s">
        <v>2861</v>
      </c>
      <c r="E64" s="799" t="str">
        <f t="shared" si="2"/>
        <v>Community infrastructure - South (East)</v>
      </c>
      <c r="F64" s="799" t="s">
        <v>3608</v>
      </c>
      <c r="G64" s="799" t="str">
        <f t="shared" si="3"/>
        <v>South (East)</v>
      </c>
      <c r="H64" s="799" t="s">
        <v>3607</v>
      </c>
      <c r="I64" s="799" t="s">
        <v>5444</v>
      </c>
      <c r="J64" t="str">
        <f t="shared" si="0"/>
        <v>CI</v>
      </c>
    </row>
    <row r="65" spans="1:10">
      <c r="A65" s="799" t="s">
        <v>5526</v>
      </c>
      <c r="B65" s="799" t="s">
        <v>2584</v>
      </c>
      <c r="C65" s="799" t="str">
        <f t="shared" si="1"/>
        <v>Community infrastructure - Rural North Upper</v>
      </c>
      <c r="D65" s="799" t="s">
        <v>2862</v>
      </c>
      <c r="E65" s="799" t="str">
        <f t="shared" si="2"/>
        <v>Community infrastructure - Rural North Upper</v>
      </c>
      <c r="F65" s="799" t="s">
        <v>3608</v>
      </c>
      <c r="G65" s="799" t="str">
        <f t="shared" si="3"/>
        <v>Rural North Upper</v>
      </c>
      <c r="H65" s="799" t="s">
        <v>3607</v>
      </c>
      <c r="I65" s="799" t="s">
        <v>5444</v>
      </c>
      <c r="J65" t="str">
        <f t="shared" si="0"/>
        <v>CI</v>
      </c>
    </row>
    <row r="66" spans="1:10">
      <c r="A66" s="799" t="s">
        <v>5526</v>
      </c>
      <c r="B66" s="799" t="s">
        <v>2585</v>
      </c>
      <c r="C66" s="799" t="str">
        <f t="shared" si="1"/>
        <v>Community infrastructure - Rural North Lower</v>
      </c>
      <c r="D66" s="799" t="s">
        <v>2863</v>
      </c>
      <c r="E66" s="799" t="str">
        <f t="shared" si="2"/>
        <v>Community infrastructure - Rural North Lower</v>
      </c>
      <c r="F66" s="799" t="s">
        <v>3608</v>
      </c>
      <c r="G66" s="799" t="str">
        <f t="shared" si="3"/>
        <v>Rural North Lower</v>
      </c>
      <c r="H66" s="799" t="s">
        <v>3607</v>
      </c>
      <c r="I66" s="799" t="s">
        <v>5444</v>
      </c>
      <c r="J66" t="str">
        <f t="shared" ref="J66:J129" si="4">TRIM(LEFT(D66,3))</f>
        <v>CI</v>
      </c>
    </row>
    <row r="67" spans="1:10">
      <c r="A67" s="799" t="s">
        <v>5526</v>
      </c>
      <c r="B67" s="799" t="s">
        <v>2586</v>
      </c>
      <c r="C67" s="799" t="str">
        <f t="shared" ref="C67:C130" si="5">A67&amp;" - "&amp;B67</f>
        <v>Community infrastructure - Rural West</v>
      </c>
      <c r="D67" s="799" t="s">
        <v>2864</v>
      </c>
      <c r="E67" s="799" t="str">
        <f t="shared" ref="E67:E130" si="6">+C67</f>
        <v>Community infrastructure - Rural West</v>
      </c>
      <c r="F67" s="799" t="s">
        <v>3608</v>
      </c>
      <c r="G67" s="799" t="str">
        <f t="shared" ref="G67:G130" si="7">+B67</f>
        <v>Rural West</v>
      </c>
      <c r="H67" s="799" t="s">
        <v>3607</v>
      </c>
      <c r="I67" s="799" t="s">
        <v>5444</v>
      </c>
      <c r="J67" t="str">
        <f t="shared" si="4"/>
        <v>CI</v>
      </c>
    </row>
    <row r="68" spans="1:10">
      <c r="A68" s="799" t="s">
        <v>5526</v>
      </c>
      <c r="B68" s="799" t="s">
        <v>2587</v>
      </c>
      <c r="C68" s="799" t="str">
        <f t="shared" si="5"/>
        <v>Community infrastructure - Rural South West</v>
      </c>
      <c r="D68" s="799" t="s">
        <v>2865</v>
      </c>
      <c r="E68" s="799" t="str">
        <f t="shared" si="6"/>
        <v>Community infrastructure - Rural South West</v>
      </c>
      <c r="F68" s="799" t="s">
        <v>3608</v>
      </c>
      <c r="G68" s="799" t="str">
        <f t="shared" si="7"/>
        <v>Rural South West</v>
      </c>
      <c r="H68" s="799" t="s">
        <v>3607</v>
      </c>
      <c r="I68" s="799" t="s">
        <v>5444</v>
      </c>
      <c r="J68" t="str">
        <f t="shared" si="4"/>
        <v>CI</v>
      </c>
    </row>
    <row r="69" spans="1:10">
      <c r="A69" s="799" t="s">
        <v>5526</v>
      </c>
      <c r="B69" s="799" t="s">
        <v>2588</v>
      </c>
      <c r="C69" s="799" t="str">
        <f t="shared" si="5"/>
        <v>Community infrastructure - Rural South East</v>
      </c>
      <c r="D69" s="799" t="s">
        <v>2866</v>
      </c>
      <c r="E69" s="799" t="str">
        <f t="shared" si="6"/>
        <v>Community infrastructure - Rural South East</v>
      </c>
      <c r="F69" s="799" t="s">
        <v>3608</v>
      </c>
      <c r="G69" s="799" t="str">
        <f t="shared" si="7"/>
        <v>Rural South East</v>
      </c>
      <c r="H69" s="799" t="s">
        <v>3607</v>
      </c>
      <c r="I69" s="799" t="s">
        <v>5444</v>
      </c>
      <c r="J69" t="str">
        <f t="shared" si="4"/>
        <v>CI</v>
      </c>
    </row>
    <row r="70" spans="1:10">
      <c r="A70" s="799" t="s">
        <v>5526</v>
      </c>
      <c r="B70" s="799" t="s">
        <v>2427</v>
      </c>
      <c r="C70" s="799" t="str">
        <f t="shared" si="5"/>
        <v>Community infrastructure - Rural Islands</v>
      </c>
      <c r="D70" s="799" t="s">
        <v>2867</v>
      </c>
      <c r="E70" s="799" t="str">
        <f t="shared" si="6"/>
        <v>Community infrastructure - Rural Islands</v>
      </c>
      <c r="F70" s="799" t="s">
        <v>3607</v>
      </c>
      <c r="G70" s="799" t="str">
        <f t="shared" si="7"/>
        <v>Rural Islands</v>
      </c>
      <c r="H70" s="799" t="s">
        <v>3607</v>
      </c>
      <c r="I70" s="799" t="s">
        <v>5444</v>
      </c>
      <c r="J70" t="str">
        <f t="shared" si="4"/>
        <v>CI</v>
      </c>
    </row>
    <row r="71" spans="1:10">
      <c r="A71" s="799" t="s">
        <v>5526</v>
      </c>
      <c r="B71" s="799" t="s">
        <v>3054</v>
      </c>
      <c r="C71" s="799" t="str">
        <f t="shared" si="5"/>
        <v>Community infrastructure - Tamaki</v>
      </c>
      <c r="D71" s="799" t="s">
        <v>2868</v>
      </c>
      <c r="E71" s="799" t="str">
        <f t="shared" si="6"/>
        <v>Community infrastructure - Tamaki</v>
      </c>
      <c r="F71" s="799" t="s">
        <v>3607</v>
      </c>
      <c r="G71" s="799" t="str">
        <f t="shared" si="7"/>
        <v>Tamaki</v>
      </c>
      <c r="H71" s="799" t="s">
        <v>3607</v>
      </c>
      <c r="I71" s="799" t="s">
        <v>5444</v>
      </c>
      <c r="J71" t="str">
        <f t="shared" si="4"/>
        <v>CI</v>
      </c>
    </row>
    <row r="72" spans="1:10">
      <c r="A72" s="799" t="s">
        <v>5526</v>
      </c>
      <c r="B72" s="799" t="s">
        <v>6899</v>
      </c>
      <c r="C72" s="799" t="str">
        <f t="shared" si="5"/>
        <v>Community infrastructure - Drury IPA (civic park)</v>
      </c>
      <c r="D72" s="799" t="s">
        <v>2869</v>
      </c>
      <c r="E72" s="799" t="str">
        <f t="shared" si="6"/>
        <v>Community infrastructure - Drury IPA (civic park)</v>
      </c>
      <c r="F72" s="799" t="s">
        <v>3607</v>
      </c>
      <c r="G72" s="799" t="str">
        <f t="shared" si="7"/>
        <v>Drury IPA (civic park)</v>
      </c>
      <c r="H72" s="799"/>
      <c r="I72" s="799" t="s">
        <v>5444</v>
      </c>
      <c r="J72" t="str">
        <f t="shared" si="4"/>
        <v>CI</v>
      </c>
    </row>
    <row r="73" spans="1:10">
      <c r="A73" s="799" t="s">
        <v>5526</v>
      </c>
      <c r="B73" s="799" t="s">
        <v>6900</v>
      </c>
      <c r="C73" s="799" t="str">
        <f t="shared" si="5"/>
        <v>Community infrastructure - Auranga</v>
      </c>
      <c r="D73" s="799" t="s">
        <v>2870</v>
      </c>
      <c r="E73" s="799" t="str">
        <f t="shared" si="6"/>
        <v>Community infrastructure - Auranga</v>
      </c>
      <c r="F73" s="799" t="s">
        <v>3607</v>
      </c>
      <c r="G73" s="799" t="str">
        <f t="shared" si="7"/>
        <v>Auranga</v>
      </c>
      <c r="H73" s="799"/>
      <c r="I73" s="799" t="s">
        <v>5444</v>
      </c>
      <c r="J73" t="str">
        <f t="shared" si="4"/>
        <v>CI</v>
      </c>
    </row>
    <row r="74" spans="1:10">
      <c r="A74" s="799" t="s">
        <v>5526</v>
      </c>
      <c r="B74" s="799" t="s">
        <v>6701</v>
      </c>
      <c r="C74" s="799" t="str">
        <f t="shared" si="5"/>
        <v>Community infrastructure - Drury West 1 IPA</v>
      </c>
      <c r="D74" s="799" t="s">
        <v>2871</v>
      </c>
      <c r="E74" s="799" t="str">
        <f t="shared" si="6"/>
        <v>Community infrastructure - Drury West 1 IPA</v>
      </c>
      <c r="F74" s="799" t="s">
        <v>3607</v>
      </c>
      <c r="G74" s="799" t="str">
        <f t="shared" si="7"/>
        <v>Drury West 1 IPA</v>
      </c>
      <c r="H74" s="799"/>
      <c r="I74" s="799" t="s">
        <v>5444</v>
      </c>
      <c r="J74" t="str">
        <f t="shared" si="4"/>
        <v>CI</v>
      </c>
    </row>
    <row r="75" spans="1:10">
      <c r="A75" s="799" t="s">
        <v>5526</v>
      </c>
      <c r="B75" s="799" t="s">
        <v>6702</v>
      </c>
      <c r="C75" s="799" t="str">
        <f t="shared" si="5"/>
        <v>Community infrastructure - Drury West 2 IPA</v>
      </c>
      <c r="D75" s="799" t="s">
        <v>2872</v>
      </c>
      <c r="E75" s="799" t="str">
        <f t="shared" si="6"/>
        <v>Community infrastructure - Drury West 2 IPA</v>
      </c>
      <c r="F75" s="799" t="s">
        <v>3607</v>
      </c>
      <c r="G75" s="799" t="str">
        <f t="shared" si="7"/>
        <v>Drury West 2 IPA</v>
      </c>
      <c r="H75" s="799"/>
      <c r="I75" s="799" t="s">
        <v>5444</v>
      </c>
      <c r="J75" t="str">
        <f t="shared" si="4"/>
        <v>CI</v>
      </c>
    </row>
    <row r="76" spans="1:10">
      <c r="A76" s="799" t="s">
        <v>5526</v>
      </c>
      <c r="B76" s="799" t="s">
        <v>6703</v>
      </c>
      <c r="C76" s="799" t="str">
        <f t="shared" si="5"/>
        <v>Community infrastructure - Opaheke IPA</v>
      </c>
      <c r="D76" s="799" t="s">
        <v>2873</v>
      </c>
      <c r="E76" s="799" t="str">
        <f t="shared" si="6"/>
        <v>Community infrastructure - Opaheke IPA</v>
      </c>
      <c r="F76" s="799" t="s">
        <v>3607</v>
      </c>
      <c r="G76" s="799" t="str">
        <f t="shared" si="7"/>
        <v>Opaheke IPA</v>
      </c>
      <c r="H76" s="799"/>
      <c r="I76" s="799" t="s">
        <v>5444</v>
      </c>
      <c r="J76" t="str">
        <f t="shared" si="4"/>
        <v>CI</v>
      </c>
    </row>
    <row r="77" spans="1:10">
      <c r="A77" s="799" t="s">
        <v>5526</v>
      </c>
      <c r="B77" s="799" t="s">
        <v>6700</v>
      </c>
      <c r="C77" s="799" t="str">
        <f t="shared" si="5"/>
        <v>Community infrastructure - Drury East IPA</v>
      </c>
      <c r="D77" s="799" t="s">
        <v>2874</v>
      </c>
      <c r="E77" s="799" t="str">
        <f t="shared" si="6"/>
        <v>Community infrastructure - Drury East IPA</v>
      </c>
      <c r="F77" s="799" t="s">
        <v>3607</v>
      </c>
      <c r="G77" s="799" t="str">
        <f t="shared" si="7"/>
        <v>Drury East IPA</v>
      </c>
      <c r="H77" s="799"/>
      <c r="I77" s="799" t="s">
        <v>5444</v>
      </c>
      <c r="J77" t="str">
        <f t="shared" si="4"/>
        <v>CI</v>
      </c>
    </row>
    <row r="78" spans="1:10">
      <c r="A78" s="799" t="s">
        <v>5526</v>
      </c>
      <c r="B78" s="799" t="s">
        <v>6901</v>
      </c>
      <c r="C78" s="799" t="str">
        <f t="shared" si="5"/>
        <v>Community infrastructure - Drury IPA (Community spaces)</v>
      </c>
      <c r="D78" s="799" t="s">
        <v>2875</v>
      </c>
      <c r="E78" s="799" t="str">
        <f t="shared" si="6"/>
        <v>Community infrastructure - Drury IPA (Community spaces)</v>
      </c>
      <c r="F78" s="799" t="s">
        <v>3607</v>
      </c>
      <c r="G78" s="799" t="str">
        <f t="shared" si="7"/>
        <v>Drury IPA (Community spaces)</v>
      </c>
      <c r="H78" s="799"/>
      <c r="I78" s="799" t="s">
        <v>5444</v>
      </c>
      <c r="J78" t="str">
        <f t="shared" si="4"/>
        <v>CI</v>
      </c>
    </row>
    <row r="79" spans="1:10">
      <c r="A79" s="799" t="s">
        <v>5526</v>
      </c>
      <c r="B79" s="799" t="s">
        <v>2697</v>
      </c>
      <c r="C79" s="799" t="str">
        <f t="shared" si="5"/>
        <v>Community infrastructure - Area 35</v>
      </c>
      <c r="D79" s="799" t="s">
        <v>2876</v>
      </c>
      <c r="E79" s="799" t="str">
        <f t="shared" si="6"/>
        <v>Community infrastructure - Area 35</v>
      </c>
      <c r="F79" s="799" t="s">
        <v>3607</v>
      </c>
      <c r="G79" s="799" t="str">
        <f t="shared" si="7"/>
        <v>Area 35</v>
      </c>
      <c r="H79" s="799"/>
      <c r="I79" s="799" t="s">
        <v>5444</v>
      </c>
      <c r="J79" t="str">
        <f t="shared" si="4"/>
        <v>CI</v>
      </c>
    </row>
    <row r="80" spans="1:10">
      <c r="A80" s="799" t="s">
        <v>5526</v>
      </c>
      <c r="B80" s="799" t="s">
        <v>2699</v>
      </c>
      <c r="C80" s="799" t="str">
        <f t="shared" si="5"/>
        <v>Community infrastructure - Area 36</v>
      </c>
      <c r="D80" s="799" t="s">
        <v>2877</v>
      </c>
      <c r="E80" s="799" t="str">
        <f t="shared" si="6"/>
        <v>Community infrastructure - Area 36</v>
      </c>
      <c r="F80" s="799" t="s">
        <v>3607</v>
      </c>
      <c r="G80" s="799" t="str">
        <f t="shared" si="7"/>
        <v>Area 36</v>
      </c>
      <c r="H80" s="799"/>
      <c r="I80" s="799" t="s">
        <v>5444</v>
      </c>
      <c r="J80" t="str">
        <f t="shared" si="4"/>
        <v>CI</v>
      </c>
    </row>
    <row r="81" spans="1:10">
      <c r="A81" s="799" t="s">
        <v>5526</v>
      </c>
      <c r="B81" s="799" t="s">
        <v>2701</v>
      </c>
      <c r="C81" s="799" t="str">
        <f t="shared" si="5"/>
        <v>Community infrastructure - Area 37</v>
      </c>
      <c r="D81" s="799" t="s">
        <v>2878</v>
      </c>
      <c r="E81" s="799" t="str">
        <f t="shared" si="6"/>
        <v>Community infrastructure - Area 37</v>
      </c>
      <c r="F81" s="799" t="s">
        <v>3607</v>
      </c>
      <c r="G81" s="799" t="str">
        <f t="shared" si="7"/>
        <v>Area 37</v>
      </c>
      <c r="H81" s="799"/>
      <c r="I81" s="799" t="s">
        <v>5444</v>
      </c>
      <c r="J81" t="str">
        <f t="shared" si="4"/>
        <v>CI</v>
      </c>
    </row>
    <row r="82" spans="1:10">
      <c r="A82" s="799" t="s">
        <v>5526</v>
      </c>
      <c r="B82" s="799" t="s">
        <v>2703</v>
      </c>
      <c r="C82" s="799" t="str">
        <f t="shared" si="5"/>
        <v>Community infrastructure - Area 38</v>
      </c>
      <c r="D82" s="799" t="s">
        <v>2879</v>
      </c>
      <c r="E82" s="799" t="str">
        <f t="shared" si="6"/>
        <v>Community infrastructure - Area 38</v>
      </c>
      <c r="F82" s="799" t="s">
        <v>3607</v>
      </c>
      <c r="G82" s="799" t="str">
        <f t="shared" si="7"/>
        <v>Area 38</v>
      </c>
      <c r="H82" s="799"/>
      <c r="I82" s="799" t="s">
        <v>5444</v>
      </c>
      <c r="J82" t="str">
        <f t="shared" si="4"/>
        <v>CI</v>
      </c>
    </row>
    <row r="83" spans="1:10">
      <c r="A83" s="799" t="s">
        <v>5526</v>
      </c>
      <c r="B83" s="799" t="s">
        <v>2705</v>
      </c>
      <c r="C83" s="799" t="str">
        <f t="shared" si="5"/>
        <v>Community infrastructure - Area 39</v>
      </c>
      <c r="D83" s="799" t="s">
        <v>2880</v>
      </c>
      <c r="E83" s="799" t="str">
        <f t="shared" si="6"/>
        <v>Community infrastructure - Area 39</v>
      </c>
      <c r="F83" s="799" t="s">
        <v>3607</v>
      </c>
      <c r="G83" s="799" t="str">
        <f t="shared" si="7"/>
        <v>Area 39</v>
      </c>
      <c r="H83" s="799"/>
      <c r="I83" s="799" t="s">
        <v>5444</v>
      </c>
      <c r="J83" t="str">
        <f t="shared" si="4"/>
        <v>CI</v>
      </c>
    </row>
    <row r="84" spans="1:10">
      <c r="A84" s="799" t="s">
        <v>5526</v>
      </c>
      <c r="B84" s="799" t="s">
        <v>2707</v>
      </c>
      <c r="C84" s="799" t="str">
        <f t="shared" si="5"/>
        <v>Community infrastructure - Area 40</v>
      </c>
      <c r="D84" s="799" t="s">
        <v>2881</v>
      </c>
      <c r="E84" s="799" t="str">
        <f t="shared" si="6"/>
        <v>Community infrastructure - Area 40</v>
      </c>
      <c r="F84" s="799" t="s">
        <v>3607</v>
      </c>
      <c r="G84" s="799" t="str">
        <f t="shared" si="7"/>
        <v>Area 40</v>
      </c>
      <c r="H84" s="799"/>
      <c r="I84" s="799" t="s">
        <v>5444</v>
      </c>
      <c r="J84" t="str">
        <f t="shared" si="4"/>
        <v>CI</v>
      </c>
    </row>
    <row r="85" spans="1:10">
      <c r="A85" s="799" t="s">
        <v>5526</v>
      </c>
      <c r="B85" s="799" t="s">
        <v>2709</v>
      </c>
      <c r="C85" s="799" t="str">
        <f t="shared" si="5"/>
        <v>Community infrastructure - Area 41</v>
      </c>
      <c r="D85" s="799" t="s">
        <v>2882</v>
      </c>
      <c r="E85" s="799" t="str">
        <f t="shared" si="6"/>
        <v>Community infrastructure - Area 41</v>
      </c>
      <c r="F85" s="799" t="s">
        <v>3607</v>
      </c>
      <c r="G85" s="799" t="str">
        <f t="shared" si="7"/>
        <v>Area 41</v>
      </c>
      <c r="H85" s="799"/>
      <c r="I85" s="799" t="s">
        <v>5444</v>
      </c>
      <c r="J85" t="str">
        <f t="shared" si="4"/>
        <v>CI</v>
      </c>
    </row>
    <row r="86" spans="1:10">
      <c r="A86" s="799" t="s">
        <v>5526</v>
      </c>
      <c r="B86" s="799" t="s">
        <v>2711</v>
      </c>
      <c r="C86" s="799" t="str">
        <f t="shared" si="5"/>
        <v>Community infrastructure - Area 42</v>
      </c>
      <c r="D86" s="799" t="s">
        <v>2883</v>
      </c>
      <c r="E86" s="799" t="str">
        <f t="shared" si="6"/>
        <v>Community infrastructure - Area 42</v>
      </c>
      <c r="F86" s="799" t="s">
        <v>3607</v>
      </c>
      <c r="G86" s="799" t="str">
        <f t="shared" si="7"/>
        <v>Area 42</v>
      </c>
      <c r="H86" s="799"/>
      <c r="I86" s="799" t="s">
        <v>5444</v>
      </c>
      <c r="J86" t="str">
        <f t="shared" si="4"/>
        <v>CI</v>
      </c>
    </row>
    <row r="87" spans="1:10">
      <c r="A87" s="799" t="s">
        <v>5526</v>
      </c>
      <c r="B87" s="799" t="s">
        <v>2713</v>
      </c>
      <c r="C87" s="799" t="str">
        <f t="shared" si="5"/>
        <v>Community infrastructure - Area 43</v>
      </c>
      <c r="D87" s="799" t="s">
        <v>2884</v>
      </c>
      <c r="E87" s="799" t="str">
        <f t="shared" si="6"/>
        <v>Community infrastructure - Area 43</v>
      </c>
      <c r="F87" s="799" t="s">
        <v>3607</v>
      </c>
      <c r="G87" s="799" t="str">
        <f t="shared" si="7"/>
        <v>Area 43</v>
      </c>
      <c r="H87" s="799"/>
      <c r="I87" s="799" t="s">
        <v>5444</v>
      </c>
      <c r="J87" t="str">
        <f t="shared" si="4"/>
        <v>CI</v>
      </c>
    </row>
    <row r="88" spans="1:10">
      <c r="A88" s="799" t="s">
        <v>5527</v>
      </c>
      <c r="B88" s="799" t="s">
        <v>91</v>
      </c>
      <c r="C88" s="799" t="str">
        <f t="shared" si="5"/>
        <v>Reserve Development - Auckland wide</v>
      </c>
      <c r="D88" s="799" t="s">
        <v>2714</v>
      </c>
      <c r="E88" s="799" t="str">
        <f t="shared" si="6"/>
        <v>Reserve Development - Auckland wide</v>
      </c>
      <c r="F88" s="799" t="s">
        <v>3608</v>
      </c>
      <c r="G88" s="799" t="str">
        <f t="shared" si="7"/>
        <v>Auckland wide</v>
      </c>
      <c r="H88" s="799" t="s">
        <v>5443</v>
      </c>
      <c r="I88" s="799" t="s">
        <v>5444</v>
      </c>
      <c r="J88" t="str">
        <f t="shared" si="4"/>
        <v>OSD</v>
      </c>
    </row>
    <row r="89" spans="1:10">
      <c r="A89" s="799" t="s">
        <v>5527</v>
      </c>
      <c r="B89" s="799" t="s">
        <v>2632</v>
      </c>
      <c r="C89" s="799" t="str">
        <f t="shared" si="5"/>
        <v>Reserve Development - Area 2</v>
      </c>
      <c r="D89" s="799" t="s">
        <v>2715</v>
      </c>
      <c r="E89" s="799" t="str">
        <f t="shared" si="6"/>
        <v>Reserve Development - Area 2</v>
      </c>
      <c r="F89" s="799" t="s">
        <v>3608</v>
      </c>
      <c r="G89" s="799" t="str">
        <f t="shared" si="7"/>
        <v>Area 2</v>
      </c>
      <c r="H89" s="799"/>
      <c r="I89" s="799" t="s">
        <v>5444</v>
      </c>
      <c r="J89" t="str">
        <f t="shared" si="4"/>
        <v>OSD</v>
      </c>
    </row>
    <row r="90" spans="1:10">
      <c r="A90" s="799" t="s">
        <v>5527</v>
      </c>
      <c r="B90" s="799" t="s">
        <v>2888</v>
      </c>
      <c r="C90" s="799" t="str">
        <f t="shared" si="5"/>
        <v>Reserve Development - Area 3</v>
      </c>
      <c r="D90" s="799" t="s">
        <v>2716</v>
      </c>
      <c r="E90" s="799" t="str">
        <f t="shared" si="6"/>
        <v>Reserve Development - Area 3</v>
      </c>
      <c r="F90" s="799" t="s">
        <v>3608</v>
      </c>
      <c r="G90" s="799" t="str">
        <f t="shared" si="7"/>
        <v>Area 3</v>
      </c>
      <c r="H90" s="799"/>
      <c r="I90" s="799" t="s">
        <v>5444</v>
      </c>
      <c r="J90" t="str">
        <f t="shared" si="4"/>
        <v>OSD</v>
      </c>
    </row>
    <row r="91" spans="1:10">
      <c r="A91" s="799" t="s">
        <v>5527</v>
      </c>
      <c r="B91" s="799" t="s">
        <v>2635</v>
      </c>
      <c r="C91" s="799" t="str">
        <f t="shared" si="5"/>
        <v>Reserve Development - Area 4</v>
      </c>
      <c r="D91" s="799" t="s">
        <v>2717</v>
      </c>
      <c r="E91" s="799" t="str">
        <f t="shared" si="6"/>
        <v>Reserve Development - Area 4</v>
      </c>
      <c r="F91" s="799" t="s">
        <v>3608</v>
      </c>
      <c r="G91" s="799" t="str">
        <f t="shared" si="7"/>
        <v>Area 4</v>
      </c>
      <c r="H91" s="799"/>
      <c r="I91" s="799" t="s">
        <v>5444</v>
      </c>
      <c r="J91" t="str">
        <f t="shared" si="4"/>
        <v>OSD</v>
      </c>
    </row>
    <row r="92" spans="1:10">
      <c r="A92" s="799" t="s">
        <v>5527</v>
      </c>
      <c r="B92" s="799" t="s">
        <v>2395</v>
      </c>
      <c r="C92" s="799" t="str">
        <f t="shared" si="5"/>
        <v>Reserve Development - Warkworth</v>
      </c>
      <c r="D92" s="799" t="s">
        <v>2718</v>
      </c>
      <c r="E92" s="799" t="str">
        <f t="shared" si="6"/>
        <v>Reserve Development - Warkworth</v>
      </c>
      <c r="F92" s="799" t="s">
        <v>3607</v>
      </c>
      <c r="G92" s="799" t="str">
        <f t="shared" si="7"/>
        <v>Warkworth</v>
      </c>
      <c r="H92" s="799" t="s">
        <v>3607</v>
      </c>
      <c r="I92" s="799" t="s">
        <v>5444</v>
      </c>
      <c r="J92" t="str">
        <f t="shared" si="4"/>
        <v>OSD</v>
      </c>
    </row>
    <row r="93" spans="1:10">
      <c r="A93" s="799" t="s">
        <v>5527</v>
      </c>
      <c r="B93" s="799" t="s">
        <v>2566</v>
      </c>
      <c r="C93" s="799" t="str">
        <f t="shared" si="5"/>
        <v>Reserve Development - Dairy Flat</v>
      </c>
      <c r="D93" s="799" t="s">
        <v>2719</v>
      </c>
      <c r="E93" s="799" t="str">
        <f t="shared" si="6"/>
        <v>Reserve Development - Dairy Flat</v>
      </c>
      <c r="F93" s="799" t="s">
        <v>3607</v>
      </c>
      <c r="G93" s="799" t="str">
        <f t="shared" si="7"/>
        <v>Dairy Flat</v>
      </c>
      <c r="H93" s="799" t="s">
        <v>3607</v>
      </c>
      <c r="I93" s="799" t="s">
        <v>5444</v>
      </c>
      <c r="J93" t="str">
        <f t="shared" si="4"/>
        <v>OSD</v>
      </c>
    </row>
    <row r="94" spans="1:10">
      <c r="A94" s="799" t="s">
        <v>5527</v>
      </c>
      <c r="B94" s="799" t="s">
        <v>4333</v>
      </c>
      <c r="C94" s="799" t="str">
        <f t="shared" si="5"/>
        <v>Reserve Development - Northwest</v>
      </c>
      <c r="D94" s="799" t="s">
        <v>2720</v>
      </c>
      <c r="E94" s="799" t="str">
        <f t="shared" si="6"/>
        <v>Reserve Development - Northwest</v>
      </c>
      <c r="F94" s="799" t="s">
        <v>3608</v>
      </c>
      <c r="G94" s="799" t="str">
        <f t="shared" si="7"/>
        <v>Northwest</v>
      </c>
      <c r="H94" s="799" t="s">
        <v>3607</v>
      </c>
      <c r="I94" s="799" t="s">
        <v>5444</v>
      </c>
      <c r="J94" t="str">
        <f t="shared" si="4"/>
        <v>OSD</v>
      </c>
    </row>
    <row r="95" spans="1:10">
      <c r="A95" s="799" t="s">
        <v>5527</v>
      </c>
      <c r="B95" s="799" t="s">
        <v>2643</v>
      </c>
      <c r="C95" s="799" t="str">
        <f t="shared" si="5"/>
        <v>Reserve Development - Area 8</v>
      </c>
      <c r="D95" s="799" t="s">
        <v>2721</v>
      </c>
      <c r="E95" s="799" t="str">
        <f t="shared" si="6"/>
        <v>Reserve Development - Area 8</v>
      </c>
      <c r="F95" s="799" t="s">
        <v>3607</v>
      </c>
      <c r="G95" s="799" t="str">
        <f t="shared" si="7"/>
        <v>Area 8</v>
      </c>
      <c r="H95" s="799"/>
      <c r="I95" s="799" t="s">
        <v>5444</v>
      </c>
      <c r="J95" t="str">
        <f t="shared" si="4"/>
        <v>OSD</v>
      </c>
    </row>
    <row r="96" spans="1:10">
      <c r="A96" s="799" t="s">
        <v>5527</v>
      </c>
      <c r="B96" s="799" t="s">
        <v>2645</v>
      </c>
      <c r="C96" s="799" t="str">
        <f t="shared" si="5"/>
        <v>Reserve Development - Area 9</v>
      </c>
      <c r="D96" s="799" t="s">
        <v>2722</v>
      </c>
      <c r="E96" s="799" t="str">
        <f t="shared" si="6"/>
        <v>Reserve Development - Area 9</v>
      </c>
      <c r="F96" s="799" t="s">
        <v>3607</v>
      </c>
      <c r="G96" s="799" t="str">
        <f t="shared" si="7"/>
        <v>Area 9</v>
      </c>
      <c r="H96" s="799"/>
      <c r="I96" s="799" t="s">
        <v>5444</v>
      </c>
      <c r="J96" t="str">
        <f t="shared" si="4"/>
        <v>OSD</v>
      </c>
    </row>
    <row r="97" spans="1:10">
      <c r="A97" s="799" t="s">
        <v>5527</v>
      </c>
      <c r="B97" s="799" t="s">
        <v>2570</v>
      </c>
      <c r="C97" s="799" t="str">
        <f t="shared" si="5"/>
        <v>Reserve Development - Flatbush</v>
      </c>
      <c r="D97" s="799" t="s">
        <v>2723</v>
      </c>
      <c r="E97" s="799" t="str">
        <f t="shared" si="6"/>
        <v>Reserve Development - Flatbush</v>
      </c>
      <c r="F97" s="799" t="s">
        <v>3607</v>
      </c>
      <c r="G97" s="799" t="str">
        <f t="shared" si="7"/>
        <v>Flatbush</v>
      </c>
      <c r="H97" s="799" t="s">
        <v>3607</v>
      </c>
      <c r="I97" s="799" t="s">
        <v>5444</v>
      </c>
      <c r="J97" t="str">
        <f t="shared" si="4"/>
        <v>OSD</v>
      </c>
    </row>
    <row r="98" spans="1:10">
      <c r="A98" s="799" t="s">
        <v>5527</v>
      </c>
      <c r="B98" s="799" t="s">
        <v>2571</v>
      </c>
      <c r="C98" s="799" t="str">
        <f t="shared" si="5"/>
        <v>Reserve Development - Takanini</v>
      </c>
      <c r="D98" s="799" t="s">
        <v>2724</v>
      </c>
      <c r="E98" s="799" t="str">
        <f t="shared" si="6"/>
        <v>Reserve Development - Takanini</v>
      </c>
      <c r="F98" s="799" t="s">
        <v>3607</v>
      </c>
      <c r="G98" s="799" t="str">
        <f t="shared" si="7"/>
        <v>Takanini</v>
      </c>
      <c r="H98" s="799" t="s">
        <v>3607</v>
      </c>
      <c r="I98" s="799" t="s">
        <v>5444</v>
      </c>
      <c r="J98" t="str">
        <f t="shared" si="4"/>
        <v>OSD</v>
      </c>
    </row>
    <row r="99" spans="1:10">
      <c r="A99" s="799" t="s">
        <v>5527</v>
      </c>
      <c r="B99" s="799" t="s">
        <v>2572</v>
      </c>
      <c r="C99" s="799" t="str">
        <f t="shared" si="5"/>
        <v>Reserve Development - Opaheke / Drury</v>
      </c>
      <c r="D99" s="799" t="s">
        <v>2725</v>
      </c>
      <c r="E99" s="799" t="str">
        <f t="shared" si="6"/>
        <v>Reserve Development - Opaheke / Drury</v>
      </c>
      <c r="F99" s="799" t="s">
        <v>3607</v>
      </c>
      <c r="G99" s="799" t="str">
        <f t="shared" si="7"/>
        <v>Opaheke / Drury</v>
      </c>
      <c r="H99" s="799" t="s">
        <v>3607</v>
      </c>
      <c r="I99" s="799" t="s">
        <v>5444</v>
      </c>
      <c r="J99" t="str">
        <f t="shared" si="4"/>
        <v>OSD</v>
      </c>
    </row>
    <row r="100" spans="1:10">
      <c r="A100" s="799" t="s">
        <v>5527</v>
      </c>
      <c r="B100" s="799" t="s">
        <v>2573</v>
      </c>
      <c r="C100" s="799" t="str">
        <f t="shared" si="5"/>
        <v>Reserve Development - Hingaia</v>
      </c>
      <c r="D100" s="799" t="s">
        <v>2726</v>
      </c>
      <c r="E100" s="799" t="str">
        <f t="shared" si="6"/>
        <v>Reserve Development - Hingaia</v>
      </c>
      <c r="F100" s="799" t="s">
        <v>3607</v>
      </c>
      <c r="G100" s="799" t="str">
        <f t="shared" si="7"/>
        <v>Hingaia</v>
      </c>
      <c r="H100" s="799" t="s">
        <v>3607</v>
      </c>
      <c r="I100" s="799" t="s">
        <v>5444</v>
      </c>
      <c r="J100" t="str">
        <f t="shared" si="4"/>
        <v>OSD</v>
      </c>
    </row>
    <row r="101" spans="1:10">
      <c r="A101" s="799" t="s">
        <v>5527</v>
      </c>
      <c r="B101" s="799" t="s">
        <v>2574</v>
      </c>
      <c r="C101" s="799" t="str">
        <f t="shared" si="5"/>
        <v>Reserve Development - Paerata / Pukekohe</v>
      </c>
      <c r="D101" s="799" t="s">
        <v>2727</v>
      </c>
      <c r="E101" s="799" t="str">
        <f t="shared" si="6"/>
        <v>Reserve Development - Paerata / Pukekohe</v>
      </c>
      <c r="F101" s="799" t="s">
        <v>3607</v>
      </c>
      <c r="G101" s="799" t="str">
        <f t="shared" si="7"/>
        <v>Paerata / Pukekohe</v>
      </c>
      <c r="H101" s="799" t="s">
        <v>3607</v>
      </c>
      <c r="I101" s="799" t="s">
        <v>5444</v>
      </c>
      <c r="J101" t="str">
        <f t="shared" si="4"/>
        <v>OSD</v>
      </c>
    </row>
    <row r="102" spans="1:10">
      <c r="A102" s="799" t="s">
        <v>5527</v>
      </c>
      <c r="B102" s="799" t="s">
        <v>2425</v>
      </c>
      <c r="C102" s="799" t="str">
        <f t="shared" si="5"/>
        <v>Reserve Development - Hibiscus</v>
      </c>
      <c r="D102" s="799" t="s">
        <v>2728</v>
      </c>
      <c r="E102" s="799" t="str">
        <f t="shared" si="6"/>
        <v>Reserve Development - Hibiscus</v>
      </c>
      <c r="F102" s="799" t="s">
        <v>3607</v>
      </c>
      <c r="G102" s="799" t="str">
        <f t="shared" si="7"/>
        <v>Hibiscus</v>
      </c>
      <c r="H102" s="799" t="s">
        <v>3607</v>
      </c>
      <c r="I102" s="799" t="s">
        <v>5444</v>
      </c>
      <c r="J102" t="str">
        <f t="shared" si="4"/>
        <v>OSD</v>
      </c>
    </row>
    <row r="103" spans="1:10">
      <c r="A103" s="799" t="s">
        <v>5527</v>
      </c>
      <c r="B103" s="799" t="s">
        <v>2426</v>
      </c>
      <c r="C103" s="799" t="str">
        <f t="shared" si="5"/>
        <v>Reserve Development - North Shore</v>
      </c>
      <c r="D103" s="799" t="s">
        <v>2729</v>
      </c>
      <c r="E103" s="799" t="str">
        <f t="shared" si="6"/>
        <v>Reserve Development - North Shore</v>
      </c>
      <c r="F103" s="799" t="s">
        <v>3607</v>
      </c>
      <c r="G103" s="799" t="str">
        <f t="shared" si="7"/>
        <v>North Shore</v>
      </c>
      <c r="H103" s="799" t="s">
        <v>3607</v>
      </c>
      <c r="I103" s="799" t="s">
        <v>5444</v>
      </c>
      <c r="J103" t="str">
        <f t="shared" si="4"/>
        <v>OSD</v>
      </c>
    </row>
    <row r="104" spans="1:10">
      <c r="A104" s="799" t="s">
        <v>5527</v>
      </c>
      <c r="B104" s="799" t="s">
        <v>1207</v>
      </c>
      <c r="C104" s="799" t="str">
        <f t="shared" si="5"/>
        <v>Reserve Development - West</v>
      </c>
      <c r="D104" s="799" t="s">
        <v>2730</v>
      </c>
      <c r="E104" s="799" t="str">
        <f t="shared" si="6"/>
        <v>Reserve Development - West</v>
      </c>
      <c r="F104" s="799" t="s">
        <v>3608</v>
      </c>
      <c r="G104" s="799" t="str">
        <f t="shared" si="7"/>
        <v>West</v>
      </c>
      <c r="H104" s="799" t="s">
        <v>3607</v>
      </c>
      <c r="I104" s="799" t="s">
        <v>5444</v>
      </c>
      <c r="J104" t="str">
        <f t="shared" si="4"/>
        <v>OSD</v>
      </c>
    </row>
    <row r="105" spans="1:10">
      <c r="A105" s="799" t="s">
        <v>5527</v>
      </c>
      <c r="B105" s="799" t="s">
        <v>1208</v>
      </c>
      <c r="C105" s="799" t="str">
        <f t="shared" si="5"/>
        <v>Reserve Development - Central</v>
      </c>
      <c r="D105" s="799" t="s">
        <v>2731</v>
      </c>
      <c r="E105" s="799" t="str">
        <f t="shared" si="6"/>
        <v>Reserve Development - Central</v>
      </c>
      <c r="F105" s="799" t="s">
        <v>3608</v>
      </c>
      <c r="G105" s="799" t="str">
        <f t="shared" si="7"/>
        <v>Central</v>
      </c>
      <c r="H105" s="799" t="s">
        <v>3607</v>
      </c>
      <c r="I105" s="799" t="s">
        <v>5444</v>
      </c>
      <c r="J105" t="str">
        <f t="shared" si="4"/>
        <v>OSD</v>
      </c>
    </row>
    <row r="106" spans="1:10">
      <c r="A106" s="799" t="s">
        <v>5527</v>
      </c>
      <c r="B106" s="799" t="s">
        <v>2582</v>
      </c>
      <c r="C106" s="799" t="str">
        <f t="shared" si="5"/>
        <v>Reserve Development - South (West)</v>
      </c>
      <c r="D106" s="799" t="s">
        <v>2732</v>
      </c>
      <c r="E106" s="799" t="str">
        <f t="shared" si="6"/>
        <v>Reserve Development - South (West)</v>
      </c>
      <c r="F106" s="799" t="s">
        <v>3608</v>
      </c>
      <c r="G106" s="799" t="str">
        <f t="shared" si="7"/>
        <v>South (West)</v>
      </c>
      <c r="H106" s="799" t="s">
        <v>3607</v>
      </c>
      <c r="I106" s="799" t="s">
        <v>5444</v>
      </c>
      <c r="J106" t="str">
        <f t="shared" si="4"/>
        <v>OSD</v>
      </c>
    </row>
    <row r="107" spans="1:10">
      <c r="A107" s="799" t="s">
        <v>5527</v>
      </c>
      <c r="B107" s="799" t="s">
        <v>2583</v>
      </c>
      <c r="C107" s="799" t="str">
        <f t="shared" si="5"/>
        <v>Reserve Development - South (East)</v>
      </c>
      <c r="D107" s="799" t="s">
        <v>2733</v>
      </c>
      <c r="E107" s="799" t="str">
        <f t="shared" si="6"/>
        <v>Reserve Development - South (East)</v>
      </c>
      <c r="F107" s="799" t="s">
        <v>3608</v>
      </c>
      <c r="G107" s="799" t="str">
        <f t="shared" si="7"/>
        <v>South (East)</v>
      </c>
      <c r="H107" s="799" t="s">
        <v>3607</v>
      </c>
      <c r="I107" s="799" t="s">
        <v>5444</v>
      </c>
      <c r="J107" t="str">
        <f t="shared" si="4"/>
        <v>OSD</v>
      </c>
    </row>
    <row r="108" spans="1:10">
      <c r="A108" s="799" t="s">
        <v>5527</v>
      </c>
      <c r="B108" s="799" t="s">
        <v>2584</v>
      </c>
      <c r="C108" s="799" t="str">
        <f t="shared" si="5"/>
        <v>Reserve Development - Rural North Upper</v>
      </c>
      <c r="D108" s="799" t="s">
        <v>2734</v>
      </c>
      <c r="E108" s="799" t="str">
        <f t="shared" si="6"/>
        <v>Reserve Development - Rural North Upper</v>
      </c>
      <c r="F108" s="799" t="s">
        <v>3608</v>
      </c>
      <c r="G108" s="799" t="str">
        <f t="shared" si="7"/>
        <v>Rural North Upper</v>
      </c>
      <c r="H108" s="799" t="s">
        <v>3607</v>
      </c>
      <c r="I108" s="799" t="s">
        <v>5444</v>
      </c>
      <c r="J108" t="str">
        <f t="shared" si="4"/>
        <v>OSD</v>
      </c>
    </row>
    <row r="109" spans="1:10">
      <c r="A109" s="799" t="s">
        <v>5527</v>
      </c>
      <c r="B109" s="799" t="s">
        <v>2585</v>
      </c>
      <c r="C109" s="799" t="str">
        <f t="shared" si="5"/>
        <v>Reserve Development - Rural North Lower</v>
      </c>
      <c r="D109" s="799" t="s">
        <v>2735</v>
      </c>
      <c r="E109" s="799" t="str">
        <f t="shared" si="6"/>
        <v>Reserve Development - Rural North Lower</v>
      </c>
      <c r="F109" s="799" t="s">
        <v>3608</v>
      </c>
      <c r="G109" s="799" t="str">
        <f t="shared" si="7"/>
        <v>Rural North Lower</v>
      </c>
      <c r="H109" s="799" t="s">
        <v>3607</v>
      </c>
      <c r="I109" s="799" t="s">
        <v>5444</v>
      </c>
      <c r="J109" t="str">
        <f t="shared" si="4"/>
        <v>OSD</v>
      </c>
    </row>
    <row r="110" spans="1:10">
      <c r="A110" s="799" t="s">
        <v>5527</v>
      </c>
      <c r="B110" s="799" t="s">
        <v>2586</v>
      </c>
      <c r="C110" s="799" t="str">
        <f t="shared" si="5"/>
        <v>Reserve Development - Rural West</v>
      </c>
      <c r="D110" s="799" t="s">
        <v>2736</v>
      </c>
      <c r="E110" s="799" t="str">
        <f t="shared" si="6"/>
        <v>Reserve Development - Rural West</v>
      </c>
      <c r="F110" s="799" t="s">
        <v>3608</v>
      </c>
      <c r="G110" s="799" t="str">
        <f t="shared" si="7"/>
        <v>Rural West</v>
      </c>
      <c r="H110" s="799" t="s">
        <v>3607</v>
      </c>
      <c r="I110" s="799" t="s">
        <v>5444</v>
      </c>
      <c r="J110" t="str">
        <f t="shared" si="4"/>
        <v>OSD</v>
      </c>
    </row>
    <row r="111" spans="1:10">
      <c r="A111" s="799" t="s">
        <v>5527</v>
      </c>
      <c r="B111" s="799" t="s">
        <v>2587</v>
      </c>
      <c r="C111" s="799" t="str">
        <f t="shared" si="5"/>
        <v>Reserve Development - Rural South West</v>
      </c>
      <c r="D111" s="799" t="s">
        <v>2737</v>
      </c>
      <c r="E111" s="799" t="str">
        <f t="shared" si="6"/>
        <v>Reserve Development - Rural South West</v>
      </c>
      <c r="F111" s="799" t="s">
        <v>3608</v>
      </c>
      <c r="G111" s="799" t="str">
        <f t="shared" si="7"/>
        <v>Rural South West</v>
      </c>
      <c r="H111" s="799" t="s">
        <v>3607</v>
      </c>
      <c r="I111" s="799" t="s">
        <v>5444</v>
      </c>
      <c r="J111" t="str">
        <f t="shared" si="4"/>
        <v>OSD</v>
      </c>
    </row>
    <row r="112" spans="1:10">
      <c r="A112" s="799" t="s">
        <v>5527</v>
      </c>
      <c r="B112" s="799" t="s">
        <v>2588</v>
      </c>
      <c r="C112" s="799" t="str">
        <f t="shared" si="5"/>
        <v>Reserve Development - Rural South East</v>
      </c>
      <c r="D112" s="799" t="s">
        <v>2738</v>
      </c>
      <c r="E112" s="799" t="str">
        <f t="shared" si="6"/>
        <v>Reserve Development - Rural South East</v>
      </c>
      <c r="F112" s="799" t="s">
        <v>3608</v>
      </c>
      <c r="G112" s="799" t="str">
        <f t="shared" si="7"/>
        <v>Rural South East</v>
      </c>
      <c r="H112" s="799" t="s">
        <v>3607</v>
      </c>
      <c r="I112" s="799" t="s">
        <v>5444</v>
      </c>
      <c r="J112" t="str">
        <f t="shared" si="4"/>
        <v>OSD</v>
      </c>
    </row>
    <row r="113" spans="1:10">
      <c r="A113" s="799" t="s">
        <v>5527</v>
      </c>
      <c r="B113" s="799" t="s">
        <v>2427</v>
      </c>
      <c r="C113" s="799" t="str">
        <f t="shared" si="5"/>
        <v>Reserve Development - Rural Islands</v>
      </c>
      <c r="D113" s="799" t="s">
        <v>2739</v>
      </c>
      <c r="E113" s="799" t="str">
        <f t="shared" si="6"/>
        <v>Reserve Development - Rural Islands</v>
      </c>
      <c r="F113" s="799" t="s">
        <v>3607</v>
      </c>
      <c r="G113" s="799" t="str">
        <f t="shared" si="7"/>
        <v>Rural Islands</v>
      </c>
      <c r="H113" s="799" t="s">
        <v>3607</v>
      </c>
      <c r="I113" s="799" t="s">
        <v>5444</v>
      </c>
      <c r="J113" t="str">
        <f t="shared" si="4"/>
        <v>OSD</v>
      </c>
    </row>
    <row r="114" spans="1:10">
      <c r="A114" s="799" t="s">
        <v>5527</v>
      </c>
      <c r="B114" s="799" t="s">
        <v>3054</v>
      </c>
      <c r="C114" s="799" t="str">
        <f t="shared" si="5"/>
        <v>Reserve Development - Tamaki</v>
      </c>
      <c r="D114" s="799" t="s">
        <v>2740</v>
      </c>
      <c r="E114" s="799" t="str">
        <f t="shared" si="6"/>
        <v>Reserve Development - Tamaki</v>
      </c>
      <c r="F114" s="799" t="s">
        <v>3607</v>
      </c>
      <c r="G114" s="799" t="str">
        <f t="shared" si="7"/>
        <v>Tamaki</v>
      </c>
      <c r="H114" s="799" t="s">
        <v>3607</v>
      </c>
      <c r="I114" s="799" t="s">
        <v>5444</v>
      </c>
      <c r="J114" t="str">
        <f t="shared" si="4"/>
        <v>OSD</v>
      </c>
    </row>
    <row r="115" spans="1:10">
      <c r="A115" s="799" t="s">
        <v>5527</v>
      </c>
      <c r="B115" s="799" t="s">
        <v>7052</v>
      </c>
      <c r="C115" s="799" t="str">
        <f t="shared" si="5"/>
        <v>Reserve Development - Drury IPA</v>
      </c>
      <c r="D115" s="799" t="s">
        <v>2741</v>
      </c>
      <c r="E115" s="799" t="str">
        <f t="shared" si="6"/>
        <v>Reserve Development - Drury IPA</v>
      </c>
      <c r="F115" s="799" t="s">
        <v>3607</v>
      </c>
      <c r="G115" s="799" t="str">
        <f t="shared" si="7"/>
        <v>Drury IPA</v>
      </c>
      <c r="H115" s="799"/>
      <c r="I115" s="799" t="s">
        <v>5444</v>
      </c>
      <c r="J115" t="str">
        <f t="shared" si="4"/>
        <v>OSD</v>
      </c>
    </row>
    <row r="116" spans="1:10">
      <c r="A116" s="799" t="s">
        <v>5527</v>
      </c>
      <c r="B116" s="799" t="s">
        <v>6900</v>
      </c>
      <c r="C116" s="799" t="str">
        <f t="shared" si="5"/>
        <v>Reserve Development - Auranga</v>
      </c>
      <c r="D116" s="799" t="s">
        <v>2742</v>
      </c>
      <c r="E116" s="799" t="str">
        <f t="shared" si="6"/>
        <v>Reserve Development - Auranga</v>
      </c>
      <c r="F116" s="799" t="s">
        <v>3607</v>
      </c>
      <c r="G116" s="799" t="str">
        <f t="shared" si="7"/>
        <v>Auranga</v>
      </c>
      <c r="H116" s="799"/>
      <c r="I116" s="799" t="s">
        <v>5444</v>
      </c>
      <c r="J116" t="str">
        <f t="shared" si="4"/>
        <v>OSD</v>
      </c>
    </row>
    <row r="117" spans="1:10">
      <c r="A117" s="799" t="s">
        <v>5527</v>
      </c>
      <c r="B117" s="799" t="s">
        <v>6701</v>
      </c>
      <c r="C117" s="799" t="str">
        <f t="shared" si="5"/>
        <v>Reserve Development - Drury West 1 IPA</v>
      </c>
      <c r="D117" s="799" t="s">
        <v>2743</v>
      </c>
      <c r="E117" s="799" t="str">
        <f t="shared" si="6"/>
        <v>Reserve Development - Drury West 1 IPA</v>
      </c>
      <c r="F117" s="799" t="s">
        <v>3607</v>
      </c>
      <c r="G117" s="799" t="str">
        <f t="shared" si="7"/>
        <v>Drury West 1 IPA</v>
      </c>
      <c r="H117" s="799"/>
      <c r="I117" s="799" t="s">
        <v>5444</v>
      </c>
      <c r="J117" t="str">
        <f t="shared" si="4"/>
        <v>OSD</v>
      </c>
    </row>
    <row r="118" spans="1:10">
      <c r="A118" s="799" t="s">
        <v>5527</v>
      </c>
      <c r="B118" s="799" t="s">
        <v>6702</v>
      </c>
      <c r="C118" s="799" t="str">
        <f t="shared" si="5"/>
        <v>Reserve Development - Drury West 2 IPA</v>
      </c>
      <c r="D118" s="799" t="s">
        <v>2744</v>
      </c>
      <c r="E118" s="799" t="str">
        <f t="shared" si="6"/>
        <v>Reserve Development - Drury West 2 IPA</v>
      </c>
      <c r="F118" s="799" t="s">
        <v>3607</v>
      </c>
      <c r="G118" s="799" t="str">
        <f t="shared" si="7"/>
        <v>Drury West 2 IPA</v>
      </c>
      <c r="H118" s="799"/>
      <c r="I118" s="799" t="s">
        <v>5444</v>
      </c>
      <c r="J118" t="str">
        <f t="shared" si="4"/>
        <v>OSD</v>
      </c>
    </row>
    <row r="119" spans="1:10">
      <c r="A119" s="799" t="s">
        <v>5527</v>
      </c>
      <c r="B119" s="799" t="s">
        <v>6703</v>
      </c>
      <c r="C119" s="799" t="str">
        <f t="shared" si="5"/>
        <v>Reserve Development - Opaheke IPA</v>
      </c>
      <c r="D119" s="799" t="s">
        <v>2745</v>
      </c>
      <c r="E119" s="799" t="str">
        <f t="shared" si="6"/>
        <v>Reserve Development - Opaheke IPA</v>
      </c>
      <c r="F119" s="799" t="s">
        <v>3607</v>
      </c>
      <c r="G119" s="799" t="str">
        <f t="shared" si="7"/>
        <v>Opaheke IPA</v>
      </c>
      <c r="H119" s="799"/>
      <c r="I119" s="799" t="s">
        <v>5444</v>
      </c>
      <c r="J119" t="str">
        <f t="shared" si="4"/>
        <v>OSD</v>
      </c>
    </row>
    <row r="120" spans="1:10">
      <c r="A120" s="799" t="s">
        <v>5527</v>
      </c>
      <c r="B120" s="799" t="s">
        <v>6700</v>
      </c>
      <c r="C120" s="799" t="str">
        <f t="shared" si="5"/>
        <v>Reserve Development - Drury East IPA</v>
      </c>
      <c r="D120" s="799" t="s">
        <v>2746</v>
      </c>
      <c r="E120" s="799" t="str">
        <f t="shared" si="6"/>
        <v>Reserve Development - Drury East IPA</v>
      </c>
      <c r="F120" s="799" t="s">
        <v>3607</v>
      </c>
      <c r="G120" s="799" t="str">
        <f t="shared" si="7"/>
        <v>Drury East IPA</v>
      </c>
      <c r="H120" s="799"/>
      <c r="I120" s="799" t="s">
        <v>5444</v>
      </c>
      <c r="J120" t="str">
        <f t="shared" si="4"/>
        <v>OSD</v>
      </c>
    </row>
    <row r="121" spans="1:10">
      <c r="A121" s="799" t="s">
        <v>5527</v>
      </c>
      <c r="B121" s="799" t="s">
        <v>6901</v>
      </c>
      <c r="C121" s="799" t="str">
        <f t="shared" si="5"/>
        <v>Reserve Development - Drury IPA (Community spaces)</v>
      </c>
      <c r="D121" s="799" t="s">
        <v>2747</v>
      </c>
      <c r="E121" s="799" t="str">
        <f t="shared" si="6"/>
        <v>Reserve Development - Drury IPA (Community spaces)</v>
      </c>
      <c r="F121" s="799" t="s">
        <v>3607</v>
      </c>
      <c r="G121" s="799" t="str">
        <f t="shared" si="7"/>
        <v>Drury IPA (Community spaces)</v>
      </c>
      <c r="H121" s="799"/>
      <c r="I121" s="799" t="s">
        <v>5444</v>
      </c>
      <c r="J121" t="str">
        <f t="shared" si="4"/>
        <v>OSD</v>
      </c>
    </row>
    <row r="122" spans="1:10">
      <c r="A122" s="799" t="s">
        <v>5527</v>
      </c>
      <c r="B122" s="799" t="s">
        <v>2697</v>
      </c>
      <c r="C122" s="799" t="str">
        <f t="shared" si="5"/>
        <v>Reserve Development - Area 35</v>
      </c>
      <c r="D122" s="799" t="s">
        <v>2748</v>
      </c>
      <c r="E122" s="799" t="str">
        <f t="shared" si="6"/>
        <v>Reserve Development - Area 35</v>
      </c>
      <c r="F122" s="799" t="s">
        <v>3607</v>
      </c>
      <c r="G122" s="799" t="str">
        <f t="shared" si="7"/>
        <v>Area 35</v>
      </c>
      <c r="H122" s="799"/>
      <c r="I122" s="799" t="s">
        <v>5444</v>
      </c>
      <c r="J122" t="str">
        <f t="shared" si="4"/>
        <v>OSD</v>
      </c>
    </row>
    <row r="123" spans="1:10">
      <c r="A123" s="799" t="s">
        <v>5527</v>
      </c>
      <c r="B123" s="799" t="s">
        <v>2699</v>
      </c>
      <c r="C123" s="799" t="str">
        <f t="shared" si="5"/>
        <v>Reserve Development - Area 36</v>
      </c>
      <c r="D123" s="799" t="s">
        <v>2749</v>
      </c>
      <c r="E123" s="799" t="str">
        <f t="shared" si="6"/>
        <v>Reserve Development - Area 36</v>
      </c>
      <c r="F123" s="799" t="s">
        <v>3607</v>
      </c>
      <c r="G123" s="799" t="str">
        <f t="shared" si="7"/>
        <v>Area 36</v>
      </c>
      <c r="H123" s="799"/>
      <c r="I123" s="799" t="s">
        <v>5444</v>
      </c>
      <c r="J123" t="str">
        <f t="shared" si="4"/>
        <v>OSD</v>
      </c>
    </row>
    <row r="124" spans="1:10">
      <c r="A124" s="799" t="s">
        <v>5527</v>
      </c>
      <c r="B124" s="799" t="s">
        <v>2701</v>
      </c>
      <c r="C124" s="799" t="str">
        <f t="shared" si="5"/>
        <v>Reserve Development - Area 37</v>
      </c>
      <c r="D124" s="799" t="s">
        <v>2750</v>
      </c>
      <c r="E124" s="799" t="str">
        <f t="shared" si="6"/>
        <v>Reserve Development - Area 37</v>
      </c>
      <c r="F124" s="799" t="s">
        <v>3607</v>
      </c>
      <c r="G124" s="799" t="str">
        <f t="shared" si="7"/>
        <v>Area 37</v>
      </c>
      <c r="H124" s="799"/>
      <c r="I124" s="799" t="s">
        <v>5444</v>
      </c>
      <c r="J124" t="str">
        <f t="shared" si="4"/>
        <v>OSD</v>
      </c>
    </row>
    <row r="125" spans="1:10">
      <c r="A125" s="799" t="s">
        <v>5527</v>
      </c>
      <c r="B125" s="799" t="s">
        <v>2703</v>
      </c>
      <c r="C125" s="799" t="str">
        <f t="shared" si="5"/>
        <v>Reserve Development - Area 38</v>
      </c>
      <c r="D125" s="799" t="s">
        <v>2751</v>
      </c>
      <c r="E125" s="799" t="str">
        <f t="shared" si="6"/>
        <v>Reserve Development - Area 38</v>
      </c>
      <c r="F125" s="799" t="s">
        <v>3607</v>
      </c>
      <c r="G125" s="799" t="str">
        <f t="shared" si="7"/>
        <v>Area 38</v>
      </c>
      <c r="H125" s="799"/>
      <c r="I125" s="799" t="s">
        <v>5444</v>
      </c>
      <c r="J125" t="str">
        <f t="shared" si="4"/>
        <v>OSD</v>
      </c>
    </row>
    <row r="126" spans="1:10">
      <c r="A126" s="799" t="s">
        <v>5527</v>
      </c>
      <c r="B126" s="799" t="s">
        <v>2705</v>
      </c>
      <c r="C126" s="799" t="str">
        <f t="shared" si="5"/>
        <v>Reserve Development - Area 39</v>
      </c>
      <c r="D126" s="799" t="s">
        <v>2752</v>
      </c>
      <c r="E126" s="799" t="str">
        <f t="shared" si="6"/>
        <v>Reserve Development - Area 39</v>
      </c>
      <c r="F126" s="799" t="s">
        <v>3607</v>
      </c>
      <c r="G126" s="799" t="str">
        <f t="shared" si="7"/>
        <v>Area 39</v>
      </c>
      <c r="H126" s="799"/>
      <c r="I126" s="799" t="s">
        <v>5444</v>
      </c>
      <c r="J126" t="str">
        <f t="shared" si="4"/>
        <v>OSD</v>
      </c>
    </row>
    <row r="127" spans="1:10">
      <c r="A127" s="799" t="s">
        <v>5527</v>
      </c>
      <c r="B127" s="799" t="s">
        <v>2707</v>
      </c>
      <c r="C127" s="799" t="str">
        <f t="shared" si="5"/>
        <v>Reserve Development - Area 40</v>
      </c>
      <c r="D127" s="799" t="s">
        <v>2753</v>
      </c>
      <c r="E127" s="799" t="str">
        <f t="shared" si="6"/>
        <v>Reserve Development - Area 40</v>
      </c>
      <c r="F127" s="799" t="s">
        <v>3607</v>
      </c>
      <c r="G127" s="799" t="str">
        <f t="shared" si="7"/>
        <v>Area 40</v>
      </c>
      <c r="H127" s="799"/>
      <c r="I127" s="799" t="s">
        <v>5444</v>
      </c>
      <c r="J127" t="str">
        <f t="shared" si="4"/>
        <v>OSD</v>
      </c>
    </row>
    <row r="128" spans="1:10">
      <c r="A128" s="799" t="s">
        <v>5527</v>
      </c>
      <c r="B128" s="799" t="s">
        <v>2709</v>
      </c>
      <c r="C128" s="799" t="str">
        <f t="shared" si="5"/>
        <v>Reserve Development - Area 41</v>
      </c>
      <c r="D128" s="799" t="s">
        <v>2754</v>
      </c>
      <c r="E128" s="799" t="str">
        <f t="shared" si="6"/>
        <v>Reserve Development - Area 41</v>
      </c>
      <c r="F128" s="799" t="s">
        <v>3607</v>
      </c>
      <c r="G128" s="799" t="str">
        <f t="shared" si="7"/>
        <v>Area 41</v>
      </c>
      <c r="H128" s="799"/>
      <c r="I128" s="799" t="s">
        <v>5444</v>
      </c>
      <c r="J128" t="str">
        <f t="shared" si="4"/>
        <v>OSD</v>
      </c>
    </row>
    <row r="129" spans="1:10">
      <c r="A129" s="799" t="s">
        <v>5527</v>
      </c>
      <c r="B129" s="799" t="s">
        <v>2711</v>
      </c>
      <c r="C129" s="799" t="str">
        <f t="shared" si="5"/>
        <v>Reserve Development - Area 42</v>
      </c>
      <c r="D129" s="799" t="s">
        <v>2755</v>
      </c>
      <c r="E129" s="799" t="str">
        <f t="shared" si="6"/>
        <v>Reserve Development - Area 42</v>
      </c>
      <c r="F129" s="799" t="s">
        <v>3607</v>
      </c>
      <c r="G129" s="799" t="str">
        <f t="shared" si="7"/>
        <v>Area 42</v>
      </c>
      <c r="H129" s="799"/>
      <c r="I129" s="799" t="s">
        <v>5444</v>
      </c>
      <c r="J129" t="str">
        <f t="shared" si="4"/>
        <v>OSD</v>
      </c>
    </row>
    <row r="130" spans="1:10">
      <c r="A130" s="799" t="s">
        <v>5527</v>
      </c>
      <c r="B130" s="799" t="s">
        <v>2713</v>
      </c>
      <c r="C130" s="799" t="str">
        <f t="shared" si="5"/>
        <v>Reserve Development - Area 43</v>
      </c>
      <c r="D130" s="799" t="s">
        <v>2756</v>
      </c>
      <c r="E130" s="799" t="str">
        <f t="shared" si="6"/>
        <v>Reserve Development - Area 43</v>
      </c>
      <c r="F130" s="799" t="s">
        <v>3607</v>
      </c>
      <c r="G130" s="799" t="str">
        <f t="shared" si="7"/>
        <v>Area 43</v>
      </c>
      <c r="H130" s="799"/>
      <c r="I130" s="799" t="s">
        <v>5444</v>
      </c>
      <c r="J130" t="str">
        <f t="shared" ref="J130:J193" si="8">TRIM(LEFT(D130,3))</f>
        <v>OSD</v>
      </c>
    </row>
    <row r="131" spans="1:10">
      <c r="A131" s="799" t="s">
        <v>963</v>
      </c>
      <c r="B131" s="799"/>
      <c r="C131" s="799" t="str">
        <f t="shared" ref="C131:C194" si="9">A131&amp;" - "&amp;B131</f>
        <v xml:space="preserve">Stormwater - </v>
      </c>
      <c r="D131" s="799" t="s">
        <v>2308</v>
      </c>
      <c r="E131" s="799" t="str">
        <f t="shared" ref="E131:E194" si="10">+C131</f>
        <v xml:space="preserve">Stormwater - </v>
      </c>
      <c r="F131" s="799" t="s">
        <v>3607</v>
      </c>
      <c r="G131" s="799">
        <f t="shared" ref="G131:G194" si="11">+B131</f>
        <v>0</v>
      </c>
      <c r="H131" s="799"/>
      <c r="I131" s="799" t="s">
        <v>5444</v>
      </c>
      <c r="J131" t="str">
        <f t="shared" si="8"/>
        <v>STW</v>
      </c>
    </row>
    <row r="132" spans="1:10">
      <c r="A132" s="799" t="s">
        <v>963</v>
      </c>
      <c r="B132" s="799" t="s">
        <v>2405</v>
      </c>
      <c r="C132" s="799" t="str">
        <f t="shared" si="9"/>
        <v>Stormwater - Ararimu</v>
      </c>
      <c r="D132" s="799" t="s">
        <v>5405</v>
      </c>
      <c r="E132" s="799" t="str">
        <f t="shared" si="10"/>
        <v>Stormwater - Ararimu</v>
      </c>
      <c r="F132" s="799" t="s">
        <v>3607</v>
      </c>
      <c r="G132" s="799" t="str">
        <f t="shared" si="11"/>
        <v>Ararimu</v>
      </c>
      <c r="H132" s="799" t="s">
        <v>3607</v>
      </c>
      <c r="I132" s="799" t="s">
        <v>5444</v>
      </c>
      <c r="J132" t="str">
        <f t="shared" si="8"/>
        <v>STW</v>
      </c>
    </row>
    <row r="133" spans="1:10">
      <c r="A133" s="799" t="s">
        <v>963</v>
      </c>
      <c r="B133" s="799" t="s">
        <v>2603</v>
      </c>
      <c r="C133" s="799" t="str">
        <f t="shared" si="9"/>
        <v>Stormwater - City Centre GPA</v>
      </c>
      <c r="D133" s="799" t="s">
        <v>5400</v>
      </c>
      <c r="E133" s="799" t="str">
        <f t="shared" si="10"/>
        <v>Stormwater - City Centre GPA</v>
      </c>
      <c r="F133" s="799" t="s">
        <v>3607</v>
      </c>
      <c r="G133" s="799" t="str">
        <f t="shared" si="11"/>
        <v>City Centre GPA</v>
      </c>
      <c r="H133" s="799" t="s">
        <v>3607</v>
      </c>
      <c r="I133" s="799" t="s">
        <v>5444</v>
      </c>
      <c r="J133" t="str">
        <f t="shared" si="8"/>
        <v>STW</v>
      </c>
    </row>
    <row r="134" spans="1:10">
      <c r="A134" s="799" t="s">
        <v>963</v>
      </c>
      <c r="B134" s="799" t="s">
        <v>2396</v>
      </c>
      <c r="C134" s="799" t="str">
        <f t="shared" si="9"/>
        <v>Stormwater - East Coast Bays</v>
      </c>
      <c r="D134" s="799" t="s">
        <v>5395</v>
      </c>
      <c r="E134" s="799" t="str">
        <f t="shared" si="10"/>
        <v>Stormwater - East Coast Bays</v>
      </c>
      <c r="F134" s="799" t="s">
        <v>3607</v>
      </c>
      <c r="G134" s="799" t="str">
        <f t="shared" si="11"/>
        <v>East Coast Bays</v>
      </c>
      <c r="H134" s="799" t="s">
        <v>3607</v>
      </c>
      <c r="I134" s="799" t="s">
        <v>5444</v>
      </c>
      <c r="J134" t="str">
        <f t="shared" si="8"/>
        <v>STW</v>
      </c>
    </row>
    <row r="135" spans="1:10">
      <c r="A135" s="799" t="s">
        <v>963</v>
      </c>
      <c r="B135" s="799" t="s">
        <v>5528</v>
      </c>
      <c r="C135" s="799" t="str">
        <f t="shared" si="9"/>
        <v>Stormwater - Flat Bush GPA</v>
      </c>
      <c r="D135" s="799" t="s">
        <v>5406</v>
      </c>
      <c r="E135" s="799" t="str">
        <f t="shared" si="10"/>
        <v>Stormwater - Flat Bush GPA</v>
      </c>
      <c r="F135" s="799" t="s">
        <v>3607</v>
      </c>
      <c r="G135" s="799" t="str">
        <f t="shared" si="11"/>
        <v>Flat Bush GPA</v>
      </c>
      <c r="H135" s="799" t="s">
        <v>3607</v>
      </c>
      <c r="I135" s="799" t="s">
        <v>5444</v>
      </c>
      <c r="J135" t="str">
        <f t="shared" si="8"/>
        <v>STW</v>
      </c>
    </row>
    <row r="136" spans="1:10">
      <c r="A136" s="799" t="s">
        <v>963</v>
      </c>
      <c r="B136" s="799" t="s">
        <v>2605</v>
      </c>
      <c r="C136" s="799" t="str">
        <f t="shared" si="9"/>
        <v>Stormwater - Metro Manukau GPA</v>
      </c>
      <c r="D136" s="799" t="s">
        <v>5408</v>
      </c>
      <c r="E136" s="799" t="str">
        <f t="shared" si="10"/>
        <v>Stormwater - Metro Manukau GPA</v>
      </c>
      <c r="F136" s="799" t="s">
        <v>3607</v>
      </c>
      <c r="G136" s="799" t="str">
        <f t="shared" si="11"/>
        <v>Metro Manukau GPA</v>
      </c>
      <c r="H136" s="799" t="s">
        <v>3607</v>
      </c>
      <c r="I136" s="799" t="s">
        <v>5444</v>
      </c>
      <c r="J136" t="str">
        <f t="shared" si="8"/>
        <v>STW</v>
      </c>
    </row>
    <row r="137" spans="1:10">
      <c r="A137" s="799" t="s">
        <v>963</v>
      </c>
      <c r="B137" s="799" t="s">
        <v>5541</v>
      </c>
      <c r="C137" s="799" t="str">
        <f t="shared" si="9"/>
        <v>Stormwater - Manurewa / Papakura GPA</v>
      </c>
      <c r="D137" s="799" t="s">
        <v>5409</v>
      </c>
      <c r="E137" s="799" t="str">
        <f t="shared" si="10"/>
        <v>Stormwater - Manurewa / Papakura GPA</v>
      </c>
      <c r="F137" s="799" t="s">
        <v>3607</v>
      </c>
      <c r="G137" s="799" t="str">
        <f t="shared" si="11"/>
        <v>Manurewa / Papakura GPA</v>
      </c>
      <c r="H137" s="799" t="s">
        <v>3607</v>
      </c>
      <c r="I137" s="799" t="s">
        <v>5444</v>
      </c>
      <c r="J137" t="str">
        <f t="shared" si="8"/>
        <v>STW</v>
      </c>
    </row>
    <row r="138" spans="1:10">
      <c r="A138" s="799" t="s">
        <v>963</v>
      </c>
      <c r="B138" s="799" t="s">
        <v>2607</v>
      </c>
      <c r="C138" s="799" t="str">
        <f t="shared" si="9"/>
        <v>Stormwater - Greater Takapuna GPA</v>
      </c>
      <c r="D138" s="799" t="s">
        <v>5421</v>
      </c>
      <c r="E138" s="799" t="str">
        <f t="shared" si="10"/>
        <v>Stormwater - Greater Takapuna GPA</v>
      </c>
      <c r="F138" s="799" t="s">
        <v>3607</v>
      </c>
      <c r="G138" s="799" t="str">
        <f t="shared" si="11"/>
        <v>Greater Takapuna GPA</v>
      </c>
      <c r="H138" s="799" t="s">
        <v>3607</v>
      </c>
      <c r="I138" s="799" t="s">
        <v>5444</v>
      </c>
      <c r="J138" t="str">
        <f t="shared" si="8"/>
        <v>STW</v>
      </c>
    </row>
    <row r="139" spans="1:10">
      <c r="A139" s="799" t="s">
        <v>963</v>
      </c>
      <c r="B139" s="799" t="s">
        <v>2608</v>
      </c>
      <c r="C139" s="799" t="str">
        <f t="shared" si="9"/>
        <v>Stormwater - Greater Tamaki GPA</v>
      </c>
      <c r="D139" s="799" t="s">
        <v>5422</v>
      </c>
      <c r="E139" s="799" t="str">
        <f t="shared" si="10"/>
        <v>Stormwater - Greater Tamaki GPA</v>
      </c>
      <c r="F139" s="799" t="s">
        <v>3607</v>
      </c>
      <c r="G139" s="799" t="str">
        <f t="shared" si="11"/>
        <v>Greater Tamaki GPA</v>
      </c>
      <c r="H139" s="799" t="s">
        <v>3607</v>
      </c>
      <c r="I139" s="799" t="s">
        <v>5444</v>
      </c>
      <c r="J139" t="str">
        <f t="shared" si="8"/>
        <v>STW</v>
      </c>
    </row>
    <row r="140" spans="1:10">
      <c r="A140" s="799" t="s">
        <v>963</v>
      </c>
      <c r="B140" s="799" t="s">
        <v>2393</v>
      </c>
      <c r="C140" s="799" t="str">
        <f t="shared" si="9"/>
        <v>Stormwater - Helensville</v>
      </c>
      <c r="D140" s="799" t="s">
        <v>5411</v>
      </c>
      <c r="E140" s="799" t="str">
        <f t="shared" si="10"/>
        <v>Stormwater - Helensville</v>
      </c>
      <c r="F140" s="799" t="s">
        <v>3607</v>
      </c>
      <c r="G140" s="799" t="str">
        <f t="shared" si="11"/>
        <v>Helensville</v>
      </c>
      <c r="H140" s="799" t="s">
        <v>3607</v>
      </c>
      <c r="I140" s="799" t="s">
        <v>5444</v>
      </c>
      <c r="J140" t="str">
        <f t="shared" si="8"/>
        <v>STW</v>
      </c>
    </row>
    <row r="141" spans="1:10">
      <c r="A141" s="799" t="s">
        <v>963</v>
      </c>
      <c r="B141" s="799" t="s">
        <v>2270</v>
      </c>
      <c r="C141" s="799" t="str">
        <f t="shared" si="9"/>
        <v>Stormwater - Hibiscus Coast</v>
      </c>
      <c r="D141" s="799" t="s">
        <v>5414</v>
      </c>
      <c r="E141" s="799" t="str">
        <f t="shared" si="10"/>
        <v>Stormwater - Hibiscus Coast</v>
      </c>
      <c r="F141" s="799" t="s">
        <v>3607</v>
      </c>
      <c r="G141" s="799" t="str">
        <f t="shared" si="11"/>
        <v>Hibiscus Coast</v>
      </c>
      <c r="H141" s="799" t="s">
        <v>3607</v>
      </c>
      <c r="I141" s="799" t="s">
        <v>5444</v>
      </c>
      <c r="J141" t="str">
        <f t="shared" si="8"/>
        <v>STW</v>
      </c>
    </row>
    <row r="142" spans="1:10">
      <c r="A142" s="799" t="s">
        <v>963</v>
      </c>
      <c r="B142" s="799" t="s">
        <v>2609</v>
      </c>
      <c r="C142" s="799" t="str">
        <f t="shared" si="9"/>
        <v>Stormwater - Inner West Triangle GPA</v>
      </c>
      <c r="D142" s="799" t="s">
        <v>5403</v>
      </c>
      <c r="E142" s="799" t="str">
        <f t="shared" si="10"/>
        <v>Stormwater - Inner West Triangle GPA</v>
      </c>
      <c r="F142" s="799" t="s">
        <v>3607</v>
      </c>
      <c r="G142" s="799" t="str">
        <f t="shared" si="11"/>
        <v>Inner West Triangle GPA</v>
      </c>
      <c r="H142" s="799" t="s">
        <v>3607</v>
      </c>
      <c r="I142" s="799" t="s">
        <v>5444</v>
      </c>
      <c r="J142" t="str">
        <f t="shared" si="8"/>
        <v>STW</v>
      </c>
    </row>
    <row r="143" spans="1:10">
      <c r="A143" s="799" t="s">
        <v>963</v>
      </c>
      <c r="B143" s="799" t="s">
        <v>2394</v>
      </c>
      <c r="C143" s="799" t="str">
        <f t="shared" si="9"/>
        <v>Stormwater - Kumeu / Huapai</v>
      </c>
      <c r="D143" s="799" t="s">
        <v>5415</v>
      </c>
      <c r="E143" s="799" t="str">
        <f t="shared" si="10"/>
        <v>Stormwater - Kumeu / Huapai</v>
      </c>
      <c r="F143" s="799" t="s">
        <v>3607</v>
      </c>
      <c r="G143" s="799" t="str">
        <f t="shared" si="11"/>
        <v>Kumeu / Huapai</v>
      </c>
      <c r="H143" s="799" t="s">
        <v>3607</v>
      </c>
      <c r="I143" s="799" t="s">
        <v>5444</v>
      </c>
      <c r="J143" t="str">
        <f t="shared" si="8"/>
        <v>STW</v>
      </c>
    </row>
    <row r="144" spans="1:10">
      <c r="A144" s="799" t="s">
        <v>963</v>
      </c>
      <c r="B144" s="799" t="s">
        <v>2397</v>
      </c>
      <c r="C144" s="799" t="str">
        <f t="shared" si="9"/>
        <v>Stormwater - Mahurangi</v>
      </c>
      <c r="D144" s="799" t="s">
        <v>5407</v>
      </c>
      <c r="E144" s="799" t="str">
        <f t="shared" si="10"/>
        <v>Stormwater - Mahurangi</v>
      </c>
      <c r="F144" s="799" t="s">
        <v>3607</v>
      </c>
      <c r="G144" s="799" t="str">
        <f t="shared" si="11"/>
        <v>Mahurangi</v>
      </c>
      <c r="H144" s="799" t="s">
        <v>3607</v>
      </c>
      <c r="I144" s="799" t="s">
        <v>5444</v>
      </c>
      <c r="J144" t="str">
        <f t="shared" si="8"/>
        <v>STW</v>
      </c>
    </row>
    <row r="145" spans="1:10">
      <c r="A145" s="799" t="s">
        <v>963</v>
      </c>
      <c r="B145" s="799" t="s">
        <v>2401</v>
      </c>
      <c r="C145" s="799" t="str">
        <f t="shared" si="9"/>
        <v>Stormwater - Manukau Central</v>
      </c>
      <c r="D145" s="799" t="s">
        <v>5416</v>
      </c>
      <c r="E145" s="799" t="str">
        <f t="shared" si="10"/>
        <v>Stormwater - Manukau Central</v>
      </c>
      <c r="F145" s="799" t="s">
        <v>3607</v>
      </c>
      <c r="G145" s="799" t="str">
        <f t="shared" si="11"/>
        <v>Manukau Central</v>
      </c>
      <c r="H145" s="799" t="s">
        <v>3607</v>
      </c>
      <c r="I145" s="799" t="s">
        <v>5444</v>
      </c>
      <c r="J145" t="str">
        <f t="shared" si="8"/>
        <v>STW</v>
      </c>
    </row>
    <row r="146" spans="1:10">
      <c r="A146" s="799" t="s">
        <v>963</v>
      </c>
      <c r="B146" s="799" t="s">
        <v>2400</v>
      </c>
      <c r="C146" s="799" t="str">
        <f t="shared" si="9"/>
        <v>Stormwater - Manukau North</v>
      </c>
      <c r="D146" s="799" t="s">
        <v>5412</v>
      </c>
      <c r="E146" s="799" t="str">
        <f t="shared" si="10"/>
        <v>Stormwater - Manukau North</v>
      </c>
      <c r="F146" s="799" t="s">
        <v>3607</v>
      </c>
      <c r="G146" s="799" t="str">
        <f t="shared" si="11"/>
        <v>Manukau North</v>
      </c>
      <c r="H146" s="799" t="s">
        <v>3607</v>
      </c>
      <c r="I146" s="799" t="s">
        <v>5444</v>
      </c>
      <c r="J146" t="str">
        <f t="shared" si="8"/>
        <v>STW</v>
      </c>
    </row>
    <row r="147" spans="1:10">
      <c r="A147" s="799" t="s">
        <v>963</v>
      </c>
      <c r="B147" s="799" t="s">
        <v>2402</v>
      </c>
      <c r="C147" s="799" t="str">
        <f t="shared" si="9"/>
        <v>Stormwater - Manukau South</v>
      </c>
      <c r="D147" s="799" t="s">
        <v>5398</v>
      </c>
      <c r="E147" s="799" t="str">
        <f t="shared" si="10"/>
        <v>Stormwater - Manukau South</v>
      </c>
      <c r="F147" s="799" t="s">
        <v>3607</v>
      </c>
      <c r="G147" s="799" t="str">
        <f t="shared" si="11"/>
        <v>Manukau South</v>
      </c>
      <c r="H147" s="799" t="s">
        <v>3607</v>
      </c>
      <c r="I147" s="799" t="s">
        <v>5444</v>
      </c>
      <c r="J147" t="str">
        <f t="shared" si="8"/>
        <v>STW</v>
      </c>
    </row>
    <row r="148" spans="1:10">
      <c r="A148" s="799" t="s">
        <v>963</v>
      </c>
      <c r="B148" s="799" t="s">
        <v>2403</v>
      </c>
      <c r="C148" s="799" t="str">
        <f t="shared" si="9"/>
        <v>Stormwater - Manukau West</v>
      </c>
      <c r="D148" s="799" t="s">
        <v>5399</v>
      </c>
      <c r="E148" s="799" t="str">
        <f t="shared" si="10"/>
        <v>Stormwater - Manukau West</v>
      </c>
      <c r="F148" s="799" t="s">
        <v>3607</v>
      </c>
      <c r="G148" s="799" t="str">
        <f t="shared" si="11"/>
        <v>Manukau West</v>
      </c>
      <c r="H148" s="799" t="s">
        <v>3607</v>
      </c>
      <c r="I148" s="799" t="s">
        <v>5444</v>
      </c>
      <c r="J148" t="str">
        <f t="shared" si="8"/>
        <v>STW</v>
      </c>
    </row>
    <row r="149" spans="1:10">
      <c r="A149" s="799" t="s">
        <v>963</v>
      </c>
      <c r="B149" s="799" t="s">
        <v>2610</v>
      </c>
      <c r="C149" s="799" t="str">
        <f t="shared" si="9"/>
        <v>Stormwater - NORSGA GPA</v>
      </c>
      <c r="D149" s="799" t="s">
        <v>5402</v>
      </c>
      <c r="E149" s="799" t="str">
        <f t="shared" si="10"/>
        <v>Stormwater - NORSGA GPA</v>
      </c>
      <c r="F149" s="799" t="s">
        <v>3607</v>
      </c>
      <c r="G149" s="799" t="str">
        <f t="shared" si="11"/>
        <v>NORSGA GPA</v>
      </c>
      <c r="H149" s="799" t="s">
        <v>3607</v>
      </c>
      <c r="I149" s="799" t="s">
        <v>5444</v>
      </c>
      <c r="J149" t="str">
        <f t="shared" si="8"/>
        <v>STW</v>
      </c>
    </row>
    <row r="150" spans="1:10">
      <c r="A150" s="799" t="s">
        <v>963</v>
      </c>
      <c r="B150" s="799" t="s">
        <v>2611</v>
      </c>
      <c r="C150" s="799" t="str">
        <f t="shared" si="9"/>
        <v>Stormwater - Otahuhu GPA</v>
      </c>
      <c r="D150" s="799" t="s">
        <v>5417</v>
      </c>
      <c r="E150" s="799" t="str">
        <f t="shared" si="10"/>
        <v>Stormwater - Otahuhu GPA</v>
      </c>
      <c r="F150" s="799" t="s">
        <v>3607</v>
      </c>
      <c r="G150" s="799" t="str">
        <f t="shared" si="11"/>
        <v>Otahuhu GPA</v>
      </c>
      <c r="H150" s="799" t="s">
        <v>3607</v>
      </c>
      <c r="I150" s="799" t="s">
        <v>5444</v>
      </c>
      <c r="J150" t="str">
        <f t="shared" si="8"/>
        <v>STW</v>
      </c>
    </row>
    <row r="151" spans="1:10">
      <c r="A151" s="799" t="s">
        <v>963</v>
      </c>
      <c r="B151" s="799" t="s">
        <v>2612</v>
      </c>
      <c r="C151" s="799" t="str">
        <f t="shared" si="9"/>
        <v>Stormwater - Other Auckland</v>
      </c>
      <c r="D151" s="799" t="s">
        <v>5427</v>
      </c>
      <c r="E151" s="799" t="str">
        <f t="shared" si="10"/>
        <v>Stormwater - Other Auckland</v>
      </c>
      <c r="F151" s="799" t="s">
        <v>3607</v>
      </c>
      <c r="G151" s="799" t="str">
        <f t="shared" si="11"/>
        <v>Other Auckland</v>
      </c>
      <c r="H151" s="799" t="s">
        <v>3607</v>
      </c>
      <c r="I151" s="799" t="s">
        <v>5444</v>
      </c>
      <c r="J151" t="str">
        <f t="shared" si="8"/>
        <v>STW</v>
      </c>
    </row>
    <row r="152" spans="1:10">
      <c r="A152" s="799" t="s">
        <v>963</v>
      </c>
      <c r="B152" s="799" t="s">
        <v>2613</v>
      </c>
      <c r="C152" s="799" t="str">
        <f t="shared" si="9"/>
        <v>Stormwater - Pukekohe GPA</v>
      </c>
      <c r="D152" s="799" t="s">
        <v>5396</v>
      </c>
      <c r="E152" s="799" t="str">
        <f t="shared" si="10"/>
        <v>Stormwater - Pukekohe GPA</v>
      </c>
      <c r="F152" s="799" t="s">
        <v>3607</v>
      </c>
      <c r="G152" s="799" t="str">
        <f t="shared" si="11"/>
        <v>Pukekohe GPA</v>
      </c>
      <c r="H152" s="799" t="s">
        <v>3607</v>
      </c>
      <c r="I152" s="799" t="s">
        <v>5444</v>
      </c>
      <c r="J152" t="str">
        <f t="shared" si="8"/>
        <v>STW</v>
      </c>
    </row>
    <row r="153" spans="1:10">
      <c r="A153" s="799" t="s">
        <v>963</v>
      </c>
      <c r="B153" s="799" t="s">
        <v>2404</v>
      </c>
      <c r="C153" s="799" t="str">
        <f t="shared" si="9"/>
        <v>Stormwater - Tamaki East</v>
      </c>
      <c r="D153" s="799" t="s">
        <v>5413</v>
      </c>
      <c r="E153" s="799" t="str">
        <f t="shared" si="10"/>
        <v>Stormwater - Tamaki East</v>
      </c>
      <c r="F153" s="799" t="s">
        <v>3607</v>
      </c>
      <c r="G153" s="799" t="str">
        <f t="shared" si="11"/>
        <v>Tamaki East</v>
      </c>
      <c r="H153" s="799" t="s">
        <v>3607</v>
      </c>
      <c r="I153" s="799" t="s">
        <v>5444</v>
      </c>
      <c r="J153" t="str">
        <f t="shared" si="8"/>
        <v>STW</v>
      </c>
    </row>
    <row r="154" spans="1:10">
      <c r="A154" s="799" t="s">
        <v>963</v>
      </c>
      <c r="B154" s="799" t="s">
        <v>2614</v>
      </c>
      <c r="C154" s="799" t="str">
        <f>A154&amp;" - "&amp;B154</f>
        <v>Stormwater - Tamaki West 1</v>
      </c>
      <c r="D154" s="799" t="s">
        <v>5418</v>
      </c>
      <c r="E154" s="799" t="str">
        <f t="shared" si="10"/>
        <v>Stormwater - Tamaki West 1</v>
      </c>
      <c r="F154" s="799" t="s">
        <v>3607</v>
      </c>
      <c r="G154" s="799" t="str">
        <f t="shared" si="11"/>
        <v>Tamaki West 1</v>
      </c>
      <c r="H154" s="799" t="s">
        <v>3607</v>
      </c>
      <c r="I154" s="799" t="s">
        <v>5444</v>
      </c>
      <c r="J154" t="str">
        <f t="shared" si="8"/>
        <v>STW</v>
      </c>
    </row>
    <row r="155" spans="1:10">
      <c r="A155" s="799" t="s">
        <v>963</v>
      </c>
      <c r="B155" s="799" t="s">
        <v>2326</v>
      </c>
      <c r="C155" s="799" t="str">
        <f t="shared" si="9"/>
        <v>Stormwater - Wairoa</v>
      </c>
      <c r="D155" s="799" t="s">
        <v>5410</v>
      </c>
      <c r="E155" s="799" t="str">
        <f t="shared" si="10"/>
        <v>Stormwater - Wairoa</v>
      </c>
      <c r="F155" s="799" t="s">
        <v>3607</v>
      </c>
      <c r="G155" s="799" t="str">
        <f t="shared" si="11"/>
        <v>Wairoa</v>
      </c>
      <c r="H155" s="799" t="s">
        <v>3607</v>
      </c>
      <c r="I155" s="799" t="s">
        <v>5444</v>
      </c>
      <c r="J155" t="str">
        <f t="shared" si="8"/>
        <v>STW</v>
      </c>
    </row>
    <row r="156" spans="1:10">
      <c r="A156" s="799" t="s">
        <v>963</v>
      </c>
      <c r="B156" s="799" t="s">
        <v>1247</v>
      </c>
      <c r="C156" s="799" t="str">
        <f t="shared" si="9"/>
        <v>Stormwater - Waitakere Ranges</v>
      </c>
      <c r="D156" s="799" t="s">
        <v>5404</v>
      </c>
      <c r="E156" s="799" t="str">
        <f t="shared" si="10"/>
        <v>Stormwater - Waitakere Ranges</v>
      </c>
      <c r="F156" s="799" t="s">
        <v>3607</v>
      </c>
      <c r="G156" s="799" t="str">
        <f t="shared" si="11"/>
        <v>Waitakere Ranges</v>
      </c>
      <c r="H156" s="799" t="s">
        <v>3607</v>
      </c>
      <c r="I156" s="799" t="s">
        <v>5444</v>
      </c>
      <c r="J156" t="str">
        <f t="shared" si="8"/>
        <v>STW</v>
      </c>
    </row>
    <row r="157" spans="1:10">
      <c r="A157" s="799" t="s">
        <v>963</v>
      </c>
      <c r="B157" s="799" t="s">
        <v>2617</v>
      </c>
      <c r="C157" s="799" t="str">
        <f t="shared" si="9"/>
        <v>Stormwater - Waitemata Central 1</v>
      </c>
      <c r="D157" s="799" t="s">
        <v>5401</v>
      </c>
      <c r="E157" s="799" t="str">
        <f t="shared" si="10"/>
        <v>Stormwater - Waitemata Central 1</v>
      </c>
      <c r="F157" s="799" t="s">
        <v>3607</v>
      </c>
      <c r="G157" s="799" t="str">
        <f t="shared" si="11"/>
        <v>Waitemata Central 1</v>
      </c>
      <c r="H157" s="799" t="s">
        <v>3607</v>
      </c>
      <c r="I157" s="799" t="s">
        <v>5444</v>
      </c>
      <c r="J157" t="str">
        <f t="shared" si="8"/>
        <v>STW</v>
      </c>
    </row>
    <row r="158" spans="1:10">
      <c r="A158" s="799" t="s">
        <v>963</v>
      </c>
      <c r="B158" s="799" t="s">
        <v>2398</v>
      </c>
      <c r="C158" s="799" t="str">
        <f t="shared" si="9"/>
        <v>Stormwater - Waitemata North</v>
      </c>
      <c r="D158" s="799" t="s">
        <v>5394</v>
      </c>
      <c r="E158" s="799" t="str">
        <f t="shared" si="10"/>
        <v>Stormwater - Waitemata North</v>
      </c>
      <c r="F158" s="799" t="s">
        <v>3607</v>
      </c>
      <c r="G158" s="799" t="str">
        <f t="shared" si="11"/>
        <v>Waitemata North</v>
      </c>
      <c r="H158" s="799" t="s">
        <v>3607</v>
      </c>
      <c r="I158" s="799" t="s">
        <v>5444</v>
      </c>
      <c r="J158" t="str">
        <f t="shared" si="8"/>
        <v>STW</v>
      </c>
    </row>
    <row r="159" spans="1:10">
      <c r="A159" s="799" t="s">
        <v>963</v>
      </c>
      <c r="B159" s="799" t="s">
        <v>2683</v>
      </c>
      <c r="C159" s="799" t="str">
        <f t="shared" si="9"/>
        <v>Stormwater - Area 28</v>
      </c>
      <c r="D159" s="799" t="s">
        <v>5428</v>
      </c>
      <c r="E159" s="799" t="str">
        <f t="shared" si="10"/>
        <v>Stormwater - Area 28</v>
      </c>
      <c r="F159" s="799" t="s">
        <v>3607</v>
      </c>
      <c r="G159" s="799" t="str">
        <f t="shared" si="11"/>
        <v>Area 28</v>
      </c>
      <c r="H159" s="799" t="s">
        <v>3607</v>
      </c>
      <c r="I159" s="799" t="s">
        <v>5444</v>
      </c>
      <c r="J159" t="str">
        <f t="shared" si="8"/>
        <v>STW</v>
      </c>
    </row>
    <row r="160" spans="1:10">
      <c r="A160" s="799" t="s">
        <v>963</v>
      </c>
      <c r="B160" s="799" t="s">
        <v>2399</v>
      </c>
      <c r="C160" s="799" t="str">
        <f t="shared" si="9"/>
        <v>Stormwater - Waitemata West</v>
      </c>
      <c r="D160" s="799" t="s">
        <v>5393</v>
      </c>
      <c r="E160" s="799" t="str">
        <f t="shared" si="10"/>
        <v>Stormwater - Waitemata West</v>
      </c>
      <c r="F160" s="799" t="s">
        <v>3607</v>
      </c>
      <c r="G160" s="799" t="str">
        <f t="shared" si="11"/>
        <v>Waitemata West</v>
      </c>
      <c r="H160" s="799" t="s">
        <v>3607</v>
      </c>
      <c r="I160" s="799" t="s">
        <v>5444</v>
      </c>
      <c r="J160" t="str">
        <f t="shared" si="8"/>
        <v>STW</v>
      </c>
    </row>
    <row r="161" spans="1:10">
      <c r="A161" s="799" t="s">
        <v>963</v>
      </c>
      <c r="B161" s="799" t="s">
        <v>2619</v>
      </c>
      <c r="C161" s="799" t="str">
        <f t="shared" si="9"/>
        <v>Stormwater - Waiuku</v>
      </c>
      <c r="D161" s="799" t="s">
        <v>5397</v>
      </c>
      <c r="E161" s="799" t="str">
        <f t="shared" si="10"/>
        <v>Stormwater - Waiuku</v>
      </c>
      <c r="F161" s="799" t="s">
        <v>3607</v>
      </c>
      <c r="G161" s="799" t="str">
        <f t="shared" si="11"/>
        <v>Waiuku</v>
      </c>
      <c r="H161" s="799" t="s">
        <v>3607</v>
      </c>
      <c r="I161" s="799" t="s">
        <v>5444</v>
      </c>
      <c r="J161" t="str">
        <f t="shared" si="8"/>
        <v>STW</v>
      </c>
    </row>
    <row r="162" spans="1:10">
      <c r="A162" s="799" t="s">
        <v>963</v>
      </c>
      <c r="B162" s="799" t="s">
        <v>2395</v>
      </c>
      <c r="C162" s="799" t="str">
        <f t="shared" si="9"/>
        <v>Stormwater - Warkworth</v>
      </c>
      <c r="D162" s="799" t="s">
        <v>5429</v>
      </c>
      <c r="E162" s="799" t="str">
        <f t="shared" si="10"/>
        <v>Stormwater - Warkworth</v>
      </c>
      <c r="F162" s="799" t="s">
        <v>3607</v>
      </c>
      <c r="G162" s="799" t="str">
        <f t="shared" si="11"/>
        <v>Warkworth</v>
      </c>
      <c r="H162" s="799" t="s">
        <v>3607</v>
      </c>
      <c r="I162" s="799" t="s">
        <v>5444</v>
      </c>
      <c r="J162" t="str">
        <f t="shared" si="8"/>
        <v>STW</v>
      </c>
    </row>
    <row r="163" spans="1:10">
      <c r="A163" s="799" t="s">
        <v>963</v>
      </c>
      <c r="B163" s="799" t="s">
        <v>2620</v>
      </c>
      <c r="C163" s="799" t="str">
        <f t="shared" si="9"/>
        <v>Stormwater - Urban Auckland Non GPA</v>
      </c>
      <c r="D163" s="799" t="s">
        <v>5419</v>
      </c>
      <c r="E163" s="799" t="str">
        <f t="shared" si="10"/>
        <v>Stormwater - Urban Auckland Non GPA</v>
      </c>
      <c r="F163" s="799" t="s">
        <v>3608</v>
      </c>
      <c r="G163" s="799" t="str">
        <f t="shared" si="11"/>
        <v>Urban Auckland Non GPA</v>
      </c>
      <c r="H163" s="799" t="s">
        <v>5445</v>
      </c>
      <c r="I163" s="799" t="s">
        <v>5444</v>
      </c>
      <c r="J163" t="str">
        <f t="shared" si="8"/>
        <v>STW</v>
      </c>
    </row>
    <row r="164" spans="1:10">
      <c r="A164" s="799" t="s">
        <v>963</v>
      </c>
      <c r="B164" s="799" t="s">
        <v>2406</v>
      </c>
      <c r="C164" s="799" t="str">
        <f t="shared" si="9"/>
        <v>Stormwater - Urban Auckland</v>
      </c>
      <c r="D164" s="799" t="s">
        <v>5420</v>
      </c>
      <c r="E164" s="799" t="str">
        <f t="shared" si="10"/>
        <v>Stormwater - Urban Auckland</v>
      </c>
      <c r="F164" s="799" t="s">
        <v>3608</v>
      </c>
      <c r="G164" s="799" t="str">
        <f t="shared" si="11"/>
        <v>Urban Auckland</v>
      </c>
      <c r="H164" s="799" t="s">
        <v>5445</v>
      </c>
      <c r="I164" s="799" t="s">
        <v>5444</v>
      </c>
      <c r="J164" t="str">
        <f t="shared" si="8"/>
        <v>STW</v>
      </c>
    </row>
    <row r="165" spans="1:10">
      <c r="A165" s="799" t="s">
        <v>963</v>
      </c>
      <c r="B165" s="799" t="s">
        <v>2618</v>
      </c>
      <c r="C165" s="799" t="str">
        <f t="shared" si="9"/>
        <v>Stormwater - Waitemata Central 2</v>
      </c>
      <c r="D165" s="799" t="s">
        <v>5424</v>
      </c>
      <c r="E165" s="799" t="str">
        <f t="shared" si="10"/>
        <v>Stormwater - Waitemata Central 2</v>
      </c>
      <c r="F165" s="799" t="s">
        <v>3607</v>
      </c>
      <c r="G165" s="799" t="str">
        <f t="shared" si="11"/>
        <v>Waitemata Central 2</v>
      </c>
      <c r="H165" s="799" t="s">
        <v>3607</v>
      </c>
      <c r="I165" s="799" t="s">
        <v>5444</v>
      </c>
      <c r="J165" t="str">
        <f t="shared" si="8"/>
        <v>STW</v>
      </c>
    </row>
    <row r="166" spans="1:10">
      <c r="A166" s="799" t="s">
        <v>963</v>
      </c>
      <c r="B166" s="799" t="s">
        <v>2615</v>
      </c>
      <c r="C166" s="799" t="str">
        <f t="shared" si="9"/>
        <v>Stormwater - Tamaki West 2</v>
      </c>
      <c r="D166" s="799" t="s">
        <v>5430</v>
      </c>
      <c r="E166" s="799" t="str">
        <f t="shared" si="10"/>
        <v>Stormwater - Tamaki West 2</v>
      </c>
      <c r="F166" s="799" t="s">
        <v>3607</v>
      </c>
      <c r="G166" s="799" t="str">
        <f t="shared" si="11"/>
        <v>Tamaki West 2</v>
      </c>
      <c r="H166" s="799" t="s">
        <v>3607</v>
      </c>
      <c r="I166" s="799" t="s">
        <v>5444</v>
      </c>
      <c r="J166" t="str">
        <f t="shared" si="8"/>
        <v>STW</v>
      </c>
    </row>
    <row r="167" spans="1:10">
      <c r="A167" s="799" t="s">
        <v>963</v>
      </c>
      <c r="B167" s="799" t="s">
        <v>2616</v>
      </c>
      <c r="C167" s="799" t="str">
        <f t="shared" si="9"/>
        <v>Stormwater - Tamaki West 3</v>
      </c>
      <c r="D167" s="799" t="s">
        <v>5431</v>
      </c>
      <c r="E167" s="799" t="str">
        <f t="shared" si="10"/>
        <v>Stormwater - Tamaki West 3</v>
      </c>
      <c r="F167" s="799" t="s">
        <v>3607</v>
      </c>
      <c r="G167" s="799" t="str">
        <f t="shared" si="11"/>
        <v>Tamaki West 3</v>
      </c>
      <c r="H167" s="799" t="s">
        <v>3607</v>
      </c>
      <c r="I167" s="799" t="s">
        <v>5444</v>
      </c>
      <c r="J167" t="str">
        <f t="shared" si="8"/>
        <v>STW</v>
      </c>
    </row>
    <row r="168" spans="1:10">
      <c r="A168" s="799" t="s">
        <v>963</v>
      </c>
      <c r="B168" s="799" t="s">
        <v>3051</v>
      </c>
      <c r="C168" s="799" t="str">
        <f t="shared" si="9"/>
        <v>Stormwater - Whenuapai / Redhills</v>
      </c>
      <c r="D168" s="799" t="s">
        <v>5426</v>
      </c>
      <c r="E168" s="799" t="str">
        <f t="shared" si="10"/>
        <v>Stormwater - Whenuapai / Redhills</v>
      </c>
      <c r="F168" s="799" t="s">
        <v>3607</v>
      </c>
      <c r="G168" s="799" t="str">
        <f t="shared" si="11"/>
        <v>Whenuapai / Redhills</v>
      </c>
      <c r="H168" s="799" t="s">
        <v>3607</v>
      </c>
      <c r="I168" s="799" t="s">
        <v>5444</v>
      </c>
      <c r="J168" t="str">
        <f t="shared" si="8"/>
        <v>STW</v>
      </c>
    </row>
    <row r="169" spans="1:10">
      <c r="A169" s="799" t="s">
        <v>963</v>
      </c>
      <c r="B169" s="799" t="s">
        <v>3055</v>
      </c>
      <c r="C169" s="799" t="str">
        <f t="shared" si="9"/>
        <v>Stormwater - Dairy Flat / Wainui / Silverdale</v>
      </c>
      <c r="D169" s="799" t="s">
        <v>5432</v>
      </c>
      <c r="E169" s="799" t="str">
        <f t="shared" si="10"/>
        <v>Stormwater - Dairy Flat / Wainui / Silverdale</v>
      </c>
      <c r="F169" s="799" t="s">
        <v>3607</v>
      </c>
      <c r="G169" s="799" t="str">
        <f t="shared" si="11"/>
        <v>Dairy Flat / Wainui / Silverdale</v>
      </c>
      <c r="H169" s="799" t="s">
        <v>3607</v>
      </c>
      <c r="I169" s="799" t="s">
        <v>5444</v>
      </c>
      <c r="J169" t="str">
        <f t="shared" si="8"/>
        <v>STW</v>
      </c>
    </row>
    <row r="170" spans="1:10">
      <c r="A170" s="799" t="s">
        <v>963</v>
      </c>
      <c r="B170" s="799" t="s">
        <v>3052</v>
      </c>
      <c r="C170" s="799" t="str">
        <f t="shared" si="9"/>
        <v>Stormwater - Drury West</v>
      </c>
      <c r="D170" s="799" t="s">
        <v>5433</v>
      </c>
      <c r="E170" s="799" t="str">
        <f t="shared" si="10"/>
        <v>Stormwater - Drury West</v>
      </c>
      <c r="F170" s="799" t="s">
        <v>3607</v>
      </c>
      <c r="G170" s="799" t="str">
        <f t="shared" si="11"/>
        <v>Drury West</v>
      </c>
      <c r="H170" s="799" t="s">
        <v>3607</v>
      </c>
      <c r="I170" s="799" t="s">
        <v>5444</v>
      </c>
      <c r="J170" t="str">
        <f t="shared" si="8"/>
        <v>STW</v>
      </c>
    </row>
    <row r="171" spans="1:10">
      <c r="A171" s="799" t="s">
        <v>963</v>
      </c>
      <c r="B171" s="799" t="s">
        <v>2572</v>
      </c>
      <c r="C171" s="799" t="str">
        <f t="shared" si="9"/>
        <v>Stormwater - Opaheke / Drury</v>
      </c>
      <c r="D171" s="799" t="s">
        <v>5434</v>
      </c>
      <c r="E171" s="799" t="str">
        <f t="shared" si="10"/>
        <v>Stormwater - Opaheke / Drury</v>
      </c>
      <c r="F171" s="799" t="s">
        <v>3607</v>
      </c>
      <c r="G171" s="799" t="str">
        <f t="shared" si="11"/>
        <v>Opaheke / Drury</v>
      </c>
      <c r="H171" s="799" t="s">
        <v>3607</v>
      </c>
      <c r="I171" s="799" t="s">
        <v>5444</v>
      </c>
      <c r="J171" t="str">
        <f t="shared" si="8"/>
        <v>STW</v>
      </c>
    </row>
    <row r="172" spans="1:10">
      <c r="A172" s="799" t="s">
        <v>963</v>
      </c>
      <c r="B172" s="799" t="s">
        <v>4339</v>
      </c>
      <c r="C172" s="799" t="str">
        <f t="shared" si="9"/>
        <v>Stormwater - Hauraki Gulf Islands</v>
      </c>
      <c r="D172" s="799" t="s">
        <v>5425</v>
      </c>
      <c r="E172" s="799" t="str">
        <f t="shared" si="10"/>
        <v>Stormwater - Hauraki Gulf Islands</v>
      </c>
      <c r="F172" s="799" t="s">
        <v>3607</v>
      </c>
      <c r="G172" s="799" t="str">
        <f t="shared" si="11"/>
        <v>Hauraki Gulf Islands</v>
      </c>
      <c r="H172" s="799" t="s">
        <v>3607</v>
      </c>
      <c r="I172" s="799" t="s">
        <v>5444</v>
      </c>
      <c r="J172" t="str">
        <f t="shared" si="8"/>
        <v>STW</v>
      </c>
    </row>
    <row r="173" spans="1:10">
      <c r="A173" s="799" t="s">
        <v>963</v>
      </c>
      <c r="B173" s="799" t="s">
        <v>4388</v>
      </c>
      <c r="C173" s="799" t="str">
        <f t="shared" si="9"/>
        <v>Stormwater - Omaha / Matakana</v>
      </c>
      <c r="D173" s="799" t="s">
        <v>5423</v>
      </c>
      <c r="E173" s="799" t="str">
        <f t="shared" si="10"/>
        <v>Stormwater - Omaha / Matakana</v>
      </c>
      <c r="F173" s="799" t="s">
        <v>3607</v>
      </c>
      <c r="G173" s="799" t="str">
        <f t="shared" si="11"/>
        <v>Omaha / Matakana</v>
      </c>
      <c r="H173" s="799" t="s">
        <v>3607</v>
      </c>
      <c r="I173" s="799" t="s">
        <v>5444</v>
      </c>
      <c r="J173" t="str">
        <f t="shared" si="8"/>
        <v>STW</v>
      </c>
    </row>
    <row r="174" spans="1:10">
      <c r="A174" s="799" t="s">
        <v>963</v>
      </c>
      <c r="B174" s="799" t="s">
        <v>5806</v>
      </c>
      <c r="C174" s="799" t="str">
        <f t="shared" si="9"/>
        <v>Stormwater - Oakley</v>
      </c>
      <c r="D174" s="799" t="s">
        <v>5435</v>
      </c>
      <c r="E174" s="799" t="str">
        <f t="shared" si="10"/>
        <v>Stormwater - Oakley</v>
      </c>
      <c r="F174" s="799" t="s">
        <v>3607</v>
      </c>
      <c r="G174" s="799" t="str">
        <f t="shared" si="11"/>
        <v>Oakley</v>
      </c>
      <c r="H174" s="799" t="s">
        <v>3607</v>
      </c>
      <c r="I174" s="799" t="s">
        <v>5444</v>
      </c>
      <c r="J174" t="str">
        <f t="shared" si="8"/>
        <v>STW</v>
      </c>
    </row>
    <row r="175" spans="1:10">
      <c r="A175" s="799" t="s">
        <v>963</v>
      </c>
      <c r="B175" s="799" t="s">
        <v>2765</v>
      </c>
      <c r="C175" s="799" t="str">
        <f t="shared" si="9"/>
        <v>Stormwater - Area 44</v>
      </c>
      <c r="D175" s="799" t="s">
        <v>5436</v>
      </c>
      <c r="E175" s="799" t="str">
        <f t="shared" si="10"/>
        <v>Stormwater - Area 44</v>
      </c>
      <c r="F175" s="799" t="s">
        <v>3607</v>
      </c>
      <c r="G175" s="799" t="str">
        <f t="shared" si="11"/>
        <v>Area 44</v>
      </c>
      <c r="H175" s="799"/>
      <c r="I175" s="799" t="s">
        <v>5444</v>
      </c>
      <c r="J175" t="str">
        <f t="shared" si="8"/>
        <v>STW</v>
      </c>
    </row>
    <row r="176" spans="1:10">
      <c r="A176" s="799" t="s">
        <v>963</v>
      </c>
      <c r="B176" s="799" t="s">
        <v>2767</v>
      </c>
      <c r="C176" s="799" t="str">
        <f t="shared" si="9"/>
        <v>Stormwater - Area 45</v>
      </c>
      <c r="D176" s="799" t="s">
        <v>5437</v>
      </c>
      <c r="E176" s="799" t="str">
        <f t="shared" si="10"/>
        <v>Stormwater - Area 45</v>
      </c>
      <c r="F176" s="799" t="s">
        <v>3607</v>
      </c>
      <c r="G176" s="799" t="str">
        <f t="shared" si="11"/>
        <v>Area 45</v>
      </c>
      <c r="H176" s="799"/>
      <c r="I176" s="799" t="s">
        <v>5444</v>
      </c>
      <c r="J176" t="str">
        <f t="shared" si="8"/>
        <v>STW</v>
      </c>
    </row>
    <row r="177" spans="1:10">
      <c r="A177" s="799" t="s">
        <v>963</v>
      </c>
      <c r="B177" s="799" t="s">
        <v>2769</v>
      </c>
      <c r="C177" s="799" t="str">
        <f t="shared" si="9"/>
        <v>Stormwater - Area 46</v>
      </c>
      <c r="D177" s="799" t="s">
        <v>5438</v>
      </c>
      <c r="E177" s="799" t="str">
        <f t="shared" si="10"/>
        <v>Stormwater - Area 46</v>
      </c>
      <c r="F177" s="799" t="s">
        <v>3607</v>
      </c>
      <c r="G177" s="799" t="str">
        <f t="shared" si="11"/>
        <v>Area 46</v>
      </c>
      <c r="H177" s="799"/>
      <c r="I177" s="799" t="s">
        <v>5444</v>
      </c>
      <c r="J177" t="str">
        <f t="shared" si="8"/>
        <v>STW</v>
      </c>
    </row>
    <row r="178" spans="1:10">
      <c r="A178" s="799" t="s">
        <v>963</v>
      </c>
      <c r="B178" s="799" t="s">
        <v>2771</v>
      </c>
      <c r="C178" s="799" t="str">
        <f t="shared" si="9"/>
        <v>Stormwater - Area 47</v>
      </c>
      <c r="D178" s="799" t="s">
        <v>5439</v>
      </c>
      <c r="E178" s="799" t="str">
        <f t="shared" si="10"/>
        <v>Stormwater - Area 47</v>
      </c>
      <c r="F178" s="799" t="s">
        <v>3607</v>
      </c>
      <c r="G178" s="799" t="str">
        <f t="shared" si="11"/>
        <v>Area 47</v>
      </c>
      <c r="H178" s="799"/>
      <c r="I178" s="799" t="s">
        <v>5444</v>
      </c>
      <c r="J178" t="str">
        <f t="shared" si="8"/>
        <v>STW</v>
      </c>
    </row>
    <row r="179" spans="1:10">
      <c r="A179" s="799" t="s">
        <v>963</v>
      </c>
      <c r="B179" s="799" t="s">
        <v>2773</v>
      </c>
      <c r="C179" s="799" t="str">
        <f t="shared" si="9"/>
        <v>Stormwater - Area 48</v>
      </c>
      <c r="D179" s="799" t="s">
        <v>5440</v>
      </c>
      <c r="E179" s="799" t="str">
        <f t="shared" si="10"/>
        <v>Stormwater - Area 48</v>
      </c>
      <c r="F179" s="799" t="s">
        <v>3607</v>
      </c>
      <c r="G179" s="799" t="str">
        <f t="shared" si="11"/>
        <v>Area 48</v>
      </c>
      <c r="H179" s="799"/>
      <c r="I179" s="799" t="s">
        <v>5444</v>
      </c>
      <c r="J179" t="str">
        <f t="shared" si="8"/>
        <v>STW</v>
      </c>
    </row>
    <row r="180" spans="1:10">
      <c r="A180" s="799" t="s">
        <v>963</v>
      </c>
      <c r="B180" s="799" t="s">
        <v>2775</v>
      </c>
      <c r="C180" s="799" t="str">
        <f t="shared" si="9"/>
        <v>Stormwater - Area 49</v>
      </c>
      <c r="D180" s="799" t="s">
        <v>5441</v>
      </c>
      <c r="E180" s="799" t="str">
        <f t="shared" si="10"/>
        <v>Stormwater - Area 49</v>
      </c>
      <c r="F180" s="799" t="s">
        <v>3607</v>
      </c>
      <c r="G180" s="799" t="str">
        <f t="shared" si="11"/>
        <v>Area 49</v>
      </c>
      <c r="H180" s="799"/>
      <c r="I180" s="799" t="s">
        <v>5444</v>
      </c>
      <c r="J180" t="str">
        <f t="shared" si="8"/>
        <v>STW</v>
      </c>
    </row>
    <row r="181" spans="1:10">
      <c r="A181" s="799" t="s">
        <v>963</v>
      </c>
      <c r="B181" s="799" t="s">
        <v>2777</v>
      </c>
      <c r="C181" s="799" t="str">
        <f t="shared" si="9"/>
        <v>Stormwater - Area 50</v>
      </c>
      <c r="D181" s="799" t="s">
        <v>5442</v>
      </c>
      <c r="E181" s="799" t="str">
        <f t="shared" si="10"/>
        <v>Stormwater - Area 50</v>
      </c>
      <c r="F181" s="799" t="s">
        <v>3607</v>
      </c>
      <c r="G181" s="799" t="str">
        <f t="shared" si="11"/>
        <v>Area 50</v>
      </c>
      <c r="H181" s="799"/>
      <c r="I181" s="799" t="s">
        <v>5444</v>
      </c>
      <c r="J181" t="str">
        <f t="shared" si="8"/>
        <v>STW</v>
      </c>
    </row>
    <row r="182" spans="1:10">
      <c r="A182" s="799" t="s">
        <v>963</v>
      </c>
      <c r="B182" s="799" t="s">
        <v>5807</v>
      </c>
      <c r="C182" s="799" t="str">
        <f t="shared" si="9"/>
        <v>Stormwater - Area 51</v>
      </c>
      <c r="D182" s="799" t="s">
        <v>5808</v>
      </c>
      <c r="E182" s="799" t="str">
        <f t="shared" si="10"/>
        <v>Stormwater - Area 51</v>
      </c>
      <c r="F182" s="799" t="s">
        <v>3607</v>
      </c>
      <c r="G182" s="799" t="str">
        <f t="shared" si="11"/>
        <v>Area 51</v>
      </c>
      <c r="H182" s="799"/>
      <c r="I182" s="799" t="s">
        <v>5444</v>
      </c>
      <c r="J182" t="str">
        <f t="shared" si="8"/>
        <v>STW</v>
      </c>
    </row>
    <row r="183" spans="1:10">
      <c r="A183" s="799" t="s">
        <v>896</v>
      </c>
      <c r="B183" s="799" t="s">
        <v>91</v>
      </c>
      <c r="C183" s="799" t="str">
        <f t="shared" si="9"/>
        <v>Transport - Auckland wide</v>
      </c>
      <c r="D183" s="799" t="s">
        <v>2778</v>
      </c>
      <c r="E183" s="799" t="str">
        <f t="shared" si="10"/>
        <v>Transport - Auckland wide</v>
      </c>
      <c r="F183" s="799" t="s">
        <v>3608</v>
      </c>
      <c r="G183" s="799" t="str">
        <f t="shared" si="11"/>
        <v>Auckland wide</v>
      </c>
      <c r="H183" s="799" t="s">
        <v>5443</v>
      </c>
      <c r="I183" s="799" t="s">
        <v>5444</v>
      </c>
      <c r="J183" t="str">
        <f t="shared" si="8"/>
        <v>TRA</v>
      </c>
    </row>
    <row r="184" spans="1:10">
      <c r="A184" s="799" t="s">
        <v>896</v>
      </c>
      <c r="B184" s="799" t="s">
        <v>1206</v>
      </c>
      <c r="C184" s="799" t="str">
        <f t="shared" si="9"/>
        <v>Transport - North</v>
      </c>
      <c r="D184" s="799" t="s">
        <v>2779</v>
      </c>
      <c r="E184" s="799" t="str">
        <f t="shared" si="10"/>
        <v>Transport - North</v>
      </c>
      <c r="F184" s="799" t="s">
        <v>3608</v>
      </c>
      <c r="G184" s="799" t="str">
        <f t="shared" si="11"/>
        <v>North</v>
      </c>
      <c r="H184" s="799" t="s">
        <v>5445</v>
      </c>
      <c r="I184" s="799" t="s">
        <v>5444</v>
      </c>
      <c r="J184" t="str">
        <f t="shared" si="8"/>
        <v>TRA</v>
      </c>
    </row>
    <row r="185" spans="1:10">
      <c r="A185" s="799" t="s">
        <v>896</v>
      </c>
      <c r="B185" s="799" t="s">
        <v>1208</v>
      </c>
      <c r="C185" s="799" t="str">
        <f t="shared" si="9"/>
        <v>Transport - Central</v>
      </c>
      <c r="D185" s="799" t="s">
        <v>2780</v>
      </c>
      <c r="E185" s="799" t="str">
        <f t="shared" si="10"/>
        <v>Transport - Central</v>
      </c>
      <c r="F185" s="799" t="s">
        <v>3608</v>
      </c>
      <c r="G185" s="799" t="str">
        <f t="shared" si="11"/>
        <v>Central</v>
      </c>
      <c r="H185" s="799" t="s">
        <v>5445</v>
      </c>
      <c r="I185" s="799" t="s">
        <v>5444</v>
      </c>
      <c r="J185" t="str">
        <f t="shared" si="8"/>
        <v>TRA</v>
      </c>
    </row>
    <row r="186" spans="1:10">
      <c r="A186" s="799" t="s">
        <v>896</v>
      </c>
      <c r="B186" s="799" t="s">
        <v>1207</v>
      </c>
      <c r="C186" s="799" t="str">
        <f t="shared" si="9"/>
        <v>Transport - West</v>
      </c>
      <c r="D186" s="799" t="s">
        <v>2781</v>
      </c>
      <c r="E186" s="799" t="str">
        <f t="shared" si="10"/>
        <v>Transport - West</v>
      </c>
      <c r="F186" s="799" t="s">
        <v>3608</v>
      </c>
      <c r="G186" s="799" t="str">
        <f t="shared" si="11"/>
        <v>West</v>
      </c>
      <c r="H186" s="799" t="s">
        <v>5445</v>
      </c>
      <c r="I186" s="799" t="s">
        <v>5444</v>
      </c>
      <c r="J186" t="str">
        <f t="shared" si="8"/>
        <v>TRA</v>
      </c>
    </row>
    <row r="187" spans="1:10">
      <c r="A187" s="799" t="s">
        <v>896</v>
      </c>
      <c r="B187" s="799" t="s">
        <v>1209</v>
      </c>
      <c r="C187" s="799" t="str">
        <f t="shared" si="9"/>
        <v>Transport - South</v>
      </c>
      <c r="D187" s="799" t="s">
        <v>2782</v>
      </c>
      <c r="E187" s="799" t="str">
        <f t="shared" si="10"/>
        <v>Transport - South</v>
      </c>
      <c r="F187" s="799" t="s">
        <v>3608</v>
      </c>
      <c r="G187" s="799" t="str">
        <f t="shared" si="11"/>
        <v>South</v>
      </c>
      <c r="H187" s="799" t="s">
        <v>5445</v>
      </c>
      <c r="I187" s="799" t="s">
        <v>5444</v>
      </c>
      <c r="J187" t="str">
        <f t="shared" si="8"/>
        <v>TRA</v>
      </c>
    </row>
    <row r="188" spans="1:10">
      <c r="A188" s="799" t="s">
        <v>896</v>
      </c>
      <c r="B188" s="799" t="s">
        <v>2943</v>
      </c>
      <c r="C188" s="799" t="str">
        <f t="shared" si="9"/>
        <v>Transport - Drury South</v>
      </c>
      <c r="D188" s="799" t="s">
        <v>2783</v>
      </c>
      <c r="E188" s="799" t="str">
        <f t="shared" si="10"/>
        <v>Transport - Drury South</v>
      </c>
      <c r="F188" s="799" t="s">
        <v>3607</v>
      </c>
      <c r="G188" s="799" t="str">
        <f t="shared" si="11"/>
        <v>Drury South</v>
      </c>
      <c r="H188" s="799" t="s">
        <v>3607</v>
      </c>
      <c r="I188" s="799" t="s">
        <v>5444</v>
      </c>
      <c r="J188" t="str">
        <f t="shared" si="8"/>
        <v>TRA</v>
      </c>
    </row>
    <row r="189" spans="1:10">
      <c r="A189" s="799" t="s">
        <v>896</v>
      </c>
      <c r="B189" s="799" t="s">
        <v>4339</v>
      </c>
      <c r="C189" s="799" t="str">
        <f t="shared" si="9"/>
        <v>Transport - Hauraki Gulf Islands</v>
      </c>
      <c r="D189" s="799" t="s">
        <v>2784</v>
      </c>
      <c r="E189" s="799" t="str">
        <f t="shared" si="10"/>
        <v>Transport - Hauraki Gulf Islands</v>
      </c>
      <c r="F189" s="799" t="s">
        <v>3607</v>
      </c>
      <c r="G189" s="799" t="str">
        <f t="shared" si="11"/>
        <v>Hauraki Gulf Islands</v>
      </c>
      <c r="H189" s="799" t="s">
        <v>3607</v>
      </c>
      <c r="I189" s="799" t="s">
        <v>5444</v>
      </c>
      <c r="J189" t="str">
        <f t="shared" si="8"/>
        <v>TRA</v>
      </c>
    </row>
    <row r="190" spans="1:10">
      <c r="A190" s="799" t="s">
        <v>896</v>
      </c>
      <c r="B190" s="799" t="s">
        <v>4335</v>
      </c>
      <c r="C190" s="799" t="str">
        <f t="shared" si="9"/>
        <v>Transport - Auckland Wide Less Parallel</v>
      </c>
      <c r="D190" s="799" t="s">
        <v>2785</v>
      </c>
      <c r="E190" s="799" t="str">
        <f t="shared" si="10"/>
        <v>Transport - Auckland Wide Less Parallel</v>
      </c>
      <c r="F190" s="799" t="s">
        <v>3608</v>
      </c>
      <c r="G190" s="799" t="str">
        <f t="shared" si="11"/>
        <v>Auckland Wide Less Parallel</v>
      </c>
      <c r="H190" s="799" t="s">
        <v>5445</v>
      </c>
      <c r="I190" s="799" t="s">
        <v>5444</v>
      </c>
      <c r="J190" t="str">
        <f t="shared" si="8"/>
        <v>TRA</v>
      </c>
    </row>
    <row r="191" spans="1:10">
      <c r="A191" s="799" t="s">
        <v>896</v>
      </c>
      <c r="B191" s="799" t="s">
        <v>4338</v>
      </c>
      <c r="C191" s="799" t="str">
        <f t="shared" si="9"/>
        <v>Transport - NorthWest</v>
      </c>
      <c r="D191" s="799" t="s">
        <v>2786</v>
      </c>
      <c r="E191" s="799" t="str">
        <f t="shared" si="10"/>
        <v>Transport - NorthWest</v>
      </c>
      <c r="F191" s="799" t="s">
        <v>3608</v>
      </c>
      <c r="G191" s="799" t="str">
        <f t="shared" si="11"/>
        <v>NorthWest</v>
      </c>
      <c r="H191" s="799" t="s">
        <v>3607</v>
      </c>
      <c r="I191" s="799" t="s">
        <v>5446</v>
      </c>
      <c r="J191" t="str">
        <f t="shared" si="8"/>
        <v>TRA</v>
      </c>
    </row>
    <row r="192" spans="1:10">
      <c r="A192" s="799" t="s">
        <v>896</v>
      </c>
      <c r="B192" s="799" t="s">
        <v>4336</v>
      </c>
      <c r="C192" s="799" t="str">
        <f t="shared" si="9"/>
        <v>Transport - Dairyflat / Wainui / Silverdale</v>
      </c>
      <c r="D192" s="799" t="s">
        <v>2787</v>
      </c>
      <c r="E192" s="799" t="str">
        <f t="shared" si="10"/>
        <v>Transport - Dairyflat / Wainui / Silverdale</v>
      </c>
      <c r="F192" s="799" t="s">
        <v>3607</v>
      </c>
      <c r="G192" s="799" t="str">
        <f t="shared" si="11"/>
        <v>Dairyflat / Wainui / Silverdale</v>
      </c>
      <c r="H192" s="799" t="s">
        <v>3607</v>
      </c>
      <c r="I192" s="799" t="s">
        <v>5447</v>
      </c>
      <c r="J192" t="str">
        <f t="shared" si="8"/>
        <v>TRA</v>
      </c>
    </row>
    <row r="193" spans="1:10">
      <c r="A193" s="799" t="s">
        <v>896</v>
      </c>
      <c r="B193" s="799" t="s">
        <v>5809</v>
      </c>
      <c r="C193" s="799" t="str">
        <f t="shared" si="9"/>
        <v>Transport - Tamaki AHP</v>
      </c>
      <c r="D193" s="799" t="s">
        <v>2788</v>
      </c>
      <c r="E193" s="799" t="str">
        <f t="shared" si="10"/>
        <v>Transport - Tamaki AHP</v>
      </c>
      <c r="F193" s="799" t="s">
        <v>3607</v>
      </c>
      <c r="G193" s="799" t="str">
        <f t="shared" si="11"/>
        <v>Tamaki AHP</v>
      </c>
      <c r="H193" s="799" t="s">
        <v>3607</v>
      </c>
      <c r="I193" s="799" t="s">
        <v>5444</v>
      </c>
      <c r="J193" t="str">
        <f t="shared" si="8"/>
        <v>TRA</v>
      </c>
    </row>
    <row r="194" spans="1:10">
      <c r="A194" s="799" t="s">
        <v>896</v>
      </c>
      <c r="B194" s="799" t="s">
        <v>3049</v>
      </c>
      <c r="C194" s="799" t="str">
        <f t="shared" si="9"/>
        <v>Transport - Albany</v>
      </c>
      <c r="D194" s="799" t="s">
        <v>2789</v>
      </c>
      <c r="E194" s="799" t="str">
        <f t="shared" si="10"/>
        <v>Transport - Albany</v>
      </c>
      <c r="F194" s="799" t="s">
        <v>3607</v>
      </c>
      <c r="G194" s="799" t="str">
        <f t="shared" si="11"/>
        <v>Albany</v>
      </c>
      <c r="H194" s="799" t="s">
        <v>3607</v>
      </c>
      <c r="I194" s="799" t="s">
        <v>5444</v>
      </c>
      <c r="J194" t="str">
        <f t="shared" ref="J194:J237" si="12">TRIM(LEFT(D194,3))</f>
        <v>TRA</v>
      </c>
    </row>
    <row r="195" spans="1:10">
      <c r="A195" s="799" t="s">
        <v>896</v>
      </c>
      <c r="B195" s="799" t="s">
        <v>4396</v>
      </c>
      <c r="C195" s="799" t="str">
        <f t="shared" ref="C195:C237" si="13">A195&amp;" - "&amp;B195</f>
        <v>Transport - Rural North</v>
      </c>
      <c r="D195" s="799" t="s">
        <v>2790</v>
      </c>
      <c r="E195" s="799" t="str">
        <f t="shared" ref="E195:E237" si="14">+C195</f>
        <v>Transport - Rural North</v>
      </c>
      <c r="F195" s="799" t="s">
        <v>3608</v>
      </c>
      <c r="G195" s="799" t="str">
        <f t="shared" ref="G195:G237" si="15">+B195</f>
        <v>Rural North</v>
      </c>
      <c r="H195" s="799" t="s">
        <v>3607</v>
      </c>
      <c r="I195" s="799" t="s">
        <v>5444</v>
      </c>
      <c r="J195" t="str">
        <f t="shared" si="12"/>
        <v>TRA</v>
      </c>
    </row>
    <row r="196" spans="1:10">
      <c r="A196" s="799" t="s">
        <v>896</v>
      </c>
      <c r="B196" s="799" t="s">
        <v>2586</v>
      </c>
      <c r="C196" s="799" t="str">
        <f t="shared" si="13"/>
        <v>Transport - Rural West</v>
      </c>
      <c r="D196" s="799" t="s">
        <v>2791</v>
      </c>
      <c r="E196" s="799" t="str">
        <f t="shared" si="14"/>
        <v>Transport - Rural West</v>
      </c>
      <c r="F196" s="799" t="s">
        <v>3608</v>
      </c>
      <c r="G196" s="799" t="str">
        <f t="shared" si="15"/>
        <v>Rural West</v>
      </c>
      <c r="H196" s="799" t="s">
        <v>3607</v>
      </c>
      <c r="I196" s="799" t="s">
        <v>5444</v>
      </c>
      <c r="J196" t="str">
        <f t="shared" si="12"/>
        <v>TRA</v>
      </c>
    </row>
    <row r="197" spans="1:10">
      <c r="A197" s="799" t="s">
        <v>896</v>
      </c>
      <c r="B197" s="799" t="s">
        <v>4397</v>
      </c>
      <c r="C197" s="799" t="str">
        <f t="shared" si="13"/>
        <v>Transport - Rural South</v>
      </c>
      <c r="D197" s="799" t="s">
        <v>2792</v>
      </c>
      <c r="E197" s="799" t="str">
        <f t="shared" si="14"/>
        <v>Transport - Rural South</v>
      </c>
      <c r="F197" s="799" t="s">
        <v>3608</v>
      </c>
      <c r="G197" s="799" t="str">
        <f t="shared" si="15"/>
        <v>Rural South</v>
      </c>
      <c r="H197" s="799" t="s">
        <v>3607</v>
      </c>
      <c r="I197" s="799" t="s">
        <v>5444</v>
      </c>
      <c r="J197" t="str">
        <f t="shared" si="12"/>
        <v>TRA</v>
      </c>
    </row>
    <row r="198" spans="1:10">
      <c r="A198" s="799" t="s">
        <v>896</v>
      </c>
      <c r="B198" s="799" t="s">
        <v>2659</v>
      </c>
      <c r="C198" s="799" t="str">
        <f t="shared" si="13"/>
        <v>Transport - Area 16</v>
      </c>
      <c r="D198" s="799" t="s">
        <v>2793</v>
      </c>
      <c r="E198" s="799" t="str">
        <f t="shared" si="14"/>
        <v>Transport - Area 16</v>
      </c>
      <c r="F198" s="799" t="s">
        <v>3607</v>
      </c>
      <c r="G198" s="799" t="str">
        <f t="shared" si="15"/>
        <v>Area 16</v>
      </c>
      <c r="H198" s="799" t="s">
        <v>3607</v>
      </c>
      <c r="I198" s="799" t="s">
        <v>5448</v>
      </c>
      <c r="J198" t="str">
        <f t="shared" si="12"/>
        <v>TRA</v>
      </c>
    </row>
    <row r="199" spans="1:10">
      <c r="A199" s="799" t="s">
        <v>896</v>
      </c>
      <c r="B199" s="799" t="s">
        <v>5810</v>
      </c>
      <c r="C199" s="799" t="str">
        <f t="shared" si="13"/>
        <v>Transport - Mt Roskill AHP</v>
      </c>
      <c r="D199" s="799" t="s">
        <v>2794</v>
      </c>
      <c r="E199" s="799" t="str">
        <f t="shared" si="14"/>
        <v>Transport - Mt Roskill AHP</v>
      </c>
      <c r="F199" s="799" t="s">
        <v>3607</v>
      </c>
      <c r="G199" s="799" t="str">
        <f t="shared" si="15"/>
        <v>Mt Roskill AHP</v>
      </c>
      <c r="H199" s="799" t="s">
        <v>3607</v>
      </c>
      <c r="I199" s="799" t="s">
        <v>5444</v>
      </c>
      <c r="J199" t="str">
        <f t="shared" si="12"/>
        <v>TRA</v>
      </c>
    </row>
    <row r="200" spans="1:10">
      <c r="A200" s="799" t="s">
        <v>896</v>
      </c>
      <c r="B200" s="799" t="s">
        <v>5811</v>
      </c>
      <c r="C200" s="799" t="str">
        <f t="shared" si="13"/>
        <v>Transport - Mangere AHP</v>
      </c>
      <c r="D200" s="799" t="s">
        <v>2795</v>
      </c>
      <c r="E200" s="799" t="str">
        <f t="shared" si="14"/>
        <v>Transport - Mangere AHP</v>
      </c>
      <c r="F200" s="799" t="s">
        <v>3607</v>
      </c>
      <c r="G200" s="799" t="str">
        <f t="shared" si="15"/>
        <v>Mangere AHP</v>
      </c>
      <c r="H200" s="799" t="s">
        <v>3607</v>
      </c>
      <c r="I200" s="799" t="s">
        <v>5444</v>
      </c>
      <c r="J200" t="str">
        <f t="shared" si="12"/>
        <v>TRA</v>
      </c>
    </row>
    <row r="201" spans="1:10">
      <c r="A201" s="799" t="s">
        <v>896</v>
      </c>
      <c r="B201" s="799" t="s">
        <v>5812</v>
      </c>
      <c r="C201" s="799" t="str">
        <f t="shared" si="13"/>
        <v>Transport - Southern Growth Area</v>
      </c>
      <c r="D201" s="799" t="s">
        <v>2796</v>
      </c>
      <c r="E201" s="799" t="str">
        <f t="shared" si="14"/>
        <v>Transport - Southern Growth Area</v>
      </c>
      <c r="F201" s="799" t="s">
        <v>3607</v>
      </c>
      <c r="G201" s="799" t="str">
        <f t="shared" si="15"/>
        <v>Southern Growth Area</v>
      </c>
      <c r="H201" s="799" t="s">
        <v>3607</v>
      </c>
      <c r="I201" s="799" t="s">
        <v>5444</v>
      </c>
      <c r="J201" t="str">
        <f t="shared" si="12"/>
        <v>TRA</v>
      </c>
    </row>
    <row r="202" spans="1:10">
      <c r="A202" s="799" t="s">
        <v>896</v>
      </c>
      <c r="B202" s="799" t="s">
        <v>5813</v>
      </c>
      <c r="C202" s="799" t="str">
        <f t="shared" si="13"/>
        <v>Transport - Drury / Opaheke</v>
      </c>
      <c r="D202" s="799" t="s">
        <v>2797</v>
      </c>
      <c r="E202" s="799" t="str">
        <f t="shared" si="14"/>
        <v>Transport - Drury / Opaheke</v>
      </c>
      <c r="F202" s="799" t="s">
        <v>3607</v>
      </c>
      <c r="G202" s="799" t="str">
        <f t="shared" si="15"/>
        <v>Drury / Opaheke</v>
      </c>
      <c r="H202" s="799" t="s">
        <v>3607</v>
      </c>
      <c r="I202" s="799" t="s">
        <v>5444</v>
      </c>
      <c r="J202" t="str">
        <f t="shared" si="12"/>
        <v>TRA</v>
      </c>
    </row>
    <row r="203" spans="1:10">
      <c r="A203" s="799" t="s">
        <v>896</v>
      </c>
      <c r="B203" s="799" t="s">
        <v>5814</v>
      </c>
      <c r="C203" s="799" t="str">
        <f t="shared" si="13"/>
        <v>Transport - Northwest  - Redhills</v>
      </c>
      <c r="D203" s="799" t="s">
        <v>2798</v>
      </c>
      <c r="E203" s="799" t="str">
        <f t="shared" si="14"/>
        <v>Transport - Northwest  - Redhills</v>
      </c>
      <c r="F203" s="799" t="s">
        <v>3607</v>
      </c>
      <c r="G203" s="799" t="str">
        <f t="shared" si="15"/>
        <v>Northwest  - Redhills</v>
      </c>
      <c r="H203" s="799" t="s">
        <v>3607</v>
      </c>
      <c r="I203" s="799" t="s">
        <v>5444</v>
      </c>
      <c r="J203" t="str">
        <f t="shared" si="12"/>
        <v>TRA</v>
      </c>
    </row>
    <row r="204" spans="1:10">
      <c r="A204" s="799" t="s">
        <v>896</v>
      </c>
      <c r="B204" s="799" t="s">
        <v>5815</v>
      </c>
      <c r="C204" s="799" t="str">
        <f t="shared" si="13"/>
        <v>Transport - Northwest  - Whenuapai</v>
      </c>
      <c r="D204" s="799" t="s">
        <v>2799</v>
      </c>
      <c r="E204" s="799" t="str">
        <f t="shared" si="14"/>
        <v>Transport - Northwest  - Whenuapai</v>
      </c>
      <c r="F204" s="799" t="s">
        <v>3607</v>
      </c>
      <c r="G204" s="799" t="str">
        <f t="shared" si="15"/>
        <v>Northwest  - Whenuapai</v>
      </c>
      <c r="H204" s="799" t="s">
        <v>3607</v>
      </c>
      <c r="I204" s="799" t="s">
        <v>5444</v>
      </c>
      <c r="J204" t="str">
        <f t="shared" si="12"/>
        <v>TRA</v>
      </c>
    </row>
    <row r="205" spans="1:10">
      <c r="A205" s="799" t="s">
        <v>896</v>
      </c>
      <c r="B205" s="799" t="s">
        <v>6700</v>
      </c>
      <c r="C205" s="799" t="str">
        <f t="shared" si="13"/>
        <v>Transport - Drury East IPA</v>
      </c>
      <c r="D205" s="799" t="s">
        <v>2800</v>
      </c>
      <c r="E205" s="799" t="str">
        <f t="shared" si="14"/>
        <v>Transport - Drury East IPA</v>
      </c>
      <c r="F205" s="799" t="s">
        <v>3607</v>
      </c>
      <c r="G205" s="799" t="str">
        <f t="shared" si="15"/>
        <v>Drury East IPA</v>
      </c>
      <c r="H205" s="799"/>
      <c r="I205" s="799" t="s">
        <v>5444</v>
      </c>
      <c r="J205" t="str">
        <f t="shared" si="12"/>
        <v>TRA</v>
      </c>
    </row>
    <row r="206" spans="1:10">
      <c r="A206" s="799" t="s">
        <v>896</v>
      </c>
      <c r="B206" s="799" t="s">
        <v>6701</v>
      </c>
      <c r="C206" s="799" t="str">
        <f t="shared" si="13"/>
        <v>Transport - Drury West 1 IPA</v>
      </c>
      <c r="D206" s="799" t="s">
        <v>2801</v>
      </c>
      <c r="E206" s="799" t="str">
        <f t="shared" si="14"/>
        <v>Transport - Drury West 1 IPA</v>
      </c>
      <c r="F206" s="799" t="s">
        <v>3607</v>
      </c>
      <c r="G206" s="799" t="str">
        <f t="shared" si="15"/>
        <v>Drury West 1 IPA</v>
      </c>
      <c r="H206" s="799"/>
      <c r="I206" s="799" t="s">
        <v>5444</v>
      </c>
      <c r="J206" t="str">
        <f t="shared" si="12"/>
        <v>TRA</v>
      </c>
    </row>
    <row r="207" spans="1:10">
      <c r="A207" s="799" t="s">
        <v>896</v>
      </c>
      <c r="B207" s="799" t="s">
        <v>6702</v>
      </c>
      <c r="C207" s="799" t="str">
        <f t="shared" si="13"/>
        <v>Transport - Drury West 2 IPA</v>
      </c>
      <c r="D207" s="799" t="s">
        <v>2802</v>
      </c>
      <c r="E207" s="799" t="str">
        <f t="shared" si="14"/>
        <v>Transport - Drury West 2 IPA</v>
      </c>
      <c r="F207" s="799" t="s">
        <v>3607</v>
      </c>
      <c r="G207" s="799" t="str">
        <f t="shared" si="15"/>
        <v>Drury West 2 IPA</v>
      </c>
      <c r="H207" s="799"/>
      <c r="I207" s="799" t="s">
        <v>5444</v>
      </c>
      <c r="J207" t="str">
        <f t="shared" si="12"/>
        <v>TRA</v>
      </c>
    </row>
    <row r="208" spans="1:10">
      <c r="A208" s="799" t="s">
        <v>896</v>
      </c>
      <c r="B208" s="799" t="s">
        <v>6703</v>
      </c>
      <c r="C208" s="799" t="str">
        <f t="shared" si="13"/>
        <v>Transport - Opaheke IPA</v>
      </c>
      <c r="D208" s="799" t="s">
        <v>2803</v>
      </c>
      <c r="E208" s="799" t="str">
        <f t="shared" si="14"/>
        <v>Transport - Opaheke IPA</v>
      </c>
      <c r="F208" s="799" t="s">
        <v>3607</v>
      </c>
      <c r="G208" s="799" t="str">
        <f t="shared" si="15"/>
        <v>Opaheke IPA</v>
      </c>
      <c r="H208" s="799"/>
      <c r="I208" s="799" t="s">
        <v>5444</v>
      </c>
      <c r="J208" t="str">
        <f t="shared" si="12"/>
        <v>TRA</v>
      </c>
    </row>
    <row r="209" spans="1:11">
      <c r="A209" s="799" t="s">
        <v>896</v>
      </c>
      <c r="B209" s="799" t="s">
        <v>6896</v>
      </c>
      <c r="C209" s="799" t="str">
        <f t="shared" si="13"/>
        <v>Transport - Southern Growth Area 3</v>
      </c>
      <c r="D209" s="799" t="s">
        <v>2804</v>
      </c>
      <c r="E209" s="799" t="str">
        <f t="shared" si="14"/>
        <v>Transport - Southern Growth Area 3</v>
      </c>
      <c r="F209" s="799" t="s">
        <v>3607</v>
      </c>
      <c r="G209" s="799" t="str">
        <f t="shared" si="15"/>
        <v>Southern Growth Area 3</v>
      </c>
      <c r="H209" s="799"/>
      <c r="I209" s="799" t="s">
        <v>5444</v>
      </c>
      <c r="J209" t="str">
        <f t="shared" si="12"/>
        <v>TRA</v>
      </c>
      <c r="K209" t="s">
        <v>6704</v>
      </c>
    </row>
    <row r="210" spans="1:11">
      <c r="A210" s="799" t="s">
        <v>896</v>
      </c>
      <c r="B210" s="799" t="s">
        <v>6897</v>
      </c>
      <c r="C210" s="799" t="str">
        <f t="shared" si="13"/>
        <v>Transport - Southern Growth Area 2</v>
      </c>
      <c r="D210" s="799" t="s">
        <v>2805</v>
      </c>
      <c r="E210" s="799" t="str">
        <f t="shared" si="14"/>
        <v>Transport - Southern Growth Area 2</v>
      </c>
      <c r="F210" s="799" t="s">
        <v>3607</v>
      </c>
      <c r="G210" s="799" t="str">
        <f t="shared" si="15"/>
        <v>Southern Growth Area 2</v>
      </c>
      <c r="H210" s="799"/>
      <c r="I210" s="799" t="s">
        <v>5444</v>
      </c>
      <c r="J210" t="str">
        <f t="shared" si="12"/>
        <v>TRA</v>
      </c>
      <c r="K210" t="s">
        <v>6705</v>
      </c>
    </row>
    <row r="211" spans="1:11">
      <c r="A211" s="799" t="s">
        <v>896</v>
      </c>
      <c r="B211" s="799" t="s">
        <v>6898</v>
      </c>
      <c r="C211" s="799" t="str">
        <f t="shared" si="13"/>
        <v>Transport - Southern Growth Area 1</v>
      </c>
      <c r="D211" s="799" t="s">
        <v>2806</v>
      </c>
      <c r="E211" s="799" t="str">
        <f t="shared" si="14"/>
        <v>Transport - Southern Growth Area 1</v>
      </c>
      <c r="F211" s="799" t="s">
        <v>3607</v>
      </c>
      <c r="G211" s="799" t="str">
        <f t="shared" si="15"/>
        <v>Southern Growth Area 1</v>
      </c>
      <c r="H211" s="799"/>
      <c r="I211" s="799" t="s">
        <v>5444</v>
      </c>
      <c r="J211" t="str">
        <f t="shared" si="12"/>
        <v>TRA</v>
      </c>
      <c r="K211" t="s">
        <v>6706</v>
      </c>
    </row>
    <row r="212" spans="1:11">
      <c r="A212" s="799" t="s">
        <v>896</v>
      </c>
      <c r="B212" s="799" t="s">
        <v>2687</v>
      </c>
      <c r="C212" s="799" t="str">
        <f t="shared" si="13"/>
        <v>Transport - Area 30</v>
      </c>
      <c r="D212" s="799" t="s">
        <v>2807</v>
      </c>
      <c r="E212" s="799" t="str">
        <f t="shared" si="14"/>
        <v>Transport - Area 30</v>
      </c>
      <c r="F212" s="799" t="s">
        <v>3607</v>
      </c>
      <c r="G212" s="799" t="str">
        <f t="shared" si="15"/>
        <v>Area 30</v>
      </c>
      <c r="H212" s="799"/>
      <c r="I212" s="799" t="s">
        <v>5444</v>
      </c>
      <c r="J212" t="str">
        <f t="shared" si="12"/>
        <v>TRA</v>
      </c>
    </row>
    <row r="213" spans="1:11">
      <c r="A213" s="799" t="s">
        <v>896</v>
      </c>
      <c r="B213" s="799" t="s">
        <v>2689</v>
      </c>
      <c r="C213" s="799" t="str">
        <f t="shared" si="13"/>
        <v>Transport - Area 31</v>
      </c>
      <c r="D213" s="799" t="s">
        <v>2808</v>
      </c>
      <c r="E213" s="799" t="str">
        <f t="shared" si="14"/>
        <v>Transport - Area 31</v>
      </c>
      <c r="F213" s="799" t="s">
        <v>3607</v>
      </c>
      <c r="G213" s="799" t="str">
        <f t="shared" si="15"/>
        <v>Area 31</v>
      </c>
      <c r="H213" s="799"/>
      <c r="I213" s="799" t="s">
        <v>5444</v>
      </c>
      <c r="J213" t="str">
        <f t="shared" si="12"/>
        <v>TRA</v>
      </c>
    </row>
    <row r="214" spans="1:11">
      <c r="A214" s="799" t="s">
        <v>896</v>
      </c>
      <c r="B214" s="799" t="s">
        <v>2691</v>
      </c>
      <c r="C214" s="799" t="str">
        <f t="shared" si="13"/>
        <v>Transport - Area 32</v>
      </c>
      <c r="D214" s="799" t="s">
        <v>2809</v>
      </c>
      <c r="E214" s="799" t="str">
        <f t="shared" si="14"/>
        <v>Transport - Area 32</v>
      </c>
      <c r="F214" s="799" t="s">
        <v>3607</v>
      </c>
      <c r="G214" s="799" t="str">
        <f t="shared" si="15"/>
        <v>Area 32</v>
      </c>
      <c r="H214" s="799"/>
      <c r="I214" s="799" t="s">
        <v>5444</v>
      </c>
      <c r="J214" t="str">
        <f t="shared" si="12"/>
        <v>TRA</v>
      </c>
    </row>
    <row r="215" spans="1:11">
      <c r="A215" s="799" t="s">
        <v>1055</v>
      </c>
      <c r="B215" s="799" t="s">
        <v>91</v>
      </c>
      <c r="C215" s="799" t="str">
        <f t="shared" si="13"/>
        <v>Public Transport - Auckland wide</v>
      </c>
      <c r="D215" s="799" t="s">
        <v>2810</v>
      </c>
      <c r="E215" s="799" t="str">
        <f t="shared" si="14"/>
        <v>Public Transport - Auckland wide</v>
      </c>
      <c r="F215" s="799" t="s">
        <v>3608</v>
      </c>
      <c r="G215" s="799" t="str">
        <f t="shared" si="15"/>
        <v>Auckland wide</v>
      </c>
      <c r="H215" s="799" t="s">
        <v>5443</v>
      </c>
      <c r="I215" s="799" t="s">
        <v>5444</v>
      </c>
      <c r="J215" t="str">
        <f t="shared" si="12"/>
        <v>PTR</v>
      </c>
    </row>
    <row r="216" spans="1:11">
      <c r="A216" s="799" t="s">
        <v>1055</v>
      </c>
      <c r="B216" s="799" t="s">
        <v>1206</v>
      </c>
      <c r="C216" s="799" t="str">
        <f t="shared" si="13"/>
        <v>Public Transport - North</v>
      </c>
      <c r="D216" s="799" t="s">
        <v>2811</v>
      </c>
      <c r="E216" s="799" t="str">
        <f t="shared" si="14"/>
        <v>Public Transport - North</v>
      </c>
      <c r="F216" s="799" t="s">
        <v>3608</v>
      </c>
      <c r="G216" s="799" t="str">
        <f t="shared" si="15"/>
        <v>North</v>
      </c>
      <c r="H216" s="799" t="s">
        <v>5445</v>
      </c>
      <c r="I216" s="799" t="s">
        <v>5444</v>
      </c>
      <c r="J216" t="str">
        <f t="shared" si="12"/>
        <v>PTR</v>
      </c>
    </row>
    <row r="217" spans="1:11">
      <c r="A217" s="799" t="s">
        <v>1055</v>
      </c>
      <c r="B217" s="799" t="s">
        <v>1208</v>
      </c>
      <c r="C217" s="799" t="str">
        <f t="shared" si="13"/>
        <v>Public Transport - Central</v>
      </c>
      <c r="D217" s="799" t="s">
        <v>2812</v>
      </c>
      <c r="E217" s="799" t="str">
        <f t="shared" si="14"/>
        <v>Public Transport - Central</v>
      </c>
      <c r="F217" s="799" t="s">
        <v>3608</v>
      </c>
      <c r="G217" s="799" t="str">
        <f t="shared" si="15"/>
        <v>Central</v>
      </c>
      <c r="H217" s="799" t="s">
        <v>5445</v>
      </c>
      <c r="I217" s="799" t="s">
        <v>5444</v>
      </c>
      <c r="J217" t="str">
        <f t="shared" si="12"/>
        <v>PTR</v>
      </c>
    </row>
    <row r="218" spans="1:11">
      <c r="A218" s="799" t="s">
        <v>1055</v>
      </c>
      <c r="B218" s="799" t="s">
        <v>1207</v>
      </c>
      <c r="C218" s="799" t="str">
        <f t="shared" si="13"/>
        <v>Public Transport - West</v>
      </c>
      <c r="D218" s="799" t="s">
        <v>2813</v>
      </c>
      <c r="E218" s="799" t="str">
        <f t="shared" si="14"/>
        <v>Public Transport - West</v>
      </c>
      <c r="F218" s="799" t="s">
        <v>3608</v>
      </c>
      <c r="G218" s="799" t="str">
        <f t="shared" si="15"/>
        <v>West</v>
      </c>
      <c r="H218" s="799" t="s">
        <v>5445</v>
      </c>
      <c r="I218" s="799" t="s">
        <v>5444</v>
      </c>
      <c r="J218" t="str">
        <f t="shared" si="12"/>
        <v>PTR</v>
      </c>
    </row>
    <row r="219" spans="1:11">
      <c r="A219" s="799" t="s">
        <v>1055</v>
      </c>
      <c r="B219" s="799" t="s">
        <v>1209</v>
      </c>
      <c r="C219" s="799" t="str">
        <f t="shared" si="13"/>
        <v>Public Transport - South</v>
      </c>
      <c r="D219" s="799" t="s">
        <v>2814</v>
      </c>
      <c r="E219" s="799" t="str">
        <f t="shared" si="14"/>
        <v>Public Transport - South</v>
      </c>
      <c r="F219" s="799" t="s">
        <v>3608</v>
      </c>
      <c r="G219" s="799" t="str">
        <f t="shared" si="15"/>
        <v>South</v>
      </c>
      <c r="H219" s="799" t="s">
        <v>5445</v>
      </c>
      <c r="I219" s="799" t="s">
        <v>5444</v>
      </c>
      <c r="J219" t="str">
        <f t="shared" si="12"/>
        <v>PTR</v>
      </c>
    </row>
    <row r="220" spans="1:11">
      <c r="A220" s="799" t="s">
        <v>1055</v>
      </c>
      <c r="B220" s="799" t="s">
        <v>2943</v>
      </c>
      <c r="C220" s="799" t="str">
        <f t="shared" si="13"/>
        <v>Public Transport - Drury South</v>
      </c>
      <c r="D220" s="799" t="s">
        <v>2815</v>
      </c>
      <c r="E220" s="799" t="str">
        <f t="shared" si="14"/>
        <v>Public Transport - Drury South</v>
      </c>
      <c r="F220" s="799" t="s">
        <v>3607</v>
      </c>
      <c r="G220" s="799" t="str">
        <f t="shared" si="15"/>
        <v>Drury South</v>
      </c>
      <c r="H220" s="799" t="s">
        <v>3607</v>
      </c>
      <c r="I220" s="799" t="s">
        <v>5444</v>
      </c>
      <c r="J220" t="str">
        <f t="shared" si="12"/>
        <v>PTR</v>
      </c>
    </row>
    <row r="221" spans="1:11">
      <c r="A221" s="799" t="s">
        <v>1055</v>
      </c>
      <c r="B221" s="799" t="s">
        <v>1210</v>
      </c>
      <c r="C221" s="799" t="str">
        <f t="shared" si="13"/>
        <v>Public Transport - HGI</v>
      </c>
      <c r="D221" s="799" t="s">
        <v>2816</v>
      </c>
      <c r="E221" s="799" t="str">
        <f t="shared" si="14"/>
        <v>Public Transport - HGI</v>
      </c>
      <c r="F221" s="799" t="s">
        <v>3607</v>
      </c>
      <c r="G221" s="799" t="str">
        <f t="shared" si="15"/>
        <v>HGI</v>
      </c>
      <c r="H221" s="799" t="s">
        <v>3607</v>
      </c>
      <c r="I221" s="799" t="s">
        <v>5444</v>
      </c>
      <c r="J221" t="str">
        <f t="shared" si="12"/>
        <v>PTR</v>
      </c>
    </row>
    <row r="222" spans="1:11">
      <c r="A222" s="799" t="s">
        <v>1055</v>
      </c>
      <c r="B222" s="799" t="s">
        <v>4335</v>
      </c>
      <c r="C222" s="799" t="str">
        <f t="shared" si="13"/>
        <v>Public Transport - Auckland Wide Less Parallel</v>
      </c>
      <c r="D222" s="799" t="s">
        <v>2817</v>
      </c>
      <c r="E222" s="799" t="str">
        <f t="shared" si="14"/>
        <v>Public Transport - Auckland Wide Less Parallel</v>
      </c>
      <c r="F222" s="799" t="s">
        <v>3607</v>
      </c>
      <c r="G222" s="799" t="str">
        <f t="shared" si="15"/>
        <v>Auckland Wide Less Parallel</v>
      </c>
      <c r="H222" s="799" t="s">
        <v>5445</v>
      </c>
      <c r="I222" s="799" t="s">
        <v>5444</v>
      </c>
      <c r="J222" t="str">
        <f t="shared" si="12"/>
        <v>PTR</v>
      </c>
    </row>
    <row r="223" spans="1:11">
      <c r="A223" s="799" t="s">
        <v>1055</v>
      </c>
      <c r="B223" s="799" t="s">
        <v>4338</v>
      </c>
      <c r="C223" s="799" t="str">
        <f t="shared" si="13"/>
        <v>Public Transport - NorthWest</v>
      </c>
      <c r="D223" s="799" t="s">
        <v>2818</v>
      </c>
      <c r="E223" s="799" t="str">
        <f t="shared" si="14"/>
        <v>Public Transport - NorthWest</v>
      </c>
      <c r="F223" s="799" t="s">
        <v>3608</v>
      </c>
      <c r="G223" s="799" t="str">
        <f t="shared" si="15"/>
        <v>NorthWest</v>
      </c>
      <c r="H223" s="799" t="s">
        <v>3607</v>
      </c>
      <c r="I223" s="799" t="s">
        <v>5444</v>
      </c>
      <c r="J223" t="str">
        <f t="shared" si="12"/>
        <v>PTR</v>
      </c>
    </row>
    <row r="224" spans="1:11">
      <c r="A224" s="799" t="s">
        <v>1055</v>
      </c>
      <c r="B224" s="799" t="s">
        <v>4336</v>
      </c>
      <c r="C224" s="799" t="str">
        <f t="shared" si="13"/>
        <v>Public Transport - Dairyflat / Wainui / Silverdale</v>
      </c>
      <c r="D224" s="799" t="s">
        <v>2819</v>
      </c>
      <c r="E224" s="799" t="str">
        <f t="shared" si="14"/>
        <v>Public Transport - Dairyflat / Wainui / Silverdale</v>
      </c>
      <c r="F224" s="799" t="s">
        <v>3607</v>
      </c>
      <c r="G224" s="799" t="str">
        <f t="shared" si="15"/>
        <v>Dairyflat / Wainui / Silverdale</v>
      </c>
      <c r="H224" s="799" t="s">
        <v>3607</v>
      </c>
      <c r="I224" s="799" t="s">
        <v>5444</v>
      </c>
      <c r="J224" t="str">
        <f t="shared" si="12"/>
        <v>PTR</v>
      </c>
    </row>
    <row r="225" spans="1:10">
      <c r="A225" s="799" t="s">
        <v>1055</v>
      </c>
      <c r="B225" s="799" t="s">
        <v>5809</v>
      </c>
      <c r="C225" s="799" t="str">
        <f t="shared" si="13"/>
        <v>Public Transport - Tamaki AHP</v>
      </c>
      <c r="D225" s="799" t="s">
        <v>2820</v>
      </c>
      <c r="E225" s="799" t="str">
        <f t="shared" si="14"/>
        <v>Public Transport - Tamaki AHP</v>
      </c>
      <c r="F225" s="799" t="s">
        <v>3607</v>
      </c>
      <c r="G225" s="799" t="str">
        <f t="shared" si="15"/>
        <v>Tamaki AHP</v>
      </c>
      <c r="H225" s="799" t="s">
        <v>3607</v>
      </c>
      <c r="I225" s="799" t="s">
        <v>5444</v>
      </c>
      <c r="J225" t="str">
        <f t="shared" si="12"/>
        <v>PTR</v>
      </c>
    </row>
    <row r="226" spans="1:10">
      <c r="A226" s="799" t="s">
        <v>1055</v>
      </c>
      <c r="B226" s="799" t="s">
        <v>3049</v>
      </c>
      <c r="C226" s="799" t="str">
        <f t="shared" si="13"/>
        <v>Public Transport - Albany</v>
      </c>
      <c r="D226" s="799" t="s">
        <v>2821</v>
      </c>
      <c r="E226" s="799" t="str">
        <f t="shared" si="14"/>
        <v>Public Transport - Albany</v>
      </c>
      <c r="F226" s="799" t="s">
        <v>3607</v>
      </c>
      <c r="G226" s="799" t="str">
        <f t="shared" si="15"/>
        <v>Albany</v>
      </c>
      <c r="H226" s="799" t="s">
        <v>3607</v>
      </c>
      <c r="I226" s="799" t="s">
        <v>5444</v>
      </c>
      <c r="J226" t="str">
        <f t="shared" si="12"/>
        <v>PTR</v>
      </c>
    </row>
    <row r="227" spans="1:10">
      <c r="A227" s="799" t="s">
        <v>1055</v>
      </c>
      <c r="B227" s="799" t="s">
        <v>4396</v>
      </c>
      <c r="C227" s="799" t="str">
        <f t="shared" si="13"/>
        <v>Public Transport - Rural North</v>
      </c>
      <c r="D227" s="799" t="s">
        <v>2822</v>
      </c>
      <c r="E227" s="799" t="str">
        <f t="shared" si="14"/>
        <v>Public Transport - Rural North</v>
      </c>
      <c r="F227" s="799" t="s">
        <v>3607</v>
      </c>
      <c r="G227" s="799" t="str">
        <f t="shared" si="15"/>
        <v>Rural North</v>
      </c>
      <c r="H227" s="799" t="s">
        <v>3607</v>
      </c>
      <c r="I227" s="799" t="s">
        <v>5444</v>
      </c>
      <c r="J227" t="str">
        <f t="shared" si="12"/>
        <v>PTR</v>
      </c>
    </row>
    <row r="228" spans="1:10">
      <c r="A228" s="799" t="s">
        <v>1055</v>
      </c>
      <c r="B228" s="799" t="s">
        <v>2586</v>
      </c>
      <c r="C228" s="799" t="str">
        <f t="shared" si="13"/>
        <v>Public Transport - Rural West</v>
      </c>
      <c r="D228" s="799" t="s">
        <v>2823</v>
      </c>
      <c r="E228" s="799" t="str">
        <f t="shared" si="14"/>
        <v>Public Transport - Rural West</v>
      </c>
      <c r="F228" s="799" t="s">
        <v>3607</v>
      </c>
      <c r="G228" s="799" t="str">
        <f t="shared" si="15"/>
        <v>Rural West</v>
      </c>
      <c r="H228" s="799" t="s">
        <v>3607</v>
      </c>
      <c r="I228" s="799" t="s">
        <v>5444</v>
      </c>
      <c r="J228" t="str">
        <f t="shared" si="12"/>
        <v>PTR</v>
      </c>
    </row>
    <row r="229" spans="1:10">
      <c r="A229" s="799" t="s">
        <v>1055</v>
      </c>
      <c r="B229" s="799" t="s">
        <v>4397</v>
      </c>
      <c r="C229" s="799" t="str">
        <f t="shared" si="13"/>
        <v>Public Transport - Rural South</v>
      </c>
      <c r="D229" s="799" t="s">
        <v>2824</v>
      </c>
      <c r="E229" s="799" t="str">
        <f t="shared" si="14"/>
        <v>Public Transport - Rural South</v>
      </c>
      <c r="F229" s="799" t="s">
        <v>3607</v>
      </c>
      <c r="G229" s="799" t="str">
        <f t="shared" si="15"/>
        <v>Rural South</v>
      </c>
      <c r="H229" s="799" t="s">
        <v>3607</v>
      </c>
      <c r="I229" s="799" t="s">
        <v>5444</v>
      </c>
      <c r="J229" t="str">
        <f t="shared" si="12"/>
        <v>PTR</v>
      </c>
    </row>
    <row r="230" spans="1:10">
      <c r="A230" s="799" t="s">
        <v>1055</v>
      </c>
      <c r="B230" s="799" t="s">
        <v>2659</v>
      </c>
      <c r="C230" s="799" t="str">
        <f t="shared" si="13"/>
        <v>Public Transport - Area 16</v>
      </c>
      <c r="D230" s="799" t="s">
        <v>2825</v>
      </c>
      <c r="E230" s="799" t="str">
        <f t="shared" si="14"/>
        <v>Public Transport - Area 16</v>
      </c>
      <c r="F230" s="799" t="s">
        <v>3607</v>
      </c>
      <c r="G230" s="799" t="str">
        <f t="shared" si="15"/>
        <v>Area 16</v>
      </c>
      <c r="H230" s="799" t="s">
        <v>3607</v>
      </c>
      <c r="I230" s="799" t="s">
        <v>5444</v>
      </c>
      <c r="J230" t="str">
        <f t="shared" si="12"/>
        <v>PTR</v>
      </c>
    </row>
    <row r="231" spans="1:10">
      <c r="A231" s="799" t="s">
        <v>1055</v>
      </c>
      <c r="B231" s="799" t="s">
        <v>5810</v>
      </c>
      <c r="C231" s="799" t="str">
        <f t="shared" si="13"/>
        <v>Public Transport - Mt Roskill AHP</v>
      </c>
      <c r="D231" s="799" t="s">
        <v>2826</v>
      </c>
      <c r="E231" s="799" t="str">
        <f t="shared" si="14"/>
        <v>Public Transport - Mt Roskill AHP</v>
      </c>
      <c r="F231" s="799" t="s">
        <v>3607</v>
      </c>
      <c r="G231" s="799" t="str">
        <f t="shared" si="15"/>
        <v>Mt Roskill AHP</v>
      </c>
      <c r="H231" s="799" t="s">
        <v>3607</v>
      </c>
      <c r="I231" s="799" t="s">
        <v>5444</v>
      </c>
      <c r="J231" t="str">
        <f t="shared" si="12"/>
        <v>PTR</v>
      </c>
    </row>
    <row r="232" spans="1:10">
      <c r="A232" s="799" t="s">
        <v>1055</v>
      </c>
      <c r="B232" s="799" t="s">
        <v>5811</v>
      </c>
      <c r="C232" s="799" t="str">
        <f t="shared" si="13"/>
        <v>Public Transport - Mangere AHP</v>
      </c>
      <c r="D232" s="799" t="s">
        <v>2827</v>
      </c>
      <c r="E232" s="799" t="str">
        <f t="shared" si="14"/>
        <v>Public Transport - Mangere AHP</v>
      </c>
      <c r="F232" s="799" t="s">
        <v>3607</v>
      </c>
      <c r="G232" s="799" t="str">
        <f t="shared" si="15"/>
        <v>Mangere AHP</v>
      </c>
      <c r="H232" s="799" t="s">
        <v>3607</v>
      </c>
      <c r="I232" s="799" t="s">
        <v>5444</v>
      </c>
      <c r="J232" t="str">
        <f t="shared" si="12"/>
        <v>PTR</v>
      </c>
    </row>
    <row r="233" spans="1:10">
      <c r="A233" s="799" t="s">
        <v>1055</v>
      </c>
      <c r="B233" s="799" t="s">
        <v>5812</v>
      </c>
      <c r="C233" s="799" t="str">
        <f t="shared" si="13"/>
        <v>Public Transport - Southern Growth Area</v>
      </c>
      <c r="D233" s="799" t="s">
        <v>2828</v>
      </c>
      <c r="E233" s="799" t="str">
        <f t="shared" si="14"/>
        <v>Public Transport - Southern Growth Area</v>
      </c>
      <c r="F233" s="799" t="s">
        <v>3607</v>
      </c>
      <c r="G233" s="799" t="str">
        <f t="shared" si="15"/>
        <v>Southern Growth Area</v>
      </c>
      <c r="H233" s="799" t="s">
        <v>3607</v>
      </c>
      <c r="I233" s="799" t="s">
        <v>5444</v>
      </c>
      <c r="J233" t="str">
        <f t="shared" si="12"/>
        <v>PTR</v>
      </c>
    </row>
    <row r="234" spans="1:10">
      <c r="A234" s="799" t="s">
        <v>1055</v>
      </c>
      <c r="B234" s="799" t="s">
        <v>5813</v>
      </c>
      <c r="C234" s="799" t="str">
        <f t="shared" si="13"/>
        <v>Public Transport - Drury / Opaheke</v>
      </c>
      <c r="D234" s="799" t="s">
        <v>2829</v>
      </c>
      <c r="E234" s="799" t="str">
        <f t="shared" si="14"/>
        <v>Public Transport - Drury / Opaheke</v>
      </c>
      <c r="F234" s="799" t="s">
        <v>3607</v>
      </c>
      <c r="G234" s="799" t="str">
        <f t="shared" si="15"/>
        <v>Drury / Opaheke</v>
      </c>
      <c r="H234" s="799" t="s">
        <v>3607</v>
      </c>
      <c r="I234" s="799" t="s">
        <v>5444</v>
      </c>
      <c r="J234" t="str">
        <f t="shared" si="12"/>
        <v>PTR</v>
      </c>
    </row>
    <row r="235" spans="1:10">
      <c r="A235" s="799" t="s">
        <v>1055</v>
      </c>
      <c r="B235" s="799" t="s">
        <v>5814</v>
      </c>
      <c r="C235" s="799" t="str">
        <f t="shared" si="13"/>
        <v>Public Transport - Northwest  - Redhills</v>
      </c>
      <c r="D235" s="799" t="s">
        <v>2830</v>
      </c>
      <c r="E235" s="799" t="str">
        <f t="shared" si="14"/>
        <v>Public Transport - Northwest  - Redhills</v>
      </c>
      <c r="F235" s="799" t="s">
        <v>3607</v>
      </c>
      <c r="G235" s="799" t="str">
        <f t="shared" si="15"/>
        <v>Northwest  - Redhills</v>
      </c>
      <c r="H235" s="799" t="s">
        <v>3607</v>
      </c>
      <c r="I235" s="799" t="s">
        <v>5444</v>
      </c>
      <c r="J235" t="str">
        <f t="shared" si="12"/>
        <v>PTR</v>
      </c>
    </row>
    <row r="236" spans="1:10">
      <c r="A236" s="799" t="s">
        <v>1055</v>
      </c>
      <c r="B236" s="799" t="s">
        <v>5815</v>
      </c>
      <c r="C236" s="799" t="str">
        <f t="shared" si="13"/>
        <v>Public Transport - Northwest  - Whenuapai</v>
      </c>
      <c r="D236" s="799" t="s">
        <v>2831</v>
      </c>
      <c r="E236" s="799" t="str">
        <f t="shared" si="14"/>
        <v>Public Transport - Northwest  - Whenuapai</v>
      </c>
      <c r="F236" s="799" t="s">
        <v>3607</v>
      </c>
      <c r="G236" s="799" t="str">
        <f t="shared" si="15"/>
        <v>Northwest  - Whenuapai</v>
      </c>
      <c r="H236" s="799" t="s">
        <v>3607</v>
      </c>
      <c r="I236" s="799" t="s">
        <v>5444</v>
      </c>
      <c r="J236" t="str">
        <f t="shared" si="12"/>
        <v>PTR</v>
      </c>
    </row>
    <row r="237" spans="1:10">
      <c r="A237" s="799" t="s">
        <v>1055</v>
      </c>
      <c r="B237" s="799" t="s">
        <v>6700</v>
      </c>
      <c r="C237" s="799" t="str">
        <f t="shared" si="13"/>
        <v>Public Transport - Drury East IPA</v>
      </c>
      <c r="D237" s="799" t="s">
        <v>2832</v>
      </c>
      <c r="E237" s="799" t="str">
        <f t="shared" si="14"/>
        <v>Public Transport - Drury East IPA</v>
      </c>
      <c r="F237" s="799" t="s">
        <v>3607</v>
      </c>
      <c r="G237" s="799" t="str">
        <f t="shared" si="15"/>
        <v>Drury East IPA</v>
      </c>
      <c r="H237" s="799"/>
      <c r="I237" s="799" t="s">
        <v>5444</v>
      </c>
      <c r="J237" t="str">
        <f t="shared" si="12"/>
        <v>PTR</v>
      </c>
    </row>
    <row r="238" spans="1:10">
      <c r="A238" s="799" t="s">
        <v>1055</v>
      </c>
      <c r="B238" s="799" t="s">
        <v>6701</v>
      </c>
      <c r="C238" s="799" t="str">
        <f t="shared" ref="C238:C244" si="16">A238&amp;" - "&amp;B238</f>
        <v>Public Transport - Drury West 1 IPA</v>
      </c>
      <c r="D238" s="799" t="s">
        <v>2833</v>
      </c>
      <c r="E238" s="799" t="str">
        <f t="shared" ref="E238:E244" si="17">+C238</f>
        <v>Public Transport - Drury West 1 IPA</v>
      </c>
      <c r="F238" s="799" t="s">
        <v>3607</v>
      </c>
      <c r="G238" s="799" t="str">
        <f t="shared" ref="G238:G244" si="18">+B238</f>
        <v>Drury West 1 IPA</v>
      </c>
      <c r="H238" s="799"/>
      <c r="I238" s="799" t="s">
        <v>5444</v>
      </c>
      <c r="J238" t="str">
        <f t="shared" ref="J238:J244" si="19">TRIM(LEFT(D238,3))</f>
        <v>PTR</v>
      </c>
    </row>
    <row r="239" spans="1:10">
      <c r="A239" s="799" t="s">
        <v>1055</v>
      </c>
      <c r="B239" s="799" t="s">
        <v>6702</v>
      </c>
      <c r="C239" s="799" t="str">
        <f t="shared" si="16"/>
        <v>Public Transport - Drury West 2 IPA</v>
      </c>
      <c r="D239" s="799" t="s">
        <v>2834</v>
      </c>
      <c r="E239" s="799" t="str">
        <f t="shared" si="17"/>
        <v>Public Transport - Drury West 2 IPA</v>
      </c>
      <c r="F239" s="799" t="s">
        <v>3607</v>
      </c>
      <c r="G239" s="799" t="str">
        <f t="shared" si="18"/>
        <v>Drury West 2 IPA</v>
      </c>
      <c r="H239" s="799"/>
      <c r="I239" s="799" t="s">
        <v>5444</v>
      </c>
      <c r="J239" t="str">
        <f t="shared" si="19"/>
        <v>PTR</v>
      </c>
    </row>
    <row r="240" spans="1:10">
      <c r="A240" s="799" t="s">
        <v>1055</v>
      </c>
      <c r="B240" s="799" t="s">
        <v>6703</v>
      </c>
      <c r="C240" s="799" t="str">
        <f t="shared" si="16"/>
        <v>Public Transport - Opaheke IPA</v>
      </c>
      <c r="D240" s="799" t="s">
        <v>2835</v>
      </c>
      <c r="E240" s="799" t="str">
        <f t="shared" si="17"/>
        <v>Public Transport - Opaheke IPA</v>
      </c>
      <c r="F240" s="799" t="s">
        <v>3607</v>
      </c>
      <c r="G240" s="799" t="str">
        <f t="shared" si="18"/>
        <v>Opaheke IPA</v>
      </c>
      <c r="H240" s="799"/>
      <c r="I240" s="799" t="s">
        <v>5444</v>
      </c>
      <c r="J240" t="str">
        <f t="shared" si="19"/>
        <v>PTR</v>
      </c>
    </row>
    <row r="241" spans="1:13">
      <c r="A241" s="799" t="s">
        <v>1055</v>
      </c>
      <c r="B241" s="799" t="s">
        <v>6896</v>
      </c>
      <c r="C241" s="799" t="str">
        <f t="shared" si="16"/>
        <v>Public Transport - Southern Growth Area 3</v>
      </c>
      <c r="D241" s="799" t="s">
        <v>2836</v>
      </c>
      <c r="E241" s="799" t="str">
        <f t="shared" si="17"/>
        <v>Public Transport - Southern Growth Area 3</v>
      </c>
      <c r="F241" s="799" t="s">
        <v>3607</v>
      </c>
      <c r="G241" s="799" t="str">
        <f t="shared" si="18"/>
        <v>Southern Growth Area 3</v>
      </c>
      <c r="H241" s="799"/>
      <c r="I241" s="799" t="s">
        <v>5444</v>
      </c>
      <c r="J241" t="str">
        <f t="shared" si="19"/>
        <v>PTR</v>
      </c>
    </row>
    <row r="242" spans="1:13">
      <c r="A242" s="799" t="s">
        <v>1055</v>
      </c>
      <c r="B242" s="799" t="s">
        <v>6897</v>
      </c>
      <c r="C242" s="799" t="str">
        <f t="shared" si="16"/>
        <v>Public Transport - Southern Growth Area 2</v>
      </c>
      <c r="D242" s="799" t="s">
        <v>2837</v>
      </c>
      <c r="E242" s="799" t="str">
        <f t="shared" si="17"/>
        <v>Public Transport - Southern Growth Area 2</v>
      </c>
      <c r="F242" s="799" t="s">
        <v>3607</v>
      </c>
      <c r="G242" s="799" t="str">
        <f t="shared" si="18"/>
        <v>Southern Growth Area 2</v>
      </c>
      <c r="H242" s="799"/>
      <c r="I242" s="799" t="s">
        <v>5444</v>
      </c>
      <c r="J242" t="str">
        <f t="shared" si="19"/>
        <v>PTR</v>
      </c>
    </row>
    <row r="243" spans="1:13">
      <c r="A243" s="799" t="s">
        <v>1055</v>
      </c>
      <c r="B243" s="799" t="s">
        <v>6898</v>
      </c>
      <c r="C243" s="799" t="str">
        <f t="shared" si="16"/>
        <v>Public Transport - Southern Growth Area 1</v>
      </c>
      <c r="D243" s="799" t="s">
        <v>2838</v>
      </c>
      <c r="E243" s="799" t="str">
        <f t="shared" si="17"/>
        <v>Public Transport - Southern Growth Area 1</v>
      </c>
      <c r="F243" s="799" t="s">
        <v>3607</v>
      </c>
      <c r="G243" s="799" t="str">
        <f t="shared" si="18"/>
        <v>Southern Growth Area 1</v>
      </c>
      <c r="H243" s="799"/>
      <c r="I243" s="799" t="s">
        <v>5444</v>
      </c>
      <c r="J243" t="str">
        <f t="shared" si="19"/>
        <v>PTR</v>
      </c>
      <c r="K243" s="207"/>
      <c r="L243" s="207"/>
      <c r="M243" s="207"/>
    </row>
    <row r="244" spans="1:13">
      <c r="A244" s="799" t="s">
        <v>1055</v>
      </c>
      <c r="B244" s="799" t="s">
        <v>2687</v>
      </c>
      <c r="C244" s="799" t="str">
        <f t="shared" si="16"/>
        <v>Public Transport - Area 30</v>
      </c>
      <c r="D244" s="799" t="s">
        <v>2839</v>
      </c>
      <c r="E244" s="799" t="str">
        <f t="shared" si="17"/>
        <v>Public Transport - Area 30</v>
      </c>
      <c r="F244" s="799" t="s">
        <v>3607</v>
      </c>
      <c r="G244" s="799" t="str">
        <f t="shared" si="18"/>
        <v>Area 30</v>
      </c>
      <c r="H244" s="799"/>
      <c r="I244" s="799" t="s">
        <v>5444</v>
      </c>
      <c r="J244" t="str">
        <f t="shared" si="19"/>
        <v>PTR</v>
      </c>
      <c r="K244" s="207"/>
      <c r="L244" s="207"/>
      <c r="M244" s="207"/>
    </row>
    <row r="245" spans="1:13">
      <c r="A245" s="301"/>
      <c r="B245" s="301"/>
      <c r="C245" s="301"/>
      <c r="D245" s="301"/>
      <c r="E245" s="301"/>
      <c r="F245" s="301"/>
      <c r="J245" s="124"/>
      <c r="K245" s="207"/>
      <c r="L245" s="207"/>
      <c r="M245" s="207"/>
    </row>
    <row r="246" spans="1:13">
      <c r="A246" s="301" t="s">
        <v>4336</v>
      </c>
      <c r="B246" s="301"/>
      <c r="C246" s="301"/>
      <c r="D246" s="301"/>
      <c r="E246" s="301"/>
      <c r="F246" s="301"/>
      <c r="J246" s="124"/>
      <c r="K246" s="207"/>
      <c r="L246" s="207"/>
      <c r="M246" s="207"/>
    </row>
    <row r="247" spans="1:13">
      <c r="A247" s="301" t="s">
        <v>3056</v>
      </c>
      <c r="B247" s="301"/>
      <c r="C247" s="301"/>
      <c r="D247" s="301"/>
      <c r="E247" s="301"/>
      <c r="F247" s="301"/>
      <c r="J247" s="124"/>
      <c r="K247" s="207"/>
      <c r="L247" s="207"/>
      <c r="M247" s="207"/>
    </row>
    <row r="248" spans="1:13">
      <c r="A248" s="301" t="s">
        <v>3049</v>
      </c>
      <c r="B248" s="301"/>
      <c r="C248" s="301"/>
      <c r="D248" s="301"/>
      <c r="E248" s="301"/>
      <c r="F248" s="301"/>
      <c r="J248" s="124"/>
      <c r="K248" s="207"/>
      <c r="L248" s="207"/>
      <c r="M248" s="207"/>
    </row>
    <row r="249" spans="1:13" ht="13">
      <c r="K249" s="329"/>
      <c r="L249" s="329"/>
      <c r="M249" s="329"/>
    </row>
  </sheetData>
  <autoFilter ref="A1:J237" xr:uid="{5D03FF86-E9C9-4D8B-8D89-E4879D800DC6}"/>
  <phoneticPr fontId="7" type="noConversion"/>
  <pageMargins left="0.51181102362204722" right="0.31496062992125984" top="0.55118110236220474" bottom="0.74803149606299213" header="0.31496062992125984" footer="0.31496062992125984"/>
  <pageSetup paperSize="8" scale="85" fitToHeight="8" orientation="landscape" r:id="rId1"/>
  <headerFooter>
    <oddFooter>&amp;L&amp;F&amp;C&amp;A&amp;RPage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B73FE-D71E-4E8F-88FE-4A5CF5BB187D}">
  <sheetPr codeName="Sheet40">
    <tabColor rgb="FFA9D08E"/>
    <pageSetUpPr fitToPage="1"/>
  </sheetPr>
  <dimension ref="A1:CF413"/>
  <sheetViews>
    <sheetView topLeftCell="K140" zoomScaleNormal="100" workbookViewId="0">
      <selection activeCell="AC148" sqref="AC148"/>
    </sheetView>
  </sheetViews>
  <sheetFormatPr defaultColWidth="8.7265625" defaultRowHeight="13"/>
  <cols>
    <col min="1" max="1" width="28.54296875" style="58" customWidth="1"/>
    <col min="2" max="2" width="11.453125" style="58" customWidth="1"/>
    <col min="3" max="3" width="8.7265625" style="58"/>
    <col min="4" max="4" width="14.54296875" style="58" bestFit="1" customWidth="1"/>
    <col min="5" max="5" width="16.54296875" style="58" customWidth="1"/>
    <col min="6" max="6" width="57.453125" style="58" customWidth="1"/>
    <col min="7" max="7" width="67.453125" style="58" customWidth="1"/>
    <col min="8" max="8" width="17.453125" style="58" customWidth="1"/>
    <col min="9" max="9" width="19.54296875" style="58" customWidth="1"/>
    <col min="10" max="10" width="27.54296875" style="58" customWidth="1"/>
    <col min="11" max="11" width="35.453125" style="58" customWidth="1"/>
    <col min="12" max="17" width="9.26953125" style="58" bestFit="1" customWidth="1"/>
    <col min="18" max="18" width="11.54296875" style="58" customWidth="1"/>
    <col min="19" max="19" width="13" style="58" customWidth="1"/>
    <col min="20" max="20" width="13.81640625" style="58" customWidth="1"/>
    <col min="21" max="21" width="11.81640625" style="58" bestFit="1" customWidth="1"/>
    <col min="22" max="23" width="12" style="58" bestFit="1" customWidth="1"/>
    <col min="24" max="25" width="11.81640625" style="58" bestFit="1" customWidth="1"/>
    <col min="26" max="26" width="16.7265625" style="58" customWidth="1"/>
    <col min="27" max="28" width="12.81640625" style="58" customWidth="1"/>
    <col min="29" max="29" width="15.453125" style="58" customWidth="1"/>
    <col min="30" max="30" width="8.7265625" style="58"/>
    <col min="31" max="31" width="3.1796875" style="58" customWidth="1"/>
    <col min="32" max="32" width="13.54296875" style="58" customWidth="1"/>
    <col min="33" max="33" width="13.1796875" style="58" customWidth="1"/>
    <col min="34" max="34" width="8.1796875" style="58" customWidth="1"/>
    <col min="35" max="35" width="13.7265625" style="58" customWidth="1"/>
    <col min="36" max="36" width="14.453125" style="58" customWidth="1"/>
    <col min="37" max="37" width="13" style="58" customWidth="1"/>
    <col min="38" max="38" width="12.453125" style="58" customWidth="1"/>
    <col min="39" max="47" width="11.453125" style="58" customWidth="1"/>
    <col min="48" max="48" width="13.1796875" style="58" customWidth="1"/>
    <col min="49" max="49" width="11.7265625" style="58" bestFit="1" customWidth="1"/>
    <col min="50" max="50" width="9.26953125" style="58" bestFit="1" customWidth="1"/>
    <col min="51" max="51" width="1.26953125" style="58" customWidth="1"/>
    <col min="52" max="52" width="11.453125" style="58" customWidth="1"/>
    <col min="53" max="54" width="11.7265625" style="58" customWidth="1"/>
    <col min="55" max="55" width="12.26953125" style="58" customWidth="1"/>
    <col min="56" max="56" width="10.54296875" style="58" customWidth="1"/>
    <col min="57" max="57" width="10.81640625" style="58" customWidth="1"/>
    <col min="58" max="60" width="12.1796875" style="58" customWidth="1"/>
    <col min="61" max="61" width="11.81640625" style="58" customWidth="1"/>
    <col min="62" max="62" width="13.7265625" style="58" customWidth="1"/>
    <col min="63" max="63" width="8.7265625" style="58"/>
    <col min="64" max="64" width="57" style="867" hidden="1" customWidth="1"/>
    <col min="65" max="65" width="8.7265625" style="867" hidden="1" customWidth="1"/>
    <col min="66" max="66" width="11.453125" style="867" hidden="1" customWidth="1"/>
    <col min="67" max="67" width="13" style="867" hidden="1" customWidth="1"/>
    <col min="68" max="68" width="9.453125" style="867" hidden="1" customWidth="1"/>
    <col min="69" max="69" width="14.54296875" style="867" hidden="1" customWidth="1"/>
    <col min="70" max="70" width="14.26953125" style="867" hidden="1" customWidth="1"/>
    <col min="71" max="71" width="16.81640625" style="867" hidden="1" customWidth="1"/>
    <col min="72" max="72" width="16.81640625" style="867" customWidth="1"/>
    <col min="73" max="73" width="14.1796875" style="867" customWidth="1"/>
    <col min="74" max="74" width="12.54296875" style="58" customWidth="1"/>
    <col min="75" max="16384" width="8.7265625" style="58"/>
  </cols>
  <sheetData>
    <row r="1" spans="1:84">
      <c r="A1" s="726" t="str">
        <f>"Planned capex for " &amp; B6 &amp; "-" &amp; (B6+10) &amp; " LTP"</f>
        <v>Planned capex for 2021-2031 LTP</v>
      </c>
      <c r="E1" s="58">
        <v>1</v>
      </c>
      <c r="F1" s="58">
        <f>+E1+1</f>
        <v>2</v>
      </c>
      <c r="G1" s="58">
        <f t="shared" ref="G1:BQ1" si="0">+F1+1</f>
        <v>3</v>
      </c>
      <c r="H1" s="58">
        <f t="shared" si="0"/>
        <v>4</v>
      </c>
      <c r="I1" s="58">
        <f t="shared" si="0"/>
        <v>5</v>
      </c>
      <c r="J1" s="58">
        <f t="shared" si="0"/>
        <v>6</v>
      </c>
      <c r="K1" s="58">
        <f t="shared" si="0"/>
        <v>7</v>
      </c>
      <c r="L1" s="58">
        <f t="shared" si="0"/>
        <v>8</v>
      </c>
      <c r="M1" s="58">
        <f t="shared" si="0"/>
        <v>9</v>
      </c>
      <c r="N1" s="58">
        <f t="shared" si="0"/>
        <v>10</v>
      </c>
      <c r="O1" s="58">
        <f t="shared" si="0"/>
        <v>11</v>
      </c>
      <c r="P1" s="58">
        <f t="shared" si="0"/>
        <v>12</v>
      </c>
      <c r="Q1" s="58">
        <f t="shared" si="0"/>
        <v>13</v>
      </c>
      <c r="R1" s="58">
        <f t="shared" si="0"/>
        <v>14</v>
      </c>
      <c r="S1" s="58">
        <f t="shared" si="0"/>
        <v>15</v>
      </c>
      <c r="T1" s="58">
        <f t="shared" si="0"/>
        <v>16</v>
      </c>
      <c r="U1" s="58">
        <f t="shared" si="0"/>
        <v>17</v>
      </c>
      <c r="V1" s="58">
        <f t="shared" si="0"/>
        <v>18</v>
      </c>
      <c r="W1" s="58">
        <f t="shared" si="0"/>
        <v>19</v>
      </c>
      <c r="X1" s="58">
        <f t="shared" si="0"/>
        <v>20</v>
      </c>
      <c r="Y1" s="58">
        <f t="shared" si="0"/>
        <v>21</v>
      </c>
      <c r="Z1" s="58">
        <f t="shared" si="0"/>
        <v>22</v>
      </c>
      <c r="AA1" s="58">
        <f t="shared" si="0"/>
        <v>23</v>
      </c>
      <c r="AB1" s="58">
        <f t="shared" si="0"/>
        <v>24</v>
      </c>
      <c r="AC1" s="58">
        <f t="shared" si="0"/>
        <v>25</v>
      </c>
      <c r="AD1" s="58">
        <f t="shared" si="0"/>
        <v>26</v>
      </c>
      <c r="AE1" s="58">
        <f t="shared" ref="AE1" si="1">+AD1+1</f>
        <v>27</v>
      </c>
      <c r="AF1" s="58">
        <f t="shared" ref="AF1" si="2">+AE1+1</f>
        <v>28</v>
      </c>
      <c r="AG1" s="58">
        <f t="shared" ref="AG1" si="3">+AF1+1</f>
        <v>29</v>
      </c>
      <c r="AH1" s="58">
        <f t="shared" ref="AH1" si="4">+AG1+1</f>
        <v>30</v>
      </c>
      <c r="AI1" s="58">
        <f t="shared" ref="AI1" si="5">+AH1+1</f>
        <v>31</v>
      </c>
      <c r="AJ1" s="58">
        <f t="shared" ref="AJ1" si="6">+AI1+1</f>
        <v>32</v>
      </c>
      <c r="AK1" s="58">
        <f t="shared" ref="AK1" si="7">+AJ1+1</f>
        <v>33</v>
      </c>
      <c r="AL1" s="58">
        <f t="shared" ref="AL1" si="8">+AK1+1</f>
        <v>34</v>
      </c>
      <c r="AM1" s="58">
        <f t="shared" ref="AM1" si="9">+AL1+1</f>
        <v>35</v>
      </c>
      <c r="AN1" s="58">
        <f t="shared" ref="AN1" si="10">+AM1+1</f>
        <v>36</v>
      </c>
      <c r="AO1" s="58">
        <f t="shared" ref="AO1" si="11">+AN1+1</f>
        <v>37</v>
      </c>
      <c r="AP1" s="58">
        <f t="shared" ref="AP1" si="12">+AO1+1</f>
        <v>38</v>
      </c>
      <c r="AQ1" s="58">
        <f t="shared" ref="AQ1" si="13">+AP1+1</f>
        <v>39</v>
      </c>
      <c r="AR1" s="58">
        <f t="shared" ref="AR1" si="14">+AQ1+1</f>
        <v>40</v>
      </c>
      <c r="AS1" s="58">
        <f t="shared" ref="AS1" si="15">+AR1+1</f>
        <v>41</v>
      </c>
      <c r="AT1" s="58">
        <f t="shared" ref="AT1" si="16">+AS1+1</f>
        <v>42</v>
      </c>
      <c r="AU1" s="58">
        <f t="shared" ref="AU1" si="17">+AT1+1</f>
        <v>43</v>
      </c>
      <c r="AV1" s="58">
        <f t="shared" ref="AV1" si="18">+AU1+1</f>
        <v>44</v>
      </c>
      <c r="AW1" s="58">
        <f t="shared" ref="AW1" si="19">+AV1+1</f>
        <v>45</v>
      </c>
      <c r="AX1" s="58">
        <f t="shared" ref="AX1" si="20">+AW1+1</f>
        <v>46</v>
      </c>
      <c r="AY1" s="58">
        <f t="shared" ref="AY1" si="21">+AX1+1</f>
        <v>47</v>
      </c>
      <c r="AZ1" s="58">
        <f t="shared" ref="AZ1" si="22">+AY1+1</f>
        <v>48</v>
      </c>
      <c r="BA1" s="58">
        <f t="shared" ref="BA1" si="23">+AZ1+1</f>
        <v>49</v>
      </c>
      <c r="BB1" s="58">
        <f t="shared" ref="BB1" si="24">+BA1+1</f>
        <v>50</v>
      </c>
      <c r="BC1" s="58">
        <f t="shared" ref="BC1" si="25">+BB1+1</f>
        <v>51</v>
      </c>
      <c r="BD1" s="58">
        <f t="shared" ref="BD1" si="26">+BC1+1</f>
        <v>52</v>
      </c>
      <c r="BE1" s="58">
        <f t="shared" ref="BE1" si="27">+BD1+1</f>
        <v>53</v>
      </c>
      <c r="BF1" s="58">
        <f t="shared" ref="BF1" si="28">+BE1+1</f>
        <v>54</v>
      </c>
      <c r="BG1" s="58">
        <f t="shared" ref="BG1" si="29">+BF1+1</f>
        <v>55</v>
      </c>
      <c r="BH1" s="58">
        <f t="shared" ref="BH1" si="30">+BG1+1</f>
        <v>56</v>
      </c>
      <c r="BI1" s="58">
        <f t="shared" ref="BI1" si="31">+BH1+1</f>
        <v>57</v>
      </c>
      <c r="BJ1" s="58">
        <f t="shared" ref="BJ1" si="32">+BI1+1</f>
        <v>58</v>
      </c>
      <c r="BK1" s="58">
        <f t="shared" ref="BK1" si="33">+BJ1+1</f>
        <v>59</v>
      </c>
      <c r="BL1" s="867">
        <f t="shared" si="0"/>
        <v>60</v>
      </c>
      <c r="BM1" s="867">
        <f t="shared" si="0"/>
        <v>61</v>
      </c>
      <c r="BN1" s="867">
        <f t="shared" si="0"/>
        <v>62</v>
      </c>
      <c r="BO1" s="867">
        <f t="shared" si="0"/>
        <v>63</v>
      </c>
      <c r="BP1" s="867">
        <f t="shared" si="0"/>
        <v>64</v>
      </c>
      <c r="BQ1" s="867">
        <f t="shared" si="0"/>
        <v>65</v>
      </c>
      <c r="BR1" s="867">
        <f t="shared" ref="BR1" si="34">+BQ1+1</f>
        <v>66</v>
      </c>
    </row>
    <row r="2" spans="1:84">
      <c r="A2" s="843"/>
    </row>
    <row r="3" spans="1:84">
      <c r="A3" s="844" t="s">
        <v>5550</v>
      </c>
    </row>
    <row r="4" spans="1:84">
      <c r="A4" s="844" t="s">
        <v>5549</v>
      </c>
    </row>
    <row r="5" spans="1:84">
      <c r="AI5" s="845" t="s">
        <v>5551</v>
      </c>
    </row>
    <row r="6" spans="1:84" ht="24" customHeight="1">
      <c r="A6" s="844" t="s">
        <v>5553</v>
      </c>
      <c r="B6" s="846">
        <v>2021</v>
      </c>
      <c r="AI6" s="846">
        <v>2031</v>
      </c>
      <c r="AJ6" s="891"/>
      <c r="AL6" s="922" t="s">
        <v>7030</v>
      </c>
      <c r="AM6" s="923"/>
      <c r="AN6" s="923"/>
      <c r="AO6" s="923"/>
      <c r="AP6" s="923"/>
      <c r="AQ6" s="923"/>
      <c r="AR6" s="923"/>
      <c r="AS6" s="923"/>
      <c r="AT6" s="923"/>
      <c r="AU6" s="923"/>
      <c r="AV6" s="923"/>
      <c r="AZ6" s="922" t="s">
        <v>7038</v>
      </c>
      <c r="BA6" s="923"/>
      <c r="BB6" s="923"/>
      <c r="BC6" s="923"/>
      <c r="BD6" s="923"/>
      <c r="BE6" s="923"/>
      <c r="BF6" s="923"/>
      <c r="BG6" s="923"/>
      <c r="BH6" s="923"/>
      <c r="BI6" s="923"/>
      <c r="BJ6" s="923"/>
    </row>
    <row r="7" spans="1:84" ht="104">
      <c r="A7" s="865" t="s">
        <v>5453</v>
      </c>
      <c r="B7" s="865" t="s">
        <v>2000</v>
      </c>
      <c r="C7" s="865" t="s">
        <v>5454</v>
      </c>
      <c r="D7" s="865" t="s">
        <v>5455</v>
      </c>
      <c r="E7" s="865" t="s">
        <v>7016</v>
      </c>
      <c r="F7" s="865" t="s">
        <v>5457</v>
      </c>
      <c r="G7" s="865" t="s">
        <v>5458</v>
      </c>
      <c r="H7" s="865" t="s">
        <v>5459</v>
      </c>
      <c r="I7" s="865" t="s">
        <v>5460</v>
      </c>
      <c r="J7" s="892" t="s">
        <v>5471</v>
      </c>
      <c r="K7" s="865" t="s">
        <v>5461</v>
      </c>
      <c r="L7" s="865" t="s">
        <v>5462</v>
      </c>
      <c r="M7" s="865" t="s">
        <v>5463</v>
      </c>
      <c r="N7" s="865" t="s">
        <v>5464</v>
      </c>
      <c r="O7" s="865" t="s">
        <v>5465</v>
      </c>
      <c r="P7" s="865" t="s">
        <v>5466</v>
      </c>
      <c r="Q7" s="865" t="s">
        <v>7045</v>
      </c>
      <c r="R7" s="865" t="s">
        <v>5467</v>
      </c>
      <c r="S7" s="865" t="s">
        <v>7017</v>
      </c>
      <c r="T7" s="865" t="s">
        <v>7018</v>
      </c>
      <c r="U7" s="865" t="s">
        <v>7019</v>
      </c>
      <c r="V7" s="865" t="s">
        <v>7020</v>
      </c>
      <c r="W7" s="865" t="s">
        <v>7021</v>
      </c>
      <c r="X7" s="865" t="s">
        <v>7022</v>
      </c>
      <c r="Y7" s="865" t="s">
        <v>7022</v>
      </c>
      <c r="Z7" s="865" t="s">
        <v>7023</v>
      </c>
      <c r="AA7" s="865" t="s">
        <v>7024</v>
      </c>
      <c r="AB7" s="865" t="s">
        <v>7025</v>
      </c>
      <c r="AC7" s="865" t="s">
        <v>7026</v>
      </c>
      <c r="AD7" s="865" t="s">
        <v>5468</v>
      </c>
      <c r="AE7" s="847" t="s">
        <v>3626</v>
      </c>
      <c r="AF7" s="893" t="s">
        <v>5469</v>
      </c>
      <c r="AG7" s="893" t="s">
        <v>93</v>
      </c>
      <c r="AH7" s="893" t="s">
        <v>5470</v>
      </c>
      <c r="AI7" s="893" t="s">
        <v>7048</v>
      </c>
      <c r="AJ7" s="893" t="s">
        <v>7049</v>
      </c>
      <c r="AK7" s="893" t="s">
        <v>5548</v>
      </c>
      <c r="AL7" s="894" t="s">
        <v>7027</v>
      </c>
      <c r="AM7" s="894" t="s">
        <v>7028</v>
      </c>
      <c r="AN7" s="894" t="s">
        <v>7029</v>
      </c>
      <c r="AO7" s="894" t="s">
        <v>7031</v>
      </c>
      <c r="AP7" s="894" t="s">
        <v>7032</v>
      </c>
      <c r="AQ7" s="894" t="s">
        <v>7033</v>
      </c>
      <c r="AR7" s="894" t="s">
        <v>7034</v>
      </c>
      <c r="AS7" s="894" t="s">
        <v>7035</v>
      </c>
      <c r="AT7" s="894" t="s">
        <v>7036</v>
      </c>
      <c r="AU7" s="894" t="s">
        <v>7037</v>
      </c>
      <c r="AV7" s="895" t="s">
        <v>7046</v>
      </c>
      <c r="AW7" s="893" t="s">
        <v>5472</v>
      </c>
      <c r="AX7" s="893" t="s">
        <v>5473</v>
      </c>
      <c r="AY7" s="896" t="s">
        <v>3626</v>
      </c>
      <c r="AZ7" s="894" t="s">
        <v>7027</v>
      </c>
      <c r="BA7" s="894" t="s">
        <v>7028</v>
      </c>
      <c r="BB7" s="894" t="s">
        <v>7029</v>
      </c>
      <c r="BC7" s="894" t="s">
        <v>7031</v>
      </c>
      <c r="BD7" s="894" t="s">
        <v>7032</v>
      </c>
      <c r="BE7" s="894" t="s">
        <v>7033</v>
      </c>
      <c r="BF7" s="894" t="s">
        <v>7034</v>
      </c>
      <c r="BG7" s="894" t="s">
        <v>7035</v>
      </c>
      <c r="BH7" s="894" t="s">
        <v>7036</v>
      </c>
      <c r="BI7" s="894" t="s">
        <v>7037</v>
      </c>
      <c r="BJ7" s="895" t="s">
        <v>7047</v>
      </c>
      <c r="BK7" s="894" t="s">
        <v>5565</v>
      </c>
      <c r="BL7" s="881" t="s">
        <v>5568</v>
      </c>
      <c r="BM7" s="881" t="s">
        <v>5567</v>
      </c>
      <c r="BR7" s="868" t="s">
        <v>7001</v>
      </c>
      <c r="BS7" s="868" t="s">
        <v>6981</v>
      </c>
      <c r="BT7" s="899" t="s">
        <v>6979</v>
      </c>
      <c r="BU7" s="899" t="s">
        <v>6980</v>
      </c>
    </row>
    <row r="8" spans="1:84" ht="26">
      <c r="A8" s="848"/>
      <c r="B8" s="848" t="s">
        <v>896</v>
      </c>
      <c r="C8" s="848"/>
      <c r="D8" s="848"/>
      <c r="E8" s="848" t="s">
        <v>6864</v>
      </c>
      <c r="F8" s="866" t="s">
        <v>6865</v>
      </c>
      <c r="G8" s="866" t="s">
        <v>6866</v>
      </c>
      <c r="H8" s="866"/>
      <c r="I8" s="866"/>
      <c r="J8" s="866"/>
      <c r="K8" s="866" t="s">
        <v>6710</v>
      </c>
      <c r="L8" s="866"/>
      <c r="M8" s="866"/>
      <c r="N8" s="866"/>
      <c r="O8" s="866"/>
      <c r="P8" s="866"/>
      <c r="Q8" s="897">
        <v>0.9569224105305032</v>
      </c>
      <c r="R8" s="848">
        <v>2060</v>
      </c>
      <c r="S8" s="850">
        <v>0</v>
      </c>
      <c r="T8" s="850">
        <v>0</v>
      </c>
      <c r="U8" s="850">
        <v>0</v>
      </c>
      <c r="V8" s="850">
        <v>0</v>
      </c>
      <c r="W8" s="850">
        <v>0</v>
      </c>
      <c r="X8" s="850">
        <v>0</v>
      </c>
      <c r="Y8" s="850">
        <v>0</v>
      </c>
      <c r="Z8" s="850">
        <v>0</v>
      </c>
      <c r="AA8" s="850">
        <v>0</v>
      </c>
      <c r="AB8" s="850">
        <v>7231748.2038296554</v>
      </c>
      <c r="AC8" s="898">
        <f>SUM(S8:AB8)</f>
        <v>7231748.2038296554</v>
      </c>
      <c r="AD8" s="848"/>
      <c r="AF8" s="58" t="str">
        <f>IFERROR(VLOOKUP(K8,FA_Codes!C:F,2,FALSE),"CHECK")</f>
        <v>TRA A23</v>
      </c>
      <c r="AG8" s="851">
        <f t="shared" ref="AG8:AG39" si="35">AC8-AD8</f>
        <v>7231748.2038296554</v>
      </c>
      <c r="AH8" s="58" t="str">
        <f>IFERROR(VLOOKUP(AF8,FA_Codes!D:F,3,FALSE),"CHECK")</f>
        <v>Local</v>
      </c>
      <c r="AI8" s="852">
        <v>7.8663793103448273E-2</v>
      </c>
      <c r="AJ8" s="853">
        <f>1-AI8</f>
        <v>0.92133620689655171</v>
      </c>
      <c r="AK8" s="854">
        <f t="shared" ref="AK8:AK39" si="36">AG8*(1-Q8)</f>
        <v>311526.28027134476</v>
      </c>
      <c r="AL8" s="854">
        <f t="shared" ref="AL8:AL39" si="37">S8*$Q8*$AI8*(1-$AX8)</f>
        <v>0</v>
      </c>
      <c r="AM8" s="854">
        <f t="shared" ref="AM8:AM39" si="38">T8*$Q8*$AI8*(1-$AX8)</f>
        <v>0</v>
      </c>
      <c r="AN8" s="854">
        <f t="shared" ref="AN8:AN39" si="39">U8*$Q8*$AI8*(1-$AX8)</f>
        <v>0</v>
      </c>
      <c r="AO8" s="854">
        <f t="shared" ref="AO8:AO39" si="40">V8*$Q8*$AI8*(1-$AX8)</f>
        <v>0</v>
      </c>
      <c r="AP8" s="854">
        <f t="shared" ref="AP8:AP39" si="41">W8*$Q8*$AI8*(1-$AX8)</f>
        <v>0</v>
      </c>
      <c r="AQ8" s="854">
        <f t="shared" ref="AQ8:AQ39" si="42">X8*$Q8*$AI8*(1-$AX8)</f>
        <v>0</v>
      </c>
      <c r="AR8" s="854">
        <f t="shared" ref="AR8:AR39" si="43">Y8*$Q8*$AI8*(1-$AX8)</f>
        <v>0</v>
      </c>
      <c r="AS8" s="854">
        <f t="shared" ref="AS8:AS39" si="44">Z8*$Q8*$AI8*(1-$AX8)</f>
        <v>0</v>
      </c>
      <c r="AT8" s="854">
        <f t="shared" ref="AT8:AT39" si="45">AA8*$Q8*$AI8*(1-$AX8)</f>
        <v>0</v>
      </c>
      <c r="AU8" s="854">
        <f t="shared" ref="AU8:AU39" si="46">AB8*$Q8*$AI8*(1-$AX8)</f>
        <v>544370.90562473773</v>
      </c>
      <c r="AV8" s="854">
        <f>SUM(AL8:AU8)</f>
        <v>544370.90562473773</v>
      </c>
      <c r="AW8" s="854">
        <f t="shared" ref="AW8:AW39" si="47">AD8</f>
        <v>0</v>
      </c>
      <c r="AX8" s="855">
        <f t="shared" ref="AX8:AX39" si="48">IFERROR(AW8/AC8,0)</f>
        <v>0</v>
      </c>
      <c r="AZ8" s="854">
        <f t="shared" ref="AZ8:AZ39" si="49">S8*$Q8*$AJ8*(1-$AX8)</f>
        <v>0</v>
      </c>
      <c r="BA8" s="854">
        <f t="shared" ref="BA8:BA39" si="50">T8*$Q8*$AJ8*(1-$AX8)</f>
        <v>0</v>
      </c>
      <c r="BB8" s="854">
        <f t="shared" ref="BB8:BB39" si="51">U8*$Q8*$AJ8*(1-$AX8)</f>
        <v>0</v>
      </c>
      <c r="BC8" s="854">
        <f t="shared" ref="BC8:BC39" si="52">V8*$Q8*$AJ8*(1-$AX8)</f>
        <v>0</v>
      </c>
      <c r="BD8" s="854">
        <f t="shared" ref="BD8:BD39" si="53">W8*$Q8*$AJ8*(1-$AX8)</f>
        <v>0</v>
      </c>
      <c r="BE8" s="854">
        <f t="shared" ref="BE8:BE39" si="54">X8*$Q8*$AJ8*(1-$AX8)</f>
        <v>0</v>
      </c>
      <c r="BF8" s="854">
        <f t="shared" ref="BF8:BF39" si="55">Y8*$Q8*$AJ8*(1-$AX8)</f>
        <v>0</v>
      </c>
      <c r="BG8" s="854">
        <f t="shared" ref="BG8:BG39" si="56">Z8*$Q8*$AJ8*(1-$AX8)</f>
        <v>0</v>
      </c>
      <c r="BH8" s="854">
        <f t="shared" ref="BH8:BH39" si="57">AA8*$Q8*$AJ8*(1-$AX8)</f>
        <v>0</v>
      </c>
      <c r="BI8" s="854">
        <f t="shared" ref="BI8:BI39" si="58">AB8*$Q8*$AJ8*(1-$AX8)</f>
        <v>6375851.0179335726</v>
      </c>
      <c r="BJ8" s="854">
        <f>SUM(AZ8:BI8)</f>
        <v>6375851.0179335726</v>
      </c>
      <c r="BK8" s="58" t="str">
        <f>IF(ABS(AG8-BJ8-AV8-AK8)&lt;0.5,"OK","CHECK")</f>
        <v>OK</v>
      </c>
      <c r="BL8" s="878" t="str">
        <f t="shared" ref="BL8:BL39" si="59">IF($Q8=0,"",F8&amp;" "&amp;AF8&amp;" "&amp;Q8&amp;" "&amp;R8&amp;" "&amp;AI8)</f>
        <v>Western end of Brookefield Road Extension tie in with Quarry Rd TRA A23 0.956922410530503 2060 0.0786637931034483</v>
      </c>
      <c r="BM8" s="870">
        <f t="shared" ref="BM8:BM39" si="60">COUNTIF($BL$8:$BL$149,BL8)</f>
        <v>1</v>
      </c>
      <c r="BN8" s="869">
        <f>+BJ8+AV8</f>
        <v>6920221.9235583106</v>
      </c>
      <c r="BO8" s="870">
        <f>IFERROR(VLOOKUP(AF8,FA_Codes!D:H,5,FALSE),"CHECK")</f>
        <v>0</v>
      </c>
      <c r="BP8" s="870" t="str">
        <f t="shared" ref="BP8:BP39" si="61">TRIM(LEFT(AF8,3))</f>
        <v>TRA</v>
      </c>
      <c r="BQ8" s="869">
        <f t="shared" ref="BQ8:BQ39" si="62">IF(AC8&gt;0,+AC8,0)</f>
        <v>7231748.2038296554</v>
      </c>
      <c r="BR8" s="870" t="str">
        <f t="shared" ref="BR8:BR39" si="63">IF(RIGHT(E8,11)=" WK subsidy",LEFT(E8,LEN(E8)-11),E8)</f>
        <v>14a TRA A23</v>
      </c>
      <c r="BS8" s="870" t="str">
        <f>IFERROR(LEFT(BR8,LEN(BR8)-8)*1,LEFT(BR8,LEN(BR8)-8))</f>
        <v>14a</v>
      </c>
      <c r="BT8" s="870" t="s">
        <v>6991</v>
      </c>
      <c r="BU8" s="870">
        <f t="shared" ref="BU8:BU39" si="64">+R8</f>
        <v>2060</v>
      </c>
      <c r="BV8" s="153"/>
      <c r="BW8" s="153"/>
      <c r="BX8" s="153"/>
      <c r="BY8" s="153"/>
      <c r="BZ8" s="153"/>
      <c r="CA8" s="153"/>
      <c r="CB8" s="153"/>
      <c r="CC8" s="153"/>
      <c r="CD8" s="153"/>
      <c r="CE8" s="153"/>
      <c r="CF8" s="153"/>
    </row>
    <row r="9" spans="1:84" ht="26">
      <c r="A9" s="848"/>
      <c r="B9" s="848" t="s">
        <v>896</v>
      </c>
      <c r="C9" s="848"/>
      <c r="D9" s="848"/>
      <c r="E9" s="848" t="s">
        <v>6867</v>
      </c>
      <c r="F9" s="866" t="s">
        <v>6868</v>
      </c>
      <c r="G9" s="866" t="s">
        <v>6711</v>
      </c>
      <c r="H9" s="866"/>
      <c r="I9" s="866"/>
      <c r="J9" s="866"/>
      <c r="K9" s="866" t="s">
        <v>6710</v>
      </c>
      <c r="L9" s="866"/>
      <c r="M9" s="866"/>
      <c r="N9" s="866"/>
      <c r="O9" s="866"/>
      <c r="P9" s="866"/>
      <c r="Q9" s="897">
        <v>0.9569224105305032</v>
      </c>
      <c r="R9" s="848">
        <v>2060</v>
      </c>
      <c r="S9" s="850">
        <v>0</v>
      </c>
      <c r="T9" s="850">
        <v>0</v>
      </c>
      <c r="U9" s="850">
        <v>0</v>
      </c>
      <c r="V9" s="850">
        <v>0</v>
      </c>
      <c r="W9" s="850">
        <v>0</v>
      </c>
      <c r="X9" s="850">
        <v>0</v>
      </c>
      <c r="Y9" s="850">
        <v>0</v>
      </c>
      <c r="Z9" s="850">
        <v>0</v>
      </c>
      <c r="AA9" s="850">
        <v>1398663.9121011607</v>
      </c>
      <c r="AB9" s="850">
        <v>13895853.117989769</v>
      </c>
      <c r="AC9" s="898">
        <f t="shared" ref="AC9:AC72" si="65">SUM(S9:AB9)</f>
        <v>15294517.03009093</v>
      </c>
      <c r="AD9" s="848"/>
      <c r="AF9" s="58" t="str">
        <f>IFERROR(VLOOKUP(K9,FA_Codes!C:F,2,FALSE),"CHECK")</f>
        <v>TRA A23</v>
      </c>
      <c r="AG9" s="851">
        <f t="shared" si="35"/>
        <v>15294517.03009093</v>
      </c>
      <c r="AH9" s="58" t="str">
        <f>IFERROR(VLOOKUP(AF9,FA_Codes!D:F,3,FALSE),"CHECK")</f>
        <v>Local</v>
      </c>
      <c r="AI9" s="852">
        <v>7.8663793103448273E-2</v>
      </c>
      <c r="AJ9" s="853">
        <f t="shared" ref="AJ9:AJ72" si="66">1-AI9</f>
        <v>0.92133620689655171</v>
      </c>
      <c r="AK9" s="854">
        <f t="shared" si="36"/>
        <v>658850.9257564845</v>
      </c>
      <c r="AL9" s="854">
        <f t="shared" si="37"/>
        <v>0</v>
      </c>
      <c r="AM9" s="854">
        <f t="shared" si="38"/>
        <v>0</v>
      </c>
      <c r="AN9" s="854">
        <f t="shared" si="39"/>
        <v>0</v>
      </c>
      <c r="AO9" s="854">
        <f t="shared" si="40"/>
        <v>0</v>
      </c>
      <c r="AP9" s="854">
        <f t="shared" si="41"/>
        <v>0</v>
      </c>
      <c r="AQ9" s="854">
        <f t="shared" si="42"/>
        <v>0</v>
      </c>
      <c r="AR9" s="854">
        <f t="shared" si="43"/>
        <v>0</v>
      </c>
      <c r="AS9" s="854">
        <f t="shared" si="44"/>
        <v>0</v>
      </c>
      <c r="AT9" s="854">
        <f t="shared" si="45"/>
        <v>105284.63091288821</v>
      </c>
      <c r="AU9" s="854">
        <f t="shared" si="46"/>
        <v>1046012.3794496274</v>
      </c>
      <c r="AV9" s="854">
        <f t="shared" ref="AV9:AV72" si="67">SUM(AL9:AU9)</f>
        <v>1151297.0103625157</v>
      </c>
      <c r="AW9" s="854">
        <f t="shared" si="47"/>
        <v>0</v>
      </c>
      <c r="AX9" s="855">
        <f t="shared" si="48"/>
        <v>0</v>
      </c>
      <c r="AZ9" s="854">
        <f t="shared" si="49"/>
        <v>0</v>
      </c>
      <c r="BA9" s="854">
        <f t="shared" si="50"/>
        <v>0</v>
      </c>
      <c r="BB9" s="854">
        <f t="shared" si="51"/>
        <v>0</v>
      </c>
      <c r="BC9" s="854">
        <f t="shared" si="52"/>
        <v>0</v>
      </c>
      <c r="BD9" s="854">
        <f t="shared" si="53"/>
        <v>0</v>
      </c>
      <c r="BE9" s="854">
        <f t="shared" si="54"/>
        <v>0</v>
      </c>
      <c r="BF9" s="854">
        <f t="shared" si="55"/>
        <v>0</v>
      </c>
      <c r="BG9" s="854">
        <f t="shared" si="56"/>
        <v>0</v>
      </c>
      <c r="BH9" s="854">
        <f t="shared" si="57"/>
        <v>1233128.2113769783</v>
      </c>
      <c r="BI9" s="854">
        <f t="shared" si="58"/>
        <v>12251240.88259495</v>
      </c>
      <c r="BJ9" s="854">
        <f t="shared" ref="BJ9:BJ72" si="68">SUM(AZ9:BI9)</f>
        <v>13484369.093971929</v>
      </c>
      <c r="BK9" s="58" t="str">
        <f t="shared" ref="BK9:BK72" si="69">IF(ABS(AG9-BJ9-AV9-AK9)&lt;0.5,"OK","CHECK")</f>
        <v>OK</v>
      </c>
      <c r="BL9" s="878" t="str">
        <f t="shared" si="59"/>
        <v>GSR improvements - Waihoehoe Rd to Drury Interchange TRA A23 0.956922410530503 2060 0.0786637931034483</v>
      </c>
      <c r="BM9" s="870">
        <f t="shared" si="60"/>
        <v>2</v>
      </c>
      <c r="BN9" s="869">
        <f t="shared" ref="BN9:BN72" si="70">+BJ9+AV9</f>
        <v>14635666.104334444</v>
      </c>
      <c r="BO9" s="870">
        <f>IFERROR(VLOOKUP(AF9,FA_Codes!D:H,5,FALSE),"CHECK")</f>
        <v>0</v>
      </c>
      <c r="BP9" s="870" t="str">
        <f t="shared" si="61"/>
        <v>TRA</v>
      </c>
      <c r="BQ9" s="869">
        <f t="shared" si="62"/>
        <v>15294517.03009093</v>
      </c>
      <c r="BR9" s="870" t="str">
        <f t="shared" si="63"/>
        <v>1b TRA A23</v>
      </c>
      <c r="BS9" s="870" t="str">
        <f t="shared" ref="BS9:BS72" si="71">IFERROR(LEFT(BR9,LEN(BR9)-8)*1,LEFT(BR9,LEN(BR9)-8))</f>
        <v>1b</v>
      </c>
      <c r="BT9" s="870" t="s">
        <v>6992</v>
      </c>
      <c r="BU9" s="870">
        <f t="shared" si="64"/>
        <v>2060</v>
      </c>
      <c r="BV9" s="153"/>
      <c r="BW9" s="153"/>
      <c r="BX9" s="153"/>
      <c r="BY9" s="153"/>
      <c r="BZ9" s="153"/>
      <c r="CA9" s="153"/>
      <c r="CB9" s="153"/>
      <c r="CC9" s="153"/>
      <c r="CD9" s="153"/>
      <c r="CE9" s="153"/>
      <c r="CF9" s="153"/>
    </row>
    <row r="10" spans="1:84" ht="26">
      <c r="A10" s="848"/>
      <c r="B10" s="848" t="s">
        <v>896</v>
      </c>
      <c r="C10" s="848"/>
      <c r="D10" s="848"/>
      <c r="E10" s="848" t="s">
        <v>6707</v>
      </c>
      <c r="F10" s="866" t="s">
        <v>6708</v>
      </c>
      <c r="G10" s="866" t="s">
        <v>6709</v>
      </c>
      <c r="H10" s="866"/>
      <c r="I10" s="866"/>
      <c r="J10" s="866"/>
      <c r="K10" s="866" t="s">
        <v>6710</v>
      </c>
      <c r="L10" s="866"/>
      <c r="M10" s="866"/>
      <c r="N10" s="866"/>
      <c r="O10" s="866"/>
      <c r="P10" s="866"/>
      <c r="Q10" s="897">
        <v>0.9569224105305032</v>
      </c>
      <c r="R10" s="848">
        <v>2060</v>
      </c>
      <c r="S10" s="850">
        <v>0</v>
      </c>
      <c r="T10" s="850">
        <v>0</v>
      </c>
      <c r="U10" s="850">
        <v>0</v>
      </c>
      <c r="V10" s="850">
        <v>0</v>
      </c>
      <c r="W10" s="850">
        <v>0</v>
      </c>
      <c r="X10" s="850">
        <v>0</v>
      </c>
      <c r="Y10" s="850">
        <v>0</v>
      </c>
      <c r="Z10" s="850">
        <v>851058.56171135884</v>
      </c>
      <c r="AA10" s="850">
        <v>8455344.1795625053</v>
      </c>
      <c r="AB10" s="850">
        <v>0</v>
      </c>
      <c r="AC10" s="898">
        <f t="shared" si="65"/>
        <v>9306402.7412738651</v>
      </c>
      <c r="AD10" s="848"/>
      <c r="AF10" s="58" t="str">
        <f>IFERROR(VLOOKUP(K10,FA_Codes!C:F,2,FALSE),"CHECK")</f>
        <v>TRA A23</v>
      </c>
      <c r="AG10" s="851">
        <f t="shared" si="35"/>
        <v>9306402.7412738651</v>
      </c>
      <c r="AH10" s="58" t="str">
        <f>IFERROR(VLOOKUP(AF10,FA_Codes!D:F,3,FALSE),"CHECK")</f>
        <v>Local</v>
      </c>
      <c r="AI10" s="852">
        <v>7.8663793103448273E-2</v>
      </c>
      <c r="AJ10" s="853">
        <f t="shared" si="66"/>
        <v>0.92133620689655171</v>
      </c>
      <c r="AK10" s="854">
        <f t="shared" si="36"/>
        <v>400897.39672639524</v>
      </c>
      <c r="AL10" s="854">
        <f t="shared" si="37"/>
        <v>0</v>
      </c>
      <c r="AM10" s="854">
        <f t="shared" si="38"/>
        <v>0</v>
      </c>
      <c r="AN10" s="854">
        <f t="shared" si="39"/>
        <v>0</v>
      </c>
      <c r="AO10" s="854">
        <f t="shared" si="40"/>
        <v>0</v>
      </c>
      <c r="AP10" s="854">
        <f t="shared" si="41"/>
        <v>0</v>
      </c>
      <c r="AQ10" s="854">
        <f t="shared" si="42"/>
        <v>0</v>
      </c>
      <c r="AR10" s="854">
        <f t="shared" si="43"/>
        <v>0</v>
      </c>
      <c r="AS10" s="854">
        <f t="shared" si="44"/>
        <v>64063.557928241731</v>
      </c>
      <c r="AT10" s="854">
        <f t="shared" si="45"/>
        <v>636477.27197689319</v>
      </c>
      <c r="AU10" s="854">
        <f t="shared" si="46"/>
        <v>0</v>
      </c>
      <c r="AV10" s="854">
        <f t="shared" si="67"/>
        <v>700540.82990513486</v>
      </c>
      <c r="AW10" s="854">
        <f t="shared" si="47"/>
        <v>0</v>
      </c>
      <c r="AX10" s="855">
        <f t="shared" si="48"/>
        <v>0</v>
      </c>
      <c r="AZ10" s="854">
        <f t="shared" si="49"/>
        <v>0</v>
      </c>
      <c r="BA10" s="854">
        <f t="shared" si="50"/>
        <v>0</v>
      </c>
      <c r="BB10" s="854">
        <f t="shared" si="51"/>
        <v>0</v>
      </c>
      <c r="BC10" s="854">
        <f t="shared" si="52"/>
        <v>0</v>
      </c>
      <c r="BD10" s="854">
        <f t="shared" si="53"/>
        <v>0</v>
      </c>
      <c r="BE10" s="854">
        <f t="shared" si="54"/>
        <v>0</v>
      </c>
      <c r="BF10" s="854">
        <f t="shared" si="55"/>
        <v>0</v>
      </c>
      <c r="BG10" s="854">
        <f t="shared" si="56"/>
        <v>750333.45244721475</v>
      </c>
      <c r="BH10" s="854">
        <f t="shared" si="57"/>
        <v>7454631.0621951194</v>
      </c>
      <c r="BI10" s="854">
        <f t="shared" si="58"/>
        <v>0</v>
      </c>
      <c r="BJ10" s="854">
        <f t="shared" si="68"/>
        <v>8204964.5146423345</v>
      </c>
      <c r="BK10" s="58" t="str">
        <f t="shared" si="69"/>
        <v>OK</v>
      </c>
      <c r="BL10" s="878" t="str">
        <f t="shared" si="59"/>
        <v>GSR improvements - From Drury School to Waihoehoe Rd TRA A23 0.956922410530503 2060 0.0786637931034483</v>
      </c>
      <c r="BM10" s="870">
        <f t="shared" si="60"/>
        <v>2</v>
      </c>
      <c r="BN10" s="869">
        <f t="shared" si="70"/>
        <v>8905505.3445474692</v>
      </c>
      <c r="BO10" s="870">
        <f>IFERROR(VLOOKUP(AF10,FA_Codes!D:H,5,FALSE),"CHECK")</f>
        <v>0</v>
      </c>
      <c r="BP10" s="870" t="str">
        <f t="shared" si="61"/>
        <v>TRA</v>
      </c>
      <c r="BQ10" s="869">
        <f t="shared" si="62"/>
        <v>9306402.7412738651</v>
      </c>
      <c r="BR10" s="870" t="str">
        <f t="shared" si="63"/>
        <v>2a TRA A23</v>
      </c>
      <c r="BS10" s="870" t="str">
        <f t="shared" si="71"/>
        <v>2a</v>
      </c>
      <c r="BT10" s="870" t="s">
        <v>6992</v>
      </c>
      <c r="BU10" s="870">
        <f t="shared" si="64"/>
        <v>2060</v>
      </c>
      <c r="BV10" s="153"/>
      <c r="BW10" s="153"/>
      <c r="BX10" s="153"/>
      <c r="BY10" s="153"/>
      <c r="BZ10" s="153"/>
      <c r="CA10" s="153"/>
      <c r="CB10" s="153"/>
      <c r="CC10" s="153"/>
      <c r="CD10" s="153"/>
      <c r="CE10" s="153"/>
      <c r="CF10" s="153"/>
    </row>
    <row r="11" spans="1:84" ht="39">
      <c r="A11" s="848"/>
      <c r="B11" s="848" t="s">
        <v>896</v>
      </c>
      <c r="C11" s="848"/>
      <c r="D11" s="848"/>
      <c r="E11" s="848" t="s">
        <v>6712</v>
      </c>
      <c r="F11" s="866" t="s">
        <v>6713</v>
      </c>
      <c r="G11" s="866" t="s">
        <v>6714</v>
      </c>
      <c r="H11" s="866"/>
      <c r="I11" s="866"/>
      <c r="J11" s="866"/>
      <c r="K11" s="866" t="s">
        <v>6710</v>
      </c>
      <c r="L11" s="866"/>
      <c r="M11" s="866"/>
      <c r="N11" s="866"/>
      <c r="O11" s="866"/>
      <c r="P11" s="866"/>
      <c r="Q11" s="897">
        <v>0.9569224105305032</v>
      </c>
      <c r="R11" s="848">
        <v>2060</v>
      </c>
      <c r="S11" s="850">
        <v>0</v>
      </c>
      <c r="T11" s="850">
        <v>0</v>
      </c>
      <c r="U11" s="850">
        <v>19109.695242463811</v>
      </c>
      <c r="V11" s="850">
        <v>0</v>
      </c>
      <c r="W11" s="850">
        <v>0</v>
      </c>
      <c r="X11" s="850">
        <v>2018320.663807896</v>
      </c>
      <c r="Y11" s="850">
        <v>576439.75401564222</v>
      </c>
      <c r="Z11" s="850">
        <v>6285505.1932765655</v>
      </c>
      <c r="AA11" s="850">
        <v>0</v>
      </c>
      <c r="AB11" s="850">
        <v>0</v>
      </c>
      <c r="AC11" s="898">
        <f t="shared" si="65"/>
        <v>8899375.3063425682</v>
      </c>
      <c r="AD11" s="848"/>
      <c r="AF11" s="58" t="str">
        <f>IFERROR(VLOOKUP(K11,FA_Codes!C:F,2,FALSE),"CHECK")</f>
        <v>TRA A23</v>
      </c>
      <c r="AG11" s="851">
        <f t="shared" si="35"/>
        <v>8899375.3063425682</v>
      </c>
      <c r="AH11" s="58" t="str">
        <f>IFERROR(VLOOKUP(AF11,FA_Codes!D:F,3,FALSE),"CHECK")</f>
        <v>Local</v>
      </c>
      <c r="AI11" s="852">
        <v>7.8663793103448273E-2</v>
      </c>
      <c r="AJ11" s="853">
        <f t="shared" si="66"/>
        <v>0.92133620689655171</v>
      </c>
      <c r="AK11" s="854">
        <f t="shared" si="36"/>
        <v>383363.63598160248</v>
      </c>
      <c r="AL11" s="854">
        <f t="shared" si="37"/>
        <v>0</v>
      </c>
      <c r="AM11" s="854">
        <f t="shared" si="38"/>
        <v>0</v>
      </c>
      <c r="AN11" s="854">
        <f t="shared" si="39"/>
        <v>1438.4851092912588</v>
      </c>
      <c r="AO11" s="854">
        <f t="shared" si="40"/>
        <v>0</v>
      </c>
      <c r="AP11" s="854">
        <f t="shared" si="41"/>
        <v>0</v>
      </c>
      <c r="AQ11" s="854">
        <f t="shared" si="42"/>
        <v>151929.38368849584</v>
      </c>
      <c r="AR11" s="854">
        <f t="shared" si="43"/>
        <v>43391.586942341462</v>
      </c>
      <c r="AS11" s="854">
        <f t="shared" si="44"/>
        <v>473142.32436369738</v>
      </c>
      <c r="AT11" s="854">
        <f t="shared" si="45"/>
        <v>0</v>
      </c>
      <c r="AU11" s="854">
        <f t="shared" si="46"/>
        <v>0</v>
      </c>
      <c r="AV11" s="854">
        <f t="shared" si="67"/>
        <v>669901.78010382596</v>
      </c>
      <c r="AW11" s="854">
        <f t="shared" si="47"/>
        <v>0</v>
      </c>
      <c r="AX11" s="855">
        <f t="shared" si="48"/>
        <v>0</v>
      </c>
      <c r="AZ11" s="854">
        <f t="shared" si="49"/>
        <v>0</v>
      </c>
      <c r="BA11" s="854">
        <f t="shared" si="50"/>
        <v>0</v>
      </c>
      <c r="BB11" s="854">
        <f t="shared" si="51"/>
        <v>16848.0105266305</v>
      </c>
      <c r="BC11" s="854">
        <f t="shared" si="52"/>
        <v>0</v>
      </c>
      <c r="BD11" s="854">
        <f t="shared" si="53"/>
        <v>0</v>
      </c>
      <c r="BE11" s="854">
        <f t="shared" si="54"/>
        <v>1779446.8911460813</v>
      </c>
      <c r="BF11" s="854">
        <f t="shared" si="55"/>
        <v>508216.53199591715</v>
      </c>
      <c r="BG11" s="854">
        <f t="shared" si="56"/>
        <v>5541598.4565885104</v>
      </c>
      <c r="BH11" s="854">
        <f t="shared" si="57"/>
        <v>0</v>
      </c>
      <c r="BI11" s="854">
        <f t="shared" si="58"/>
        <v>0</v>
      </c>
      <c r="BJ11" s="854">
        <f t="shared" si="68"/>
        <v>7846109.8902571388</v>
      </c>
      <c r="BK11" s="58" t="str">
        <f t="shared" si="69"/>
        <v>OK</v>
      </c>
      <c r="BL11" s="878" t="str">
        <f t="shared" si="59"/>
        <v>Waihoehoe Rd East upgrades- from Fitzgerald Rd to before Cossey Rd (development boundary) TRA A23 0.956922410530503 2060 0.0786637931034483</v>
      </c>
      <c r="BM11" s="870">
        <f t="shared" si="60"/>
        <v>2</v>
      </c>
      <c r="BN11" s="869">
        <f t="shared" si="70"/>
        <v>8516011.6703609638</v>
      </c>
      <c r="BO11" s="870">
        <f>IFERROR(VLOOKUP(AF11,FA_Codes!D:H,5,FALSE),"CHECK")</f>
        <v>0</v>
      </c>
      <c r="BP11" s="870" t="str">
        <f t="shared" si="61"/>
        <v>TRA</v>
      </c>
      <c r="BQ11" s="869">
        <f t="shared" si="62"/>
        <v>8899375.3063425682</v>
      </c>
      <c r="BR11" s="870" t="str">
        <f t="shared" si="63"/>
        <v>4b TRA A23</v>
      </c>
      <c r="BS11" s="870" t="str">
        <f t="shared" si="71"/>
        <v>4b</v>
      </c>
      <c r="BT11" s="870" t="s">
        <v>6992</v>
      </c>
      <c r="BU11" s="870">
        <f t="shared" si="64"/>
        <v>2060</v>
      </c>
      <c r="BV11" s="153"/>
      <c r="BW11" s="153"/>
      <c r="BX11" s="153"/>
      <c r="BY11" s="153"/>
      <c r="BZ11" s="153"/>
      <c r="CA11" s="153"/>
      <c r="CB11" s="153"/>
      <c r="CC11" s="153"/>
      <c r="CD11" s="153"/>
      <c r="CE11" s="153"/>
      <c r="CF11" s="153"/>
    </row>
    <row r="12" spans="1:84" ht="26">
      <c r="A12" s="848"/>
      <c r="B12" s="848" t="s">
        <v>896</v>
      </c>
      <c r="C12" s="848"/>
      <c r="D12" s="848"/>
      <c r="E12" s="848" t="s">
        <v>6716</v>
      </c>
      <c r="F12" s="866" t="s">
        <v>6715</v>
      </c>
      <c r="G12" s="866" t="s">
        <v>6717</v>
      </c>
      <c r="H12" s="866"/>
      <c r="I12" s="866"/>
      <c r="J12" s="866"/>
      <c r="K12" s="866" t="s">
        <v>6710</v>
      </c>
      <c r="L12" s="866"/>
      <c r="M12" s="866"/>
      <c r="N12" s="866"/>
      <c r="O12" s="866"/>
      <c r="P12" s="866"/>
      <c r="Q12" s="897">
        <v>0.9569224105305032</v>
      </c>
      <c r="R12" s="848">
        <v>2060</v>
      </c>
      <c r="S12" s="850">
        <v>0</v>
      </c>
      <c r="T12" s="850">
        <v>0</v>
      </c>
      <c r="U12" s="850">
        <v>0</v>
      </c>
      <c r="V12" s="850">
        <v>0</v>
      </c>
      <c r="W12" s="850">
        <v>0</v>
      </c>
      <c r="X12" s="850">
        <v>0</v>
      </c>
      <c r="Y12" s="850">
        <v>0</v>
      </c>
      <c r="Z12" s="850">
        <v>538727.42721380084</v>
      </c>
      <c r="AA12" s="850">
        <v>668142.05889875419</v>
      </c>
      <c r="AB12" s="850">
        <v>6752880.8245033501</v>
      </c>
      <c r="AC12" s="898">
        <f t="shared" si="65"/>
        <v>7959750.3106159046</v>
      </c>
      <c r="AD12" s="848"/>
      <c r="AF12" s="58" t="str">
        <f>IFERROR(VLOOKUP(K12,FA_Codes!C:F,2,FALSE),"CHECK")</f>
        <v>TRA A23</v>
      </c>
      <c r="AG12" s="851">
        <f t="shared" si="35"/>
        <v>7959750.3106159046</v>
      </c>
      <c r="AH12" s="58" t="str">
        <f>IFERROR(VLOOKUP(AF12,FA_Codes!D:F,3,FALSE),"CHECK")</f>
        <v>Local</v>
      </c>
      <c r="AI12" s="852">
        <v>7.8663793103448273E-2</v>
      </c>
      <c r="AJ12" s="853">
        <f t="shared" si="66"/>
        <v>0.92133620689655171</v>
      </c>
      <c r="AK12" s="854">
        <f t="shared" si="36"/>
        <v>342886.85616041161</v>
      </c>
      <c r="AL12" s="854">
        <f t="shared" si="37"/>
        <v>0</v>
      </c>
      <c r="AM12" s="854">
        <f t="shared" si="38"/>
        <v>0</v>
      </c>
      <c r="AN12" s="854">
        <f t="shared" si="39"/>
        <v>0</v>
      </c>
      <c r="AO12" s="854">
        <f t="shared" si="40"/>
        <v>0</v>
      </c>
      <c r="AP12" s="854">
        <f t="shared" si="41"/>
        <v>0</v>
      </c>
      <c r="AQ12" s="854">
        <f t="shared" si="42"/>
        <v>0</v>
      </c>
      <c r="AR12" s="854">
        <f t="shared" si="43"/>
        <v>0</v>
      </c>
      <c r="AS12" s="854">
        <f t="shared" si="44"/>
        <v>40552.786016797232</v>
      </c>
      <c r="AT12" s="854">
        <f t="shared" si="45"/>
        <v>50294.491378458275</v>
      </c>
      <c r="AU12" s="854">
        <f t="shared" si="46"/>
        <v>508324.09348324774</v>
      </c>
      <c r="AV12" s="854">
        <f t="shared" si="67"/>
        <v>599171.37087850319</v>
      </c>
      <c r="AW12" s="854">
        <f t="shared" si="47"/>
        <v>0</v>
      </c>
      <c r="AX12" s="855">
        <f t="shared" si="48"/>
        <v>0</v>
      </c>
      <c r="AZ12" s="854">
        <f t="shared" si="49"/>
        <v>0</v>
      </c>
      <c r="BA12" s="854">
        <f t="shared" si="50"/>
        <v>0</v>
      </c>
      <c r="BB12" s="854">
        <f t="shared" si="51"/>
        <v>0</v>
      </c>
      <c r="BC12" s="854">
        <f t="shared" si="52"/>
        <v>0</v>
      </c>
      <c r="BD12" s="854">
        <f t="shared" si="53"/>
        <v>0</v>
      </c>
      <c r="BE12" s="854">
        <f t="shared" si="54"/>
        <v>0</v>
      </c>
      <c r="BF12" s="854">
        <f t="shared" si="55"/>
        <v>0</v>
      </c>
      <c r="BG12" s="854">
        <f t="shared" si="56"/>
        <v>474967.56225152925</v>
      </c>
      <c r="BH12" s="854">
        <f t="shared" si="57"/>
        <v>589065.61819975101</v>
      </c>
      <c r="BI12" s="854">
        <f t="shared" si="58"/>
        <v>5953658.9031257099</v>
      </c>
      <c r="BJ12" s="854">
        <f t="shared" si="68"/>
        <v>7017692.0835769903</v>
      </c>
      <c r="BK12" s="58" t="str">
        <f t="shared" si="69"/>
        <v>OK</v>
      </c>
      <c r="BL12" s="878" t="str">
        <f t="shared" si="59"/>
        <v>Upgrade in Norrie Rd/GSR/Waihoehoe intersection TRA A23 0.956922410530503 2060 0.0786637931034483</v>
      </c>
      <c r="BM12" s="870">
        <f t="shared" si="60"/>
        <v>2</v>
      </c>
      <c r="BN12" s="869">
        <f t="shared" si="70"/>
        <v>7616863.454455493</v>
      </c>
      <c r="BO12" s="870">
        <f>IFERROR(VLOOKUP(AF12,FA_Codes!D:H,5,FALSE),"CHECK")</f>
        <v>0</v>
      </c>
      <c r="BP12" s="870" t="str">
        <f t="shared" si="61"/>
        <v>TRA</v>
      </c>
      <c r="BQ12" s="869">
        <f t="shared" si="62"/>
        <v>7959750.3106159046</v>
      </c>
      <c r="BR12" s="870" t="str">
        <f t="shared" si="63"/>
        <v>9b TRA A23</v>
      </c>
      <c r="BS12" s="870" t="str">
        <f t="shared" si="71"/>
        <v>9b</v>
      </c>
      <c r="BT12" s="870" t="s">
        <v>6992</v>
      </c>
      <c r="BU12" s="870">
        <f t="shared" si="64"/>
        <v>2060</v>
      </c>
      <c r="BV12" s="153"/>
      <c r="BW12" s="153"/>
      <c r="BX12" s="153"/>
      <c r="BY12" s="153"/>
      <c r="BZ12" s="153"/>
      <c r="CA12" s="153"/>
      <c r="CB12" s="153"/>
      <c r="CC12" s="153"/>
      <c r="CD12" s="153"/>
      <c r="CE12" s="153"/>
      <c r="CF12" s="153"/>
    </row>
    <row r="13" spans="1:84" ht="26">
      <c r="A13" s="848"/>
      <c r="B13" s="848" t="s">
        <v>896</v>
      </c>
      <c r="C13" s="848"/>
      <c r="D13" s="848"/>
      <c r="E13" s="848" t="s">
        <v>6837</v>
      </c>
      <c r="F13" s="866" t="s">
        <v>6718</v>
      </c>
      <c r="G13" s="866" t="s">
        <v>6838</v>
      </c>
      <c r="H13" s="866"/>
      <c r="I13" s="866"/>
      <c r="J13" s="866"/>
      <c r="K13" s="866" t="s">
        <v>6710</v>
      </c>
      <c r="L13" s="866"/>
      <c r="M13" s="866"/>
      <c r="N13" s="866"/>
      <c r="O13" s="866"/>
      <c r="P13" s="866"/>
      <c r="Q13" s="897">
        <v>0.9569224105305032</v>
      </c>
      <c r="R13" s="848">
        <v>2060</v>
      </c>
      <c r="S13" s="850">
        <v>0</v>
      </c>
      <c r="T13" s="850">
        <v>0</v>
      </c>
      <c r="U13" s="850">
        <v>0</v>
      </c>
      <c r="V13" s="850">
        <v>0</v>
      </c>
      <c r="W13" s="850">
        <v>0</v>
      </c>
      <c r="X13" s="850">
        <v>0</v>
      </c>
      <c r="Y13" s="850">
        <v>0</v>
      </c>
      <c r="Z13" s="850">
        <v>777327.61583315791</v>
      </c>
      <c r="AA13" s="850">
        <v>604288.95647755207</v>
      </c>
      <c r="AB13" s="850">
        <v>6101614.9031124515</v>
      </c>
      <c r="AC13" s="898">
        <f t="shared" si="65"/>
        <v>7483231.4754231609</v>
      </c>
      <c r="AD13" s="848"/>
      <c r="AF13" s="58" t="str">
        <f>IFERROR(VLOOKUP(K13,FA_Codes!C:F,2,FALSE),"CHECK")</f>
        <v>TRA A23</v>
      </c>
      <c r="AG13" s="851">
        <f t="shared" si="35"/>
        <v>7483231.4754231609</v>
      </c>
      <c r="AH13" s="58" t="str">
        <f>IFERROR(VLOOKUP(AF13,FA_Codes!D:F,3,FALSE),"CHECK")</f>
        <v>Local</v>
      </c>
      <c r="AI13" s="852">
        <v>7.8663793103448273E-2</v>
      </c>
      <c r="AJ13" s="853">
        <f t="shared" si="66"/>
        <v>0.92133620689655171</v>
      </c>
      <c r="AK13" s="854">
        <f t="shared" si="36"/>
        <v>322359.57340349577</v>
      </c>
      <c r="AL13" s="854">
        <f t="shared" si="37"/>
        <v>0</v>
      </c>
      <c r="AM13" s="854">
        <f t="shared" si="38"/>
        <v>0</v>
      </c>
      <c r="AN13" s="854">
        <f t="shared" si="39"/>
        <v>0</v>
      </c>
      <c r="AO13" s="854">
        <f t="shared" si="40"/>
        <v>0</v>
      </c>
      <c r="AP13" s="854">
        <f t="shared" si="41"/>
        <v>0</v>
      </c>
      <c r="AQ13" s="854">
        <f t="shared" si="42"/>
        <v>0</v>
      </c>
      <c r="AR13" s="854">
        <f t="shared" si="43"/>
        <v>0</v>
      </c>
      <c r="AS13" s="854">
        <f t="shared" si="44"/>
        <v>58513.450174347614</v>
      </c>
      <c r="AT13" s="854">
        <f t="shared" si="45"/>
        <v>45487.939738071858</v>
      </c>
      <c r="AU13" s="854">
        <f t="shared" si="46"/>
        <v>459299.95582835167</v>
      </c>
      <c r="AV13" s="854">
        <f t="shared" si="67"/>
        <v>563301.34574077115</v>
      </c>
      <c r="AW13" s="854">
        <f t="shared" si="47"/>
        <v>0</v>
      </c>
      <c r="AX13" s="855">
        <f t="shared" si="48"/>
        <v>0</v>
      </c>
      <c r="AZ13" s="854">
        <f t="shared" si="49"/>
        <v>0</v>
      </c>
      <c r="BA13" s="854">
        <f t="shared" si="50"/>
        <v>0</v>
      </c>
      <c r="BB13" s="854">
        <f t="shared" si="51"/>
        <v>0</v>
      </c>
      <c r="BC13" s="854">
        <f t="shared" si="52"/>
        <v>0</v>
      </c>
      <c r="BD13" s="854">
        <f t="shared" si="53"/>
        <v>0</v>
      </c>
      <c r="BE13" s="854">
        <f t="shared" si="54"/>
        <v>0</v>
      </c>
      <c r="BF13" s="854">
        <f t="shared" si="55"/>
        <v>0</v>
      </c>
      <c r="BG13" s="854">
        <f t="shared" si="56"/>
        <v>685328.76574064675</v>
      </c>
      <c r="BH13" s="854">
        <f t="shared" si="57"/>
        <v>532769.70515138959</v>
      </c>
      <c r="BI13" s="854">
        <f t="shared" si="58"/>
        <v>5379472.0853868583</v>
      </c>
      <c r="BJ13" s="854">
        <f t="shared" si="68"/>
        <v>6597570.5562788947</v>
      </c>
      <c r="BK13" s="58" t="str">
        <f t="shared" si="69"/>
        <v>OK</v>
      </c>
      <c r="BL13" s="878" t="str">
        <f t="shared" si="59"/>
        <v>New intersection on Waihoehoe Rd/Fitzgerald Rd( including approach cross-sections) TRA A23 0.956922410530503 2060 0.0786637931034483</v>
      </c>
      <c r="BM13" s="870">
        <f t="shared" si="60"/>
        <v>2</v>
      </c>
      <c r="BN13" s="869">
        <f t="shared" si="70"/>
        <v>7160871.9020196656</v>
      </c>
      <c r="BO13" s="870">
        <f>IFERROR(VLOOKUP(AF13,FA_Codes!D:H,5,FALSE),"CHECK")</f>
        <v>0</v>
      </c>
      <c r="BP13" s="870" t="str">
        <f t="shared" si="61"/>
        <v>TRA</v>
      </c>
      <c r="BQ13" s="869">
        <f t="shared" si="62"/>
        <v>7483231.4754231609</v>
      </c>
      <c r="BR13" s="870" t="str">
        <f t="shared" si="63"/>
        <v>10b TRA A23</v>
      </c>
      <c r="BS13" s="870" t="str">
        <f t="shared" si="71"/>
        <v>10b</v>
      </c>
      <c r="BT13" s="870" t="s">
        <v>6992</v>
      </c>
      <c r="BU13" s="870">
        <f t="shared" si="64"/>
        <v>2060</v>
      </c>
      <c r="BV13" s="153"/>
      <c r="BW13" s="153"/>
      <c r="BX13" s="153"/>
      <c r="BY13" s="153"/>
      <c r="BZ13" s="153"/>
      <c r="CA13" s="153"/>
      <c r="CB13" s="153"/>
      <c r="CC13" s="153"/>
      <c r="CD13" s="153"/>
      <c r="CE13" s="153"/>
      <c r="CF13" s="153"/>
    </row>
    <row r="14" spans="1:84" ht="26">
      <c r="A14" s="848"/>
      <c r="B14" s="848" t="s">
        <v>896</v>
      </c>
      <c r="C14" s="848"/>
      <c r="D14" s="848"/>
      <c r="E14" s="848" t="s">
        <v>6719</v>
      </c>
      <c r="F14" s="866" t="s">
        <v>6720</v>
      </c>
      <c r="G14" s="866" t="s">
        <v>6721</v>
      </c>
      <c r="H14" s="866"/>
      <c r="I14" s="866"/>
      <c r="J14" s="866"/>
      <c r="K14" s="866" t="s">
        <v>6710</v>
      </c>
      <c r="L14" s="866"/>
      <c r="M14" s="866"/>
      <c r="N14" s="866"/>
      <c r="O14" s="866"/>
      <c r="P14" s="866"/>
      <c r="Q14" s="897">
        <v>0.9569224105305032</v>
      </c>
      <c r="R14" s="848">
        <v>2060</v>
      </c>
      <c r="S14" s="850">
        <v>0</v>
      </c>
      <c r="T14" s="850">
        <v>0</v>
      </c>
      <c r="U14" s="850">
        <v>0</v>
      </c>
      <c r="V14" s="850">
        <v>0</v>
      </c>
      <c r="W14" s="850">
        <v>0</v>
      </c>
      <c r="X14" s="850">
        <v>76295.457874674685</v>
      </c>
      <c r="Y14" s="850">
        <v>0</v>
      </c>
      <c r="Z14" s="850">
        <v>152064.53140562307</v>
      </c>
      <c r="AA14" s="850">
        <v>77694.294404256696</v>
      </c>
      <c r="AB14" s="850">
        <v>771899.87802396365</v>
      </c>
      <c r="AC14" s="898">
        <f t="shared" si="65"/>
        <v>1077954.1617085182</v>
      </c>
      <c r="AD14" s="848"/>
      <c r="AF14" s="58" t="str">
        <f>IFERROR(VLOOKUP(K14,FA_Codes!C:F,2,FALSE),"CHECK")</f>
        <v>TRA A23</v>
      </c>
      <c r="AG14" s="851">
        <f t="shared" si="35"/>
        <v>1077954.1617085182</v>
      </c>
      <c r="AH14" s="58" t="str">
        <f>IFERROR(VLOOKUP(AF14,FA_Codes!D:F,3,FALSE),"CHECK")</f>
        <v>Local</v>
      </c>
      <c r="AI14" s="852">
        <v>7.8663793103448273E-2</v>
      </c>
      <c r="AJ14" s="853">
        <f t="shared" si="66"/>
        <v>0.92133620689655171</v>
      </c>
      <c r="AK14" s="854">
        <f t="shared" si="36"/>
        <v>46435.666845015112</v>
      </c>
      <c r="AL14" s="854">
        <f t="shared" si="37"/>
        <v>0</v>
      </c>
      <c r="AM14" s="854">
        <f t="shared" si="38"/>
        <v>0</v>
      </c>
      <c r="AN14" s="854">
        <f t="shared" si="39"/>
        <v>0</v>
      </c>
      <c r="AO14" s="854">
        <f t="shared" si="40"/>
        <v>0</v>
      </c>
      <c r="AP14" s="854">
        <f t="shared" si="41"/>
        <v>0</v>
      </c>
      <c r="AQ14" s="854">
        <f t="shared" si="42"/>
        <v>5743.1517701759021</v>
      </c>
      <c r="AR14" s="854">
        <f t="shared" si="43"/>
        <v>0</v>
      </c>
      <c r="AS14" s="854">
        <f t="shared" si="44"/>
        <v>11446.679881753014</v>
      </c>
      <c r="AT14" s="854">
        <f t="shared" si="45"/>
        <v>5848.449394894953</v>
      </c>
      <c r="AU14" s="854">
        <f t="shared" si="46"/>
        <v>58104.8764154991</v>
      </c>
      <c r="AV14" s="854">
        <f t="shared" si="67"/>
        <v>81143.157462322968</v>
      </c>
      <c r="AW14" s="854">
        <f t="shared" si="47"/>
        <v>0</v>
      </c>
      <c r="AX14" s="855">
        <f t="shared" si="48"/>
        <v>0</v>
      </c>
      <c r="AZ14" s="854">
        <f t="shared" si="49"/>
        <v>0</v>
      </c>
      <c r="BA14" s="854">
        <f t="shared" si="50"/>
        <v>0</v>
      </c>
      <c r="BB14" s="854">
        <f t="shared" si="51"/>
        <v>0</v>
      </c>
      <c r="BC14" s="854">
        <f t="shared" si="52"/>
        <v>0</v>
      </c>
      <c r="BD14" s="854">
        <f t="shared" si="53"/>
        <v>0</v>
      </c>
      <c r="BE14" s="854">
        <f t="shared" si="54"/>
        <v>67265.68169178626</v>
      </c>
      <c r="BF14" s="854">
        <f t="shared" si="55"/>
        <v>0</v>
      </c>
      <c r="BG14" s="854">
        <f t="shared" si="56"/>
        <v>134067.27806710723</v>
      </c>
      <c r="BH14" s="854">
        <f t="shared" si="57"/>
        <v>68498.96209089295</v>
      </c>
      <c r="BI14" s="854">
        <f t="shared" si="58"/>
        <v>680543.41555139353</v>
      </c>
      <c r="BJ14" s="854">
        <f t="shared" si="68"/>
        <v>950375.33740117995</v>
      </c>
      <c r="BK14" s="58" t="str">
        <f t="shared" si="69"/>
        <v>OK</v>
      </c>
      <c r="BL14" s="878" t="str">
        <f t="shared" si="59"/>
        <v>Intersection upgrade Waihoehoe Rd/Fielding Rd/Appleby Rd TRA A23 0.956922410530503 2060 0.0786637931034483</v>
      </c>
      <c r="BM14" s="870">
        <f t="shared" si="60"/>
        <v>2</v>
      </c>
      <c r="BN14" s="869">
        <f t="shared" si="70"/>
        <v>1031518.4948635029</v>
      </c>
      <c r="BO14" s="870">
        <f>IFERROR(VLOOKUP(AF14,FA_Codes!D:H,5,FALSE),"CHECK")</f>
        <v>0</v>
      </c>
      <c r="BP14" s="870" t="str">
        <f t="shared" si="61"/>
        <v>TRA</v>
      </c>
      <c r="BQ14" s="869">
        <f t="shared" si="62"/>
        <v>1077954.1617085182</v>
      </c>
      <c r="BR14" s="870" t="str">
        <f t="shared" si="63"/>
        <v>11 TRA A23</v>
      </c>
      <c r="BS14" s="870">
        <f t="shared" si="71"/>
        <v>11</v>
      </c>
      <c r="BT14" s="870" t="s">
        <v>6992</v>
      </c>
      <c r="BU14" s="870">
        <f t="shared" si="64"/>
        <v>2060</v>
      </c>
      <c r="BV14" s="153"/>
      <c r="BW14" s="153"/>
      <c r="BX14" s="153"/>
      <c r="BY14" s="153"/>
      <c r="BZ14" s="153"/>
      <c r="CA14" s="153"/>
      <c r="CB14" s="153"/>
      <c r="CC14" s="153"/>
      <c r="CD14" s="153"/>
      <c r="CE14" s="153"/>
      <c r="CF14" s="153"/>
    </row>
    <row r="15" spans="1:84" ht="26">
      <c r="A15" s="848"/>
      <c r="B15" s="848" t="s">
        <v>896</v>
      </c>
      <c r="C15" s="848"/>
      <c r="D15" s="848"/>
      <c r="E15" s="848" t="s">
        <v>6722</v>
      </c>
      <c r="F15" s="866" t="s">
        <v>7000</v>
      </c>
      <c r="G15" s="866" t="s">
        <v>6723</v>
      </c>
      <c r="H15" s="866"/>
      <c r="I15" s="866"/>
      <c r="J15" s="866"/>
      <c r="K15" s="866" t="s">
        <v>6710</v>
      </c>
      <c r="L15" s="866"/>
      <c r="M15" s="866"/>
      <c r="N15" s="866"/>
      <c r="O15" s="866"/>
      <c r="P15" s="866"/>
      <c r="Q15" s="897">
        <v>0.9569224105305032</v>
      </c>
      <c r="R15" s="848">
        <v>2060</v>
      </c>
      <c r="S15" s="850">
        <v>0</v>
      </c>
      <c r="T15" s="850">
        <v>0</v>
      </c>
      <c r="U15" s="850">
        <v>293913.18497490312</v>
      </c>
      <c r="V15" s="850">
        <v>0</v>
      </c>
      <c r="W15" s="850">
        <v>0</v>
      </c>
      <c r="X15" s="850">
        <v>1093412.0329066981</v>
      </c>
      <c r="Y15" s="850">
        <v>0</v>
      </c>
      <c r="Z15" s="850">
        <v>0</v>
      </c>
      <c r="AA15" s="850">
        <v>0</v>
      </c>
      <c r="AB15" s="850">
        <v>0</v>
      </c>
      <c r="AC15" s="898">
        <f t="shared" si="65"/>
        <v>1387325.2178816013</v>
      </c>
      <c r="AD15" s="848"/>
      <c r="AF15" s="58" t="str">
        <f>IFERROR(VLOOKUP(K15,FA_Codes!C:F,2,FALSE),"CHECK")</f>
        <v>TRA A23</v>
      </c>
      <c r="AG15" s="851">
        <f t="shared" si="35"/>
        <v>1387325.2178816013</v>
      </c>
      <c r="AH15" s="58" t="str">
        <f>IFERROR(VLOOKUP(AF15,FA_Codes!D:F,3,FALSE),"CHECK")</f>
        <v>Local</v>
      </c>
      <c r="AI15" s="852">
        <v>7.8663793103448273E-2</v>
      </c>
      <c r="AJ15" s="853">
        <f t="shared" si="66"/>
        <v>0.92133620689655171</v>
      </c>
      <c r="AK15" s="854">
        <f t="shared" si="36"/>
        <v>59762.626196583828</v>
      </c>
      <c r="AL15" s="854">
        <f t="shared" si="37"/>
        <v>0</v>
      </c>
      <c r="AM15" s="854">
        <f t="shared" si="38"/>
        <v>0</v>
      </c>
      <c r="AN15" s="854">
        <f t="shared" si="39"/>
        <v>22124.358062565068</v>
      </c>
      <c r="AO15" s="854">
        <f t="shared" si="40"/>
        <v>0</v>
      </c>
      <c r="AP15" s="854">
        <f t="shared" si="41"/>
        <v>0</v>
      </c>
      <c r="AQ15" s="854">
        <f t="shared" si="42"/>
        <v>82306.750981622725</v>
      </c>
      <c r="AR15" s="854">
        <f t="shared" si="43"/>
        <v>0</v>
      </c>
      <c r="AS15" s="854">
        <f t="shared" si="44"/>
        <v>0</v>
      </c>
      <c r="AT15" s="854">
        <f t="shared" si="45"/>
        <v>0</v>
      </c>
      <c r="AU15" s="854">
        <f t="shared" si="46"/>
        <v>0</v>
      </c>
      <c r="AV15" s="854">
        <f t="shared" si="67"/>
        <v>104431.10904418779</v>
      </c>
      <c r="AW15" s="854">
        <f t="shared" si="47"/>
        <v>0</v>
      </c>
      <c r="AX15" s="855">
        <f t="shared" si="48"/>
        <v>0</v>
      </c>
      <c r="AZ15" s="854">
        <f t="shared" si="49"/>
        <v>0</v>
      </c>
      <c r="BA15" s="854">
        <f t="shared" si="50"/>
        <v>0</v>
      </c>
      <c r="BB15" s="854">
        <f t="shared" si="51"/>
        <v>259127.75539031692</v>
      </c>
      <c r="BC15" s="854">
        <f t="shared" si="52"/>
        <v>0</v>
      </c>
      <c r="BD15" s="854">
        <f t="shared" si="53"/>
        <v>0</v>
      </c>
      <c r="BE15" s="854">
        <f t="shared" si="54"/>
        <v>964003.72725051269</v>
      </c>
      <c r="BF15" s="854">
        <f t="shared" si="55"/>
        <v>0</v>
      </c>
      <c r="BG15" s="854">
        <f t="shared" si="56"/>
        <v>0</v>
      </c>
      <c r="BH15" s="854">
        <f t="shared" si="57"/>
        <v>0</v>
      </c>
      <c r="BI15" s="854">
        <f t="shared" si="58"/>
        <v>0</v>
      </c>
      <c r="BJ15" s="854">
        <f t="shared" si="68"/>
        <v>1223131.4826408296</v>
      </c>
      <c r="BK15" s="58" t="str">
        <f t="shared" si="69"/>
        <v>OK</v>
      </c>
      <c r="BL15" s="878" t="str">
        <f t="shared" si="59"/>
        <v>N-S Opaheke Arterial across development (up to Waihoehoe Stream) TRA A23 0.956922410530503 2060 0.0786637931034483</v>
      </c>
      <c r="BM15" s="870">
        <f t="shared" si="60"/>
        <v>2</v>
      </c>
      <c r="BN15" s="869">
        <f t="shared" si="70"/>
        <v>1327562.5916850173</v>
      </c>
      <c r="BO15" s="870">
        <f>IFERROR(VLOOKUP(AF15,FA_Codes!D:H,5,FALSE),"CHECK")</f>
        <v>0</v>
      </c>
      <c r="BP15" s="870" t="str">
        <f t="shared" si="61"/>
        <v>TRA</v>
      </c>
      <c r="BQ15" s="869">
        <f t="shared" si="62"/>
        <v>1387325.2178816013</v>
      </c>
      <c r="BR15" s="870" t="str">
        <f t="shared" si="63"/>
        <v>13a TRA A23</v>
      </c>
      <c r="BS15" s="870" t="str">
        <f t="shared" si="71"/>
        <v>13a</v>
      </c>
      <c r="BT15" s="870" t="s">
        <v>6992</v>
      </c>
      <c r="BU15" s="870">
        <f t="shared" si="64"/>
        <v>2060</v>
      </c>
      <c r="BV15" s="153"/>
      <c r="BW15" s="153"/>
      <c r="BX15" s="153"/>
      <c r="BY15" s="153"/>
      <c r="BZ15" s="153"/>
      <c r="CA15" s="153"/>
      <c r="CB15" s="153"/>
      <c r="CC15" s="153"/>
      <c r="CD15" s="153"/>
      <c r="CE15" s="153"/>
      <c r="CF15" s="153"/>
    </row>
    <row r="16" spans="1:84" ht="39">
      <c r="A16" s="848"/>
      <c r="B16" s="848" t="s">
        <v>896</v>
      </c>
      <c r="C16" s="848"/>
      <c r="D16" s="848"/>
      <c r="E16" s="848" t="s">
        <v>6724</v>
      </c>
      <c r="F16" s="866" t="s">
        <v>6725</v>
      </c>
      <c r="G16" s="866" t="s">
        <v>6726</v>
      </c>
      <c r="H16" s="866"/>
      <c r="I16" s="866"/>
      <c r="J16" s="866"/>
      <c r="K16" s="866" t="s">
        <v>6710</v>
      </c>
      <c r="L16" s="866"/>
      <c r="M16" s="866"/>
      <c r="N16" s="866"/>
      <c r="O16" s="866"/>
      <c r="P16" s="866"/>
      <c r="Q16" s="897">
        <v>0.9569224105305032</v>
      </c>
      <c r="R16" s="848">
        <v>2060</v>
      </c>
      <c r="S16" s="850">
        <v>0</v>
      </c>
      <c r="T16" s="850">
        <v>939353.73898860021</v>
      </c>
      <c r="U16" s="850">
        <v>0</v>
      </c>
      <c r="V16" s="850">
        <v>0</v>
      </c>
      <c r="W16" s="850">
        <v>0</v>
      </c>
      <c r="X16" s="850">
        <v>0</v>
      </c>
      <c r="Y16" s="850">
        <v>0</v>
      </c>
      <c r="Z16" s="850">
        <v>9246169.828964971</v>
      </c>
      <c r="AA16" s="850">
        <v>2735830.5277770571</v>
      </c>
      <c r="AB16" s="850">
        <v>27388227.080243416</v>
      </c>
      <c r="AC16" s="898">
        <f t="shared" si="65"/>
        <v>40309581.175974041</v>
      </c>
      <c r="AD16" s="848"/>
      <c r="AF16" s="58" t="str">
        <f>IFERROR(VLOOKUP(K16,FA_Codes!C:F,2,FALSE),"CHECK")</f>
        <v>TRA A23</v>
      </c>
      <c r="AG16" s="851">
        <f t="shared" si="35"/>
        <v>40309581.175974041</v>
      </c>
      <c r="AH16" s="58" t="str">
        <f>IFERROR(VLOOKUP(AF16,FA_Codes!D:F,3,FALSE),"CHECK")</f>
        <v>Local</v>
      </c>
      <c r="AI16" s="852">
        <v>7.8663793103448273E-2</v>
      </c>
      <c r="AJ16" s="853">
        <f t="shared" si="66"/>
        <v>0.92133620689655171</v>
      </c>
      <c r="AK16" s="854">
        <f t="shared" si="36"/>
        <v>1736439.589585966</v>
      </c>
      <c r="AL16" s="854">
        <f t="shared" si="37"/>
        <v>0</v>
      </c>
      <c r="AM16" s="854">
        <f t="shared" si="38"/>
        <v>70709.990334621019</v>
      </c>
      <c r="AN16" s="854">
        <f t="shared" si="39"/>
        <v>0</v>
      </c>
      <c r="AO16" s="854">
        <f t="shared" si="40"/>
        <v>0</v>
      </c>
      <c r="AP16" s="854">
        <f t="shared" si="41"/>
        <v>0</v>
      </c>
      <c r="AQ16" s="854">
        <f t="shared" si="42"/>
        <v>0</v>
      </c>
      <c r="AR16" s="854">
        <f t="shared" si="43"/>
        <v>0</v>
      </c>
      <c r="AS16" s="854">
        <f t="shared" si="44"/>
        <v>696006.78860587568</v>
      </c>
      <c r="AT16" s="854">
        <f t="shared" si="45"/>
        <v>205940.04382690226</v>
      </c>
      <c r="AU16" s="854">
        <f t="shared" si="46"/>
        <v>2061652.8063342492</v>
      </c>
      <c r="AV16" s="854">
        <f t="shared" si="67"/>
        <v>3034309.629101648</v>
      </c>
      <c r="AW16" s="854">
        <f t="shared" si="47"/>
        <v>0</v>
      </c>
      <c r="AX16" s="855">
        <f t="shared" si="48"/>
        <v>0</v>
      </c>
      <c r="AZ16" s="854">
        <f t="shared" si="49"/>
        <v>0</v>
      </c>
      <c r="BA16" s="854">
        <f t="shared" si="50"/>
        <v>828178.65391919133</v>
      </c>
      <c r="BB16" s="854">
        <f t="shared" si="51"/>
        <v>0</v>
      </c>
      <c r="BC16" s="854">
        <f t="shared" si="52"/>
        <v>0</v>
      </c>
      <c r="BD16" s="854">
        <f t="shared" si="53"/>
        <v>0</v>
      </c>
      <c r="BE16" s="854">
        <f t="shared" si="54"/>
        <v>0</v>
      </c>
      <c r="BF16" s="854">
        <f t="shared" si="55"/>
        <v>0</v>
      </c>
      <c r="BG16" s="854">
        <f t="shared" si="56"/>
        <v>8151860.3323016949</v>
      </c>
      <c r="BH16" s="854">
        <f t="shared" si="57"/>
        <v>2412037.4996164581</v>
      </c>
      <c r="BI16" s="854">
        <f t="shared" si="58"/>
        <v>24146755.471449085</v>
      </c>
      <c r="BJ16" s="854">
        <f t="shared" si="68"/>
        <v>35538831.957286432</v>
      </c>
      <c r="BK16" s="58" t="str">
        <f t="shared" si="69"/>
        <v>OK</v>
      </c>
      <c r="BL16" s="878" t="str">
        <f t="shared" si="59"/>
        <v>Waihoehoe Rd West upgrades- between GSR &amp; Kath Henry Lane TRA A23 0.956922410530503 2060 0.0786637931034483</v>
      </c>
      <c r="BM16" s="870">
        <f t="shared" si="60"/>
        <v>2</v>
      </c>
      <c r="BN16" s="869">
        <f t="shared" si="70"/>
        <v>38573141.586388081</v>
      </c>
      <c r="BO16" s="870">
        <f>IFERROR(VLOOKUP(AF16,FA_Codes!D:H,5,FALSE),"CHECK")</f>
        <v>0</v>
      </c>
      <c r="BP16" s="870" t="str">
        <f t="shared" si="61"/>
        <v>TRA</v>
      </c>
      <c r="BQ16" s="869">
        <f t="shared" si="62"/>
        <v>40309581.175974041</v>
      </c>
      <c r="BR16" s="870" t="str">
        <f t="shared" si="63"/>
        <v>23b TRA A23</v>
      </c>
      <c r="BS16" s="870" t="str">
        <f t="shared" si="71"/>
        <v>23b</v>
      </c>
      <c r="BT16" s="870" t="s">
        <v>6992</v>
      </c>
      <c r="BU16" s="870">
        <f t="shared" si="64"/>
        <v>2060</v>
      </c>
      <c r="BV16" s="153"/>
      <c r="BW16" s="153"/>
      <c r="BX16" s="153"/>
      <c r="BY16" s="153"/>
      <c r="BZ16" s="153"/>
      <c r="CA16" s="153"/>
      <c r="CB16" s="153"/>
      <c r="CC16" s="153"/>
      <c r="CD16" s="153"/>
      <c r="CE16" s="153"/>
      <c r="CF16" s="153"/>
    </row>
    <row r="17" spans="1:84" ht="39">
      <c r="A17" s="848"/>
      <c r="B17" s="848" t="s">
        <v>896</v>
      </c>
      <c r="C17" s="848"/>
      <c r="D17" s="848"/>
      <c r="E17" s="848" t="s">
        <v>6728</v>
      </c>
      <c r="F17" s="866" t="s">
        <v>6727</v>
      </c>
      <c r="G17" s="866" t="s">
        <v>6726</v>
      </c>
      <c r="H17" s="866"/>
      <c r="I17" s="866"/>
      <c r="J17" s="866"/>
      <c r="K17" s="866" t="s">
        <v>6710</v>
      </c>
      <c r="L17" s="866"/>
      <c r="M17" s="866"/>
      <c r="N17" s="866"/>
      <c r="O17" s="866"/>
      <c r="P17" s="866"/>
      <c r="Q17" s="897">
        <v>0.9569224105305032</v>
      </c>
      <c r="R17" s="848">
        <v>2060</v>
      </c>
      <c r="S17" s="850">
        <v>0</v>
      </c>
      <c r="T17" s="850">
        <v>0</v>
      </c>
      <c r="U17" s="850">
        <v>0</v>
      </c>
      <c r="V17" s="850">
        <v>0</v>
      </c>
      <c r="W17" s="850">
        <v>0</v>
      </c>
      <c r="X17" s="850">
        <v>30573.960594321532</v>
      </c>
      <c r="Y17" s="850">
        <v>0</v>
      </c>
      <c r="Z17" s="850">
        <v>1602270.7097482458</v>
      </c>
      <c r="AA17" s="850">
        <v>519838.22810871148</v>
      </c>
      <c r="AB17" s="850">
        <v>5430860.3329442907</v>
      </c>
      <c r="AC17" s="898">
        <f t="shared" si="65"/>
        <v>7583543.2313955696</v>
      </c>
      <c r="AD17" s="848"/>
      <c r="AF17" s="58" t="str">
        <f>IFERROR(VLOOKUP(K17,FA_Codes!C:F,2,FALSE),"CHECK")</f>
        <v>TRA A23</v>
      </c>
      <c r="AG17" s="851">
        <f t="shared" si="35"/>
        <v>7583543.2313955696</v>
      </c>
      <c r="AH17" s="58" t="str">
        <f>IFERROR(VLOOKUP(AF17,FA_Codes!D:F,3,FALSE),"CHECK")</f>
        <v>Local</v>
      </c>
      <c r="AI17" s="852">
        <v>7.8663793103448273E-2</v>
      </c>
      <c r="AJ17" s="853">
        <f t="shared" si="66"/>
        <v>0.92133620689655171</v>
      </c>
      <c r="AK17" s="854">
        <f t="shared" si="36"/>
        <v>326680.76204623951</v>
      </c>
      <c r="AL17" s="854">
        <f t="shared" si="37"/>
        <v>0</v>
      </c>
      <c r="AM17" s="854">
        <f t="shared" si="38"/>
        <v>0</v>
      </c>
      <c r="AN17" s="854">
        <f t="shared" si="39"/>
        <v>0</v>
      </c>
      <c r="AO17" s="854">
        <f t="shared" si="40"/>
        <v>0</v>
      </c>
      <c r="AP17" s="854">
        <f t="shared" si="41"/>
        <v>0</v>
      </c>
      <c r="AQ17" s="854">
        <f t="shared" si="42"/>
        <v>2301.4593633738605</v>
      </c>
      <c r="AR17" s="854">
        <f t="shared" si="43"/>
        <v>0</v>
      </c>
      <c r="AS17" s="854">
        <f t="shared" si="44"/>
        <v>120611.1624378383</v>
      </c>
      <c r="AT17" s="854">
        <f t="shared" si="45"/>
        <v>39130.898786553495</v>
      </c>
      <c r="AU17" s="854">
        <f t="shared" si="46"/>
        <v>408808.80728130875</v>
      </c>
      <c r="AV17" s="854">
        <f t="shared" si="67"/>
        <v>570852.32786907442</v>
      </c>
      <c r="AW17" s="854">
        <f t="shared" si="47"/>
        <v>0</v>
      </c>
      <c r="AX17" s="855">
        <f t="shared" si="48"/>
        <v>0</v>
      </c>
      <c r="AZ17" s="854">
        <f t="shared" si="49"/>
        <v>0</v>
      </c>
      <c r="BA17" s="854">
        <f t="shared" si="50"/>
        <v>0</v>
      </c>
      <c r="BB17" s="854">
        <f t="shared" si="51"/>
        <v>0</v>
      </c>
      <c r="BC17" s="854">
        <f t="shared" si="52"/>
        <v>0</v>
      </c>
      <c r="BD17" s="854">
        <f t="shared" si="53"/>
        <v>0</v>
      </c>
      <c r="BE17" s="854">
        <f t="shared" si="54"/>
        <v>26955.448708008913</v>
      </c>
      <c r="BF17" s="854">
        <f t="shared" si="55"/>
        <v>0</v>
      </c>
      <c r="BG17" s="854">
        <f t="shared" si="56"/>
        <v>1412637.5874568734</v>
      </c>
      <c r="BH17" s="854">
        <f t="shared" si="57"/>
        <v>458313.95154114027</v>
      </c>
      <c r="BI17" s="854">
        <f t="shared" si="58"/>
        <v>4788103.1537742326</v>
      </c>
      <c r="BJ17" s="854">
        <f t="shared" si="68"/>
        <v>6686010.1414802549</v>
      </c>
      <c r="BK17" s="58" t="str">
        <f t="shared" si="69"/>
        <v>OK</v>
      </c>
      <c r="BL17" s="878" t="str">
        <f t="shared" si="59"/>
        <v>Waihoehoe Rd West upgrades- between Kath Henry Lane and Fitzgerald Rd TRA A23 0.956922410530503 2060 0.0786637931034483</v>
      </c>
      <c r="BM17" s="870">
        <f t="shared" si="60"/>
        <v>2</v>
      </c>
      <c r="BN17" s="869">
        <f t="shared" si="70"/>
        <v>7256862.4693493294</v>
      </c>
      <c r="BO17" s="870">
        <f>IFERROR(VLOOKUP(AF17,FA_Codes!D:H,5,FALSE),"CHECK")</f>
        <v>0</v>
      </c>
      <c r="BP17" s="870" t="str">
        <f t="shared" si="61"/>
        <v>TRA</v>
      </c>
      <c r="BQ17" s="869">
        <f t="shared" si="62"/>
        <v>7583543.2313955696</v>
      </c>
      <c r="BR17" s="870" t="str">
        <f t="shared" si="63"/>
        <v>23d TRA A23</v>
      </c>
      <c r="BS17" s="870" t="str">
        <f t="shared" si="71"/>
        <v>23d</v>
      </c>
      <c r="BT17" s="870" t="s">
        <v>6992</v>
      </c>
      <c r="BU17" s="870">
        <f t="shared" si="64"/>
        <v>2060</v>
      </c>
      <c r="BV17" s="153"/>
      <c r="BW17" s="153"/>
      <c r="BX17" s="153"/>
      <c r="BY17" s="153"/>
      <c r="BZ17" s="153"/>
      <c r="CA17" s="153"/>
      <c r="CB17" s="153"/>
      <c r="CC17" s="153"/>
      <c r="CD17" s="153"/>
      <c r="CE17" s="153"/>
      <c r="CF17" s="153"/>
    </row>
    <row r="18" spans="1:84" ht="39">
      <c r="A18" s="848"/>
      <c r="B18" s="848" t="s">
        <v>896</v>
      </c>
      <c r="C18" s="848"/>
      <c r="D18" s="848"/>
      <c r="E18" s="848" t="s">
        <v>6729</v>
      </c>
      <c r="F18" s="866" t="s">
        <v>6730</v>
      </c>
      <c r="G18" s="866" t="s">
        <v>6731</v>
      </c>
      <c r="H18" s="866"/>
      <c r="I18" s="866"/>
      <c r="J18" s="866"/>
      <c r="K18" s="866" t="s">
        <v>6710</v>
      </c>
      <c r="L18" s="866"/>
      <c r="M18" s="866"/>
      <c r="N18" s="866"/>
      <c r="O18" s="866"/>
      <c r="P18" s="866"/>
      <c r="Q18" s="897">
        <v>0.9569224105305032</v>
      </c>
      <c r="R18" s="848">
        <v>2060</v>
      </c>
      <c r="S18" s="850">
        <v>0</v>
      </c>
      <c r="T18" s="850">
        <v>0</v>
      </c>
      <c r="U18" s="850">
        <v>0</v>
      </c>
      <c r="V18" s="850">
        <v>0</v>
      </c>
      <c r="W18" s="850">
        <v>0</v>
      </c>
      <c r="X18" s="850">
        <v>140450.90482260034</v>
      </c>
      <c r="Y18" s="850">
        <v>0</v>
      </c>
      <c r="Z18" s="850">
        <v>0</v>
      </c>
      <c r="AA18" s="850">
        <v>0</v>
      </c>
      <c r="AB18" s="850">
        <v>0</v>
      </c>
      <c r="AC18" s="898">
        <f t="shared" si="65"/>
        <v>140450.90482260034</v>
      </c>
      <c r="AD18" s="848"/>
      <c r="AF18" s="58" t="str">
        <f>IFERROR(VLOOKUP(K18,FA_Codes!C:F,2,FALSE),"CHECK")</f>
        <v>TRA A23</v>
      </c>
      <c r="AG18" s="851">
        <f t="shared" si="35"/>
        <v>140450.90482260034</v>
      </c>
      <c r="AH18" s="58" t="str">
        <f>IFERROR(VLOOKUP(AF18,FA_Codes!D:F,3,FALSE),"CHECK")</f>
        <v>Local</v>
      </c>
      <c r="AI18" s="852">
        <v>7.8663793103448273E-2</v>
      </c>
      <c r="AJ18" s="853">
        <f t="shared" si="66"/>
        <v>0.92133620689655171</v>
      </c>
      <c r="AK18" s="854">
        <f t="shared" si="36"/>
        <v>6050.2864185673461</v>
      </c>
      <c r="AL18" s="854">
        <f t="shared" si="37"/>
        <v>0</v>
      </c>
      <c r="AM18" s="854">
        <f t="shared" si="38"/>
        <v>0</v>
      </c>
      <c r="AN18" s="854">
        <f t="shared" si="39"/>
        <v>0</v>
      </c>
      <c r="AO18" s="854">
        <f t="shared" si="40"/>
        <v>0</v>
      </c>
      <c r="AP18" s="854">
        <f t="shared" si="41"/>
        <v>0</v>
      </c>
      <c r="AQ18" s="854">
        <f t="shared" si="42"/>
        <v>10572.462439110353</v>
      </c>
      <c r="AR18" s="854">
        <f t="shared" si="43"/>
        <v>0</v>
      </c>
      <c r="AS18" s="854">
        <f t="shared" si="44"/>
        <v>0</v>
      </c>
      <c r="AT18" s="854">
        <f t="shared" si="45"/>
        <v>0</v>
      </c>
      <c r="AU18" s="854">
        <f t="shared" si="46"/>
        <v>0</v>
      </c>
      <c r="AV18" s="854">
        <f t="shared" si="67"/>
        <v>10572.462439110353</v>
      </c>
      <c r="AW18" s="854">
        <f t="shared" si="47"/>
        <v>0</v>
      </c>
      <c r="AX18" s="855">
        <f t="shared" si="48"/>
        <v>0</v>
      </c>
      <c r="AZ18" s="854">
        <f t="shared" si="49"/>
        <v>0</v>
      </c>
      <c r="BA18" s="854">
        <f t="shared" si="50"/>
        <v>0</v>
      </c>
      <c r="BB18" s="854">
        <f t="shared" si="51"/>
        <v>0</v>
      </c>
      <c r="BC18" s="854">
        <f t="shared" si="52"/>
        <v>0</v>
      </c>
      <c r="BD18" s="854">
        <f t="shared" si="53"/>
        <v>0</v>
      </c>
      <c r="BE18" s="854">
        <f t="shared" si="54"/>
        <v>123828.15596492263</v>
      </c>
      <c r="BF18" s="854">
        <f t="shared" si="55"/>
        <v>0</v>
      </c>
      <c r="BG18" s="854">
        <f t="shared" si="56"/>
        <v>0</v>
      </c>
      <c r="BH18" s="854">
        <f t="shared" si="57"/>
        <v>0</v>
      </c>
      <c r="BI18" s="854">
        <f t="shared" si="58"/>
        <v>0</v>
      </c>
      <c r="BJ18" s="854">
        <f t="shared" si="68"/>
        <v>123828.15596492263</v>
      </c>
      <c r="BK18" s="58" t="str">
        <f t="shared" si="69"/>
        <v>OK</v>
      </c>
      <c r="BL18" s="878" t="str">
        <f t="shared" si="59"/>
        <v>Upgrades on Waihoehoe Rd east- from project 4 to Drury Hills + Drury Hills Intersection TRA A23 0.956922410530503 2060 0.0786637931034483</v>
      </c>
      <c r="BM18" s="870">
        <f t="shared" si="60"/>
        <v>2</v>
      </c>
      <c r="BN18" s="869">
        <f t="shared" si="70"/>
        <v>134400.61840403298</v>
      </c>
      <c r="BO18" s="870">
        <f>IFERROR(VLOOKUP(AF18,FA_Codes!D:H,5,FALSE),"CHECK")</f>
        <v>0</v>
      </c>
      <c r="BP18" s="870" t="str">
        <f t="shared" si="61"/>
        <v>TRA</v>
      </c>
      <c r="BQ18" s="869">
        <f t="shared" si="62"/>
        <v>140450.90482260034</v>
      </c>
      <c r="BR18" s="870" t="str">
        <f t="shared" si="63"/>
        <v>24 TRA A23</v>
      </c>
      <c r="BS18" s="870">
        <f t="shared" si="71"/>
        <v>24</v>
      </c>
      <c r="BT18" s="870" t="s">
        <v>6992</v>
      </c>
      <c r="BU18" s="870">
        <f t="shared" si="64"/>
        <v>2060</v>
      </c>
      <c r="BV18" s="153"/>
      <c r="BW18" s="153"/>
      <c r="BX18" s="153"/>
      <c r="BY18" s="153"/>
      <c r="BZ18" s="153"/>
      <c r="CA18" s="153"/>
      <c r="CB18" s="153"/>
      <c r="CC18" s="153"/>
      <c r="CD18" s="153"/>
      <c r="CE18" s="153"/>
      <c r="CF18" s="153"/>
    </row>
    <row r="19" spans="1:84" ht="26">
      <c r="A19" s="848"/>
      <c r="B19" s="848" t="s">
        <v>896</v>
      </c>
      <c r="C19" s="848"/>
      <c r="D19" s="848"/>
      <c r="E19" s="848" t="s">
        <v>6732</v>
      </c>
      <c r="F19" s="866" t="s">
        <v>6733</v>
      </c>
      <c r="G19" s="866" t="s">
        <v>6734</v>
      </c>
      <c r="H19" s="866"/>
      <c r="I19" s="866"/>
      <c r="J19" s="866"/>
      <c r="K19" s="866" t="s">
        <v>6710</v>
      </c>
      <c r="L19" s="866"/>
      <c r="M19" s="866"/>
      <c r="N19" s="866"/>
      <c r="O19" s="866"/>
      <c r="P19" s="866"/>
      <c r="Q19" s="897">
        <v>0.9569224105305032</v>
      </c>
      <c r="R19" s="848">
        <v>2060</v>
      </c>
      <c r="S19" s="850">
        <v>0</v>
      </c>
      <c r="T19" s="850">
        <v>0</v>
      </c>
      <c r="U19" s="850">
        <v>0</v>
      </c>
      <c r="V19" s="850">
        <v>0</v>
      </c>
      <c r="W19" s="850">
        <v>0</v>
      </c>
      <c r="X19" s="850">
        <v>0</v>
      </c>
      <c r="Y19" s="850">
        <v>0</v>
      </c>
      <c r="Z19" s="850">
        <v>0</v>
      </c>
      <c r="AA19" s="850">
        <v>0</v>
      </c>
      <c r="AB19" s="850">
        <v>12178101.974735839</v>
      </c>
      <c r="AC19" s="898">
        <f t="shared" si="65"/>
        <v>12178101.974735839</v>
      </c>
      <c r="AD19" s="848"/>
      <c r="AF19" s="58" t="str">
        <f>IFERROR(VLOOKUP(K19,FA_Codes!C:F,2,FALSE),"CHECK")</f>
        <v>TRA A23</v>
      </c>
      <c r="AG19" s="851">
        <f t="shared" si="35"/>
        <v>12178101.974735839</v>
      </c>
      <c r="AH19" s="58" t="str">
        <f>IFERROR(VLOOKUP(AF19,FA_Codes!D:F,3,FALSE),"CHECK")</f>
        <v>Local</v>
      </c>
      <c r="AI19" s="852">
        <v>7.8663793103448273E-2</v>
      </c>
      <c r="AJ19" s="853">
        <f t="shared" si="66"/>
        <v>0.92133620689655171</v>
      </c>
      <c r="AK19" s="854">
        <f t="shared" si="36"/>
        <v>524603.27738533879</v>
      </c>
      <c r="AL19" s="854">
        <f t="shared" si="37"/>
        <v>0</v>
      </c>
      <c r="AM19" s="854">
        <f t="shared" si="38"/>
        <v>0</v>
      </c>
      <c r="AN19" s="854">
        <f t="shared" si="39"/>
        <v>0</v>
      </c>
      <c r="AO19" s="854">
        <f t="shared" si="40"/>
        <v>0</v>
      </c>
      <c r="AP19" s="854">
        <f t="shared" si="41"/>
        <v>0</v>
      </c>
      <c r="AQ19" s="854">
        <f t="shared" si="42"/>
        <v>0</v>
      </c>
      <c r="AR19" s="854">
        <f t="shared" si="43"/>
        <v>0</v>
      </c>
      <c r="AS19" s="854">
        <f t="shared" si="44"/>
        <v>0</v>
      </c>
      <c r="AT19" s="854">
        <f t="shared" si="45"/>
        <v>0</v>
      </c>
      <c r="AU19" s="854">
        <f t="shared" si="46"/>
        <v>916708.41045968374</v>
      </c>
      <c r="AV19" s="854">
        <f t="shared" si="67"/>
        <v>916708.41045968374</v>
      </c>
      <c r="AW19" s="854">
        <f t="shared" si="47"/>
        <v>0</v>
      </c>
      <c r="AX19" s="855">
        <f t="shared" si="48"/>
        <v>0</v>
      </c>
      <c r="AZ19" s="854">
        <f t="shared" si="49"/>
        <v>0</v>
      </c>
      <c r="BA19" s="854">
        <f t="shared" si="50"/>
        <v>0</v>
      </c>
      <c r="BB19" s="854">
        <f t="shared" si="51"/>
        <v>0</v>
      </c>
      <c r="BC19" s="854">
        <f t="shared" si="52"/>
        <v>0</v>
      </c>
      <c r="BD19" s="854">
        <f t="shared" si="53"/>
        <v>0</v>
      </c>
      <c r="BE19" s="854">
        <f t="shared" si="54"/>
        <v>0</v>
      </c>
      <c r="BF19" s="854">
        <f t="shared" si="55"/>
        <v>0</v>
      </c>
      <c r="BG19" s="854">
        <f t="shared" si="56"/>
        <v>0</v>
      </c>
      <c r="BH19" s="854">
        <f t="shared" si="57"/>
        <v>0</v>
      </c>
      <c r="BI19" s="854">
        <f t="shared" si="58"/>
        <v>10736790.286890816</v>
      </c>
      <c r="BJ19" s="854">
        <f t="shared" si="68"/>
        <v>10736790.286890816</v>
      </c>
      <c r="BK19" s="58" t="str">
        <f t="shared" si="69"/>
        <v>OK</v>
      </c>
      <c r="BL19" s="878" t="str">
        <f t="shared" si="59"/>
        <v>Bremner-Norrie Road east of SH1 up to GSR (overlap with project 12) TRA A23 0.956922410530503 2060 0.0786637931034483</v>
      </c>
      <c r="BM19" s="870">
        <f t="shared" si="60"/>
        <v>2</v>
      </c>
      <c r="BN19" s="869">
        <f t="shared" si="70"/>
        <v>11653498.6973505</v>
      </c>
      <c r="BO19" s="870">
        <f>IFERROR(VLOOKUP(AF19,FA_Codes!D:H,5,FALSE),"CHECK")</f>
        <v>0</v>
      </c>
      <c r="BP19" s="870" t="str">
        <f t="shared" si="61"/>
        <v>TRA</v>
      </c>
      <c r="BQ19" s="869">
        <f t="shared" si="62"/>
        <v>12178101.974735839</v>
      </c>
      <c r="BR19" s="870" t="str">
        <f t="shared" si="63"/>
        <v>36a TRA A23</v>
      </c>
      <c r="BS19" s="870" t="str">
        <f t="shared" si="71"/>
        <v>36a</v>
      </c>
      <c r="BT19" s="870" t="s">
        <v>6992</v>
      </c>
      <c r="BU19" s="870">
        <f t="shared" si="64"/>
        <v>2060</v>
      </c>
      <c r="BV19" s="153"/>
      <c r="BW19" s="153"/>
      <c r="BX19" s="153"/>
      <c r="BY19" s="153"/>
      <c r="BZ19" s="153"/>
      <c r="CA19" s="153"/>
      <c r="CB19" s="153"/>
      <c r="CC19" s="153"/>
      <c r="CD19" s="153"/>
      <c r="CE19" s="153"/>
      <c r="CF19" s="153"/>
    </row>
    <row r="20" spans="1:84" ht="26">
      <c r="A20" s="848"/>
      <c r="B20" s="848" t="s">
        <v>896</v>
      </c>
      <c r="C20" s="848"/>
      <c r="D20" s="848"/>
      <c r="E20" s="848" t="s">
        <v>6741</v>
      </c>
      <c r="F20" s="866" t="s">
        <v>6742</v>
      </c>
      <c r="G20" s="866" t="s">
        <v>6743</v>
      </c>
      <c r="H20" s="866"/>
      <c r="I20" s="866"/>
      <c r="J20" s="866"/>
      <c r="K20" s="866" t="s">
        <v>6710</v>
      </c>
      <c r="L20" s="866"/>
      <c r="M20" s="866"/>
      <c r="N20" s="866"/>
      <c r="O20" s="866"/>
      <c r="P20" s="866"/>
      <c r="Q20" s="897">
        <v>0.9569224105305032</v>
      </c>
      <c r="R20" s="848">
        <v>2060</v>
      </c>
      <c r="S20" s="850">
        <v>0</v>
      </c>
      <c r="T20" s="850">
        <v>0</v>
      </c>
      <c r="U20" s="850">
        <v>0</v>
      </c>
      <c r="V20" s="850">
        <v>0</v>
      </c>
      <c r="W20" s="850">
        <v>0</v>
      </c>
      <c r="X20" s="850">
        <v>0</v>
      </c>
      <c r="Y20" s="850">
        <v>0</v>
      </c>
      <c r="Z20" s="850">
        <v>0</v>
      </c>
      <c r="AA20" s="850">
        <v>362573.37388653139</v>
      </c>
      <c r="AB20" s="850">
        <v>3602199.4307784969</v>
      </c>
      <c r="AC20" s="898">
        <f t="shared" si="65"/>
        <v>3964772.8046650281</v>
      </c>
      <c r="AD20" s="848"/>
      <c r="AF20" s="58" t="str">
        <f>IFERROR(VLOOKUP(K20,FA_Codes!C:F,2,FALSE),"CHECK")</f>
        <v>TRA A23</v>
      </c>
      <c r="AG20" s="851">
        <f t="shared" si="35"/>
        <v>3964772.8046650281</v>
      </c>
      <c r="AH20" s="58" t="str">
        <f>IFERROR(VLOOKUP(AF20,FA_Codes!D:F,3,FALSE),"CHECK")</f>
        <v>Local</v>
      </c>
      <c r="AI20" s="852">
        <v>7.8663793103448273E-2</v>
      </c>
      <c r="AJ20" s="853">
        <f t="shared" si="66"/>
        <v>0.92133620689655171</v>
      </c>
      <c r="AK20" s="854">
        <f t="shared" si="36"/>
        <v>170792.85521918553</v>
      </c>
      <c r="AL20" s="854">
        <f t="shared" si="37"/>
        <v>0</v>
      </c>
      <c r="AM20" s="854">
        <f t="shared" si="38"/>
        <v>0</v>
      </c>
      <c r="AN20" s="854">
        <f t="shared" si="39"/>
        <v>0</v>
      </c>
      <c r="AO20" s="854">
        <f t="shared" si="40"/>
        <v>0</v>
      </c>
      <c r="AP20" s="854">
        <f t="shared" si="41"/>
        <v>0</v>
      </c>
      <c r="AQ20" s="854">
        <f t="shared" si="42"/>
        <v>0</v>
      </c>
      <c r="AR20" s="854">
        <f t="shared" si="43"/>
        <v>0</v>
      </c>
      <c r="AS20" s="854">
        <f t="shared" si="44"/>
        <v>0</v>
      </c>
      <c r="AT20" s="854">
        <f t="shared" si="45"/>
        <v>27292.763842843127</v>
      </c>
      <c r="AU20" s="854">
        <f t="shared" si="46"/>
        <v>271156.08993899578</v>
      </c>
      <c r="AV20" s="854">
        <f t="shared" si="67"/>
        <v>298448.8537818389</v>
      </c>
      <c r="AW20" s="854">
        <f t="shared" si="47"/>
        <v>0</v>
      </c>
      <c r="AX20" s="855">
        <f t="shared" si="48"/>
        <v>0</v>
      </c>
      <c r="AZ20" s="854">
        <f t="shared" si="49"/>
        <v>0</v>
      </c>
      <c r="BA20" s="854">
        <f t="shared" si="50"/>
        <v>0</v>
      </c>
      <c r="BB20" s="854">
        <f t="shared" si="51"/>
        <v>0</v>
      </c>
      <c r="BC20" s="854">
        <f t="shared" si="52"/>
        <v>0</v>
      </c>
      <c r="BD20" s="854">
        <f t="shared" si="53"/>
        <v>0</v>
      </c>
      <c r="BE20" s="854">
        <f t="shared" si="54"/>
        <v>0</v>
      </c>
      <c r="BF20" s="854">
        <f t="shared" si="55"/>
        <v>0</v>
      </c>
      <c r="BG20" s="854">
        <f t="shared" si="56"/>
        <v>0</v>
      </c>
      <c r="BH20" s="854">
        <f t="shared" si="57"/>
        <v>319661.8230908339</v>
      </c>
      <c r="BI20" s="854">
        <f t="shared" si="58"/>
        <v>3175869.2725731698</v>
      </c>
      <c r="BJ20" s="854">
        <f t="shared" si="68"/>
        <v>3495531.0956640039</v>
      </c>
      <c r="BK20" s="58" t="str">
        <f t="shared" si="69"/>
        <v>OK</v>
      </c>
      <c r="BL20" s="878" t="str">
        <f t="shared" si="59"/>
        <v>Upgrades in GSR/Firth St intersection (overlap with project12) TRA A23 0.956922410530503 2060 0.0786637931034483</v>
      </c>
      <c r="BM20" s="870">
        <f t="shared" si="60"/>
        <v>2</v>
      </c>
      <c r="BN20" s="869">
        <f t="shared" si="70"/>
        <v>3793979.9494458428</v>
      </c>
      <c r="BO20" s="870">
        <f>IFERROR(VLOOKUP(AF20,FA_Codes!D:H,5,FALSE),"CHECK")</f>
        <v>0</v>
      </c>
      <c r="BP20" s="870" t="str">
        <f t="shared" si="61"/>
        <v>TRA</v>
      </c>
      <c r="BQ20" s="869">
        <f t="shared" si="62"/>
        <v>3964772.8046650281</v>
      </c>
      <c r="BR20" s="870" t="str">
        <f t="shared" si="63"/>
        <v>46 TRA A23</v>
      </c>
      <c r="BS20" s="870">
        <f t="shared" si="71"/>
        <v>46</v>
      </c>
      <c r="BT20" s="870" t="s">
        <v>6992</v>
      </c>
      <c r="BU20" s="870">
        <f t="shared" si="64"/>
        <v>2060</v>
      </c>
      <c r="BV20" s="153"/>
      <c r="BW20" s="153"/>
      <c r="BX20" s="153"/>
      <c r="BY20" s="153"/>
      <c r="BZ20" s="153"/>
      <c r="CA20" s="153"/>
      <c r="CB20" s="153"/>
      <c r="CC20" s="153"/>
      <c r="CD20" s="153"/>
      <c r="CE20" s="153"/>
      <c r="CF20" s="153"/>
    </row>
    <row r="21" spans="1:84" ht="26">
      <c r="A21" s="848"/>
      <c r="B21" s="848" t="s">
        <v>896</v>
      </c>
      <c r="C21" s="848"/>
      <c r="D21" s="848"/>
      <c r="E21" s="848" t="s">
        <v>6744</v>
      </c>
      <c r="F21" s="866" t="s">
        <v>6745</v>
      </c>
      <c r="G21" s="866">
        <v>0</v>
      </c>
      <c r="H21" s="866"/>
      <c r="I21" s="866"/>
      <c r="J21" s="866"/>
      <c r="K21" s="866" t="s">
        <v>6710</v>
      </c>
      <c r="L21" s="866"/>
      <c r="M21" s="866"/>
      <c r="N21" s="866"/>
      <c r="O21" s="866"/>
      <c r="P21" s="866"/>
      <c r="Q21" s="897">
        <v>0.9569224105305032</v>
      </c>
      <c r="R21" s="848">
        <v>2060</v>
      </c>
      <c r="S21" s="850">
        <v>0</v>
      </c>
      <c r="T21" s="850">
        <v>0</v>
      </c>
      <c r="U21" s="850">
        <v>0</v>
      </c>
      <c r="V21" s="850">
        <v>0</v>
      </c>
      <c r="W21" s="850">
        <v>0</v>
      </c>
      <c r="X21" s="850">
        <v>0</v>
      </c>
      <c r="Y21" s="850">
        <v>0</v>
      </c>
      <c r="Z21" s="850">
        <v>365228.90460540401</v>
      </c>
      <c r="AA21" s="850">
        <v>0</v>
      </c>
      <c r="AB21" s="850">
        <v>3802772.1746826335</v>
      </c>
      <c r="AC21" s="898">
        <f t="shared" si="65"/>
        <v>4168001.0792880375</v>
      </c>
      <c r="AD21" s="848"/>
      <c r="AF21" s="58" t="str">
        <f>IFERROR(VLOOKUP(K21,FA_Codes!C:F,2,FALSE),"CHECK")</f>
        <v>TRA A23</v>
      </c>
      <c r="AG21" s="851">
        <f t="shared" si="35"/>
        <v>4168001.0792880375</v>
      </c>
      <c r="AH21" s="58" t="str">
        <f>IFERROR(VLOOKUP(AF21,FA_Codes!D:F,3,FALSE),"CHECK")</f>
        <v>Local</v>
      </c>
      <c r="AI21" s="852">
        <v>7.8663793103448273E-2</v>
      </c>
      <c r="AJ21" s="853">
        <f t="shared" si="66"/>
        <v>0.92133620689655171</v>
      </c>
      <c r="AK21" s="854">
        <f t="shared" si="36"/>
        <v>179547.43940198966</v>
      </c>
      <c r="AL21" s="854">
        <f t="shared" si="37"/>
        <v>0</v>
      </c>
      <c r="AM21" s="854">
        <f t="shared" si="38"/>
        <v>0</v>
      </c>
      <c r="AN21" s="854">
        <f t="shared" si="39"/>
        <v>0</v>
      </c>
      <c r="AO21" s="854">
        <f t="shared" si="40"/>
        <v>0</v>
      </c>
      <c r="AP21" s="854">
        <f t="shared" si="41"/>
        <v>0</v>
      </c>
      <c r="AQ21" s="854">
        <f t="shared" si="42"/>
        <v>0</v>
      </c>
      <c r="AR21" s="854">
        <f t="shared" si="43"/>
        <v>0</v>
      </c>
      <c r="AS21" s="854">
        <f t="shared" si="44"/>
        <v>27492.659306789377</v>
      </c>
      <c r="AT21" s="854">
        <f t="shared" si="45"/>
        <v>0</v>
      </c>
      <c r="AU21" s="854">
        <f t="shared" si="46"/>
        <v>286254.23262390186</v>
      </c>
      <c r="AV21" s="854">
        <f t="shared" si="67"/>
        <v>313746.89193069126</v>
      </c>
      <c r="AW21" s="854">
        <f t="shared" si="47"/>
        <v>0</v>
      </c>
      <c r="AX21" s="855">
        <f t="shared" si="48"/>
        <v>0</v>
      </c>
      <c r="AZ21" s="854">
        <f t="shared" si="49"/>
        <v>0</v>
      </c>
      <c r="BA21" s="854">
        <f t="shared" si="50"/>
        <v>0</v>
      </c>
      <c r="BB21" s="854">
        <f t="shared" si="51"/>
        <v>0</v>
      </c>
      <c r="BC21" s="854">
        <f t="shared" si="52"/>
        <v>0</v>
      </c>
      <c r="BD21" s="854">
        <f t="shared" si="53"/>
        <v>0</v>
      </c>
      <c r="BE21" s="854">
        <f t="shared" si="54"/>
        <v>0</v>
      </c>
      <c r="BF21" s="854">
        <f t="shared" si="55"/>
        <v>0</v>
      </c>
      <c r="BG21" s="854">
        <f t="shared" si="56"/>
        <v>322003.06448362902</v>
      </c>
      <c r="BH21" s="854">
        <f t="shared" si="57"/>
        <v>0</v>
      </c>
      <c r="BI21" s="854">
        <f t="shared" si="58"/>
        <v>3352703.6834717272</v>
      </c>
      <c r="BJ21" s="854">
        <f t="shared" si="68"/>
        <v>3674706.7479553563</v>
      </c>
      <c r="BK21" s="58" t="str">
        <f t="shared" si="69"/>
        <v>OK</v>
      </c>
      <c r="BL21" s="878" t="str">
        <f t="shared" si="59"/>
        <v>Active Mode Corridor Drury Central to GSR TRA A23 0.956922410530503 2060 0.0786637931034483</v>
      </c>
      <c r="BM21" s="870">
        <f t="shared" si="60"/>
        <v>2</v>
      </c>
      <c r="BN21" s="869">
        <f t="shared" si="70"/>
        <v>3988453.6398860477</v>
      </c>
      <c r="BO21" s="870">
        <f>IFERROR(VLOOKUP(AF21,FA_Codes!D:H,5,FALSE),"CHECK")</f>
        <v>0</v>
      </c>
      <c r="BP21" s="870" t="str">
        <f t="shared" si="61"/>
        <v>TRA</v>
      </c>
      <c r="BQ21" s="869">
        <f t="shared" si="62"/>
        <v>4168001.0792880375</v>
      </c>
      <c r="BR21" s="870" t="str">
        <f t="shared" si="63"/>
        <v>67 TRA A23</v>
      </c>
      <c r="BS21" s="870">
        <f t="shared" si="71"/>
        <v>67</v>
      </c>
      <c r="BT21" s="870" t="s">
        <v>6992</v>
      </c>
      <c r="BU21" s="870">
        <f t="shared" si="64"/>
        <v>2060</v>
      </c>
      <c r="BV21" s="153"/>
      <c r="BW21" s="153"/>
      <c r="BX21" s="153"/>
      <c r="BY21" s="153"/>
      <c r="BZ21" s="153"/>
      <c r="CA21" s="153"/>
      <c r="CB21" s="153"/>
      <c r="CC21" s="153"/>
      <c r="CD21" s="153"/>
      <c r="CE21" s="153"/>
      <c r="CF21" s="153"/>
    </row>
    <row r="22" spans="1:84" ht="26">
      <c r="A22" s="848"/>
      <c r="B22" s="848" t="s">
        <v>896</v>
      </c>
      <c r="C22" s="848"/>
      <c r="D22" s="848"/>
      <c r="E22" s="848" t="s">
        <v>6746</v>
      </c>
      <c r="F22" s="866" t="s">
        <v>6747</v>
      </c>
      <c r="G22" s="866" t="s">
        <v>6748</v>
      </c>
      <c r="H22" s="866"/>
      <c r="I22" s="866"/>
      <c r="J22" s="866"/>
      <c r="K22" s="866" t="s">
        <v>6710</v>
      </c>
      <c r="L22" s="866"/>
      <c r="M22" s="866"/>
      <c r="N22" s="866"/>
      <c r="O22" s="866"/>
      <c r="P22" s="866"/>
      <c r="Q22" s="897">
        <v>0.9569224105305032</v>
      </c>
      <c r="R22" s="848">
        <v>2060</v>
      </c>
      <c r="S22" s="850">
        <v>0</v>
      </c>
      <c r="T22" s="850">
        <v>0</v>
      </c>
      <c r="U22" s="850">
        <v>0</v>
      </c>
      <c r="V22" s="850">
        <v>0</v>
      </c>
      <c r="W22" s="850">
        <v>0</v>
      </c>
      <c r="X22" s="850">
        <v>0</v>
      </c>
      <c r="Y22" s="850">
        <v>0</v>
      </c>
      <c r="Z22" s="850">
        <v>0</v>
      </c>
      <c r="AA22" s="850">
        <v>96255.369430142615</v>
      </c>
      <c r="AB22" s="850">
        <v>956745.86449133314</v>
      </c>
      <c r="AC22" s="898">
        <f t="shared" si="65"/>
        <v>1053001.2339214757</v>
      </c>
      <c r="AD22" s="848"/>
      <c r="AF22" s="58" t="str">
        <f>IFERROR(VLOOKUP(K22,FA_Codes!C:F,2,FALSE),"CHECK")</f>
        <v>TRA A23</v>
      </c>
      <c r="AG22" s="851">
        <f t="shared" si="35"/>
        <v>1053001.2339214757</v>
      </c>
      <c r="AH22" s="58" t="str">
        <f>IFERROR(VLOOKUP(AF22,FA_Codes!D:F,3,FALSE),"CHECK")</f>
        <v>Local</v>
      </c>
      <c r="AI22" s="852">
        <v>7.8663793103448273E-2</v>
      </c>
      <c r="AJ22" s="853">
        <f t="shared" si="66"/>
        <v>0.92133620689655171</v>
      </c>
      <c r="AK22" s="854">
        <f t="shared" si="36"/>
        <v>45360.7548657429</v>
      </c>
      <c r="AL22" s="854">
        <f t="shared" si="37"/>
        <v>0</v>
      </c>
      <c r="AM22" s="854">
        <f t="shared" si="38"/>
        <v>0</v>
      </c>
      <c r="AN22" s="854">
        <f t="shared" si="39"/>
        <v>0</v>
      </c>
      <c r="AO22" s="854">
        <f t="shared" si="40"/>
        <v>0</v>
      </c>
      <c r="AP22" s="854">
        <f t="shared" si="41"/>
        <v>0</v>
      </c>
      <c r="AQ22" s="854">
        <f t="shared" si="42"/>
        <v>0</v>
      </c>
      <c r="AR22" s="854">
        <f t="shared" si="43"/>
        <v>0</v>
      </c>
      <c r="AS22" s="854">
        <f t="shared" si="44"/>
        <v>0</v>
      </c>
      <c r="AT22" s="854">
        <f t="shared" si="45"/>
        <v>7245.6370370005607</v>
      </c>
      <c r="AU22" s="854">
        <f t="shared" si="46"/>
        <v>72019.185130099111</v>
      </c>
      <c r="AV22" s="854">
        <f t="shared" si="67"/>
        <v>79264.822167099672</v>
      </c>
      <c r="AW22" s="854">
        <f t="shared" si="47"/>
        <v>0</v>
      </c>
      <c r="AX22" s="855">
        <f t="shared" si="48"/>
        <v>0</v>
      </c>
      <c r="AZ22" s="854">
        <f t="shared" si="49"/>
        <v>0</v>
      </c>
      <c r="BA22" s="854">
        <f t="shared" si="50"/>
        <v>0</v>
      </c>
      <c r="BB22" s="854">
        <f t="shared" si="51"/>
        <v>0</v>
      </c>
      <c r="BC22" s="854">
        <f t="shared" si="52"/>
        <v>0</v>
      </c>
      <c r="BD22" s="854">
        <f t="shared" si="53"/>
        <v>0</v>
      </c>
      <c r="BE22" s="854">
        <f t="shared" si="54"/>
        <v>0</v>
      </c>
      <c r="BF22" s="854">
        <f t="shared" si="55"/>
        <v>0</v>
      </c>
      <c r="BG22" s="854">
        <f t="shared" si="56"/>
        <v>0</v>
      </c>
      <c r="BH22" s="854">
        <f t="shared" si="57"/>
        <v>84863.283104595612</v>
      </c>
      <c r="BI22" s="854">
        <f t="shared" si="58"/>
        <v>843512.37378403754</v>
      </c>
      <c r="BJ22" s="854">
        <f t="shared" si="68"/>
        <v>928375.65688863315</v>
      </c>
      <c r="BK22" s="58" t="str">
        <f t="shared" si="69"/>
        <v>OK</v>
      </c>
      <c r="BL22" s="878" t="str">
        <f t="shared" si="59"/>
        <v>walk/cycle bridges on GSR Road bridge over the rail corridor TRA A23 0.956922410530503 2060 0.0786637931034483</v>
      </c>
      <c r="BM22" s="870">
        <f t="shared" si="60"/>
        <v>2</v>
      </c>
      <c r="BN22" s="869">
        <f t="shared" si="70"/>
        <v>1007640.4790557328</v>
      </c>
      <c r="BO22" s="870">
        <f>IFERROR(VLOOKUP(AF22,FA_Codes!D:H,5,FALSE),"CHECK")</f>
        <v>0</v>
      </c>
      <c r="BP22" s="870" t="str">
        <f t="shared" si="61"/>
        <v>TRA</v>
      </c>
      <c r="BQ22" s="869">
        <f t="shared" si="62"/>
        <v>1053001.2339214757</v>
      </c>
      <c r="BR22" s="870" t="str">
        <f t="shared" si="63"/>
        <v>70 TRA A23</v>
      </c>
      <c r="BS22" s="870">
        <f t="shared" si="71"/>
        <v>70</v>
      </c>
      <c r="BT22" s="870" t="s">
        <v>6992</v>
      </c>
      <c r="BU22" s="870">
        <f t="shared" si="64"/>
        <v>2060</v>
      </c>
      <c r="BV22" s="153"/>
      <c r="BW22" s="153"/>
      <c r="BX22" s="153"/>
      <c r="BY22" s="153"/>
      <c r="BZ22" s="153"/>
      <c r="CA22" s="153"/>
      <c r="CB22" s="153"/>
      <c r="CC22" s="153"/>
      <c r="CD22" s="153"/>
      <c r="CE22" s="153"/>
      <c r="CF22" s="153"/>
    </row>
    <row r="23" spans="1:84" ht="26">
      <c r="A23" s="848"/>
      <c r="B23" s="848" t="s">
        <v>896</v>
      </c>
      <c r="C23" s="848"/>
      <c r="D23" s="848"/>
      <c r="E23" s="848" t="s">
        <v>6869</v>
      </c>
      <c r="F23" s="866" t="s">
        <v>6868</v>
      </c>
      <c r="G23" s="808" t="s">
        <v>6711</v>
      </c>
      <c r="H23" s="808"/>
      <c r="I23" s="808"/>
      <c r="J23" s="808"/>
      <c r="K23" s="808" t="s">
        <v>6710</v>
      </c>
      <c r="L23" s="808"/>
      <c r="M23" s="808"/>
      <c r="N23" s="808"/>
      <c r="O23" s="808"/>
      <c r="P23" s="808"/>
      <c r="Q23" s="849">
        <v>0.9569224105305032</v>
      </c>
      <c r="R23" s="848">
        <v>2060</v>
      </c>
      <c r="S23" s="850">
        <v>0</v>
      </c>
      <c r="T23" s="850">
        <v>0</v>
      </c>
      <c r="U23" s="850">
        <v>0</v>
      </c>
      <c r="V23" s="850">
        <v>0</v>
      </c>
      <c r="W23" s="850">
        <v>0</v>
      </c>
      <c r="X23" s="850">
        <v>0</v>
      </c>
      <c r="Y23" s="850">
        <v>0</v>
      </c>
      <c r="Z23" s="850">
        <v>0</v>
      </c>
      <c r="AA23" s="850">
        <v>-713318.59517159197</v>
      </c>
      <c r="AB23" s="850">
        <v>-7086885.0901747821</v>
      </c>
      <c r="AC23" s="809">
        <f t="shared" si="65"/>
        <v>-7800203.6853463743</v>
      </c>
      <c r="AD23" s="848"/>
      <c r="AF23" s="58" t="str">
        <f>IFERROR(VLOOKUP(K23,FA_Codes!C:F,2,FALSE),"CHECK")</f>
        <v>TRA A23</v>
      </c>
      <c r="AG23" s="851">
        <f t="shared" si="35"/>
        <v>-7800203.6853463743</v>
      </c>
      <c r="AH23" s="58" t="str">
        <f>IFERROR(VLOOKUP(AF23,FA_Codes!D:F,3,FALSE),"CHECK")</f>
        <v>Local</v>
      </c>
      <c r="AI23" s="852">
        <v>7.8663793103448273E-2</v>
      </c>
      <c r="AJ23" s="853">
        <f t="shared" si="66"/>
        <v>0.92133620689655171</v>
      </c>
      <c r="AK23" s="854">
        <f t="shared" si="36"/>
        <v>-336013.9721358071</v>
      </c>
      <c r="AL23" s="854">
        <f t="shared" si="37"/>
        <v>0</v>
      </c>
      <c r="AM23" s="854">
        <f t="shared" si="38"/>
        <v>0</v>
      </c>
      <c r="AN23" s="854">
        <f t="shared" si="39"/>
        <v>0</v>
      </c>
      <c r="AO23" s="854">
        <f t="shared" si="40"/>
        <v>0</v>
      </c>
      <c r="AP23" s="854">
        <f t="shared" si="41"/>
        <v>0</v>
      </c>
      <c r="AQ23" s="854">
        <f t="shared" si="42"/>
        <v>0</v>
      </c>
      <c r="AR23" s="854">
        <f t="shared" si="43"/>
        <v>0</v>
      </c>
      <c r="AS23" s="854">
        <f t="shared" si="44"/>
        <v>0</v>
      </c>
      <c r="AT23" s="854">
        <f t="shared" si="45"/>
        <v>-53695.161765572986</v>
      </c>
      <c r="AU23" s="854">
        <f t="shared" si="46"/>
        <v>-533466.31351930997</v>
      </c>
      <c r="AV23" s="854">
        <f t="shared" si="67"/>
        <v>-587161.47528488294</v>
      </c>
      <c r="AW23" s="854">
        <f t="shared" si="47"/>
        <v>0</v>
      </c>
      <c r="AX23" s="855">
        <f t="shared" si="48"/>
        <v>0</v>
      </c>
      <c r="AZ23" s="854">
        <f t="shared" si="49"/>
        <v>0</v>
      </c>
      <c r="BA23" s="854">
        <f t="shared" si="50"/>
        <v>0</v>
      </c>
      <c r="BB23" s="854">
        <f t="shared" si="51"/>
        <v>0</v>
      </c>
      <c r="BC23" s="854">
        <f t="shared" si="52"/>
        <v>0</v>
      </c>
      <c r="BD23" s="854">
        <f t="shared" si="53"/>
        <v>0</v>
      </c>
      <c r="BE23" s="854">
        <f t="shared" si="54"/>
        <v>0</v>
      </c>
      <c r="BF23" s="854">
        <f t="shared" si="55"/>
        <v>0</v>
      </c>
      <c r="BG23" s="854">
        <f t="shared" si="56"/>
        <v>0</v>
      </c>
      <c r="BH23" s="854">
        <f t="shared" si="57"/>
        <v>-628895.38780225895</v>
      </c>
      <c r="BI23" s="854">
        <f t="shared" si="58"/>
        <v>-6248132.850123425</v>
      </c>
      <c r="BJ23" s="854">
        <f t="shared" si="68"/>
        <v>-6877028.2379256841</v>
      </c>
      <c r="BK23" s="58" t="str">
        <f t="shared" si="69"/>
        <v>OK</v>
      </c>
      <c r="BL23" s="856" t="str">
        <f t="shared" si="59"/>
        <v>GSR improvements - Waihoehoe Rd to Drury Interchange TRA A23 0.956922410530503 2060 0.0786637931034483</v>
      </c>
      <c r="BM23" s="153">
        <f t="shared" si="60"/>
        <v>2</v>
      </c>
      <c r="BN23" s="869">
        <f t="shared" si="70"/>
        <v>-7464189.7132105669</v>
      </c>
      <c r="BO23" s="870">
        <f>IFERROR(VLOOKUP(AF23,FA_Codes!D:H,5,FALSE),"CHECK")</f>
        <v>0</v>
      </c>
      <c r="BP23" s="870" t="str">
        <f t="shared" si="61"/>
        <v>TRA</v>
      </c>
      <c r="BQ23" s="869">
        <f t="shared" si="62"/>
        <v>0</v>
      </c>
      <c r="BR23" s="870" t="str">
        <f t="shared" si="63"/>
        <v>1b TRA A23</v>
      </c>
      <c r="BS23" s="870" t="str">
        <f t="shared" si="71"/>
        <v>1b</v>
      </c>
      <c r="BT23" s="870" t="s">
        <v>6992</v>
      </c>
      <c r="BU23" s="870">
        <f t="shared" si="64"/>
        <v>2060</v>
      </c>
      <c r="BV23" s="153"/>
      <c r="BW23" s="153"/>
      <c r="BX23" s="153"/>
      <c r="BY23" s="153"/>
      <c r="BZ23" s="153"/>
      <c r="CA23" s="153"/>
      <c r="CB23" s="153"/>
      <c r="CC23" s="153"/>
      <c r="CD23" s="153"/>
      <c r="CE23" s="153"/>
      <c r="CF23" s="153"/>
    </row>
    <row r="24" spans="1:84" ht="26">
      <c r="A24" s="848"/>
      <c r="B24" s="848" t="s">
        <v>896</v>
      </c>
      <c r="C24" s="848"/>
      <c r="D24" s="848"/>
      <c r="E24" s="848" t="s">
        <v>6749</v>
      </c>
      <c r="F24" s="866" t="s">
        <v>6708</v>
      </c>
      <c r="G24" s="808" t="s">
        <v>6709</v>
      </c>
      <c r="H24" s="808"/>
      <c r="I24" s="808"/>
      <c r="J24" s="808"/>
      <c r="K24" s="808" t="s">
        <v>6710</v>
      </c>
      <c r="L24" s="808"/>
      <c r="M24" s="808"/>
      <c r="N24" s="808"/>
      <c r="O24" s="808"/>
      <c r="P24" s="808"/>
      <c r="Q24" s="849">
        <v>0.9569224105305032</v>
      </c>
      <c r="R24" s="848">
        <v>2060</v>
      </c>
      <c r="S24" s="850">
        <v>0</v>
      </c>
      <c r="T24" s="850">
        <v>0</v>
      </c>
      <c r="U24" s="850">
        <v>0</v>
      </c>
      <c r="V24" s="850">
        <v>0</v>
      </c>
      <c r="W24" s="850">
        <v>0</v>
      </c>
      <c r="X24" s="850">
        <v>0</v>
      </c>
      <c r="Y24" s="850">
        <v>0</v>
      </c>
      <c r="Z24" s="850">
        <v>-434039.86647279299</v>
      </c>
      <c r="AA24" s="850">
        <v>-4312225.5315768775</v>
      </c>
      <c r="AB24" s="850">
        <v>0</v>
      </c>
      <c r="AC24" s="809">
        <f t="shared" si="65"/>
        <v>-4746265.3980496703</v>
      </c>
      <c r="AD24" s="848"/>
      <c r="AF24" s="58" t="str">
        <f>IFERROR(VLOOKUP(K24,FA_Codes!C:F,2,FALSE),"CHECK")</f>
        <v>TRA A23</v>
      </c>
      <c r="AG24" s="851">
        <f t="shared" si="35"/>
        <v>-4746265.3980496703</v>
      </c>
      <c r="AH24" s="58" t="str">
        <f>IFERROR(VLOOKUP(AF24,FA_Codes!D:F,3,FALSE),"CHECK")</f>
        <v>Local</v>
      </c>
      <c r="AI24" s="852">
        <v>7.8663793103448273E-2</v>
      </c>
      <c r="AJ24" s="853">
        <f t="shared" si="66"/>
        <v>0.92133620689655171</v>
      </c>
      <c r="AK24" s="854">
        <f t="shared" si="36"/>
        <v>-204457.67233046153</v>
      </c>
      <c r="AL24" s="854">
        <f t="shared" si="37"/>
        <v>0</v>
      </c>
      <c r="AM24" s="854">
        <f t="shared" si="38"/>
        <v>0</v>
      </c>
      <c r="AN24" s="854">
        <f t="shared" si="39"/>
        <v>0</v>
      </c>
      <c r="AO24" s="854">
        <f t="shared" si="40"/>
        <v>0</v>
      </c>
      <c r="AP24" s="854">
        <f t="shared" si="41"/>
        <v>0</v>
      </c>
      <c r="AQ24" s="854">
        <f t="shared" si="42"/>
        <v>0</v>
      </c>
      <c r="AR24" s="854">
        <f t="shared" si="43"/>
        <v>0</v>
      </c>
      <c r="AS24" s="854">
        <f t="shared" si="44"/>
        <v>-32672.41454340328</v>
      </c>
      <c r="AT24" s="854">
        <f t="shared" si="45"/>
        <v>-324603.40870821552</v>
      </c>
      <c r="AU24" s="854">
        <f t="shared" si="46"/>
        <v>0</v>
      </c>
      <c r="AV24" s="854">
        <f t="shared" si="67"/>
        <v>-357275.82325161877</v>
      </c>
      <c r="AW24" s="854">
        <f t="shared" si="47"/>
        <v>0</v>
      </c>
      <c r="AX24" s="855">
        <f t="shared" si="48"/>
        <v>0</v>
      </c>
      <c r="AZ24" s="854">
        <f t="shared" si="49"/>
        <v>0</v>
      </c>
      <c r="BA24" s="854">
        <f t="shared" si="50"/>
        <v>0</v>
      </c>
      <c r="BB24" s="854">
        <f t="shared" si="51"/>
        <v>0</v>
      </c>
      <c r="BC24" s="854">
        <f t="shared" si="52"/>
        <v>0</v>
      </c>
      <c r="BD24" s="854">
        <f t="shared" si="53"/>
        <v>0</v>
      </c>
      <c r="BE24" s="854">
        <f t="shared" si="54"/>
        <v>0</v>
      </c>
      <c r="BF24" s="854">
        <f t="shared" si="55"/>
        <v>0</v>
      </c>
      <c r="BG24" s="854">
        <f t="shared" si="56"/>
        <v>-382670.0607480795</v>
      </c>
      <c r="BH24" s="854">
        <f t="shared" si="57"/>
        <v>-3801861.8417195105</v>
      </c>
      <c r="BI24" s="854">
        <f t="shared" si="58"/>
        <v>0</v>
      </c>
      <c r="BJ24" s="854">
        <f t="shared" si="68"/>
        <v>-4184531.9024675898</v>
      </c>
      <c r="BK24" s="58" t="str">
        <f t="shared" si="69"/>
        <v>OK</v>
      </c>
      <c r="BL24" s="856" t="str">
        <f t="shared" si="59"/>
        <v>GSR improvements - From Drury School to Waihoehoe Rd TRA A23 0.956922410530503 2060 0.0786637931034483</v>
      </c>
      <c r="BM24" s="153">
        <f t="shared" si="60"/>
        <v>2</v>
      </c>
      <c r="BN24" s="869">
        <f t="shared" si="70"/>
        <v>-4541807.7257192088</v>
      </c>
      <c r="BO24" s="870">
        <f>IFERROR(VLOOKUP(AF24,FA_Codes!D:H,5,FALSE),"CHECK")</f>
        <v>0</v>
      </c>
      <c r="BP24" s="870" t="str">
        <f t="shared" si="61"/>
        <v>TRA</v>
      </c>
      <c r="BQ24" s="869">
        <f t="shared" si="62"/>
        <v>0</v>
      </c>
      <c r="BR24" s="870" t="str">
        <f t="shared" si="63"/>
        <v>2a TRA A23</v>
      </c>
      <c r="BS24" s="870" t="str">
        <f t="shared" si="71"/>
        <v>2a</v>
      </c>
      <c r="BT24" s="870" t="s">
        <v>6992</v>
      </c>
      <c r="BU24" s="870">
        <f t="shared" si="64"/>
        <v>2060</v>
      </c>
      <c r="BV24" s="153"/>
      <c r="BW24" s="153"/>
      <c r="BX24" s="153"/>
      <c r="BY24" s="153"/>
      <c r="BZ24" s="153"/>
      <c r="CA24" s="153"/>
      <c r="CB24" s="153"/>
      <c r="CC24" s="153"/>
      <c r="CD24" s="153"/>
      <c r="CE24" s="153"/>
      <c r="CF24" s="153"/>
    </row>
    <row r="25" spans="1:84" ht="39">
      <c r="A25" s="848"/>
      <c r="B25" s="848" t="s">
        <v>896</v>
      </c>
      <c r="C25" s="848"/>
      <c r="D25" s="848"/>
      <c r="E25" s="848" t="s">
        <v>6750</v>
      </c>
      <c r="F25" s="866" t="s">
        <v>6713</v>
      </c>
      <c r="G25" s="808" t="s">
        <v>6714</v>
      </c>
      <c r="H25" s="808"/>
      <c r="I25" s="808"/>
      <c r="J25" s="808"/>
      <c r="K25" s="808" t="s">
        <v>6710</v>
      </c>
      <c r="L25" s="808"/>
      <c r="M25" s="808"/>
      <c r="N25" s="808"/>
      <c r="O25" s="808"/>
      <c r="P25" s="808"/>
      <c r="Q25" s="849">
        <v>0.9569224105305032</v>
      </c>
      <c r="R25" s="848">
        <v>2060</v>
      </c>
      <c r="S25" s="850">
        <v>0</v>
      </c>
      <c r="T25" s="850">
        <v>0</v>
      </c>
      <c r="U25" s="850">
        <v>-9745.9445736565431</v>
      </c>
      <c r="V25" s="850">
        <v>0</v>
      </c>
      <c r="W25" s="850">
        <v>0</v>
      </c>
      <c r="X25" s="850">
        <v>-1029343.538542027</v>
      </c>
      <c r="Y25" s="850">
        <v>-293984.27454797755</v>
      </c>
      <c r="Z25" s="850">
        <v>-3205607.6485710484</v>
      </c>
      <c r="AA25" s="850">
        <v>0</v>
      </c>
      <c r="AB25" s="850">
        <v>0</v>
      </c>
      <c r="AC25" s="809">
        <f t="shared" si="65"/>
        <v>-4538681.4062347095</v>
      </c>
      <c r="AD25" s="848"/>
      <c r="AF25" s="58" t="str">
        <f>IFERROR(VLOOKUP(K25,FA_Codes!C:F,2,FALSE),"CHECK")</f>
        <v>TRA A23</v>
      </c>
      <c r="AG25" s="851">
        <f t="shared" si="35"/>
        <v>-4538681.4062347095</v>
      </c>
      <c r="AH25" s="58" t="str">
        <f>IFERROR(VLOOKUP(AF25,FA_Codes!D:F,3,FALSE),"CHECK")</f>
        <v>Local</v>
      </c>
      <c r="AI25" s="852">
        <v>7.8663793103448273E-2</v>
      </c>
      <c r="AJ25" s="853">
        <f t="shared" si="66"/>
        <v>0.92133620689655171</v>
      </c>
      <c r="AK25" s="854">
        <f t="shared" si="36"/>
        <v>-195515.45435061725</v>
      </c>
      <c r="AL25" s="854">
        <f t="shared" si="37"/>
        <v>0</v>
      </c>
      <c r="AM25" s="854">
        <f t="shared" si="38"/>
        <v>0</v>
      </c>
      <c r="AN25" s="854">
        <f t="shared" si="39"/>
        <v>-733.62740573854205</v>
      </c>
      <c r="AO25" s="854">
        <f t="shared" si="40"/>
        <v>0</v>
      </c>
      <c r="AP25" s="854">
        <f t="shared" si="41"/>
        <v>0</v>
      </c>
      <c r="AQ25" s="854">
        <f t="shared" si="42"/>
        <v>-77483.985681132879</v>
      </c>
      <c r="AR25" s="854">
        <f t="shared" si="43"/>
        <v>-22129.709340594152</v>
      </c>
      <c r="AS25" s="854">
        <f t="shared" si="44"/>
        <v>-241302.58542548565</v>
      </c>
      <c r="AT25" s="854">
        <f t="shared" si="45"/>
        <v>0</v>
      </c>
      <c r="AU25" s="854">
        <f t="shared" si="46"/>
        <v>0</v>
      </c>
      <c r="AV25" s="854">
        <f t="shared" si="67"/>
        <v>-341649.9078529512</v>
      </c>
      <c r="AW25" s="854">
        <f t="shared" si="47"/>
        <v>0</v>
      </c>
      <c r="AX25" s="855">
        <f t="shared" si="48"/>
        <v>0</v>
      </c>
      <c r="AZ25" s="854">
        <f t="shared" si="49"/>
        <v>0</v>
      </c>
      <c r="BA25" s="854">
        <f t="shared" si="50"/>
        <v>0</v>
      </c>
      <c r="BB25" s="854">
        <f t="shared" si="51"/>
        <v>-8592.4853685815542</v>
      </c>
      <c r="BC25" s="854">
        <f t="shared" si="52"/>
        <v>0</v>
      </c>
      <c r="BD25" s="854">
        <f t="shared" si="53"/>
        <v>0</v>
      </c>
      <c r="BE25" s="854">
        <f t="shared" si="54"/>
        <v>-907517.91448450158</v>
      </c>
      <c r="BF25" s="854">
        <f t="shared" si="55"/>
        <v>-259190.4313179178</v>
      </c>
      <c r="BG25" s="854">
        <f t="shared" si="56"/>
        <v>-2826215.21286014</v>
      </c>
      <c r="BH25" s="854">
        <f t="shared" si="57"/>
        <v>0</v>
      </c>
      <c r="BI25" s="854">
        <f t="shared" si="58"/>
        <v>0</v>
      </c>
      <c r="BJ25" s="854">
        <f t="shared" si="68"/>
        <v>-4001516.0440311413</v>
      </c>
      <c r="BK25" s="58" t="str">
        <f t="shared" si="69"/>
        <v>OK</v>
      </c>
      <c r="BL25" s="856" t="str">
        <f t="shared" si="59"/>
        <v>Waihoehoe Rd East upgrades- from Fitzgerald Rd to before Cossey Rd (development boundary) TRA A23 0.956922410530503 2060 0.0786637931034483</v>
      </c>
      <c r="BM25" s="153">
        <f t="shared" si="60"/>
        <v>2</v>
      </c>
      <c r="BN25" s="869">
        <f t="shared" si="70"/>
        <v>-4343165.9518840928</v>
      </c>
      <c r="BO25" s="870">
        <f>IFERROR(VLOOKUP(AF25,FA_Codes!D:H,5,FALSE),"CHECK")</f>
        <v>0</v>
      </c>
      <c r="BP25" s="870" t="str">
        <f t="shared" si="61"/>
        <v>TRA</v>
      </c>
      <c r="BQ25" s="869">
        <f t="shared" si="62"/>
        <v>0</v>
      </c>
      <c r="BR25" s="870" t="str">
        <f t="shared" si="63"/>
        <v>4b TRA A23</v>
      </c>
      <c r="BS25" s="870" t="str">
        <f t="shared" si="71"/>
        <v>4b</v>
      </c>
      <c r="BT25" s="870" t="s">
        <v>6992</v>
      </c>
      <c r="BU25" s="870">
        <f t="shared" si="64"/>
        <v>2060</v>
      </c>
      <c r="BV25" s="153"/>
      <c r="BW25" s="153"/>
      <c r="BX25" s="153"/>
      <c r="BY25" s="153"/>
      <c r="BZ25" s="153"/>
      <c r="CA25" s="153"/>
      <c r="CB25" s="153"/>
      <c r="CC25" s="153"/>
      <c r="CD25" s="153"/>
      <c r="CE25" s="153"/>
      <c r="CF25" s="153"/>
    </row>
    <row r="26" spans="1:84" ht="26">
      <c r="A26" s="848"/>
      <c r="B26" s="848" t="s">
        <v>896</v>
      </c>
      <c r="C26" s="848"/>
      <c r="D26" s="848"/>
      <c r="E26" s="848" t="s">
        <v>6751</v>
      </c>
      <c r="F26" s="866" t="s">
        <v>6715</v>
      </c>
      <c r="G26" s="808" t="s">
        <v>6717</v>
      </c>
      <c r="H26" s="808"/>
      <c r="I26" s="808"/>
      <c r="J26" s="808"/>
      <c r="K26" s="808" t="s">
        <v>6710</v>
      </c>
      <c r="L26" s="848"/>
      <c r="M26" s="848"/>
      <c r="N26" s="848"/>
      <c r="O26" s="848"/>
      <c r="P26" s="848"/>
      <c r="Q26" s="849">
        <v>0.9569224105305032</v>
      </c>
      <c r="R26" s="848">
        <v>2060</v>
      </c>
      <c r="S26" s="850">
        <v>0</v>
      </c>
      <c r="T26" s="850">
        <v>0</v>
      </c>
      <c r="U26" s="850">
        <v>0</v>
      </c>
      <c r="V26" s="850">
        <v>0</v>
      </c>
      <c r="W26" s="850">
        <v>0</v>
      </c>
      <c r="X26" s="850">
        <v>0</v>
      </c>
      <c r="Y26" s="850">
        <v>0</v>
      </c>
      <c r="Z26" s="850">
        <v>-274750.98787903844</v>
      </c>
      <c r="AA26" s="850">
        <v>-340752.45003836462</v>
      </c>
      <c r="AB26" s="850">
        <v>-3443969.2204967085</v>
      </c>
      <c r="AC26" s="809">
        <f t="shared" si="65"/>
        <v>-4059472.6584141115</v>
      </c>
      <c r="AD26" s="848"/>
      <c r="AF26" s="58" t="str">
        <f>IFERROR(VLOOKUP(K26,FA_Codes!C:F,2,FALSE),"CHECK")</f>
        <v>TRA A23</v>
      </c>
      <c r="AG26" s="851">
        <f t="shared" si="35"/>
        <v>-4059472.6584141115</v>
      </c>
      <c r="AH26" s="58" t="str">
        <f>IFERROR(VLOOKUP(AF26,FA_Codes!D:F,3,FALSE),"CHECK")</f>
        <v>Local</v>
      </c>
      <c r="AI26" s="852">
        <v>7.8663793103448273E-2</v>
      </c>
      <c r="AJ26" s="853">
        <f t="shared" si="66"/>
        <v>0.92133620689655171</v>
      </c>
      <c r="AK26" s="854">
        <f t="shared" si="36"/>
        <v>-174872.29664180992</v>
      </c>
      <c r="AL26" s="854">
        <f t="shared" si="37"/>
        <v>0</v>
      </c>
      <c r="AM26" s="854">
        <f t="shared" si="38"/>
        <v>0</v>
      </c>
      <c r="AN26" s="854">
        <f t="shared" si="39"/>
        <v>0</v>
      </c>
      <c r="AO26" s="854">
        <f t="shared" si="40"/>
        <v>0</v>
      </c>
      <c r="AP26" s="854">
        <f t="shared" si="41"/>
        <v>0</v>
      </c>
      <c r="AQ26" s="854">
        <f t="shared" si="42"/>
        <v>0</v>
      </c>
      <c r="AR26" s="854">
        <f t="shared" si="43"/>
        <v>0</v>
      </c>
      <c r="AS26" s="854">
        <f t="shared" si="44"/>
        <v>-20681.920868566591</v>
      </c>
      <c r="AT26" s="854">
        <f t="shared" si="45"/>
        <v>-25650.190603013718</v>
      </c>
      <c r="AU26" s="854">
        <f t="shared" si="46"/>
        <v>-259245.28767645636</v>
      </c>
      <c r="AV26" s="854">
        <f t="shared" si="67"/>
        <v>-305577.39914803667</v>
      </c>
      <c r="AW26" s="854">
        <f t="shared" si="47"/>
        <v>0</v>
      </c>
      <c r="AX26" s="855">
        <f t="shared" si="48"/>
        <v>0</v>
      </c>
      <c r="AZ26" s="854">
        <f t="shared" si="49"/>
        <v>0</v>
      </c>
      <c r="BA26" s="854">
        <f t="shared" si="50"/>
        <v>0</v>
      </c>
      <c r="BB26" s="854">
        <f t="shared" si="51"/>
        <v>0</v>
      </c>
      <c r="BC26" s="854">
        <f t="shared" si="52"/>
        <v>0</v>
      </c>
      <c r="BD26" s="854">
        <f t="shared" si="53"/>
        <v>0</v>
      </c>
      <c r="BE26" s="854">
        <f t="shared" si="54"/>
        <v>0</v>
      </c>
      <c r="BF26" s="854">
        <f t="shared" si="55"/>
        <v>0</v>
      </c>
      <c r="BG26" s="854">
        <f t="shared" si="56"/>
        <v>-242233.45674827995</v>
      </c>
      <c r="BH26" s="854">
        <f t="shared" si="57"/>
        <v>-300423.46528187301</v>
      </c>
      <c r="BI26" s="854">
        <f t="shared" si="58"/>
        <v>-3036366.0405941121</v>
      </c>
      <c r="BJ26" s="854">
        <f t="shared" si="68"/>
        <v>-3579022.9626242649</v>
      </c>
      <c r="BK26" s="58" t="str">
        <f t="shared" si="69"/>
        <v>OK</v>
      </c>
      <c r="BL26" s="856" t="str">
        <f t="shared" si="59"/>
        <v>Upgrade in Norrie Rd/GSR/Waihoehoe intersection TRA A23 0.956922410530503 2060 0.0786637931034483</v>
      </c>
      <c r="BM26" s="153">
        <f t="shared" si="60"/>
        <v>2</v>
      </c>
      <c r="BN26" s="869">
        <f t="shared" si="70"/>
        <v>-3884600.3617723016</v>
      </c>
      <c r="BO26" s="870">
        <f>IFERROR(VLOOKUP(AF26,FA_Codes!D:H,5,FALSE),"CHECK")</f>
        <v>0</v>
      </c>
      <c r="BP26" s="870" t="str">
        <f t="shared" si="61"/>
        <v>TRA</v>
      </c>
      <c r="BQ26" s="869">
        <f t="shared" si="62"/>
        <v>0</v>
      </c>
      <c r="BR26" s="870" t="str">
        <f t="shared" si="63"/>
        <v>9b TRA A23</v>
      </c>
      <c r="BS26" s="870" t="str">
        <f t="shared" si="71"/>
        <v>9b</v>
      </c>
      <c r="BT26" s="870" t="s">
        <v>6992</v>
      </c>
      <c r="BU26" s="870">
        <f t="shared" si="64"/>
        <v>2060</v>
      </c>
      <c r="BV26" s="153"/>
      <c r="BW26" s="153"/>
      <c r="BX26" s="153"/>
      <c r="BY26" s="153"/>
      <c r="BZ26" s="153"/>
      <c r="CA26" s="153"/>
      <c r="CB26" s="153"/>
      <c r="CC26" s="153"/>
      <c r="CD26" s="153"/>
      <c r="CE26" s="153"/>
      <c r="CF26" s="153"/>
    </row>
    <row r="27" spans="1:84" ht="26">
      <c r="A27" s="848"/>
      <c r="B27" s="848" t="s">
        <v>896</v>
      </c>
      <c r="C27" s="848"/>
      <c r="D27" s="848"/>
      <c r="E27" s="848" t="s">
        <v>6839</v>
      </c>
      <c r="F27" s="866" t="s">
        <v>6718</v>
      </c>
      <c r="G27" s="808" t="s">
        <v>6838</v>
      </c>
      <c r="H27" s="808"/>
      <c r="I27" s="808"/>
      <c r="J27" s="808"/>
      <c r="K27" s="808" t="s">
        <v>6710</v>
      </c>
      <c r="L27" s="848"/>
      <c r="M27" s="848"/>
      <c r="N27" s="848"/>
      <c r="O27" s="848"/>
      <c r="P27" s="848"/>
      <c r="Q27" s="849">
        <v>0.9569224105305032</v>
      </c>
      <c r="R27" s="848">
        <v>2060</v>
      </c>
      <c r="S27" s="850">
        <v>0</v>
      </c>
      <c r="T27" s="850">
        <v>0</v>
      </c>
      <c r="U27" s="850">
        <v>0</v>
      </c>
      <c r="V27" s="850">
        <v>0</v>
      </c>
      <c r="W27" s="850">
        <v>0</v>
      </c>
      <c r="X27" s="850">
        <v>0</v>
      </c>
      <c r="Y27" s="850">
        <v>0</v>
      </c>
      <c r="Z27" s="850">
        <v>-396437.08407491056</v>
      </c>
      <c r="AA27" s="850">
        <v>-308187.36780355155</v>
      </c>
      <c r="AB27" s="850">
        <v>-3111823.6005873503</v>
      </c>
      <c r="AC27" s="809">
        <f t="shared" si="65"/>
        <v>-3816448.0524658123</v>
      </c>
      <c r="AD27" s="848"/>
      <c r="AF27" s="58" t="str">
        <f>IFERROR(VLOOKUP(K27,FA_Codes!C:F,2,FALSE),"CHECK")</f>
        <v>TRA A23</v>
      </c>
      <c r="AG27" s="851">
        <f t="shared" si="35"/>
        <v>-3816448.0524658123</v>
      </c>
      <c r="AH27" s="58" t="str">
        <f>IFERROR(VLOOKUP(AF27,FA_Codes!D:F,3,FALSE),"CHECK")</f>
        <v>Local</v>
      </c>
      <c r="AI27" s="852">
        <v>7.8663793103448273E-2</v>
      </c>
      <c r="AJ27" s="853">
        <f t="shared" si="66"/>
        <v>0.92133620689655171</v>
      </c>
      <c r="AK27" s="854">
        <f t="shared" si="36"/>
        <v>-164403.38243578284</v>
      </c>
      <c r="AL27" s="854">
        <f t="shared" si="37"/>
        <v>0</v>
      </c>
      <c r="AM27" s="854">
        <f t="shared" si="38"/>
        <v>0</v>
      </c>
      <c r="AN27" s="854">
        <f t="shared" si="39"/>
        <v>0</v>
      </c>
      <c r="AO27" s="854">
        <f t="shared" si="40"/>
        <v>0</v>
      </c>
      <c r="AP27" s="854">
        <f t="shared" si="41"/>
        <v>0</v>
      </c>
      <c r="AQ27" s="854">
        <f t="shared" si="42"/>
        <v>0</v>
      </c>
      <c r="AR27" s="854">
        <f t="shared" si="43"/>
        <v>0</v>
      </c>
      <c r="AS27" s="854">
        <f t="shared" si="44"/>
        <v>-29841.85958891729</v>
      </c>
      <c r="AT27" s="854">
        <f t="shared" si="45"/>
        <v>-23198.849266416648</v>
      </c>
      <c r="AU27" s="854">
        <f t="shared" si="46"/>
        <v>-234242.97747245932</v>
      </c>
      <c r="AV27" s="854">
        <f t="shared" si="67"/>
        <v>-287283.68632779329</v>
      </c>
      <c r="AW27" s="854">
        <f t="shared" si="47"/>
        <v>0</v>
      </c>
      <c r="AX27" s="855">
        <f t="shared" si="48"/>
        <v>0</v>
      </c>
      <c r="AZ27" s="854">
        <f t="shared" si="49"/>
        <v>0</v>
      </c>
      <c r="BA27" s="854">
        <f t="shared" si="50"/>
        <v>0</v>
      </c>
      <c r="BB27" s="854">
        <f t="shared" si="51"/>
        <v>0</v>
      </c>
      <c r="BC27" s="854">
        <f t="shared" si="52"/>
        <v>0</v>
      </c>
      <c r="BD27" s="854">
        <f t="shared" si="53"/>
        <v>0</v>
      </c>
      <c r="BE27" s="854">
        <f t="shared" si="54"/>
        <v>0</v>
      </c>
      <c r="BF27" s="854">
        <f t="shared" si="55"/>
        <v>0</v>
      </c>
      <c r="BG27" s="854">
        <f t="shared" si="56"/>
        <v>-349517.6705277299</v>
      </c>
      <c r="BH27" s="854">
        <f t="shared" si="57"/>
        <v>-271712.54962720873</v>
      </c>
      <c r="BI27" s="854">
        <f t="shared" si="58"/>
        <v>-2743530.7635472976</v>
      </c>
      <c r="BJ27" s="854">
        <f t="shared" si="68"/>
        <v>-3364760.9837022363</v>
      </c>
      <c r="BK27" s="58" t="str">
        <f t="shared" si="69"/>
        <v>OK</v>
      </c>
      <c r="BL27" s="856" t="str">
        <f t="shared" si="59"/>
        <v>New intersection on Waihoehoe Rd/Fitzgerald Rd( including approach cross-sections) TRA A23 0.956922410530503 2060 0.0786637931034483</v>
      </c>
      <c r="BM27" s="153">
        <f t="shared" si="60"/>
        <v>2</v>
      </c>
      <c r="BN27" s="869">
        <f t="shared" si="70"/>
        <v>-3652044.6700300295</v>
      </c>
      <c r="BO27" s="870">
        <f>IFERROR(VLOOKUP(AF27,FA_Codes!D:H,5,FALSE),"CHECK")</f>
        <v>0</v>
      </c>
      <c r="BP27" s="870" t="str">
        <f t="shared" si="61"/>
        <v>TRA</v>
      </c>
      <c r="BQ27" s="869">
        <f t="shared" si="62"/>
        <v>0</v>
      </c>
      <c r="BR27" s="870" t="str">
        <f t="shared" si="63"/>
        <v>10b TRA A23</v>
      </c>
      <c r="BS27" s="870" t="str">
        <f t="shared" si="71"/>
        <v>10b</v>
      </c>
      <c r="BT27" s="870" t="s">
        <v>6992</v>
      </c>
      <c r="BU27" s="870">
        <f t="shared" si="64"/>
        <v>2060</v>
      </c>
      <c r="BV27" s="153"/>
      <c r="BW27" s="153"/>
      <c r="BX27" s="153"/>
      <c r="BY27" s="153"/>
      <c r="BZ27" s="153"/>
      <c r="CA27" s="153"/>
      <c r="CB27" s="153"/>
      <c r="CC27" s="153"/>
      <c r="CD27" s="153"/>
      <c r="CE27" s="153"/>
      <c r="CF27" s="153"/>
    </row>
    <row r="28" spans="1:84" ht="26">
      <c r="A28" s="848"/>
      <c r="B28" s="848" t="s">
        <v>896</v>
      </c>
      <c r="C28" s="848"/>
      <c r="D28" s="848"/>
      <c r="E28" s="848" t="s">
        <v>6752</v>
      </c>
      <c r="F28" s="866" t="s">
        <v>6720</v>
      </c>
      <c r="G28" s="808" t="s">
        <v>6721</v>
      </c>
      <c r="H28" s="808"/>
      <c r="I28" s="808"/>
      <c r="J28" s="808"/>
      <c r="K28" s="808" t="s">
        <v>6710</v>
      </c>
      <c r="L28" s="808"/>
      <c r="M28" s="808"/>
      <c r="N28" s="808"/>
      <c r="O28" s="808"/>
      <c r="P28" s="808"/>
      <c r="Q28" s="849">
        <v>0.9569224105305032</v>
      </c>
      <c r="R28" s="848">
        <v>2060</v>
      </c>
      <c r="S28" s="850">
        <v>0</v>
      </c>
      <c r="T28" s="850">
        <v>0</v>
      </c>
      <c r="U28" s="850">
        <v>0</v>
      </c>
      <c r="V28" s="850">
        <v>0</v>
      </c>
      <c r="W28" s="850">
        <v>0</v>
      </c>
      <c r="X28" s="850">
        <v>-38910.683516084093</v>
      </c>
      <c r="Y28" s="850">
        <v>0</v>
      </c>
      <c r="Z28" s="850">
        <v>-77552.911016867773</v>
      </c>
      <c r="AA28" s="850">
        <v>-39624.090146170915</v>
      </c>
      <c r="AB28" s="850">
        <v>-393668.93779222149</v>
      </c>
      <c r="AC28" s="809">
        <f t="shared" si="65"/>
        <v>-549756.62247134419</v>
      </c>
      <c r="AD28" s="848"/>
      <c r="AF28" s="58" t="str">
        <f>IFERROR(VLOOKUP(K28,FA_Codes!C:F,2,FALSE),"CHECK")</f>
        <v>TRA A23</v>
      </c>
      <c r="AG28" s="851">
        <f t="shared" si="35"/>
        <v>-549756.62247134419</v>
      </c>
      <c r="AH28" s="58" t="str">
        <f>IFERROR(VLOOKUP(AF28,FA_Codes!D:F,3,FALSE),"CHECK")</f>
        <v>Local</v>
      </c>
      <c r="AI28" s="852">
        <v>7.8663793103448273E-2</v>
      </c>
      <c r="AJ28" s="853">
        <f t="shared" si="66"/>
        <v>0.92133620689655171</v>
      </c>
      <c r="AK28" s="854">
        <f t="shared" si="36"/>
        <v>-23682.190090957705</v>
      </c>
      <c r="AL28" s="854">
        <f t="shared" si="37"/>
        <v>0</v>
      </c>
      <c r="AM28" s="854">
        <f t="shared" si="38"/>
        <v>0</v>
      </c>
      <c r="AN28" s="854">
        <f t="shared" si="39"/>
        <v>0</v>
      </c>
      <c r="AO28" s="854">
        <f t="shared" si="40"/>
        <v>0</v>
      </c>
      <c r="AP28" s="854">
        <f t="shared" si="41"/>
        <v>0</v>
      </c>
      <c r="AQ28" s="854">
        <f t="shared" si="42"/>
        <v>-2929.0074027897108</v>
      </c>
      <c r="AR28" s="854">
        <f t="shared" si="43"/>
        <v>0</v>
      </c>
      <c r="AS28" s="854">
        <f t="shared" si="44"/>
        <v>-5837.8067396940378</v>
      </c>
      <c r="AT28" s="854">
        <f t="shared" si="45"/>
        <v>-2982.7091913964259</v>
      </c>
      <c r="AU28" s="854">
        <f t="shared" si="46"/>
        <v>-29633.486971904542</v>
      </c>
      <c r="AV28" s="854">
        <f t="shared" si="67"/>
        <v>-41383.010305784715</v>
      </c>
      <c r="AW28" s="854">
        <f t="shared" si="47"/>
        <v>0</v>
      </c>
      <c r="AX28" s="855">
        <f t="shared" si="48"/>
        <v>0</v>
      </c>
      <c r="AZ28" s="854">
        <f t="shared" si="49"/>
        <v>0</v>
      </c>
      <c r="BA28" s="854">
        <f t="shared" si="50"/>
        <v>0</v>
      </c>
      <c r="BB28" s="854">
        <f t="shared" si="51"/>
        <v>0</v>
      </c>
      <c r="BC28" s="854">
        <f t="shared" si="52"/>
        <v>0</v>
      </c>
      <c r="BD28" s="854">
        <f t="shared" si="53"/>
        <v>0</v>
      </c>
      <c r="BE28" s="854">
        <f t="shared" si="54"/>
        <v>-34305.497662810994</v>
      </c>
      <c r="BF28" s="854">
        <f t="shared" si="55"/>
        <v>0</v>
      </c>
      <c r="BG28" s="854">
        <f t="shared" si="56"/>
        <v>-68374.311814224682</v>
      </c>
      <c r="BH28" s="854">
        <f t="shared" si="57"/>
        <v>-34934.470666355402</v>
      </c>
      <c r="BI28" s="854">
        <f t="shared" si="58"/>
        <v>-347077.14193121076</v>
      </c>
      <c r="BJ28" s="854">
        <f t="shared" si="68"/>
        <v>-484691.42207460187</v>
      </c>
      <c r="BK28" s="58" t="str">
        <f t="shared" si="69"/>
        <v>OK</v>
      </c>
      <c r="BL28" s="856" t="str">
        <f t="shared" si="59"/>
        <v>Intersection upgrade Waihoehoe Rd/Fielding Rd/Appleby Rd TRA A23 0.956922410530503 2060 0.0786637931034483</v>
      </c>
      <c r="BM28" s="153">
        <f t="shared" si="60"/>
        <v>2</v>
      </c>
      <c r="BN28" s="869">
        <f t="shared" si="70"/>
        <v>-526074.43238038663</v>
      </c>
      <c r="BO28" s="870">
        <f>IFERROR(VLOOKUP(AF28,FA_Codes!D:H,5,FALSE),"CHECK")</f>
        <v>0</v>
      </c>
      <c r="BP28" s="870" t="str">
        <f t="shared" si="61"/>
        <v>TRA</v>
      </c>
      <c r="BQ28" s="869">
        <f t="shared" si="62"/>
        <v>0</v>
      </c>
      <c r="BR28" s="870" t="str">
        <f t="shared" si="63"/>
        <v>11 TRA A23</v>
      </c>
      <c r="BS28" s="870">
        <f t="shared" si="71"/>
        <v>11</v>
      </c>
      <c r="BT28" s="870" t="s">
        <v>6992</v>
      </c>
      <c r="BU28" s="870">
        <f t="shared" si="64"/>
        <v>2060</v>
      </c>
      <c r="BV28" s="153"/>
      <c r="BW28" s="153"/>
      <c r="BX28" s="153"/>
      <c r="BY28" s="153"/>
      <c r="BZ28" s="153"/>
      <c r="CA28" s="153"/>
      <c r="CB28" s="153"/>
      <c r="CC28" s="153"/>
      <c r="CD28" s="153"/>
      <c r="CE28" s="153"/>
      <c r="CF28" s="153"/>
    </row>
    <row r="29" spans="1:84" ht="26">
      <c r="A29" s="848"/>
      <c r="B29" s="848" t="s">
        <v>896</v>
      </c>
      <c r="C29" s="848"/>
      <c r="D29" s="848"/>
      <c r="E29" s="848" t="s">
        <v>6753</v>
      </c>
      <c r="F29" s="866" t="s">
        <v>7000</v>
      </c>
      <c r="G29" s="808" t="s">
        <v>6723</v>
      </c>
      <c r="H29" s="808"/>
      <c r="I29" s="808"/>
      <c r="J29" s="808"/>
      <c r="K29" s="808" t="s">
        <v>6710</v>
      </c>
      <c r="L29" s="808"/>
      <c r="M29" s="808"/>
      <c r="N29" s="808"/>
      <c r="O29" s="808"/>
      <c r="P29" s="808"/>
      <c r="Q29" s="849">
        <v>0.9569224105305032</v>
      </c>
      <c r="R29" s="848">
        <v>2060</v>
      </c>
      <c r="S29" s="850">
        <v>0</v>
      </c>
      <c r="T29" s="850">
        <v>0</v>
      </c>
      <c r="U29" s="850">
        <v>-149895.72433720061</v>
      </c>
      <c r="V29" s="850">
        <v>0</v>
      </c>
      <c r="W29" s="850">
        <v>0</v>
      </c>
      <c r="X29" s="850">
        <v>-557640.13678241603</v>
      </c>
      <c r="Y29" s="850">
        <v>0</v>
      </c>
      <c r="Z29" s="850">
        <v>0</v>
      </c>
      <c r="AA29" s="850">
        <v>0</v>
      </c>
      <c r="AB29" s="850">
        <v>0</v>
      </c>
      <c r="AC29" s="809">
        <f t="shared" si="65"/>
        <v>-707535.86111961666</v>
      </c>
      <c r="AD29" s="848"/>
      <c r="AF29" s="58" t="str">
        <f>IFERROR(VLOOKUP(K29,FA_Codes!C:F,2,FALSE),"CHECK")</f>
        <v>TRA A23</v>
      </c>
      <c r="AG29" s="851">
        <f t="shared" si="35"/>
        <v>-707535.86111961666</v>
      </c>
      <c r="AH29" s="58" t="str">
        <f>IFERROR(VLOOKUP(AF29,FA_Codes!D:F,3,FALSE),"CHECK")</f>
        <v>Local</v>
      </c>
      <c r="AI29" s="852">
        <v>7.8663793103448273E-2</v>
      </c>
      <c r="AJ29" s="853">
        <f t="shared" si="66"/>
        <v>0.92133620689655171</v>
      </c>
      <c r="AK29" s="854">
        <f t="shared" si="36"/>
        <v>-30478.939360257751</v>
      </c>
      <c r="AL29" s="854">
        <f t="shared" si="37"/>
        <v>0</v>
      </c>
      <c r="AM29" s="854">
        <f t="shared" si="38"/>
        <v>0</v>
      </c>
      <c r="AN29" s="854">
        <f t="shared" si="39"/>
        <v>-11283.422611908185</v>
      </c>
      <c r="AO29" s="854">
        <f t="shared" si="40"/>
        <v>0</v>
      </c>
      <c r="AP29" s="854">
        <f t="shared" si="41"/>
        <v>0</v>
      </c>
      <c r="AQ29" s="854">
        <f t="shared" si="42"/>
        <v>-41976.443000627587</v>
      </c>
      <c r="AR29" s="854">
        <f t="shared" si="43"/>
        <v>0</v>
      </c>
      <c r="AS29" s="854">
        <f t="shared" si="44"/>
        <v>0</v>
      </c>
      <c r="AT29" s="854">
        <f t="shared" si="45"/>
        <v>0</v>
      </c>
      <c r="AU29" s="854">
        <f t="shared" si="46"/>
        <v>0</v>
      </c>
      <c r="AV29" s="854">
        <f t="shared" si="67"/>
        <v>-53259.865612535774</v>
      </c>
      <c r="AW29" s="854">
        <f t="shared" si="47"/>
        <v>0</v>
      </c>
      <c r="AX29" s="855">
        <f t="shared" si="48"/>
        <v>0</v>
      </c>
      <c r="AZ29" s="854">
        <f t="shared" si="49"/>
        <v>0</v>
      </c>
      <c r="BA29" s="854">
        <f t="shared" si="50"/>
        <v>0</v>
      </c>
      <c r="BB29" s="854">
        <f t="shared" si="51"/>
        <v>-132155.15524906162</v>
      </c>
      <c r="BC29" s="854">
        <f t="shared" si="52"/>
        <v>0</v>
      </c>
      <c r="BD29" s="854">
        <f t="shared" si="53"/>
        <v>0</v>
      </c>
      <c r="BE29" s="854">
        <f t="shared" si="54"/>
        <v>-491641.90089776146</v>
      </c>
      <c r="BF29" s="854">
        <f t="shared" si="55"/>
        <v>0</v>
      </c>
      <c r="BG29" s="854">
        <f t="shared" si="56"/>
        <v>0</v>
      </c>
      <c r="BH29" s="854">
        <f t="shared" si="57"/>
        <v>0</v>
      </c>
      <c r="BI29" s="854">
        <f t="shared" si="58"/>
        <v>0</v>
      </c>
      <c r="BJ29" s="854">
        <f t="shared" si="68"/>
        <v>-623797.0561468231</v>
      </c>
      <c r="BK29" s="58" t="str">
        <f t="shared" si="69"/>
        <v>OK</v>
      </c>
      <c r="BL29" s="856" t="str">
        <f t="shared" si="59"/>
        <v>N-S Opaheke Arterial across development (up to Waihoehoe Stream) TRA A23 0.956922410530503 2060 0.0786637931034483</v>
      </c>
      <c r="BM29" s="153">
        <f t="shared" si="60"/>
        <v>2</v>
      </c>
      <c r="BN29" s="869">
        <f t="shared" si="70"/>
        <v>-677056.92175935884</v>
      </c>
      <c r="BO29" s="870">
        <f>IFERROR(VLOOKUP(AF29,FA_Codes!D:H,5,FALSE),"CHECK")</f>
        <v>0</v>
      </c>
      <c r="BP29" s="870" t="str">
        <f t="shared" si="61"/>
        <v>TRA</v>
      </c>
      <c r="BQ29" s="869">
        <f t="shared" si="62"/>
        <v>0</v>
      </c>
      <c r="BR29" s="870" t="str">
        <f t="shared" si="63"/>
        <v>13a TRA A23</v>
      </c>
      <c r="BS29" s="870" t="str">
        <f t="shared" si="71"/>
        <v>13a</v>
      </c>
      <c r="BT29" s="870" t="s">
        <v>6992</v>
      </c>
      <c r="BU29" s="870">
        <f t="shared" si="64"/>
        <v>2060</v>
      </c>
      <c r="BV29" s="153"/>
      <c r="BW29" s="153"/>
      <c r="BX29" s="153"/>
      <c r="BY29" s="153"/>
      <c r="BZ29" s="153"/>
      <c r="CA29" s="153"/>
      <c r="CB29" s="153"/>
      <c r="CC29" s="153"/>
      <c r="CD29" s="153"/>
      <c r="CE29" s="153"/>
      <c r="CF29" s="153"/>
    </row>
    <row r="30" spans="1:84" ht="26">
      <c r="A30" s="848"/>
      <c r="B30" s="848" t="s">
        <v>896</v>
      </c>
      <c r="C30" s="848"/>
      <c r="D30" s="848"/>
      <c r="E30" s="848" t="s">
        <v>6754</v>
      </c>
      <c r="F30" s="866" t="s">
        <v>6725</v>
      </c>
      <c r="G30" s="808" t="s">
        <v>6726</v>
      </c>
      <c r="H30" s="808"/>
      <c r="I30" s="808"/>
      <c r="J30" s="808"/>
      <c r="K30" s="808" t="s">
        <v>6710</v>
      </c>
      <c r="L30" s="808"/>
      <c r="M30" s="808"/>
      <c r="N30" s="808"/>
      <c r="O30" s="808"/>
      <c r="P30" s="808"/>
      <c r="Q30" s="849">
        <v>0.9569224105305032</v>
      </c>
      <c r="R30" s="848">
        <v>2060</v>
      </c>
      <c r="S30" s="850">
        <v>0</v>
      </c>
      <c r="T30" s="850">
        <v>-479070.40688418609</v>
      </c>
      <c r="U30" s="850">
        <v>0</v>
      </c>
      <c r="V30" s="850">
        <v>0</v>
      </c>
      <c r="W30" s="850">
        <v>0</v>
      </c>
      <c r="X30" s="850">
        <v>0</v>
      </c>
      <c r="Y30" s="850">
        <v>0</v>
      </c>
      <c r="Z30" s="850">
        <v>-4715546.6127721351</v>
      </c>
      <c r="AA30" s="850">
        <v>-1395273.5691662992</v>
      </c>
      <c r="AB30" s="850">
        <v>-13967995.810924143</v>
      </c>
      <c r="AC30" s="809">
        <f t="shared" si="65"/>
        <v>-20557886.399746761</v>
      </c>
      <c r="AD30" s="848"/>
      <c r="AF30" s="58" t="str">
        <f>IFERROR(VLOOKUP(K30,FA_Codes!C:F,2,FALSE),"CHECK")</f>
        <v>TRA A23</v>
      </c>
      <c r="AG30" s="851">
        <f t="shared" si="35"/>
        <v>-20557886.399746761</v>
      </c>
      <c r="AH30" s="58" t="str">
        <f>IFERROR(VLOOKUP(AF30,FA_Codes!D:F,3,FALSE),"CHECK")</f>
        <v>Local</v>
      </c>
      <c r="AI30" s="852">
        <v>7.8663793103448273E-2</v>
      </c>
      <c r="AJ30" s="853">
        <f t="shared" si="66"/>
        <v>0.92133620689655171</v>
      </c>
      <c r="AK30" s="854">
        <f t="shared" si="36"/>
        <v>-885584.19068884256</v>
      </c>
      <c r="AL30" s="854">
        <f t="shared" si="37"/>
        <v>0</v>
      </c>
      <c r="AM30" s="854">
        <f t="shared" si="38"/>
        <v>-36062.095070656716</v>
      </c>
      <c r="AN30" s="854">
        <f t="shared" si="39"/>
        <v>0</v>
      </c>
      <c r="AO30" s="854">
        <f t="shared" si="40"/>
        <v>0</v>
      </c>
      <c r="AP30" s="854">
        <f t="shared" si="41"/>
        <v>0</v>
      </c>
      <c r="AQ30" s="854">
        <f t="shared" si="42"/>
        <v>0</v>
      </c>
      <c r="AR30" s="854">
        <f t="shared" si="43"/>
        <v>0</v>
      </c>
      <c r="AS30" s="854">
        <f t="shared" si="44"/>
        <v>-354963.46218899661</v>
      </c>
      <c r="AT30" s="854">
        <f t="shared" si="45"/>
        <v>-105029.42235172016</v>
      </c>
      <c r="AU30" s="854">
        <f t="shared" si="46"/>
        <v>-1051442.931230467</v>
      </c>
      <c r="AV30" s="854">
        <f t="shared" si="67"/>
        <v>-1547497.9108418406</v>
      </c>
      <c r="AW30" s="854">
        <f t="shared" si="47"/>
        <v>0</v>
      </c>
      <c r="AX30" s="855">
        <f t="shared" si="48"/>
        <v>0</v>
      </c>
      <c r="AZ30" s="854">
        <f t="shared" si="49"/>
        <v>0</v>
      </c>
      <c r="BA30" s="854">
        <f t="shared" si="50"/>
        <v>-422371.11349878757</v>
      </c>
      <c r="BB30" s="854">
        <f t="shared" si="51"/>
        <v>0</v>
      </c>
      <c r="BC30" s="854">
        <f t="shared" si="52"/>
        <v>0</v>
      </c>
      <c r="BD30" s="854">
        <f t="shared" si="53"/>
        <v>0</v>
      </c>
      <c r="BE30" s="854">
        <f t="shared" si="54"/>
        <v>0</v>
      </c>
      <c r="BF30" s="854">
        <f t="shared" si="55"/>
        <v>0</v>
      </c>
      <c r="BG30" s="854">
        <f t="shared" si="56"/>
        <v>-4157448.7694738642</v>
      </c>
      <c r="BH30" s="854">
        <f t="shared" si="57"/>
        <v>-1230139.1248043936</v>
      </c>
      <c r="BI30" s="854">
        <f t="shared" si="58"/>
        <v>-12314845.290439034</v>
      </c>
      <c r="BJ30" s="854">
        <f t="shared" si="68"/>
        <v>-18124804.298216078</v>
      </c>
      <c r="BK30" s="58" t="str">
        <f t="shared" si="69"/>
        <v>OK</v>
      </c>
      <c r="BL30" s="856" t="str">
        <f t="shared" si="59"/>
        <v>Waihoehoe Rd West upgrades- between GSR &amp; Kath Henry Lane TRA A23 0.956922410530503 2060 0.0786637931034483</v>
      </c>
      <c r="BM30" s="153">
        <f t="shared" si="60"/>
        <v>2</v>
      </c>
      <c r="BN30" s="869">
        <f t="shared" si="70"/>
        <v>-19672302.20905792</v>
      </c>
      <c r="BO30" s="870">
        <f>IFERROR(VLOOKUP(AF30,FA_Codes!D:H,5,FALSE),"CHECK")</f>
        <v>0</v>
      </c>
      <c r="BP30" s="870" t="str">
        <f t="shared" si="61"/>
        <v>TRA</v>
      </c>
      <c r="BQ30" s="869">
        <f t="shared" si="62"/>
        <v>0</v>
      </c>
      <c r="BR30" s="870" t="str">
        <f t="shared" si="63"/>
        <v>23b TRA A23</v>
      </c>
      <c r="BS30" s="870" t="str">
        <f t="shared" si="71"/>
        <v>23b</v>
      </c>
      <c r="BT30" s="870" t="s">
        <v>6992</v>
      </c>
      <c r="BU30" s="870">
        <f t="shared" si="64"/>
        <v>2060</v>
      </c>
      <c r="BV30" s="153"/>
      <c r="BW30" s="153"/>
      <c r="BX30" s="153"/>
      <c r="BY30" s="153"/>
      <c r="BZ30" s="153"/>
      <c r="CA30" s="153"/>
      <c r="CB30" s="153"/>
      <c r="CC30" s="153"/>
      <c r="CD30" s="153"/>
      <c r="CE30" s="153"/>
      <c r="CF30" s="153"/>
    </row>
    <row r="31" spans="1:84" ht="26">
      <c r="A31" s="848"/>
      <c r="B31" s="848" t="s">
        <v>896</v>
      </c>
      <c r="C31" s="848"/>
      <c r="D31" s="848"/>
      <c r="E31" s="848" t="s">
        <v>6755</v>
      </c>
      <c r="F31" s="866" t="s">
        <v>6727</v>
      </c>
      <c r="G31" s="808" t="s">
        <v>6726</v>
      </c>
      <c r="H31" s="808"/>
      <c r="I31" s="808"/>
      <c r="J31" s="808"/>
      <c r="K31" s="808" t="s">
        <v>6710</v>
      </c>
      <c r="L31" s="808"/>
      <c r="M31" s="808"/>
      <c r="N31" s="808"/>
      <c r="O31" s="808"/>
      <c r="P31" s="808"/>
      <c r="Q31" s="849">
        <v>0.9569224105305032</v>
      </c>
      <c r="R31" s="848">
        <v>2060</v>
      </c>
      <c r="S31" s="850">
        <v>0</v>
      </c>
      <c r="T31" s="850">
        <v>0</v>
      </c>
      <c r="U31" s="850">
        <v>0</v>
      </c>
      <c r="V31" s="850">
        <v>0</v>
      </c>
      <c r="W31" s="850">
        <v>0</v>
      </c>
      <c r="X31" s="850">
        <v>-15592.719903103982</v>
      </c>
      <c r="Y31" s="850">
        <v>0</v>
      </c>
      <c r="Z31" s="850">
        <v>-817158.06197160541</v>
      </c>
      <c r="AA31" s="850">
        <v>-265117.49633544288</v>
      </c>
      <c r="AB31" s="850">
        <v>-2769738.7698015883</v>
      </c>
      <c r="AC31" s="809">
        <f t="shared" si="65"/>
        <v>-3867607.0480117407</v>
      </c>
      <c r="AD31" s="848"/>
      <c r="AF31" s="58" t="str">
        <f>IFERROR(VLOOKUP(K31,FA_Codes!C:F,2,FALSE),"CHECK")</f>
        <v>TRA A23</v>
      </c>
      <c r="AG31" s="851">
        <f t="shared" si="35"/>
        <v>-3867607.0480117407</v>
      </c>
      <c r="AH31" s="58" t="str">
        <f>IFERROR(VLOOKUP(AF31,FA_Codes!D:F,3,FALSE),"CHECK")</f>
        <v>Local</v>
      </c>
      <c r="AI31" s="852">
        <v>7.8663793103448273E-2</v>
      </c>
      <c r="AJ31" s="853">
        <f t="shared" si="66"/>
        <v>0.92133620689655171</v>
      </c>
      <c r="AK31" s="854">
        <f t="shared" si="36"/>
        <v>-166607.18864358217</v>
      </c>
      <c r="AL31" s="854">
        <f t="shared" si="37"/>
        <v>0</v>
      </c>
      <c r="AM31" s="854">
        <f t="shared" si="38"/>
        <v>0</v>
      </c>
      <c r="AN31" s="854">
        <f t="shared" si="39"/>
        <v>0</v>
      </c>
      <c r="AO31" s="854">
        <f t="shared" si="40"/>
        <v>0</v>
      </c>
      <c r="AP31" s="854">
        <f t="shared" si="41"/>
        <v>0</v>
      </c>
      <c r="AQ31" s="854">
        <f t="shared" si="42"/>
        <v>-1173.744275320669</v>
      </c>
      <c r="AR31" s="854">
        <f t="shared" si="43"/>
        <v>0</v>
      </c>
      <c r="AS31" s="854">
        <f t="shared" si="44"/>
        <v>-61511.69284329754</v>
      </c>
      <c r="AT31" s="854">
        <f t="shared" si="45"/>
        <v>-19956.758381142285</v>
      </c>
      <c r="AU31" s="854">
        <f t="shared" si="46"/>
        <v>-208492.49171346746</v>
      </c>
      <c r="AV31" s="854">
        <f t="shared" si="67"/>
        <v>-291134.68721322797</v>
      </c>
      <c r="AW31" s="854">
        <f t="shared" si="47"/>
        <v>0</v>
      </c>
      <c r="AX31" s="855">
        <f t="shared" si="48"/>
        <v>0</v>
      </c>
      <c r="AZ31" s="854">
        <f t="shared" si="49"/>
        <v>0</v>
      </c>
      <c r="BA31" s="854">
        <f t="shared" si="50"/>
        <v>0</v>
      </c>
      <c r="BB31" s="854">
        <f t="shared" si="51"/>
        <v>0</v>
      </c>
      <c r="BC31" s="854">
        <f t="shared" si="52"/>
        <v>0</v>
      </c>
      <c r="BD31" s="854">
        <f t="shared" si="53"/>
        <v>0</v>
      </c>
      <c r="BE31" s="854">
        <f t="shared" si="54"/>
        <v>-13747.278841084548</v>
      </c>
      <c r="BF31" s="854">
        <f t="shared" si="55"/>
        <v>0</v>
      </c>
      <c r="BG31" s="854">
        <f t="shared" si="56"/>
        <v>-720445.16960300552</v>
      </c>
      <c r="BH31" s="854">
        <f t="shared" si="57"/>
        <v>-233740.11528598156</v>
      </c>
      <c r="BI31" s="854">
        <f t="shared" si="58"/>
        <v>-2441932.6084248587</v>
      </c>
      <c r="BJ31" s="854">
        <f t="shared" si="68"/>
        <v>-3409865.1721549304</v>
      </c>
      <c r="BK31" s="58" t="str">
        <f t="shared" si="69"/>
        <v>OK</v>
      </c>
      <c r="BL31" s="856" t="str">
        <f t="shared" si="59"/>
        <v>Waihoehoe Rd West upgrades- between Kath Henry Lane and Fitzgerald Rd TRA A23 0.956922410530503 2060 0.0786637931034483</v>
      </c>
      <c r="BM31" s="153">
        <f t="shared" si="60"/>
        <v>2</v>
      </c>
      <c r="BN31" s="869">
        <f t="shared" si="70"/>
        <v>-3700999.8593681585</v>
      </c>
      <c r="BO31" s="870">
        <f>IFERROR(VLOOKUP(AF31,FA_Codes!D:H,5,FALSE),"CHECK")</f>
        <v>0</v>
      </c>
      <c r="BP31" s="870" t="str">
        <f t="shared" si="61"/>
        <v>TRA</v>
      </c>
      <c r="BQ31" s="869">
        <f t="shared" si="62"/>
        <v>0</v>
      </c>
      <c r="BR31" s="870" t="str">
        <f t="shared" si="63"/>
        <v>23d TRA A23</v>
      </c>
      <c r="BS31" s="870" t="str">
        <f t="shared" si="71"/>
        <v>23d</v>
      </c>
      <c r="BT31" s="870" t="s">
        <v>6992</v>
      </c>
      <c r="BU31" s="870">
        <f t="shared" si="64"/>
        <v>2060</v>
      </c>
      <c r="BV31" s="153"/>
      <c r="BW31" s="153"/>
      <c r="BX31" s="153"/>
      <c r="BY31" s="153"/>
      <c r="BZ31" s="153"/>
      <c r="CA31" s="153"/>
      <c r="CB31" s="153"/>
      <c r="CC31" s="153"/>
      <c r="CD31" s="153"/>
      <c r="CE31" s="153"/>
      <c r="CF31" s="153"/>
    </row>
    <row r="32" spans="1:84" ht="39">
      <c r="A32" s="848"/>
      <c r="B32" s="848" t="s">
        <v>896</v>
      </c>
      <c r="C32" s="848"/>
      <c r="D32" s="848"/>
      <c r="E32" s="848" t="s">
        <v>6756</v>
      </c>
      <c r="F32" s="866" t="s">
        <v>6730</v>
      </c>
      <c r="G32" s="808" t="s">
        <v>6731</v>
      </c>
      <c r="H32" s="808"/>
      <c r="I32" s="808"/>
      <c r="J32" s="808"/>
      <c r="K32" s="808" t="s">
        <v>6710</v>
      </c>
      <c r="L32" s="808"/>
      <c r="M32" s="808"/>
      <c r="N32" s="808"/>
      <c r="O32" s="808"/>
      <c r="P32" s="808"/>
      <c r="Q32" s="849">
        <v>0.9569224105305032</v>
      </c>
      <c r="R32" s="848">
        <v>2060</v>
      </c>
      <c r="S32" s="850">
        <v>0</v>
      </c>
      <c r="T32" s="850">
        <v>0</v>
      </c>
      <c r="U32" s="850">
        <v>0</v>
      </c>
      <c r="V32" s="850">
        <v>0</v>
      </c>
      <c r="W32" s="850">
        <v>0</v>
      </c>
      <c r="X32" s="850">
        <v>-71629.961459526166</v>
      </c>
      <c r="Y32" s="850">
        <v>0</v>
      </c>
      <c r="Z32" s="850">
        <v>0</v>
      </c>
      <c r="AA32" s="850">
        <v>0</v>
      </c>
      <c r="AB32" s="850">
        <v>0</v>
      </c>
      <c r="AC32" s="809">
        <f t="shared" si="65"/>
        <v>-71629.961459526166</v>
      </c>
      <c r="AD32" s="848"/>
      <c r="AF32" s="58" t="str">
        <f>IFERROR(VLOOKUP(K32,FA_Codes!C:F,2,FALSE),"CHECK")</f>
        <v>TRA A23</v>
      </c>
      <c r="AG32" s="851">
        <f t="shared" si="35"/>
        <v>-71629.961459526166</v>
      </c>
      <c r="AH32" s="58" t="str">
        <f>IFERROR(VLOOKUP(AF32,FA_Codes!D:F,3,FALSE),"CHECK")</f>
        <v>Local</v>
      </c>
      <c r="AI32" s="852">
        <v>7.8663793103448273E-2</v>
      </c>
      <c r="AJ32" s="853">
        <f t="shared" si="66"/>
        <v>0.92133620689655171</v>
      </c>
      <c r="AK32" s="854">
        <f t="shared" si="36"/>
        <v>-3085.646073469346</v>
      </c>
      <c r="AL32" s="854">
        <f t="shared" si="37"/>
        <v>0</v>
      </c>
      <c r="AM32" s="854">
        <f t="shared" si="38"/>
        <v>0</v>
      </c>
      <c r="AN32" s="854">
        <f t="shared" si="39"/>
        <v>0</v>
      </c>
      <c r="AO32" s="854">
        <f t="shared" si="40"/>
        <v>0</v>
      </c>
      <c r="AP32" s="854">
        <f t="shared" si="41"/>
        <v>0</v>
      </c>
      <c r="AQ32" s="854">
        <f t="shared" si="42"/>
        <v>-5391.9558439462808</v>
      </c>
      <c r="AR32" s="854">
        <f t="shared" si="43"/>
        <v>0</v>
      </c>
      <c r="AS32" s="854">
        <f t="shared" si="44"/>
        <v>0</v>
      </c>
      <c r="AT32" s="854">
        <f t="shared" si="45"/>
        <v>0</v>
      </c>
      <c r="AU32" s="854">
        <f t="shared" si="46"/>
        <v>0</v>
      </c>
      <c r="AV32" s="854">
        <f t="shared" si="67"/>
        <v>-5391.9558439462808</v>
      </c>
      <c r="AW32" s="854">
        <f t="shared" si="47"/>
        <v>0</v>
      </c>
      <c r="AX32" s="855">
        <f t="shared" si="48"/>
        <v>0</v>
      </c>
      <c r="AZ32" s="854">
        <f t="shared" si="49"/>
        <v>0</v>
      </c>
      <c r="BA32" s="854">
        <f t="shared" si="50"/>
        <v>0</v>
      </c>
      <c r="BB32" s="854">
        <f t="shared" si="51"/>
        <v>0</v>
      </c>
      <c r="BC32" s="854">
        <f t="shared" si="52"/>
        <v>0</v>
      </c>
      <c r="BD32" s="854">
        <f t="shared" si="53"/>
        <v>0</v>
      </c>
      <c r="BE32" s="854">
        <f t="shared" si="54"/>
        <v>-63152.359542110549</v>
      </c>
      <c r="BF32" s="854">
        <f t="shared" si="55"/>
        <v>0</v>
      </c>
      <c r="BG32" s="854">
        <f t="shared" si="56"/>
        <v>0</v>
      </c>
      <c r="BH32" s="854">
        <f t="shared" si="57"/>
        <v>0</v>
      </c>
      <c r="BI32" s="854">
        <f t="shared" si="58"/>
        <v>0</v>
      </c>
      <c r="BJ32" s="854">
        <f t="shared" si="68"/>
        <v>-63152.359542110549</v>
      </c>
      <c r="BK32" s="58" t="str">
        <f t="shared" si="69"/>
        <v>OK</v>
      </c>
      <c r="BL32" s="856" t="str">
        <f t="shared" si="59"/>
        <v>Upgrades on Waihoehoe Rd east- from project 4 to Drury Hills + Drury Hills Intersection TRA A23 0.956922410530503 2060 0.0786637931034483</v>
      </c>
      <c r="BM32" s="153">
        <f t="shared" si="60"/>
        <v>2</v>
      </c>
      <c r="BN32" s="869">
        <f t="shared" si="70"/>
        <v>-68544.315386056827</v>
      </c>
      <c r="BO32" s="870">
        <f>IFERROR(VLOOKUP(AF32,FA_Codes!D:H,5,FALSE),"CHECK")</f>
        <v>0</v>
      </c>
      <c r="BP32" s="870" t="str">
        <f t="shared" si="61"/>
        <v>TRA</v>
      </c>
      <c r="BQ32" s="869">
        <f t="shared" si="62"/>
        <v>0</v>
      </c>
      <c r="BR32" s="870" t="str">
        <f t="shared" si="63"/>
        <v>24 TRA A23</v>
      </c>
      <c r="BS32" s="870">
        <f t="shared" si="71"/>
        <v>24</v>
      </c>
      <c r="BT32" s="870" t="s">
        <v>6992</v>
      </c>
      <c r="BU32" s="870">
        <f t="shared" si="64"/>
        <v>2060</v>
      </c>
      <c r="BV32" s="153"/>
      <c r="BW32" s="153"/>
      <c r="BX32" s="153"/>
      <c r="BY32" s="153"/>
      <c r="BZ32" s="153"/>
      <c r="CA32" s="153"/>
      <c r="CB32" s="153"/>
      <c r="CC32" s="153"/>
      <c r="CD32" s="153"/>
      <c r="CE32" s="153"/>
      <c r="CF32" s="153"/>
    </row>
    <row r="33" spans="1:84" ht="26">
      <c r="A33" s="848"/>
      <c r="B33" s="848" t="s">
        <v>896</v>
      </c>
      <c r="C33" s="848"/>
      <c r="D33" s="848"/>
      <c r="E33" s="848" t="s">
        <v>6757</v>
      </c>
      <c r="F33" s="866" t="s">
        <v>6733</v>
      </c>
      <c r="G33" s="808" t="s">
        <v>6734</v>
      </c>
      <c r="H33" s="808"/>
      <c r="I33" s="808"/>
      <c r="J33" s="808"/>
      <c r="K33" s="808" t="s">
        <v>6710</v>
      </c>
      <c r="L33" s="808"/>
      <c r="M33" s="808"/>
      <c r="N33" s="808"/>
      <c r="O33" s="808"/>
      <c r="P33" s="808"/>
      <c r="Q33" s="849">
        <v>0.9569224105305032</v>
      </c>
      <c r="R33" s="848">
        <v>2060</v>
      </c>
      <c r="S33" s="850">
        <v>0</v>
      </c>
      <c r="T33" s="850">
        <v>0</v>
      </c>
      <c r="U33" s="850">
        <v>0</v>
      </c>
      <c r="V33" s="850">
        <v>0</v>
      </c>
      <c r="W33" s="850">
        <v>0</v>
      </c>
      <c r="X33" s="850">
        <v>0</v>
      </c>
      <c r="Y33" s="850">
        <v>0</v>
      </c>
      <c r="Z33" s="850">
        <v>0</v>
      </c>
      <c r="AA33" s="850">
        <v>0</v>
      </c>
      <c r="AB33" s="850">
        <v>-6210832.0071152784</v>
      </c>
      <c r="AC33" s="809">
        <f t="shared" si="65"/>
        <v>-6210832.0071152784</v>
      </c>
      <c r="AD33" s="848"/>
      <c r="AF33" s="58" t="str">
        <f>IFERROR(VLOOKUP(K33,FA_Codes!C:F,2,FALSE),"CHECK")</f>
        <v>TRA A23</v>
      </c>
      <c r="AG33" s="851">
        <f t="shared" si="35"/>
        <v>-6210832.0071152784</v>
      </c>
      <c r="AH33" s="58" t="str">
        <f>IFERROR(VLOOKUP(AF33,FA_Codes!D:F,3,FALSE),"CHECK")</f>
        <v>Local</v>
      </c>
      <c r="AI33" s="852">
        <v>7.8663793103448273E-2</v>
      </c>
      <c r="AJ33" s="853">
        <f t="shared" si="66"/>
        <v>0.92133620689655171</v>
      </c>
      <c r="AK33" s="854">
        <f t="shared" si="36"/>
        <v>-267547.67146652279</v>
      </c>
      <c r="AL33" s="854">
        <f t="shared" si="37"/>
        <v>0</v>
      </c>
      <c r="AM33" s="854">
        <f t="shared" si="38"/>
        <v>0</v>
      </c>
      <c r="AN33" s="854">
        <f t="shared" si="39"/>
        <v>0</v>
      </c>
      <c r="AO33" s="854">
        <f t="shared" si="40"/>
        <v>0</v>
      </c>
      <c r="AP33" s="854">
        <f t="shared" si="41"/>
        <v>0</v>
      </c>
      <c r="AQ33" s="854">
        <f t="shared" si="42"/>
        <v>0</v>
      </c>
      <c r="AR33" s="854">
        <f t="shared" si="43"/>
        <v>0</v>
      </c>
      <c r="AS33" s="854">
        <f t="shared" si="44"/>
        <v>0</v>
      </c>
      <c r="AT33" s="854">
        <f t="shared" si="45"/>
        <v>0</v>
      </c>
      <c r="AU33" s="854">
        <f t="shared" si="46"/>
        <v>-467521.28933443874</v>
      </c>
      <c r="AV33" s="854">
        <f t="shared" si="67"/>
        <v>-467521.28933443874</v>
      </c>
      <c r="AW33" s="854">
        <f t="shared" si="47"/>
        <v>0</v>
      </c>
      <c r="AX33" s="855">
        <f t="shared" si="48"/>
        <v>0</v>
      </c>
      <c r="AZ33" s="854">
        <f t="shared" si="49"/>
        <v>0</v>
      </c>
      <c r="BA33" s="854">
        <f t="shared" si="50"/>
        <v>0</v>
      </c>
      <c r="BB33" s="854">
        <f t="shared" si="51"/>
        <v>0</v>
      </c>
      <c r="BC33" s="854">
        <f t="shared" si="52"/>
        <v>0</v>
      </c>
      <c r="BD33" s="854">
        <f t="shared" si="53"/>
        <v>0</v>
      </c>
      <c r="BE33" s="854">
        <f t="shared" si="54"/>
        <v>0</v>
      </c>
      <c r="BF33" s="854">
        <f t="shared" si="55"/>
        <v>0</v>
      </c>
      <c r="BG33" s="854">
        <f t="shared" si="56"/>
        <v>0</v>
      </c>
      <c r="BH33" s="854">
        <f t="shared" si="57"/>
        <v>0</v>
      </c>
      <c r="BI33" s="854">
        <f t="shared" si="58"/>
        <v>-5475763.0463143168</v>
      </c>
      <c r="BJ33" s="854">
        <f t="shared" si="68"/>
        <v>-5475763.0463143168</v>
      </c>
      <c r="BK33" s="58" t="str">
        <f t="shared" si="69"/>
        <v>OK</v>
      </c>
      <c r="BL33" s="856" t="str">
        <f t="shared" si="59"/>
        <v>Bremner-Norrie Road east of SH1 up to GSR (overlap with project 12) TRA A23 0.956922410530503 2060 0.0786637931034483</v>
      </c>
      <c r="BM33" s="153">
        <f t="shared" si="60"/>
        <v>2</v>
      </c>
      <c r="BN33" s="869">
        <f t="shared" si="70"/>
        <v>-5943284.3356487555</v>
      </c>
      <c r="BO33" s="870">
        <f>IFERROR(VLOOKUP(AF33,FA_Codes!D:H,5,FALSE),"CHECK")</f>
        <v>0</v>
      </c>
      <c r="BP33" s="870" t="str">
        <f t="shared" si="61"/>
        <v>TRA</v>
      </c>
      <c r="BQ33" s="869">
        <f t="shared" si="62"/>
        <v>0</v>
      </c>
      <c r="BR33" s="870" t="str">
        <f t="shared" si="63"/>
        <v>36a TRA A23</v>
      </c>
      <c r="BS33" s="870" t="str">
        <f t="shared" si="71"/>
        <v>36a</v>
      </c>
      <c r="BT33" s="870" t="s">
        <v>6992</v>
      </c>
      <c r="BU33" s="870">
        <f t="shared" si="64"/>
        <v>2060</v>
      </c>
      <c r="BV33" s="153"/>
      <c r="BW33" s="153"/>
      <c r="BX33" s="153"/>
      <c r="BY33" s="153"/>
      <c r="BZ33" s="153"/>
      <c r="CA33" s="153"/>
      <c r="CB33" s="153"/>
      <c r="CC33" s="153"/>
      <c r="CD33" s="153"/>
      <c r="CE33" s="153"/>
      <c r="CF33" s="153"/>
    </row>
    <row r="34" spans="1:84" ht="26">
      <c r="A34" s="848"/>
      <c r="B34" s="848" t="s">
        <v>896</v>
      </c>
      <c r="C34" s="848"/>
      <c r="D34" s="848"/>
      <c r="E34" s="848" t="s">
        <v>6758</v>
      </c>
      <c r="F34" s="866" t="s">
        <v>6742</v>
      </c>
      <c r="G34" s="808" t="s">
        <v>6743</v>
      </c>
      <c r="H34" s="808"/>
      <c r="I34" s="808"/>
      <c r="J34" s="808"/>
      <c r="K34" s="808" t="s">
        <v>6710</v>
      </c>
      <c r="L34" s="808"/>
      <c r="M34" s="808"/>
      <c r="N34" s="808"/>
      <c r="O34" s="808"/>
      <c r="P34" s="808"/>
      <c r="Q34" s="849">
        <v>0.9569224105305032</v>
      </c>
      <c r="R34" s="848">
        <v>2060</v>
      </c>
      <c r="S34" s="850">
        <v>0</v>
      </c>
      <c r="T34" s="850">
        <v>0</v>
      </c>
      <c r="U34" s="850">
        <v>0</v>
      </c>
      <c r="V34" s="850">
        <v>0</v>
      </c>
      <c r="W34" s="850">
        <v>0</v>
      </c>
      <c r="X34" s="850">
        <v>0</v>
      </c>
      <c r="Y34" s="850">
        <v>0</v>
      </c>
      <c r="Z34" s="850">
        <v>0</v>
      </c>
      <c r="AA34" s="850">
        <v>-184912.42068213102</v>
      </c>
      <c r="AB34" s="850">
        <v>-1837121.7096970335</v>
      </c>
      <c r="AC34" s="809">
        <f t="shared" si="65"/>
        <v>-2022034.1303791646</v>
      </c>
      <c r="AD34" s="848"/>
      <c r="AF34" s="58" t="str">
        <f>IFERROR(VLOOKUP(K34,FA_Codes!C:F,2,FALSE),"CHECK")</f>
        <v>TRA A23</v>
      </c>
      <c r="AG34" s="851">
        <f t="shared" si="35"/>
        <v>-2022034.1303791646</v>
      </c>
      <c r="AH34" s="58" t="str">
        <f>IFERROR(VLOOKUP(AF34,FA_Codes!D:F,3,FALSE),"CHECK")</f>
        <v>Local</v>
      </c>
      <c r="AI34" s="852">
        <v>7.8663793103448273E-2</v>
      </c>
      <c r="AJ34" s="853">
        <f t="shared" si="66"/>
        <v>0.92133620689655171</v>
      </c>
      <c r="AK34" s="854">
        <f t="shared" si="36"/>
        <v>-87104.356161784628</v>
      </c>
      <c r="AL34" s="854">
        <f t="shared" si="37"/>
        <v>0</v>
      </c>
      <c r="AM34" s="854">
        <f t="shared" si="38"/>
        <v>0</v>
      </c>
      <c r="AN34" s="854">
        <f t="shared" si="39"/>
        <v>0</v>
      </c>
      <c r="AO34" s="854">
        <f t="shared" si="40"/>
        <v>0</v>
      </c>
      <c r="AP34" s="854">
        <f t="shared" si="41"/>
        <v>0</v>
      </c>
      <c r="AQ34" s="854">
        <f t="shared" si="42"/>
        <v>0</v>
      </c>
      <c r="AR34" s="854">
        <f t="shared" si="43"/>
        <v>0</v>
      </c>
      <c r="AS34" s="854">
        <f t="shared" si="44"/>
        <v>0</v>
      </c>
      <c r="AT34" s="854">
        <f t="shared" si="45"/>
        <v>-13919.309559849997</v>
      </c>
      <c r="AU34" s="854">
        <f t="shared" si="46"/>
        <v>-138289.60586888785</v>
      </c>
      <c r="AV34" s="854">
        <f t="shared" si="67"/>
        <v>-152208.91542873785</v>
      </c>
      <c r="AW34" s="854">
        <f t="shared" si="47"/>
        <v>0</v>
      </c>
      <c r="AX34" s="855">
        <f t="shared" si="48"/>
        <v>0</v>
      </c>
      <c r="AZ34" s="854">
        <f t="shared" si="49"/>
        <v>0</v>
      </c>
      <c r="BA34" s="854">
        <f t="shared" si="50"/>
        <v>0</v>
      </c>
      <c r="BB34" s="854">
        <f t="shared" si="51"/>
        <v>0</v>
      </c>
      <c r="BC34" s="854">
        <f t="shared" si="52"/>
        <v>0</v>
      </c>
      <c r="BD34" s="854">
        <f t="shared" si="53"/>
        <v>0</v>
      </c>
      <c r="BE34" s="854">
        <f t="shared" si="54"/>
        <v>0</v>
      </c>
      <c r="BF34" s="854">
        <f t="shared" si="55"/>
        <v>0</v>
      </c>
      <c r="BG34" s="854">
        <f t="shared" si="56"/>
        <v>0</v>
      </c>
      <c r="BH34" s="854">
        <f t="shared" si="57"/>
        <v>-163027.5297763253</v>
      </c>
      <c r="BI34" s="854">
        <f t="shared" si="58"/>
        <v>-1619693.3290123167</v>
      </c>
      <c r="BJ34" s="854">
        <f t="shared" si="68"/>
        <v>-1782720.8587886419</v>
      </c>
      <c r="BK34" s="58" t="str">
        <f t="shared" si="69"/>
        <v>OK</v>
      </c>
      <c r="BL34" s="856" t="str">
        <f t="shared" si="59"/>
        <v>Upgrades in GSR/Firth St intersection (overlap with project12) TRA A23 0.956922410530503 2060 0.0786637931034483</v>
      </c>
      <c r="BM34" s="153">
        <f t="shared" si="60"/>
        <v>2</v>
      </c>
      <c r="BN34" s="869">
        <f t="shared" si="70"/>
        <v>-1934929.7742173797</v>
      </c>
      <c r="BO34" s="870">
        <f>IFERROR(VLOOKUP(AF34,FA_Codes!D:H,5,FALSE),"CHECK")</f>
        <v>0</v>
      </c>
      <c r="BP34" s="870" t="str">
        <f t="shared" si="61"/>
        <v>TRA</v>
      </c>
      <c r="BQ34" s="869">
        <f t="shared" si="62"/>
        <v>0</v>
      </c>
      <c r="BR34" s="870" t="str">
        <f t="shared" si="63"/>
        <v>46 TRA A23</v>
      </c>
      <c r="BS34" s="870">
        <f t="shared" si="71"/>
        <v>46</v>
      </c>
      <c r="BT34" s="870" t="s">
        <v>6992</v>
      </c>
      <c r="BU34" s="870">
        <f t="shared" si="64"/>
        <v>2060</v>
      </c>
      <c r="BV34" s="153"/>
      <c r="BW34" s="153"/>
      <c r="BX34" s="153"/>
      <c r="BY34" s="153"/>
      <c r="BZ34" s="153"/>
      <c r="CA34" s="153"/>
      <c r="CB34" s="153"/>
      <c r="CC34" s="153"/>
      <c r="CD34" s="153"/>
      <c r="CE34" s="153"/>
      <c r="CF34" s="153"/>
    </row>
    <row r="35" spans="1:84" ht="26">
      <c r="A35" s="848"/>
      <c r="B35" s="848" t="s">
        <v>896</v>
      </c>
      <c r="C35" s="848"/>
      <c r="D35" s="848"/>
      <c r="E35" s="848" t="s">
        <v>6759</v>
      </c>
      <c r="F35" s="866" t="s">
        <v>6745</v>
      </c>
      <c r="G35" s="808">
        <v>0</v>
      </c>
      <c r="H35" s="808"/>
      <c r="I35" s="808"/>
      <c r="J35" s="808"/>
      <c r="K35" s="808" t="s">
        <v>6710</v>
      </c>
      <c r="L35" s="808"/>
      <c r="M35" s="808"/>
      <c r="N35" s="808"/>
      <c r="O35" s="808"/>
      <c r="P35" s="808"/>
      <c r="Q35" s="849">
        <v>0.9569224105305032</v>
      </c>
      <c r="R35" s="848">
        <v>2060</v>
      </c>
      <c r="S35" s="850">
        <v>0</v>
      </c>
      <c r="T35" s="850">
        <v>0</v>
      </c>
      <c r="U35" s="850">
        <v>0</v>
      </c>
      <c r="V35" s="850">
        <v>0</v>
      </c>
      <c r="W35" s="850">
        <v>0</v>
      </c>
      <c r="X35" s="850">
        <v>0</v>
      </c>
      <c r="Y35" s="850">
        <v>0</v>
      </c>
      <c r="Z35" s="850">
        <v>-186266.74134875604</v>
      </c>
      <c r="AA35" s="850">
        <v>0</v>
      </c>
      <c r="AB35" s="850">
        <v>-1939413.8090881431</v>
      </c>
      <c r="AC35" s="809">
        <f t="shared" si="65"/>
        <v>-2125680.5504368991</v>
      </c>
      <c r="AD35" s="848"/>
      <c r="AF35" s="58" t="str">
        <f>IFERROR(VLOOKUP(K35,FA_Codes!C:F,2,FALSE),"CHECK")</f>
        <v>TRA A23</v>
      </c>
      <c r="AG35" s="851">
        <f t="shared" si="35"/>
        <v>-2125680.5504368991</v>
      </c>
      <c r="AH35" s="58" t="str">
        <f>IFERROR(VLOOKUP(AF35,FA_Codes!D:F,3,FALSE),"CHECK")</f>
        <v>Local</v>
      </c>
      <c r="AI35" s="852">
        <v>7.8663793103448273E-2</v>
      </c>
      <c r="AJ35" s="853">
        <f t="shared" si="66"/>
        <v>0.92133620689655171</v>
      </c>
      <c r="AK35" s="854">
        <f t="shared" si="36"/>
        <v>-91569.194095014725</v>
      </c>
      <c r="AL35" s="854">
        <f t="shared" si="37"/>
        <v>0</v>
      </c>
      <c r="AM35" s="854">
        <f t="shared" si="38"/>
        <v>0</v>
      </c>
      <c r="AN35" s="854">
        <f t="shared" si="39"/>
        <v>0</v>
      </c>
      <c r="AO35" s="854">
        <f t="shared" si="40"/>
        <v>0</v>
      </c>
      <c r="AP35" s="854">
        <f t="shared" si="41"/>
        <v>0</v>
      </c>
      <c r="AQ35" s="854">
        <f t="shared" si="42"/>
        <v>0</v>
      </c>
      <c r="AR35" s="854">
        <f t="shared" si="43"/>
        <v>0</v>
      </c>
      <c r="AS35" s="854">
        <f t="shared" si="44"/>
        <v>-14021.256246462581</v>
      </c>
      <c r="AT35" s="854">
        <f t="shared" si="45"/>
        <v>0</v>
      </c>
      <c r="AU35" s="854">
        <f t="shared" si="46"/>
        <v>-145989.65863818995</v>
      </c>
      <c r="AV35" s="854">
        <f t="shared" si="67"/>
        <v>-160010.91488465253</v>
      </c>
      <c r="AW35" s="854">
        <f t="shared" si="47"/>
        <v>0</v>
      </c>
      <c r="AX35" s="855">
        <f t="shared" si="48"/>
        <v>0</v>
      </c>
      <c r="AZ35" s="854">
        <f t="shared" si="49"/>
        <v>0</v>
      </c>
      <c r="BA35" s="854">
        <f t="shared" si="50"/>
        <v>0</v>
      </c>
      <c r="BB35" s="854">
        <f t="shared" si="51"/>
        <v>0</v>
      </c>
      <c r="BC35" s="854">
        <f t="shared" si="52"/>
        <v>0</v>
      </c>
      <c r="BD35" s="854">
        <f t="shared" si="53"/>
        <v>0</v>
      </c>
      <c r="BE35" s="854">
        <f t="shared" si="54"/>
        <v>0</v>
      </c>
      <c r="BF35" s="854">
        <f t="shared" si="55"/>
        <v>0</v>
      </c>
      <c r="BG35" s="854">
        <f t="shared" si="56"/>
        <v>-164221.56288665079</v>
      </c>
      <c r="BH35" s="854">
        <f t="shared" si="57"/>
        <v>0</v>
      </c>
      <c r="BI35" s="854">
        <f t="shared" si="58"/>
        <v>-1709878.8785705809</v>
      </c>
      <c r="BJ35" s="854">
        <f t="shared" si="68"/>
        <v>-1874100.4414572315</v>
      </c>
      <c r="BK35" s="58" t="str">
        <f t="shared" si="69"/>
        <v>OK</v>
      </c>
      <c r="BL35" s="856" t="str">
        <f t="shared" si="59"/>
        <v>Active Mode Corridor Drury Central to GSR TRA A23 0.956922410530503 2060 0.0786637931034483</v>
      </c>
      <c r="BM35" s="153">
        <f t="shared" si="60"/>
        <v>2</v>
      </c>
      <c r="BN35" s="869">
        <f t="shared" si="70"/>
        <v>-2034111.356341884</v>
      </c>
      <c r="BO35" s="870">
        <f>IFERROR(VLOOKUP(AF35,FA_Codes!D:H,5,FALSE),"CHECK")</f>
        <v>0</v>
      </c>
      <c r="BP35" s="870" t="str">
        <f t="shared" si="61"/>
        <v>TRA</v>
      </c>
      <c r="BQ35" s="869">
        <f t="shared" si="62"/>
        <v>0</v>
      </c>
      <c r="BR35" s="870" t="str">
        <f t="shared" si="63"/>
        <v>67 TRA A23</v>
      </c>
      <c r="BS35" s="870">
        <f t="shared" si="71"/>
        <v>67</v>
      </c>
      <c r="BT35" s="870" t="s">
        <v>6992</v>
      </c>
      <c r="BU35" s="870">
        <f t="shared" si="64"/>
        <v>2060</v>
      </c>
      <c r="BV35" s="153"/>
      <c r="BW35" s="153"/>
      <c r="BX35" s="153"/>
      <c r="BY35" s="153"/>
      <c r="BZ35" s="153"/>
      <c r="CA35" s="153"/>
      <c r="CB35" s="153"/>
      <c r="CC35" s="153"/>
      <c r="CD35" s="153"/>
      <c r="CE35" s="153"/>
      <c r="CF35" s="153"/>
    </row>
    <row r="36" spans="1:84" ht="26">
      <c r="A36" s="848"/>
      <c r="B36" s="848" t="s">
        <v>896</v>
      </c>
      <c r="C36" s="848"/>
      <c r="D36" s="848"/>
      <c r="E36" s="848" t="s">
        <v>6760</v>
      </c>
      <c r="F36" s="866" t="s">
        <v>6747</v>
      </c>
      <c r="G36" s="808" t="s">
        <v>6748</v>
      </c>
      <c r="H36" s="808"/>
      <c r="I36" s="808"/>
      <c r="J36" s="808"/>
      <c r="K36" s="808" t="s">
        <v>6710</v>
      </c>
      <c r="L36" s="808"/>
      <c r="M36" s="808"/>
      <c r="N36" s="808"/>
      <c r="O36" s="808"/>
      <c r="P36" s="808"/>
      <c r="Q36" s="849">
        <v>0.9569224105305032</v>
      </c>
      <c r="R36" s="848">
        <v>2060</v>
      </c>
      <c r="S36" s="850">
        <v>0</v>
      </c>
      <c r="T36" s="850">
        <v>0</v>
      </c>
      <c r="U36" s="850">
        <v>0</v>
      </c>
      <c r="V36" s="850">
        <v>0</v>
      </c>
      <c r="W36" s="850">
        <v>0</v>
      </c>
      <c r="X36" s="850">
        <v>0</v>
      </c>
      <c r="Y36" s="850">
        <v>0</v>
      </c>
      <c r="Z36" s="850">
        <v>0</v>
      </c>
      <c r="AA36" s="850">
        <v>-49090.238409372738</v>
      </c>
      <c r="AB36" s="850">
        <v>-487940.3908905799</v>
      </c>
      <c r="AC36" s="809">
        <f t="shared" si="65"/>
        <v>-537030.62929995265</v>
      </c>
      <c r="AD36" s="848"/>
      <c r="AF36" s="58" t="str">
        <f>IFERROR(VLOOKUP(K36,FA_Codes!C:F,2,FALSE),"CHECK")</f>
        <v>TRA A23</v>
      </c>
      <c r="AG36" s="851">
        <f t="shared" si="35"/>
        <v>-537030.62929995265</v>
      </c>
      <c r="AH36" s="58" t="str">
        <f>IFERROR(VLOOKUP(AF36,FA_Codes!D:F,3,FALSE),"CHECK")</f>
        <v>Local</v>
      </c>
      <c r="AI36" s="852">
        <v>7.8663793103448273E-2</v>
      </c>
      <c r="AJ36" s="853">
        <f t="shared" si="66"/>
        <v>0.92133620689655171</v>
      </c>
      <c r="AK36" s="854">
        <f t="shared" si="36"/>
        <v>-23133.98498152888</v>
      </c>
      <c r="AL36" s="854">
        <f t="shared" si="37"/>
        <v>0</v>
      </c>
      <c r="AM36" s="854">
        <f t="shared" si="38"/>
        <v>0</v>
      </c>
      <c r="AN36" s="854">
        <f t="shared" si="39"/>
        <v>0</v>
      </c>
      <c r="AO36" s="854">
        <f t="shared" si="40"/>
        <v>0</v>
      </c>
      <c r="AP36" s="854">
        <f t="shared" si="41"/>
        <v>0</v>
      </c>
      <c r="AQ36" s="854">
        <f t="shared" si="42"/>
        <v>0</v>
      </c>
      <c r="AR36" s="854">
        <f t="shared" si="43"/>
        <v>0</v>
      </c>
      <c r="AS36" s="854">
        <f t="shared" si="44"/>
        <v>0</v>
      </c>
      <c r="AT36" s="854">
        <f t="shared" si="45"/>
        <v>-3695.2748888702868</v>
      </c>
      <c r="AU36" s="854">
        <f t="shared" si="46"/>
        <v>-36729.784416350543</v>
      </c>
      <c r="AV36" s="854">
        <f t="shared" si="67"/>
        <v>-40425.059305220828</v>
      </c>
      <c r="AW36" s="854">
        <f t="shared" si="47"/>
        <v>0</v>
      </c>
      <c r="AX36" s="855">
        <f t="shared" si="48"/>
        <v>0</v>
      </c>
      <c r="AZ36" s="854">
        <f t="shared" si="49"/>
        <v>0</v>
      </c>
      <c r="BA36" s="854">
        <f t="shared" si="50"/>
        <v>0</v>
      </c>
      <c r="BB36" s="854">
        <f t="shared" si="51"/>
        <v>0</v>
      </c>
      <c r="BC36" s="854">
        <f t="shared" si="52"/>
        <v>0</v>
      </c>
      <c r="BD36" s="854">
        <f t="shared" si="53"/>
        <v>0</v>
      </c>
      <c r="BE36" s="854">
        <f t="shared" si="54"/>
        <v>0</v>
      </c>
      <c r="BF36" s="854">
        <f t="shared" si="55"/>
        <v>0</v>
      </c>
      <c r="BG36" s="854">
        <f t="shared" si="56"/>
        <v>0</v>
      </c>
      <c r="BH36" s="854">
        <f t="shared" si="57"/>
        <v>-43280.274383343771</v>
      </c>
      <c r="BI36" s="854">
        <f t="shared" si="58"/>
        <v>-430191.31062985916</v>
      </c>
      <c r="BJ36" s="854">
        <f t="shared" si="68"/>
        <v>-473471.58501320292</v>
      </c>
      <c r="BK36" s="58" t="str">
        <f t="shared" si="69"/>
        <v>OK</v>
      </c>
      <c r="BL36" s="856" t="str">
        <f t="shared" si="59"/>
        <v>walk/cycle bridges on GSR Road bridge over the rail corridor TRA A23 0.956922410530503 2060 0.0786637931034483</v>
      </c>
      <c r="BM36" s="153">
        <f t="shared" si="60"/>
        <v>2</v>
      </c>
      <c r="BN36" s="869">
        <f t="shared" si="70"/>
        <v>-513896.64431842376</v>
      </c>
      <c r="BO36" s="870">
        <f>IFERROR(VLOOKUP(AF36,FA_Codes!D:H,5,FALSE),"CHECK")</f>
        <v>0</v>
      </c>
      <c r="BP36" s="870" t="str">
        <f t="shared" si="61"/>
        <v>TRA</v>
      </c>
      <c r="BQ36" s="869">
        <f t="shared" si="62"/>
        <v>0</v>
      </c>
      <c r="BR36" s="870" t="str">
        <f t="shared" si="63"/>
        <v>70 TRA A23</v>
      </c>
      <c r="BS36" s="870">
        <f t="shared" si="71"/>
        <v>70</v>
      </c>
      <c r="BT36" s="870" t="s">
        <v>6992</v>
      </c>
      <c r="BU36" s="870">
        <f t="shared" si="64"/>
        <v>2060</v>
      </c>
      <c r="BV36" s="153"/>
      <c r="BW36" s="153"/>
      <c r="BX36" s="153"/>
      <c r="BY36" s="153"/>
      <c r="BZ36" s="153"/>
      <c r="CA36" s="153"/>
      <c r="CB36" s="153"/>
      <c r="CC36" s="153"/>
      <c r="CD36" s="153"/>
      <c r="CE36" s="153"/>
      <c r="CF36" s="153"/>
    </row>
    <row r="37" spans="1:84" ht="26">
      <c r="A37" s="848"/>
      <c r="B37" s="848" t="s">
        <v>896</v>
      </c>
      <c r="C37" s="848"/>
      <c r="D37" s="848"/>
      <c r="E37" s="848" t="s">
        <v>6870</v>
      </c>
      <c r="F37" s="866" t="s">
        <v>6865</v>
      </c>
      <c r="G37" s="866" t="s">
        <v>6866</v>
      </c>
      <c r="H37" s="866"/>
      <c r="I37" s="866"/>
      <c r="J37" s="866"/>
      <c r="K37" s="866" t="s">
        <v>6762</v>
      </c>
      <c r="L37" s="866"/>
      <c r="M37" s="866"/>
      <c r="N37" s="866"/>
      <c r="O37" s="866"/>
      <c r="P37" s="866"/>
      <c r="Q37" s="897">
        <v>0.91605601056466435</v>
      </c>
      <c r="R37" s="848">
        <v>2060</v>
      </c>
      <c r="S37" s="850">
        <v>0</v>
      </c>
      <c r="T37" s="850">
        <v>0</v>
      </c>
      <c r="U37" s="850">
        <v>0</v>
      </c>
      <c r="V37" s="850">
        <v>0</v>
      </c>
      <c r="W37" s="850">
        <v>0</v>
      </c>
      <c r="X37" s="850">
        <v>0</v>
      </c>
      <c r="Y37" s="850">
        <v>0</v>
      </c>
      <c r="Z37" s="850">
        <v>0</v>
      </c>
      <c r="AA37" s="850">
        <v>0</v>
      </c>
      <c r="AB37" s="850">
        <v>451984.26273935346</v>
      </c>
      <c r="AC37" s="898">
        <f t="shared" si="65"/>
        <v>451984.26273935346</v>
      </c>
      <c r="AD37" s="848"/>
      <c r="AF37" s="58" t="str">
        <f>IFERROR(VLOOKUP(K37,FA_Codes!C:F,2,FALSE),"CHECK")</f>
        <v>TRA A24</v>
      </c>
      <c r="AG37" s="851">
        <f t="shared" si="35"/>
        <v>451984.26273935346</v>
      </c>
      <c r="AH37" s="58" t="str">
        <f>IFERROR(VLOOKUP(AF37,FA_Codes!D:F,3,FALSE),"CHECK")</f>
        <v>Local</v>
      </c>
      <c r="AI37" s="852">
        <v>0.31816019032513876</v>
      </c>
      <c r="AJ37" s="853">
        <f t="shared" si="66"/>
        <v>0.68183980967486124</v>
      </c>
      <c r="AK37" s="854">
        <f t="shared" si="36"/>
        <v>37941.362176330258</v>
      </c>
      <c r="AL37" s="854">
        <f t="shared" si="37"/>
        <v>0</v>
      </c>
      <c r="AM37" s="854">
        <f t="shared" si="38"/>
        <v>0</v>
      </c>
      <c r="AN37" s="854">
        <f t="shared" si="39"/>
        <v>0</v>
      </c>
      <c r="AO37" s="854">
        <f t="shared" si="40"/>
        <v>0</v>
      </c>
      <c r="AP37" s="854">
        <f t="shared" si="41"/>
        <v>0</v>
      </c>
      <c r="AQ37" s="854">
        <f t="shared" si="42"/>
        <v>0</v>
      </c>
      <c r="AR37" s="854">
        <f t="shared" si="43"/>
        <v>0</v>
      </c>
      <c r="AS37" s="854">
        <f t="shared" si="44"/>
        <v>0</v>
      </c>
      <c r="AT37" s="854">
        <f t="shared" si="45"/>
        <v>0</v>
      </c>
      <c r="AU37" s="854">
        <f t="shared" si="46"/>
        <v>131731.96804590398</v>
      </c>
      <c r="AV37" s="854">
        <f t="shared" si="67"/>
        <v>131731.96804590398</v>
      </c>
      <c r="AW37" s="854">
        <f t="shared" si="47"/>
        <v>0</v>
      </c>
      <c r="AX37" s="855">
        <f t="shared" si="48"/>
        <v>0</v>
      </c>
      <c r="AZ37" s="854">
        <f t="shared" si="49"/>
        <v>0</v>
      </c>
      <c r="BA37" s="854">
        <f t="shared" si="50"/>
        <v>0</v>
      </c>
      <c r="BB37" s="854">
        <f t="shared" si="51"/>
        <v>0</v>
      </c>
      <c r="BC37" s="854">
        <f t="shared" si="52"/>
        <v>0</v>
      </c>
      <c r="BD37" s="854">
        <f t="shared" si="53"/>
        <v>0</v>
      </c>
      <c r="BE37" s="854">
        <f t="shared" si="54"/>
        <v>0</v>
      </c>
      <c r="BF37" s="854">
        <f t="shared" si="55"/>
        <v>0</v>
      </c>
      <c r="BG37" s="854">
        <f t="shared" si="56"/>
        <v>0</v>
      </c>
      <c r="BH37" s="854">
        <f t="shared" si="57"/>
        <v>0</v>
      </c>
      <c r="BI37" s="854">
        <f t="shared" si="58"/>
        <v>282310.93251711928</v>
      </c>
      <c r="BJ37" s="854">
        <f t="shared" si="68"/>
        <v>282310.93251711928</v>
      </c>
      <c r="BK37" s="58" t="str">
        <f t="shared" si="69"/>
        <v>OK</v>
      </c>
      <c r="BL37" s="878" t="str">
        <f t="shared" si="59"/>
        <v>Western end of Brookefield Road Extension tie in with Quarry Rd TRA A24 0.916056010564664 2060 0.318160190325139</v>
      </c>
      <c r="BM37" s="870">
        <f t="shared" si="60"/>
        <v>1</v>
      </c>
      <c r="BN37" s="869">
        <f t="shared" si="70"/>
        <v>414042.90056302329</v>
      </c>
      <c r="BO37" s="870">
        <f>IFERROR(VLOOKUP(AF37,FA_Codes!D:H,5,FALSE),"CHECK")</f>
        <v>0</v>
      </c>
      <c r="BP37" s="870" t="str">
        <f t="shared" si="61"/>
        <v>TRA</v>
      </c>
      <c r="BQ37" s="869">
        <f t="shared" si="62"/>
        <v>451984.26273935346</v>
      </c>
      <c r="BR37" s="870" t="str">
        <f t="shared" si="63"/>
        <v>14a TRA A24</v>
      </c>
      <c r="BS37" s="870" t="str">
        <f t="shared" si="71"/>
        <v>14a</v>
      </c>
      <c r="BT37" s="870" t="s">
        <v>6991</v>
      </c>
      <c r="BU37" s="870">
        <f t="shared" si="64"/>
        <v>2060</v>
      </c>
      <c r="BV37" s="153"/>
      <c r="BW37" s="153"/>
      <c r="BX37" s="153"/>
      <c r="BY37" s="153"/>
      <c r="BZ37" s="153"/>
      <c r="CA37" s="153"/>
      <c r="CB37" s="153"/>
      <c r="CC37" s="153"/>
      <c r="CD37" s="153"/>
      <c r="CE37" s="153"/>
      <c r="CF37" s="153"/>
    </row>
    <row r="38" spans="1:84" ht="26">
      <c r="A38" s="848"/>
      <c r="B38" s="848" t="s">
        <v>896</v>
      </c>
      <c r="C38" s="848"/>
      <c r="D38" s="848"/>
      <c r="E38" s="848" t="s">
        <v>6871</v>
      </c>
      <c r="F38" s="866" t="s">
        <v>6868</v>
      </c>
      <c r="G38" s="866" t="s">
        <v>6711</v>
      </c>
      <c r="H38" s="866"/>
      <c r="I38" s="866"/>
      <c r="J38" s="866"/>
      <c r="K38" s="866" t="s">
        <v>6762</v>
      </c>
      <c r="L38" s="866"/>
      <c r="M38" s="866"/>
      <c r="N38" s="866"/>
      <c r="O38" s="866"/>
      <c r="P38" s="866"/>
      <c r="Q38" s="897">
        <v>0.91605601056466435</v>
      </c>
      <c r="R38" s="848">
        <v>2060</v>
      </c>
      <c r="S38" s="850">
        <v>0</v>
      </c>
      <c r="T38" s="850">
        <v>0</v>
      </c>
      <c r="U38" s="850">
        <v>0</v>
      </c>
      <c r="V38" s="850">
        <v>0</v>
      </c>
      <c r="W38" s="850">
        <v>0</v>
      </c>
      <c r="X38" s="850">
        <v>0</v>
      </c>
      <c r="Y38" s="850">
        <v>0</v>
      </c>
      <c r="Z38" s="850">
        <v>0</v>
      </c>
      <c r="AA38" s="850">
        <v>182434.42331754277</v>
      </c>
      <c r="AB38" s="850">
        <v>1812502.5806073616</v>
      </c>
      <c r="AC38" s="898">
        <f t="shared" si="65"/>
        <v>1994937.0039249044</v>
      </c>
      <c r="AD38" s="848"/>
      <c r="AF38" s="58" t="str">
        <f>IFERROR(VLOOKUP(K38,FA_Codes!C:F,2,FALSE),"CHECK")</f>
        <v>TRA A24</v>
      </c>
      <c r="AG38" s="851">
        <f t="shared" si="35"/>
        <v>1994937.0039249044</v>
      </c>
      <c r="AH38" s="58" t="str">
        <f>IFERROR(VLOOKUP(AF38,FA_Codes!D:F,3,FALSE),"CHECK")</f>
        <v>Local</v>
      </c>
      <c r="AI38" s="852">
        <v>0.31816019032513876</v>
      </c>
      <c r="AJ38" s="853">
        <f t="shared" si="66"/>
        <v>0.68183980967486124</v>
      </c>
      <c r="AK38" s="854">
        <f t="shared" si="36"/>
        <v>167462.97078163232</v>
      </c>
      <c r="AL38" s="854">
        <f t="shared" si="37"/>
        <v>0</v>
      </c>
      <c r="AM38" s="854">
        <f t="shared" si="38"/>
        <v>0</v>
      </c>
      <c r="AN38" s="854">
        <f t="shared" si="39"/>
        <v>0</v>
      </c>
      <c r="AO38" s="854">
        <f t="shared" si="40"/>
        <v>0</v>
      </c>
      <c r="AP38" s="854">
        <f t="shared" si="41"/>
        <v>0</v>
      </c>
      <c r="AQ38" s="854">
        <f t="shared" si="42"/>
        <v>0</v>
      </c>
      <c r="AR38" s="854">
        <f t="shared" si="43"/>
        <v>0</v>
      </c>
      <c r="AS38" s="854">
        <f t="shared" si="44"/>
        <v>0</v>
      </c>
      <c r="AT38" s="854">
        <f t="shared" si="45"/>
        <v>53170.978735598786</v>
      </c>
      <c r="AU38" s="854">
        <f t="shared" si="46"/>
        <v>528258.50746351364</v>
      </c>
      <c r="AV38" s="854">
        <f t="shared" si="67"/>
        <v>581429.48619911238</v>
      </c>
      <c r="AW38" s="854">
        <f t="shared" si="47"/>
        <v>0</v>
      </c>
      <c r="AX38" s="855">
        <f t="shared" si="48"/>
        <v>0</v>
      </c>
      <c r="AZ38" s="854">
        <f t="shared" si="49"/>
        <v>0</v>
      </c>
      <c r="BA38" s="854">
        <f t="shared" si="50"/>
        <v>0</v>
      </c>
      <c r="BB38" s="854">
        <f t="shared" si="51"/>
        <v>0</v>
      </c>
      <c r="BC38" s="854">
        <f t="shared" si="52"/>
        <v>0</v>
      </c>
      <c r="BD38" s="854">
        <f t="shared" si="53"/>
        <v>0</v>
      </c>
      <c r="BE38" s="854">
        <f t="shared" si="54"/>
        <v>0</v>
      </c>
      <c r="BF38" s="854">
        <f t="shared" si="55"/>
        <v>0</v>
      </c>
      <c r="BG38" s="854">
        <f t="shared" si="56"/>
        <v>0</v>
      </c>
      <c r="BH38" s="854">
        <f t="shared" si="57"/>
        <v>113949.1712783346</v>
      </c>
      <c r="BI38" s="854">
        <f t="shared" si="58"/>
        <v>1132095.3756658251</v>
      </c>
      <c r="BJ38" s="854">
        <f t="shared" si="68"/>
        <v>1246044.5469441598</v>
      </c>
      <c r="BK38" s="58" t="str">
        <f t="shared" si="69"/>
        <v>OK</v>
      </c>
      <c r="BL38" s="878" t="str">
        <f t="shared" si="59"/>
        <v>GSR improvements - Waihoehoe Rd to Drury Interchange TRA A24 0.916056010564664 2060 0.318160190325139</v>
      </c>
      <c r="BM38" s="870">
        <f t="shared" si="60"/>
        <v>2</v>
      </c>
      <c r="BN38" s="869">
        <f t="shared" si="70"/>
        <v>1827474.0331432722</v>
      </c>
      <c r="BO38" s="870">
        <f>IFERROR(VLOOKUP(AF38,FA_Codes!D:H,5,FALSE),"CHECK")</f>
        <v>0</v>
      </c>
      <c r="BP38" s="870" t="str">
        <f t="shared" si="61"/>
        <v>TRA</v>
      </c>
      <c r="BQ38" s="869">
        <f t="shared" si="62"/>
        <v>1994937.0039249044</v>
      </c>
      <c r="BR38" s="870" t="str">
        <f t="shared" si="63"/>
        <v>1b TRA A24</v>
      </c>
      <c r="BS38" s="870" t="str">
        <f t="shared" si="71"/>
        <v>1b</v>
      </c>
      <c r="BT38" s="870" t="s">
        <v>6992</v>
      </c>
      <c r="BU38" s="870">
        <f t="shared" si="64"/>
        <v>2060</v>
      </c>
      <c r="BV38" s="153"/>
      <c r="BW38" s="153"/>
      <c r="BX38" s="153"/>
      <c r="BY38" s="153"/>
      <c r="BZ38" s="153"/>
      <c r="CA38" s="153"/>
      <c r="CB38" s="153"/>
      <c r="CC38" s="153"/>
      <c r="CD38" s="153"/>
      <c r="CE38" s="153"/>
      <c r="CF38" s="153"/>
    </row>
    <row r="39" spans="1:84" ht="26">
      <c r="A39" s="848"/>
      <c r="B39" s="848" t="s">
        <v>896</v>
      </c>
      <c r="C39" s="848"/>
      <c r="D39" s="848"/>
      <c r="E39" s="848" t="s">
        <v>6761</v>
      </c>
      <c r="F39" s="866" t="s">
        <v>6708</v>
      </c>
      <c r="G39" s="866" t="s">
        <v>6709</v>
      </c>
      <c r="H39" s="866"/>
      <c r="I39" s="866"/>
      <c r="J39" s="866"/>
      <c r="K39" s="866" t="s">
        <v>6762</v>
      </c>
      <c r="L39" s="866"/>
      <c r="M39" s="866"/>
      <c r="N39" s="866"/>
      <c r="O39" s="866"/>
      <c r="P39" s="866"/>
      <c r="Q39" s="897">
        <v>0.91605601056466435</v>
      </c>
      <c r="R39" s="848">
        <v>2060</v>
      </c>
      <c r="S39" s="850">
        <v>0</v>
      </c>
      <c r="T39" s="850">
        <v>0</v>
      </c>
      <c r="U39" s="850">
        <v>0</v>
      </c>
      <c r="V39" s="850">
        <v>0</v>
      </c>
      <c r="W39" s="850">
        <v>0</v>
      </c>
      <c r="X39" s="850">
        <v>0</v>
      </c>
      <c r="Y39" s="850">
        <v>0</v>
      </c>
      <c r="Z39" s="850">
        <v>222015.27696818061</v>
      </c>
      <c r="AA39" s="850">
        <v>2205741.9598858715</v>
      </c>
      <c r="AB39" s="850">
        <v>0</v>
      </c>
      <c r="AC39" s="898">
        <f t="shared" si="65"/>
        <v>2427757.2368540522</v>
      </c>
      <c r="AD39" s="848"/>
      <c r="AF39" s="58" t="str">
        <f>IFERROR(VLOOKUP(K39,FA_Codes!C:F,2,FALSE),"CHECK")</f>
        <v>TRA A24</v>
      </c>
      <c r="AG39" s="851">
        <f t="shared" si="35"/>
        <v>2427757.2368540522</v>
      </c>
      <c r="AH39" s="58" t="str">
        <f>IFERROR(VLOOKUP(AF39,FA_Codes!D:F,3,FALSE),"CHECK")</f>
        <v>Local</v>
      </c>
      <c r="AI39" s="852">
        <v>0.31816019032513876</v>
      </c>
      <c r="AJ39" s="853">
        <f t="shared" si="66"/>
        <v>0.68183980967486124</v>
      </c>
      <c r="AK39" s="854">
        <f t="shared" si="36"/>
        <v>203795.62784203622</v>
      </c>
      <c r="AL39" s="854">
        <f t="shared" si="37"/>
        <v>0</v>
      </c>
      <c r="AM39" s="854">
        <f t="shared" si="38"/>
        <v>0</v>
      </c>
      <c r="AN39" s="854">
        <f t="shared" si="39"/>
        <v>0</v>
      </c>
      <c r="AO39" s="854">
        <f t="shared" si="40"/>
        <v>0</v>
      </c>
      <c r="AP39" s="854">
        <f t="shared" si="41"/>
        <v>0</v>
      </c>
      <c r="AQ39" s="854">
        <f t="shared" si="42"/>
        <v>0</v>
      </c>
      <c r="AR39" s="854">
        <f t="shared" si="43"/>
        <v>0</v>
      </c>
      <c r="AS39" s="854">
        <f t="shared" si="44"/>
        <v>64706.919648086332</v>
      </c>
      <c r="AT39" s="854">
        <f t="shared" si="45"/>
        <v>642869.12915097852</v>
      </c>
      <c r="AU39" s="854">
        <f t="shared" si="46"/>
        <v>0</v>
      </c>
      <c r="AV39" s="854">
        <f t="shared" si="67"/>
        <v>707576.04879906483</v>
      </c>
      <c r="AW39" s="854">
        <f t="shared" si="47"/>
        <v>0</v>
      </c>
      <c r="AX39" s="855">
        <f t="shared" si="48"/>
        <v>0</v>
      </c>
      <c r="AZ39" s="854">
        <f t="shared" si="49"/>
        <v>0</v>
      </c>
      <c r="BA39" s="854">
        <f t="shared" si="50"/>
        <v>0</v>
      </c>
      <c r="BB39" s="854">
        <f t="shared" si="51"/>
        <v>0</v>
      </c>
      <c r="BC39" s="854">
        <f t="shared" si="52"/>
        <v>0</v>
      </c>
      <c r="BD39" s="854">
        <f t="shared" si="53"/>
        <v>0</v>
      </c>
      <c r="BE39" s="854">
        <f t="shared" si="54"/>
        <v>0</v>
      </c>
      <c r="BF39" s="854">
        <f t="shared" si="55"/>
        <v>0</v>
      </c>
      <c r="BG39" s="854">
        <f t="shared" si="56"/>
        <v>138671.5092557942</v>
      </c>
      <c r="BH39" s="854">
        <f t="shared" si="57"/>
        <v>1377714.0509571568</v>
      </c>
      <c r="BI39" s="854">
        <f t="shared" si="58"/>
        <v>0</v>
      </c>
      <c r="BJ39" s="854">
        <f t="shared" si="68"/>
        <v>1516385.5602129509</v>
      </c>
      <c r="BK39" s="58" t="str">
        <f t="shared" si="69"/>
        <v>OK</v>
      </c>
      <c r="BL39" s="878" t="str">
        <f t="shared" si="59"/>
        <v>GSR improvements - From Drury School to Waihoehoe Rd TRA A24 0.916056010564664 2060 0.318160190325139</v>
      </c>
      <c r="BM39" s="870">
        <f t="shared" si="60"/>
        <v>2</v>
      </c>
      <c r="BN39" s="869">
        <f t="shared" si="70"/>
        <v>2223961.6090120156</v>
      </c>
      <c r="BO39" s="870">
        <f>IFERROR(VLOOKUP(AF39,FA_Codes!D:H,5,FALSE),"CHECK")</f>
        <v>0</v>
      </c>
      <c r="BP39" s="870" t="str">
        <f t="shared" si="61"/>
        <v>TRA</v>
      </c>
      <c r="BQ39" s="869">
        <f t="shared" si="62"/>
        <v>2427757.2368540522</v>
      </c>
      <c r="BR39" s="870" t="str">
        <f t="shared" si="63"/>
        <v>2a TRA A24</v>
      </c>
      <c r="BS39" s="870" t="str">
        <f t="shared" si="71"/>
        <v>2a</v>
      </c>
      <c r="BT39" s="870" t="s">
        <v>6992</v>
      </c>
      <c r="BU39" s="870">
        <f t="shared" si="64"/>
        <v>2060</v>
      </c>
      <c r="BV39" s="153"/>
      <c r="BW39" s="153"/>
      <c r="BX39" s="153"/>
      <c r="BY39" s="153"/>
      <c r="BZ39" s="153"/>
      <c r="CA39" s="153"/>
      <c r="CB39" s="153"/>
      <c r="CC39" s="153"/>
      <c r="CD39" s="153"/>
      <c r="CE39" s="153"/>
      <c r="CF39" s="153"/>
    </row>
    <row r="40" spans="1:84" ht="26">
      <c r="A40" s="848"/>
      <c r="B40" s="848" t="s">
        <v>896</v>
      </c>
      <c r="C40" s="848"/>
      <c r="D40" s="848"/>
      <c r="E40" s="848" t="s">
        <v>6763</v>
      </c>
      <c r="F40" s="866" t="s">
        <v>6715</v>
      </c>
      <c r="G40" s="866" t="s">
        <v>6717</v>
      </c>
      <c r="H40" s="866"/>
      <c r="I40" s="866"/>
      <c r="J40" s="866"/>
      <c r="K40" s="866" t="s">
        <v>6762</v>
      </c>
      <c r="L40" s="866"/>
      <c r="M40" s="866"/>
      <c r="N40" s="866"/>
      <c r="O40" s="866"/>
      <c r="P40" s="866"/>
      <c r="Q40" s="897">
        <v>0.91605601056466435</v>
      </c>
      <c r="R40" s="848">
        <v>2060</v>
      </c>
      <c r="S40" s="850">
        <v>0</v>
      </c>
      <c r="T40" s="850">
        <v>0</v>
      </c>
      <c r="U40" s="850">
        <v>0</v>
      </c>
      <c r="V40" s="850">
        <v>0</v>
      </c>
      <c r="W40" s="850">
        <v>0</v>
      </c>
      <c r="X40" s="850">
        <v>0</v>
      </c>
      <c r="Y40" s="850">
        <v>0</v>
      </c>
      <c r="Z40" s="850">
        <v>64647.291265656109</v>
      </c>
      <c r="AA40" s="850">
        <v>80177.047067850508</v>
      </c>
      <c r="AB40" s="850">
        <v>810345.69894040213</v>
      </c>
      <c r="AC40" s="898">
        <f t="shared" si="65"/>
        <v>955170.03727390873</v>
      </c>
      <c r="AD40" s="848"/>
      <c r="AF40" s="58" t="str">
        <f>IFERROR(VLOOKUP(K40,FA_Codes!C:F,2,FALSE),"CHECK")</f>
        <v>TRA A24</v>
      </c>
      <c r="AG40" s="851">
        <f t="shared" ref="AG40:AG71" si="72">AC40-AD40</f>
        <v>955170.03727390873</v>
      </c>
      <c r="AH40" s="58" t="str">
        <f>IFERROR(VLOOKUP(AF40,FA_Codes!D:F,3,FALSE),"CHECK")</f>
        <v>Local</v>
      </c>
      <c r="AI40" s="852">
        <v>0.31816019032513876</v>
      </c>
      <c r="AJ40" s="853">
        <f t="shared" si="66"/>
        <v>0.68183980967486124</v>
      </c>
      <c r="AK40" s="854">
        <f t="shared" ref="AK40:AK71" si="73">AG40*(1-Q40)</f>
        <v>80180.78351787015</v>
      </c>
      <c r="AL40" s="854">
        <f t="shared" ref="AL40:AL71" si="74">S40*$Q40*$AI40*(1-$AX40)</f>
        <v>0</v>
      </c>
      <c r="AM40" s="854">
        <f t="shared" ref="AM40:AM71" si="75">T40*$Q40*$AI40*(1-$AX40)</f>
        <v>0</v>
      </c>
      <c r="AN40" s="854">
        <f t="shared" ref="AN40:AN71" si="76">U40*$Q40*$AI40*(1-$AX40)</f>
        <v>0</v>
      </c>
      <c r="AO40" s="854">
        <f t="shared" ref="AO40:AO71" si="77">V40*$Q40*$AI40*(1-$AX40)</f>
        <v>0</v>
      </c>
      <c r="AP40" s="854">
        <f t="shared" ref="AP40:AP71" si="78">W40*$Q40*$AI40*(1-$AX40)</f>
        <v>0</v>
      </c>
      <c r="AQ40" s="854">
        <f t="shared" ref="AQ40:AQ71" si="79">X40*$Q40*$AI40*(1-$AX40)</f>
        <v>0</v>
      </c>
      <c r="AR40" s="854">
        <f t="shared" ref="AR40:AR71" si="80">Y40*$Q40*$AI40*(1-$AX40)</f>
        <v>0</v>
      </c>
      <c r="AS40" s="854">
        <f t="shared" ref="AS40:AS71" si="81">Z40*$Q40*$AI40*(1-$AX40)</f>
        <v>18841.618191854304</v>
      </c>
      <c r="AT40" s="854">
        <f t="shared" ref="AT40:AT71" si="82">AA40*$Q40*$AI40*(1-$AX40)</f>
        <v>23367.80519380109</v>
      </c>
      <c r="AU40" s="854">
        <f t="shared" ref="AU40:AU71" si="83">AB40*$Q40*$AI40*(1-$AX40)</f>
        <v>236177.32412181699</v>
      </c>
      <c r="AV40" s="854">
        <f t="shared" si="67"/>
        <v>278386.74750747241</v>
      </c>
      <c r="AW40" s="854">
        <f t="shared" ref="AW40:AW71" si="84">AD40</f>
        <v>0</v>
      </c>
      <c r="AX40" s="855">
        <f t="shared" ref="AX40:AX71" si="85">IFERROR(AW40/AC40,0)</f>
        <v>0</v>
      </c>
      <c r="AZ40" s="854">
        <f t="shared" ref="AZ40:AZ71" si="86">S40*$Q40*$AJ40*(1-$AX40)</f>
        <v>0</v>
      </c>
      <c r="BA40" s="854">
        <f t="shared" ref="BA40:BA71" si="87">T40*$Q40*$AJ40*(1-$AX40)</f>
        <v>0</v>
      </c>
      <c r="BB40" s="854">
        <f t="shared" ref="BB40:BB71" si="88">U40*$Q40*$AJ40*(1-$AX40)</f>
        <v>0</v>
      </c>
      <c r="BC40" s="854">
        <f t="shared" ref="BC40:BC71" si="89">V40*$Q40*$AJ40*(1-$AX40)</f>
        <v>0</v>
      </c>
      <c r="BD40" s="854">
        <f t="shared" ref="BD40:BD71" si="90">W40*$Q40*$AJ40*(1-$AX40)</f>
        <v>0</v>
      </c>
      <c r="BE40" s="854">
        <f t="shared" ref="BE40:BE71" si="91">X40*$Q40*$AJ40*(1-$AX40)</f>
        <v>0</v>
      </c>
      <c r="BF40" s="854">
        <f t="shared" ref="BF40:BF71" si="92">Y40*$Q40*$AJ40*(1-$AX40)</f>
        <v>0</v>
      </c>
      <c r="BG40" s="854">
        <f t="shared" ref="BG40:BG71" si="93">Z40*$Q40*$AJ40*(1-$AX40)</f>
        <v>40378.921538774506</v>
      </c>
      <c r="BH40" s="854">
        <f t="shared" ref="BH40:BH71" si="94">AA40*$Q40*$AJ40*(1-$AX40)</f>
        <v>50078.860682029364</v>
      </c>
      <c r="BI40" s="854">
        <f t="shared" ref="BI40:BI71" si="95">AB40*$Q40*$AJ40*(1-$AX40)</f>
        <v>506144.72402776236</v>
      </c>
      <c r="BJ40" s="854">
        <f t="shared" si="68"/>
        <v>596602.50624856621</v>
      </c>
      <c r="BK40" s="58" t="str">
        <f t="shared" si="69"/>
        <v>OK</v>
      </c>
      <c r="BL40" s="878" t="str">
        <f t="shared" ref="BL40:BL71" si="96">IF($Q40=0,"",F40&amp;" "&amp;AF40&amp;" "&amp;Q40&amp;" "&amp;R40&amp;" "&amp;AI40)</f>
        <v>Upgrade in Norrie Rd/GSR/Waihoehoe intersection TRA A24 0.916056010564664 2060 0.318160190325139</v>
      </c>
      <c r="BM40" s="870">
        <f t="shared" ref="BM40:BM71" si="97">COUNTIF($BL$8:$BL$149,BL40)</f>
        <v>2</v>
      </c>
      <c r="BN40" s="869">
        <f t="shared" si="70"/>
        <v>874989.25375603861</v>
      </c>
      <c r="BO40" s="870">
        <f>IFERROR(VLOOKUP(AF40,FA_Codes!D:H,5,FALSE),"CHECK")</f>
        <v>0</v>
      </c>
      <c r="BP40" s="870" t="str">
        <f t="shared" ref="BP40:BP71" si="98">TRIM(LEFT(AF40,3))</f>
        <v>TRA</v>
      </c>
      <c r="BQ40" s="869">
        <f t="shared" ref="BQ40:BQ71" si="99">IF(AC40&gt;0,+AC40,0)</f>
        <v>955170.03727390873</v>
      </c>
      <c r="BR40" s="870" t="str">
        <f t="shared" ref="BR40:BR71" si="100">IF(RIGHT(E40,11)=" WK subsidy",LEFT(E40,LEN(E40)-11),E40)</f>
        <v>9b TRA A24</v>
      </c>
      <c r="BS40" s="870" t="str">
        <f t="shared" si="71"/>
        <v>9b</v>
      </c>
      <c r="BT40" s="870" t="s">
        <v>6992</v>
      </c>
      <c r="BU40" s="870">
        <f t="shared" ref="BU40:BU71" si="101">+R40</f>
        <v>2060</v>
      </c>
      <c r="BV40" s="153"/>
      <c r="BW40" s="153"/>
      <c r="BX40" s="153"/>
      <c r="BY40" s="153"/>
      <c r="BZ40" s="153"/>
      <c r="CA40" s="153"/>
      <c r="CB40" s="153"/>
      <c r="CC40" s="153"/>
      <c r="CD40" s="153"/>
      <c r="CE40" s="153"/>
      <c r="CF40" s="153"/>
    </row>
    <row r="41" spans="1:84" ht="39">
      <c r="A41" s="848"/>
      <c r="B41" s="848" t="s">
        <v>896</v>
      </c>
      <c r="C41" s="848"/>
      <c r="D41" s="848"/>
      <c r="E41" s="848" t="s">
        <v>6764</v>
      </c>
      <c r="F41" s="866" t="s">
        <v>6725</v>
      </c>
      <c r="G41" s="866" t="s">
        <v>6726</v>
      </c>
      <c r="H41" s="866"/>
      <c r="I41" s="866"/>
      <c r="J41" s="866"/>
      <c r="K41" s="866" t="s">
        <v>6762</v>
      </c>
      <c r="L41" s="866"/>
      <c r="M41" s="866"/>
      <c r="N41" s="866"/>
      <c r="O41" s="866"/>
      <c r="P41" s="866"/>
      <c r="Q41" s="897">
        <v>0.91605601056466435</v>
      </c>
      <c r="R41" s="848">
        <v>2060</v>
      </c>
      <c r="S41" s="850">
        <v>0</v>
      </c>
      <c r="T41" s="850">
        <v>34790.879221800009</v>
      </c>
      <c r="U41" s="850">
        <v>0</v>
      </c>
      <c r="V41" s="850">
        <v>0</v>
      </c>
      <c r="W41" s="850">
        <v>0</v>
      </c>
      <c r="X41" s="850">
        <v>0</v>
      </c>
      <c r="Y41" s="850">
        <v>0</v>
      </c>
      <c r="Z41" s="850">
        <v>342450.73440611002</v>
      </c>
      <c r="AA41" s="850">
        <v>101327.05658433546</v>
      </c>
      <c r="AB41" s="850">
        <v>1014378.7807497561</v>
      </c>
      <c r="AC41" s="898">
        <f t="shared" si="65"/>
        <v>1492947.4509620017</v>
      </c>
      <c r="AD41" s="848"/>
      <c r="AF41" s="58" t="str">
        <f>IFERROR(VLOOKUP(K41,FA_Codes!C:F,2,FALSE),"CHECK")</f>
        <v>TRA A24</v>
      </c>
      <c r="AG41" s="851">
        <f t="shared" si="72"/>
        <v>1492947.4509620017</v>
      </c>
      <c r="AH41" s="58" t="str">
        <f>IFERROR(VLOOKUP(AF41,FA_Codes!D:F,3,FALSE),"CHECK")</f>
        <v>Local</v>
      </c>
      <c r="AI41" s="852">
        <v>0.31816019032513876</v>
      </c>
      <c r="AJ41" s="853">
        <f t="shared" si="66"/>
        <v>0.68183980967486124</v>
      </c>
      <c r="AK41" s="854">
        <f t="shared" si="73"/>
        <v>125323.96505106556</v>
      </c>
      <c r="AL41" s="854">
        <f t="shared" si="74"/>
        <v>0</v>
      </c>
      <c r="AM41" s="854">
        <f t="shared" si="75"/>
        <v>10139.89062840002</v>
      </c>
      <c r="AN41" s="854">
        <f t="shared" si="76"/>
        <v>0</v>
      </c>
      <c r="AO41" s="854">
        <f t="shared" si="77"/>
        <v>0</v>
      </c>
      <c r="AP41" s="854">
        <f t="shared" si="78"/>
        <v>0</v>
      </c>
      <c r="AQ41" s="854">
        <f t="shared" si="79"/>
        <v>0</v>
      </c>
      <c r="AR41" s="854">
        <f t="shared" si="80"/>
        <v>0</v>
      </c>
      <c r="AS41" s="854">
        <f t="shared" si="81"/>
        <v>99808.141391189725</v>
      </c>
      <c r="AT41" s="854">
        <f t="shared" si="82"/>
        <v>29532.029498669963</v>
      </c>
      <c r="AU41" s="854">
        <f t="shared" si="83"/>
        <v>295643.28705229348</v>
      </c>
      <c r="AV41" s="854">
        <f t="shared" si="67"/>
        <v>435123.34857055324</v>
      </c>
      <c r="AW41" s="854">
        <f t="shared" si="84"/>
        <v>0</v>
      </c>
      <c r="AX41" s="855">
        <f t="shared" si="85"/>
        <v>0</v>
      </c>
      <c r="AZ41" s="854">
        <f t="shared" si="86"/>
        <v>0</v>
      </c>
      <c r="BA41" s="854">
        <f t="shared" si="87"/>
        <v>21730.503395559168</v>
      </c>
      <c r="BB41" s="854">
        <f t="shared" si="88"/>
        <v>0</v>
      </c>
      <c r="BC41" s="854">
        <f t="shared" si="89"/>
        <v>0</v>
      </c>
      <c r="BD41" s="854">
        <f t="shared" si="90"/>
        <v>0</v>
      </c>
      <c r="BE41" s="854">
        <f t="shared" si="91"/>
        <v>0</v>
      </c>
      <c r="BF41" s="854">
        <f t="shared" si="92"/>
        <v>0</v>
      </c>
      <c r="BG41" s="854">
        <f t="shared" si="93"/>
        <v>213895.9121838109</v>
      </c>
      <c r="BH41" s="854">
        <f t="shared" si="94"/>
        <v>63289.229718236384</v>
      </c>
      <c r="BI41" s="854">
        <f t="shared" si="95"/>
        <v>633584.49204277655</v>
      </c>
      <c r="BJ41" s="854">
        <f t="shared" si="68"/>
        <v>932500.13734038302</v>
      </c>
      <c r="BK41" s="58" t="str">
        <f t="shared" si="69"/>
        <v>OK</v>
      </c>
      <c r="BL41" s="878" t="str">
        <f t="shared" si="96"/>
        <v>Waihoehoe Rd West upgrades- between GSR &amp; Kath Henry Lane TRA A24 0.916056010564664 2060 0.318160190325139</v>
      </c>
      <c r="BM41" s="870">
        <f t="shared" si="97"/>
        <v>2</v>
      </c>
      <c r="BN41" s="869">
        <f t="shared" si="70"/>
        <v>1367623.4859109363</v>
      </c>
      <c r="BO41" s="870">
        <f>IFERROR(VLOOKUP(AF41,FA_Codes!D:H,5,FALSE),"CHECK")</f>
        <v>0</v>
      </c>
      <c r="BP41" s="870" t="str">
        <f t="shared" si="98"/>
        <v>TRA</v>
      </c>
      <c r="BQ41" s="869">
        <f t="shared" si="99"/>
        <v>1492947.4509620017</v>
      </c>
      <c r="BR41" s="870" t="str">
        <f t="shared" si="100"/>
        <v>23b TRA A24</v>
      </c>
      <c r="BS41" s="870" t="str">
        <f t="shared" si="71"/>
        <v>23b</v>
      </c>
      <c r="BT41" s="870" t="s">
        <v>6992</v>
      </c>
      <c r="BU41" s="870">
        <f t="shared" si="101"/>
        <v>2060</v>
      </c>
      <c r="BV41" s="153"/>
      <c r="BW41" s="153"/>
      <c r="BX41" s="153"/>
      <c r="BY41" s="153"/>
      <c r="BZ41" s="153"/>
      <c r="CA41" s="153"/>
      <c r="CB41" s="153"/>
      <c r="CC41" s="153"/>
      <c r="CD41" s="153"/>
      <c r="CE41" s="153"/>
      <c r="CF41" s="153"/>
    </row>
    <row r="42" spans="1:84" ht="39">
      <c r="A42" s="848"/>
      <c r="B42" s="848" t="s">
        <v>896</v>
      </c>
      <c r="C42" s="848"/>
      <c r="D42" s="848"/>
      <c r="E42" s="848" t="s">
        <v>6765</v>
      </c>
      <c r="F42" s="866" t="s">
        <v>6727</v>
      </c>
      <c r="G42" s="866" t="s">
        <v>6726</v>
      </c>
      <c r="H42" s="866"/>
      <c r="I42" s="866"/>
      <c r="J42" s="866"/>
      <c r="K42" s="866" t="s">
        <v>6762</v>
      </c>
      <c r="L42" s="866"/>
      <c r="M42" s="866"/>
      <c r="N42" s="866"/>
      <c r="O42" s="866"/>
      <c r="P42" s="866"/>
      <c r="Q42" s="897">
        <v>0.91605601056466435</v>
      </c>
      <c r="R42" s="848">
        <v>2060</v>
      </c>
      <c r="S42" s="850">
        <v>0</v>
      </c>
      <c r="T42" s="850">
        <v>0</v>
      </c>
      <c r="U42" s="850">
        <v>0</v>
      </c>
      <c r="V42" s="850">
        <v>0</v>
      </c>
      <c r="W42" s="850">
        <v>0</v>
      </c>
      <c r="X42" s="850">
        <v>1132.3689109007973</v>
      </c>
      <c r="Y42" s="850">
        <v>0</v>
      </c>
      <c r="Z42" s="850">
        <v>59343.359620305397</v>
      </c>
      <c r="AA42" s="850">
        <v>19253.267707730054</v>
      </c>
      <c r="AB42" s="850">
        <v>201142.97529423298</v>
      </c>
      <c r="AC42" s="898">
        <f t="shared" si="65"/>
        <v>280871.97153316921</v>
      </c>
      <c r="AD42" s="848"/>
      <c r="AF42" s="58" t="str">
        <f>IFERROR(VLOOKUP(K42,FA_Codes!C:F,2,FALSE),"CHECK")</f>
        <v>TRA A24</v>
      </c>
      <c r="AG42" s="851">
        <f t="shared" si="72"/>
        <v>280871.97153316921</v>
      </c>
      <c r="AH42" s="58" t="str">
        <f>IFERROR(VLOOKUP(AF42,FA_Codes!D:F,3,FALSE),"CHECK")</f>
        <v>Local</v>
      </c>
      <c r="AI42" s="852">
        <v>0.31816019032513876</v>
      </c>
      <c r="AJ42" s="853">
        <f t="shared" si="66"/>
        <v>0.68183980967486124</v>
      </c>
      <c r="AK42" s="854">
        <f t="shared" si="73"/>
        <v>23577.513811062254</v>
      </c>
      <c r="AL42" s="854">
        <f t="shared" si="74"/>
        <v>0</v>
      </c>
      <c r="AM42" s="854">
        <f t="shared" si="75"/>
        <v>0</v>
      </c>
      <c r="AN42" s="854">
        <f t="shared" si="76"/>
        <v>0</v>
      </c>
      <c r="AO42" s="854">
        <f t="shared" si="77"/>
        <v>0</v>
      </c>
      <c r="AP42" s="854">
        <f t="shared" si="78"/>
        <v>0</v>
      </c>
      <c r="AQ42" s="854">
        <f t="shared" si="79"/>
        <v>330.03181191062964</v>
      </c>
      <c r="AR42" s="854">
        <f t="shared" si="80"/>
        <v>0</v>
      </c>
      <c r="AS42" s="854">
        <f t="shared" si="81"/>
        <v>17295.773764023153</v>
      </c>
      <c r="AT42" s="854">
        <f t="shared" si="82"/>
        <v>5611.4140591583509</v>
      </c>
      <c r="AU42" s="854">
        <f t="shared" si="83"/>
        <v>58623.634003376792</v>
      </c>
      <c r="AV42" s="854">
        <f t="shared" si="67"/>
        <v>81860.853638468921</v>
      </c>
      <c r="AW42" s="854">
        <f t="shared" si="84"/>
        <v>0</v>
      </c>
      <c r="AX42" s="855">
        <f t="shared" si="85"/>
        <v>0</v>
      </c>
      <c r="AZ42" s="854">
        <f t="shared" si="86"/>
        <v>0</v>
      </c>
      <c r="BA42" s="854">
        <f t="shared" si="87"/>
        <v>0</v>
      </c>
      <c r="BB42" s="854">
        <f t="shared" si="88"/>
        <v>0</v>
      </c>
      <c r="BC42" s="854">
        <f t="shared" si="89"/>
        <v>0</v>
      </c>
      <c r="BD42" s="854">
        <f t="shared" si="90"/>
        <v>0</v>
      </c>
      <c r="BE42" s="854">
        <f t="shared" si="91"/>
        <v>707.28153509660865</v>
      </c>
      <c r="BF42" s="854">
        <f t="shared" si="92"/>
        <v>0</v>
      </c>
      <c r="BG42" s="854">
        <f t="shared" si="93"/>
        <v>37066.067503257997</v>
      </c>
      <c r="BH42" s="854">
        <f t="shared" si="94"/>
        <v>12025.657547518322</v>
      </c>
      <c r="BI42" s="854">
        <f t="shared" si="95"/>
        <v>125634.59749776512</v>
      </c>
      <c r="BJ42" s="854">
        <f t="shared" si="68"/>
        <v>175433.60408363806</v>
      </c>
      <c r="BK42" s="58" t="str">
        <f t="shared" si="69"/>
        <v>OK</v>
      </c>
      <c r="BL42" s="878" t="str">
        <f t="shared" si="96"/>
        <v>Waihoehoe Rd West upgrades- between Kath Henry Lane and Fitzgerald Rd TRA A24 0.916056010564664 2060 0.318160190325139</v>
      </c>
      <c r="BM42" s="870">
        <f t="shared" si="97"/>
        <v>2</v>
      </c>
      <c r="BN42" s="869">
        <f t="shared" si="70"/>
        <v>257294.45772210698</v>
      </c>
      <c r="BO42" s="870">
        <f>IFERROR(VLOOKUP(AF42,FA_Codes!D:H,5,FALSE),"CHECK")</f>
        <v>0</v>
      </c>
      <c r="BP42" s="870" t="str">
        <f t="shared" si="98"/>
        <v>TRA</v>
      </c>
      <c r="BQ42" s="869">
        <f t="shared" si="99"/>
        <v>280871.97153316921</v>
      </c>
      <c r="BR42" s="870" t="str">
        <f t="shared" si="100"/>
        <v>23d TRA A24</v>
      </c>
      <c r="BS42" s="870" t="str">
        <f t="shared" si="71"/>
        <v>23d</v>
      </c>
      <c r="BT42" s="870" t="s">
        <v>6992</v>
      </c>
      <c r="BU42" s="870">
        <f t="shared" si="101"/>
        <v>2060</v>
      </c>
      <c r="BV42" s="153"/>
      <c r="BW42" s="153"/>
      <c r="BX42" s="153"/>
      <c r="BY42" s="153"/>
      <c r="BZ42" s="153"/>
      <c r="CA42" s="153"/>
      <c r="CB42" s="153"/>
      <c r="CC42" s="153"/>
      <c r="CD42" s="153"/>
      <c r="CE42" s="153"/>
      <c r="CF42" s="153"/>
    </row>
    <row r="43" spans="1:84" ht="26">
      <c r="A43" s="848"/>
      <c r="B43" s="848" t="s">
        <v>896</v>
      </c>
      <c r="C43" s="848"/>
      <c r="D43" s="848"/>
      <c r="E43" s="848" t="s">
        <v>6766</v>
      </c>
      <c r="F43" s="866" t="s">
        <v>6733</v>
      </c>
      <c r="G43" s="866" t="s">
        <v>6734</v>
      </c>
      <c r="H43" s="866"/>
      <c r="I43" s="866"/>
      <c r="J43" s="866"/>
      <c r="K43" s="866" t="s">
        <v>6762</v>
      </c>
      <c r="L43" s="866"/>
      <c r="M43" s="866"/>
      <c r="N43" s="866"/>
      <c r="O43" s="866"/>
      <c r="P43" s="866"/>
      <c r="Q43" s="897">
        <v>0.91605601056466435</v>
      </c>
      <c r="R43" s="848">
        <v>2060</v>
      </c>
      <c r="S43" s="850">
        <v>0</v>
      </c>
      <c r="T43" s="850">
        <v>0</v>
      </c>
      <c r="U43" s="850">
        <v>0</v>
      </c>
      <c r="V43" s="850">
        <v>0</v>
      </c>
      <c r="W43" s="850">
        <v>0</v>
      </c>
      <c r="X43" s="850">
        <v>0</v>
      </c>
      <c r="Y43" s="850">
        <v>0</v>
      </c>
      <c r="Z43" s="850">
        <v>0</v>
      </c>
      <c r="AA43" s="850">
        <v>0</v>
      </c>
      <c r="AB43" s="850">
        <v>12854663.195554497</v>
      </c>
      <c r="AC43" s="898">
        <f t="shared" si="65"/>
        <v>12854663.195554497</v>
      </c>
      <c r="AD43" s="848"/>
      <c r="AF43" s="58" t="str">
        <f>IFERROR(VLOOKUP(K43,FA_Codes!C:F,2,FALSE),"CHECK")</f>
        <v>TRA A24</v>
      </c>
      <c r="AG43" s="851">
        <f t="shared" si="72"/>
        <v>12854663.195554497</v>
      </c>
      <c r="AH43" s="58" t="str">
        <f>IFERROR(VLOOKUP(AF43,FA_Codes!D:F,3,FALSE),"CHECK")</f>
        <v>Local</v>
      </c>
      <c r="AI43" s="852">
        <v>0.31816019032513876</v>
      </c>
      <c r="AJ43" s="853">
        <f t="shared" si="66"/>
        <v>0.68183980967486124</v>
      </c>
      <c r="AK43" s="854">
        <f t="shared" si="73"/>
        <v>1079071.7114824248</v>
      </c>
      <c r="AL43" s="854">
        <f t="shared" si="74"/>
        <v>0</v>
      </c>
      <c r="AM43" s="854">
        <f t="shared" si="75"/>
        <v>0</v>
      </c>
      <c r="AN43" s="854">
        <f t="shared" si="76"/>
        <v>0</v>
      </c>
      <c r="AO43" s="854">
        <f t="shared" si="77"/>
        <v>0</v>
      </c>
      <c r="AP43" s="854">
        <f t="shared" si="78"/>
        <v>0</v>
      </c>
      <c r="AQ43" s="854">
        <f t="shared" si="79"/>
        <v>0</v>
      </c>
      <c r="AR43" s="854">
        <f t="shared" si="80"/>
        <v>0</v>
      </c>
      <c r="AS43" s="854">
        <f t="shared" si="81"/>
        <v>0</v>
      </c>
      <c r="AT43" s="854">
        <f t="shared" si="82"/>
        <v>0</v>
      </c>
      <c r="AU43" s="854">
        <f t="shared" si="83"/>
        <v>3746524.4277634537</v>
      </c>
      <c r="AV43" s="854">
        <f t="shared" si="67"/>
        <v>3746524.4277634537</v>
      </c>
      <c r="AW43" s="854">
        <f t="shared" si="84"/>
        <v>0</v>
      </c>
      <c r="AX43" s="855">
        <f t="shared" si="85"/>
        <v>0</v>
      </c>
      <c r="AZ43" s="854">
        <f t="shared" si="86"/>
        <v>0</v>
      </c>
      <c r="BA43" s="854">
        <f t="shared" si="87"/>
        <v>0</v>
      </c>
      <c r="BB43" s="854">
        <f t="shared" si="88"/>
        <v>0</v>
      </c>
      <c r="BC43" s="854">
        <f t="shared" si="89"/>
        <v>0</v>
      </c>
      <c r="BD43" s="854">
        <f t="shared" si="90"/>
        <v>0</v>
      </c>
      <c r="BE43" s="854">
        <f t="shared" si="91"/>
        <v>0</v>
      </c>
      <c r="BF43" s="854">
        <f t="shared" si="92"/>
        <v>0</v>
      </c>
      <c r="BG43" s="854">
        <f t="shared" si="93"/>
        <v>0</v>
      </c>
      <c r="BH43" s="854">
        <f t="shared" si="94"/>
        <v>0</v>
      </c>
      <c r="BI43" s="854">
        <f t="shared" si="95"/>
        <v>8029067.0563086187</v>
      </c>
      <c r="BJ43" s="854">
        <f t="shared" si="68"/>
        <v>8029067.0563086187</v>
      </c>
      <c r="BK43" s="58" t="str">
        <f t="shared" si="69"/>
        <v>OK</v>
      </c>
      <c r="BL43" s="878" t="str">
        <f t="shared" si="96"/>
        <v>Bremner-Norrie Road east of SH1 up to GSR (overlap with project 12) TRA A24 0.916056010564664 2060 0.318160190325139</v>
      </c>
      <c r="BM43" s="870">
        <f t="shared" si="97"/>
        <v>2</v>
      </c>
      <c r="BN43" s="869">
        <f t="shared" si="70"/>
        <v>11775591.484072072</v>
      </c>
      <c r="BO43" s="870">
        <f>IFERROR(VLOOKUP(AF43,FA_Codes!D:H,5,FALSE),"CHECK")</f>
        <v>0</v>
      </c>
      <c r="BP43" s="870" t="str">
        <f t="shared" si="98"/>
        <v>TRA</v>
      </c>
      <c r="BQ43" s="869">
        <f t="shared" si="99"/>
        <v>12854663.195554497</v>
      </c>
      <c r="BR43" s="870" t="str">
        <f t="shared" si="100"/>
        <v>36a TRA A24</v>
      </c>
      <c r="BS43" s="870" t="str">
        <f t="shared" si="71"/>
        <v>36a</v>
      </c>
      <c r="BT43" s="870" t="s">
        <v>6992</v>
      </c>
      <c r="BU43" s="870">
        <f t="shared" si="101"/>
        <v>2060</v>
      </c>
      <c r="BV43" s="153"/>
      <c r="BW43" s="153"/>
      <c r="BX43" s="153"/>
      <c r="BY43" s="153"/>
      <c r="BZ43" s="153"/>
      <c r="CA43" s="153"/>
      <c r="CB43" s="153"/>
      <c r="CC43" s="153"/>
      <c r="CD43" s="153"/>
      <c r="CE43" s="153"/>
      <c r="CF43" s="153"/>
    </row>
    <row r="44" spans="1:84" ht="26">
      <c r="A44" s="848"/>
      <c r="B44" s="848" t="s">
        <v>896</v>
      </c>
      <c r="C44" s="848"/>
      <c r="D44" s="848"/>
      <c r="E44" s="848" t="s">
        <v>6767</v>
      </c>
      <c r="F44" s="866" t="s">
        <v>6735</v>
      </c>
      <c r="G44" s="866" t="s">
        <v>6736</v>
      </c>
      <c r="H44" s="866"/>
      <c r="I44" s="866"/>
      <c r="J44" s="866"/>
      <c r="K44" s="866" t="s">
        <v>6762</v>
      </c>
      <c r="L44" s="866"/>
      <c r="M44" s="866"/>
      <c r="N44" s="866"/>
      <c r="O44" s="866"/>
      <c r="P44" s="866"/>
      <c r="Q44" s="897">
        <v>0.91605601056466435</v>
      </c>
      <c r="R44" s="848">
        <v>2060</v>
      </c>
      <c r="S44" s="850">
        <v>0</v>
      </c>
      <c r="T44" s="850">
        <v>0</v>
      </c>
      <c r="U44" s="850">
        <v>0</v>
      </c>
      <c r="V44" s="850">
        <v>1328689.653401162</v>
      </c>
      <c r="W44" s="850">
        <v>893796.57505613286</v>
      </c>
      <c r="X44" s="850">
        <v>8973784.4107020777</v>
      </c>
      <c r="Y44" s="850">
        <v>0</v>
      </c>
      <c r="Z44" s="850">
        <v>0</v>
      </c>
      <c r="AA44" s="850">
        <v>0</v>
      </c>
      <c r="AB44" s="850">
        <v>0</v>
      </c>
      <c r="AC44" s="898">
        <f t="shared" si="65"/>
        <v>11196270.639159372</v>
      </c>
      <c r="AD44" s="848"/>
      <c r="AF44" s="58" t="str">
        <f>IFERROR(VLOOKUP(K44,FA_Codes!C:F,2,FALSE),"CHECK")</f>
        <v>TRA A24</v>
      </c>
      <c r="AG44" s="851">
        <f t="shared" si="72"/>
        <v>11196270.639159372</v>
      </c>
      <c r="AH44" s="58" t="str">
        <f>IFERROR(VLOOKUP(AF44,FA_Codes!D:F,3,FALSE),"CHECK")</f>
        <v>Local</v>
      </c>
      <c r="AI44" s="852">
        <v>0.31816019032513876</v>
      </c>
      <c r="AJ44" s="853">
        <f t="shared" si="66"/>
        <v>0.68183980967486124</v>
      </c>
      <c r="AK44" s="854">
        <f t="shared" si="73"/>
        <v>939859.62424875307</v>
      </c>
      <c r="AL44" s="854">
        <f t="shared" si="74"/>
        <v>0</v>
      </c>
      <c r="AM44" s="854">
        <f t="shared" si="75"/>
        <v>0</v>
      </c>
      <c r="AN44" s="854">
        <f t="shared" si="76"/>
        <v>0</v>
      </c>
      <c r="AO44" s="854">
        <f t="shared" si="77"/>
        <v>387249.99384702125</v>
      </c>
      <c r="AP44" s="854">
        <f t="shared" si="78"/>
        <v>260499.29515517477</v>
      </c>
      <c r="AQ44" s="854">
        <f t="shared" si="79"/>
        <v>2615432.3915546164</v>
      </c>
      <c r="AR44" s="854">
        <f t="shared" si="80"/>
        <v>0</v>
      </c>
      <c r="AS44" s="854">
        <f t="shared" si="81"/>
        <v>0</v>
      </c>
      <c r="AT44" s="854">
        <f t="shared" si="82"/>
        <v>0</v>
      </c>
      <c r="AU44" s="854">
        <f t="shared" si="83"/>
        <v>0</v>
      </c>
      <c r="AV44" s="854">
        <f t="shared" si="67"/>
        <v>3263181.6805568123</v>
      </c>
      <c r="AW44" s="854">
        <f t="shared" si="84"/>
        <v>0</v>
      </c>
      <c r="AX44" s="855">
        <f t="shared" si="85"/>
        <v>0</v>
      </c>
      <c r="AZ44" s="854">
        <f t="shared" si="86"/>
        <v>0</v>
      </c>
      <c r="BA44" s="854">
        <f t="shared" si="87"/>
        <v>0</v>
      </c>
      <c r="BB44" s="854">
        <f t="shared" si="88"/>
        <v>0</v>
      </c>
      <c r="BC44" s="854">
        <f t="shared" si="89"/>
        <v>829904.14932619373</v>
      </c>
      <c r="BD44" s="854">
        <f t="shared" si="90"/>
        <v>558268.42964710691</v>
      </c>
      <c r="BE44" s="854">
        <f t="shared" si="91"/>
        <v>5605056.7553805066</v>
      </c>
      <c r="BF44" s="854">
        <f t="shared" si="92"/>
        <v>0</v>
      </c>
      <c r="BG44" s="854">
        <f t="shared" si="93"/>
        <v>0</v>
      </c>
      <c r="BH44" s="854">
        <f t="shared" si="94"/>
        <v>0</v>
      </c>
      <c r="BI44" s="854">
        <f t="shared" si="95"/>
        <v>0</v>
      </c>
      <c r="BJ44" s="854">
        <f t="shared" si="68"/>
        <v>6993229.3343538074</v>
      </c>
      <c r="BK44" s="58" t="str">
        <f t="shared" si="69"/>
        <v>OK</v>
      </c>
      <c r="BL44" s="878" t="str">
        <f t="shared" si="96"/>
        <v>New intersection on Jesmond/Bremner Rd TRA A24 0.916056010564664 2060 0.318160190325139</v>
      </c>
      <c r="BM44" s="870">
        <f t="shared" si="97"/>
        <v>2</v>
      </c>
      <c r="BN44" s="869">
        <f t="shared" si="70"/>
        <v>10256411.01491062</v>
      </c>
      <c r="BO44" s="870">
        <f>IFERROR(VLOOKUP(AF44,FA_Codes!D:H,5,FALSE),"CHECK")</f>
        <v>0</v>
      </c>
      <c r="BP44" s="870" t="str">
        <f t="shared" si="98"/>
        <v>TRA</v>
      </c>
      <c r="BQ44" s="869">
        <f t="shared" si="99"/>
        <v>11196270.639159372</v>
      </c>
      <c r="BR44" s="870" t="str">
        <f t="shared" si="100"/>
        <v>40a TRA A24</v>
      </c>
      <c r="BS44" s="870" t="str">
        <f t="shared" si="71"/>
        <v>40a</v>
      </c>
      <c r="BT44" s="870" t="s">
        <v>6992</v>
      </c>
      <c r="BU44" s="870">
        <f t="shared" si="101"/>
        <v>2060</v>
      </c>
      <c r="BV44" s="153"/>
      <c r="BW44" s="153"/>
      <c r="BX44" s="153"/>
      <c r="BY44" s="153"/>
      <c r="BZ44" s="153"/>
      <c r="CA44" s="153"/>
      <c r="CB44" s="153"/>
      <c r="CC44" s="153"/>
      <c r="CD44" s="153"/>
      <c r="CE44" s="153"/>
      <c r="CF44" s="153"/>
    </row>
    <row r="45" spans="1:84" ht="26">
      <c r="A45" s="848"/>
      <c r="B45" s="848" t="s">
        <v>896</v>
      </c>
      <c r="C45" s="848"/>
      <c r="D45" s="848"/>
      <c r="E45" s="848" t="s">
        <v>6872</v>
      </c>
      <c r="F45" s="866" t="s">
        <v>6873</v>
      </c>
      <c r="G45" s="866" t="s">
        <v>6874</v>
      </c>
      <c r="H45" s="866"/>
      <c r="I45" s="866"/>
      <c r="J45" s="866"/>
      <c r="K45" s="866" t="s">
        <v>6762</v>
      </c>
      <c r="L45" s="866"/>
      <c r="M45" s="866"/>
      <c r="N45" s="866"/>
      <c r="O45" s="866"/>
      <c r="P45" s="866"/>
      <c r="Q45" s="897">
        <v>0.91605601056466435</v>
      </c>
      <c r="R45" s="848">
        <v>2060</v>
      </c>
      <c r="S45" s="850">
        <v>0</v>
      </c>
      <c r="T45" s="850">
        <v>0</v>
      </c>
      <c r="U45" s="850">
        <v>0</v>
      </c>
      <c r="V45" s="850">
        <v>0</v>
      </c>
      <c r="W45" s="850">
        <v>0</v>
      </c>
      <c r="X45" s="850">
        <v>0</v>
      </c>
      <c r="Y45" s="850">
        <v>0</v>
      </c>
      <c r="Z45" s="850">
        <v>0</v>
      </c>
      <c r="AA45" s="850">
        <v>517961.96269504481</v>
      </c>
      <c r="AB45" s="850">
        <v>5145999.1868264237</v>
      </c>
      <c r="AC45" s="898">
        <f t="shared" si="65"/>
        <v>5663961.1495214682</v>
      </c>
      <c r="AD45" s="848"/>
      <c r="AF45" s="58" t="str">
        <f>IFERROR(VLOOKUP(K45,FA_Codes!C:F,2,FALSE),"CHECK")</f>
        <v>TRA A24</v>
      </c>
      <c r="AG45" s="851">
        <f t="shared" si="72"/>
        <v>5663961.1495214682</v>
      </c>
      <c r="AH45" s="58" t="str">
        <f>IFERROR(VLOOKUP(AF45,FA_Codes!D:F,3,FALSE),"CHECK")</f>
        <v>Local</v>
      </c>
      <c r="AI45" s="852">
        <v>0.31816019032513876</v>
      </c>
      <c r="AJ45" s="853">
        <f t="shared" si="66"/>
        <v>0.68183980967486124</v>
      </c>
      <c r="AK45" s="854">
        <f t="shared" si="73"/>
        <v>475455.4948975817</v>
      </c>
      <c r="AL45" s="854">
        <f t="shared" si="74"/>
        <v>0</v>
      </c>
      <c r="AM45" s="854">
        <f t="shared" si="75"/>
        <v>0</v>
      </c>
      <c r="AN45" s="854">
        <f t="shared" si="76"/>
        <v>0</v>
      </c>
      <c r="AO45" s="854">
        <f t="shared" si="77"/>
        <v>0</v>
      </c>
      <c r="AP45" s="854">
        <f t="shared" si="78"/>
        <v>0</v>
      </c>
      <c r="AQ45" s="854">
        <f t="shared" si="79"/>
        <v>0</v>
      </c>
      <c r="AR45" s="854">
        <f t="shared" si="80"/>
        <v>0</v>
      </c>
      <c r="AS45" s="854">
        <f t="shared" si="81"/>
        <v>0</v>
      </c>
      <c r="AT45" s="854">
        <f t="shared" si="82"/>
        <v>150961.33724922387</v>
      </c>
      <c r="AU45" s="854">
        <f t="shared" si="83"/>
        <v>1499814.6093289708</v>
      </c>
      <c r="AV45" s="854">
        <f t="shared" si="67"/>
        <v>1650775.9465781946</v>
      </c>
      <c r="AW45" s="854">
        <f t="shared" si="84"/>
        <v>0</v>
      </c>
      <c r="AX45" s="855">
        <f t="shared" si="85"/>
        <v>0</v>
      </c>
      <c r="AZ45" s="854">
        <f t="shared" si="86"/>
        <v>0</v>
      </c>
      <c r="BA45" s="854">
        <f t="shared" si="87"/>
        <v>0</v>
      </c>
      <c r="BB45" s="854">
        <f t="shared" si="88"/>
        <v>0</v>
      </c>
      <c r="BC45" s="854">
        <f t="shared" si="89"/>
        <v>0</v>
      </c>
      <c r="BD45" s="854">
        <f t="shared" si="90"/>
        <v>0</v>
      </c>
      <c r="BE45" s="854">
        <f t="shared" si="91"/>
        <v>0</v>
      </c>
      <c r="BF45" s="854">
        <f t="shared" si="92"/>
        <v>0</v>
      </c>
      <c r="BG45" s="854">
        <f t="shared" si="93"/>
        <v>0</v>
      </c>
      <c r="BH45" s="854">
        <f t="shared" si="94"/>
        <v>323520.83192144241</v>
      </c>
      <c r="BI45" s="854">
        <f t="shared" si="95"/>
        <v>3214208.8761242502</v>
      </c>
      <c r="BJ45" s="854">
        <f t="shared" si="68"/>
        <v>3537729.7080456926</v>
      </c>
      <c r="BK45" s="58" t="str">
        <f t="shared" si="69"/>
        <v>OK</v>
      </c>
      <c r="BL45" s="878" t="str">
        <f t="shared" si="96"/>
        <v>Upgrade intersection on Jesmond/Bremner Rd TRA A24 0.916056010564664 2060 0.318160190325139</v>
      </c>
      <c r="BM45" s="870">
        <f t="shared" si="97"/>
        <v>2</v>
      </c>
      <c r="BN45" s="869">
        <f t="shared" si="70"/>
        <v>5188505.6546238875</v>
      </c>
      <c r="BO45" s="870">
        <f>IFERROR(VLOOKUP(AF45,FA_Codes!D:H,5,FALSE),"CHECK")</f>
        <v>0</v>
      </c>
      <c r="BP45" s="870" t="str">
        <f t="shared" si="98"/>
        <v>TRA</v>
      </c>
      <c r="BQ45" s="869">
        <f t="shared" si="99"/>
        <v>5663961.1495214682</v>
      </c>
      <c r="BR45" s="870" t="str">
        <f t="shared" si="100"/>
        <v>40b TRA A24</v>
      </c>
      <c r="BS45" s="870" t="str">
        <f t="shared" si="71"/>
        <v>40b</v>
      </c>
      <c r="BT45" s="870" t="s">
        <v>6992</v>
      </c>
      <c r="BU45" s="870">
        <f t="shared" si="101"/>
        <v>2060</v>
      </c>
      <c r="BV45" s="153"/>
      <c r="BW45" s="153"/>
      <c r="BX45" s="153"/>
      <c r="BY45" s="153"/>
      <c r="BZ45" s="153"/>
      <c r="CA45" s="153"/>
      <c r="CB45" s="153"/>
      <c r="CC45" s="153"/>
      <c r="CD45" s="153"/>
      <c r="CE45" s="153"/>
      <c r="CF45" s="153"/>
    </row>
    <row r="46" spans="1:84" ht="26">
      <c r="A46" s="848"/>
      <c r="B46" s="848" t="s">
        <v>896</v>
      </c>
      <c r="C46" s="848"/>
      <c r="D46" s="848"/>
      <c r="E46" s="848" t="s">
        <v>6768</v>
      </c>
      <c r="F46" s="866" t="s">
        <v>6737</v>
      </c>
      <c r="G46" s="866" t="s">
        <v>6738</v>
      </c>
      <c r="H46" s="866"/>
      <c r="I46" s="866"/>
      <c r="J46" s="866"/>
      <c r="K46" s="866" t="s">
        <v>6762</v>
      </c>
      <c r="L46" s="866"/>
      <c r="M46" s="866"/>
      <c r="N46" s="866"/>
      <c r="O46" s="866"/>
      <c r="P46" s="866"/>
      <c r="Q46" s="897">
        <v>0.91605601056466435</v>
      </c>
      <c r="R46" s="848">
        <v>2060</v>
      </c>
      <c r="S46" s="850">
        <v>0</v>
      </c>
      <c r="T46" s="850">
        <v>0</v>
      </c>
      <c r="U46" s="850">
        <v>0</v>
      </c>
      <c r="V46" s="850">
        <v>0</v>
      </c>
      <c r="W46" s="850">
        <v>365417.67824483971</v>
      </c>
      <c r="X46" s="850">
        <v>3630457.8531514136</v>
      </c>
      <c r="Y46" s="850">
        <v>0</v>
      </c>
      <c r="Z46" s="850">
        <v>0</v>
      </c>
      <c r="AA46" s="850">
        <v>0</v>
      </c>
      <c r="AB46" s="850">
        <v>0</v>
      </c>
      <c r="AC46" s="898">
        <f t="shared" si="65"/>
        <v>3995875.5313962535</v>
      </c>
      <c r="AD46" s="848"/>
      <c r="AF46" s="58" t="str">
        <f>IFERROR(VLOOKUP(K46,FA_Codes!C:F,2,FALSE),"CHECK")</f>
        <v>TRA A24</v>
      </c>
      <c r="AG46" s="851">
        <f t="shared" si="72"/>
        <v>3995875.5313962535</v>
      </c>
      <c r="AH46" s="58" t="str">
        <f>IFERROR(VLOOKUP(AF46,FA_Codes!D:F,3,FALSE),"CHECK")</f>
        <v>Local</v>
      </c>
      <c r="AI46" s="852">
        <v>0.31816019032513876</v>
      </c>
      <c r="AJ46" s="853">
        <f t="shared" si="66"/>
        <v>0.68183980967486124</v>
      </c>
      <c r="AK46" s="854">
        <f t="shared" si="73"/>
        <v>335429.73339244333</v>
      </c>
      <c r="AL46" s="854">
        <f t="shared" si="74"/>
        <v>0</v>
      </c>
      <c r="AM46" s="854">
        <f t="shared" si="75"/>
        <v>0</v>
      </c>
      <c r="AN46" s="854">
        <f t="shared" si="76"/>
        <v>0</v>
      </c>
      <c r="AO46" s="854">
        <f t="shared" si="77"/>
        <v>0</v>
      </c>
      <c r="AP46" s="854">
        <f t="shared" si="78"/>
        <v>106501.91584594393</v>
      </c>
      <c r="AQ46" s="854">
        <f t="shared" si="79"/>
        <v>1058106.2159218027</v>
      </c>
      <c r="AR46" s="854">
        <f t="shared" si="80"/>
        <v>0</v>
      </c>
      <c r="AS46" s="854">
        <f t="shared" si="81"/>
        <v>0</v>
      </c>
      <c r="AT46" s="854">
        <f t="shared" si="82"/>
        <v>0</v>
      </c>
      <c r="AU46" s="854">
        <f t="shared" si="83"/>
        <v>0</v>
      </c>
      <c r="AV46" s="854">
        <f t="shared" si="67"/>
        <v>1164608.1317677465</v>
      </c>
      <c r="AW46" s="854">
        <f t="shared" si="84"/>
        <v>0</v>
      </c>
      <c r="AX46" s="855">
        <f t="shared" si="85"/>
        <v>0</v>
      </c>
      <c r="AZ46" s="854">
        <f t="shared" si="86"/>
        <v>0</v>
      </c>
      <c r="BA46" s="854">
        <f t="shared" si="87"/>
        <v>0</v>
      </c>
      <c r="BB46" s="854">
        <f t="shared" si="88"/>
        <v>0</v>
      </c>
      <c r="BC46" s="854">
        <f t="shared" si="89"/>
        <v>0</v>
      </c>
      <c r="BD46" s="854">
        <f t="shared" si="90"/>
        <v>228241.14467682605</v>
      </c>
      <c r="BE46" s="854">
        <f t="shared" si="91"/>
        <v>2267596.5215592375</v>
      </c>
      <c r="BF46" s="854">
        <f t="shared" si="92"/>
        <v>0</v>
      </c>
      <c r="BG46" s="854">
        <f t="shared" si="93"/>
        <v>0</v>
      </c>
      <c r="BH46" s="854">
        <f t="shared" si="94"/>
        <v>0</v>
      </c>
      <c r="BI46" s="854">
        <f t="shared" si="95"/>
        <v>0</v>
      </c>
      <c r="BJ46" s="854">
        <f t="shared" si="68"/>
        <v>2495837.6662360635</v>
      </c>
      <c r="BK46" s="58" t="str">
        <f t="shared" si="69"/>
        <v>OK</v>
      </c>
      <c r="BL46" s="878" t="str">
        <f t="shared" si="96"/>
        <v>Jesmond Rd upgrades from SH22 to Waipupuke development boundary TRA A24 0.916056010564664 2060 0.318160190325139</v>
      </c>
      <c r="BM46" s="870">
        <f t="shared" si="97"/>
        <v>2</v>
      </c>
      <c r="BN46" s="869">
        <f t="shared" si="70"/>
        <v>3660445.79800381</v>
      </c>
      <c r="BO46" s="870">
        <f>IFERROR(VLOOKUP(AF46,FA_Codes!D:H,5,FALSE),"CHECK")</f>
        <v>0</v>
      </c>
      <c r="BP46" s="870" t="str">
        <f t="shared" si="98"/>
        <v>TRA</v>
      </c>
      <c r="BQ46" s="869">
        <f t="shared" si="99"/>
        <v>3995875.5313962535</v>
      </c>
      <c r="BR46" s="870" t="str">
        <f t="shared" si="100"/>
        <v>41a TRA A24</v>
      </c>
      <c r="BS46" s="870" t="str">
        <f t="shared" si="71"/>
        <v>41a</v>
      </c>
      <c r="BT46" s="870" t="s">
        <v>6992</v>
      </c>
      <c r="BU46" s="870">
        <f t="shared" si="101"/>
        <v>2060</v>
      </c>
      <c r="BV46" s="153"/>
      <c r="BW46" s="153"/>
      <c r="BX46" s="153"/>
      <c r="BY46" s="153"/>
      <c r="BZ46" s="153"/>
      <c r="CA46" s="153"/>
      <c r="CB46" s="153"/>
      <c r="CC46" s="153"/>
      <c r="CD46" s="153"/>
      <c r="CE46" s="153"/>
      <c r="CF46" s="153"/>
    </row>
    <row r="47" spans="1:84" ht="26">
      <c r="A47" s="848"/>
      <c r="B47" s="848" t="s">
        <v>896</v>
      </c>
      <c r="C47" s="848"/>
      <c r="D47" s="848"/>
      <c r="E47" s="848" t="s">
        <v>6769</v>
      </c>
      <c r="F47" s="866" t="s">
        <v>6739</v>
      </c>
      <c r="G47" s="866" t="s">
        <v>6740</v>
      </c>
      <c r="H47" s="866"/>
      <c r="I47" s="866"/>
      <c r="J47" s="866"/>
      <c r="K47" s="866" t="s">
        <v>6762</v>
      </c>
      <c r="L47" s="866"/>
      <c r="M47" s="866"/>
      <c r="N47" s="866"/>
      <c r="O47" s="866"/>
      <c r="P47" s="866"/>
      <c r="Q47" s="897">
        <v>0.91605601056466435</v>
      </c>
      <c r="R47" s="848">
        <v>2060</v>
      </c>
      <c r="S47" s="850">
        <v>0</v>
      </c>
      <c r="T47" s="850">
        <v>0</v>
      </c>
      <c r="U47" s="850">
        <v>0</v>
      </c>
      <c r="V47" s="850">
        <v>0</v>
      </c>
      <c r="W47" s="850">
        <v>0</v>
      </c>
      <c r="X47" s="850">
        <v>0</v>
      </c>
      <c r="Y47" s="850">
        <v>0</v>
      </c>
      <c r="Z47" s="850">
        <v>0</v>
      </c>
      <c r="AA47" s="850">
        <v>619320.52617460396</v>
      </c>
      <c r="AB47" s="850">
        <v>6153005.7294107052</v>
      </c>
      <c r="AC47" s="898">
        <f t="shared" si="65"/>
        <v>6772326.2555853091</v>
      </c>
      <c r="AD47" s="848"/>
      <c r="AF47" s="58" t="str">
        <f>IFERROR(VLOOKUP(K47,FA_Codes!C:F,2,FALSE),"CHECK")</f>
        <v>TRA A24</v>
      </c>
      <c r="AG47" s="851">
        <f t="shared" si="72"/>
        <v>6772326.2555853091</v>
      </c>
      <c r="AH47" s="58" t="str">
        <f>IFERROR(VLOOKUP(AF47,FA_Codes!D:F,3,FALSE),"CHECK")</f>
        <v>Local</v>
      </c>
      <c r="AI47" s="852">
        <v>0.31816019032513876</v>
      </c>
      <c r="AJ47" s="853">
        <f t="shared" si="66"/>
        <v>0.68183980967486124</v>
      </c>
      <c r="AK47" s="854">
        <f t="shared" si="73"/>
        <v>568496.08365149947</v>
      </c>
      <c r="AL47" s="854">
        <f t="shared" si="74"/>
        <v>0</v>
      </c>
      <c r="AM47" s="854">
        <f t="shared" si="75"/>
        <v>0</v>
      </c>
      <c r="AN47" s="854">
        <f t="shared" si="76"/>
        <v>0</v>
      </c>
      <c r="AO47" s="854">
        <f t="shared" si="77"/>
        <v>0</v>
      </c>
      <c r="AP47" s="854">
        <f t="shared" si="78"/>
        <v>0</v>
      </c>
      <c r="AQ47" s="854">
        <f t="shared" si="79"/>
        <v>0</v>
      </c>
      <c r="AR47" s="854">
        <f t="shared" si="80"/>
        <v>0</v>
      </c>
      <c r="AS47" s="854">
        <f t="shared" si="81"/>
        <v>0</v>
      </c>
      <c r="AT47" s="854">
        <f t="shared" si="82"/>
        <v>180502.54951299648</v>
      </c>
      <c r="AU47" s="854">
        <f t="shared" si="83"/>
        <v>1793309.2387343026</v>
      </c>
      <c r="AV47" s="854">
        <f t="shared" si="67"/>
        <v>1973811.7882472991</v>
      </c>
      <c r="AW47" s="854">
        <f t="shared" si="84"/>
        <v>0</v>
      </c>
      <c r="AX47" s="855">
        <f t="shared" si="85"/>
        <v>0</v>
      </c>
      <c r="AZ47" s="854">
        <f t="shared" si="86"/>
        <v>0</v>
      </c>
      <c r="BA47" s="854">
        <f t="shared" si="87"/>
        <v>0</v>
      </c>
      <c r="BB47" s="854">
        <f t="shared" si="88"/>
        <v>0</v>
      </c>
      <c r="BC47" s="854">
        <f t="shared" si="89"/>
        <v>0</v>
      </c>
      <c r="BD47" s="854">
        <f t="shared" si="90"/>
        <v>0</v>
      </c>
      <c r="BE47" s="854">
        <f t="shared" si="91"/>
        <v>0</v>
      </c>
      <c r="BF47" s="854">
        <f t="shared" si="92"/>
        <v>0</v>
      </c>
      <c r="BG47" s="854">
        <f t="shared" si="93"/>
        <v>0</v>
      </c>
      <c r="BH47" s="854">
        <f t="shared" si="94"/>
        <v>386829.74095532001</v>
      </c>
      <c r="BI47" s="854">
        <f t="shared" si="95"/>
        <v>3843188.6427311902</v>
      </c>
      <c r="BJ47" s="854">
        <f t="shared" si="68"/>
        <v>4230018.3836865099</v>
      </c>
      <c r="BK47" s="58" t="str">
        <f t="shared" si="69"/>
        <v>OK</v>
      </c>
      <c r="BL47" s="878" t="str">
        <f t="shared" si="96"/>
        <v>Jesmond Rd upgrades from project 41 to New Bremner Rd  TRA A24 0.916056010564664 2060 0.318160190325139</v>
      </c>
      <c r="BM47" s="870">
        <f t="shared" si="97"/>
        <v>2</v>
      </c>
      <c r="BN47" s="869">
        <f t="shared" si="70"/>
        <v>6203830.1719338093</v>
      </c>
      <c r="BO47" s="870">
        <f>IFERROR(VLOOKUP(AF47,FA_Codes!D:H,5,FALSE),"CHECK")</f>
        <v>0</v>
      </c>
      <c r="BP47" s="870" t="str">
        <f t="shared" si="98"/>
        <v>TRA</v>
      </c>
      <c r="BQ47" s="869">
        <f t="shared" si="99"/>
        <v>6772326.2555853091</v>
      </c>
      <c r="BR47" s="870" t="str">
        <f t="shared" si="100"/>
        <v>42b TRA A24</v>
      </c>
      <c r="BS47" s="870" t="str">
        <f t="shared" si="71"/>
        <v>42b</v>
      </c>
      <c r="BT47" s="870" t="s">
        <v>6992</v>
      </c>
      <c r="BU47" s="870">
        <f t="shared" si="101"/>
        <v>2060</v>
      </c>
      <c r="BV47" s="153"/>
      <c r="BW47" s="153"/>
      <c r="BX47" s="153"/>
      <c r="BY47" s="153"/>
      <c r="BZ47" s="153"/>
      <c r="CA47" s="153"/>
      <c r="CB47" s="153"/>
      <c r="CC47" s="153"/>
      <c r="CD47" s="153"/>
      <c r="CE47" s="153"/>
      <c r="CF47" s="153"/>
    </row>
    <row r="48" spans="1:84" ht="26">
      <c r="A48" s="848"/>
      <c r="B48" s="848" t="s">
        <v>896</v>
      </c>
      <c r="C48" s="848"/>
      <c r="D48" s="848"/>
      <c r="E48" s="848" t="s">
        <v>6770</v>
      </c>
      <c r="F48" s="866" t="s">
        <v>6742</v>
      </c>
      <c r="G48" s="866" t="s">
        <v>6743</v>
      </c>
      <c r="H48" s="866"/>
      <c r="I48" s="866"/>
      <c r="J48" s="866"/>
      <c r="K48" s="866" t="s">
        <v>6762</v>
      </c>
      <c r="L48" s="866"/>
      <c r="M48" s="866"/>
      <c r="N48" s="866"/>
      <c r="O48" s="866"/>
      <c r="P48" s="866"/>
      <c r="Q48" s="897">
        <v>0.91605601056466435</v>
      </c>
      <c r="R48" s="848">
        <v>2060</v>
      </c>
      <c r="S48" s="850">
        <v>0</v>
      </c>
      <c r="T48" s="850">
        <v>0</v>
      </c>
      <c r="U48" s="850">
        <v>0</v>
      </c>
      <c r="V48" s="850">
        <v>0</v>
      </c>
      <c r="W48" s="850">
        <v>0</v>
      </c>
      <c r="X48" s="850">
        <v>0</v>
      </c>
      <c r="Y48" s="850">
        <v>0</v>
      </c>
      <c r="Z48" s="850">
        <v>0</v>
      </c>
      <c r="AA48" s="850">
        <v>328042.5763735284</v>
      </c>
      <c r="AB48" s="850">
        <v>3259132.8183234017</v>
      </c>
      <c r="AC48" s="898">
        <f t="shared" si="65"/>
        <v>3587175.39469693</v>
      </c>
      <c r="AD48" s="848"/>
      <c r="AF48" s="58" t="str">
        <f>IFERROR(VLOOKUP(K48,FA_Codes!C:F,2,FALSE),"CHECK")</f>
        <v>TRA A24</v>
      </c>
      <c r="AG48" s="851">
        <f t="shared" si="72"/>
        <v>3587175.39469693</v>
      </c>
      <c r="AH48" s="58" t="str">
        <f>IFERROR(VLOOKUP(AF48,FA_Codes!D:F,3,FALSE),"CHECK")</f>
        <v>Local</v>
      </c>
      <c r="AI48" s="852">
        <v>0.31816019032513876</v>
      </c>
      <c r="AJ48" s="853">
        <f t="shared" si="66"/>
        <v>0.68183980967486124</v>
      </c>
      <c r="AK48" s="854">
        <f t="shared" si="73"/>
        <v>301121.81343513512</v>
      </c>
      <c r="AL48" s="854">
        <f t="shared" si="74"/>
        <v>0</v>
      </c>
      <c r="AM48" s="854">
        <f t="shared" si="75"/>
        <v>0</v>
      </c>
      <c r="AN48" s="854">
        <f t="shared" si="76"/>
        <v>0</v>
      </c>
      <c r="AO48" s="854">
        <f t="shared" si="77"/>
        <v>0</v>
      </c>
      <c r="AP48" s="854">
        <f t="shared" si="78"/>
        <v>0</v>
      </c>
      <c r="AQ48" s="854">
        <f t="shared" si="79"/>
        <v>0</v>
      </c>
      <c r="AR48" s="854">
        <f t="shared" si="80"/>
        <v>0</v>
      </c>
      <c r="AS48" s="854">
        <f t="shared" si="81"/>
        <v>0</v>
      </c>
      <c r="AT48" s="854">
        <f t="shared" si="82"/>
        <v>95608.846924508456</v>
      </c>
      <c r="AU48" s="854">
        <f t="shared" si="83"/>
        <v>949882.58590834809</v>
      </c>
      <c r="AV48" s="854">
        <f t="shared" si="67"/>
        <v>1045491.4328328565</v>
      </c>
      <c r="AW48" s="854">
        <f t="shared" si="84"/>
        <v>0</v>
      </c>
      <c r="AX48" s="855">
        <f t="shared" si="85"/>
        <v>0</v>
      </c>
      <c r="AZ48" s="854">
        <f t="shared" si="86"/>
        <v>0</v>
      </c>
      <c r="BA48" s="854">
        <f t="shared" si="87"/>
        <v>0</v>
      </c>
      <c r="BB48" s="854">
        <f t="shared" si="88"/>
        <v>0</v>
      </c>
      <c r="BC48" s="854">
        <f t="shared" si="89"/>
        <v>0</v>
      </c>
      <c r="BD48" s="854">
        <f t="shared" si="90"/>
        <v>0</v>
      </c>
      <c r="BE48" s="854">
        <f t="shared" si="91"/>
        <v>0</v>
      </c>
      <c r="BF48" s="854">
        <f t="shared" si="92"/>
        <v>0</v>
      </c>
      <c r="BG48" s="854">
        <f t="shared" si="93"/>
        <v>0</v>
      </c>
      <c r="BH48" s="854">
        <f t="shared" si="94"/>
        <v>204896.5268835802</v>
      </c>
      <c r="BI48" s="854">
        <f t="shared" si="95"/>
        <v>2035665.6215453583</v>
      </c>
      <c r="BJ48" s="854">
        <f t="shared" si="68"/>
        <v>2240562.1484289384</v>
      </c>
      <c r="BK48" s="58" t="str">
        <f t="shared" si="69"/>
        <v>OK</v>
      </c>
      <c r="BL48" s="878" t="str">
        <f t="shared" si="96"/>
        <v>Upgrades in GSR/Firth St intersection (overlap with project12) TRA A24 0.916056010564664 2060 0.318160190325139</v>
      </c>
      <c r="BM48" s="870">
        <f t="shared" si="97"/>
        <v>2</v>
      </c>
      <c r="BN48" s="869">
        <f t="shared" si="70"/>
        <v>3286053.581261795</v>
      </c>
      <c r="BO48" s="870">
        <f>IFERROR(VLOOKUP(AF48,FA_Codes!D:H,5,FALSE),"CHECK")</f>
        <v>0</v>
      </c>
      <c r="BP48" s="870" t="str">
        <f t="shared" si="98"/>
        <v>TRA</v>
      </c>
      <c r="BQ48" s="869">
        <f t="shared" si="99"/>
        <v>3587175.39469693</v>
      </c>
      <c r="BR48" s="870" t="str">
        <f t="shared" si="100"/>
        <v>46 TRA A24</v>
      </c>
      <c r="BS48" s="870">
        <f t="shared" si="71"/>
        <v>46</v>
      </c>
      <c r="BT48" s="870" t="s">
        <v>6992</v>
      </c>
      <c r="BU48" s="870">
        <f t="shared" si="101"/>
        <v>2060</v>
      </c>
      <c r="BV48" s="153"/>
      <c r="BW48" s="153"/>
      <c r="BX48" s="153"/>
      <c r="BY48" s="153"/>
      <c r="BZ48" s="153"/>
      <c r="CA48" s="153"/>
      <c r="CB48" s="153"/>
      <c r="CC48" s="153"/>
      <c r="CD48" s="153"/>
      <c r="CE48" s="153"/>
      <c r="CF48" s="153"/>
    </row>
    <row r="49" spans="1:84" ht="26">
      <c r="A49" s="848"/>
      <c r="B49" s="848" t="s">
        <v>896</v>
      </c>
      <c r="C49" s="848"/>
      <c r="D49" s="848"/>
      <c r="E49" s="848" t="s">
        <v>6771</v>
      </c>
      <c r="F49" s="866" t="s">
        <v>6745</v>
      </c>
      <c r="G49" s="866">
        <v>0</v>
      </c>
      <c r="H49" s="866"/>
      <c r="I49" s="866"/>
      <c r="J49" s="866"/>
      <c r="K49" s="866" t="s">
        <v>6762</v>
      </c>
      <c r="L49" s="866"/>
      <c r="M49" s="866"/>
      <c r="N49" s="866"/>
      <c r="O49" s="866"/>
      <c r="P49" s="866"/>
      <c r="Q49" s="897">
        <v>0.91605601056466435</v>
      </c>
      <c r="R49" s="848">
        <v>2060</v>
      </c>
      <c r="S49" s="850">
        <v>0</v>
      </c>
      <c r="T49" s="850">
        <v>0</v>
      </c>
      <c r="U49" s="850">
        <v>0</v>
      </c>
      <c r="V49" s="850">
        <v>0</v>
      </c>
      <c r="W49" s="850">
        <v>0</v>
      </c>
      <c r="X49" s="850">
        <v>0</v>
      </c>
      <c r="Y49" s="850">
        <v>0</v>
      </c>
      <c r="Z49" s="850">
        <v>182614.45230270203</v>
      </c>
      <c r="AA49" s="850">
        <v>0</v>
      </c>
      <c r="AB49" s="850">
        <v>1901386.0873413172</v>
      </c>
      <c r="AC49" s="898">
        <f t="shared" si="65"/>
        <v>2084000.5396440192</v>
      </c>
      <c r="AD49" s="848"/>
      <c r="AF49" s="58" t="str">
        <f>IFERROR(VLOOKUP(K49,FA_Codes!C:F,2,FALSE),"CHECK")</f>
        <v>TRA A24</v>
      </c>
      <c r="AG49" s="851">
        <f t="shared" si="72"/>
        <v>2084000.5396440192</v>
      </c>
      <c r="AH49" s="58" t="str">
        <f>IFERROR(VLOOKUP(AF49,FA_Codes!D:F,3,FALSE),"CHECK")</f>
        <v>Local</v>
      </c>
      <c r="AI49" s="852">
        <v>0.31816019032513876</v>
      </c>
      <c r="AJ49" s="853">
        <f t="shared" si="66"/>
        <v>0.68183980967486124</v>
      </c>
      <c r="AK49" s="854">
        <f t="shared" si="73"/>
        <v>174939.31928311134</v>
      </c>
      <c r="AL49" s="854">
        <f t="shared" si="74"/>
        <v>0</v>
      </c>
      <c r="AM49" s="854">
        <f t="shared" si="75"/>
        <v>0</v>
      </c>
      <c r="AN49" s="854">
        <f t="shared" si="76"/>
        <v>0</v>
      </c>
      <c r="AO49" s="854">
        <f t="shared" si="77"/>
        <v>0</v>
      </c>
      <c r="AP49" s="854">
        <f t="shared" si="78"/>
        <v>0</v>
      </c>
      <c r="AQ49" s="854">
        <f t="shared" si="79"/>
        <v>0</v>
      </c>
      <c r="AR49" s="854">
        <f t="shared" si="80"/>
        <v>0</v>
      </c>
      <c r="AS49" s="854">
        <f t="shared" si="81"/>
        <v>53223.448643238065</v>
      </c>
      <c r="AT49" s="854">
        <f t="shared" si="82"/>
        <v>0</v>
      </c>
      <c r="AU49" s="854">
        <f t="shared" si="83"/>
        <v>554163.83256913011</v>
      </c>
      <c r="AV49" s="854">
        <f t="shared" si="67"/>
        <v>607387.28121236817</v>
      </c>
      <c r="AW49" s="854">
        <f t="shared" si="84"/>
        <v>0</v>
      </c>
      <c r="AX49" s="855">
        <f t="shared" si="85"/>
        <v>0</v>
      </c>
      <c r="AZ49" s="854">
        <f t="shared" si="86"/>
        <v>0</v>
      </c>
      <c r="BA49" s="854">
        <f t="shared" si="87"/>
        <v>0</v>
      </c>
      <c r="BB49" s="854">
        <f t="shared" si="88"/>
        <v>0</v>
      </c>
      <c r="BC49" s="854">
        <f t="shared" si="89"/>
        <v>0</v>
      </c>
      <c r="BD49" s="854">
        <f t="shared" si="90"/>
        <v>0</v>
      </c>
      <c r="BE49" s="854">
        <f t="shared" si="91"/>
        <v>0</v>
      </c>
      <c r="BF49" s="854">
        <f t="shared" si="92"/>
        <v>0</v>
      </c>
      <c r="BG49" s="854">
        <f t="shared" si="93"/>
        <v>114061.61800462635</v>
      </c>
      <c r="BH49" s="854">
        <f t="shared" si="94"/>
        <v>0</v>
      </c>
      <c r="BI49" s="854">
        <f t="shared" si="95"/>
        <v>1187612.3211439135</v>
      </c>
      <c r="BJ49" s="854">
        <f t="shared" si="68"/>
        <v>1301673.9391485399</v>
      </c>
      <c r="BK49" s="58" t="str">
        <f t="shared" si="69"/>
        <v>OK</v>
      </c>
      <c r="BL49" s="878" t="str">
        <f t="shared" si="96"/>
        <v>Active Mode Corridor Drury Central to GSR TRA A24 0.916056010564664 2060 0.318160190325139</v>
      </c>
      <c r="BM49" s="870">
        <f t="shared" si="97"/>
        <v>2</v>
      </c>
      <c r="BN49" s="869">
        <f t="shared" si="70"/>
        <v>1909061.2203609082</v>
      </c>
      <c r="BO49" s="870">
        <f>IFERROR(VLOOKUP(AF49,FA_Codes!D:H,5,FALSE),"CHECK")</f>
        <v>0</v>
      </c>
      <c r="BP49" s="870" t="str">
        <f t="shared" si="98"/>
        <v>TRA</v>
      </c>
      <c r="BQ49" s="869">
        <f t="shared" si="99"/>
        <v>2084000.5396440192</v>
      </c>
      <c r="BR49" s="870" t="str">
        <f t="shared" si="100"/>
        <v>67 TRA A24</v>
      </c>
      <c r="BS49" s="870">
        <f t="shared" si="71"/>
        <v>67</v>
      </c>
      <c r="BT49" s="870" t="s">
        <v>6992</v>
      </c>
      <c r="BU49" s="870">
        <f t="shared" si="101"/>
        <v>2060</v>
      </c>
      <c r="BV49" s="153"/>
      <c r="BW49" s="153"/>
      <c r="BX49" s="153"/>
      <c r="BY49" s="153"/>
      <c r="BZ49" s="153"/>
      <c r="CA49" s="153"/>
      <c r="CB49" s="153"/>
      <c r="CC49" s="153"/>
      <c r="CD49" s="153"/>
      <c r="CE49" s="153"/>
      <c r="CF49" s="153"/>
    </row>
    <row r="50" spans="1:84" ht="26">
      <c r="A50" s="848"/>
      <c r="B50" s="848" t="s">
        <v>896</v>
      </c>
      <c r="C50" s="848"/>
      <c r="D50" s="848"/>
      <c r="E50" s="848" t="s">
        <v>6772</v>
      </c>
      <c r="F50" s="866" t="s">
        <v>6747</v>
      </c>
      <c r="G50" s="866" t="s">
        <v>6748</v>
      </c>
      <c r="H50" s="866"/>
      <c r="I50" s="866"/>
      <c r="J50" s="866"/>
      <c r="K50" s="866" t="s">
        <v>6762</v>
      </c>
      <c r="L50" s="866"/>
      <c r="M50" s="866"/>
      <c r="N50" s="866"/>
      <c r="O50" s="866"/>
      <c r="P50" s="866"/>
      <c r="Q50" s="897">
        <v>0.91605601056466435</v>
      </c>
      <c r="R50" s="848">
        <v>2060</v>
      </c>
      <c r="S50" s="850">
        <v>0</v>
      </c>
      <c r="T50" s="850">
        <v>0</v>
      </c>
      <c r="U50" s="850">
        <v>0</v>
      </c>
      <c r="V50" s="850">
        <v>0</v>
      </c>
      <c r="W50" s="850">
        <v>0</v>
      </c>
      <c r="X50" s="850">
        <v>0</v>
      </c>
      <c r="Y50" s="850">
        <v>0</v>
      </c>
      <c r="Z50" s="850">
        <v>0</v>
      </c>
      <c r="AA50" s="850">
        <v>176468.1772885948</v>
      </c>
      <c r="AB50" s="850">
        <v>1754034.0849007773</v>
      </c>
      <c r="AC50" s="898">
        <f t="shared" si="65"/>
        <v>1930502.2621893722</v>
      </c>
      <c r="AD50" s="848"/>
      <c r="AF50" s="58" t="str">
        <f>IFERROR(VLOOKUP(K50,FA_Codes!C:F,2,FALSE),"CHECK")</f>
        <v>TRA A24</v>
      </c>
      <c r="AG50" s="851">
        <f t="shared" si="72"/>
        <v>1930502.2621893722</v>
      </c>
      <c r="AH50" s="58" t="str">
        <f>IFERROR(VLOOKUP(AF50,FA_Codes!D:F,3,FALSE),"CHECK")</f>
        <v>Local</v>
      </c>
      <c r="AI50" s="852">
        <v>0.31816019032513876</v>
      </c>
      <c r="AJ50" s="853">
        <f t="shared" si="66"/>
        <v>0.68183980967486124</v>
      </c>
      <c r="AK50" s="854">
        <f t="shared" si="73"/>
        <v>162054.06150211624</v>
      </c>
      <c r="AL50" s="854">
        <f t="shared" si="74"/>
        <v>0</v>
      </c>
      <c r="AM50" s="854">
        <f t="shared" si="75"/>
        <v>0</v>
      </c>
      <c r="AN50" s="854">
        <f t="shared" si="76"/>
        <v>0</v>
      </c>
      <c r="AO50" s="854">
        <f t="shared" si="77"/>
        <v>0</v>
      </c>
      <c r="AP50" s="854">
        <f t="shared" si="78"/>
        <v>0</v>
      </c>
      <c r="AQ50" s="854">
        <f t="shared" si="79"/>
        <v>0</v>
      </c>
      <c r="AR50" s="854">
        <f t="shared" si="80"/>
        <v>0</v>
      </c>
      <c r="AS50" s="854">
        <f t="shared" si="81"/>
        <v>0</v>
      </c>
      <c r="AT50" s="854">
        <f t="shared" si="82"/>
        <v>51432.101088673713</v>
      </c>
      <c r="AU50" s="854">
        <f t="shared" si="83"/>
        <v>511217.71502213285</v>
      </c>
      <c r="AV50" s="854">
        <f t="shared" si="67"/>
        <v>562649.81611080654</v>
      </c>
      <c r="AW50" s="854">
        <f t="shared" si="84"/>
        <v>0</v>
      </c>
      <c r="AX50" s="855">
        <f t="shared" si="85"/>
        <v>0</v>
      </c>
      <c r="AZ50" s="854">
        <f t="shared" si="86"/>
        <v>0</v>
      </c>
      <c r="BA50" s="854">
        <f t="shared" si="87"/>
        <v>0</v>
      </c>
      <c r="BB50" s="854">
        <f t="shared" si="88"/>
        <v>0</v>
      </c>
      <c r="BC50" s="854">
        <f t="shared" si="89"/>
        <v>0</v>
      </c>
      <c r="BD50" s="854">
        <f t="shared" si="90"/>
        <v>0</v>
      </c>
      <c r="BE50" s="854">
        <f t="shared" si="91"/>
        <v>0</v>
      </c>
      <c r="BF50" s="854">
        <f t="shared" si="92"/>
        <v>0</v>
      </c>
      <c r="BG50" s="854">
        <f t="shared" si="93"/>
        <v>0</v>
      </c>
      <c r="BH50" s="854">
        <f t="shared" si="94"/>
        <v>110222.63338993436</v>
      </c>
      <c r="BI50" s="854">
        <f t="shared" si="95"/>
        <v>1095575.7511865152</v>
      </c>
      <c r="BJ50" s="854">
        <f t="shared" si="68"/>
        <v>1205798.3845764496</v>
      </c>
      <c r="BK50" s="58" t="str">
        <f t="shared" si="69"/>
        <v>OK</v>
      </c>
      <c r="BL50" s="878" t="str">
        <f t="shared" si="96"/>
        <v>walk/cycle bridges on GSR Road bridge over the rail corridor TRA A24 0.916056010564664 2060 0.318160190325139</v>
      </c>
      <c r="BM50" s="870">
        <f t="shared" si="97"/>
        <v>2</v>
      </c>
      <c r="BN50" s="869">
        <f t="shared" si="70"/>
        <v>1768448.2006872562</v>
      </c>
      <c r="BO50" s="870">
        <f>IFERROR(VLOOKUP(AF50,FA_Codes!D:H,5,FALSE),"CHECK")</f>
        <v>0</v>
      </c>
      <c r="BP50" s="870" t="str">
        <f t="shared" si="98"/>
        <v>TRA</v>
      </c>
      <c r="BQ50" s="869">
        <f t="shared" si="99"/>
        <v>1930502.2621893722</v>
      </c>
      <c r="BR50" s="870" t="str">
        <f t="shared" si="100"/>
        <v>70 TRA A24</v>
      </c>
      <c r="BS50" s="870">
        <f t="shared" si="71"/>
        <v>70</v>
      </c>
      <c r="BT50" s="870" t="s">
        <v>6992</v>
      </c>
      <c r="BU50" s="870">
        <f t="shared" si="101"/>
        <v>2060</v>
      </c>
      <c r="BV50" s="153"/>
      <c r="BW50" s="153"/>
      <c r="BX50" s="153"/>
      <c r="BY50" s="153"/>
      <c r="BZ50" s="153"/>
      <c r="CA50" s="153"/>
      <c r="CB50" s="153"/>
      <c r="CC50" s="153"/>
      <c r="CD50" s="153"/>
      <c r="CE50" s="153"/>
      <c r="CF50" s="153"/>
    </row>
    <row r="51" spans="1:84" ht="26">
      <c r="A51" s="848"/>
      <c r="B51" s="848" t="s">
        <v>896</v>
      </c>
      <c r="C51" s="848"/>
      <c r="D51" s="848"/>
      <c r="E51" s="848" t="s">
        <v>6875</v>
      </c>
      <c r="F51" s="866" t="s">
        <v>6868</v>
      </c>
      <c r="G51" s="808" t="s">
        <v>6711</v>
      </c>
      <c r="H51" s="808"/>
      <c r="I51" s="808"/>
      <c r="J51" s="808"/>
      <c r="K51" s="808" t="s">
        <v>6762</v>
      </c>
      <c r="L51" s="808"/>
      <c r="M51" s="808"/>
      <c r="N51" s="808"/>
      <c r="O51" s="808"/>
      <c r="P51" s="808"/>
      <c r="Q51" s="849">
        <v>0.91605601056466435</v>
      </c>
      <c r="R51" s="848">
        <v>2060</v>
      </c>
      <c r="S51" s="850">
        <v>0</v>
      </c>
      <c r="T51" s="850">
        <v>0</v>
      </c>
      <c r="U51" s="850">
        <v>0</v>
      </c>
      <c r="V51" s="850">
        <v>0</v>
      </c>
      <c r="W51" s="850">
        <v>0</v>
      </c>
      <c r="X51" s="850">
        <v>0</v>
      </c>
      <c r="Y51" s="850">
        <v>0</v>
      </c>
      <c r="Z51" s="850">
        <v>0</v>
      </c>
      <c r="AA51" s="850">
        <v>-93041.555891946817</v>
      </c>
      <c r="AB51" s="850">
        <v>-924376.31610975449</v>
      </c>
      <c r="AC51" s="809">
        <f t="shared" si="65"/>
        <v>-1017417.8720017013</v>
      </c>
      <c r="AD51" s="848"/>
      <c r="AF51" s="58" t="str">
        <f>IFERROR(VLOOKUP(K51,FA_Codes!C:F,2,FALSE),"CHECK")</f>
        <v>TRA A24</v>
      </c>
      <c r="AG51" s="851">
        <f t="shared" si="72"/>
        <v>-1017417.8720017013</v>
      </c>
      <c r="AH51" s="58" t="str">
        <f>IFERROR(VLOOKUP(AF51,FA_Codes!D:F,3,FALSE),"CHECK")</f>
        <v>Local</v>
      </c>
      <c r="AI51" s="852">
        <v>0.31816019032513876</v>
      </c>
      <c r="AJ51" s="853">
        <f t="shared" si="66"/>
        <v>0.68183980967486124</v>
      </c>
      <c r="AK51" s="854">
        <f t="shared" si="73"/>
        <v>-85406.115098632494</v>
      </c>
      <c r="AL51" s="854">
        <f t="shared" si="74"/>
        <v>0</v>
      </c>
      <c r="AM51" s="854">
        <f t="shared" si="75"/>
        <v>0</v>
      </c>
      <c r="AN51" s="854">
        <f t="shared" si="76"/>
        <v>0</v>
      </c>
      <c r="AO51" s="854">
        <f t="shared" si="77"/>
        <v>0</v>
      </c>
      <c r="AP51" s="854">
        <f t="shared" si="78"/>
        <v>0</v>
      </c>
      <c r="AQ51" s="854">
        <f t="shared" si="79"/>
        <v>0</v>
      </c>
      <c r="AR51" s="854">
        <f t="shared" si="80"/>
        <v>0</v>
      </c>
      <c r="AS51" s="854">
        <f t="shared" si="81"/>
        <v>0</v>
      </c>
      <c r="AT51" s="854">
        <f t="shared" si="82"/>
        <v>-27117.199155155387</v>
      </c>
      <c r="AU51" s="854">
        <f t="shared" si="83"/>
        <v>-269411.83880639193</v>
      </c>
      <c r="AV51" s="854">
        <f t="shared" si="67"/>
        <v>-296529.03796154732</v>
      </c>
      <c r="AW51" s="854">
        <f t="shared" si="84"/>
        <v>0</v>
      </c>
      <c r="AX51" s="855">
        <f t="shared" si="85"/>
        <v>0</v>
      </c>
      <c r="AZ51" s="854">
        <f t="shared" si="86"/>
        <v>0</v>
      </c>
      <c r="BA51" s="854">
        <f t="shared" si="87"/>
        <v>0</v>
      </c>
      <c r="BB51" s="854">
        <f t="shared" si="88"/>
        <v>0</v>
      </c>
      <c r="BC51" s="854">
        <f t="shared" si="89"/>
        <v>0</v>
      </c>
      <c r="BD51" s="854">
        <f t="shared" si="90"/>
        <v>0</v>
      </c>
      <c r="BE51" s="854">
        <f t="shared" si="91"/>
        <v>0</v>
      </c>
      <c r="BF51" s="854">
        <f t="shared" si="92"/>
        <v>0</v>
      </c>
      <c r="BG51" s="854">
        <f t="shared" si="93"/>
        <v>0</v>
      </c>
      <c r="BH51" s="854">
        <f t="shared" si="94"/>
        <v>-58114.077351950655</v>
      </c>
      <c r="BI51" s="854">
        <f t="shared" si="95"/>
        <v>-577368.64158957079</v>
      </c>
      <c r="BJ51" s="854">
        <f t="shared" si="68"/>
        <v>-635482.71894152148</v>
      </c>
      <c r="BK51" s="58" t="str">
        <f t="shared" si="69"/>
        <v>OK</v>
      </c>
      <c r="BL51" s="856" t="str">
        <f t="shared" si="96"/>
        <v>GSR improvements - Waihoehoe Rd to Drury Interchange TRA A24 0.916056010564664 2060 0.318160190325139</v>
      </c>
      <c r="BM51" s="153">
        <f t="shared" si="97"/>
        <v>2</v>
      </c>
      <c r="BN51" s="869">
        <f t="shared" si="70"/>
        <v>-932011.75690306886</v>
      </c>
      <c r="BO51" s="870">
        <f>IFERROR(VLOOKUP(AF51,FA_Codes!D:H,5,FALSE),"CHECK")</f>
        <v>0</v>
      </c>
      <c r="BP51" s="870" t="str">
        <f t="shared" si="98"/>
        <v>TRA</v>
      </c>
      <c r="BQ51" s="869">
        <f t="shared" si="99"/>
        <v>0</v>
      </c>
      <c r="BR51" s="870" t="str">
        <f t="shared" si="100"/>
        <v>1b TRA A24</v>
      </c>
      <c r="BS51" s="870" t="str">
        <f t="shared" si="71"/>
        <v>1b</v>
      </c>
      <c r="BT51" s="870" t="s">
        <v>6992</v>
      </c>
      <c r="BU51" s="870">
        <f t="shared" si="101"/>
        <v>2060</v>
      </c>
      <c r="BV51" s="153"/>
      <c r="BW51" s="153"/>
      <c r="BX51" s="153"/>
      <c r="BY51" s="153"/>
      <c r="BZ51" s="153"/>
      <c r="CA51" s="153"/>
      <c r="CB51" s="153"/>
      <c r="CC51" s="153"/>
      <c r="CD51" s="153"/>
      <c r="CE51" s="153"/>
      <c r="CF51" s="153"/>
    </row>
    <row r="52" spans="1:84" ht="26">
      <c r="A52" s="848"/>
      <c r="B52" s="848" t="s">
        <v>896</v>
      </c>
      <c r="C52" s="848"/>
      <c r="D52" s="848"/>
      <c r="E52" s="848" t="s">
        <v>6773</v>
      </c>
      <c r="F52" s="866" t="s">
        <v>6708</v>
      </c>
      <c r="G52" s="808" t="s">
        <v>6709</v>
      </c>
      <c r="H52" s="808"/>
      <c r="I52" s="808"/>
      <c r="J52" s="808"/>
      <c r="K52" s="808" t="s">
        <v>6762</v>
      </c>
      <c r="L52" s="808"/>
      <c r="M52" s="808"/>
      <c r="N52" s="808"/>
      <c r="O52" s="808"/>
      <c r="P52" s="808"/>
      <c r="Q52" s="849">
        <v>0.91605601056466435</v>
      </c>
      <c r="R52" s="848">
        <v>2060</v>
      </c>
      <c r="S52" s="850">
        <v>0</v>
      </c>
      <c r="T52" s="850">
        <v>0</v>
      </c>
      <c r="U52" s="850">
        <v>0</v>
      </c>
      <c r="V52" s="850">
        <v>0</v>
      </c>
      <c r="W52" s="850">
        <v>0</v>
      </c>
      <c r="X52" s="850">
        <v>0</v>
      </c>
      <c r="Y52" s="850">
        <v>0</v>
      </c>
      <c r="Z52" s="850">
        <v>-113227.79125377211</v>
      </c>
      <c r="AA52" s="850">
        <v>-1124928.3995417946</v>
      </c>
      <c r="AB52" s="850">
        <v>0</v>
      </c>
      <c r="AC52" s="809">
        <f t="shared" si="65"/>
        <v>-1238156.1907955667</v>
      </c>
      <c r="AD52" s="848"/>
      <c r="AF52" s="58" t="str">
        <f>IFERROR(VLOOKUP(K52,FA_Codes!C:F,2,FALSE),"CHECK")</f>
        <v>TRA A24</v>
      </c>
      <c r="AG52" s="851">
        <f t="shared" si="72"/>
        <v>-1238156.1907955667</v>
      </c>
      <c r="AH52" s="58" t="str">
        <f>IFERROR(VLOOKUP(AF52,FA_Codes!D:F,3,FALSE),"CHECK")</f>
        <v>Local</v>
      </c>
      <c r="AI52" s="852">
        <v>0.31816019032513876</v>
      </c>
      <c r="AJ52" s="853">
        <f t="shared" si="66"/>
        <v>0.68183980967486124</v>
      </c>
      <c r="AK52" s="854">
        <f t="shared" si="73"/>
        <v>-103935.77019943848</v>
      </c>
      <c r="AL52" s="854">
        <f t="shared" si="74"/>
        <v>0</v>
      </c>
      <c r="AM52" s="854">
        <f t="shared" si="75"/>
        <v>0</v>
      </c>
      <c r="AN52" s="854">
        <f t="shared" si="76"/>
        <v>0</v>
      </c>
      <c r="AO52" s="854">
        <f t="shared" si="77"/>
        <v>0</v>
      </c>
      <c r="AP52" s="854">
        <f t="shared" si="78"/>
        <v>0</v>
      </c>
      <c r="AQ52" s="854">
        <f t="shared" si="79"/>
        <v>0</v>
      </c>
      <c r="AR52" s="854">
        <f t="shared" si="80"/>
        <v>0</v>
      </c>
      <c r="AS52" s="854">
        <f t="shared" si="81"/>
        <v>-33000.529020524031</v>
      </c>
      <c r="AT52" s="854">
        <f t="shared" si="82"/>
        <v>-327863.25586699904</v>
      </c>
      <c r="AU52" s="854">
        <f t="shared" si="83"/>
        <v>0</v>
      </c>
      <c r="AV52" s="854">
        <f t="shared" si="67"/>
        <v>-360863.78488752304</v>
      </c>
      <c r="AW52" s="854">
        <f t="shared" si="84"/>
        <v>0</v>
      </c>
      <c r="AX52" s="855">
        <f t="shared" si="85"/>
        <v>0</v>
      </c>
      <c r="AZ52" s="854">
        <f t="shared" si="86"/>
        <v>0</v>
      </c>
      <c r="BA52" s="854">
        <f t="shared" si="87"/>
        <v>0</v>
      </c>
      <c r="BB52" s="854">
        <f t="shared" si="88"/>
        <v>0</v>
      </c>
      <c r="BC52" s="854">
        <f t="shared" si="89"/>
        <v>0</v>
      </c>
      <c r="BD52" s="854">
        <f t="shared" si="90"/>
        <v>0</v>
      </c>
      <c r="BE52" s="854">
        <f t="shared" si="91"/>
        <v>0</v>
      </c>
      <c r="BF52" s="854">
        <f t="shared" si="92"/>
        <v>0</v>
      </c>
      <c r="BG52" s="854">
        <f t="shared" si="93"/>
        <v>-70722.469720455047</v>
      </c>
      <c r="BH52" s="854">
        <f t="shared" si="94"/>
        <v>-702634.16598815005</v>
      </c>
      <c r="BI52" s="854">
        <f t="shared" si="95"/>
        <v>0</v>
      </c>
      <c r="BJ52" s="854">
        <f t="shared" si="68"/>
        <v>-773356.63570860506</v>
      </c>
      <c r="BK52" s="58" t="str">
        <f t="shared" si="69"/>
        <v>OK</v>
      </c>
      <c r="BL52" s="856" t="str">
        <f t="shared" si="96"/>
        <v>GSR improvements - From Drury School to Waihoehoe Rd TRA A24 0.916056010564664 2060 0.318160190325139</v>
      </c>
      <c r="BM52" s="153">
        <f t="shared" si="97"/>
        <v>2</v>
      </c>
      <c r="BN52" s="869">
        <f t="shared" si="70"/>
        <v>-1134220.4205961281</v>
      </c>
      <c r="BO52" s="870">
        <f>IFERROR(VLOOKUP(AF52,FA_Codes!D:H,5,FALSE),"CHECK")</f>
        <v>0</v>
      </c>
      <c r="BP52" s="870" t="str">
        <f t="shared" si="98"/>
        <v>TRA</v>
      </c>
      <c r="BQ52" s="869">
        <f t="shared" si="99"/>
        <v>0</v>
      </c>
      <c r="BR52" s="870" t="str">
        <f t="shared" si="100"/>
        <v>2a TRA A24</v>
      </c>
      <c r="BS52" s="870" t="str">
        <f t="shared" si="71"/>
        <v>2a</v>
      </c>
      <c r="BT52" s="870" t="s">
        <v>6992</v>
      </c>
      <c r="BU52" s="870">
        <f t="shared" si="101"/>
        <v>2060</v>
      </c>
      <c r="BV52" s="153"/>
      <c r="BW52" s="153"/>
      <c r="BX52" s="153"/>
      <c r="BY52" s="153"/>
      <c r="BZ52" s="153"/>
      <c r="CA52" s="153"/>
      <c r="CB52" s="153"/>
      <c r="CC52" s="153"/>
      <c r="CD52" s="153"/>
      <c r="CE52" s="153"/>
      <c r="CF52" s="153"/>
    </row>
    <row r="53" spans="1:84" ht="26">
      <c r="A53" s="848"/>
      <c r="B53" s="848" t="s">
        <v>896</v>
      </c>
      <c r="C53" s="848"/>
      <c r="D53" s="848"/>
      <c r="E53" s="848" t="s">
        <v>6774</v>
      </c>
      <c r="F53" s="866" t="s">
        <v>6715</v>
      </c>
      <c r="G53" s="808" t="s">
        <v>6717</v>
      </c>
      <c r="H53" s="808"/>
      <c r="I53" s="808"/>
      <c r="J53" s="808"/>
      <c r="K53" s="808" t="s">
        <v>6762</v>
      </c>
      <c r="L53" s="808"/>
      <c r="M53" s="808"/>
      <c r="N53" s="808"/>
      <c r="O53" s="808"/>
      <c r="P53" s="808"/>
      <c r="Q53" s="849">
        <v>0.91605601056466435</v>
      </c>
      <c r="R53" s="848">
        <v>2060</v>
      </c>
      <c r="S53" s="850">
        <v>0</v>
      </c>
      <c r="T53" s="850">
        <v>0</v>
      </c>
      <c r="U53" s="850">
        <v>0</v>
      </c>
      <c r="V53" s="850">
        <v>0</v>
      </c>
      <c r="W53" s="850">
        <v>0</v>
      </c>
      <c r="X53" s="850">
        <v>0</v>
      </c>
      <c r="Y53" s="850">
        <v>0</v>
      </c>
      <c r="Z53" s="850">
        <v>-32970.118545484613</v>
      </c>
      <c r="AA53" s="850">
        <v>-40890.294004603762</v>
      </c>
      <c r="AB53" s="850">
        <v>-413276.30645960511</v>
      </c>
      <c r="AC53" s="809">
        <f t="shared" si="65"/>
        <v>-487136.71900969348</v>
      </c>
      <c r="AD53" s="848"/>
      <c r="AF53" s="58" t="str">
        <f>IFERROR(VLOOKUP(K53,FA_Codes!C:F,2,FALSE),"CHECK")</f>
        <v>TRA A24</v>
      </c>
      <c r="AG53" s="851">
        <f t="shared" si="72"/>
        <v>-487136.71900969348</v>
      </c>
      <c r="AH53" s="58" t="str">
        <f>IFERROR(VLOOKUP(AF53,FA_Codes!D:F,3,FALSE),"CHECK")</f>
        <v>Local</v>
      </c>
      <c r="AI53" s="852">
        <v>0.31816019032513876</v>
      </c>
      <c r="AJ53" s="853">
        <f t="shared" si="66"/>
        <v>0.68183980967486124</v>
      </c>
      <c r="AK53" s="854">
        <f t="shared" si="73"/>
        <v>-40892.199594113779</v>
      </c>
      <c r="AL53" s="854">
        <f t="shared" si="74"/>
        <v>0</v>
      </c>
      <c r="AM53" s="854">
        <f t="shared" si="75"/>
        <v>0</v>
      </c>
      <c r="AN53" s="854">
        <f t="shared" si="76"/>
        <v>0</v>
      </c>
      <c r="AO53" s="854">
        <f t="shared" si="77"/>
        <v>0</v>
      </c>
      <c r="AP53" s="854">
        <f t="shared" si="78"/>
        <v>0</v>
      </c>
      <c r="AQ53" s="854">
        <f t="shared" si="79"/>
        <v>0</v>
      </c>
      <c r="AR53" s="854">
        <f t="shared" si="80"/>
        <v>0</v>
      </c>
      <c r="AS53" s="854">
        <f t="shared" si="81"/>
        <v>-9609.2252778456932</v>
      </c>
      <c r="AT53" s="854">
        <f t="shared" si="82"/>
        <v>-11917.580648838557</v>
      </c>
      <c r="AU53" s="854">
        <f t="shared" si="83"/>
        <v>-120450.43530212667</v>
      </c>
      <c r="AV53" s="854">
        <f t="shared" si="67"/>
        <v>-141977.24122881092</v>
      </c>
      <c r="AW53" s="854">
        <f t="shared" si="84"/>
        <v>0</v>
      </c>
      <c r="AX53" s="855">
        <f t="shared" si="85"/>
        <v>0</v>
      </c>
      <c r="AZ53" s="854">
        <f t="shared" si="86"/>
        <v>0</v>
      </c>
      <c r="BA53" s="854">
        <f t="shared" si="87"/>
        <v>0</v>
      </c>
      <c r="BB53" s="854">
        <f t="shared" si="88"/>
        <v>0</v>
      </c>
      <c r="BC53" s="854">
        <f t="shared" si="89"/>
        <v>0</v>
      </c>
      <c r="BD53" s="854">
        <f t="shared" si="90"/>
        <v>0</v>
      </c>
      <c r="BE53" s="854">
        <f t="shared" si="91"/>
        <v>0</v>
      </c>
      <c r="BF53" s="854">
        <f t="shared" si="92"/>
        <v>0</v>
      </c>
      <c r="BG53" s="854">
        <f t="shared" si="93"/>
        <v>-20593.249984774997</v>
      </c>
      <c r="BH53" s="854">
        <f t="shared" si="94"/>
        <v>-25540.218947834976</v>
      </c>
      <c r="BI53" s="854">
        <f t="shared" si="95"/>
        <v>-258133.80925415884</v>
      </c>
      <c r="BJ53" s="854">
        <f t="shared" si="68"/>
        <v>-304267.27818676882</v>
      </c>
      <c r="BK53" s="58" t="str">
        <f t="shared" si="69"/>
        <v>OK</v>
      </c>
      <c r="BL53" s="856" t="str">
        <f t="shared" si="96"/>
        <v>Upgrade in Norrie Rd/GSR/Waihoehoe intersection TRA A24 0.916056010564664 2060 0.318160190325139</v>
      </c>
      <c r="BM53" s="153">
        <f t="shared" si="97"/>
        <v>2</v>
      </c>
      <c r="BN53" s="869">
        <f t="shared" si="70"/>
        <v>-446244.51941557974</v>
      </c>
      <c r="BO53" s="870">
        <f>IFERROR(VLOOKUP(AF53,FA_Codes!D:H,5,FALSE),"CHECK")</f>
        <v>0</v>
      </c>
      <c r="BP53" s="870" t="str">
        <f t="shared" si="98"/>
        <v>TRA</v>
      </c>
      <c r="BQ53" s="869">
        <f t="shared" si="99"/>
        <v>0</v>
      </c>
      <c r="BR53" s="870" t="str">
        <f t="shared" si="100"/>
        <v>9b TRA A24</v>
      </c>
      <c r="BS53" s="870" t="str">
        <f t="shared" si="71"/>
        <v>9b</v>
      </c>
      <c r="BT53" s="870" t="s">
        <v>6992</v>
      </c>
      <c r="BU53" s="870">
        <f t="shared" si="101"/>
        <v>2060</v>
      </c>
      <c r="BV53" s="153"/>
      <c r="BW53" s="153"/>
      <c r="BX53" s="153"/>
      <c r="BY53" s="153"/>
      <c r="BZ53" s="153"/>
      <c r="CA53" s="153"/>
      <c r="CB53" s="153"/>
      <c r="CC53" s="153"/>
      <c r="CD53" s="153"/>
      <c r="CE53" s="153"/>
      <c r="CF53" s="153"/>
    </row>
    <row r="54" spans="1:84" ht="26">
      <c r="A54" s="848"/>
      <c r="B54" s="848" t="s">
        <v>896</v>
      </c>
      <c r="C54" s="848"/>
      <c r="D54" s="848"/>
      <c r="E54" s="848" t="s">
        <v>6775</v>
      </c>
      <c r="F54" s="866" t="s">
        <v>6725</v>
      </c>
      <c r="G54" s="808" t="s">
        <v>6726</v>
      </c>
      <c r="H54" s="808"/>
      <c r="I54" s="808"/>
      <c r="J54" s="808"/>
      <c r="K54" s="808" t="s">
        <v>6762</v>
      </c>
      <c r="L54" s="808"/>
      <c r="M54" s="808"/>
      <c r="N54" s="808"/>
      <c r="O54" s="808"/>
      <c r="P54" s="808"/>
      <c r="Q54" s="849">
        <v>0.91605601056466435</v>
      </c>
      <c r="R54" s="848">
        <v>2060</v>
      </c>
      <c r="S54" s="850">
        <v>0</v>
      </c>
      <c r="T54" s="850">
        <v>-17743.348403118005</v>
      </c>
      <c r="U54" s="850">
        <v>0</v>
      </c>
      <c r="V54" s="850">
        <v>0</v>
      </c>
      <c r="W54" s="850">
        <v>0</v>
      </c>
      <c r="X54" s="850">
        <v>0</v>
      </c>
      <c r="Y54" s="850">
        <v>0</v>
      </c>
      <c r="Z54" s="850">
        <v>-174649.87454711611</v>
      </c>
      <c r="AA54" s="850">
        <v>-51676.798858011083</v>
      </c>
      <c r="AB54" s="850">
        <v>-517333.17818237562</v>
      </c>
      <c r="AC54" s="809">
        <f t="shared" si="65"/>
        <v>-761403.19999062084</v>
      </c>
      <c r="AD54" s="848"/>
      <c r="AF54" s="58" t="str">
        <f>IFERROR(VLOOKUP(K54,FA_Codes!C:F,2,FALSE),"CHECK")</f>
        <v>TRA A24</v>
      </c>
      <c r="AG54" s="851">
        <f t="shared" si="72"/>
        <v>-761403.19999062084</v>
      </c>
      <c r="AH54" s="58" t="str">
        <f>IFERROR(VLOOKUP(AF54,FA_Codes!D:F,3,FALSE),"CHECK")</f>
        <v>Local</v>
      </c>
      <c r="AI54" s="852">
        <v>0.31816019032513876</v>
      </c>
      <c r="AJ54" s="853">
        <f t="shared" si="66"/>
        <v>0.68183980967486124</v>
      </c>
      <c r="AK54" s="854">
        <f t="shared" si="73"/>
        <v>-63915.222176043433</v>
      </c>
      <c r="AL54" s="854">
        <f t="shared" si="74"/>
        <v>0</v>
      </c>
      <c r="AM54" s="854">
        <f t="shared" si="75"/>
        <v>-5171.3442204840112</v>
      </c>
      <c r="AN54" s="854">
        <f t="shared" si="76"/>
        <v>0</v>
      </c>
      <c r="AO54" s="854">
        <f t="shared" si="77"/>
        <v>0</v>
      </c>
      <c r="AP54" s="854">
        <f t="shared" si="78"/>
        <v>0</v>
      </c>
      <c r="AQ54" s="854">
        <f t="shared" si="79"/>
        <v>0</v>
      </c>
      <c r="AR54" s="854">
        <f t="shared" si="80"/>
        <v>0</v>
      </c>
      <c r="AS54" s="854">
        <f t="shared" si="81"/>
        <v>-50902.152109506751</v>
      </c>
      <c r="AT54" s="854">
        <f t="shared" si="82"/>
        <v>-15061.33504432168</v>
      </c>
      <c r="AU54" s="854">
        <f t="shared" si="83"/>
        <v>-150778.07639666964</v>
      </c>
      <c r="AV54" s="854">
        <f t="shared" si="67"/>
        <v>-221912.90777098207</v>
      </c>
      <c r="AW54" s="854">
        <f t="shared" si="84"/>
        <v>0</v>
      </c>
      <c r="AX54" s="855">
        <f t="shared" si="85"/>
        <v>0</v>
      </c>
      <c r="AZ54" s="854">
        <f t="shared" si="86"/>
        <v>0</v>
      </c>
      <c r="BA54" s="854">
        <f t="shared" si="87"/>
        <v>-11082.556731735178</v>
      </c>
      <c r="BB54" s="854">
        <f t="shared" si="88"/>
        <v>0</v>
      </c>
      <c r="BC54" s="854">
        <f t="shared" si="89"/>
        <v>0</v>
      </c>
      <c r="BD54" s="854">
        <f t="shared" si="90"/>
        <v>0</v>
      </c>
      <c r="BE54" s="854">
        <f t="shared" si="91"/>
        <v>0</v>
      </c>
      <c r="BF54" s="854">
        <f t="shared" si="92"/>
        <v>0</v>
      </c>
      <c r="BG54" s="854">
        <f t="shared" si="93"/>
        <v>-109086.91521374354</v>
      </c>
      <c r="BH54" s="854">
        <f t="shared" si="94"/>
        <v>-32277.507156300551</v>
      </c>
      <c r="BI54" s="854">
        <f t="shared" si="95"/>
        <v>-323128.09094181599</v>
      </c>
      <c r="BJ54" s="854">
        <f t="shared" si="68"/>
        <v>-475575.07004359527</v>
      </c>
      <c r="BK54" s="58" t="str">
        <f t="shared" si="69"/>
        <v>OK</v>
      </c>
      <c r="BL54" s="856" t="str">
        <f t="shared" si="96"/>
        <v>Waihoehoe Rd West upgrades- between GSR &amp; Kath Henry Lane TRA A24 0.916056010564664 2060 0.318160190325139</v>
      </c>
      <c r="BM54" s="153">
        <f t="shared" si="97"/>
        <v>2</v>
      </c>
      <c r="BN54" s="869">
        <f t="shared" si="70"/>
        <v>-697487.97781457729</v>
      </c>
      <c r="BO54" s="870">
        <f>IFERROR(VLOOKUP(AF54,FA_Codes!D:H,5,FALSE),"CHECK")</f>
        <v>0</v>
      </c>
      <c r="BP54" s="870" t="str">
        <f t="shared" si="98"/>
        <v>TRA</v>
      </c>
      <c r="BQ54" s="869">
        <f t="shared" si="99"/>
        <v>0</v>
      </c>
      <c r="BR54" s="870" t="str">
        <f t="shared" si="100"/>
        <v>23b TRA A24</v>
      </c>
      <c r="BS54" s="870" t="str">
        <f t="shared" si="71"/>
        <v>23b</v>
      </c>
      <c r="BT54" s="870" t="s">
        <v>6992</v>
      </c>
      <c r="BU54" s="870">
        <f t="shared" si="101"/>
        <v>2060</v>
      </c>
      <c r="BV54" s="153"/>
      <c r="BW54" s="153"/>
      <c r="BX54" s="153"/>
      <c r="BY54" s="153"/>
      <c r="BZ54" s="153"/>
      <c r="CA54" s="153"/>
      <c r="CB54" s="153"/>
      <c r="CC54" s="153"/>
      <c r="CD54" s="153"/>
      <c r="CE54" s="153"/>
      <c r="CF54" s="153"/>
    </row>
    <row r="55" spans="1:84" ht="26">
      <c r="A55" s="848"/>
      <c r="B55" s="848" t="s">
        <v>896</v>
      </c>
      <c r="C55" s="848"/>
      <c r="D55" s="848"/>
      <c r="E55" s="848" t="s">
        <v>6776</v>
      </c>
      <c r="F55" s="866" t="s">
        <v>6727</v>
      </c>
      <c r="G55" s="808" t="s">
        <v>6726</v>
      </c>
      <c r="H55" s="808"/>
      <c r="I55" s="808"/>
      <c r="J55" s="808"/>
      <c r="K55" s="808" t="s">
        <v>6762</v>
      </c>
      <c r="L55" s="808"/>
      <c r="M55" s="808"/>
      <c r="N55" s="808"/>
      <c r="O55" s="808"/>
      <c r="P55" s="808"/>
      <c r="Q55" s="849">
        <v>0.91605601056466435</v>
      </c>
      <c r="R55" s="848">
        <v>2060</v>
      </c>
      <c r="S55" s="850">
        <v>0</v>
      </c>
      <c r="T55" s="850">
        <v>0</v>
      </c>
      <c r="U55" s="850">
        <v>0</v>
      </c>
      <c r="V55" s="850">
        <v>0</v>
      </c>
      <c r="W55" s="850">
        <v>0</v>
      </c>
      <c r="X55" s="850">
        <v>-577.50814455940667</v>
      </c>
      <c r="Y55" s="850">
        <v>0</v>
      </c>
      <c r="Z55" s="850">
        <v>-30265.113406355751</v>
      </c>
      <c r="AA55" s="850">
        <v>-9819.1665309423279</v>
      </c>
      <c r="AB55" s="850">
        <v>-102582.91740005882</v>
      </c>
      <c r="AC55" s="809">
        <f t="shared" si="65"/>
        <v>-143244.70548191632</v>
      </c>
      <c r="AD55" s="848"/>
      <c r="AF55" s="58" t="str">
        <f>IFERROR(VLOOKUP(K55,FA_Codes!C:F,2,FALSE),"CHECK")</f>
        <v>TRA A24</v>
      </c>
      <c r="AG55" s="851">
        <f t="shared" si="72"/>
        <v>-143244.70548191632</v>
      </c>
      <c r="AH55" s="58" t="str">
        <f>IFERROR(VLOOKUP(AF55,FA_Codes!D:F,3,FALSE),"CHECK")</f>
        <v>Local</v>
      </c>
      <c r="AI55" s="852">
        <v>0.31816019032513876</v>
      </c>
      <c r="AJ55" s="853">
        <f t="shared" si="66"/>
        <v>0.68183980967486124</v>
      </c>
      <c r="AK55" s="854">
        <f t="shared" si="73"/>
        <v>-12024.53204364175</v>
      </c>
      <c r="AL55" s="854">
        <f t="shared" si="74"/>
        <v>0</v>
      </c>
      <c r="AM55" s="854">
        <f t="shared" si="75"/>
        <v>0</v>
      </c>
      <c r="AN55" s="854">
        <f t="shared" si="76"/>
        <v>0</v>
      </c>
      <c r="AO55" s="854">
        <f t="shared" si="77"/>
        <v>0</v>
      </c>
      <c r="AP55" s="854">
        <f t="shared" si="78"/>
        <v>0</v>
      </c>
      <c r="AQ55" s="854">
        <f t="shared" si="79"/>
        <v>-168.31622407442111</v>
      </c>
      <c r="AR55" s="854">
        <f t="shared" si="80"/>
        <v>0</v>
      </c>
      <c r="AS55" s="854">
        <f t="shared" si="81"/>
        <v>-8820.8446196518089</v>
      </c>
      <c r="AT55" s="854">
        <f t="shared" si="82"/>
        <v>-2861.8211701707592</v>
      </c>
      <c r="AU55" s="854">
        <f t="shared" si="83"/>
        <v>-29898.05334172216</v>
      </c>
      <c r="AV55" s="854">
        <f t="shared" si="67"/>
        <v>-41749.035355619148</v>
      </c>
      <c r="AW55" s="854">
        <f t="shared" si="84"/>
        <v>0</v>
      </c>
      <c r="AX55" s="855">
        <f t="shared" si="85"/>
        <v>0</v>
      </c>
      <c r="AZ55" s="854">
        <f t="shared" si="86"/>
        <v>0</v>
      </c>
      <c r="BA55" s="854">
        <f t="shared" si="87"/>
        <v>0</v>
      </c>
      <c r="BB55" s="854">
        <f t="shared" si="88"/>
        <v>0</v>
      </c>
      <c r="BC55" s="854">
        <f t="shared" si="89"/>
        <v>0</v>
      </c>
      <c r="BD55" s="854">
        <f t="shared" si="90"/>
        <v>0</v>
      </c>
      <c r="BE55" s="854">
        <f t="shared" si="91"/>
        <v>-360.71358289927042</v>
      </c>
      <c r="BF55" s="854">
        <f t="shared" si="92"/>
        <v>0</v>
      </c>
      <c r="BG55" s="854">
        <f t="shared" si="93"/>
        <v>-18903.694426661579</v>
      </c>
      <c r="BH55" s="854">
        <f t="shared" si="94"/>
        <v>-6133.085349234344</v>
      </c>
      <c r="BI55" s="854">
        <f t="shared" si="95"/>
        <v>-64073.644723860212</v>
      </c>
      <c r="BJ55" s="854">
        <f t="shared" si="68"/>
        <v>-89471.138082655409</v>
      </c>
      <c r="BK55" s="58" t="str">
        <f t="shared" si="69"/>
        <v>OK</v>
      </c>
      <c r="BL55" s="856" t="str">
        <f t="shared" si="96"/>
        <v>Waihoehoe Rd West upgrades- between Kath Henry Lane and Fitzgerald Rd TRA A24 0.916056010564664 2060 0.318160190325139</v>
      </c>
      <c r="BM55" s="153">
        <f t="shared" si="97"/>
        <v>2</v>
      </c>
      <c r="BN55" s="869">
        <f t="shared" si="70"/>
        <v>-131220.17343827456</v>
      </c>
      <c r="BO55" s="870">
        <f>IFERROR(VLOOKUP(AF55,FA_Codes!D:H,5,FALSE),"CHECK")</f>
        <v>0</v>
      </c>
      <c r="BP55" s="870" t="str">
        <f t="shared" si="98"/>
        <v>TRA</v>
      </c>
      <c r="BQ55" s="869">
        <f t="shared" si="99"/>
        <v>0</v>
      </c>
      <c r="BR55" s="870" t="str">
        <f t="shared" si="100"/>
        <v>23d TRA A24</v>
      </c>
      <c r="BS55" s="870" t="str">
        <f t="shared" si="71"/>
        <v>23d</v>
      </c>
      <c r="BT55" s="870" t="s">
        <v>6992</v>
      </c>
      <c r="BU55" s="870">
        <f t="shared" si="101"/>
        <v>2060</v>
      </c>
      <c r="BV55" s="153"/>
      <c r="BW55" s="153"/>
      <c r="BX55" s="153"/>
      <c r="BY55" s="153"/>
      <c r="BZ55" s="153"/>
      <c r="CA55" s="153"/>
      <c r="CB55" s="153"/>
      <c r="CC55" s="153"/>
      <c r="CD55" s="153"/>
      <c r="CE55" s="153"/>
      <c r="CF55" s="153"/>
    </row>
    <row r="56" spans="1:84" ht="26">
      <c r="A56" s="848"/>
      <c r="B56" s="848" t="s">
        <v>896</v>
      </c>
      <c r="C56" s="848"/>
      <c r="D56" s="848"/>
      <c r="E56" s="848" t="s">
        <v>6777</v>
      </c>
      <c r="F56" s="866" t="s">
        <v>6733</v>
      </c>
      <c r="G56" s="808" t="s">
        <v>6734</v>
      </c>
      <c r="H56" s="808"/>
      <c r="I56" s="808"/>
      <c r="J56" s="808"/>
      <c r="K56" s="808" t="s">
        <v>6762</v>
      </c>
      <c r="L56" s="808"/>
      <c r="M56" s="808"/>
      <c r="N56" s="808"/>
      <c r="O56" s="808"/>
      <c r="P56" s="808"/>
      <c r="Q56" s="849">
        <v>0.91605601056466435</v>
      </c>
      <c r="R56" s="848">
        <v>2060</v>
      </c>
      <c r="S56" s="850">
        <v>0</v>
      </c>
      <c r="T56" s="850">
        <v>0</v>
      </c>
      <c r="U56" s="850">
        <v>0</v>
      </c>
      <c r="V56" s="850">
        <v>0</v>
      </c>
      <c r="W56" s="850">
        <v>0</v>
      </c>
      <c r="X56" s="850">
        <v>0</v>
      </c>
      <c r="Y56" s="850">
        <v>0</v>
      </c>
      <c r="Z56" s="850">
        <v>0</v>
      </c>
      <c r="AA56" s="850">
        <v>0</v>
      </c>
      <c r="AB56" s="850">
        <v>-6555878.2297327938</v>
      </c>
      <c r="AC56" s="809">
        <f t="shared" si="65"/>
        <v>-6555878.2297327938</v>
      </c>
      <c r="AD56" s="848"/>
      <c r="AF56" s="58" t="str">
        <f>IFERROR(VLOOKUP(K56,FA_Codes!C:F,2,FALSE),"CHECK")</f>
        <v>TRA A24</v>
      </c>
      <c r="AG56" s="851">
        <f t="shared" si="72"/>
        <v>-6555878.2297327938</v>
      </c>
      <c r="AH56" s="58" t="str">
        <f>IFERROR(VLOOKUP(AF56,FA_Codes!D:F,3,FALSE),"CHECK")</f>
        <v>Local</v>
      </c>
      <c r="AI56" s="852">
        <v>0.31816019032513876</v>
      </c>
      <c r="AJ56" s="853">
        <f t="shared" si="66"/>
        <v>0.68183980967486124</v>
      </c>
      <c r="AK56" s="854">
        <f t="shared" si="73"/>
        <v>-550326.5728560366</v>
      </c>
      <c r="AL56" s="854">
        <f t="shared" si="74"/>
        <v>0</v>
      </c>
      <c r="AM56" s="854">
        <f t="shared" si="75"/>
        <v>0</v>
      </c>
      <c r="AN56" s="854">
        <f t="shared" si="76"/>
        <v>0</v>
      </c>
      <c r="AO56" s="854">
        <f t="shared" si="77"/>
        <v>0</v>
      </c>
      <c r="AP56" s="854">
        <f t="shared" si="78"/>
        <v>0</v>
      </c>
      <c r="AQ56" s="854">
        <f t="shared" si="79"/>
        <v>0</v>
      </c>
      <c r="AR56" s="854">
        <f t="shared" si="80"/>
        <v>0</v>
      </c>
      <c r="AS56" s="854">
        <f t="shared" si="81"/>
        <v>0</v>
      </c>
      <c r="AT56" s="854">
        <f t="shared" si="82"/>
        <v>0</v>
      </c>
      <c r="AU56" s="854">
        <f t="shared" si="83"/>
        <v>-1910727.4581593613</v>
      </c>
      <c r="AV56" s="854">
        <f t="shared" si="67"/>
        <v>-1910727.4581593613</v>
      </c>
      <c r="AW56" s="854">
        <f t="shared" si="84"/>
        <v>0</v>
      </c>
      <c r="AX56" s="855">
        <f t="shared" si="85"/>
        <v>0</v>
      </c>
      <c r="AZ56" s="854">
        <f t="shared" si="86"/>
        <v>0</v>
      </c>
      <c r="BA56" s="854">
        <f t="shared" si="87"/>
        <v>0</v>
      </c>
      <c r="BB56" s="854">
        <f t="shared" si="88"/>
        <v>0</v>
      </c>
      <c r="BC56" s="854">
        <f t="shared" si="89"/>
        <v>0</v>
      </c>
      <c r="BD56" s="854">
        <f t="shared" si="90"/>
        <v>0</v>
      </c>
      <c r="BE56" s="854">
        <f t="shared" si="91"/>
        <v>0</v>
      </c>
      <c r="BF56" s="854">
        <f t="shared" si="92"/>
        <v>0</v>
      </c>
      <c r="BG56" s="854">
        <f t="shared" si="93"/>
        <v>0</v>
      </c>
      <c r="BH56" s="854">
        <f t="shared" si="94"/>
        <v>0</v>
      </c>
      <c r="BI56" s="854">
        <f t="shared" si="95"/>
        <v>-4094824.1987173953</v>
      </c>
      <c r="BJ56" s="854">
        <f t="shared" si="68"/>
        <v>-4094824.1987173953</v>
      </c>
      <c r="BK56" s="58" t="str">
        <f t="shared" si="69"/>
        <v>OK</v>
      </c>
      <c r="BL56" s="856" t="str">
        <f t="shared" si="96"/>
        <v>Bremner-Norrie Road east of SH1 up to GSR (overlap with project 12) TRA A24 0.916056010564664 2060 0.318160190325139</v>
      </c>
      <c r="BM56" s="153">
        <f t="shared" si="97"/>
        <v>2</v>
      </c>
      <c r="BN56" s="869">
        <f t="shared" si="70"/>
        <v>-6005551.6568767568</v>
      </c>
      <c r="BO56" s="870">
        <f>IFERROR(VLOOKUP(AF56,FA_Codes!D:H,5,FALSE),"CHECK")</f>
        <v>0</v>
      </c>
      <c r="BP56" s="870" t="str">
        <f t="shared" si="98"/>
        <v>TRA</v>
      </c>
      <c r="BQ56" s="869">
        <f t="shared" si="99"/>
        <v>0</v>
      </c>
      <c r="BR56" s="870" t="str">
        <f t="shared" si="100"/>
        <v>36a TRA A24</v>
      </c>
      <c r="BS56" s="870" t="str">
        <f t="shared" si="71"/>
        <v>36a</v>
      </c>
      <c r="BT56" s="870" t="s">
        <v>6992</v>
      </c>
      <c r="BU56" s="870">
        <f t="shared" si="101"/>
        <v>2060</v>
      </c>
      <c r="BV56" s="153"/>
      <c r="BW56" s="153"/>
      <c r="BX56" s="153"/>
      <c r="BY56" s="153"/>
      <c r="BZ56" s="153"/>
      <c r="CA56" s="153"/>
      <c r="CB56" s="153"/>
      <c r="CC56" s="153"/>
      <c r="CD56" s="153"/>
      <c r="CE56" s="153"/>
      <c r="CF56" s="153"/>
    </row>
    <row r="57" spans="1:84" ht="26">
      <c r="A57" s="848"/>
      <c r="B57" s="848" t="s">
        <v>896</v>
      </c>
      <c r="C57" s="848"/>
      <c r="D57" s="848"/>
      <c r="E57" s="848" t="s">
        <v>6778</v>
      </c>
      <c r="F57" s="866" t="s">
        <v>6735</v>
      </c>
      <c r="G57" s="808" t="s">
        <v>6736</v>
      </c>
      <c r="H57" s="808"/>
      <c r="I57" s="808"/>
      <c r="J57" s="808"/>
      <c r="K57" s="808" t="s">
        <v>6762</v>
      </c>
      <c r="L57" s="808"/>
      <c r="M57" s="808"/>
      <c r="N57" s="808"/>
      <c r="O57" s="808"/>
      <c r="P57" s="808"/>
      <c r="Q57" s="849">
        <v>0.91605601056466435</v>
      </c>
      <c r="R57" s="848">
        <v>2060</v>
      </c>
      <c r="S57" s="850">
        <v>0</v>
      </c>
      <c r="T57" s="850">
        <v>0</v>
      </c>
      <c r="U57" s="850">
        <v>0</v>
      </c>
      <c r="V57" s="850">
        <v>-677631.72323459259</v>
      </c>
      <c r="W57" s="850">
        <v>-455836.25327862776</v>
      </c>
      <c r="X57" s="850">
        <v>-4576630.0494580595</v>
      </c>
      <c r="Y57" s="850">
        <v>0</v>
      </c>
      <c r="Z57" s="850">
        <v>0</v>
      </c>
      <c r="AA57" s="850">
        <v>0</v>
      </c>
      <c r="AB57" s="850">
        <v>0</v>
      </c>
      <c r="AC57" s="809">
        <f t="shared" si="65"/>
        <v>-5710098.0259712804</v>
      </c>
      <c r="AD57" s="848"/>
      <c r="AF57" s="58" t="str">
        <f>IFERROR(VLOOKUP(K57,FA_Codes!C:F,2,FALSE),"CHECK")</f>
        <v>TRA A24</v>
      </c>
      <c r="AG57" s="851">
        <f t="shared" si="72"/>
        <v>-5710098.0259712804</v>
      </c>
      <c r="AH57" s="58" t="str">
        <f>IFERROR(VLOOKUP(AF57,FA_Codes!D:F,3,FALSE),"CHECK")</f>
        <v>Local</v>
      </c>
      <c r="AI57" s="852">
        <v>0.31816019032513876</v>
      </c>
      <c r="AJ57" s="853">
        <f t="shared" si="66"/>
        <v>0.68183980967486124</v>
      </c>
      <c r="AK57" s="854">
        <f t="shared" si="73"/>
        <v>-479328.40836686414</v>
      </c>
      <c r="AL57" s="854">
        <f t="shared" si="74"/>
        <v>0</v>
      </c>
      <c r="AM57" s="854">
        <f t="shared" si="75"/>
        <v>0</v>
      </c>
      <c r="AN57" s="854">
        <f t="shared" si="76"/>
        <v>0</v>
      </c>
      <c r="AO57" s="854">
        <f t="shared" si="77"/>
        <v>-197497.49686198085</v>
      </c>
      <c r="AP57" s="854">
        <f t="shared" si="78"/>
        <v>-132854.64052913914</v>
      </c>
      <c r="AQ57" s="854">
        <f t="shared" si="79"/>
        <v>-1333870.5196928543</v>
      </c>
      <c r="AR57" s="854">
        <f t="shared" si="80"/>
        <v>0</v>
      </c>
      <c r="AS57" s="854">
        <f t="shared" si="81"/>
        <v>0</v>
      </c>
      <c r="AT57" s="854">
        <f t="shared" si="82"/>
        <v>0</v>
      </c>
      <c r="AU57" s="854">
        <f t="shared" si="83"/>
        <v>0</v>
      </c>
      <c r="AV57" s="854">
        <f t="shared" si="67"/>
        <v>-1664222.6570839742</v>
      </c>
      <c r="AW57" s="854">
        <f t="shared" si="84"/>
        <v>0</v>
      </c>
      <c r="AX57" s="855">
        <f t="shared" si="85"/>
        <v>0</v>
      </c>
      <c r="AZ57" s="854">
        <f t="shared" si="86"/>
        <v>0</v>
      </c>
      <c r="BA57" s="854">
        <f t="shared" si="87"/>
        <v>0</v>
      </c>
      <c r="BB57" s="854">
        <f t="shared" si="88"/>
        <v>0</v>
      </c>
      <c r="BC57" s="854">
        <f t="shared" si="89"/>
        <v>-423251.1161563588</v>
      </c>
      <c r="BD57" s="854">
        <f t="shared" si="90"/>
        <v>-284716.89912002452</v>
      </c>
      <c r="BE57" s="854">
        <f t="shared" si="91"/>
        <v>-2858578.9452440585</v>
      </c>
      <c r="BF57" s="854">
        <f t="shared" si="92"/>
        <v>0</v>
      </c>
      <c r="BG57" s="854">
        <f t="shared" si="93"/>
        <v>0</v>
      </c>
      <c r="BH57" s="854">
        <f t="shared" si="94"/>
        <v>0</v>
      </c>
      <c r="BI57" s="854">
        <f t="shared" si="95"/>
        <v>0</v>
      </c>
      <c r="BJ57" s="854">
        <f t="shared" si="68"/>
        <v>-3566546.9605204416</v>
      </c>
      <c r="BK57" s="58" t="str">
        <f t="shared" si="69"/>
        <v>OK</v>
      </c>
      <c r="BL57" s="856" t="str">
        <f t="shared" si="96"/>
        <v>New intersection on Jesmond/Bremner Rd TRA A24 0.916056010564664 2060 0.318160190325139</v>
      </c>
      <c r="BM57" s="153">
        <f t="shared" si="97"/>
        <v>2</v>
      </c>
      <c r="BN57" s="869">
        <f t="shared" si="70"/>
        <v>-5230769.6176044159</v>
      </c>
      <c r="BO57" s="870">
        <f>IFERROR(VLOOKUP(AF57,FA_Codes!D:H,5,FALSE),"CHECK")</f>
        <v>0</v>
      </c>
      <c r="BP57" s="870" t="str">
        <f t="shared" si="98"/>
        <v>TRA</v>
      </c>
      <c r="BQ57" s="869">
        <f t="shared" si="99"/>
        <v>0</v>
      </c>
      <c r="BR57" s="870" t="str">
        <f t="shared" si="100"/>
        <v>40a TRA A24</v>
      </c>
      <c r="BS57" s="870" t="str">
        <f t="shared" si="71"/>
        <v>40a</v>
      </c>
      <c r="BT57" s="870" t="s">
        <v>6992</v>
      </c>
      <c r="BU57" s="870">
        <f t="shared" si="101"/>
        <v>2060</v>
      </c>
      <c r="BV57" s="153"/>
      <c r="BW57" s="153"/>
      <c r="BX57" s="153"/>
      <c r="BY57" s="153"/>
      <c r="BZ57" s="153"/>
      <c r="CA57" s="153"/>
      <c r="CB57" s="153"/>
      <c r="CC57" s="153"/>
      <c r="CD57" s="153"/>
      <c r="CE57" s="153"/>
      <c r="CF57" s="153"/>
    </row>
    <row r="58" spans="1:84" ht="26">
      <c r="A58" s="848"/>
      <c r="B58" s="848" t="s">
        <v>896</v>
      </c>
      <c r="C58" s="848"/>
      <c r="D58" s="848"/>
      <c r="E58" s="848" t="s">
        <v>6876</v>
      </c>
      <c r="F58" s="866" t="s">
        <v>6873</v>
      </c>
      <c r="G58" s="808" t="s">
        <v>6874</v>
      </c>
      <c r="H58" s="808"/>
      <c r="I58" s="808"/>
      <c r="J58" s="808"/>
      <c r="K58" s="808" t="s">
        <v>6762</v>
      </c>
      <c r="L58" s="808"/>
      <c r="M58" s="808"/>
      <c r="N58" s="808"/>
      <c r="O58" s="808"/>
      <c r="P58" s="808"/>
      <c r="Q58" s="849">
        <v>0.91605601056466435</v>
      </c>
      <c r="R58" s="848">
        <v>2060</v>
      </c>
      <c r="S58" s="850">
        <v>0</v>
      </c>
      <c r="T58" s="850">
        <v>0</v>
      </c>
      <c r="U58" s="850">
        <v>0</v>
      </c>
      <c r="V58" s="850">
        <v>0</v>
      </c>
      <c r="W58" s="850">
        <v>0</v>
      </c>
      <c r="X58" s="850">
        <v>0</v>
      </c>
      <c r="Y58" s="850">
        <v>0</v>
      </c>
      <c r="Z58" s="850">
        <v>0</v>
      </c>
      <c r="AA58" s="850">
        <v>-264160.60097447288</v>
      </c>
      <c r="AB58" s="850">
        <v>-2624459.5852814764</v>
      </c>
      <c r="AC58" s="809">
        <f t="shared" si="65"/>
        <v>-2888620.1862559491</v>
      </c>
      <c r="AD58" s="848"/>
      <c r="AF58" s="58" t="str">
        <f>IFERROR(VLOOKUP(K58,FA_Codes!C:F,2,FALSE),"CHECK")</f>
        <v>TRA A24</v>
      </c>
      <c r="AG58" s="851">
        <f t="shared" si="72"/>
        <v>-2888620.1862559491</v>
      </c>
      <c r="AH58" s="58" t="str">
        <f>IFERROR(VLOOKUP(AF58,FA_Codes!D:F,3,FALSE),"CHECK")</f>
        <v>Local</v>
      </c>
      <c r="AI58" s="852">
        <v>0.31816019032513876</v>
      </c>
      <c r="AJ58" s="853">
        <f t="shared" si="66"/>
        <v>0.68183980967486124</v>
      </c>
      <c r="AK58" s="854">
        <f t="shared" si="73"/>
        <v>-242482.3023977667</v>
      </c>
      <c r="AL58" s="854">
        <f t="shared" si="74"/>
        <v>0</v>
      </c>
      <c r="AM58" s="854">
        <f t="shared" si="75"/>
        <v>0</v>
      </c>
      <c r="AN58" s="854">
        <f t="shared" si="76"/>
        <v>0</v>
      </c>
      <c r="AO58" s="854">
        <f t="shared" si="77"/>
        <v>0</v>
      </c>
      <c r="AP58" s="854">
        <f t="shared" si="78"/>
        <v>0</v>
      </c>
      <c r="AQ58" s="854">
        <f t="shared" si="79"/>
        <v>0</v>
      </c>
      <c r="AR58" s="854">
        <f t="shared" si="80"/>
        <v>0</v>
      </c>
      <c r="AS58" s="854">
        <f t="shared" si="81"/>
        <v>0</v>
      </c>
      <c r="AT58" s="854">
        <f t="shared" si="82"/>
        <v>-76990.281997104175</v>
      </c>
      <c r="AU58" s="854">
        <f t="shared" si="83"/>
        <v>-764905.45075777511</v>
      </c>
      <c r="AV58" s="854">
        <f t="shared" si="67"/>
        <v>-841895.73275487928</v>
      </c>
      <c r="AW58" s="854">
        <f t="shared" si="84"/>
        <v>0</v>
      </c>
      <c r="AX58" s="855">
        <f t="shared" si="85"/>
        <v>0</v>
      </c>
      <c r="AZ58" s="854">
        <f t="shared" si="86"/>
        <v>0</v>
      </c>
      <c r="BA58" s="854">
        <f t="shared" si="87"/>
        <v>0</v>
      </c>
      <c r="BB58" s="854">
        <f t="shared" si="88"/>
        <v>0</v>
      </c>
      <c r="BC58" s="854">
        <f t="shared" si="89"/>
        <v>0</v>
      </c>
      <c r="BD58" s="854">
        <f t="shared" si="90"/>
        <v>0</v>
      </c>
      <c r="BE58" s="854">
        <f t="shared" si="91"/>
        <v>0</v>
      </c>
      <c r="BF58" s="854">
        <f t="shared" si="92"/>
        <v>0</v>
      </c>
      <c r="BG58" s="854">
        <f t="shared" si="93"/>
        <v>0</v>
      </c>
      <c r="BH58" s="854">
        <f t="shared" si="94"/>
        <v>-164995.62427993564</v>
      </c>
      <c r="BI58" s="854">
        <f t="shared" si="95"/>
        <v>-1639246.5268233677</v>
      </c>
      <c r="BJ58" s="854">
        <f t="shared" si="68"/>
        <v>-1804242.1511033033</v>
      </c>
      <c r="BK58" s="58" t="str">
        <f t="shared" si="69"/>
        <v>OK</v>
      </c>
      <c r="BL58" s="856" t="str">
        <f t="shared" si="96"/>
        <v>Upgrade intersection on Jesmond/Bremner Rd TRA A24 0.916056010564664 2060 0.318160190325139</v>
      </c>
      <c r="BM58" s="153">
        <f t="shared" si="97"/>
        <v>2</v>
      </c>
      <c r="BN58" s="869">
        <f t="shared" si="70"/>
        <v>-2646137.8838581825</v>
      </c>
      <c r="BO58" s="870">
        <f>IFERROR(VLOOKUP(AF58,FA_Codes!D:H,5,FALSE),"CHECK")</f>
        <v>0</v>
      </c>
      <c r="BP58" s="870" t="str">
        <f t="shared" si="98"/>
        <v>TRA</v>
      </c>
      <c r="BQ58" s="869">
        <f t="shared" si="99"/>
        <v>0</v>
      </c>
      <c r="BR58" s="870" t="str">
        <f t="shared" si="100"/>
        <v>40b TRA A24</v>
      </c>
      <c r="BS58" s="870" t="str">
        <f t="shared" si="71"/>
        <v>40b</v>
      </c>
      <c r="BT58" s="870" t="s">
        <v>6992</v>
      </c>
      <c r="BU58" s="870">
        <f t="shared" si="101"/>
        <v>2060</v>
      </c>
      <c r="BV58" s="153"/>
      <c r="BW58" s="153"/>
      <c r="BX58" s="153"/>
      <c r="BY58" s="153"/>
      <c r="BZ58" s="153"/>
      <c r="CA58" s="153"/>
      <c r="CB58" s="153"/>
      <c r="CC58" s="153"/>
      <c r="CD58" s="153"/>
      <c r="CE58" s="153"/>
      <c r="CF58" s="153"/>
    </row>
    <row r="59" spans="1:84" ht="26">
      <c r="A59" s="848"/>
      <c r="B59" s="848" t="s">
        <v>896</v>
      </c>
      <c r="C59" s="848"/>
      <c r="D59" s="848"/>
      <c r="E59" s="848" t="s">
        <v>6779</v>
      </c>
      <c r="F59" s="866" t="s">
        <v>6737</v>
      </c>
      <c r="G59" s="808" t="s">
        <v>6738</v>
      </c>
      <c r="H59" s="808"/>
      <c r="I59" s="808"/>
      <c r="J59" s="808"/>
      <c r="K59" s="808" t="s">
        <v>6762</v>
      </c>
      <c r="L59" s="808"/>
      <c r="M59" s="808"/>
      <c r="N59" s="808"/>
      <c r="O59" s="808"/>
      <c r="P59" s="808"/>
      <c r="Q59" s="849">
        <v>0.91605601056466435</v>
      </c>
      <c r="R59" s="848">
        <v>2060</v>
      </c>
      <c r="S59" s="850">
        <v>0</v>
      </c>
      <c r="T59" s="850">
        <v>0</v>
      </c>
      <c r="U59" s="850">
        <v>0</v>
      </c>
      <c r="V59" s="850">
        <v>0</v>
      </c>
      <c r="W59" s="850">
        <v>-186363.01590486825</v>
      </c>
      <c r="X59" s="850">
        <v>-1851533.505107221</v>
      </c>
      <c r="Y59" s="850">
        <v>0</v>
      </c>
      <c r="Z59" s="850">
        <v>0</v>
      </c>
      <c r="AA59" s="850">
        <v>0</v>
      </c>
      <c r="AB59" s="850">
        <v>0</v>
      </c>
      <c r="AC59" s="809">
        <f t="shared" si="65"/>
        <v>-2037896.5210120892</v>
      </c>
      <c r="AD59" s="848"/>
      <c r="AF59" s="58" t="str">
        <f>IFERROR(VLOOKUP(K59,FA_Codes!C:F,2,FALSE),"CHECK")</f>
        <v>TRA A24</v>
      </c>
      <c r="AG59" s="851">
        <f t="shared" si="72"/>
        <v>-2037896.5210120892</v>
      </c>
      <c r="AH59" s="58" t="str">
        <f>IFERROR(VLOOKUP(AF59,FA_Codes!D:F,3,FALSE),"CHECK")</f>
        <v>Local</v>
      </c>
      <c r="AI59" s="852">
        <v>0.31816019032513876</v>
      </c>
      <c r="AJ59" s="853">
        <f t="shared" si="66"/>
        <v>0.68183980967486124</v>
      </c>
      <c r="AK59" s="854">
        <f t="shared" si="73"/>
        <v>-171069.16403014609</v>
      </c>
      <c r="AL59" s="854">
        <f t="shared" si="74"/>
        <v>0</v>
      </c>
      <c r="AM59" s="854">
        <f t="shared" si="75"/>
        <v>0</v>
      </c>
      <c r="AN59" s="854">
        <f t="shared" si="76"/>
        <v>0</v>
      </c>
      <c r="AO59" s="854">
        <f t="shared" si="77"/>
        <v>0</v>
      </c>
      <c r="AP59" s="854">
        <f t="shared" si="78"/>
        <v>-54315.977081431411</v>
      </c>
      <c r="AQ59" s="854">
        <f t="shared" si="79"/>
        <v>-539634.17012011935</v>
      </c>
      <c r="AR59" s="854">
        <f t="shared" si="80"/>
        <v>0</v>
      </c>
      <c r="AS59" s="854">
        <f t="shared" si="81"/>
        <v>0</v>
      </c>
      <c r="AT59" s="854">
        <f t="shared" si="82"/>
        <v>0</v>
      </c>
      <c r="AU59" s="854">
        <f t="shared" si="83"/>
        <v>0</v>
      </c>
      <c r="AV59" s="854">
        <f t="shared" si="67"/>
        <v>-593950.14720155078</v>
      </c>
      <c r="AW59" s="854">
        <f t="shared" si="84"/>
        <v>0</v>
      </c>
      <c r="AX59" s="855">
        <f t="shared" si="85"/>
        <v>0</v>
      </c>
      <c r="AZ59" s="854">
        <f t="shared" si="86"/>
        <v>0</v>
      </c>
      <c r="BA59" s="854">
        <f t="shared" si="87"/>
        <v>0</v>
      </c>
      <c r="BB59" s="854">
        <f t="shared" si="88"/>
        <v>0</v>
      </c>
      <c r="BC59" s="854">
        <f t="shared" si="89"/>
        <v>0</v>
      </c>
      <c r="BD59" s="854">
        <f t="shared" si="90"/>
        <v>-116402.98378518129</v>
      </c>
      <c r="BE59" s="854">
        <f t="shared" si="91"/>
        <v>-1156474.2259952112</v>
      </c>
      <c r="BF59" s="854">
        <f t="shared" si="92"/>
        <v>0</v>
      </c>
      <c r="BG59" s="854">
        <f t="shared" si="93"/>
        <v>0</v>
      </c>
      <c r="BH59" s="854">
        <f t="shared" si="94"/>
        <v>0</v>
      </c>
      <c r="BI59" s="854">
        <f t="shared" si="95"/>
        <v>0</v>
      </c>
      <c r="BJ59" s="854">
        <f t="shared" si="68"/>
        <v>-1272877.2097803925</v>
      </c>
      <c r="BK59" s="58" t="str">
        <f t="shared" si="69"/>
        <v>OK</v>
      </c>
      <c r="BL59" s="856" t="str">
        <f t="shared" si="96"/>
        <v>Jesmond Rd upgrades from SH22 to Waipupuke development boundary TRA A24 0.916056010564664 2060 0.318160190325139</v>
      </c>
      <c r="BM59" s="153">
        <f t="shared" si="97"/>
        <v>2</v>
      </c>
      <c r="BN59" s="869">
        <f t="shared" si="70"/>
        <v>-1866827.3569819434</v>
      </c>
      <c r="BO59" s="870">
        <f>IFERROR(VLOOKUP(AF59,FA_Codes!D:H,5,FALSE),"CHECK")</f>
        <v>0</v>
      </c>
      <c r="BP59" s="870" t="str">
        <f t="shared" si="98"/>
        <v>TRA</v>
      </c>
      <c r="BQ59" s="869">
        <f t="shared" si="99"/>
        <v>0</v>
      </c>
      <c r="BR59" s="870" t="str">
        <f t="shared" si="100"/>
        <v>41a TRA A24</v>
      </c>
      <c r="BS59" s="870" t="str">
        <f t="shared" si="71"/>
        <v>41a</v>
      </c>
      <c r="BT59" s="870" t="s">
        <v>6992</v>
      </c>
      <c r="BU59" s="870">
        <f t="shared" si="101"/>
        <v>2060</v>
      </c>
      <c r="BV59" s="153"/>
      <c r="BW59" s="153"/>
      <c r="BX59" s="153"/>
      <c r="BY59" s="153"/>
      <c r="BZ59" s="153"/>
      <c r="CA59" s="153"/>
      <c r="CB59" s="153"/>
      <c r="CC59" s="153"/>
      <c r="CD59" s="153"/>
      <c r="CE59" s="153"/>
      <c r="CF59" s="153"/>
    </row>
    <row r="60" spans="1:84" ht="26">
      <c r="A60" s="848"/>
      <c r="B60" s="848" t="s">
        <v>896</v>
      </c>
      <c r="C60" s="848"/>
      <c r="D60" s="848"/>
      <c r="E60" s="848" t="s">
        <v>6780</v>
      </c>
      <c r="F60" s="866" t="s">
        <v>6739</v>
      </c>
      <c r="G60" s="808" t="s">
        <v>6740</v>
      </c>
      <c r="H60" s="808"/>
      <c r="I60" s="808"/>
      <c r="J60" s="808"/>
      <c r="K60" s="808" t="s">
        <v>6762</v>
      </c>
      <c r="L60" s="808"/>
      <c r="M60" s="808"/>
      <c r="N60" s="808"/>
      <c r="O60" s="808"/>
      <c r="P60" s="808"/>
      <c r="Q60" s="849">
        <v>0.91605601056466435</v>
      </c>
      <c r="R60" s="848">
        <v>2060</v>
      </c>
      <c r="S60" s="850">
        <v>0</v>
      </c>
      <c r="T60" s="850">
        <v>0</v>
      </c>
      <c r="U60" s="850">
        <v>0</v>
      </c>
      <c r="V60" s="850">
        <v>0</v>
      </c>
      <c r="W60" s="850">
        <v>0</v>
      </c>
      <c r="X60" s="850">
        <v>0</v>
      </c>
      <c r="Y60" s="850">
        <v>0</v>
      </c>
      <c r="Z60" s="850">
        <v>0</v>
      </c>
      <c r="AA60" s="850">
        <v>-315853.46834904805</v>
      </c>
      <c r="AB60" s="850">
        <v>-3138032.9219994596</v>
      </c>
      <c r="AC60" s="809">
        <f t="shared" si="65"/>
        <v>-3453886.3903485076</v>
      </c>
      <c r="AD60" s="848"/>
      <c r="AF60" s="58" t="str">
        <f>IFERROR(VLOOKUP(K60,FA_Codes!C:F,2,FALSE),"CHECK")</f>
        <v>TRA A24</v>
      </c>
      <c r="AG60" s="851">
        <f t="shared" si="72"/>
        <v>-3453886.3903485076</v>
      </c>
      <c r="AH60" s="58" t="str">
        <f>IFERROR(VLOOKUP(AF60,FA_Codes!D:F,3,FALSE),"CHECK")</f>
        <v>Local</v>
      </c>
      <c r="AI60" s="852">
        <v>0.31816019032513876</v>
      </c>
      <c r="AJ60" s="853">
        <f t="shared" si="66"/>
        <v>0.68183980967486124</v>
      </c>
      <c r="AK60" s="854">
        <f t="shared" si="73"/>
        <v>-289933.00266226468</v>
      </c>
      <c r="AL60" s="854">
        <f t="shared" si="74"/>
        <v>0</v>
      </c>
      <c r="AM60" s="854">
        <f t="shared" si="75"/>
        <v>0</v>
      </c>
      <c r="AN60" s="854">
        <f t="shared" si="76"/>
        <v>0</v>
      </c>
      <c r="AO60" s="854">
        <f t="shared" si="77"/>
        <v>0</v>
      </c>
      <c r="AP60" s="854">
        <f t="shared" si="78"/>
        <v>0</v>
      </c>
      <c r="AQ60" s="854">
        <f t="shared" si="79"/>
        <v>0</v>
      </c>
      <c r="AR60" s="854">
        <f t="shared" si="80"/>
        <v>0</v>
      </c>
      <c r="AS60" s="854">
        <f t="shared" si="81"/>
        <v>0</v>
      </c>
      <c r="AT60" s="854">
        <f t="shared" si="82"/>
        <v>-92056.300251628214</v>
      </c>
      <c r="AU60" s="854">
        <f t="shared" si="83"/>
        <v>-914587.71175449435</v>
      </c>
      <c r="AV60" s="854">
        <f t="shared" si="67"/>
        <v>-1006644.0120061226</v>
      </c>
      <c r="AW60" s="854">
        <f t="shared" si="84"/>
        <v>0</v>
      </c>
      <c r="AX60" s="855">
        <f t="shared" si="85"/>
        <v>0</v>
      </c>
      <c r="AZ60" s="854">
        <f t="shared" si="86"/>
        <v>0</v>
      </c>
      <c r="BA60" s="854">
        <f t="shared" si="87"/>
        <v>0</v>
      </c>
      <c r="BB60" s="854">
        <f t="shared" si="88"/>
        <v>0</v>
      </c>
      <c r="BC60" s="854">
        <f t="shared" si="89"/>
        <v>0</v>
      </c>
      <c r="BD60" s="854">
        <f t="shared" si="90"/>
        <v>0</v>
      </c>
      <c r="BE60" s="854">
        <f t="shared" si="91"/>
        <v>0</v>
      </c>
      <c r="BF60" s="854">
        <f t="shared" si="92"/>
        <v>0</v>
      </c>
      <c r="BG60" s="854">
        <f t="shared" si="93"/>
        <v>0</v>
      </c>
      <c r="BH60" s="854">
        <f t="shared" si="94"/>
        <v>-197283.16788721323</v>
      </c>
      <c r="BI60" s="854">
        <f t="shared" si="95"/>
        <v>-1960026.207792907</v>
      </c>
      <c r="BJ60" s="854">
        <f t="shared" si="68"/>
        <v>-2157309.3756801202</v>
      </c>
      <c r="BK60" s="58" t="str">
        <f t="shared" si="69"/>
        <v>OK</v>
      </c>
      <c r="BL60" s="856" t="str">
        <f t="shared" si="96"/>
        <v>Jesmond Rd upgrades from project 41 to New Bremner Rd  TRA A24 0.916056010564664 2060 0.318160190325139</v>
      </c>
      <c r="BM60" s="153">
        <f t="shared" si="97"/>
        <v>2</v>
      </c>
      <c r="BN60" s="869">
        <f t="shared" si="70"/>
        <v>-3163953.3876862428</v>
      </c>
      <c r="BO60" s="870">
        <f>IFERROR(VLOOKUP(AF60,FA_Codes!D:H,5,FALSE),"CHECK")</f>
        <v>0</v>
      </c>
      <c r="BP60" s="870" t="str">
        <f t="shared" si="98"/>
        <v>TRA</v>
      </c>
      <c r="BQ60" s="869">
        <f t="shared" si="99"/>
        <v>0</v>
      </c>
      <c r="BR60" s="870" t="str">
        <f t="shared" si="100"/>
        <v>42b TRA A24</v>
      </c>
      <c r="BS60" s="870" t="str">
        <f t="shared" si="71"/>
        <v>42b</v>
      </c>
      <c r="BT60" s="870" t="s">
        <v>6992</v>
      </c>
      <c r="BU60" s="870">
        <f t="shared" si="101"/>
        <v>2060</v>
      </c>
      <c r="BV60" s="153"/>
      <c r="BW60" s="153"/>
      <c r="BX60" s="153"/>
      <c r="BY60" s="153"/>
      <c r="BZ60" s="153"/>
      <c r="CA60" s="153"/>
      <c r="CB60" s="153"/>
      <c r="CC60" s="153"/>
      <c r="CD60" s="153"/>
      <c r="CE60" s="153"/>
      <c r="CF60" s="153"/>
    </row>
    <row r="61" spans="1:84" ht="26">
      <c r="A61" s="848"/>
      <c r="B61" s="848" t="s">
        <v>896</v>
      </c>
      <c r="C61" s="848"/>
      <c r="D61" s="848"/>
      <c r="E61" s="848" t="s">
        <v>6781</v>
      </c>
      <c r="F61" s="866" t="s">
        <v>6742</v>
      </c>
      <c r="G61" s="808" t="s">
        <v>6743</v>
      </c>
      <c r="H61" s="808"/>
      <c r="I61" s="808"/>
      <c r="J61" s="808"/>
      <c r="K61" s="808" t="s">
        <v>6762</v>
      </c>
      <c r="L61" s="848"/>
      <c r="M61" s="848"/>
      <c r="N61" s="848"/>
      <c r="O61" s="848"/>
      <c r="P61" s="848"/>
      <c r="Q61" s="849">
        <v>0.91605601056466435</v>
      </c>
      <c r="R61" s="848">
        <v>2060</v>
      </c>
      <c r="S61" s="850">
        <v>0</v>
      </c>
      <c r="T61" s="850">
        <v>0</v>
      </c>
      <c r="U61" s="850">
        <v>0</v>
      </c>
      <c r="V61" s="850">
        <v>0</v>
      </c>
      <c r="W61" s="850">
        <v>0</v>
      </c>
      <c r="X61" s="850">
        <v>0</v>
      </c>
      <c r="Y61" s="850">
        <v>0</v>
      </c>
      <c r="Z61" s="850">
        <v>0</v>
      </c>
      <c r="AA61" s="850">
        <v>-167301.71395049948</v>
      </c>
      <c r="AB61" s="850">
        <v>-1662157.7373449348</v>
      </c>
      <c r="AC61" s="809">
        <f t="shared" si="65"/>
        <v>-1829459.4512954343</v>
      </c>
      <c r="AD61" s="848"/>
      <c r="AF61" s="58" t="str">
        <f>IFERROR(VLOOKUP(K61,FA_Codes!C:F,2,FALSE),"CHECK")</f>
        <v>TRA A24</v>
      </c>
      <c r="AG61" s="851">
        <f t="shared" si="72"/>
        <v>-1829459.4512954343</v>
      </c>
      <c r="AH61" s="58" t="str">
        <f>IFERROR(VLOOKUP(AF61,FA_Codes!D:F,3,FALSE),"CHECK")</f>
        <v>Local</v>
      </c>
      <c r="AI61" s="852">
        <v>0.31816019032513876</v>
      </c>
      <c r="AJ61" s="853">
        <f t="shared" si="66"/>
        <v>0.68183980967486124</v>
      </c>
      <c r="AK61" s="854">
        <f t="shared" si="73"/>
        <v>-153572.1248519189</v>
      </c>
      <c r="AL61" s="854">
        <f t="shared" si="74"/>
        <v>0</v>
      </c>
      <c r="AM61" s="854">
        <f t="shared" si="75"/>
        <v>0</v>
      </c>
      <c r="AN61" s="854">
        <f t="shared" si="76"/>
        <v>0</v>
      </c>
      <c r="AO61" s="854">
        <f t="shared" si="77"/>
        <v>0</v>
      </c>
      <c r="AP61" s="854">
        <f t="shared" si="78"/>
        <v>0</v>
      </c>
      <c r="AQ61" s="854">
        <f t="shared" si="79"/>
        <v>0</v>
      </c>
      <c r="AR61" s="854">
        <f t="shared" si="80"/>
        <v>0</v>
      </c>
      <c r="AS61" s="854">
        <f t="shared" si="81"/>
        <v>0</v>
      </c>
      <c r="AT61" s="854">
        <f t="shared" si="82"/>
        <v>-48760.511931499306</v>
      </c>
      <c r="AU61" s="854">
        <f t="shared" si="83"/>
        <v>-484440.11881325749</v>
      </c>
      <c r="AV61" s="854">
        <f t="shared" si="67"/>
        <v>-533200.63074475678</v>
      </c>
      <c r="AW61" s="854">
        <f t="shared" si="84"/>
        <v>0</v>
      </c>
      <c r="AX61" s="855">
        <f t="shared" si="85"/>
        <v>0</v>
      </c>
      <c r="AZ61" s="854">
        <f t="shared" si="86"/>
        <v>0</v>
      </c>
      <c r="BA61" s="854">
        <f t="shared" si="87"/>
        <v>0</v>
      </c>
      <c r="BB61" s="854">
        <f t="shared" si="88"/>
        <v>0</v>
      </c>
      <c r="BC61" s="854">
        <f t="shared" si="89"/>
        <v>0</v>
      </c>
      <c r="BD61" s="854">
        <f t="shared" si="90"/>
        <v>0</v>
      </c>
      <c r="BE61" s="854">
        <f t="shared" si="91"/>
        <v>0</v>
      </c>
      <c r="BF61" s="854">
        <f t="shared" si="92"/>
        <v>0</v>
      </c>
      <c r="BG61" s="854">
        <f t="shared" si="93"/>
        <v>0</v>
      </c>
      <c r="BH61" s="854">
        <f t="shared" si="94"/>
        <v>-104497.22871062589</v>
      </c>
      <c r="BI61" s="854">
        <f t="shared" si="95"/>
        <v>-1038189.4669881327</v>
      </c>
      <c r="BJ61" s="854">
        <f t="shared" si="68"/>
        <v>-1142686.6956987586</v>
      </c>
      <c r="BK61" s="58" t="str">
        <f t="shared" si="69"/>
        <v>OK</v>
      </c>
      <c r="BL61" s="856" t="str">
        <f t="shared" si="96"/>
        <v>Upgrades in GSR/Firth St intersection (overlap with project12) TRA A24 0.916056010564664 2060 0.318160190325139</v>
      </c>
      <c r="BM61" s="153">
        <f t="shared" si="97"/>
        <v>2</v>
      </c>
      <c r="BN61" s="869">
        <f t="shared" si="70"/>
        <v>-1675887.3264435153</v>
      </c>
      <c r="BO61" s="870">
        <f>IFERROR(VLOOKUP(AF61,FA_Codes!D:H,5,FALSE),"CHECK")</f>
        <v>0</v>
      </c>
      <c r="BP61" s="870" t="str">
        <f t="shared" si="98"/>
        <v>TRA</v>
      </c>
      <c r="BQ61" s="869">
        <f t="shared" si="99"/>
        <v>0</v>
      </c>
      <c r="BR61" s="870" t="str">
        <f t="shared" si="100"/>
        <v>46 TRA A24</v>
      </c>
      <c r="BS61" s="870">
        <f t="shared" si="71"/>
        <v>46</v>
      </c>
      <c r="BT61" s="870" t="s">
        <v>6992</v>
      </c>
      <c r="BU61" s="870">
        <f t="shared" si="101"/>
        <v>2060</v>
      </c>
      <c r="BV61" s="153"/>
      <c r="BW61" s="153"/>
      <c r="BX61" s="153"/>
      <c r="BY61" s="153"/>
      <c r="BZ61" s="153"/>
      <c r="CA61" s="153"/>
      <c r="CB61" s="153"/>
      <c r="CC61" s="153"/>
      <c r="CD61" s="153"/>
      <c r="CE61" s="153"/>
      <c r="CF61" s="153"/>
    </row>
    <row r="62" spans="1:84" ht="26">
      <c r="A62" s="848"/>
      <c r="B62" s="848" t="s">
        <v>896</v>
      </c>
      <c r="C62" s="848"/>
      <c r="D62" s="848"/>
      <c r="E62" s="848" t="s">
        <v>6782</v>
      </c>
      <c r="F62" s="866" t="s">
        <v>6745</v>
      </c>
      <c r="G62" s="808">
        <v>0</v>
      </c>
      <c r="H62" s="808"/>
      <c r="I62" s="808"/>
      <c r="J62" s="808"/>
      <c r="K62" s="808" t="s">
        <v>6762</v>
      </c>
      <c r="L62" s="848"/>
      <c r="M62" s="848"/>
      <c r="N62" s="848"/>
      <c r="O62" s="848"/>
      <c r="P62" s="848"/>
      <c r="Q62" s="849">
        <v>0.91605601056466435</v>
      </c>
      <c r="R62" s="848">
        <v>2060</v>
      </c>
      <c r="S62" s="850">
        <v>0</v>
      </c>
      <c r="T62" s="850">
        <v>0</v>
      </c>
      <c r="U62" s="850">
        <v>0</v>
      </c>
      <c r="V62" s="850">
        <v>0</v>
      </c>
      <c r="W62" s="850">
        <v>0</v>
      </c>
      <c r="X62" s="850">
        <v>0</v>
      </c>
      <c r="Y62" s="850">
        <v>0</v>
      </c>
      <c r="Z62" s="850">
        <v>-93133.370674378035</v>
      </c>
      <c r="AA62" s="850">
        <v>0</v>
      </c>
      <c r="AB62" s="850">
        <v>-969706.90454407176</v>
      </c>
      <c r="AC62" s="809">
        <f t="shared" si="65"/>
        <v>-1062840.2752184498</v>
      </c>
      <c r="AD62" s="848"/>
      <c r="AF62" s="58" t="str">
        <f>IFERROR(VLOOKUP(K62,FA_Codes!C:F,2,FALSE),"CHECK")</f>
        <v>TRA A24</v>
      </c>
      <c r="AG62" s="851">
        <f t="shared" si="72"/>
        <v>-1062840.2752184498</v>
      </c>
      <c r="AH62" s="58" t="str">
        <f>IFERROR(VLOOKUP(AF62,FA_Codes!D:F,3,FALSE),"CHECK")</f>
        <v>Local</v>
      </c>
      <c r="AI62" s="852">
        <v>0.31816019032513876</v>
      </c>
      <c r="AJ62" s="853">
        <f t="shared" si="66"/>
        <v>0.68183980967486124</v>
      </c>
      <c r="AK62" s="854">
        <f t="shared" si="73"/>
        <v>-89219.052834386792</v>
      </c>
      <c r="AL62" s="854">
        <f t="shared" si="74"/>
        <v>0</v>
      </c>
      <c r="AM62" s="854">
        <f t="shared" si="75"/>
        <v>0</v>
      </c>
      <c r="AN62" s="854">
        <f t="shared" si="76"/>
        <v>0</v>
      </c>
      <c r="AO62" s="854">
        <f t="shared" si="77"/>
        <v>0</v>
      </c>
      <c r="AP62" s="854">
        <f t="shared" si="78"/>
        <v>0</v>
      </c>
      <c r="AQ62" s="854">
        <f t="shared" si="79"/>
        <v>0</v>
      </c>
      <c r="AR62" s="854">
        <f t="shared" si="80"/>
        <v>0</v>
      </c>
      <c r="AS62" s="854">
        <f t="shared" si="81"/>
        <v>-27143.958808051411</v>
      </c>
      <c r="AT62" s="854">
        <f t="shared" si="82"/>
        <v>0</v>
      </c>
      <c r="AU62" s="854">
        <f t="shared" si="83"/>
        <v>-282623.55461025628</v>
      </c>
      <c r="AV62" s="854">
        <f t="shared" si="67"/>
        <v>-309767.5134183077</v>
      </c>
      <c r="AW62" s="854">
        <f t="shared" si="84"/>
        <v>0</v>
      </c>
      <c r="AX62" s="855">
        <f t="shared" si="85"/>
        <v>0</v>
      </c>
      <c r="AZ62" s="854">
        <f t="shared" si="86"/>
        <v>0</v>
      </c>
      <c r="BA62" s="854">
        <f t="shared" si="87"/>
        <v>0</v>
      </c>
      <c r="BB62" s="854">
        <f t="shared" si="88"/>
        <v>0</v>
      </c>
      <c r="BC62" s="854">
        <f t="shared" si="89"/>
        <v>0</v>
      </c>
      <c r="BD62" s="854">
        <f t="shared" si="90"/>
        <v>0</v>
      </c>
      <c r="BE62" s="854">
        <f t="shared" si="91"/>
        <v>0</v>
      </c>
      <c r="BF62" s="854">
        <f t="shared" si="92"/>
        <v>0</v>
      </c>
      <c r="BG62" s="854">
        <f t="shared" si="93"/>
        <v>-58171.425182359439</v>
      </c>
      <c r="BH62" s="854">
        <f t="shared" si="94"/>
        <v>0</v>
      </c>
      <c r="BI62" s="854">
        <f t="shared" si="95"/>
        <v>-605682.28378339577</v>
      </c>
      <c r="BJ62" s="854">
        <f t="shared" si="68"/>
        <v>-663853.70896575518</v>
      </c>
      <c r="BK62" s="58" t="str">
        <f t="shared" si="69"/>
        <v>OK</v>
      </c>
      <c r="BL62" s="856" t="str">
        <f t="shared" si="96"/>
        <v>Active Mode Corridor Drury Central to GSR TRA A24 0.916056010564664 2060 0.318160190325139</v>
      </c>
      <c r="BM62" s="153">
        <f t="shared" si="97"/>
        <v>2</v>
      </c>
      <c r="BN62" s="869">
        <f t="shared" si="70"/>
        <v>-973621.22238406283</v>
      </c>
      <c r="BO62" s="870">
        <f>IFERROR(VLOOKUP(AF62,FA_Codes!D:H,5,FALSE),"CHECK")</f>
        <v>0</v>
      </c>
      <c r="BP62" s="870" t="str">
        <f t="shared" si="98"/>
        <v>TRA</v>
      </c>
      <c r="BQ62" s="869">
        <f t="shared" si="99"/>
        <v>0</v>
      </c>
      <c r="BR62" s="870" t="str">
        <f t="shared" si="100"/>
        <v>67 TRA A24</v>
      </c>
      <c r="BS62" s="870">
        <f t="shared" si="71"/>
        <v>67</v>
      </c>
      <c r="BT62" s="870" t="s">
        <v>6992</v>
      </c>
      <c r="BU62" s="870">
        <f t="shared" si="101"/>
        <v>2060</v>
      </c>
      <c r="BV62" s="153"/>
      <c r="BW62" s="153"/>
      <c r="BX62" s="153"/>
      <c r="BY62" s="153"/>
      <c r="BZ62" s="153"/>
      <c r="CA62" s="153"/>
      <c r="CB62" s="153"/>
      <c r="CC62" s="153"/>
      <c r="CD62" s="153"/>
      <c r="CE62" s="153"/>
      <c r="CF62" s="153"/>
    </row>
    <row r="63" spans="1:84" ht="26">
      <c r="A63" s="848"/>
      <c r="B63" s="848" t="s">
        <v>896</v>
      </c>
      <c r="C63" s="848"/>
      <c r="D63" s="848"/>
      <c r="E63" s="848" t="s">
        <v>6783</v>
      </c>
      <c r="F63" s="866" t="s">
        <v>6747</v>
      </c>
      <c r="G63" s="808" t="s">
        <v>6748</v>
      </c>
      <c r="H63" s="808"/>
      <c r="I63" s="808"/>
      <c r="J63" s="808"/>
      <c r="K63" s="808" t="s">
        <v>6762</v>
      </c>
      <c r="L63" s="808"/>
      <c r="M63" s="808"/>
      <c r="N63" s="808"/>
      <c r="O63" s="808"/>
      <c r="P63" s="808"/>
      <c r="Q63" s="849">
        <v>0.91605601056466435</v>
      </c>
      <c r="R63" s="848">
        <v>2060</v>
      </c>
      <c r="S63" s="850">
        <v>0</v>
      </c>
      <c r="T63" s="850">
        <v>0</v>
      </c>
      <c r="U63" s="850">
        <v>0</v>
      </c>
      <c r="V63" s="850">
        <v>0</v>
      </c>
      <c r="W63" s="850">
        <v>0</v>
      </c>
      <c r="X63" s="850">
        <v>0</v>
      </c>
      <c r="Y63" s="850">
        <v>0</v>
      </c>
      <c r="Z63" s="850">
        <v>0</v>
      </c>
      <c r="AA63" s="850">
        <v>-89998.770417183347</v>
      </c>
      <c r="AB63" s="850">
        <v>-894557.38329939649</v>
      </c>
      <c r="AC63" s="809">
        <f t="shared" si="65"/>
        <v>-984556.15371657978</v>
      </c>
      <c r="AD63" s="848"/>
      <c r="AF63" s="58" t="str">
        <f>IFERROR(VLOOKUP(K63,FA_Codes!C:F,2,FALSE),"CHECK")</f>
        <v>TRA A24</v>
      </c>
      <c r="AG63" s="851">
        <f t="shared" si="72"/>
        <v>-984556.15371657978</v>
      </c>
      <c r="AH63" s="58" t="str">
        <f>IFERROR(VLOOKUP(AF63,FA_Codes!D:F,3,FALSE),"CHECK")</f>
        <v>Local</v>
      </c>
      <c r="AI63" s="852">
        <v>0.31816019032513876</v>
      </c>
      <c r="AJ63" s="853">
        <f t="shared" si="66"/>
        <v>0.68183980967486124</v>
      </c>
      <c r="AK63" s="854">
        <f t="shared" si="73"/>
        <v>-82647.571366079283</v>
      </c>
      <c r="AL63" s="854">
        <f t="shared" si="74"/>
        <v>0</v>
      </c>
      <c r="AM63" s="854">
        <f t="shared" si="75"/>
        <v>0</v>
      </c>
      <c r="AN63" s="854">
        <f t="shared" si="76"/>
        <v>0</v>
      </c>
      <c r="AO63" s="854">
        <f t="shared" si="77"/>
        <v>0</v>
      </c>
      <c r="AP63" s="854">
        <f t="shared" si="78"/>
        <v>0</v>
      </c>
      <c r="AQ63" s="854">
        <f t="shared" si="79"/>
        <v>0</v>
      </c>
      <c r="AR63" s="854">
        <f t="shared" si="80"/>
        <v>0</v>
      </c>
      <c r="AS63" s="854">
        <f t="shared" si="81"/>
        <v>0</v>
      </c>
      <c r="AT63" s="854">
        <f t="shared" si="82"/>
        <v>-26230.371555223592</v>
      </c>
      <c r="AU63" s="854">
        <f t="shared" si="83"/>
        <v>-260721.03466128773</v>
      </c>
      <c r="AV63" s="854">
        <f t="shared" si="67"/>
        <v>-286951.40621651133</v>
      </c>
      <c r="AW63" s="854">
        <f t="shared" si="84"/>
        <v>0</v>
      </c>
      <c r="AX63" s="855">
        <f t="shared" si="85"/>
        <v>0</v>
      </c>
      <c r="AZ63" s="854">
        <f t="shared" si="86"/>
        <v>0</v>
      </c>
      <c r="BA63" s="854">
        <f t="shared" si="87"/>
        <v>0</v>
      </c>
      <c r="BB63" s="854">
        <f t="shared" si="88"/>
        <v>0</v>
      </c>
      <c r="BC63" s="854">
        <f t="shared" si="89"/>
        <v>0</v>
      </c>
      <c r="BD63" s="854">
        <f t="shared" si="90"/>
        <v>0</v>
      </c>
      <c r="BE63" s="854">
        <f t="shared" si="91"/>
        <v>0</v>
      </c>
      <c r="BF63" s="854">
        <f t="shared" si="92"/>
        <v>0</v>
      </c>
      <c r="BG63" s="854">
        <f t="shared" si="93"/>
        <v>0</v>
      </c>
      <c r="BH63" s="854">
        <f t="shared" si="94"/>
        <v>-56213.543028866516</v>
      </c>
      <c r="BI63" s="854">
        <f t="shared" si="95"/>
        <v>-558743.63310512272</v>
      </c>
      <c r="BJ63" s="854">
        <f t="shared" si="68"/>
        <v>-614957.17613398924</v>
      </c>
      <c r="BK63" s="58" t="str">
        <f t="shared" si="69"/>
        <v>OK</v>
      </c>
      <c r="BL63" s="856" t="str">
        <f t="shared" si="96"/>
        <v>walk/cycle bridges on GSR Road bridge over the rail corridor TRA A24 0.916056010564664 2060 0.318160190325139</v>
      </c>
      <c r="BM63" s="153">
        <f t="shared" si="97"/>
        <v>2</v>
      </c>
      <c r="BN63" s="869">
        <f t="shared" si="70"/>
        <v>-901908.58235050063</v>
      </c>
      <c r="BO63" s="870">
        <f>IFERROR(VLOOKUP(AF63,FA_Codes!D:H,5,FALSE),"CHECK")</f>
        <v>0</v>
      </c>
      <c r="BP63" s="870" t="str">
        <f t="shared" si="98"/>
        <v>TRA</v>
      </c>
      <c r="BQ63" s="869">
        <f t="shared" si="99"/>
        <v>0</v>
      </c>
      <c r="BR63" s="870" t="str">
        <f t="shared" si="100"/>
        <v>70 TRA A24</v>
      </c>
      <c r="BS63" s="870">
        <f t="shared" si="71"/>
        <v>70</v>
      </c>
      <c r="BT63" s="870" t="s">
        <v>6992</v>
      </c>
      <c r="BU63" s="870">
        <f t="shared" si="101"/>
        <v>2060</v>
      </c>
      <c r="BV63" s="153"/>
      <c r="BW63" s="153"/>
      <c r="BX63" s="153"/>
      <c r="BY63" s="153"/>
      <c r="BZ63" s="153"/>
      <c r="CA63" s="153"/>
      <c r="CB63" s="153"/>
      <c r="CC63" s="153"/>
      <c r="CD63" s="153"/>
      <c r="CE63" s="153"/>
      <c r="CF63" s="153"/>
    </row>
    <row r="64" spans="1:84" ht="26">
      <c r="A64" s="848"/>
      <c r="B64" s="848" t="s">
        <v>896</v>
      </c>
      <c r="C64" s="848"/>
      <c r="D64" s="848"/>
      <c r="E64" s="848" t="s">
        <v>6877</v>
      </c>
      <c r="F64" s="866" t="s">
        <v>6865</v>
      </c>
      <c r="G64" s="866" t="s">
        <v>6866</v>
      </c>
      <c r="H64" s="866"/>
      <c r="I64" s="866"/>
      <c r="J64" s="866"/>
      <c r="K64" s="866" t="s">
        <v>6784</v>
      </c>
      <c r="L64" s="866"/>
      <c r="M64" s="866"/>
      <c r="N64" s="866"/>
      <c r="O64" s="866"/>
      <c r="P64" s="866"/>
      <c r="Q64" s="897">
        <v>0.935905182821966</v>
      </c>
      <c r="R64" s="848">
        <v>2060</v>
      </c>
      <c r="S64" s="850">
        <v>0</v>
      </c>
      <c r="T64" s="850">
        <v>0</v>
      </c>
      <c r="U64" s="850">
        <v>0</v>
      </c>
      <c r="V64" s="850">
        <v>0</v>
      </c>
      <c r="W64" s="850">
        <v>0</v>
      </c>
      <c r="X64" s="850">
        <v>0</v>
      </c>
      <c r="Y64" s="850">
        <v>0</v>
      </c>
      <c r="Z64" s="850">
        <v>0</v>
      </c>
      <c r="AA64" s="850">
        <v>0</v>
      </c>
      <c r="AB64" s="850">
        <v>1129960.6568483836</v>
      </c>
      <c r="AC64" s="898">
        <f t="shared" si="65"/>
        <v>1129960.6568483836</v>
      </c>
      <c r="AD64" s="848"/>
      <c r="AF64" s="58" t="str">
        <f>IFERROR(VLOOKUP(K64,FA_Codes!C:F,2,FALSE),"CHECK")</f>
        <v>TRA A25</v>
      </c>
      <c r="AG64" s="851">
        <f t="shared" si="72"/>
        <v>1129960.6568483836</v>
      </c>
      <c r="AH64" s="58" t="str">
        <f>IFERROR(VLOOKUP(AF64,FA_Codes!D:F,3,FALSE),"CHECK")</f>
        <v>Local</v>
      </c>
      <c r="AI64" s="852">
        <v>3.1466331025802393E-3</v>
      </c>
      <c r="AJ64" s="853">
        <f t="shared" si="66"/>
        <v>0.99685336689741977</v>
      </c>
      <c r="AK64" s="854">
        <f t="shared" si="73"/>
        <v>72424.621719068367</v>
      </c>
      <c r="AL64" s="854">
        <f t="shared" si="74"/>
        <v>0</v>
      </c>
      <c r="AM64" s="854">
        <f t="shared" si="75"/>
        <v>0</v>
      </c>
      <c r="AN64" s="854">
        <f t="shared" si="76"/>
        <v>0</v>
      </c>
      <c r="AO64" s="854">
        <f t="shared" si="77"/>
        <v>0</v>
      </c>
      <c r="AP64" s="854">
        <f t="shared" si="78"/>
        <v>0</v>
      </c>
      <c r="AQ64" s="854">
        <f t="shared" si="79"/>
        <v>0</v>
      </c>
      <c r="AR64" s="854">
        <f t="shared" si="80"/>
        <v>0</v>
      </c>
      <c r="AS64" s="854">
        <f t="shared" si="81"/>
        <v>0</v>
      </c>
      <c r="AT64" s="854">
        <f t="shared" si="82"/>
        <v>0</v>
      </c>
      <c r="AU64" s="854">
        <f t="shared" si="83"/>
        <v>3327.6778953093622</v>
      </c>
      <c r="AV64" s="854">
        <f t="shared" si="67"/>
        <v>3327.6778953093622</v>
      </c>
      <c r="AW64" s="854">
        <f t="shared" si="84"/>
        <v>0</v>
      </c>
      <c r="AX64" s="855">
        <f t="shared" si="85"/>
        <v>0</v>
      </c>
      <c r="AZ64" s="854">
        <f t="shared" si="86"/>
        <v>0</v>
      </c>
      <c r="BA64" s="854">
        <f t="shared" si="87"/>
        <v>0</v>
      </c>
      <c r="BB64" s="854">
        <f t="shared" si="88"/>
        <v>0</v>
      </c>
      <c r="BC64" s="854">
        <f t="shared" si="89"/>
        <v>0</v>
      </c>
      <c r="BD64" s="854">
        <f t="shared" si="90"/>
        <v>0</v>
      </c>
      <c r="BE64" s="854">
        <f t="shared" si="91"/>
        <v>0</v>
      </c>
      <c r="BF64" s="854">
        <f t="shared" si="92"/>
        <v>0</v>
      </c>
      <c r="BG64" s="854">
        <f t="shared" si="93"/>
        <v>0</v>
      </c>
      <c r="BH64" s="854">
        <f t="shared" si="94"/>
        <v>0</v>
      </c>
      <c r="BI64" s="854">
        <f t="shared" si="95"/>
        <v>1054208.3572340058</v>
      </c>
      <c r="BJ64" s="854">
        <f t="shared" si="68"/>
        <v>1054208.3572340058</v>
      </c>
      <c r="BK64" s="58" t="str">
        <f t="shared" si="69"/>
        <v>OK</v>
      </c>
      <c r="BL64" s="878" t="str">
        <f t="shared" si="96"/>
        <v>Western end of Brookefield Road Extension tie in with Quarry Rd TRA A25 0.935905182821966 2060 0.00314663310258024</v>
      </c>
      <c r="BM64" s="870">
        <f t="shared" si="97"/>
        <v>1</v>
      </c>
      <c r="BN64" s="869">
        <f t="shared" si="70"/>
        <v>1057536.0351293152</v>
      </c>
      <c r="BO64" s="870">
        <f>IFERROR(VLOOKUP(AF64,FA_Codes!D:H,5,FALSE),"CHECK")</f>
        <v>0</v>
      </c>
      <c r="BP64" s="870" t="str">
        <f t="shared" si="98"/>
        <v>TRA</v>
      </c>
      <c r="BQ64" s="869">
        <f t="shared" si="99"/>
        <v>1129960.6568483836</v>
      </c>
      <c r="BR64" s="870" t="str">
        <f t="shared" si="100"/>
        <v>14a TRA A25</v>
      </c>
      <c r="BS64" s="870" t="str">
        <f t="shared" si="71"/>
        <v>14a</v>
      </c>
      <c r="BT64" s="870" t="s">
        <v>6991</v>
      </c>
      <c r="BU64" s="870">
        <f t="shared" si="101"/>
        <v>2060</v>
      </c>
      <c r="BV64" s="153"/>
      <c r="BW64" s="153"/>
      <c r="BX64" s="153"/>
      <c r="BY64" s="153"/>
      <c r="BZ64" s="153"/>
      <c r="CA64" s="153"/>
      <c r="CB64" s="153"/>
      <c r="CC64" s="153"/>
      <c r="CD64" s="153"/>
      <c r="CE64" s="153"/>
      <c r="CF64" s="153"/>
    </row>
    <row r="65" spans="1:84" ht="26">
      <c r="A65" s="848"/>
      <c r="B65" s="848" t="s">
        <v>896</v>
      </c>
      <c r="C65" s="848"/>
      <c r="D65" s="848"/>
      <c r="E65" s="848" t="s">
        <v>6878</v>
      </c>
      <c r="F65" s="866" t="s">
        <v>6868</v>
      </c>
      <c r="G65" s="866" t="s">
        <v>6711</v>
      </c>
      <c r="H65" s="866"/>
      <c r="I65" s="866"/>
      <c r="J65" s="866"/>
      <c r="K65" s="866" t="s">
        <v>6784</v>
      </c>
      <c r="L65" s="866"/>
      <c r="M65" s="866"/>
      <c r="N65" s="866"/>
      <c r="O65" s="866"/>
      <c r="P65" s="866"/>
      <c r="Q65" s="897">
        <v>0.935905182821966</v>
      </c>
      <c r="R65" s="848">
        <v>2060</v>
      </c>
      <c r="S65" s="850">
        <v>0</v>
      </c>
      <c r="T65" s="850">
        <v>0</v>
      </c>
      <c r="U65" s="850">
        <v>0</v>
      </c>
      <c r="V65" s="850">
        <v>0</v>
      </c>
      <c r="W65" s="850">
        <v>0</v>
      </c>
      <c r="X65" s="850">
        <v>0</v>
      </c>
      <c r="Y65" s="850">
        <v>0</v>
      </c>
      <c r="Z65" s="850">
        <v>0</v>
      </c>
      <c r="AA65" s="850">
        <v>182434.42331754277</v>
      </c>
      <c r="AB65" s="850">
        <v>1812502.5806073616</v>
      </c>
      <c r="AC65" s="898">
        <f t="shared" si="65"/>
        <v>1994937.0039249044</v>
      </c>
      <c r="AD65" s="848"/>
      <c r="AF65" s="58" t="str">
        <f>IFERROR(VLOOKUP(K65,FA_Codes!C:F,2,FALSE),"CHECK")</f>
        <v>TRA A25</v>
      </c>
      <c r="AG65" s="851">
        <f t="shared" si="72"/>
        <v>1994937.0039249044</v>
      </c>
      <c r="AH65" s="58" t="str">
        <f>IFERROR(VLOOKUP(AF65,FA_Codes!D:F,3,FALSE),"CHECK")</f>
        <v>Local</v>
      </c>
      <c r="AI65" s="852">
        <v>3.1466331025802393E-3</v>
      </c>
      <c r="AJ65" s="853">
        <f t="shared" si="66"/>
        <v>0.99685336689741977</v>
      </c>
      <c r="AK65" s="854">
        <f t="shared" si="73"/>
        <v>127865.12254826164</v>
      </c>
      <c r="AL65" s="854">
        <f t="shared" si="74"/>
        <v>0</v>
      </c>
      <c r="AM65" s="854">
        <f t="shared" si="75"/>
        <v>0</v>
      </c>
      <c r="AN65" s="854">
        <f t="shared" si="76"/>
        <v>0</v>
      </c>
      <c r="AO65" s="854">
        <f t="shared" si="77"/>
        <v>0</v>
      </c>
      <c r="AP65" s="854">
        <f t="shared" si="78"/>
        <v>0</v>
      </c>
      <c r="AQ65" s="854">
        <f t="shared" si="79"/>
        <v>0</v>
      </c>
      <c r="AR65" s="854">
        <f t="shared" si="80"/>
        <v>0</v>
      </c>
      <c r="AS65" s="854">
        <f t="shared" si="81"/>
        <v>0</v>
      </c>
      <c r="AT65" s="854">
        <f t="shared" si="82"/>
        <v>537.26029675275265</v>
      </c>
      <c r="AU65" s="854">
        <f t="shared" si="83"/>
        <v>5337.7298900837568</v>
      </c>
      <c r="AV65" s="854">
        <f t="shared" si="67"/>
        <v>5874.9901868365096</v>
      </c>
      <c r="AW65" s="854">
        <f t="shared" si="84"/>
        <v>0</v>
      </c>
      <c r="AX65" s="855">
        <f t="shared" si="85"/>
        <v>0</v>
      </c>
      <c r="AZ65" s="854">
        <f t="shared" si="86"/>
        <v>0</v>
      </c>
      <c r="BA65" s="854">
        <f t="shared" si="87"/>
        <v>0</v>
      </c>
      <c r="BB65" s="854">
        <f t="shared" si="88"/>
        <v>0</v>
      </c>
      <c r="BC65" s="854">
        <f t="shared" si="89"/>
        <v>0</v>
      </c>
      <c r="BD65" s="854">
        <f t="shared" si="90"/>
        <v>0</v>
      </c>
      <c r="BE65" s="854">
        <f t="shared" si="91"/>
        <v>0</v>
      </c>
      <c r="BF65" s="854">
        <f t="shared" si="92"/>
        <v>0</v>
      </c>
      <c r="BG65" s="854">
        <f t="shared" si="93"/>
        <v>0</v>
      </c>
      <c r="BH65" s="854">
        <f t="shared" si="94"/>
        <v>170204.06201127204</v>
      </c>
      <c r="BI65" s="854">
        <f t="shared" si="95"/>
        <v>1690992.8291785342</v>
      </c>
      <c r="BJ65" s="854">
        <f t="shared" si="68"/>
        <v>1861196.8911898062</v>
      </c>
      <c r="BK65" s="58" t="str">
        <f t="shared" si="69"/>
        <v>OK</v>
      </c>
      <c r="BL65" s="878" t="str">
        <f t="shared" si="96"/>
        <v>GSR improvements - Waihoehoe Rd to Drury Interchange TRA A25 0.935905182821966 2060 0.00314663310258024</v>
      </c>
      <c r="BM65" s="870">
        <f t="shared" si="97"/>
        <v>2</v>
      </c>
      <c r="BN65" s="869">
        <f t="shared" si="70"/>
        <v>1867071.8813766427</v>
      </c>
      <c r="BO65" s="870">
        <f>IFERROR(VLOOKUP(AF65,FA_Codes!D:H,5,FALSE),"CHECK")</f>
        <v>0</v>
      </c>
      <c r="BP65" s="870" t="str">
        <f t="shared" si="98"/>
        <v>TRA</v>
      </c>
      <c r="BQ65" s="869">
        <f t="shared" si="99"/>
        <v>1994937.0039249044</v>
      </c>
      <c r="BR65" s="870" t="str">
        <f t="shared" si="100"/>
        <v>1b TRA A25</v>
      </c>
      <c r="BS65" s="870" t="str">
        <f t="shared" si="71"/>
        <v>1b</v>
      </c>
      <c r="BT65" s="870" t="s">
        <v>6992</v>
      </c>
      <c r="BU65" s="870">
        <f t="shared" si="101"/>
        <v>2060</v>
      </c>
      <c r="BV65" s="153"/>
      <c r="BW65" s="153"/>
      <c r="BX65" s="153"/>
      <c r="BY65" s="153"/>
      <c r="BZ65" s="153"/>
      <c r="CA65" s="153"/>
      <c r="CB65" s="153"/>
      <c r="CC65" s="153"/>
      <c r="CD65" s="153"/>
      <c r="CE65" s="153"/>
      <c r="CF65" s="153"/>
    </row>
    <row r="66" spans="1:84" ht="26">
      <c r="A66" s="848"/>
      <c r="B66" s="848" t="s">
        <v>896</v>
      </c>
      <c r="C66" s="848"/>
      <c r="D66" s="848"/>
      <c r="E66" s="848" t="s">
        <v>6840</v>
      </c>
      <c r="F66" s="866" t="s">
        <v>6715</v>
      </c>
      <c r="G66" s="866" t="s">
        <v>6717</v>
      </c>
      <c r="H66" s="866"/>
      <c r="I66" s="866"/>
      <c r="J66" s="866"/>
      <c r="K66" s="866" t="s">
        <v>6784</v>
      </c>
      <c r="L66" s="866"/>
      <c r="M66" s="866"/>
      <c r="N66" s="866"/>
      <c r="O66" s="866"/>
      <c r="P66" s="866"/>
      <c r="Q66" s="897">
        <v>0.935905182821966</v>
      </c>
      <c r="R66" s="848">
        <v>2060</v>
      </c>
      <c r="S66" s="850">
        <v>0</v>
      </c>
      <c r="T66" s="850">
        <v>0</v>
      </c>
      <c r="U66" s="850">
        <v>0</v>
      </c>
      <c r="V66" s="850">
        <v>0</v>
      </c>
      <c r="W66" s="850">
        <v>0</v>
      </c>
      <c r="X66" s="850">
        <v>0</v>
      </c>
      <c r="Y66" s="850">
        <v>0</v>
      </c>
      <c r="Z66" s="850">
        <v>64647.291265656109</v>
      </c>
      <c r="AA66" s="850">
        <v>80177.047067850508</v>
      </c>
      <c r="AB66" s="850">
        <v>810345.69894040213</v>
      </c>
      <c r="AC66" s="898">
        <f t="shared" si="65"/>
        <v>955170.03727390873</v>
      </c>
      <c r="AD66" s="848"/>
      <c r="AF66" s="58" t="str">
        <f>IFERROR(VLOOKUP(K66,FA_Codes!C:F,2,FALSE),"CHECK")</f>
        <v>TRA A25</v>
      </c>
      <c r="AG66" s="851">
        <f t="shared" si="72"/>
        <v>955170.03727390873</v>
      </c>
      <c r="AH66" s="58" t="str">
        <f>IFERROR(VLOOKUP(AF66,FA_Codes!D:F,3,FALSE),"CHECK")</f>
        <v>Local</v>
      </c>
      <c r="AI66" s="852">
        <v>3.1466331025802393E-3</v>
      </c>
      <c r="AJ66" s="853">
        <f t="shared" si="66"/>
        <v>0.99685336689741977</v>
      </c>
      <c r="AK66" s="854">
        <f t="shared" si="73"/>
        <v>61221.448913007102</v>
      </c>
      <c r="AL66" s="854">
        <f t="shared" si="74"/>
        <v>0</v>
      </c>
      <c r="AM66" s="854">
        <f t="shared" si="75"/>
        <v>0</v>
      </c>
      <c r="AN66" s="854">
        <f t="shared" si="76"/>
        <v>0</v>
      </c>
      <c r="AO66" s="854">
        <f t="shared" si="77"/>
        <v>0</v>
      </c>
      <c r="AP66" s="854">
        <f t="shared" si="78"/>
        <v>0</v>
      </c>
      <c r="AQ66" s="854">
        <f t="shared" si="79"/>
        <v>0</v>
      </c>
      <c r="AR66" s="854">
        <f t="shared" si="80"/>
        <v>0</v>
      </c>
      <c r="AS66" s="854">
        <f t="shared" si="81"/>
        <v>190.38305522633345</v>
      </c>
      <c r="AT66" s="854">
        <f t="shared" si="82"/>
        <v>236.11741313455633</v>
      </c>
      <c r="AU66" s="854">
        <f t="shared" si="83"/>
        <v>2386.4277517803994</v>
      </c>
      <c r="AV66" s="854">
        <f t="shared" si="67"/>
        <v>2812.9282201412893</v>
      </c>
      <c r="AW66" s="854">
        <f t="shared" si="84"/>
        <v>0</v>
      </c>
      <c r="AX66" s="855">
        <f t="shared" si="85"/>
        <v>0</v>
      </c>
      <c r="AZ66" s="854">
        <f t="shared" si="86"/>
        <v>0</v>
      </c>
      <c r="BA66" s="854">
        <f t="shared" si="87"/>
        <v>0</v>
      </c>
      <c r="BB66" s="854">
        <f t="shared" si="88"/>
        <v>0</v>
      </c>
      <c r="BC66" s="854">
        <f t="shared" si="89"/>
        <v>0</v>
      </c>
      <c r="BD66" s="854">
        <f t="shared" si="90"/>
        <v>0</v>
      </c>
      <c r="BE66" s="854">
        <f t="shared" si="91"/>
        <v>0</v>
      </c>
      <c r="BF66" s="854">
        <f t="shared" si="92"/>
        <v>0</v>
      </c>
      <c r="BG66" s="854">
        <f t="shared" si="93"/>
        <v>60313.351895702435</v>
      </c>
      <c r="BH66" s="854">
        <f t="shared" si="94"/>
        <v>74801.99648102744</v>
      </c>
      <c r="BI66" s="854">
        <f t="shared" si="95"/>
        <v>756020.31176403048</v>
      </c>
      <c r="BJ66" s="854">
        <f t="shared" si="68"/>
        <v>891135.66014076036</v>
      </c>
      <c r="BK66" s="58" t="str">
        <f t="shared" si="69"/>
        <v>OK</v>
      </c>
      <c r="BL66" s="878" t="str">
        <f t="shared" si="96"/>
        <v>Upgrade in Norrie Rd/GSR/Waihoehoe intersection TRA A25 0.935905182821966 2060 0.00314663310258024</v>
      </c>
      <c r="BM66" s="870">
        <f t="shared" si="97"/>
        <v>2</v>
      </c>
      <c r="BN66" s="869">
        <f t="shared" si="70"/>
        <v>893948.58836090169</v>
      </c>
      <c r="BO66" s="870">
        <f>IFERROR(VLOOKUP(AF66,FA_Codes!D:H,5,FALSE),"CHECK")</f>
        <v>0</v>
      </c>
      <c r="BP66" s="870" t="str">
        <f t="shared" si="98"/>
        <v>TRA</v>
      </c>
      <c r="BQ66" s="869">
        <f t="shared" si="99"/>
        <v>955170.03727390873</v>
      </c>
      <c r="BR66" s="870" t="str">
        <f t="shared" si="100"/>
        <v>9b TRA A25</v>
      </c>
      <c r="BS66" s="870" t="str">
        <f t="shared" si="71"/>
        <v>9b</v>
      </c>
      <c r="BT66" s="870" t="s">
        <v>6992</v>
      </c>
      <c r="BU66" s="870">
        <f t="shared" si="101"/>
        <v>2060</v>
      </c>
      <c r="BV66" s="153"/>
      <c r="BW66" s="153"/>
      <c r="BX66" s="153"/>
      <c r="BY66" s="153"/>
      <c r="BZ66" s="153"/>
      <c r="CA66" s="153"/>
      <c r="CB66" s="153"/>
      <c r="CC66" s="153"/>
      <c r="CD66" s="153"/>
      <c r="CE66" s="153"/>
      <c r="CF66" s="153"/>
    </row>
    <row r="67" spans="1:84" ht="39">
      <c r="A67" s="848"/>
      <c r="B67" s="848" t="s">
        <v>896</v>
      </c>
      <c r="C67" s="848"/>
      <c r="D67" s="848"/>
      <c r="E67" s="848" t="s">
        <v>6841</v>
      </c>
      <c r="F67" s="866" t="s">
        <v>6725</v>
      </c>
      <c r="G67" s="866" t="s">
        <v>6726</v>
      </c>
      <c r="H67" s="866"/>
      <c r="I67" s="866"/>
      <c r="J67" s="866"/>
      <c r="K67" s="866" t="s">
        <v>6784</v>
      </c>
      <c r="L67" s="866"/>
      <c r="M67" s="866"/>
      <c r="N67" s="866"/>
      <c r="O67" s="866"/>
      <c r="P67" s="866"/>
      <c r="Q67" s="897">
        <v>0.935905182821966</v>
      </c>
      <c r="R67" s="848">
        <v>2060</v>
      </c>
      <c r="S67" s="850">
        <v>0</v>
      </c>
      <c r="T67" s="850">
        <v>34790.879221800009</v>
      </c>
      <c r="U67" s="850">
        <v>0</v>
      </c>
      <c r="V67" s="850">
        <v>0</v>
      </c>
      <c r="W67" s="850">
        <v>0</v>
      </c>
      <c r="X67" s="850">
        <v>0</v>
      </c>
      <c r="Y67" s="850">
        <v>0</v>
      </c>
      <c r="Z67" s="850">
        <v>342450.73440611002</v>
      </c>
      <c r="AA67" s="850">
        <v>101327.05658433546</v>
      </c>
      <c r="AB67" s="850">
        <v>1014378.7807497561</v>
      </c>
      <c r="AC67" s="898">
        <f t="shared" si="65"/>
        <v>1492947.4509620017</v>
      </c>
      <c r="AD67" s="848"/>
      <c r="AF67" s="58" t="str">
        <f>IFERROR(VLOOKUP(K67,FA_Codes!C:F,2,FALSE),"CHECK")</f>
        <v>TRA A25</v>
      </c>
      <c r="AG67" s="851">
        <f t="shared" si="72"/>
        <v>1492947.4509620017</v>
      </c>
      <c r="AH67" s="58" t="str">
        <f>IFERROR(VLOOKUP(AF67,FA_Codes!D:F,3,FALSE),"CHECK")</f>
        <v>Local</v>
      </c>
      <c r="AI67" s="852">
        <v>3.1466331025802393E-3</v>
      </c>
      <c r="AJ67" s="853">
        <f t="shared" si="66"/>
        <v>0.99685336689741977</v>
      </c>
      <c r="AK67" s="854">
        <f t="shared" si="73"/>
        <v>95690.193925821382</v>
      </c>
      <c r="AL67" s="854">
        <f t="shared" si="74"/>
        <v>0</v>
      </c>
      <c r="AM67" s="854">
        <f t="shared" si="75"/>
        <v>102.45740773636147</v>
      </c>
      <c r="AN67" s="854">
        <f t="shared" si="76"/>
        <v>0</v>
      </c>
      <c r="AO67" s="854">
        <f t="shared" si="77"/>
        <v>0</v>
      </c>
      <c r="AP67" s="854">
        <f t="shared" si="78"/>
        <v>0</v>
      </c>
      <c r="AQ67" s="854">
        <f t="shared" si="79"/>
        <v>0</v>
      </c>
      <c r="AR67" s="854">
        <f t="shared" si="80"/>
        <v>0</v>
      </c>
      <c r="AS67" s="854">
        <f t="shared" si="81"/>
        <v>1008.5003687598078</v>
      </c>
      <c r="AT67" s="854">
        <f t="shared" si="82"/>
        <v>298.40313850652666</v>
      </c>
      <c r="AU67" s="854">
        <f t="shared" si="83"/>
        <v>2987.2950228078143</v>
      </c>
      <c r="AV67" s="854">
        <f t="shared" si="67"/>
        <v>4396.6559378105103</v>
      </c>
      <c r="AW67" s="854">
        <f t="shared" si="84"/>
        <v>0</v>
      </c>
      <c r="AX67" s="855">
        <f t="shared" si="85"/>
        <v>0</v>
      </c>
      <c r="AZ67" s="854">
        <f t="shared" si="86"/>
        <v>0</v>
      </c>
      <c r="BA67" s="854">
        <f t="shared" si="87"/>
        <v>32458.506770879314</v>
      </c>
      <c r="BB67" s="854">
        <f t="shared" si="88"/>
        <v>0</v>
      </c>
      <c r="BC67" s="854">
        <f t="shared" si="89"/>
        <v>0</v>
      </c>
      <c r="BD67" s="854">
        <f t="shared" si="90"/>
        <v>0</v>
      </c>
      <c r="BE67" s="854">
        <f t="shared" si="91"/>
        <v>0</v>
      </c>
      <c r="BF67" s="854">
        <f t="shared" si="92"/>
        <v>0</v>
      </c>
      <c r="BG67" s="854">
        <f t="shared" si="93"/>
        <v>319492.91682310711</v>
      </c>
      <c r="BH67" s="854">
        <f t="shared" si="94"/>
        <v>94534.114278867637</v>
      </c>
      <c r="BI67" s="854">
        <f t="shared" si="95"/>
        <v>946375.06322551565</v>
      </c>
      <c r="BJ67" s="854">
        <f t="shared" si="68"/>
        <v>1392860.6010983698</v>
      </c>
      <c r="BK67" s="58" t="str">
        <f t="shared" si="69"/>
        <v>OK</v>
      </c>
      <c r="BL67" s="878" t="str">
        <f t="shared" si="96"/>
        <v>Waihoehoe Rd West upgrades- between GSR &amp; Kath Henry Lane TRA A25 0.935905182821966 2060 0.00314663310258024</v>
      </c>
      <c r="BM67" s="870">
        <f t="shared" si="97"/>
        <v>2</v>
      </c>
      <c r="BN67" s="869">
        <f t="shared" si="70"/>
        <v>1397257.2570361802</v>
      </c>
      <c r="BO67" s="870">
        <f>IFERROR(VLOOKUP(AF67,FA_Codes!D:H,5,FALSE),"CHECK")</f>
        <v>0</v>
      </c>
      <c r="BP67" s="870" t="str">
        <f t="shared" si="98"/>
        <v>TRA</v>
      </c>
      <c r="BQ67" s="869">
        <f t="shared" si="99"/>
        <v>1492947.4509620017</v>
      </c>
      <c r="BR67" s="870" t="str">
        <f t="shared" si="100"/>
        <v>23b TRA A25</v>
      </c>
      <c r="BS67" s="870" t="str">
        <f t="shared" si="71"/>
        <v>23b</v>
      </c>
      <c r="BT67" s="870" t="s">
        <v>6992</v>
      </c>
      <c r="BU67" s="870">
        <f t="shared" si="101"/>
        <v>2060</v>
      </c>
      <c r="BV67" s="153"/>
      <c r="BW67" s="153"/>
      <c r="BX67" s="153"/>
      <c r="BY67" s="153"/>
      <c r="BZ67" s="153"/>
      <c r="CA67" s="153"/>
      <c r="CB67" s="153"/>
      <c r="CC67" s="153"/>
      <c r="CD67" s="153"/>
      <c r="CE67" s="153"/>
      <c r="CF67" s="153"/>
    </row>
    <row r="68" spans="1:84" ht="39">
      <c r="A68" s="848"/>
      <c r="B68" s="848" t="s">
        <v>896</v>
      </c>
      <c r="C68" s="848"/>
      <c r="D68" s="848"/>
      <c r="E68" s="848" t="s">
        <v>6842</v>
      </c>
      <c r="F68" s="866" t="s">
        <v>6727</v>
      </c>
      <c r="G68" s="866" t="s">
        <v>6726</v>
      </c>
      <c r="H68" s="866"/>
      <c r="I68" s="866"/>
      <c r="J68" s="866"/>
      <c r="K68" s="866" t="s">
        <v>6784</v>
      </c>
      <c r="L68" s="866"/>
      <c r="M68" s="866"/>
      <c r="N68" s="866"/>
      <c r="O68" s="866"/>
      <c r="P68" s="866"/>
      <c r="Q68" s="897">
        <v>0.935905182821966</v>
      </c>
      <c r="R68" s="848">
        <v>2060</v>
      </c>
      <c r="S68" s="850">
        <v>0</v>
      </c>
      <c r="T68" s="850">
        <v>0</v>
      </c>
      <c r="U68" s="850">
        <v>0</v>
      </c>
      <c r="V68" s="850">
        <v>0</v>
      </c>
      <c r="W68" s="850">
        <v>0</v>
      </c>
      <c r="X68" s="850">
        <v>1132.3689109007973</v>
      </c>
      <c r="Y68" s="850">
        <v>0</v>
      </c>
      <c r="Z68" s="850">
        <v>59343.359620305397</v>
      </c>
      <c r="AA68" s="850">
        <v>19253.267707730054</v>
      </c>
      <c r="AB68" s="850">
        <v>201142.97529423298</v>
      </c>
      <c r="AC68" s="898">
        <f t="shared" si="65"/>
        <v>280871.97153316921</v>
      </c>
      <c r="AD68" s="848"/>
      <c r="AF68" s="58" t="str">
        <f>IFERROR(VLOOKUP(K68,FA_Codes!C:F,2,FALSE),"CHECK")</f>
        <v>TRA A25</v>
      </c>
      <c r="AG68" s="851">
        <f t="shared" si="72"/>
        <v>280871.97153316921</v>
      </c>
      <c r="AH68" s="58" t="str">
        <f>IFERROR(VLOOKUP(AF68,FA_Codes!D:F,3,FALSE),"CHECK")</f>
        <v>Local</v>
      </c>
      <c r="AI68" s="852">
        <v>3.1466331025802393E-3</v>
      </c>
      <c r="AJ68" s="853">
        <f t="shared" si="66"/>
        <v>0.99685336689741977</v>
      </c>
      <c r="AK68" s="854">
        <f t="shared" si="73"/>
        <v>18002.437665852452</v>
      </c>
      <c r="AL68" s="854">
        <f t="shared" si="74"/>
        <v>0</v>
      </c>
      <c r="AM68" s="854">
        <f t="shared" si="75"/>
        <v>0</v>
      </c>
      <c r="AN68" s="854">
        <f t="shared" si="76"/>
        <v>0</v>
      </c>
      <c r="AO68" s="854">
        <f t="shared" si="77"/>
        <v>0</v>
      </c>
      <c r="AP68" s="854">
        <f t="shared" si="78"/>
        <v>0</v>
      </c>
      <c r="AQ68" s="854">
        <f t="shared" si="79"/>
        <v>3.3347700836328551</v>
      </c>
      <c r="AR68" s="854">
        <f t="shared" si="80"/>
        <v>0</v>
      </c>
      <c r="AS68" s="854">
        <f t="shared" si="81"/>
        <v>174.7632405119937</v>
      </c>
      <c r="AT68" s="854">
        <f t="shared" si="82"/>
        <v>56.699915147650579</v>
      </c>
      <c r="AU68" s="854">
        <f t="shared" si="83"/>
        <v>592.35605118345904</v>
      </c>
      <c r="AV68" s="854">
        <f t="shared" si="67"/>
        <v>827.15397692673616</v>
      </c>
      <c r="AW68" s="854">
        <f t="shared" si="84"/>
        <v>0</v>
      </c>
      <c r="AX68" s="855">
        <f t="shared" si="85"/>
        <v>0</v>
      </c>
      <c r="AZ68" s="854">
        <f t="shared" si="86"/>
        <v>0</v>
      </c>
      <c r="BA68" s="854">
        <f t="shared" si="87"/>
        <v>0</v>
      </c>
      <c r="BB68" s="854">
        <f t="shared" si="88"/>
        <v>0</v>
      </c>
      <c r="BC68" s="854">
        <f t="shared" si="89"/>
        <v>0</v>
      </c>
      <c r="BD68" s="854">
        <f t="shared" si="90"/>
        <v>0</v>
      </c>
      <c r="BE68" s="854">
        <f t="shared" si="91"/>
        <v>1056.4551624948886</v>
      </c>
      <c r="BF68" s="854">
        <f t="shared" si="92"/>
        <v>0</v>
      </c>
      <c r="BG68" s="854">
        <f t="shared" si="93"/>
        <v>55364.994594199605</v>
      </c>
      <c r="BH68" s="854">
        <f t="shared" si="94"/>
        <v>17962.5331187757</v>
      </c>
      <c r="BI68" s="854">
        <f t="shared" si="95"/>
        <v>187658.39701491984</v>
      </c>
      <c r="BJ68" s="854">
        <f t="shared" si="68"/>
        <v>262042.37989039003</v>
      </c>
      <c r="BK68" s="58" t="str">
        <f t="shared" si="69"/>
        <v>OK</v>
      </c>
      <c r="BL68" s="878" t="str">
        <f t="shared" si="96"/>
        <v>Waihoehoe Rd West upgrades- between Kath Henry Lane and Fitzgerald Rd TRA A25 0.935905182821966 2060 0.00314663310258024</v>
      </c>
      <c r="BM68" s="870">
        <f t="shared" si="97"/>
        <v>2</v>
      </c>
      <c r="BN68" s="869">
        <f t="shared" si="70"/>
        <v>262869.53386731679</v>
      </c>
      <c r="BO68" s="870">
        <f>IFERROR(VLOOKUP(AF68,FA_Codes!D:H,5,FALSE),"CHECK")</f>
        <v>0</v>
      </c>
      <c r="BP68" s="870" t="str">
        <f t="shared" si="98"/>
        <v>TRA</v>
      </c>
      <c r="BQ68" s="869">
        <f t="shared" si="99"/>
        <v>280871.97153316921</v>
      </c>
      <c r="BR68" s="870" t="str">
        <f t="shared" si="100"/>
        <v>23d TRA A25</v>
      </c>
      <c r="BS68" s="870" t="str">
        <f t="shared" si="71"/>
        <v>23d</v>
      </c>
      <c r="BT68" s="870" t="s">
        <v>6992</v>
      </c>
      <c r="BU68" s="870">
        <f t="shared" si="101"/>
        <v>2060</v>
      </c>
      <c r="BV68" s="153"/>
      <c r="BW68" s="153"/>
      <c r="BX68" s="153"/>
      <c r="BY68" s="153"/>
      <c r="BZ68" s="153"/>
      <c r="CA68" s="153"/>
      <c r="CB68" s="153"/>
      <c r="CC68" s="153"/>
      <c r="CD68" s="153"/>
      <c r="CE68" s="153"/>
      <c r="CF68" s="153"/>
    </row>
    <row r="69" spans="1:84" ht="26">
      <c r="A69" s="848"/>
      <c r="B69" s="848" t="s">
        <v>896</v>
      </c>
      <c r="C69" s="848"/>
      <c r="D69" s="848"/>
      <c r="E69" s="848" t="s">
        <v>6843</v>
      </c>
      <c r="F69" s="866" t="s">
        <v>6733</v>
      </c>
      <c r="G69" s="866" t="s">
        <v>6734</v>
      </c>
      <c r="H69" s="866"/>
      <c r="I69" s="866"/>
      <c r="J69" s="866"/>
      <c r="K69" s="866" t="s">
        <v>6784</v>
      </c>
      <c r="L69" s="866"/>
      <c r="M69" s="866"/>
      <c r="N69" s="866"/>
      <c r="O69" s="866"/>
      <c r="P69" s="866"/>
      <c r="Q69" s="897">
        <v>0.935905182821966</v>
      </c>
      <c r="R69" s="848">
        <v>2060</v>
      </c>
      <c r="S69" s="850">
        <v>0</v>
      </c>
      <c r="T69" s="850">
        <v>0</v>
      </c>
      <c r="U69" s="850">
        <v>0</v>
      </c>
      <c r="V69" s="850">
        <v>0</v>
      </c>
      <c r="W69" s="850">
        <v>0</v>
      </c>
      <c r="X69" s="850">
        <v>0</v>
      </c>
      <c r="Y69" s="850">
        <v>0</v>
      </c>
      <c r="Z69" s="850">
        <v>0</v>
      </c>
      <c r="AA69" s="850">
        <v>0</v>
      </c>
      <c r="AB69" s="850">
        <v>676561.22081865778</v>
      </c>
      <c r="AC69" s="898">
        <f t="shared" si="65"/>
        <v>676561.22081865778</v>
      </c>
      <c r="AD69" s="848"/>
      <c r="AF69" s="58" t="str">
        <f>IFERROR(VLOOKUP(K69,FA_Codes!C:F,2,FALSE),"CHECK")</f>
        <v>TRA A25</v>
      </c>
      <c r="AG69" s="851">
        <f t="shared" si="72"/>
        <v>676561.22081865778</v>
      </c>
      <c r="AH69" s="58" t="str">
        <f>IFERROR(VLOOKUP(AF69,FA_Codes!D:F,3,FALSE),"CHECK")</f>
        <v>Local</v>
      </c>
      <c r="AI69" s="852">
        <v>3.1466331025802393E-3</v>
      </c>
      <c r="AJ69" s="853">
        <f t="shared" si="66"/>
        <v>0.99685336689741977</v>
      </c>
      <c r="AK69" s="854">
        <f t="shared" si="73"/>
        <v>43364.067758119359</v>
      </c>
      <c r="AL69" s="854">
        <f t="shared" si="74"/>
        <v>0</v>
      </c>
      <c r="AM69" s="854">
        <f t="shared" si="75"/>
        <v>0</v>
      </c>
      <c r="AN69" s="854">
        <f t="shared" si="76"/>
        <v>0</v>
      </c>
      <c r="AO69" s="854">
        <f t="shared" si="77"/>
        <v>0</v>
      </c>
      <c r="AP69" s="854">
        <f t="shared" si="78"/>
        <v>0</v>
      </c>
      <c r="AQ69" s="854">
        <f t="shared" si="79"/>
        <v>0</v>
      </c>
      <c r="AR69" s="854">
        <f t="shared" si="80"/>
        <v>0</v>
      </c>
      <c r="AS69" s="854">
        <f t="shared" si="81"/>
        <v>0</v>
      </c>
      <c r="AT69" s="854">
        <f t="shared" si="82"/>
        <v>0</v>
      </c>
      <c r="AU69" s="854">
        <f t="shared" si="83"/>
        <v>1992.4391222798567</v>
      </c>
      <c r="AV69" s="854">
        <f t="shared" si="67"/>
        <v>1992.4391222798567</v>
      </c>
      <c r="AW69" s="854">
        <f t="shared" si="84"/>
        <v>0</v>
      </c>
      <c r="AX69" s="855">
        <f t="shared" si="85"/>
        <v>0</v>
      </c>
      <c r="AZ69" s="854">
        <f t="shared" si="86"/>
        <v>0</v>
      </c>
      <c r="BA69" s="854">
        <f t="shared" si="87"/>
        <v>0</v>
      </c>
      <c r="BB69" s="854">
        <f t="shared" si="88"/>
        <v>0</v>
      </c>
      <c r="BC69" s="854">
        <f t="shared" si="89"/>
        <v>0</v>
      </c>
      <c r="BD69" s="854">
        <f t="shared" si="90"/>
        <v>0</v>
      </c>
      <c r="BE69" s="854">
        <f t="shared" si="91"/>
        <v>0</v>
      </c>
      <c r="BF69" s="854">
        <f t="shared" si="92"/>
        <v>0</v>
      </c>
      <c r="BG69" s="854">
        <f t="shared" si="93"/>
        <v>0</v>
      </c>
      <c r="BH69" s="854">
        <f t="shared" si="94"/>
        <v>0</v>
      </c>
      <c r="BI69" s="854">
        <f t="shared" si="95"/>
        <v>631204.71393825859</v>
      </c>
      <c r="BJ69" s="854">
        <f t="shared" si="68"/>
        <v>631204.71393825859</v>
      </c>
      <c r="BK69" s="58" t="str">
        <f t="shared" si="69"/>
        <v>OK</v>
      </c>
      <c r="BL69" s="878" t="str">
        <f t="shared" si="96"/>
        <v>Bremner-Norrie Road east of SH1 up to GSR (overlap with project 12) TRA A25 0.935905182821966 2060 0.00314663310258024</v>
      </c>
      <c r="BM69" s="870">
        <f t="shared" si="97"/>
        <v>2</v>
      </c>
      <c r="BN69" s="869">
        <f t="shared" si="70"/>
        <v>633197.15306053846</v>
      </c>
      <c r="BO69" s="870">
        <f>IFERROR(VLOOKUP(AF69,FA_Codes!D:H,5,FALSE),"CHECK")</f>
        <v>0</v>
      </c>
      <c r="BP69" s="870" t="str">
        <f t="shared" si="98"/>
        <v>TRA</v>
      </c>
      <c r="BQ69" s="869">
        <f t="shared" si="99"/>
        <v>676561.22081865778</v>
      </c>
      <c r="BR69" s="870" t="str">
        <f t="shared" si="100"/>
        <v>36a TRA A25</v>
      </c>
      <c r="BS69" s="870" t="str">
        <f t="shared" si="71"/>
        <v>36a</v>
      </c>
      <c r="BT69" s="870" t="s">
        <v>6992</v>
      </c>
      <c r="BU69" s="870">
        <f t="shared" si="101"/>
        <v>2060</v>
      </c>
      <c r="BV69" s="153"/>
      <c r="BW69" s="153"/>
      <c r="BX69" s="153"/>
      <c r="BY69" s="153"/>
      <c r="BZ69" s="153"/>
      <c r="CA69" s="153"/>
      <c r="CB69" s="153"/>
      <c r="CC69" s="153"/>
      <c r="CD69" s="153"/>
      <c r="CE69" s="153"/>
      <c r="CF69" s="153"/>
    </row>
    <row r="70" spans="1:84" ht="26">
      <c r="A70" s="848"/>
      <c r="B70" s="848" t="s">
        <v>896</v>
      </c>
      <c r="C70" s="848"/>
      <c r="D70" s="848"/>
      <c r="E70" s="848" t="s">
        <v>6844</v>
      </c>
      <c r="F70" s="866" t="s">
        <v>6735</v>
      </c>
      <c r="G70" s="866" t="s">
        <v>6736</v>
      </c>
      <c r="H70" s="866"/>
      <c r="I70" s="866"/>
      <c r="J70" s="866"/>
      <c r="K70" s="866" t="s">
        <v>6784</v>
      </c>
      <c r="L70" s="866"/>
      <c r="M70" s="866"/>
      <c r="N70" s="866"/>
      <c r="O70" s="866"/>
      <c r="P70" s="866"/>
      <c r="Q70" s="897">
        <v>0.935905182821966</v>
      </c>
      <c r="R70" s="848">
        <v>2060</v>
      </c>
      <c r="S70" s="850">
        <v>0</v>
      </c>
      <c r="T70" s="850">
        <v>0</v>
      </c>
      <c r="U70" s="850">
        <v>0</v>
      </c>
      <c r="V70" s="850">
        <v>147632.18371124024</v>
      </c>
      <c r="W70" s="850">
        <v>99310.730561792545</v>
      </c>
      <c r="X70" s="850">
        <v>997087.15674467536</v>
      </c>
      <c r="Y70" s="850">
        <v>0</v>
      </c>
      <c r="Z70" s="850">
        <v>0</v>
      </c>
      <c r="AA70" s="850">
        <v>0</v>
      </c>
      <c r="AB70" s="850">
        <v>0</v>
      </c>
      <c r="AC70" s="898">
        <f t="shared" si="65"/>
        <v>1244030.0710177082</v>
      </c>
      <c r="AD70" s="848"/>
      <c r="AF70" s="58" t="str">
        <f>IFERROR(VLOOKUP(K70,FA_Codes!C:F,2,FALSE),"CHECK")</f>
        <v>TRA A25</v>
      </c>
      <c r="AG70" s="851">
        <f t="shared" si="72"/>
        <v>1244030.0710177082</v>
      </c>
      <c r="AH70" s="58" t="str">
        <f>IFERROR(VLOOKUP(AF70,FA_Codes!D:F,3,FALSE),"CHECK")</f>
        <v>Local</v>
      </c>
      <c r="AI70" s="852">
        <v>3.1466331025802393E-3</v>
      </c>
      <c r="AJ70" s="853">
        <f t="shared" si="66"/>
        <v>0.99685336689741977</v>
      </c>
      <c r="AK70" s="854">
        <f t="shared" si="73"/>
        <v>79735.879965856657</v>
      </c>
      <c r="AL70" s="854">
        <f t="shared" si="74"/>
        <v>0</v>
      </c>
      <c r="AM70" s="854">
        <f t="shared" si="75"/>
        <v>0</v>
      </c>
      <c r="AN70" s="854">
        <f t="shared" si="76"/>
        <v>0</v>
      </c>
      <c r="AO70" s="854">
        <f t="shared" si="77"/>
        <v>434.76943324944733</v>
      </c>
      <c r="AP70" s="854">
        <f t="shared" si="78"/>
        <v>292.46515872440989</v>
      </c>
      <c r="AQ70" s="854">
        <f t="shared" si="79"/>
        <v>2936.3720507317798</v>
      </c>
      <c r="AR70" s="854">
        <f t="shared" si="80"/>
        <v>0</v>
      </c>
      <c r="AS70" s="854">
        <f t="shared" si="81"/>
        <v>0</v>
      </c>
      <c r="AT70" s="854">
        <f t="shared" si="82"/>
        <v>0</v>
      </c>
      <c r="AU70" s="854">
        <f t="shared" si="83"/>
        <v>0</v>
      </c>
      <c r="AV70" s="854">
        <f t="shared" si="67"/>
        <v>3663.6066427056371</v>
      </c>
      <c r="AW70" s="854">
        <f t="shared" si="84"/>
        <v>0</v>
      </c>
      <c r="AX70" s="855">
        <f t="shared" si="85"/>
        <v>0</v>
      </c>
      <c r="AZ70" s="854">
        <f t="shared" si="86"/>
        <v>0</v>
      </c>
      <c r="BA70" s="854">
        <f t="shared" si="87"/>
        <v>0</v>
      </c>
      <c r="BB70" s="854">
        <f t="shared" si="88"/>
        <v>0</v>
      </c>
      <c r="BC70" s="854">
        <f t="shared" si="89"/>
        <v>137734.95645342491</v>
      </c>
      <c r="BD70" s="854">
        <f t="shared" si="90"/>
        <v>92652.962283893037</v>
      </c>
      <c r="BE70" s="854">
        <f t="shared" si="91"/>
        <v>930242.66567182785</v>
      </c>
      <c r="BF70" s="854">
        <f t="shared" si="92"/>
        <v>0</v>
      </c>
      <c r="BG70" s="854">
        <f t="shared" si="93"/>
        <v>0</v>
      </c>
      <c r="BH70" s="854">
        <f t="shared" si="94"/>
        <v>0</v>
      </c>
      <c r="BI70" s="854">
        <f t="shared" si="95"/>
        <v>0</v>
      </c>
      <c r="BJ70" s="854">
        <f t="shared" si="68"/>
        <v>1160630.5844091459</v>
      </c>
      <c r="BK70" s="58" t="str">
        <f t="shared" si="69"/>
        <v>OK</v>
      </c>
      <c r="BL70" s="878" t="str">
        <f t="shared" si="96"/>
        <v>New intersection on Jesmond/Bremner Rd TRA A25 0.935905182821966 2060 0.00314663310258024</v>
      </c>
      <c r="BM70" s="870">
        <f t="shared" si="97"/>
        <v>2</v>
      </c>
      <c r="BN70" s="869">
        <f t="shared" si="70"/>
        <v>1164294.1910518515</v>
      </c>
      <c r="BO70" s="870">
        <f>IFERROR(VLOOKUP(AF70,FA_Codes!D:H,5,FALSE),"CHECK")</f>
        <v>0</v>
      </c>
      <c r="BP70" s="870" t="str">
        <f t="shared" si="98"/>
        <v>TRA</v>
      </c>
      <c r="BQ70" s="869">
        <f t="shared" si="99"/>
        <v>1244030.0710177082</v>
      </c>
      <c r="BR70" s="870" t="str">
        <f t="shared" si="100"/>
        <v>40a TRA A25</v>
      </c>
      <c r="BS70" s="870" t="str">
        <f t="shared" si="71"/>
        <v>40a</v>
      </c>
      <c r="BT70" s="870" t="s">
        <v>6992</v>
      </c>
      <c r="BU70" s="870">
        <f t="shared" si="101"/>
        <v>2060</v>
      </c>
      <c r="BV70" s="153"/>
      <c r="BW70" s="153"/>
      <c r="BX70" s="153"/>
      <c r="BY70" s="153"/>
      <c r="BZ70" s="153"/>
      <c r="CA70" s="153"/>
      <c r="CB70" s="153"/>
      <c r="CC70" s="153"/>
      <c r="CD70" s="153"/>
      <c r="CE70" s="153"/>
      <c r="CF70" s="153"/>
    </row>
    <row r="71" spans="1:84" ht="26">
      <c r="A71" s="848"/>
      <c r="B71" s="848" t="s">
        <v>896</v>
      </c>
      <c r="C71" s="848"/>
      <c r="D71" s="848"/>
      <c r="E71" s="848" t="s">
        <v>6879</v>
      </c>
      <c r="F71" s="866" t="s">
        <v>6873</v>
      </c>
      <c r="G71" s="866" t="s">
        <v>6874</v>
      </c>
      <c r="H71" s="866"/>
      <c r="I71" s="866"/>
      <c r="J71" s="866"/>
      <c r="K71" s="866" t="s">
        <v>6784</v>
      </c>
      <c r="L71" s="866"/>
      <c r="M71" s="866"/>
      <c r="N71" s="866"/>
      <c r="O71" s="866"/>
      <c r="P71" s="866"/>
      <c r="Q71" s="897">
        <v>0.935905182821966</v>
      </c>
      <c r="R71" s="848">
        <v>2060</v>
      </c>
      <c r="S71" s="850">
        <v>0</v>
      </c>
      <c r="T71" s="850">
        <v>0</v>
      </c>
      <c r="U71" s="850">
        <v>0</v>
      </c>
      <c r="V71" s="850">
        <v>0</v>
      </c>
      <c r="W71" s="850">
        <v>0</v>
      </c>
      <c r="X71" s="850">
        <v>0</v>
      </c>
      <c r="Y71" s="850">
        <v>0</v>
      </c>
      <c r="Z71" s="850">
        <v>0</v>
      </c>
      <c r="AA71" s="850">
        <v>155388.58880851345</v>
      </c>
      <c r="AB71" s="850">
        <v>1543799.7560479273</v>
      </c>
      <c r="AC71" s="898">
        <f t="shared" si="65"/>
        <v>1699188.3448564408</v>
      </c>
      <c r="AD71" s="848"/>
      <c r="AF71" s="58" t="str">
        <f>IFERROR(VLOOKUP(K71,FA_Codes!C:F,2,FALSE),"CHECK")</f>
        <v>TRA A25</v>
      </c>
      <c r="AG71" s="851">
        <f t="shared" si="72"/>
        <v>1699188.3448564408</v>
      </c>
      <c r="AH71" s="58" t="str">
        <f>IFERROR(VLOOKUP(AF71,FA_Codes!D:F,3,FALSE),"CHECK")</f>
        <v>Local</v>
      </c>
      <c r="AI71" s="852">
        <v>3.1466331025802393E-3</v>
      </c>
      <c r="AJ71" s="853">
        <f t="shared" si="66"/>
        <v>0.99685336689741977</v>
      </c>
      <c r="AK71" s="854">
        <f t="shared" si="73"/>
        <v>108909.16631461977</v>
      </c>
      <c r="AL71" s="854">
        <f t="shared" si="74"/>
        <v>0</v>
      </c>
      <c r="AM71" s="854">
        <f t="shared" si="75"/>
        <v>0</v>
      </c>
      <c r="AN71" s="854">
        <f t="shared" si="76"/>
        <v>0</v>
      </c>
      <c r="AO71" s="854">
        <f t="shared" si="77"/>
        <v>0</v>
      </c>
      <c r="AP71" s="854">
        <f t="shared" si="78"/>
        <v>0</v>
      </c>
      <c r="AQ71" s="854">
        <f t="shared" si="79"/>
        <v>0</v>
      </c>
      <c r="AR71" s="854">
        <f t="shared" si="80"/>
        <v>0</v>
      </c>
      <c r="AS71" s="854">
        <f t="shared" si="81"/>
        <v>0</v>
      </c>
      <c r="AT71" s="854">
        <f t="shared" si="82"/>
        <v>457.61166021799585</v>
      </c>
      <c r="AU71" s="854">
        <f t="shared" si="83"/>
        <v>4546.4134453258084</v>
      </c>
      <c r="AV71" s="854">
        <f t="shared" si="67"/>
        <v>5004.0251055438039</v>
      </c>
      <c r="AW71" s="854">
        <f t="shared" si="84"/>
        <v>0</v>
      </c>
      <c r="AX71" s="855">
        <f t="shared" si="85"/>
        <v>0</v>
      </c>
      <c r="AZ71" s="854">
        <f t="shared" si="86"/>
        <v>0</v>
      </c>
      <c r="BA71" s="854">
        <f t="shared" si="87"/>
        <v>0</v>
      </c>
      <c r="BB71" s="854">
        <f t="shared" si="88"/>
        <v>0</v>
      </c>
      <c r="BC71" s="854">
        <f t="shared" si="89"/>
        <v>0</v>
      </c>
      <c r="BD71" s="854">
        <f t="shared" si="90"/>
        <v>0</v>
      </c>
      <c r="BE71" s="854">
        <f t="shared" si="91"/>
        <v>0</v>
      </c>
      <c r="BF71" s="854">
        <f t="shared" si="92"/>
        <v>0</v>
      </c>
      <c r="BG71" s="854">
        <f t="shared" si="93"/>
        <v>0</v>
      </c>
      <c r="BH71" s="854">
        <f t="shared" si="94"/>
        <v>144971.37395706109</v>
      </c>
      <c r="BI71" s="854">
        <f t="shared" si="95"/>
        <v>1440303.7794792161</v>
      </c>
      <c r="BJ71" s="854">
        <f t="shared" si="68"/>
        <v>1585275.1534362771</v>
      </c>
      <c r="BK71" s="58" t="str">
        <f t="shared" si="69"/>
        <v>OK</v>
      </c>
      <c r="BL71" s="878" t="str">
        <f t="shared" si="96"/>
        <v>Upgrade intersection on Jesmond/Bremner Rd TRA A25 0.935905182821966 2060 0.00314663310258024</v>
      </c>
      <c r="BM71" s="870">
        <f t="shared" si="97"/>
        <v>2</v>
      </c>
      <c r="BN71" s="869">
        <f t="shared" si="70"/>
        <v>1590279.178541821</v>
      </c>
      <c r="BO71" s="870">
        <f>IFERROR(VLOOKUP(AF71,FA_Codes!D:H,5,FALSE),"CHECK")</f>
        <v>0</v>
      </c>
      <c r="BP71" s="870" t="str">
        <f t="shared" si="98"/>
        <v>TRA</v>
      </c>
      <c r="BQ71" s="869">
        <f t="shared" si="99"/>
        <v>1699188.3448564408</v>
      </c>
      <c r="BR71" s="870" t="str">
        <f t="shared" si="100"/>
        <v>40b TRA A25</v>
      </c>
      <c r="BS71" s="870" t="str">
        <f t="shared" si="71"/>
        <v>40b</v>
      </c>
      <c r="BT71" s="870" t="s">
        <v>6992</v>
      </c>
      <c r="BU71" s="870">
        <f t="shared" si="101"/>
        <v>2060</v>
      </c>
      <c r="BV71" s="153"/>
      <c r="BW71" s="153"/>
      <c r="BX71" s="153"/>
      <c r="BY71" s="153"/>
      <c r="BZ71" s="153"/>
      <c r="CA71" s="153"/>
      <c r="CB71" s="153"/>
      <c r="CC71" s="153"/>
      <c r="CD71" s="153"/>
      <c r="CE71" s="153"/>
      <c r="CF71" s="153"/>
    </row>
    <row r="72" spans="1:84" ht="26">
      <c r="A72" s="848"/>
      <c r="B72" s="848" t="s">
        <v>896</v>
      </c>
      <c r="C72" s="848"/>
      <c r="D72" s="848"/>
      <c r="E72" s="848" t="s">
        <v>6845</v>
      </c>
      <c r="F72" s="866" t="s">
        <v>6737</v>
      </c>
      <c r="G72" s="866" t="s">
        <v>6738</v>
      </c>
      <c r="H72" s="866"/>
      <c r="I72" s="866"/>
      <c r="J72" s="866"/>
      <c r="K72" s="866" t="s">
        <v>6784</v>
      </c>
      <c r="L72" s="866"/>
      <c r="M72" s="866"/>
      <c r="N72" s="866"/>
      <c r="O72" s="866"/>
      <c r="P72" s="866"/>
      <c r="Q72" s="897">
        <v>0.935905182821966</v>
      </c>
      <c r="R72" s="848">
        <v>2060</v>
      </c>
      <c r="S72" s="850">
        <v>0</v>
      </c>
      <c r="T72" s="850">
        <v>0</v>
      </c>
      <c r="U72" s="850">
        <v>0</v>
      </c>
      <c r="V72" s="850">
        <v>0</v>
      </c>
      <c r="W72" s="850">
        <v>40601.964249426637</v>
      </c>
      <c r="X72" s="850">
        <v>403384.20590571268</v>
      </c>
      <c r="Y72" s="850">
        <v>0</v>
      </c>
      <c r="Z72" s="850">
        <v>0</v>
      </c>
      <c r="AA72" s="850">
        <v>0</v>
      </c>
      <c r="AB72" s="850">
        <v>0</v>
      </c>
      <c r="AC72" s="898">
        <f t="shared" si="65"/>
        <v>443986.17015513929</v>
      </c>
      <c r="AD72" s="848"/>
      <c r="AF72" s="58" t="str">
        <f>IFERROR(VLOOKUP(K72,FA_Codes!C:F,2,FALSE),"CHECK")</f>
        <v>TRA A25</v>
      </c>
      <c r="AG72" s="851">
        <f t="shared" ref="AG72:AG103" si="102">AC72-AD72</f>
        <v>443986.17015513929</v>
      </c>
      <c r="AH72" s="58" t="str">
        <f>IFERROR(VLOOKUP(AF72,FA_Codes!D:F,3,FALSE),"CHECK")</f>
        <v>Local</v>
      </c>
      <c r="AI72" s="852">
        <v>3.1466331025802393E-3</v>
      </c>
      <c r="AJ72" s="853">
        <f t="shared" si="66"/>
        <v>0.99685336689741977</v>
      </c>
      <c r="AK72" s="854">
        <f t="shared" ref="AK72:AK103" si="103">AG72*(1-Q72)</f>
        <v>28457.21240566915</v>
      </c>
      <c r="AL72" s="854">
        <f t="shared" ref="AL72:AL103" si="104">S72*$Q72*$AI72*(1-$AX72)</f>
        <v>0</v>
      </c>
      <c r="AM72" s="854">
        <f t="shared" ref="AM72:AM103" si="105">T72*$Q72*$AI72*(1-$AX72)</f>
        <v>0</v>
      </c>
      <c r="AN72" s="854">
        <f t="shared" ref="AN72:AN103" si="106">U72*$Q72*$AI72*(1-$AX72)</f>
        <v>0</v>
      </c>
      <c r="AO72" s="854">
        <f t="shared" ref="AO72:AO103" si="107">V72*$Q72*$AI72*(1-$AX72)</f>
        <v>0</v>
      </c>
      <c r="AP72" s="854">
        <f t="shared" ref="AP72:AP103" si="108">W72*$Q72*$AI72*(1-$AX72)</f>
        <v>119.57076392004583</v>
      </c>
      <c r="AQ72" s="854">
        <f t="shared" ref="AQ72:AQ103" si="109">X72*$Q72*$AI72*(1-$AX72)</f>
        <v>1187.9464096151028</v>
      </c>
      <c r="AR72" s="854">
        <f t="shared" ref="AR72:AR103" si="110">Y72*$Q72*$AI72*(1-$AX72)</f>
        <v>0</v>
      </c>
      <c r="AS72" s="854">
        <f t="shared" ref="AS72:AS103" si="111">Z72*$Q72*$AI72*(1-$AX72)</f>
        <v>0</v>
      </c>
      <c r="AT72" s="854">
        <f t="shared" ref="AT72:AT103" si="112">AA72*$Q72*$AI72*(1-$AX72)</f>
        <v>0</v>
      </c>
      <c r="AU72" s="854">
        <f t="shared" ref="AU72:AU103" si="113">AB72*$Q72*$AI72*(1-$AX72)</f>
        <v>0</v>
      </c>
      <c r="AV72" s="854">
        <f t="shared" si="67"/>
        <v>1307.5171735351487</v>
      </c>
      <c r="AW72" s="854">
        <f t="shared" ref="AW72:AW103" si="114">AD72</f>
        <v>0</v>
      </c>
      <c r="AX72" s="855">
        <f t="shared" ref="AX72:AX103" si="115">IFERROR(AW72/AC72,0)</f>
        <v>0</v>
      </c>
      <c r="AZ72" s="854">
        <f t="shared" ref="AZ72:AZ103" si="116">S72*$Q72*$AJ72*(1-$AX72)</f>
        <v>0</v>
      </c>
      <c r="BA72" s="854">
        <f t="shared" ref="BA72:BA103" si="117">T72*$Q72*$AJ72*(1-$AX72)</f>
        <v>0</v>
      </c>
      <c r="BB72" s="854">
        <f t="shared" ref="BB72:BB103" si="118">U72*$Q72*$AJ72*(1-$AX72)</f>
        <v>0</v>
      </c>
      <c r="BC72" s="854">
        <f t="shared" ref="BC72:BC103" si="119">V72*$Q72*$AJ72*(1-$AX72)</f>
        <v>0</v>
      </c>
      <c r="BD72" s="854">
        <f t="shared" ref="BD72:BD103" si="120">W72*$Q72*$AJ72*(1-$AX72)</f>
        <v>37880.018009870517</v>
      </c>
      <c r="BE72" s="854">
        <f t="shared" ref="BE72:BE103" si="121">X72*$Q72*$AJ72*(1-$AX72)</f>
        <v>376341.42256606452</v>
      </c>
      <c r="BF72" s="854">
        <f t="shared" ref="BF72:BF103" si="122">Y72*$Q72*$AJ72*(1-$AX72)</f>
        <v>0</v>
      </c>
      <c r="BG72" s="854">
        <f t="shared" ref="BG72:BG103" si="123">Z72*$Q72*$AJ72*(1-$AX72)</f>
        <v>0</v>
      </c>
      <c r="BH72" s="854">
        <f t="shared" ref="BH72:BH103" si="124">AA72*$Q72*$AJ72*(1-$AX72)</f>
        <v>0</v>
      </c>
      <c r="BI72" s="854">
        <f t="shared" ref="BI72:BI103" si="125">AB72*$Q72*$AJ72*(1-$AX72)</f>
        <v>0</v>
      </c>
      <c r="BJ72" s="854">
        <f t="shared" si="68"/>
        <v>414221.44057593506</v>
      </c>
      <c r="BK72" s="58" t="str">
        <f t="shared" si="69"/>
        <v>OK</v>
      </c>
      <c r="BL72" s="878" t="str">
        <f t="shared" ref="BL72:BL103" si="126">IF($Q72=0,"",F72&amp;" "&amp;AF72&amp;" "&amp;Q72&amp;" "&amp;R72&amp;" "&amp;AI72)</f>
        <v>Jesmond Rd upgrades from SH22 to Waipupuke development boundary TRA A25 0.935905182821966 2060 0.00314663310258024</v>
      </c>
      <c r="BM72" s="870">
        <f t="shared" ref="BM72:BM103" si="127">COUNTIF($BL$8:$BL$149,BL72)</f>
        <v>2</v>
      </c>
      <c r="BN72" s="869">
        <f t="shared" si="70"/>
        <v>415528.9577494702</v>
      </c>
      <c r="BO72" s="870">
        <f>IFERROR(VLOOKUP(AF72,FA_Codes!D:H,5,FALSE),"CHECK")</f>
        <v>0</v>
      </c>
      <c r="BP72" s="870" t="str">
        <f t="shared" ref="BP72:BP103" si="128">TRIM(LEFT(AF72,3))</f>
        <v>TRA</v>
      </c>
      <c r="BQ72" s="869">
        <f t="shared" ref="BQ72:BQ103" si="129">IF(AC72&gt;0,+AC72,0)</f>
        <v>443986.17015513929</v>
      </c>
      <c r="BR72" s="870" t="str">
        <f t="shared" ref="BR72:BR103" si="130">IF(RIGHT(E72,11)=" WK subsidy",LEFT(E72,LEN(E72)-11),E72)</f>
        <v>41a TRA A25</v>
      </c>
      <c r="BS72" s="870" t="str">
        <f t="shared" si="71"/>
        <v>41a</v>
      </c>
      <c r="BT72" s="870" t="s">
        <v>6992</v>
      </c>
      <c r="BU72" s="870">
        <f t="shared" ref="BU72:BU103" si="131">+R72</f>
        <v>2060</v>
      </c>
      <c r="BV72" s="153"/>
      <c r="BW72" s="153"/>
      <c r="BX72" s="153"/>
      <c r="BY72" s="153"/>
      <c r="BZ72" s="153"/>
      <c r="CA72" s="153"/>
      <c r="CB72" s="153"/>
      <c r="CC72" s="153"/>
      <c r="CD72" s="153"/>
      <c r="CE72" s="153"/>
      <c r="CF72" s="153"/>
    </row>
    <row r="73" spans="1:84" ht="26">
      <c r="A73" s="848"/>
      <c r="B73" s="848" t="s">
        <v>896</v>
      </c>
      <c r="C73" s="848"/>
      <c r="D73" s="848"/>
      <c r="E73" s="848" t="s">
        <v>6846</v>
      </c>
      <c r="F73" s="866" t="s">
        <v>6739</v>
      </c>
      <c r="G73" s="866" t="s">
        <v>6740</v>
      </c>
      <c r="H73" s="866"/>
      <c r="I73" s="866"/>
      <c r="J73" s="866"/>
      <c r="K73" s="866" t="s">
        <v>6784</v>
      </c>
      <c r="L73" s="866"/>
      <c r="M73" s="866"/>
      <c r="N73" s="866"/>
      <c r="O73" s="866"/>
      <c r="P73" s="866"/>
      <c r="Q73" s="897">
        <v>0.935905182821966</v>
      </c>
      <c r="R73" s="848">
        <v>2060</v>
      </c>
      <c r="S73" s="850">
        <v>0</v>
      </c>
      <c r="T73" s="850">
        <v>0</v>
      </c>
      <c r="U73" s="850">
        <v>0</v>
      </c>
      <c r="V73" s="850">
        <v>0</v>
      </c>
      <c r="W73" s="850">
        <v>0</v>
      </c>
      <c r="X73" s="850">
        <v>0</v>
      </c>
      <c r="Y73" s="850">
        <v>0</v>
      </c>
      <c r="Z73" s="850">
        <v>0</v>
      </c>
      <c r="AA73" s="850">
        <v>68813.391797178221</v>
      </c>
      <c r="AB73" s="850">
        <v>683667.30326785613</v>
      </c>
      <c r="AC73" s="898">
        <f t="shared" ref="AC73:AC136" si="132">SUM(S73:AB73)</f>
        <v>752480.69506503432</v>
      </c>
      <c r="AD73" s="848"/>
      <c r="AF73" s="58" t="str">
        <f>IFERROR(VLOOKUP(K73,FA_Codes!C:F,2,FALSE),"CHECK")</f>
        <v>TRA A25</v>
      </c>
      <c r="AG73" s="851">
        <f t="shared" si="102"/>
        <v>752480.69506503432</v>
      </c>
      <c r="AH73" s="58" t="str">
        <f>IFERROR(VLOOKUP(AF73,FA_Codes!D:F,3,FALSE),"CHECK")</f>
        <v>Local</v>
      </c>
      <c r="AI73" s="852">
        <v>3.1466331025802393E-3</v>
      </c>
      <c r="AJ73" s="853">
        <f t="shared" ref="AJ73:AJ136" si="133">1-AI73</f>
        <v>0.99685336689741977</v>
      </c>
      <c r="AK73" s="854">
        <f t="shared" si="103"/>
        <v>48230.11258019333</v>
      </c>
      <c r="AL73" s="854">
        <f t="shared" si="104"/>
        <v>0</v>
      </c>
      <c r="AM73" s="854">
        <f t="shared" si="105"/>
        <v>0</v>
      </c>
      <c r="AN73" s="854">
        <f t="shared" si="106"/>
        <v>0</v>
      </c>
      <c r="AO73" s="854">
        <f t="shared" si="107"/>
        <v>0</v>
      </c>
      <c r="AP73" s="854">
        <f t="shared" si="108"/>
        <v>0</v>
      </c>
      <c r="AQ73" s="854">
        <f t="shared" si="109"/>
        <v>0</v>
      </c>
      <c r="AR73" s="854">
        <f t="shared" si="110"/>
        <v>0</v>
      </c>
      <c r="AS73" s="854">
        <f t="shared" si="111"/>
        <v>0</v>
      </c>
      <c r="AT73" s="854">
        <f t="shared" si="112"/>
        <v>202.65201394127646</v>
      </c>
      <c r="AU73" s="854">
        <f t="shared" si="113"/>
        <v>2013.3661814169395</v>
      </c>
      <c r="AV73" s="854">
        <f t="shared" ref="AV73:AV136" si="134">SUM(AL73:AU73)</f>
        <v>2216.018195358216</v>
      </c>
      <c r="AW73" s="854">
        <f t="shared" si="114"/>
        <v>0</v>
      </c>
      <c r="AX73" s="855">
        <f t="shared" si="115"/>
        <v>0</v>
      </c>
      <c r="AZ73" s="854">
        <f t="shared" si="116"/>
        <v>0</v>
      </c>
      <c r="BA73" s="854">
        <f t="shared" si="117"/>
        <v>0</v>
      </c>
      <c r="BB73" s="854">
        <f t="shared" si="118"/>
        <v>0</v>
      </c>
      <c r="BC73" s="854">
        <f t="shared" si="119"/>
        <v>0</v>
      </c>
      <c r="BD73" s="854">
        <f t="shared" si="120"/>
        <v>0</v>
      </c>
      <c r="BE73" s="854">
        <f t="shared" si="121"/>
        <v>0</v>
      </c>
      <c r="BF73" s="854">
        <f t="shared" si="122"/>
        <v>0</v>
      </c>
      <c r="BG73" s="854">
        <f t="shared" si="123"/>
        <v>0</v>
      </c>
      <c r="BH73" s="854">
        <f t="shared" si="124"/>
        <v>64200.158016596382</v>
      </c>
      <c r="BI73" s="854">
        <f t="shared" si="125"/>
        <v>637834.40627288644</v>
      </c>
      <c r="BJ73" s="854">
        <f t="shared" ref="BJ73:BJ136" si="135">SUM(AZ73:BI73)</f>
        <v>702034.56428948278</v>
      </c>
      <c r="BK73" s="58" t="str">
        <f t="shared" ref="BK73:BK136" si="136">IF(ABS(AG73-BJ73-AV73-AK73)&lt;0.5,"OK","CHECK")</f>
        <v>OK</v>
      </c>
      <c r="BL73" s="878" t="str">
        <f t="shared" si="126"/>
        <v>Jesmond Rd upgrades from project 41 to New Bremner Rd  TRA A25 0.935905182821966 2060 0.00314663310258024</v>
      </c>
      <c r="BM73" s="870">
        <f t="shared" si="127"/>
        <v>2</v>
      </c>
      <c r="BN73" s="869">
        <f t="shared" ref="BN73:BN136" si="137">+BJ73+AV73</f>
        <v>704250.582484841</v>
      </c>
      <c r="BO73" s="870">
        <f>IFERROR(VLOOKUP(AF73,FA_Codes!D:H,5,FALSE),"CHECK")</f>
        <v>0</v>
      </c>
      <c r="BP73" s="870" t="str">
        <f t="shared" si="128"/>
        <v>TRA</v>
      </c>
      <c r="BQ73" s="869">
        <f t="shared" si="129"/>
        <v>752480.69506503432</v>
      </c>
      <c r="BR73" s="870" t="str">
        <f t="shared" si="130"/>
        <v>42b TRA A25</v>
      </c>
      <c r="BS73" s="870" t="str">
        <f t="shared" ref="BS73:BS136" si="138">IFERROR(LEFT(BR73,LEN(BR73)-8)*1,LEFT(BR73,LEN(BR73)-8))</f>
        <v>42b</v>
      </c>
      <c r="BT73" s="870" t="s">
        <v>6992</v>
      </c>
      <c r="BU73" s="870">
        <f t="shared" si="131"/>
        <v>2060</v>
      </c>
      <c r="BV73" s="153"/>
      <c r="BW73" s="153"/>
      <c r="BX73" s="153"/>
      <c r="BY73" s="153"/>
      <c r="BZ73" s="153"/>
      <c r="CA73" s="153"/>
      <c r="CB73" s="153"/>
      <c r="CC73" s="153"/>
      <c r="CD73" s="153"/>
      <c r="CE73" s="153"/>
      <c r="CF73" s="153"/>
    </row>
    <row r="74" spans="1:84" ht="26">
      <c r="A74" s="848"/>
      <c r="B74" s="848" t="s">
        <v>896</v>
      </c>
      <c r="C74" s="848"/>
      <c r="D74" s="848"/>
      <c r="E74" s="848" t="s">
        <v>6847</v>
      </c>
      <c r="F74" s="866" t="s">
        <v>6745</v>
      </c>
      <c r="G74" s="866">
        <v>0</v>
      </c>
      <c r="H74" s="866"/>
      <c r="I74" s="866"/>
      <c r="J74" s="866"/>
      <c r="K74" s="866" t="s">
        <v>6784</v>
      </c>
      <c r="L74" s="866"/>
      <c r="M74" s="866"/>
      <c r="N74" s="866"/>
      <c r="O74" s="866"/>
      <c r="P74" s="866"/>
      <c r="Q74" s="897">
        <v>0.935905182821966</v>
      </c>
      <c r="R74" s="848">
        <v>2060</v>
      </c>
      <c r="S74" s="850">
        <v>0</v>
      </c>
      <c r="T74" s="850">
        <v>0</v>
      </c>
      <c r="U74" s="850">
        <v>0</v>
      </c>
      <c r="V74" s="850">
        <v>0</v>
      </c>
      <c r="W74" s="850">
        <v>0</v>
      </c>
      <c r="X74" s="850">
        <v>0</v>
      </c>
      <c r="Y74" s="850">
        <v>0</v>
      </c>
      <c r="Z74" s="850">
        <v>121742.96820180136</v>
      </c>
      <c r="AA74" s="850">
        <v>0</v>
      </c>
      <c r="AB74" s="850">
        <v>1267590.7248942114</v>
      </c>
      <c r="AC74" s="898">
        <f t="shared" si="132"/>
        <v>1389333.6930960128</v>
      </c>
      <c r="AD74" s="848"/>
      <c r="AF74" s="58" t="str">
        <f>IFERROR(VLOOKUP(K74,FA_Codes!C:F,2,FALSE),"CHECK")</f>
        <v>TRA A25</v>
      </c>
      <c r="AG74" s="851">
        <f t="shared" si="102"/>
        <v>1389333.6930960128</v>
      </c>
      <c r="AH74" s="58" t="str">
        <f>IFERROR(VLOOKUP(AF74,FA_Codes!D:F,3,FALSE),"CHECK")</f>
        <v>Local</v>
      </c>
      <c r="AI74" s="852">
        <v>3.1466331025802393E-3</v>
      </c>
      <c r="AJ74" s="853">
        <f t="shared" si="133"/>
        <v>0.99685336689741977</v>
      </c>
      <c r="AK74" s="854">
        <f t="shared" si="103"/>
        <v>89049.08905827174</v>
      </c>
      <c r="AL74" s="854">
        <f t="shared" si="104"/>
        <v>0</v>
      </c>
      <c r="AM74" s="854">
        <f t="shared" si="105"/>
        <v>0</v>
      </c>
      <c r="AN74" s="854">
        <f t="shared" si="106"/>
        <v>0</v>
      </c>
      <c r="AO74" s="854">
        <f t="shared" si="107"/>
        <v>0</v>
      </c>
      <c r="AP74" s="854">
        <f t="shared" si="108"/>
        <v>0</v>
      </c>
      <c r="AQ74" s="854">
        <f t="shared" si="109"/>
        <v>0</v>
      </c>
      <c r="AR74" s="854">
        <f t="shared" si="110"/>
        <v>0</v>
      </c>
      <c r="AS74" s="854">
        <f t="shared" si="111"/>
        <v>358.52698210256671</v>
      </c>
      <c r="AT74" s="854">
        <f t="shared" si="112"/>
        <v>0</v>
      </c>
      <c r="AU74" s="854">
        <f t="shared" si="113"/>
        <v>3732.9915957380285</v>
      </c>
      <c r="AV74" s="854">
        <f t="shared" si="134"/>
        <v>4091.5185778405953</v>
      </c>
      <c r="AW74" s="854">
        <f t="shared" si="114"/>
        <v>0</v>
      </c>
      <c r="AX74" s="855">
        <f t="shared" si="115"/>
        <v>0</v>
      </c>
      <c r="AZ74" s="854">
        <f t="shared" si="116"/>
        <v>0</v>
      </c>
      <c r="BA74" s="854">
        <f t="shared" si="117"/>
        <v>0</v>
      </c>
      <c r="BB74" s="854">
        <f t="shared" si="118"/>
        <v>0</v>
      </c>
      <c r="BC74" s="854">
        <f t="shared" si="119"/>
        <v>0</v>
      </c>
      <c r="BD74" s="854">
        <f t="shared" si="120"/>
        <v>0</v>
      </c>
      <c r="BE74" s="854">
        <f t="shared" si="121"/>
        <v>0</v>
      </c>
      <c r="BF74" s="854">
        <f t="shared" si="122"/>
        <v>0</v>
      </c>
      <c r="BG74" s="854">
        <f t="shared" si="123"/>
        <v>113581.34793009312</v>
      </c>
      <c r="BH74" s="854">
        <f t="shared" si="124"/>
        <v>0</v>
      </c>
      <c r="BI74" s="854">
        <f t="shared" si="125"/>
        <v>1182611.7375298073</v>
      </c>
      <c r="BJ74" s="854">
        <f t="shared" si="135"/>
        <v>1296193.0854599003</v>
      </c>
      <c r="BK74" s="58" t="str">
        <f t="shared" si="136"/>
        <v>OK</v>
      </c>
      <c r="BL74" s="878" t="str">
        <f t="shared" si="126"/>
        <v>Active Mode Corridor Drury Central to GSR TRA A25 0.935905182821966 2060 0.00314663310258024</v>
      </c>
      <c r="BM74" s="870">
        <f t="shared" si="127"/>
        <v>2</v>
      </c>
      <c r="BN74" s="869">
        <f t="shared" si="137"/>
        <v>1300284.604037741</v>
      </c>
      <c r="BO74" s="870">
        <f>IFERROR(VLOOKUP(AF74,FA_Codes!D:H,5,FALSE),"CHECK")</f>
        <v>0</v>
      </c>
      <c r="BP74" s="870" t="str">
        <f t="shared" si="128"/>
        <v>TRA</v>
      </c>
      <c r="BQ74" s="869">
        <f t="shared" si="129"/>
        <v>1389333.6930960128</v>
      </c>
      <c r="BR74" s="870" t="str">
        <f t="shared" si="130"/>
        <v>67 TRA A25</v>
      </c>
      <c r="BS74" s="870">
        <f t="shared" si="138"/>
        <v>67</v>
      </c>
      <c r="BT74" s="870" t="s">
        <v>6992</v>
      </c>
      <c r="BU74" s="870">
        <f t="shared" si="131"/>
        <v>2060</v>
      </c>
      <c r="BV74" s="153"/>
      <c r="BW74" s="153"/>
      <c r="BX74" s="153"/>
      <c r="BY74" s="153"/>
      <c r="BZ74" s="153"/>
      <c r="CA74" s="153"/>
      <c r="CB74" s="153"/>
      <c r="CC74" s="153"/>
      <c r="CD74" s="153"/>
      <c r="CE74" s="153"/>
      <c r="CF74" s="153"/>
    </row>
    <row r="75" spans="1:84" ht="26">
      <c r="A75" s="848"/>
      <c r="B75" s="848" t="s">
        <v>896</v>
      </c>
      <c r="C75" s="848"/>
      <c r="D75" s="848"/>
      <c r="E75" s="848" t="s">
        <v>6848</v>
      </c>
      <c r="F75" s="866" t="s">
        <v>6747</v>
      </c>
      <c r="G75" s="866" t="s">
        <v>6748</v>
      </c>
      <c r="H75" s="866"/>
      <c r="I75" s="866"/>
      <c r="J75" s="866"/>
      <c r="K75" s="866" t="s">
        <v>6784</v>
      </c>
      <c r="L75" s="866"/>
      <c r="M75" s="866"/>
      <c r="N75" s="866"/>
      <c r="O75" s="866"/>
      <c r="P75" s="866"/>
      <c r="Q75" s="897">
        <v>0.935905182821966</v>
      </c>
      <c r="R75" s="848">
        <v>2060</v>
      </c>
      <c r="S75" s="850">
        <v>0</v>
      </c>
      <c r="T75" s="850">
        <v>0</v>
      </c>
      <c r="U75" s="850">
        <v>0</v>
      </c>
      <c r="V75" s="850">
        <v>0</v>
      </c>
      <c r="W75" s="850">
        <v>0</v>
      </c>
      <c r="X75" s="850">
        <v>0</v>
      </c>
      <c r="Y75" s="850">
        <v>0</v>
      </c>
      <c r="Z75" s="850">
        <v>0</v>
      </c>
      <c r="AA75" s="850">
        <v>352936.3545771896</v>
      </c>
      <c r="AB75" s="850">
        <v>3508068.1698015546</v>
      </c>
      <c r="AC75" s="898">
        <f t="shared" si="132"/>
        <v>3861004.5243787444</v>
      </c>
      <c r="AD75" s="848"/>
      <c r="AF75" s="58" t="str">
        <f>IFERROR(VLOOKUP(K75,FA_Codes!C:F,2,FALSE),"CHECK")</f>
        <v>TRA A25</v>
      </c>
      <c r="AG75" s="851">
        <f t="shared" si="102"/>
        <v>3861004.5243787444</v>
      </c>
      <c r="AH75" s="58" t="str">
        <f>IFERROR(VLOOKUP(AF75,FA_Codes!D:F,3,FALSE),"CHECK")</f>
        <v>Local</v>
      </c>
      <c r="AI75" s="852">
        <v>3.1466331025802393E-3</v>
      </c>
      <c r="AJ75" s="853">
        <f t="shared" si="133"/>
        <v>0.99685336689741977</v>
      </c>
      <c r="AK75" s="854">
        <f t="shared" si="103"/>
        <v>247470.37911361776</v>
      </c>
      <c r="AL75" s="854">
        <f t="shared" si="104"/>
        <v>0</v>
      </c>
      <c r="AM75" s="854">
        <f t="shared" si="105"/>
        <v>0</v>
      </c>
      <c r="AN75" s="854">
        <f t="shared" si="106"/>
        <v>0</v>
      </c>
      <c r="AO75" s="854">
        <f t="shared" si="107"/>
        <v>0</v>
      </c>
      <c r="AP75" s="854">
        <f t="shared" si="108"/>
        <v>0</v>
      </c>
      <c r="AQ75" s="854">
        <f t="shared" si="109"/>
        <v>0</v>
      </c>
      <c r="AR75" s="854">
        <f t="shared" si="110"/>
        <v>0</v>
      </c>
      <c r="AS75" s="854">
        <f t="shared" si="111"/>
        <v>0</v>
      </c>
      <c r="AT75" s="854">
        <f t="shared" si="112"/>
        <v>1039.3799982853457</v>
      </c>
      <c r="AU75" s="854">
        <f t="shared" si="113"/>
        <v>10331.086160509893</v>
      </c>
      <c r="AV75" s="854">
        <f t="shared" si="134"/>
        <v>11370.466158795238</v>
      </c>
      <c r="AW75" s="854">
        <f t="shared" si="114"/>
        <v>0</v>
      </c>
      <c r="AX75" s="855">
        <f t="shared" si="115"/>
        <v>0</v>
      </c>
      <c r="AZ75" s="854">
        <f t="shared" si="116"/>
        <v>0</v>
      </c>
      <c r="BA75" s="854">
        <f t="shared" si="117"/>
        <v>0</v>
      </c>
      <c r="BB75" s="854">
        <f t="shared" si="118"/>
        <v>0</v>
      </c>
      <c r="BC75" s="854">
        <f t="shared" si="119"/>
        <v>0</v>
      </c>
      <c r="BD75" s="854">
        <f t="shared" si="120"/>
        <v>0</v>
      </c>
      <c r="BE75" s="854">
        <f t="shared" si="121"/>
        <v>0</v>
      </c>
      <c r="BF75" s="854">
        <f t="shared" si="122"/>
        <v>0</v>
      </c>
      <c r="BG75" s="854">
        <f t="shared" si="123"/>
        <v>0</v>
      </c>
      <c r="BH75" s="854">
        <f t="shared" si="124"/>
        <v>329275.58345679753</v>
      </c>
      <c r="BI75" s="854">
        <f t="shared" si="125"/>
        <v>3272888.0956495339</v>
      </c>
      <c r="BJ75" s="854">
        <f t="shared" si="135"/>
        <v>3602163.6791063314</v>
      </c>
      <c r="BK75" s="58" t="str">
        <f t="shared" si="136"/>
        <v>OK</v>
      </c>
      <c r="BL75" s="878" t="str">
        <f t="shared" si="126"/>
        <v>walk/cycle bridges on GSR Road bridge over the rail corridor TRA A25 0.935905182821966 2060 0.00314663310258024</v>
      </c>
      <c r="BM75" s="870">
        <f t="shared" si="127"/>
        <v>2</v>
      </c>
      <c r="BN75" s="869">
        <f t="shared" si="137"/>
        <v>3613534.1452651266</v>
      </c>
      <c r="BO75" s="870">
        <f>IFERROR(VLOOKUP(AF75,FA_Codes!D:H,5,FALSE),"CHECK")</f>
        <v>0</v>
      </c>
      <c r="BP75" s="870" t="str">
        <f t="shared" si="128"/>
        <v>TRA</v>
      </c>
      <c r="BQ75" s="869">
        <f t="shared" si="129"/>
        <v>3861004.5243787444</v>
      </c>
      <c r="BR75" s="870" t="str">
        <f t="shared" si="130"/>
        <v>70 TRA A25</v>
      </c>
      <c r="BS75" s="870">
        <f t="shared" si="138"/>
        <v>70</v>
      </c>
      <c r="BT75" s="870" t="s">
        <v>6992</v>
      </c>
      <c r="BU75" s="870">
        <f t="shared" si="131"/>
        <v>2060</v>
      </c>
      <c r="BV75" s="153"/>
      <c r="BW75" s="153"/>
      <c r="BX75" s="153"/>
      <c r="BY75" s="153"/>
      <c r="BZ75" s="153"/>
      <c r="CA75" s="153"/>
      <c r="CB75" s="153"/>
      <c r="CC75" s="153"/>
      <c r="CD75" s="153"/>
      <c r="CE75" s="153"/>
      <c r="CF75" s="153"/>
    </row>
    <row r="76" spans="1:84" ht="26">
      <c r="A76" s="848"/>
      <c r="B76" s="848" t="s">
        <v>896</v>
      </c>
      <c r="C76" s="848"/>
      <c r="D76" s="848"/>
      <c r="E76" s="848" t="s">
        <v>6880</v>
      </c>
      <c r="F76" s="866" t="s">
        <v>6868</v>
      </c>
      <c r="G76" s="808" t="s">
        <v>6711</v>
      </c>
      <c r="H76" s="808"/>
      <c r="I76" s="808"/>
      <c r="J76" s="808"/>
      <c r="K76" s="808" t="s">
        <v>6784</v>
      </c>
      <c r="L76" s="808"/>
      <c r="M76" s="808"/>
      <c r="N76" s="808"/>
      <c r="O76" s="808"/>
      <c r="P76" s="808"/>
      <c r="Q76" s="849">
        <v>0.935905182821966</v>
      </c>
      <c r="R76" s="848">
        <v>2060</v>
      </c>
      <c r="S76" s="850">
        <v>0</v>
      </c>
      <c r="T76" s="850">
        <v>0</v>
      </c>
      <c r="U76" s="850">
        <v>0</v>
      </c>
      <c r="V76" s="850">
        <v>0</v>
      </c>
      <c r="W76" s="850">
        <v>0</v>
      </c>
      <c r="X76" s="850">
        <v>0</v>
      </c>
      <c r="Y76" s="850">
        <v>0</v>
      </c>
      <c r="Z76" s="850">
        <v>0</v>
      </c>
      <c r="AA76" s="850">
        <v>-93041.555891946817</v>
      </c>
      <c r="AB76" s="850">
        <v>-924376.31610975449</v>
      </c>
      <c r="AC76" s="809">
        <f t="shared" si="132"/>
        <v>-1017417.8720017013</v>
      </c>
      <c r="AD76" s="848"/>
      <c r="AF76" s="58" t="str">
        <f>IFERROR(VLOOKUP(K76,FA_Codes!C:F,2,FALSE),"CHECK")</f>
        <v>TRA A25</v>
      </c>
      <c r="AG76" s="851">
        <f t="shared" si="102"/>
        <v>-1017417.8720017013</v>
      </c>
      <c r="AH76" s="58" t="str">
        <f>IFERROR(VLOOKUP(AF76,FA_Codes!D:F,3,FALSE),"CHECK")</f>
        <v>Local</v>
      </c>
      <c r="AI76" s="852">
        <v>3.1466331025802393E-3</v>
      </c>
      <c r="AJ76" s="853">
        <f t="shared" si="133"/>
        <v>0.99685336689741977</v>
      </c>
      <c r="AK76" s="854">
        <f t="shared" si="103"/>
        <v>-65211.212499613444</v>
      </c>
      <c r="AL76" s="854">
        <f t="shared" si="104"/>
        <v>0</v>
      </c>
      <c r="AM76" s="854">
        <f t="shared" si="105"/>
        <v>0</v>
      </c>
      <c r="AN76" s="854">
        <f t="shared" si="106"/>
        <v>0</v>
      </c>
      <c r="AO76" s="854">
        <f t="shared" si="107"/>
        <v>0</v>
      </c>
      <c r="AP76" s="854">
        <f t="shared" si="108"/>
        <v>0</v>
      </c>
      <c r="AQ76" s="854">
        <f t="shared" si="109"/>
        <v>0</v>
      </c>
      <c r="AR76" s="854">
        <f t="shared" si="110"/>
        <v>0</v>
      </c>
      <c r="AS76" s="854">
        <f t="shared" si="111"/>
        <v>0</v>
      </c>
      <c r="AT76" s="854">
        <f t="shared" si="112"/>
        <v>-274.00275134390387</v>
      </c>
      <c r="AU76" s="854">
        <f t="shared" si="113"/>
        <v>-2722.2422439427164</v>
      </c>
      <c r="AV76" s="854">
        <f t="shared" si="134"/>
        <v>-2996.2449952866205</v>
      </c>
      <c r="AW76" s="854">
        <f t="shared" si="114"/>
        <v>0</v>
      </c>
      <c r="AX76" s="855">
        <f t="shared" si="115"/>
        <v>0</v>
      </c>
      <c r="AZ76" s="854">
        <f t="shared" si="116"/>
        <v>0</v>
      </c>
      <c r="BA76" s="854">
        <f t="shared" si="117"/>
        <v>0</v>
      </c>
      <c r="BB76" s="854">
        <f t="shared" si="118"/>
        <v>0</v>
      </c>
      <c r="BC76" s="854">
        <f t="shared" si="119"/>
        <v>0</v>
      </c>
      <c r="BD76" s="854">
        <f t="shared" si="120"/>
        <v>0</v>
      </c>
      <c r="BE76" s="854">
        <f t="shared" si="121"/>
        <v>0</v>
      </c>
      <c r="BF76" s="854">
        <f t="shared" si="122"/>
        <v>0</v>
      </c>
      <c r="BG76" s="854">
        <f t="shared" si="123"/>
        <v>0</v>
      </c>
      <c r="BH76" s="854">
        <f t="shared" si="124"/>
        <v>-86804.071625748751</v>
      </c>
      <c r="BI76" s="854">
        <f t="shared" si="125"/>
        <v>-862406.34288105252</v>
      </c>
      <c r="BJ76" s="854">
        <f t="shared" si="135"/>
        <v>-949210.41450680129</v>
      </c>
      <c r="BK76" s="58" t="str">
        <f t="shared" si="136"/>
        <v>OK</v>
      </c>
      <c r="BL76" s="856" t="str">
        <f t="shared" si="126"/>
        <v>GSR improvements - Waihoehoe Rd to Drury Interchange TRA A25 0.935905182821966 2060 0.00314663310258024</v>
      </c>
      <c r="BM76" s="153">
        <f t="shared" si="127"/>
        <v>2</v>
      </c>
      <c r="BN76" s="869">
        <f t="shared" si="137"/>
        <v>-952206.65950208786</v>
      </c>
      <c r="BO76" s="870">
        <f>IFERROR(VLOOKUP(AF76,FA_Codes!D:H,5,FALSE),"CHECK")</f>
        <v>0</v>
      </c>
      <c r="BP76" s="870" t="str">
        <f t="shared" si="128"/>
        <v>TRA</v>
      </c>
      <c r="BQ76" s="869">
        <f t="shared" si="129"/>
        <v>0</v>
      </c>
      <c r="BR76" s="870" t="str">
        <f t="shared" si="130"/>
        <v>1b TRA A25</v>
      </c>
      <c r="BS76" s="870" t="str">
        <f t="shared" si="138"/>
        <v>1b</v>
      </c>
      <c r="BT76" s="870" t="s">
        <v>6992</v>
      </c>
      <c r="BU76" s="870">
        <f t="shared" si="131"/>
        <v>2060</v>
      </c>
      <c r="BV76" s="153"/>
      <c r="BW76" s="153"/>
      <c r="BX76" s="153"/>
      <c r="BY76" s="153"/>
      <c r="BZ76" s="153"/>
      <c r="CA76" s="153"/>
      <c r="CB76" s="153"/>
      <c r="CC76" s="153"/>
      <c r="CD76" s="153"/>
      <c r="CE76" s="153"/>
      <c r="CF76" s="153"/>
    </row>
    <row r="77" spans="1:84" ht="26">
      <c r="A77" s="848"/>
      <c r="B77" s="848" t="s">
        <v>896</v>
      </c>
      <c r="C77" s="848"/>
      <c r="D77" s="848"/>
      <c r="E77" s="848" t="s">
        <v>6849</v>
      </c>
      <c r="F77" s="866" t="s">
        <v>6715</v>
      </c>
      <c r="G77" s="808" t="s">
        <v>6717</v>
      </c>
      <c r="H77" s="808"/>
      <c r="I77" s="808"/>
      <c r="J77" s="808"/>
      <c r="K77" s="808" t="s">
        <v>6784</v>
      </c>
      <c r="L77" s="808"/>
      <c r="M77" s="808"/>
      <c r="N77" s="808"/>
      <c r="O77" s="808"/>
      <c r="P77" s="808"/>
      <c r="Q77" s="849">
        <v>0.935905182821966</v>
      </c>
      <c r="R77" s="848">
        <v>2060</v>
      </c>
      <c r="S77" s="850">
        <v>0</v>
      </c>
      <c r="T77" s="850">
        <v>0</v>
      </c>
      <c r="U77" s="850">
        <v>0</v>
      </c>
      <c r="V77" s="850">
        <v>0</v>
      </c>
      <c r="W77" s="850">
        <v>0</v>
      </c>
      <c r="X77" s="850">
        <v>0</v>
      </c>
      <c r="Y77" s="850">
        <v>0</v>
      </c>
      <c r="Z77" s="850">
        <v>-32970.118545484613</v>
      </c>
      <c r="AA77" s="850">
        <v>-40890.294004603762</v>
      </c>
      <c r="AB77" s="850">
        <v>-413276.30645960511</v>
      </c>
      <c r="AC77" s="809">
        <f t="shared" si="132"/>
        <v>-487136.71900969348</v>
      </c>
      <c r="AD77" s="848"/>
      <c r="AF77" s="58" t="str">
        <f>IFERROR(VLOOKUP(K77,FA_Codes!C:F,2,FALSE),"CHECK")</f>
        <v>TRA A25</v>
      </c>
      <c r="AG77" s="851">
        <f t="shared" si="102"/>
        <v>-487136.71900969348</v>
      </c>
      <c r="AH77" s="58" t="str">
        <f>IFERROR(VLOOKUP(AF77,FA_Codes!D:F,3,FALSE),"CHECK")</f>
        <v>Local</v>
      </c>
      <c r="AI77" s="852">
        <v>3.1466331025802393E-3</v>
      </c>
      <c r="AJ77" s="853">
        <f t="shared" si="133"/>
        <v>0.99685336689741977</v>
      </c>
      <c r="AK77" s="854">
        <f t="shared" si="103"/>
        <v>-31222.938945633625</v>
      </c>
      <c r="AL77" s="854">
        <f t="shared" si="104"/>
        <v>0</v>
      </c>
      <c r="AM77" s="854">
        <f t="shared" si="105"/>
        <v>0</v>
      </c>
      <c r="AN77" s="854">
        <f t="shared" si="106"/>
        <v>0</v>
      </c>
      <c r="AO77" s="854">
        <f t="shared" si="107"/>
        <v>0</v>
      </c>
      <c r="AP77" s="854">
        <f t="shared" si="108"/>
        <v>0</v>
      </c>
      <c r="AQ77" s="854">
        <f t="shared" si="109"/>
        <v>0</v>
      </c>
      <c r="AR77" s="854">
        <f t="shared" si="110"/>
        <v>0</v>
      </c>
      <c r="AS77" s="854">
        <f t="shared" si="111"/>
        <v>-97.095358165430056</v>
      </c>
      <c r="AT77" s="854">
        <f t="shared" si="112"/>
        <v>-120.41988069862374</v>
      </c>
      <c r="AU77" s="854">
        <f t="shared" si="113"/>
        <v>-1217.0781534080038</v>
      </c>
      <c r="AV77" s="854">
        <f t="shared" si="134"/>
        <v>-1434.5933922720576</v>
      </c>
      <c r="AW77" s="854">
        <f t="shared" si="114"/>
        <v>0</v>
      </c>
      <c r="AX77" s="855">
        <f t="shared" si="115"/>
        <v>0</v>
      </c>
      <c r="AZ77" s="854">
        <f t="shared" si="116"/>
        <v>0</v>
      </c>
      <c r="BA77" s="854">
        <f t="shared" si="117"/>
        <v>0</v>
      </c>
      <c r="BB77" s="854">
        <f t="shared" si="118"/>
        <v>0</v>
      </c>
      <c r="BC77" s="854">
        <f t="shared" si="119"/>
        <v>0</v>
      </c>
      <c r="BD77" s="854">
        <f t="shared" si="120"/>
        <v>0</v>
      </c>
      <c r="BE77" s="854">
        <f t="shared" si="121"/>
        <v>0</v>
      </c>
      <c r="BF77" s="854">
        <f t="shared" si="122"/>
        <v>0</v>
      </c>
      <c r="BG77" s="854">
        <f t="shared" si="123"/>
        <v>-30759.809466808241</v>
      </c>
      <c r="BH77" s="854">
        <f t="shared" si="124"/>
        <v>-38149.018205323999</v>
      </c>
      <c r="BI77" s="854">
        <f t="shared" si="125"/>
        <v>-385570.35899965558</v>
      </c>
      <c r="BJ77" s="854">
        <f t="shared" si="135"/>
        <v>-454479.18667178781</v>
      </c>
      <c r="BK77" s="58" t="str">
        <f t="shared" si="136"/>
        <v>OK</v>
      </c>
      <c r="BL77" s="856" t="str">
        <f t="shared" si="126"/>
        <v>Upgrade in Norrie Rd/GSR/Waihoehoe intersection TRA A25 0.935905182821966 2060 0.00314663310258024</v>
      </c>
      <c r="BM77" s="153">
        <f t="shared" si="127"/>
        <v>2</v>
      </c>
      <c r="BN77" s="869">
        <f t="shared" si="137"/>
        <v>-455913.78006405989</v>
      </c>
      <c r="BO77" s="870">
        <f>IFERROR(VLOOKUP(AF77,FA_Codes!D:H,5,FALSE),"CHECK")</f>
        <v>0</v>
      </c>
      <c r="BP77" s="870" t="str">
        <f t="shared" si="128"/>
        <v>TRA</v>
      </c>
      <c r="BQ77" s="869">
        <f t="shared" si="129"/>
        <v>0</v>
      </c>
      <c r="BR77" s="870" t="str">
        <f t="shared" si="130"/>
        <v>9b TRA A25</v>
      </c>
      <c r="BS77" s="870" t="str">
        <f t="shared" si="138"/>
        <v>9b</v>
      </c>
      <c r="BT77" s="870" t="s">
        <v>6992</v>
      </c>
      <c r="BU77" s="870">
        <f t="shared" si="131"/>
        <v>2060</v>
      </c>
      <c r="BV77" s="153"/>
      <c r="BW77" s="153"/>
      <c r="BX77" s="153"/>
      <c r="BY77" s="153"/>
      <c r="BZ77" s="153"/>
      <c r="CA77" s="153"/>
      <c r="CB77" s="153"/>
      <c r="CC77" s="153"/>
      <c r="CD77" s="153"/>
      <c r="CE77" s="153"/>
      <c r="CF77" s="153"/>
    </row>
    <row r="78" spans="1:84" ht="26">
      <c r="A78" s="848"/>
      <c r="B78" s="848" t="s">
        <v>896</v>
      </c>
      <c r="C78" s="848"/>
      <c r="D78" s="848"/>
      <c r="E78" s="848" t="s">
        <v>6850</v>
      </c>
      <c r="F78" s="866" t="s">
        <v>6725</v>
      </c>
      <c r="G78" s="808" t="s">
        <v>6726</v>
      </c>
      <c r="H78" s="808"/>
      <c r="I78" s="808"/>
      <c r="J78" s="808"/>
      <c r="K78" s="808" t="s">
        <v>6784</v>
      </c>
      <c r="L78" s="808"/>
      <c r="M78" s="808"/>
      <c r="N78" s="808"/>
      <c r="O78" s="808"/>
      <c r="P78" s="808"/>
      <c r="Q78" s="849">
        <v>0.935905182821966</v>
      </c>
      <c r="R78" s="848">
        <v>2060</v>
      </c>
      <c r="S78" s="850">
        <v>0</v>
      </c>
      <c r="T78" s="850">
        <v>-17743.348403118005</v>
      </c>
      <c r="U78" s="850">
        <v>0</v>
      </c>
      <c r="V78" s="850">
        <v>0</v>
      </c>
      <c r="W78" s="850">
        <v>0</v>
      </c>
      <c r="X78" s="850">
        <v>0</v>
      </c>
      <c r="Y78" s="850">
        <v>0</v>
      </c>
      <c r="Z78" s="850">
        <v>-174649.87454711611</v>
      </c>
      <c r="AA78" s="850">
        <v>-51676.798858011083</v>
      </c>
      <c r="AB78" s="850">
        <v>-517333.17818237562</v>
      </c>
      <c r="AC78" s="809">
        <f t="shared" si="132"/>
        <v>-761403.19999062084</v>
      </c>
      <c r="AD78" s="848"/>
      <c r="AF78" s="58" t="str">
        <f>IFERROR(VLOOKUP(K78,FA_Codes!C:F,2,FALSE),"CHECK")</f>
        <v>TRA A25</v>
      </c>
      <c r="AG78" s="851">
        <f t="shared" si="102"/>
        <v>-761403.19999062084</v>
      </c>
      <c r="AH78" s="58" t="str">
        <f>IFERROR(VLOOKUP(AF78,FA_Codes!D:F,3,FALSE),"CHECK")</f>
        <v>Local</v>
      </c>
      <c r="AI78" s="852">
        <v>3.1466331025802393E-3</v>
      </c>
      <c r="AJ78" s="853">
        <f t="shared" si="133"/>
        <v>0.99685336689741977</v>
      </c>
      <c r="AK78" s="854">
        <f t="shared" si="103"/>
        <v>-48801.998902168903</v>
      </c>
      <c r="AL78" s="854">
        <f t="shared" si="104"/>
        <v>0</v>
      </c>
      <c r="AM78" s="854">
        <f t="shared" si="105"/>
        <v>-52.253277945544355</v>
      </c>
      <c r="AN78" s="854">
        <f t="shared" si="106"/>
        <v>0</v>
      </c>
      <c r="AO78" s="854">
        <f t="shared" si="107"/>
        <v>0</v>
      </c>
      <c r="AP78" s="854">
        <f t="shared" si="108"/>
        <v>0</v>
      </c>
      <c r="AQ78" s="854">
        <f t="shared" si="109"/>
        <v>0</v>
      </c>
      <c r="AR78" s="854">
        <f t="shared" si="110"/>
        <v>0</v>
      </c>
      <c r="AS78" s="854">
        <f t="shared" si="111"/>
        <v>-514.33518806750203</v>
      </c>
      <c r="AT78" s="854">
        <f t="shared" si="112"/>
        <v>-152.18560063832859</v>
      </c>
      <c r="AU78" s="854">
        <f t="shared" si="113"/>
        <v>-1523.5204616319854</v>
      </c>
      <c r="AV78" s="854">
        <f t="shared" si="134"/>
        <v>-2242.2945282833607</v>
      </c>
      <c r="AW78" s="854">
        <f t="shared" si="114"/>
        <v>0</v>
      </c>
      <c r="AX78" s="855">
        <f t="shared" si="115"/>
        <v>0</v>
      </c>
      <c r="AZ78" s="854">
        <f t="shared" si="116"/>
        <v>0</v>
      </c>
      <c r="BA78" s="854">
        <f t="shared" si="117"/>
        <v>-16553.838453148452</v>
      </c>
      <c r="BB78" s="854">
        <f t="shared" si="118"/>
        <v>0</v>
      </c>
      <c r="BC78" s="854">
        <f t="shared" si="119"/>
        <v>0</v>
      </c>
      <c r="BD78" s="854">
        <f t="shared" si="120"/>
        <v>0</v>
      </c>
      <c r="BE78" s="854">
        <f t="shared" si="121"/>
        <v>0</v>
      </c>
      <c r="BF78" s="854">
        <f t="shared" si="122"/>
        <v>0</v>
      </c>
      <c r="BG78" s="854">
        <f t="shared" si="123"/>
        <v>-162941.38757978464</v>
      </c>
      <c r="BH78" s="854">
        <f t="shared" si="124"/>
        <v>-48212.398282222493</v>
      </c>
      <c r="BI78" s="854">
        <f t="shared" si="125"/>
        <v>-482651.28224501299</v>
      </c>
      <c r="BJ78" s="854">
        <f t="shared" si="135"/>
        <v>-710358.9065601686</v>
      </c>
      <c r="BK78" s="58" t="str">
        <f t="shared" si="136"/>
        <v>OK</v>
      </c>
      <c r="BL78" s="856" t="str">
        <f t="shared" si="126"/>
        <v>Waihoehoe Rd West upgrades- between GSR &amp; Kath Henry Lane TRA A25 0.935905182821966 2060 0.00314663310258024</v>
      </c>
      <c r="BM78" s="153">
        <f t="shared" si="127"/>
        <v>2</v>
      </c>
      <c r="BN78" s="869">
        <f t="shared" si="137"/>
        <v>-712601.20108845201</v>
      </c>
      <c r="BO78" s="870">
        <f>IFERROR(VLOOKUP(AF78,FA_Codes!D:H,5,FALSE),"CHECK")</f>
        <v>0</v>
      </c>
      <c r="BP78" s="870" t="str">
        <f t="shared" si="128"/>
        <v>TRA</v>
      </c>
      <c r="BQ78" s="869">
        <f t="shared" si="129"/>
        <v>0</v>
      </c>
      <c r="BR78" s="870" t="str">
        <f t="shared" si="130"/>
        <v>23b TRA A25</v>
      </c>
      <c r="BS78" s="870" t="str">
        <f t="shared" si="138"/>
        <v>23b</v>
      </c>
      <c r="BT78" s="870" t="s">
        <v>6992</v>
      </c>
      <c r="BU78" s="870">
        <f t="shared" si="131"/>
        <v>2060</v>
      </c>
      <c r="BV78" s="153"/>
      <c r="BW78" s="153"/>
      <c r="BX78" s="153"/>
      <c r="BY78" s="153"/>
      <c r="BZ78" s="153"/>
      <c r="CA78" s="153"/>
      <c r="CB78" s="153"/>
      <c r="CC78" s="153"/>
      <c r="CD78" s="153"/>
      <c r="CE78" s="153"/>
      <c r="CF78" s="153"/>
    </row>
    <row r="79" spans="1:84" ht="26">
      <c r="A79" s="848"/>
      <c r="B79" s="848" t="s">
        <v>896</v>
      </c>
      <c r="C79" s="848"/>
      <c r="D79" s="848"/>
      <c r="E79" s="848" t="s">
        <v>6851</v>
      </c>
      <c r="F79" s="866" t="s">
        <v>6727</v>
      </c>
      <c r="G79" s="808" t="s">
        <v>6726</v>
      </c>
      <c r="H79" s="808"/>
      <c r="I79" s="808"/>
      <c r="J79" s="808"/>
      <c r="K79" s="808" t="s">
        <v>6784</v>
      </c>
      <c r="L79" s="808"/>
      <c r="M79" s="808"/>
      <c r="N79" s="808"/>
      <c r="O79" s="808"/>
      <c r="P79" s="808"/>
      <c r="Q79" s="849">
        <v>0.935905182821966</v>
      </c>
      <c r="R79" s="848">
        <v>2060</v>
      </c>
      <c r="S79" s="850">
        <v>0</v>
      </c>
      <c r="T79" s="850">
        <v>0</v>
      </c>
      <c r="U79" s="850">
        <v>0</v>
      </c>
      <c r="V79" s="850">
        <v>0</v>
      </c>
      <c r="W79" s="850">
        <v>0</v>
      </c>
      <c r="X79" s="850">
        <v>-577.50814455940667</v>
      </c>
      <c r="Y79" s="850">
        <v>0</v>
      </c>
      <c r="Z79" s="850">
        <v>-30265.113406355751</v>
      </c>
      <c r="AA79" s="850">
        <v>-9819.1665309423279</v>
      </c>
      <c r="AB79" s="850">
        <v>-102582.91740005882</v>
      </c>
      <c r="AC79" s="809">
        <f t="shared" si="132"/>
        <v>-143244.70548191632</v>
      </c>
      <c r="AD79" s="848"/>
      <c r="AF79" s="58" t="str">
        <f>IFERROR(VLOOKUP(K79,FA_Codes!C:F,2,FALSE),"CHECK")</f>
        <v>TRA A25</v>
      </c>
      <c r="AG79" s="851">
        <f t="shared" si="102"/>
        <v>-143244.70548191632</v>
      </c>
      <c r="AH79" s="58" t="str">
        <f>IFERROR(VLOOKUP(AF79,FA_Codes!D:F,3,FALSE),"CHECK")</f>
        <v>Local</v>
      </c>
      <c r="AI79" s="852">
        <v>3.1466331025802393E-3</v>
      </c>
      <c r="AJ79" s="853">
        <f t="shared" si="133"/>
        <v>0.99685336689741977</v>
      </c>
      <c r="AK79" s="854">
        <f t="shared" si="103"/>
        <v>-9181.2432095847507</v>
      </c>
      <c r="AL79" s="854">
        <f t="shared" si="104"/>
        <v>0</v>
      </c>
      <c r="AM79" s="854">
        <f t="shared" si="105"/>
        <v>0</v>
      </c>
      <c r="AN79" s="854">
        <f t="shared" si="106"/>
        <v>0</v>
      </c>
      <c r="AO79" s="854">
        <f t="shared" si="107"/>
        <v>0</v>
      </c>
      <c r="AP79" s="854">
        <f t="shared" si="108"/>
        <v>0</v>
      </c>
      <c r="AQ79" s="854">
        <f t="shared" si="109"/>
        <v>-1.7007327426527561</v>
      </c>
      <c r="AR79" s="854">
        <f t="shared" si="110"/>
        <v>0</v>
      </c>
      <c r="AS79" s="854">
        <f t="shared" si="111"/>
        <v>-89.12925266111678</v>
      </c>
      <c r="AT79" s="854">
        <f t="shared" si="112"/>
        <v>-28.916956725301791</v>
      </c>
      <c r="AU79" s="854">
        <f t="shared" si="113"/>
        <v>-302.10158610356416</v>
      </c>
      <c r="AV79" s="854">
        <f t="shared" si="134"/>
        <v>-421.84852823263549</v>
      </c>
      <c r="AW79" s="854">
        <f t="shared" si="114"/>
        <v>0</v>
      </c>
      <c r="AX79" s="855">
        <f t="shared" si="115"/>
        <v>0</v>
      </c>
      <c r="AZ79" s="854">
        <f t="shared" si="116"/>
        <v>0</v>
      </c>
      <c r="BA79" s="854">
        <f t="shared" si="117"/>
        <v>0</v>
      </c>
      <c r="BB79" s="854">
        <f t="shared" si="118"/>
        <v>0</v>
      </c>
      <c r="BC79" s="854">
        <f t="shared" si="119"/>
        <v>0</v>
      </c>
      <c r="BD79" s="854">
        <f t="shared" si="120"/>
        <v>0</v>
      </c>
      <c r="BE79" s="854">
        <f t="shared" si="121"/>
        <v>-538.79213287239304</v>
      </c>
      <c r="BF79" s="854">
        <f t="shared" si="122"/>
        <v>0</v>
      </c>
      <c r="BG79" s="854">
        <f t="shared" si="123"/>
        <v>-28236.147243041796</v>
      </c>
      <c r="BH79" s="854">
        <f t="shared" si="124"/>
        <v>-9160.8918905756072</v>
      </c>
      <c r="BI79" s="854">
        <f t="shared" si="125"/>
        <v>-95705.782477609115</v>
      </c>
      <c r="BJ79" s="854">
        <f t="shared" si="135"/>
        <v>-133641.61374409893</v>
      </c>
      <c r="BK79" s="58" t="str">
        <f t="shared" si="136"/>
        <v>OK</v>
      </c>
      <c r="BL79" s="856" t="str">
        <f t="shared" si="126"/>
        <v>Waihoehoe Rd West upgrades- between Kath Henry Lane and Fitzgerald Rd TRA A25 0.935905182821966 2060 0.00314663310258024</v>
      </c>
      <c r="BM79" s="153">
        <f t="shared" si="127"/>
        <v>2</v>
      </c>
      <c r="BN79" s="869">
        <f t="shared" si="137"/>
        <v>-134063.46227233156</v>
      </c>
      <c r="BO79" s="870">
        <f>IFERROR(VLOOKUP(AF79,FA_Codes!D:H,5,FALSE),"CHECK")</f>
        <v>0</v>
      </c>
      <c r="BP79" s="870" t="str">
        <f t="shared" si="128"/>
        <v>TRA</v>
      </c>
      <c r="BQ79" s="869">
        <f t="shared" si="129"/>
        <v>0</v>
      </c>
      <c r="BR79" s="870" t="str">
        <f t="shared" si="130"/>
        <v>23d TRA A25</v>
      </c>
      <c r="BS79" s="870" t="str">
        <f t="shared" si="138"/>
        <v>23d</v>
      </c>
      <c r="BT79" s="870" t="s">
        <v>6992</v>
      </c>
      <c r="BU79" s="870">
        <f t="shared" si="131"/>
        <v>2060</v>
      </c>
      <c r="BV79" s="153"/>
      <c r="BW79" s="153"/>
      <c r="BX79" s="153"/>
      <c r="BY79" s="153"/>
      <c r="BZ79" s="153"/>
      <c r="CA79" s="153"/>
      <c r="CB79" s="153"/>
      <c r="CC79" s="153"/>
      <c r="CD79" s="153"/>
      <c r="CE79" s="153"/>
      <c r="CF79" s="153"/>
    </row>
    <row r="80" spans="1:84" ht="26">
      <c r="A80" s="848"/>
      <c r="B80" s="848" t="s">
        <v>896</v>
      </c>
      <c r="C80" s="848"/>
      <c r="D80" s="848"/>
      <c r="E80" s="848" t="s">
        <v>6852</v>
      </c>
      <c r="F80" s="866" t="s">
        <v>6733</v>
      </c>
      <c r="G80" s="808" t="s">
        <v>6734</v>
      </c>
      <c r="H80" s="808"/>
      <c r="I80" s="808"/>
      <c r="J80" s="808"/>
      <c r="K80" s="808" t="s">
        <v>6784</v>
      </c>
      <c r="L80" s="808"/>
      <c r="M80" s="808"/>
      <c r="N80" s="808"/>
      <c r="O80" s="808"/>
      <c r="P80" s="808"/>
      <c r="Q80" s="849">
        <v>0.935905182821966</v>
      </c>
      <c r="R80" s="848">
        <v>2060</v>
      </c>
      <c r="S80" s="850">
        <v>0</v>
      </c>
      <c r="T80" s="850">
        <v>0</v>
      </c>
      <c r="U80" s="850">
        <v>0</v>
      </c>
      <c r="V80" s="850">
        <v>0</v>
      </c>
      <c r="W80" s="850">
        <v>0</v>
      </c>
      <c r="X80" s="850">
        <v>0</v>
      </c>
      <c r="Y80" s="850">
        <v>0</v>
      </c>
      <c r="Z80" s="850">
        <v>0</v>
      </c>
      <c r="AA80" s="850">
        <v>0</v>
      </c>
      <c r="AB80" s="850">
        <v>-345046.22261751548</v>
      </c>
      <c r="AC80" s="809">
        <f t="shared" si="132"/>
        <v>-345046.22261751548</v>
      </c>
      <c r="AD80" s="848"/>
      <c r="AF80" s="58" t="str">
        <f>IFERROR(VLOOKUP(K80,FA_Codes!C:F,2,FALSE),"CHECK")</f>
        <v>TRA A25</v>
      </c>
      <c r="AG80" s="851">
        <f t="shared" si="102"/>
        <v>-345046.22261751548</v>
      </c>
      <c r="AH80" s="58" t="str">
        <f>IFERROR(VLOOKUP(AF80,FA_Codes!D:F,3,FALSE),"CHECK")</f>
        <v>Local</v>
      </c>
      <c r="AI80" s="852">
        <v>3.1466331025802393E-3</v>
      </c>
      <c r="AJ80" s="853">
        <f t="shared" si="133"/>
        <v>0.99685336689741977</v>
      </c>
      <c r="AK80" s="854">
        <f t="shared" si="103"/>
        <v>-22115.674556640875</v>
      </c>
      <c r="AL80" s="854">
        <f t="shared" si="104"/>
        <v>0</v>
      </c>
      <c r="AM80" s="854">
        <f t="shared" si="105"/>
        <v>0</v>
      </c>
      <c r="AN80" s="854">
        <f t="shared" si="106"/>
        <v>0</v>
      </c>
      <c r="AO80" s="854">
        <f t="shared" si="107"/>
        <v>0</v>
      </c>
      <c r="AP80" s="854">
        <f t="shared" si="108"/>
        <v>0</v>
      </c>
      <c r="AQ80" s="854">
        <f t="shared" si="109"/>
        <v>0</v>
      </c>
      <c r="AR80" s="854">
        <f t="shared" si="110"/>
        <v>0</v>
      </c>
      <c r="AS80" s="854">
        <f t="shared" si="111"/>
        <v>0</v>
      </c>
      <c r="AT80" s="854">
        <f t="shared" si="112"/>
        <v>0</v>
      </c>
      <c r="AU80" s="854">
        <f t="shared" si="113"/>
        <v>-1016.143952362727</v>
      </c>
      <c r="AV80" s="854">
        <f t="shared" si="134"/>
        <v>-1016.143952362727</v>
      </c>
      <c r="AW80" s="854">
        <f t="shared" si="114"/>
        <v>0</v>
      </c>
      <c r="AX80" s="855">
        <f t="shared" si="115"/>
        <v>0</v>
      </c>
      <c r="AZ80" s="854">
        <f t="shared" si="116"/>
        <v>0</v>
      </c>
      <c r="BA80" s="854">
        <f t="shared" si="117"/>
        <v>0</v>
      </c>
      <c r="BB80" s="854">
        <f t="shared" si="118"/>
        <v>0</v>
      </c>
      <c r="BC80" s="854">
        <f t="shared" si="119"/>
        <v>0</v>
      </c>
      <c r="BD80" s="854">
        <f t="shared" si="120"/>
        <v>0</v>
      </c>
      <c r="BE80" s="854">
        <f t="shared" si="121"/>
        <v>0</v>
      </c>
      <c r="BF80" s="854">
        <f t="shared" si="122"/>
        <v>0</v>
      </c>
      <c r="BG80" s="854">
        <f t="shared" si="123"/>
        <v>0</v>
      </c>
      <c r="BH80" s="854">
        <f t="shared" si="124"/>
        <v>0</v>
      </c>
      <c r="BI80" s="854">
        <f t="shared" si="125"/>
        <v>-321914.40410851192</v>
      </c>
      <c r="BJ80" s="854">
        <f t="shared" si="135"/>
        <v>-321914.40410851192</v>
      </c>
      <c r="BK80" s="58" t="str">
        <f t="shared" si="136"/>
        <v>OK</v>
      </c>
      <c r="BL80" s="856" t="str">
        <f t="shared" si="126"/>
        <v>Bremner-Norrie Road east of SH1 up to GSR (overlap with project 12) TRA A25 0.935905182821966 2060 0.00314663310258024</v>
      </c>
      <c r="BM80" s="153">
        <f t="shared" si="127"/>
        <v>2</v>
      </c>
      <c r="BN80" s="869">
        <f t="shared" si="137"/>
        <v>-322930.54806087463</v>
      </c>
      <c r="BO80" s="870">
        <f>IFERROR(VLOOKUP(AF80,FA_Codes!D:H,5,FALSE),"CHECK")</f>
        <v>0</v>
      </c>
      <c r="BP80" s="870" t="str">
        <f t="shared" si="128"/>
        <v>TRA</v>
      </c>
      <c r="BQ80" s="869">
        <f t="shared" si="129"/>
        <v>0</v>
      </c>
      <c r="BR80" s="870" t="str">
        <f t="shared" si="130"/>
        <v>36a TRA A25</v>
      </c>
      <c r="BS80" s="870" t="str">
        <f t="shared" si="138"/>
        <v>36a</v>
      </c>
      <c r="BT80" s="870" t="s">
        <v>6992</v>
      </c>
      <c r="BU80" s="870">
        <f t="shared" si="131"/>
        <v>2060</v>
      </c>
      <c r="BV80" s="153"/>
      <c r="BW80" s="153"/>
      <c r="BX80" s="153"/>
      <c r="BY80" s="153"/>
      <c r="BZ80" s="153"/>
      <c r="CA80" s="153"/>
      <c r="CB80" s="153"/>
      <c r="CC80" s="153"/>
      <c r="CD80" s="153"/>
      <c r="CE80" s="153"/>
      <c r="CF80" s="153"/>
    </row>
    <row r="81" spans="1:84" ht="26">
      <c r="A81" s="848"/>
      <c r="B81" s="848" t="s">
        <v>896</v>
      </c>
      <c r="C81" s="848"/>
      <c r="D81" s="848"/>
      <c r="E81" s="848" t="s">
        <v>6853</v>
      </c>
      <c r="F81" s="866" t="s">
        <v>6735</v>
      </c>
      <c r="G81" s="808" t="s">
        <v>6736</v>
      </c>
      <c r="H81" s="808"/>
      <c r="I81" s="808"/>
      <c r="J81" s="808"/>
      <c r="K81" s="808" t="s">
        <v>6784</v>
      </c>
      <c r="L81" s="808"/>
      <c r="M81" s="808"/>
      <c r="N81" s="808"/>
      <c r="O81" s="808"/>
      <c r="P81" s="808"/>
      <c r="Q81" s="849">
        <v>0.935905182821966</v>
      </c>
      <c r="R81" s="848">
        <v>2060</v>
      </c>
      <c r="S81" s="850">
        <v>0</v>
      </c>
      <c r="T81" s="850">
        <v>0</v>
      </c>
      <c r="U81" s="850">
        <v>0</v>
      </c>
      <c r="V81" s="850">
        <v>-75292.413692732531</v>
      </c>
      <c r="W81" s="850">
        <v>-50648.472586514195</v>
      </c>
      <c r="X81" s="850">
        <v>-508514.44993978442</v>
      </c>
      <c r="Y81" s="850">
        <v>0</v>
      </c>
      <c r="Z81" s="850">
        <v>0</v>
      </c>
      <c r="AA81" s="850">
        <v>0</v>
      </c>
      <c r="AB81" s="850">
        <v>0</v>
      </c>
      <c r="AC81" s="809">
        <f t="shared" si="132"/>
        <v>-634455.33621903113</v>
      </c>
      <c r="AD81" s="848"/>
      <c r="AF81" s="58" t="str">
        <f>IFERROR(VLOOKUP(K81,FA_Codes!C:F,2,FALSE),"CHECK")</f>
        <v>TRA A25</v>
      </c>
      <c r="AG81" s="851">
        <f t="shared" si="102"/>
        <v>-634455.33621903113</v>
      </c>
      <c r="AH81" s="58" t="str">
        <f>IFERROR(VLOOKUP(AF81,FA_Codes!D:F,3,FALSE),"CHECK")</f>
        <v>Local</v>
      </c>
      <c r="AI81" s="852">
        <v>3.1466331025802393E-3</v>
      </c>
      <c r="AJ81" s="853">
        <f t="shared" si="133"/>
        <v>0.99685336689741977</v>
      </c>
      <c r="AK81" s="854">
        <f t="shared" si="103"/>
        <v>-40665.298782586899</v>
      </c>
      <c r="AL81" s="854">
        <f t="shared" si="104"/>
        <v>0</v>
      </c>
      <c r="AM81" s="854">
        <f t="shared" si="105"/>
        <v>0</v>
      </c>
      <c r="AN81" s="854">
        <f t="shared" si="106"/>
        <v>0</v>
      </c>
      <c r="AO81" s="854">
        <f t="shared" si="107"/>
        <v>-221.73241095721818</v>
      </c>
      <c r="AP81" s="854">
        <f t="shared" si="108"/>
        <v>-149.15723094944903</v>
      </c>
      <c r="AQ81" s="854">
        <f t="shared" si="109"/>
        <v>-1497.5497458732079</v>
      </c>
      <c r="AR81" s="854">
        <f t="shared" si="110"/>
        <v>0</v>
      </c>
      <c r="AS81" s="854">
        <f t="shared" si="111"/>
        <v>0</v>
      </c>
      <c r="AT81" s="854">
        <f t="shared" si="112"/>
        <v>0</v>
      </c>
      <c r="AU81" s="854">
        <f t="shared" si="113"/>
        <v>0</v>
      </c>
      <c r="AV81" s="854">
        <f t="shared" si="134"/>
        <v>-1868.4393877798752</v>
      </c>
      <c r="AW81" s="854">
        <f t="shared" si="114"/>
        <v>0</v>
      </c>
      <c r="AX81" s="855">
        <f t="shared" si="115"/>
        <v>0</v>
      </c>
      <c r="AZ81" s="854">
        <f t="shared" si="116"/>
        <v>0</v>
      </c>
      <c r="BA81" s="854">
        <f t="shared" si="117"/>
        <v>0</v>
      </c>
      <c r="BB81" s="854">
        <f t="shared" si="118"/>
        <v>0</v>
      </c>
      <c r="BC81" s="854">
        <f t="shared" si="119"/>
        <v>-70244.827791246717</v>
      </c>
      <c r="BD81" s="854">
        <f t="shared" si="120"/>
        <v>-47253.010764785453</v>
      </c>
      <c r="BE81" s="854">
        <f t="shared" si="121"/>
        <v>-474423.75949263223</v>
      </c>
      <c r="BF81" s="854">
        <f t="shared" si="122"/>
        <v>0</v>
      </c>
      <c r="BG81" s="854">
        <f t="shared" si="123"/>
        <v>0</v>
      </c>
      <c r="BH81" s="854">
        <f t="shared" si="124"/>
        <v>0</v>
      </c>
      <c r="BI81" s="854">
        <f t="shared" si="125"/>
        <v>0</v>
      </c>
      <c r="BJ81" s="854">
        <f t="shared" si="135"/>
        <v>-591921.5980486644</v>
      </c>
      <c r="BK81" s="58" t="str">
        <f t="shared" si="136"/>
        <v>OK</v>
      </c>
      <c r="BL81" s="856" t="str">
        <f t="shared" si="126"/>
        <v>New intersection on Jesmond/Bremner Rd TRA A25 0.935905182821966 2060 0.00314663310258024</v>
      </c>
      <c r="BM81" s="153">
        <f t="shared" si="127"/>
        <v>2</v>
      </c>
      <c r="BN81" s="869">
        <f t="shared" si="137"/>
        <v>-593790.03743644431</v>
      </c>
      <c r="BO81" s="870">
        <f>IFERROR(VLOOKUP(AF81,FA_Codes!D:H,5,FALSE),"CHECK")</f>
        <v>0</v>
      </c>
      <c r="BP81" s="870" t="str">
        <f t="shared" si="128"/>
        <v>TRA</v>
      </c>
      <c r="BQ81" s="869">
        <f t="shared" si="129"/>
        <v>0</v>
      </c>
      <c r="BR81" s="870" t="str">
        <f t="shared" si="130"/>
        <v>40a TRA A25</v>
      </c>
      <c r="BS81" s="870" t="str">
        <f t="shared" si="138"/>
        <v>40a</v>
      </c>
      <c r="BT81" s="870" t="s">
        <v>6992</v>
      </c>
      <c r="BU81" s="870">
        <f t="shared" si="131"/>
        <v>2060</v>
      </c>
      <c r="BV81" s="153"/>
      <c r="BW81" s="153"/>
      <c r="BX81" s="153"/>
      <c r="BY81" s="153"/>
      <c r="BZ81" s="153"/>
      <c r="CA81" s="153"/>
      <c r="CB81" s="153"/>
      <c r="CC81" s="153"/>
      <c r="CD81" s="153"/>
      <c r="CE81" s="153"/>
      <c r="CF81" s="153"/>
    </row>
    <row r="82" spans="1:84" ht="26">
      <c r="A82" s="848"/>
      <c r="B82" s="848" t="s">
        <v>896</v>
      </c>
      <c r="C82" s="848"/>
      <c r="D82" s="848"/>
      <c r="E82" s="848" t="s">
        <v>6881</v>
      </c>
      <c r="F82" s="866" t="s">
        <v>6873</v>
      </c>
      <c r="G82" s="808" t="s">
        <v>6874</v>
      </c>
      <c r="H82" s="808"/>
      <c r="I82" s="808"/>
      <c r="J82" s="808"/>
      <c r="K82" s="808" t="s">
        <v>6784</v>
      </c>
      <c r="L82" s="808"/>
      <c r="M82" s="808"/>
      <c r="N82" s="808"/>
      <c r="O82" s="808"/>
      <c r="P82" s="808"/>
      <c r="Q82" s="849">
        <v>0.935905182821966</v>
      </c>
      <c r="R82" s="848">
        <v>2060</v>
      </c>
      <c r="S82" s="850">
        <v>0</v>
      </c>
      <c r="T82" s="850">
        <v>0</v>
      </c>
      <c r="U82" s="850">
        <v>0</v>
      </c>
      <c r="V82" s="850">
        <v>0</v>
      </c>
      <c r="W82" s="850">
        <v>0</v>
      </c>
      <c r="X82" s="850">
        <v>0</v>
      </c>
      <c r="Y82" s="850">
        <v>0</v>
      </c>
      <c r="Z82" s="850">
        <v>0</v>
      </c>
      <c r="AA82" s="850">
        <v>-79248.180292341858</v>
      </c>
      <c r="AB82" s="850">
        <v>-787337.87558444298</v>
      </c>
      <c r="AC82" s="809">
        <f t="shared" si="132"/>
        <v>-866586.05587678484</v>
      </c>
      <c r="AD82" s="848"/>
      <c r="AF82" s="58" t="str">
        <f>IFERROR(VLOOKUP(K82,FA_Codes!C:F,2,FALSE),"CHECK")</f>
        <v>TRA A25</v>
      </c>
      <c r="AG82" s="851">
        <f t="shared" si="102"/>
        <v>-866586.05587678484</v>
      </c>
      <c r="AH82" s="58" t="str">
        <f>IFERROR(VLOOKUP(AF82,FA_Codes!D:F,3,FALSE),"CHECK")</f>
        <v>Local</v>
      </c>
      <c r="AI82" s="852">
        <v>3.1466331025802393E-3</v>
      </c>
      <c r="AJ82" s="853">
        <f t="shared" si="133"/>
        <v>0.99685336689741977</v>
      </c>
      <c r="AK82" s="854">
        <f t="shared" si="103"/>
        <v>-55543.674820456086</v>
      </c>
      <c r="AL82" s="854">
        <f t="shared" si="104"/>
        <v>0</v>
      </c>
      <c r="AM82" s="854">
        <f t="shared" si="105"/>
        <v>0</v>
      </c>
      <c r="AN82" s="854">
        <f t="shared" si="106"/>
        <v>0</v>
      </c>
      <c r="AO82" s="854">
        <f t="shared" si="107"/>
        <v>0</v>
      </c>
      <c r="AP82" s="854">
        <f t="shared" si="108"/>
        <v>0</v>
      </c>
      <c r="AQ82" s="854">
        <f t="shared" si="109"/>
        <v>0</v>
      </c>
      <c r="AR82" s="854">
        <f t="shared" si="110"/>
        <v>0</v>
      </c>
      <c r="AS82" s="854">
        <f t="shared" si="111"/>
        <v>0</v>
      </c>
      <c r="AT82" s="854">
        <f t="shared" si="112"/>
        <v>-233.38194671117787</v>
      </c>
      <c r="AU82" s="854">
        <f t="shared" si="113"/>
        <v>-2318.6708571161626</v>
      </c>
      <c r="AV82" s="854">
        <f t="shared" si="134"/>
        <v>-2552.0528038273405</v>
      </c>
      <c r="AW82" s="854">
        <f t="shared" si="114"/>
        <v>0</v>
      </c>
      <c r="AX82" s="855">
        <f t="shared" si="115"/>
        <v>0</v>
      </c>
      <c r="AZ82" s="854">
        <f t="shared" si="116"/>
        <v>0</v>
      </c>
      <c r="BA82" s="854">
        <f t="shared" si="117"/>
        <v>0</v>
      </c>
      <c r="BB82" s="854">
        <f t="shared" si="118"/>
        <v>0</v>
      </c>
      <c r="BC82" s="854">
        <f t="shared" si="119"/>
        <v>0</v>
      </c>
      <c r="BD82" s="854">
        <f t="shared" si="120"/>
        <v>0</v>
      </c>
      <c r="BE82" s="854">
        <f t="shared" si="121"/>
        <v>0</v>
      </c>
      <c r="BF82" s="854">
        <f t="shared" si="122"/>
        <v>0</v>
      </c>
      <c r="BG82" s="854">
        <f t="shared" si="123"/>
        <v>0</v>
      </c>
      <c r="BH82" s="854">
        <f t="shared" si="124"/>
        <v>-73935.400718101155</v>
      </c>
      <c r="BI82" s="854">
        <f t="shared" si="125"/>
        <v>-734554.92753440037</v>
      </c>
      <c r="BJ82" s="854">
        <f t="shared" si="135"/>
        <v>-808490.32825250155</v>
      </c>
      <c r="BK82" s="58" t="str">
        <f t="shared" si="136"/>
        <v>OK</v>
      </c>
      <c r="BL82" s="856" t="str">
        <f t="shared" si="126"/>
        <v>Upgrade intersection on Jesmond/Bremner Rd TRA A25 0.935905182821966 2060 0.00314663310258024</v>
      </c>
      <c r="BM82" s="153">
        <f t="shared" si="127"/>
        <v>2</v>
      </c>
      <c r="BN82" s="869">
        <f t="shared" si="137"/>
        <v>-811042.38105632889</v>
      </c>
      <c r="BO82" s="870">
        <f>IFERROR(VLOOKUP(AF82,FA_Codes!D:H,5,FALSE),"CHECK")</f>
        <v>0</v>
      </c>
      <c r="BP82" s="870" t="str">
        <f t="shared" si="128"/>
        <v>TRA</v>
      </c>
      <c r="BQ82" s="869">
        <f t="shared" si="129"/>
        <v>0</v>
      </c>
      <c r="BR82" s="870" t="str">
        <f t="shared" si="130"/>
        <v>40b TRA A25</v>
      </c>
      <c r="BS82" s="870" t="str">
        <f t="shared" si="138"/>
        <v>40b</v>
      </c>
      <c r="BT82" s="870" t="s">
        <v>6992</v>
      </c>
      <c r="BU82" s="870">
        <f t="shared" si="131"/>
        <v>2060</v>
      </c>
      <c r="BV82" s="153"/>
      <c r="BW82" s="153"/>
      <c r="BX82" s="153"/>
      <c r="BY82" s="153"/>
      <c r="BZ82" s="153"/>
      <c r="CA82" s="153"/>
      <c r="CB82" s="153"/>
      <c r="CC82" s="153"/>
      <c r="CD82" s="153"/>
      <c r="CE82" s="153"/>
      <c r="CF82" s="153"/>
    </row>
    <row r="83" spans="1:84" ht="26">
      <c r="A83" s="848"/>
      <c r="B83" s="848" t="s">
        <v>896</v>
      </c>
      <c r="C83" s="848"/>
      <c r="D83" s="848"/>
      <c r="E83" s="848" t="s">
        <v>6854</v>
      </c>
      <c r="F83" s="866" t="s">
        <v>6737</v>
      </c>
      <c r="G83" s="808" t="s">
        <v>6738</v>
      </c>
      <c r="H83" s="808"/>
      <c r="I83" s="808"/>
      <c r="J83" s="808"/>
      <c r="K83" s="808" t="s">
        <v>6784</v>
      </c>
      <c r="L83" s="808"/>
      <c r="M83" s="808"/>
      <c r="N83" s="808"/>
      <c r="O83" s="808"/>
      <c r="P83" s="808"/>
      <c r="Q83" s="849">
        <v>0.935905182821966</v>
      </c>
      <c r="R83" s="848">
        <v>2060</v>
      </c>
      <c r="S83" s="850">
        <v>0</v>
      </c>
      <c r="T83" s="850">
        <v>0</v>
      </c>
      <c r="U83" s="850">
        <v>0</v>
      </c>
      <c r="V83" s="850">
        <v>0</v>
      </c>
      <c r="W83" s="850">
        <v>-20707.001767207585</v>
      </c>
      <c r="X83" s="850">
        <v>-205725.94501191346</v>
      </c>
      <c r="Y83" s="850">
        <v>0</v>
      </c>
      <c r="Z83" s="850">
        <v>0</v>
      </c>
      <c r="AA83" s="850">
        <v>0</v>
      </c>
      <c r="AB83" s="850">
        <v>0</v>
      </c>
      <c r="AC83" s="809">
        <f t="shared" si="132"/>
        <v>-226432.94677912103</v>
      </c>
      <c r="AD83" s="848"/>
      <c r="AF83" s="58" t="str">
        <f>IFERROR(VLOOKUP(K83,FA_Codes!C:F,2,FALSE),"CHECK")</f>
        <v>TRA A25</v>
      </c>
      <c r="AG83" s="851">
        <f t="shared" si="102"/>
        <v>-226432.94677912103</v>
      </c>
      <c r="AH83" s="58" t="str">
        <f>IFERROR(VLOOKUP(AF83,FA_Codes!D:F,3,FALSE),"CHECK")</f>
        <v>Local</v>
      </c>
      <c r="AI83" s="852">
        <v>3.1466331025802393E-3</v>
      </c>
      <c r="AJ83" s="853">
        <f t="shared" si="133"/>
        <v>0.99685336689741977</v>
      </c>
      <c r="AK83" s="854">
        <f t="shared" si="103"/>
        <v>-14513.178326891266</v>
      </c>
      <c r="AL83" s="854">
        <f t="shared" si="104"/>
        <v>0</v>
      </c>
      <c r="AM83" s="854">
        <f t="shared" si="105"/>
        <v>0</v>
      </c>
      <c r="AN83" s="854">
        <f t="shared" si="106"/>
        <v>0</v>
      </c>
      <c r="AO83" s="854">
        <f t="shared" si="107"/>
        <v>0</v>
      </c>
      <c r="AP83" s="854">
        <f t="shared" si="108"/>
        <v>-60.981089599223381</v>
      </c>
      <c r="AQ83" s="854">
        <f t="shared" si="109"/>
        <v>-605.85266890370224</v>
      </c>
      <c r="AR83" s="854">
        <f t="shared" si="110"/>
        <v>0</v>
      </c>
      <c r="AS83" s="854">
        <f t="shared" si="111"/>
        <v>0</v>
      </c>
      <c r="AT83" s="854">
        <f t="shared" si="112"/>
        <v>0</v>
      </c>
      <c r="AU83" s="854">
        <f t="shared" si="113"/>
        <v>0</v>
      </c>
      <c r="AV83" s="854">
        <f t="shared" si="134"/>
        <v>-666.83375850292566</v>
      </c>
      <c r="AW83" s="854">
        <f t="shared" si="114"/>
        <v>0</v>
      </c>
      <c r="AX83" s="855">
        <f t="shared" si="115"/>
        <v>0</v>
      </c>
      <c r="AZ83" s="854">
        <f t="shared" si="116"/>
        <v>0</v>
      </c>
      <c r="BA83" s="854">
        <f t="shared" si="117"/>
        <v>0</v>
      </c>
      <c r="BB83" s="854">
        <f t="shared" si="118"/>
        <v>0</v>
      </c>
      <c r="BC83" s="854">
        <f t="shared" si="119"/>
        <v>0</v>
      </c>
      <c r="BD83" s="854">
        <f t="shared" si="120"/>
        <v>-19318.809185033966</v>
      </c>
      <c r="BE83" s="854">
        <f t="shared" si="121"/>
        <v>-191934.12550869287</v>
      </c>
      <c r="BF83" s="854">
        <f t="shared" si="122"/>
        <v>0</v>
      </c>
      <c r="BG83" s="854">
        <f t="shared" si="123"/>
        <v>0</v>
      </c>
      <c r="BH83" s="854">
        <f t="shared" si="124"/>
        <v>0</v>
      </c>
      <c r="BI83" s="854">
        <f t="shared" si="125"/>
        <v>0</v>
      </c>
      <c r="BJ83" s="854">
        <f t="shared" si="135"/>
        <v>-211252.93469372683</v>
      </c>
      <c r="BK83" s="58" t="str">
        <f t="shared" si="136"/>
        <v>OK</v>
      </c>
      <c r="BL83" s="856" t="str">
        <f t="shared" si="126"/>
        <v>Jesmond Rd upgrades from SH22 to Waipupuke development boundary TRA A25 0.935905182821966 2060 0.00314663310258024</v>
      </c>
      <c r="BM83" s="153">
        <f t="shared" si="127"/>
        <v>2</v>
      </c>
      <c r="BN83" s="869">
        <f t="shared" si="137"/>
        <v>-211919.76845222976</v>
      </c>
      <c r="BO83" s="870">
        <f>IFERROR(VLOOKUP(AF83,FA_Codes!D:H,5,FALSE),"CHECK")</f>
        <v>0</v>
      </c>
      <c r="BP83" s="870" t="str">
        <f t="shared" si="128"/>
        <v>TRA</v>
      </c>
      <c r="BQ83" s="869">
        <f t="shared" si="129"/>
        <v>0</v>
      </c>
      <c r="BR83" s="870" t="str">
        <f t="shared" si="130"/>
        <v>41a TRA A25</v>
      </c>
      <c r="BS83" s="870" t="str">
        <f t="shared" si="138"/>
        <v>41a</v>
      </c>
      <c r="BT83" s="870" t="s">
        <v>6992</v>
      </c>
      <c r="BU83" s="870">
        <f t="shared" si="131"/>
        <v>2060</v>
      </c>
      <c r="BV83" s="153"/>
      <c r="BW83" s="153"/>
      <c r="BX83" s="153"/>
      <c r="BY83" s="153"/>
      <c r="BZ83" s="153"/>
      <c r="CA83" s="153"/>
      <c r="CB83" s="153"/>
      <c r="CC83" s="153"/>
      <c r="CD83" s="153"/>
      <c r="CE83" s="153"/>
      <c r="CF83" s="153"/>
    </row>
    <row r="84" spans="1:84" ht="26">
      <c r="A84" s="848"/>
      <c r="B84" s="848" t="s">
        <v>896</v>
      </c>
      <c r="C84" s="848"/>
      <c r="D84" s="848"/>
      <c r="E84" s="848" t="s">
        <v>6855</v>
      </c>
      <c r="F84" s="866" t="s">
        <v>6739</v>
      </c>
      <c r="G84" s="808" t="s">
        <v>6740</v>
      </c>
      <c r="H84" s="808"/>
      <c r="I84" s="808"/>
      <c r="J84" s="808"/>
      <c r="K84" s="808" t="s">
        <v>6784</v>
      </c>
      <c r="L84" s="808"/>
      <c r="M84" s="808"/>
      <c r="N84" s="808"/>
      <c r="O84" s="808"/>
      <c r="P84" s="808"/>
      <c r="Q84" s="849">
        <v>0.935905182821966</v>
      </c>
      <c r="R84" s="848">
        <v>2060</v>
      </c>
      <c r="S84" s="850">
        <v>0</v>
      </c>
      <c r="T84" s="850">
        <v>0</v>
      </c>
      <c r="U84" s="850">
        <v>0</v>
      </c>
      <c r="V84" s="850">
        <v>0</v>
      </c>
      <c r="W84" s="850">
        <v>0</v>
      </c>
      <c r="X84" s="850">
        <v>0</v>
      </c>
      <c r="Y84" s="850">
        <v>0</v>
      </c>
      <c r="Z84" s="850">
        <v>0</v>
      </c>
      <c r="AA84" s="850">
        <v>-35094.829816560894</v>
      </c>
      <c r="AB84" s="850">
        <v>-348670.32466660661</v>
      </c>
      <c r="AC84" s="809">
        <f t="shared" si="132"/>
        <v>-383765.15448316751</v>
      </c>
      <c r="AD84" s="848"/>
      <c r="AF84" s="58" t="str">
        <f>IFERROR(VLOOKUP(K84,FA_Codes!C:F,2,FALSE),"CHECK")</f>
        <v>TRA A25</v>
      </c>
      <c r="AG84" s="851">
        <f t="shared" si="102"/>
        <v>-383765.15448316751</v>
      </c>
      <c r="AH84" s="58" t="str">
        <f>IFERROR(VLOOKUP(AF84,FA_Codes!D:F,3,FALSE),"CHECK")</f>
        <v>Local</v>
      </c>
      <c r="AI84" s="852">
        <v>3.1466331025802393E-3</v>
      </c>
      <c r="AJ84" s="853">
        <f t="shared" si="133"/>
        <v>0.99685336689741977</v>
      </c>
      <c r="AK84" s="854">
        <f t="shared" si="103"/>
        <v>-24597.357415898598</v>
      </c>
      <c r="AL84" s="854">
        <f t="shared" si="104"/>
        <v>0</v>
      </c>
      <c r="AM84" s="854">
        <f t="shared" si="105"/>
        <v>0</v>
      </c>
      <c r="AN84" s="854">
        <f t="shared" si="106"/>
        <v>0</v>
      </c>
      <c r="AO84" s="854">
        <f t="shared" si="107"/>
        <v>0</v>
      </c>
      <c r="AP84" s="854">
        <f t="shared" si="108"/>
        <v>0</v>
      </c>
      <c r="AQ84" s="854">
        <f t="shared" si="109"/>
        <v>0</v>
      </c>
      <c r="AR84" s="854">
        <f t="shared" si="110"/>
        <v>0</v>
      </c>
      <c r="AS84" s="854">
        <f t="shared" si="111"/>
        <v>0</v>
      </c>
      <c r="AT84" s="854">
        <f t="shared" si="112"/>
        <v>-103.35252711005099</v>
      </c>
      <c r="AU84" s="854">
        <f t="shared" si="113"/>
        <v>-1026.816752522639</v>
      </c>
      <c r="AV84" s="854">
        <f t="shared" si="134"/>
        <v>-1130.1692796326899</v>
      </c>
      <c r="AW84" s="854">
        <f t="shared" si="114"/>
        <v>0</v>
      </c>
      <c r="AX84" s="855">
        <f t="shared" si="115"/>
        <v>0</v>
      </c>
      <c r="AZ84" s="854">
        <f t="shared" si="116"/>
        <v>0</v>
      </c>
      <c r="BA84" s="854">
        <f t="shared" si="117"/>
        <v>0</v>
      </c>
      <c r="BB84" s="854">
        <f t="shared" si="118"/>
        <v>0</v>
      </c>
      <c r="BC84" s="854">
        <f t="shared" si="119"/>
        <v>0</v>
      </c>
      <c r="BD84" s="854">
        <f t="shared" si="120"/>
        <v>0</v>
      </c>
      <c r="BE84" s="854">
        <f t="shared" si="121"/>
        <v>0</v>
      </c>
      <c r="BF84" s="854">
        <f t="shared" si="122"/>
        <v>0</v>
      </c>
      <c r="BG84" s="854">
        <f t="shared" si="123"/>
        <v>0</v>
      </c>
      <c r="BH84" s="854">
        <f t="shared" si="124"/>
        <v>-32742.080588464152</v>
      </c>
      <c r="BI84" s="854">
        <f t="shared" si="125"/>
        <v>-325295.54719917203</v>
      </c>
      <c r="BJ84" s="854">
        <f t="shared" si="135"/>
        <v>-358037.62778763619</v>
      </c>
      <c r="BK84" s="58" t="str">
        <f t="shared" si="136"/>
        <v>OK</v>
      </c>
      <c r="BL84" s="856" t="str">
        <f t="shared" si="126"/>
        <v>Jesmond Rd upgrades from project 41 to New Bremner Rd  TRA A25 0.935905182821966 2060 0.00314663310258024</v>
      </c>
      <c r="BM84" s="153">
        <f t="shared" si="127"/>
        <v>2</v>
      </c>
      <c r="BN84" s="869">
        <f t="shared" si="137"/>
        <v>-359167.79706726887</v>
      </c>
      <c r="BO84" s="870">
        <f>IFERROR(VLOOKUP(AF84,FA_Codes!D:H,5,FALSE),"CHECK")</f>
        <v>0</v>
      </c>
      <c r="BP84" s="870" t="str">
        <f t="shared" si="128"/>
        <v>TRA</v>
      </c>
      <c r="BQ84" s="869">
        <f t="shared" si="129"/>
        <v>0</v>
      </c>
      <c r="BR84" s="870" t="str">
        <f t="shared" si="130"/>
        <v>42b TRA A25</v>
      </c>
      <c r="BS84" s="870" t="str">
        <f t="shared" si="138"/>
        <v>42b</v>
      </c>
      <c r="BT84" s="870" t="s">
        <v>6992</v>
      </c>
      <c r="BU84" s="870">
        <f t="shared" si="131"/>
        <v>2060</v>
      </c>
      <c r="BV84" s="153"/>
      <c r="BW84" s="153"/>
      <c r="BX84" s="153"/>
      <c r="BY84" s="153"/>
      <c r="BZ84" s="153"/>
      <c r="CA84" s="153"/>
      <c r="CB84" s="153"/>
      <c r="CC84" s="153"/>
      <c r="CD84" s="153"/>
      <c r="CE84" s="153"/>
      <c r="CF84" s="153"/>
    </row>
    <row r="85" spans="1:84" ht="26">
      <c r="A85" s="848"/>
      <c r="B85" s="848" t="s">
        <v>896</v>
      </c>
      <c r="C85" s="848"/>
      <c r="D85" s="848"/>
      <c r="E85" s="848" t="s">
        <v>6856</v>
      </c>
      <c r="F85" s="866" t="s">
        <v>6745</v>
      </c>
      <c r="G85" s="808">
        <v>0</v>
      </c>
      <c r="H85" s="808"/>
      <c r="I85" s="808"/>
      <c r="J85" s="808"/>
      <c r="K85" s="808" t="s">
        <v>6784</v>
      </c>
      <c r="L85" s="808"/>
      <c r="M85" s="808"/>
      <c r="N85" s="808"/>
      <c r="O85" s="808"/>
      <c r="P85" s="808"/>
      <c r="Q85" s="849">
        <v>0.935905182821966</v>
      </c>
      <c r="R85" s="848">
        <v>2060</v>
      </c>
      <c r="S85" s="850">
        <v>0</v>
      </c>
      <c r="T85" s="850">
        <v>0</v>
      </c>
      <c r="U85" s="850">
        <v>0</v>
      </c>
      <c r="V85" s="850">
        <v>0</v>
      </c>
      <c r="W85" s="850">
        <v>0</v>
      </c>
      <c r="X85" s="850">
        <v>0</v>
      </c>
      <c r="Y85" s="850">
        <v>0</v>
      </c>
      <c r="Z85" s="850">
        <v>-62088.913782918695</v>
      </c>
      <c r="AA85" s="850">
        <v>0</v>
      </c>
      <c r="AB85" s="850">
        <v>-646471.26969604788</v>
      </c>
      <c r="AC85" s="809">
        <f t="shared" si="132"/>
        <v>-708560.18347896659</v>
      </c>
      <c r="AD85" s="848"/>
      <c r="AF85" s="58" t="str">
        <f>IFERROR(VLOOKUP(K85,FA_Codes!C:F,2,FALSE),"CHECK")</f>
        <v>TRA A25</v>
      </c>
      <c r="AG85" s="851">
        <f t="shared" si="102"/>
        <v>-708560.18347896659</v>
      </c>
      <c r="AH85" s="58" t="str">
        <f>IFERROR(VLOOKUP(AF85,FA_Codes!D:F,3,FALSE),"CHECK")</f>
        <v>Local</v>
      </c>
      <c r="AI85" s="852">
        <v>3.1466331025802393E-3</v>
      </c>
      <c r="AJ85" s="853">
        <f t="shared" si="133"/>
        <v>0.99685336689741977</v>
      </c>
      <c r="AK85" s="854">
        <f t="shared" si="103"/>
        <v>-45415.035419718595</v>
      </c>
      <c r="AL85" s="854">
        <f t="shared" si="104"/>
        <v>0</v>
      </c>
      <c r="AM85" s="854">
        <f t="shared" si="105"/>
        <v>0</v>
      </c>
      <c r="AN85" s="854">
        <f t="shared" si="106"/>
        <v>0</v>
      </c>
      <c r="AO85" s="854">
        <f t="shared" si="107"/>
        <v>0</v>
      </c>
      <c r="AP85" s="854">
        <f t="shared" si="108"/>
        <v>0</v>
      </c>
      <c r="AQ85" s="854">
        <f t="shared" si="109"/>
        <v>0</v>
      </c>
      <c r="AR85" s="854">
        <f t="shared" si="110"/>
        <v>0</v>
      </c>
      <c r="AS85" s="854">
        <f t="shared" si="111"/>
        <v>-182.84876087230901</v>
      </c>
      <c r="AT85" s="854">
        <f t="shared" si="112"/>
        <v>0</v>
      </c>
      <c r="AU85" s="854">
        <f t="shared" si="113"/>
        <v>-1903.8257138263946</v>
      </c>
      <c r="AV85" s="854">
        <f t="shared" si="134"/>
        <v>-2086.6744746987038</v>
      </c>
      <c r="AW85" s="854">
        <f t="shared" si="114"/>
        <v>0</v>
      </c>
      <c r="AX85" s="855">
        <f t="shared" si="115"/>
        <v>0</v>
      </c>
      <c r="AZ85" s="854">
        <f t="shared" si="116"/>
        <v>0</v>
      </c>
      <c r="BA85" s="854">
        <f t="shared" si="117"/>
        <v>0</v>
      </c>
      <c r="BB85" s="854">
        <f t="shared" si="118"/>
        <v>0</v>
      </c>
      <c r="BC85" s="854">
        <f t="shared" si="119"/>
        <v>0</v>
      </c>
      <c r="BD85" s="854">
        <f t="shared" si="120"/>
        <v>0</v>
      </c>
      <c r="BE85" s="854">
        <f t="shared" si="121"/>
        <v>0</v>
      </c>
      <c r="BF85" s="854">
        <f t="shared" si="122"/>
        <v>0</v>
      </c>
      <c r="BG85" s="854">
        <f t="shared" si="123"/>
        <v>-57926.487444347498</v>
      </c>
      <c r="BH85" s="854">
        <f t="shared" si="124"/>
        <v>0</v>
      </c>
      <c r="BI85" s="854">
        <f t="shared" si="125"/>
        <v>-603131.9861402018</v>
      </c>
      <c r="BJ85" s="854">
        <f t="shared" si="135"/>
        <v>-661058.47358454927</v>
      </c>
      <c r="BK85" s="58" t="str">
        <f t="shared" si="136"/>
        <v>OK</v>
      </c>
      <c r="BL85" s="856" t="str">
        <f t="shared" si="126"/>
        <v>Active Mode Corridor Drury Central to GSR TRA A25 0.935905182821966 2060 0.00314663310258024</v>
      </c>
      <c r="BM85" s="153">
        <f t="shared" si="127"/>
        <v>2</v>
      </c>
      <c r="BN85" s="869">
        <f t="shared" si="137"/>
        <v>-663145.14805924799</v>
      </c>
      <c r="BO85" s="870">
        <f>IFERROR(VLOOKUP(AF85,FA_Codes!D:H,5,FALSE),"CHECK")</f>
        <v>0</v>
      </c>
      <c r="BP85" s="870" t="str">
        <f t="shared" si="128"/>
        <v>TRA</v>
      </c>
      <c r="BQ85" s="869">
        <f t="shared" si="129"/>
        <v>0</v>
      </c>
      <c r="BR85" s="870" t="str">
        <f t="shared" si="130"/>
        <v>67 TRA A25</v>
      </c>
      <c r="BS85" s="870">
        <f t="shared" si="138"/>
        <v>67</v>
      </c>
      <c r="BT85" s="870" t="s">
        <v>6992</v>
      </c>
      <c r="BU85" s="870">
        <f t="shared" si="131"/>
        <v>2060</v>
      </c>
      <c r="BV85" s="153"/>
      <c r="BW85" s="153"/>
      <c r="BX85" s="153"/>
      <c r="BY85" s="153"/>
      <c r="BZ85" s="153"/>
      <c r="CA85" s="153"/>
      <c r="CB85" s="153"/>
      <c r="CC85" s="153"/>
      <c r="CD85" s="153"/>
      <c r="CE85" s="153"/>
      <c r="CF85" s="153"/>
    </row>
    <row r="86" spans="1:84" ht="26">
      <c r="A86" s="848"/>
      <c r="B86" s="848" t="s">
        <v>896</v>
      </c>
      <c r="C86" s="848"/>
      <c r="D86" s="848"/>
      <c r="E86" s="848" t="s">
        <v>6857</v>
      </c>
      <c r="F86" s="866" t="s">
        <v>6747</v>
      </c>
      <c r="G86" s="808" t="s">
        <v>6748</v>
      </c>
      <c r="H86" s="808"/>
      <c r="I86" s="808"/>
      <c r="J86" s="808"/>
      <c r="K86" s="808" t="s">
        <v>6784</v>
      </c>
      <c r="L86" s="808"/>
      <c r="M86" s="808"/>
      <c r="N86" s="808"/>
      <c r="O86" s="808"/>
      <c r="P86" s="808"/>
      <c r="Q86" s="849">
        <v>0.935905182821966</v>
      </c>
      <c r="R86" s="848">
        <v>2060</v>
      </c>
      <c r="S86" s="850">
        <v>0</v>
      </c>
      <c r="T86" s="850">
        <v>0</v>
      </c>
      <c r="U86" s="850">
        <v>0</v>
      </c>
      <c r="V86" s="850">
        <v>0</v>
      </c>
      <c r="W86" s="850">
        <v>0</v>
      </c>
      <c r="X86" s="850">
        <v>0</v>
      </c>
      <c r="Y86" s="850">
        <v>0</v>
      </c>
      <c r="Z86" s="850">
        <v>0</v>
      </c>
      <c r="AA86" s="850">
        <v>-179997.54083436669</v>
      </c>
      <c r="AB86" s="850">
        <v>-1789114.766598793</v>
      </c>
      <c r="AC86" s="809">
        <f t="shared" si="132"/>
        <v>-1969112.3074331596</v>
      </c>
      <c r="AD86" s="848"/>
      <c r="AF86" s="58" t="str">
        <f>IFERROR(VLOOKUP(K86,FA_Codes!C:F,2,FALSE),"CHECK")</f>
        <v>TRA A25</v>
      </c>
      <c r="AG86" s="851">
        <f t="shared" si="102"/>
        <v>-1969112.3074331596</v>
      </c>
      <c r="AH86" s="58" t="str">
        <f>IFERROR(VLOOKUP(AF86,FA_Codes!D:F,3,FALSE),"CHECK")</f>
        <v>Local</v>
      </c>
      <c r="AI86" s="852">
        <v>3.1466331025802393E-3</v>
      </c>
      <c r="AJ86" s="853">
        <f t="shared" si="133"/>
        <v>0.99685336689741977</v>
      </c>
      <c r="AK86" s="854">
        <f t="shared" si="103"/>
        <v>-126209.89334794505</v>
      </c>
      <c r="AL86" s="854">
        <f t="shared" si="104"/>
        <v>0</v>
      </c>
      <c r="AM86" s="854">
        <f t="shared" si="105"/>
        <v>0</v>
      </c>
      <c r="AN86" s="854">
        <f t="shared" si="106"/>
        <v>0</v>
      </c>
      <c r="AO86" s="854">
        <f t="shared" si="107"/>
        <v>0</v>
      </c>
      <c r="AP86" s="854">
        <f t="shared" si="108"/>
        <v>0</v>
      </c>
      <c r="AQ86" s="854">
        <f t="shared" si="109"/>
        <v>0</v>
      </c>
      <c r="AR86" s="854">
        <f t="shared" si="110"/>
        <v>0</v>
      </c>
      <c r="AS86" s="854">
        <f t="shared" si="111"/>
        <v>0</v>
      </c>
      <c r="AT86" s="854">
        <f t="shared" si="112"/>
        <v>-530.0837991255263</v>
      </c>
      <c r="AU86" s="854">
        <f t="shared" si="113"/>
        <v>-5268.8539418600449</v>
      </c>
      <c r="AV86" s="854">
        <f t="shared" si="134"/>
        <v>-5798.9377409855715</v>
      </c>
      <c r="AW86" s="854">
        <f t="shared" si="114"/>
        <v>0</v>
      </c>
      <c r="AX86" s="855">
        <f t="shared" si="115"/>
        <v>0</v>
      </c>
      <c r="AZ86" s="854">
        <f t="shared" si="116"/>
        <v>0</v>
      </c>
      <c r="BA86" s="854">
        <f t="shared" si="117"/>
        <v>0</v>
      </c>
      <c r="BB86" s="854">
        <f t="shared" si="118"/>
        <v>0</v>
      </c>
      <c r="BC86" s="854">
        <f t="shared" si="119"/>
        <v>0</v>
      </c>
      <c r="BD86" s="854">
        <f t="shared" si="120"/>
        <v>0</v>
      </c>
      <c r="BE86" s="854">
        <f t="shared" si="121"/>
        <v>0</v>
      </c>
      <c r="BF86" s="854">
        <f t="shared" si="122"/>
        <v>0</v>
      </c>
      <c r="BG86" s="854">
        <f t="shared" si="123"/>
        <v>0</v>
      </c>
      <c r="BH86" s="854">
        <f t="shared" si="124"/>
        <v>-167930.54756296671</v>
      </c>
      <c r="BI86" s="854">
        <f t="shared" si="125"/>
        <v>-1669172.9287812621</v>
      </c>
      <c r="BJ86" s="854">
        <f t="shared" si="135"/>
        <v>-1837103.4763442287</v>
      </c>
      <c r="BK86" s="58" t="str">
        <f t="shared" si="136"/>
        <v>OK</v>
      </c>
      <c r="BL86" s="856" t="str">
        <f t="shared" si="126"/>
        <v>walk/cycle bridges on GSR Road bridge over the rail corridor TRA A25 0.935905182821966 2060 0.00314663310258024</v>
      </c>
      <c r="BM86" s="153">
        <f t="shared" si="127"/>
        <v>2</v>
      </c>
      <c r="BN86" s="869">
        <f t="shared" si="137"/>
        <v>-1842902.4140852143</v>
      </c>
      <c r="BO86" s="870">
        <f>IFERROR(VLOOKUP(AF86,FA_Codes!D:H,5,FALSE),"CHECK")</f>
        <v>0</v>
      </c>
      <c r="BP86" s="870" t="str">
        <f t="shared" si="128"/>
        <v>TRA</v>
      </c>
      <c r="BQ86" s="869">
        <f t="shared" si="129"/>
        <v>0</v>
      </c>
      <c r="BR86" s="870" t="str">
        <f t="shared" si="130"/>
        <v>70 TRA A25</v>
      </c>
      <c r="BS86" s="870">
        <f t="shared" si="138"/>
        <v>70</v>
      </c>
      <c r="BT86" s="870" t="s">
        <v>6992</v>
      </c>
      <c r="BU86" s="870">
        <f t="shared" si="131"/>
        <v>2060</v>
      </c>
      <c r="BV86" s="153"/>
      <c r="BW86" s="153"/>
      <c r="BX86" s="153"/>
      <c r="BY86" s="153"/>
      <c r="BZ86" s="153"/>
      <c r="CA86" s="153"/>
      <c r="CB86" s="153"/>
      <c r="CC86" s="153"/>
      <c r="CD86" s="153"/>
      <c r="CE86" s="153"/>
      <c r="CF86" s="153"/>
    </row>
    <row r="87" spans="1:84" ht="26">
      <c r="A87" s="848"/>
      <c r="B87" s="848" t="s">
        <v>896</v>
      </c>
      <c r="C87" s="848"/>
      <c r="D87" s="848"/>
      <c r="E87" s="848" t="s">
        <v>6882</v>
      </c>
      <c r="F87" s="866" t="s">
        <v>6868</v>
      </c>
      <c r="G87" s="866" t="s">
        <v>6711</v>
      </c>
      <c r="H87" s="866"/>
      <c r="I87" s="866"/>
      <c r="J87" s="866"/>
      <c r="K87" s="866" t="s">
        <v>6786</v>
      </c>
      <c r="L87" s="866"/>
      <c r="M87" s="866"/>
      <c r="N87" s="866"/>
      <c r="O87" s="866"/>
      <c r="P87" s="866"/>
      <c r="Q87" s="897">
        <v>0.7568010918478536</v>
      </c>
      <c r="R87" s="848">
        <v>2060</v>
      </c>
      <c r="S87" s="850">
        <v>0</v>
      </c>
      <c r="T87" s="850">
        <v>0</v>
      </c>
      <c r="U87" s="850">
        <v>0</v>
      </c>
      <c r="V87" s="850">
        <v>0</v>
      </c>
      <c r="W87" s="850">
        <v>0</v>
      </c>
      <c r="X87" s="850">
        <v>0</v>
      </c>
      <c r="Y87" s="850">
        <v>0</v>
      </c>
      <c r="Z87" s="850">
        <v>0</v>
      </c>
      <c r="AA87" s="850">
        <v>425680.32107426634</v>
      </c>
      <c r="AB87" s="850">
        <v>4229172.6880838433</v>
      </c>
      <c r="AC87" s="898">
        <f t="shared" si="132"/>
        <v>4654853.0091581093</v>
      </c>
      <c r="AD87" s="848"/>
      <c r="AF87" s="58" t="str">
        <f>IFERROR(VLOOKUP(K87,FA_Codes!C:F,2,FALSE),"CHECK")</f>
        <v>TRA A26</v>
      </c>
      <c r="AG87" s="851">
        <f t="shared" si="102"/>
        <v>4654853.0091581093</v>
      </c>
      <c r="AH87" s="58" t="str">
        <f>IFERROR(VLOOKUP(AF87,FA_Codes!D:F,3,FALSE),"CHECK")</f>
        <v>Local</v>
      </c>
      <c r="AI87" s="857">
        <v>0.11846479298881837</v>
      </c>
      <c r="AJ87" s="853">
        <f t="shared" si="133"/>
        <v>0.8815352070111816</v>
      </c>
      <c r="AK87" s="854">
        <f t="shared" si="103"/>
        <v>1132055.1694359854</v>
      </c>
      <c r="AL87" s="854">
        <f t="shared" si="104"/>
        <v>0</v>
      </c>
      <c r="AM87" s="854">
        <f t="shared" si="105"/>
        <v>0</v>
      </c>
      <c r="AN87" s="854">
        <f t="shared" si="106"/>
        <v>0</v>
      </c>
      <c r="AO87" s="854">
        <f t="shared" si="107"/>
        <v>0</v>
      </c>
      <c r="AP87" s="854">
        <f t="shared" si="108"/>
        <v>0</v>
      </c>
      <c r="AQ87" s="854">
        <f t="shared" si="109"/>
        <v>0</v>
      </c>
      <c r="AR87" s="854">
        <f t="shared" si="110"/>
        <v>0</v>
      </c>
      <c r="AS87" s="854">
        <f t="shared" si="111"/>
        <v>0</v>
      </c>
      <c r="AT87" s="854">
        <f t="shared" si="112"/>
        <v>38164.064688039492</v>
      </c>
      <c r="AU87" s="854">
        <f t="shared" si="113"/>
        <v>379163.45213609852</v>
      </c>
      <c r="AV87" s="854">
        <f t="shared" si="134"/>
        <v>417327.516824138</v>
      </c>
      <c r="AW87" s="854">
        <f t="shared" si="114"/>
        <v>0</v>
      </c>
      <c r="AX87" s="855">
        <f t="shared" si="115"/>
        <v>0</v>
      </c>
      <c r="AZ87" s="854">
        <f t="shared" si="116"/>
        <v>0</v>
      </c>
      <c r="BA87" s="854">
        <f t="shared" si="117"/>
        <v>0</v>
      </c>
      <c r="BB87" s="854">
        <f t="shared" si="118"/>
        <v>0</v>
      </c>
      <c r="BC87" s="854">
        <f t="shared" si="119"/>
        <v>0</v>
      </c>
      <c r="BD87" s="854">
        <f t="shared" si="120"/>
        <v>0</v>
      </c>
      <c r="BE87" s="854">
        <f t="shared" si="121"/>
        <v>0</v>
      </c>
      <c r="BF87" s="854">
        <f t="shared" si="122"/>
        <v>0</v>
      </c>
      <c r="BG87" s="854">
        <f t="shared" si="123"/>
        <v>0</v>
      </c>
      <c r="BH87" s="854">
        <f t="shared" si="124"/>
        <v>283991.2670791102</v>
      </c>
      <c r="BI87" s="854">
        <f t="shared" si="125"/>
        <v>2821479.0558188763</v>
      </c>
      <c r="BJ87" s="854">
        <f t="shared" si="135"/>
        <v>3105470.3228979865</v>
      </c>
      <c r="BK87" s="58" t="str">
        <f t="shared" si="136"/>
        <v>OK</v>
      </c>
      <c r="BL87" s="878" t="str">
        <f t="shared" si="126"/>
        <v>GSR improvements - Waihoehoe Rd to Drury Interchange TRA A26 0.756801091847854 2060 0.118464792988818</v>
      </c>
      <c r="BM87" s="870">
        <f t="shared" si="127"/>
        <v>2</v>
      </c>
      <c r="BN87" s="869">
        <f t="shared" si="137"/>
        <v>3522797.8397221244</v>
      </c>
      <c r="BO87" s="870">
        <f>IFERROR(VLOOKUP(AF87,FA_Codes!D:H,5,FALSE),"CHECK")</f>
        <v>0</v>
      </c>
      <c r="BP87" s="870" t="str">
        <f t="shared" si="128"/>
        <v>TRA</v>
      </c>
      <c r="BQ87" s="869">
        <f t="shared" si="129"/>
        <v>4654853.0091581093</v>
      </c>
      <c r="BR87" s="870" t="str">
        <f t="shared" si="130"/>
        <v>1b TRA A26</v>
      </c>
      <c r="BS87" s="870" t="str">
        <f t="shared" si="138"/>
        <v>1b</v>
      </c>
      <c r="BT87" s="870" t="s">
        <v>6992</v>
      </c>
      <c r="BU87" s="870">
        <f t="shared" si="131"/>
        <v>2060</v>
      </c>
      <c r="BV87" s="153"/>
      <c r="BW87" s="153"/>
      <c r="BX87" s="153"/>
      <c r="BY87" s="153"/>
      <c r="BZ87" s="153"/>
      <c r="CA87" s="153"/>
      <c r="CB87" s="153"/>
      <c r="CC87" s="153"/>
      <c r="CD87" s="153"/>
      <c r="CE87" s="153"/>
      <c r="CF87" s="153"/>
    </row>
    <row r="88" spans="1:84" ht="26">
      <c r="A88" s="848"/>
      <c r="B88" s="848" t="s">
        <v>896</v>
      </c>
      <c r="C88" s="848"/>
      <c r="D88" s="848"/>
      <c r="E88" s="848" t="s">
        <v>6785</v>
      </c>
      <c r="F88" s="866" t="s">
        <v>6708</v>
      </c>
      <c r="G88" s="866" t="s">
        <v>6709</v>
      </c>
      <c r="H88" s="866"/>
      <c r="I88" s="866"/>
      <c r="J88" s="866"/>
      <c r="K88" s="866" t="s">
        <v>6786</v>
      </c>
      <c r="L88" s="866"/>
      <c r="M88" s="866"/>
      <c r="N88" s="866"/>
      <c r="O88" s="866"/>
      <c r="P88" s="866"/>
      <c r="Q88" s="897">
        <v>0.7568010918478536</v>
      </c>
      <c r="R88" s="848">
        <v>2060</v>
      </c>
      <c r="S88" s="850">
        <v>0</v>
      </c>
      <c r="T88" s="850">
        <v>0</v>
      </c>
      <c r="U88" s="850">
        <v>0</v>
      </c>
      <c r="V88" s="850">
        <v>0</v>
      </c>
      <c r="W88" s="850">
        <v>0</v>
      </c>
      <c r="X88" s="850">
        <v>0</v>
      </c>
      <c r="Y88" s="850">
        <v>0</v>
      </c>
      <c r="Z88" s="850">
        <v>259017.82312954401</v>
      </c>
      <c r="AA88" s="850">
        <v>2573365.6198668494</v>
      </c>
      <c r="AB88" s="850">
        <v>0</v>
      </c>
      <c r="AC88" s="898">
        <f t="shared" si="132"/>
        <v>2832383.4429963934</v>
      </c>
      <c r="AD88" s="848"/>
      <c r="AF88" s="58" t="str">
        <f>IFERROR(VLOOKUP(K88,FA_Codes!C:F,2,FALSE),"CHECK")</f>
        <v>TRA A26</v>
      </c>
      <c r="AG88" s="851">
        <f t="shared" si="102"/>
        <v>2832383.4429963934</v>
      </c>
      <c r="AH88" s="58" t="str">
        <f>IFERROR(VLOOKUP(AF88,FA_Codes!D:F,3,FALSE),"CHECK")</f>
        <v>Local</v>
      </c>
      <c r="AI88" s="857">
        <v>0.11846479298881837</v>
      </c>
      <c r="AJ88" s="853">
        <f t="shared" si="133"/>
        <v>0.8815352070111816</v>
      </c>
      <c r="AK88" s="854">
        <f t="shared" si="103"/>
        <v>688832.56080494006</v>
      </c>
      <c r="AL88" s="854">
        <f t="shared" si="104"/>
        <v>0</v>
      </c>
      <c r="AM88" s="854">
        <f t="shared" si="105"/>
        <v>0</v>
      </c>
      <c r="AN88" s="854">
        <f t="shared" si="106"/>
        <v>0</v>
      </c>
      <c r="AO88" s="854">
        <f t="shared" si="107"/>
        <v>0</v>
      </c>
      <c r="AP88" s="854">
        <f t="shared" si="108"/>
        <v>0</v>
      </c>
      <c r="AQ88" s="854">
        <f t="shared" si="109"/>
        <v>0</v>
      </c>
      <c r="AR88" s="854">
        <f t="shared" si="110"/>
        <v>0</v>
      </c>
      <c r="AS88" s="854">
        <f t="shared" si="111"/>
        <v>23222.05765191215</v>
      </c>
      <c r="AT88" s="854">
        <f t="shared" si="112"/>
        <v>230713.25386789738</v>
      </c>
      <c r="AU88" s="854">
        <f t="shared" si="113"/>
        <v>0</v>
      </c>
      <c r="AV88" s="854">
        <f t="shared" si="134"/>
        <v>253935.31151980953</v>
      </c>
      <c r="AW88" s="854">
        <f t="shared" si="114"/>
        <v>0</v>
      </c>
      <c r="AX88" s="855">
        <f t="shared" si="115"/>
        <v>0</v>
      </c>
      <c r="AZ88" s="854">
        <f t="shared" si="116"/>
        <v>0</v>
      </c>
      <c r="BA88" s="854">
        <f t="shared" si="117"/>
        <v>0</v>
      </c>
      <c r="BB88" s="854">
        <f t="shared" si="118"/>
        <v>0</v>
      </c>
      <c r="BC88" s="854">
        <f t="shared" si="119"/>
        <v>0</v>
      </c>
      <c r="BD88" s="854">
        <f t="shared" si="120"/>
        <v>0</v>
      </c>
      <c r="BE88" s="854">
        <f t="shared" si="121"/>
        <v>0</v>
      </c>
      <c r="BF88" s="854">
        <f t="shared" si="122"/>
        <v>0</v>
      </c>
      <c r="BG88" s="854">
        <f t="shared" si="123"/>
        <v>172802.91370058098</v>
      </c>
      <c r="BH88" s="854">
        <f t="shared" si="124"/>
        <v>1716812.6569710628</v>
      </c>
      <c r="BI88" s="854">
        <f t="shared" si="125"/>
        <v>0</v>
      </c>
      <c r="BJ88" s="854">
        <f t="shared" si="135"/>
        <v>1889615.5706716438</v>
      </c>
      <c r="BK88" s="58" t="str">
        <f t="shared" si="136"/>
        <v>OK</v>
      </c>
      <c r="BL88" s="878" t="str">
        <f t="shared" si="126"/>
        <v>GSR improvements - From Drury School to Waihoehoe Rd TRA A26 0.756801091847854 2060 0.118464792988818</v>
      </c>
      <c r="BM88" s="870">
        <f t="shared" si="127"/>
        <v>2</v>
      </c>
      <c r="BN88" s="869">
        <f t="shared" si="137"/>
        <v>2143550.8821914531</v>
      </c>
      <c r="BO88" s="870">
        <f>IFERROR(VLOOKUP(AF88,FA_Codes!D:H,5,FALSE),"CHECK")</f>
        <v>0</v>
      </c>
      <c r="BP88" s="870" t="str">
        <f t="shared" si="128"/>
        <v>TRA</v>
      </c>
      <c r="BQ88" s="869">
        <f t="shared" si="129"/>
        <v>2832383.4429963934</v>
      </c>
      <c r="BR88" s="870" t="str">
        <f t="shared" si="130"/>
        <v>2a TRA A26</v>
      </c>
      <c r="BS88" s="870" t="str">
        <f t="shared" si="138"/>
        <v>2a</v>
      </c>
      <c r="BT88" s="870" t="s">
        <v>6992</v>
      </c>
      <c r="BU88" s="870">
        <f t="shared" si="131"/>
        <v>2060</v>
      </c>
      <c r="BV88" s="153"/>
      <c r="BW88" s="153"/>
      <c r="BX88" s="153"/>
      <c r="BY88" s="153"/>
      <c r="BZ88" s="153"/>
      <c r="CA88" s="153"/>
      <c r="CB88" s="153"/>
      <c r="CC88" s="153"/>
      <c r="CD88" s="153"/>
      <c r="CE88" s="153"/>
      <c r="CF88" s="153"/>
    </row>
    <row r="89" spans="1:84" ht="39">
      <c r="A89" s="848"/>
      <c r="B89" s="848" t="s">
        <v>896</v>
      </c>
      <c r="C89" s="848"/>
      <c r="D89" s="848"/>
      <c r="E89" s="848" t="s">
        <v>6787</v>
      </c>
      <c r="F89" s="866" t="s">
        <v>6713</v>
      </c>
      <c r="G89" s="866" t="s">
        <v>6714</v>
      </c>
      <c r="H89" s="866"/>
      <c r="I89" s="866"/>
      <c r="J89" s="866"/>
      <c r="K89" s="866" t="s">
        <v>6786</v>
      </c>
      <c r="L89" s="866"/>
      <c r="M89" s="866"/>
      <c r="N89" s="866"/>
      <c r="O89" s="866"/>
      <c r="P89" s="866"/>
      <c r="Q89" s="897">
        <v>0.7568010918478536</v>
      </c>
      <c r="R89" s="848">
        <v>2060</v>
      </c>
      <c r="S89" s="850">
        <v>0</v>
      </c>
      <c r="T89" s="850">
        <v>0</v>
      </c>
      <c r="U89" s="850">
        <v>1592.4746035386509</v>
      </c>
      <c r="V89" s="850">
        <v>0</v>
      </c>
      <c r="W89" s="850">
        <v>0</v>
      </c>
      <c r="X89" s="850">
        <v>168193.38865065799</v>
      </c>
      <c r="Y89" s="850">
        <v>48036.646167970182</v>
      </c>
      <c r="Z89" s="850">
        <v>523792.09943971375</v>
      </c>
      <c r="AA89" s="850">
        <v>0</v>
      </c>
      <c r="AB89" s="850">
        <v>0</v>
      </c>
      <c r="AC89" s="898">
        <f t="shared" si="132"/>
        <v>741614.60886188061</v>
      </c>
      <c r="AD89" s="848"/>
      <c r="AF89" s="58" t="str">
        <f>IFERROR(VLOOKUP(K89,FA_Codes!C:F,2,FALSE),"CHECK")</f>
        <v>TRA A26</v>
      </c>
      <c r="AG89" s="851">
        <f t="shared" si="102"/>
        <v>741614.60886188061</v>
      </c>
      <c r="AH89" s="58" t="str">
        <f>IFERROR(VLOOKUP(AF89,FA_Codes!D:F,3,FALSE),"CHECK")</f>
        <v>Local</v>
      </c>
      <c r="AI89" s="857">
        <v>0.11846479298881837</v>
      </c>
      <c r="AJ89" s="853">
        <f t="shared" si="133"/>
        <v>0.8815352070111816</v>
      </c>
      <c r="AK89" s="854">
        <f t="shared" si="103"/>
        <v>180359.86314489049</v>
      </c>
      <c r="AL89" s="854">
        <f t="shared" si="104"/>
        <v>0</v>
      </c>
      <c r="AM89" s="854">
        <f t="shared" si="105"/>
        <v>0</v>
      </c>
      <c r="AN89" s="854">
        <f t="shared" si="106"/>
        <v>142.77217145047666</v>
      </c>
      <c r="AO89" s="854">
        <f t="shared" si="107"/>
        <v>0</v>
      </c>
      <c r="AP89" s="854">
        <f t="shared" si="108"/>
        <v>0</v>
      </c>
      <c r="AQ89" s="854">
        <f t="shared" si="109"/>
        <v>15079.257947290444</v>
      </c>
      <c r="AR89" s="854">
        <f t="shared" si="110"/>
        <v>4306.6911505900598</v>
      </c>
      <c r="AS89" s="854">
        <f t="shared" si="111"/>
        <v>46960.205996024146</v>
      </c>
      <c r="AT89" s="854">
        <f t="shared" si="112"/>
        <v>0</v>
      </c>
      <c r="AU89" s="854">
        <f t="shared" si="113"/>
        <v>0</v>
      </c>
      <c r="AV89" s="854">
        <f t="shared" si="134"/>
        <v>66488.927265355131</v>
      </c>
      <c r="AW89" s="854">
        <f t="shared" si="114"/>
        <v>0</v>
      </c>
      <c r="AX89" s="855">
        <f t="shared" si="115"/>
        <v>0</v>
      </c>
      <c r="AZ89" s="854">
        <f t="shared" si="116"/>
        <v>0</v>
      </c>
      <c r="BA89" s="854">
        <f t="shared" si="117"/>
        <v>0</v>
      </c>
      <c r="BB89" s="854">
        <f t="shared" si="118"/>
        <v>1062.4143472475521</v>
      </c>
      <c r="BC89" s="854">
        <f t="shared" si="119"/>
        <v>0</v>
      </c>
      <c r="BD89" s="854">
        <f t="shared" si="120"/>
        <v>0</v>
      </c>
      <c r="BE89" s="854">
        <f t="shared" si="121"/>
        <v>112209.68222511791</v>
      </c>
      <c r="BF89" s="854">
        <f t="shared" si="122"/>
        <v>32047.495118038783</v>
      </c>
      <c r="BG89" s="854">
        <f t="shared" si="123"/>
        <v>349446.22676123073</v>
      </c>
      <c r="BH89" s="854">
        <f t="shared" si="124"/>
        <v>0</v>
      </c>
      <c r="BI89" s="854">
        <f t="shared" si="125"/>
        <v>0</v>
      </c>
      <c r="BJ89" s="854">
        <f t="shared" si="135"/>
        <v>494765.81845163496</v>
      </c>
      <c r="BK89" s="58" t="str">
        <f t="shared" si="136"/>
        <v>OK</v>
      </c>
      <c r="BL89" s="878" t="str">
        <f t="shared" si="126"/>
        <v>Waihoehoe Rd East upgrades- from Fitzgerald Rd to before Cossey Rd (development boundary) TRA A26 0.756801091847854 2060 0.118464792988818</v>
      </c>
      <c r="BM89" s="870">
        <f t="shared" si="127"/>
        <v>2</v>
      </c>
      <c r="BN89" s="869">
        <f t="shared" si="137"/>
        <v>561254.74571699009</v>
      </c>
      <c r="BO89" s="870">
        <f>IFERROR(VLOOKUP(AF89,FA_Codes!D:H,5,FALSE),"CHECK")</f>
        <v>0</v>
      </c>
      <c r="BP89" s="870" t="str">
        <f t="shared" si="128"/>
        <v>TRA</v>
      </c>
      <c r="BQ89" s="869">
        <f t="shared" si="129"/>
        <v>741614.60886188061</v>
      </c>
      <c r="BR89" s="870" t="str">
        <f t="shared" si="130"/>
        <v>4b TRA A26</v>
      </c>
      <c r="BS89" s="870" t="str">
        <f t="shared" si="138"/>
        <v>4b</v>
      </c>
      <c r="BT89" s="870" t="s">
        <v>6992</v>
      </c>
      <c r="BU89" s="870">
        <f t="shared" si="131"/>
        <v>2060</v>
      </c>
      <c r="BV89" s="153"/>
      <c r="BW89" s="153"/>
      <c r="BX89" s="153"/>
      <c r="BY89" s="153"/>
      <c r="BZ89" s="153"/>
      <c r="CA89" s="153"/>
      <c r="CB89" s="153"/>
      <c r="CC89" s="153"/>
      <c r="CD89" s="153"/>
      <c r="CE89" s="153"/>
      <c r="CF89" s="153"/>
    </row>
    <row r="90" spans="1:84" ht="26">
      <c r="A90" s="848"/>
      <c r="B90" s="848" t="s">
        <v>896</v>
      </c>
      <c r="C90" s="848"/>
      <c r="D90" s="848"/>
      <c r="E90" s="848" t="s">
        <v>6788</v>
      </c>
      <c r="F90" s="866" t="s">
        <v>6715</v>
      </c>
      <c r="G90" s="866" t="s">
        <v>6717</v>
      </c>
      <c r="H90" s="866"/>
      <c r="I90" s="866"/>
      <c r="J90" s="866"/>
      <c r="K90" s="866" t="s">
        <v>6786</v>
      </c>
      <c r="L90" s="866"/>
      <c r="M90" s="866"/>
      <c r="N90" s="866"/>
      <c r="O90" s="866"/>
      <c r="P90" s="866"/>
      <c r="Q90" s="897">
        <v>0.7568010918478536</v>
      </c>
      <c r="R90" s="848">
        <v>2060</v>
      </c>
      <c r="S90" s="850">
        <v>0</v>
      </c>
      <c r="T90" s="850">
        <v>0</v>
      </c>
      <c r="U90" s="850">
        <v>0</v>
      </c>
      <c r="V90" s="850">
        <v>0</v>
      </c>
      <c r="W90" s="850">
        <v>0</v>
      </c>
      <c r="X90" s="850">
        <v>0</v>
      </c>
      <c r="Y90" s="850">
        <v>0</v>
      </c>
      <c r="Z90" s="850">
        <v>172392.77670841629</v>
      </c>
      <c r="AA90" s="850">
        <v>213805.45884760135</v>
      </c>
      <c r="AB90" s="850">
        <v>2160921.8638410722</v>
      </c>
      <c r="AC90" s="898">
        <f t="shared" si="132"/>
        <v>2547120.0993970898</v>
      </c>
      <c r="AD90" s="848"/>
      <c r="AF90" s="58" t="str">
        <f>IFERROR(VLOOKUP(K90,FA_Codes!C:F,2,FALSE),"CHECK")</f>
        <v>TRA A26</v>
      </c>
      <c r="AG90" s="851">
        <f t="shared" si="102"/>
        <v>2547120.0993970898</v>
      </c>
      <c r="AH90" s="58" t="str">
        <f>IFERROR(VLOOKUP(AF90,FA_Codes!D:F,3,FALSE),"CHECK")</f>
        <v>Local</v>
      </c>
      <c r="AI90" s="857">
        <v>0.11846479298881837</v>
      </c>
      <c r="AJ90" s="853">
        <f t="shared" si="133"/>
        <v>0.8815352070111816</v>
      </c>
      <c r="AK90" s="854">
        <f t="shared" si="103"/>
        <v>619456.82710575883</v>
      </c>
      <c r="AL90" s="854">
        <f t="shared" si="104"/>
        <v>0</v>
      </c>
      <c r="AM90" s="854">
        <f t="shared" si="105"/>
        <v>0</v>
      </c>
      <c r="AN90" s="854">
        <f t="shared" si="106"/>
        <v>0</v>
      </c>
      <c r="AO90" s="854">
        <f t="shared" si="107"/>
        <v>0</v>
      </c>
      <c r="AP90" s="854">
        <f t="shared" si="108"/>
        <v>0</v>
      </c>
      <c r="AQ90" s="854">
        <f t="shared" si="109"/>
        <v>0</v>
      </c>
      <c r="AR90" s="854">
        <f t="shared" si="110"/>
        <v>0</v>
      </c>
      <c r="AS90" s="854">
        <f t="shared" si="111"/>
        <v>15455.751079700263</v>
      </c>
      <c r="AT90" s="854">
        <f t="shared" si="112"/>
        <v>19168.575473547069</v>
      </c>
      <c r="AU90" s="854">
        <f t="shared" si="113"/>
        <v>193735.90395089344</v>
      </c>
      <c r="AV90" s="854">
        <f t="shared" si="134"/>
        <v>228360.23050414078</v>
      </c>
      <c r="AW90" s="854">
        <f t="shared" si="114"/>
        <v>0</v>
      </c>
      <c r="AX90" s="855">
        <f t="shared" si="115"/>
        <v>0</v>
      </c>
      <c r="AZ90" s="854">
        <f t="shared" si="116"/>
        <v>0</v>
      </c>
      <c r="BA90" s="854">
        <f t="shared" si="117"/>
        <v>0</v>
      </c>
      <c r="BB90" s="854">
        <f t="shared" si="118"/>
        <v>0</v>
      </c>
      <c r="BC90" s="854">
        <f t="shared" si="119"/>
        <v>0</v>
      </c>
      <c r="BD90" s="854">
        <f t="shared" si="120"/>
        <v>0</v>
      </c>
      <c r="BE90" s="854">
        <f t="shared" si="121"/>
        <v>0</v>
      </c>
      <c r="BF90" s="854">
        <f t="shared" si="122"/>
        <v>0</v>
      </c>
      <c r="BG90" s="854">
        <f t="shared" si="123"/>
        <v>115011.29055991242</v>
      </c>
      <c r="BH90" s="854">
        <f t="shared" si="124"/>
        <v>142639.62922534897</v>
      </c>
      <c r="BI90" s="854">
        <f t="shared" si="125"/>
        <v>1441652.1220019287</v>
      </c>
      <c r="BJ90" s="854">
        <f t="shared" si="135"/>
        <v>1699303.0417871901</v>
      </c>
      <c r="BK90" s="58" t="str">
        <f t="shared" si="136"/>
        <v>OK</v>
      </c>
      <c r="BL90" s="878" t="str">
        <f t="shared" si="126"/>
        <v>Upgrade in Norrie Rd/GSR/Waihoehoe intersection TRA A26 0.756801091847854 2060 0.118464792988818</v>
      </c>
      <c r="BM90" s="870">
        <f t="shared" si="127"/>
        <v>2</v>
      </c>
      <c r="BN90" s="869">
        <f t="shared" si="137"/>
        <v>1927663.2722913309</v>
      </c>
      <c r="BO90" s="870">
        <f>IFERROR(VLOOKUP(AF90,FA_Codes!D:H,5,FALSE),"CHECK")</f>
        <v>0</v>
      </c>
      <c r="BP90" s="870" t="str">
        <f t="shared" si="128"/>
        <v>TRA</v>
      </c>
      <c r="BQ90" s="869">
        <f t="shared" si="129"/>
        <v>2547120.0993970898</v>
      </c>
      <c r="BR90" s="870" t="str">
        <f t="shared" si="130"/>
        <v>9b TRA A26</v>
      </c>
      <c r="BS90" s="870" t="str">
        <f t="shared" si="138"/>
        <v>9b</v>
      </c>
      <c r="BT90" s="870" t="s">
        <v>6992</v>
      </c>
      <c r="BU90" s="870">
        <f t="shared" si="131"/>
        <v>2060</v>
      </c>
      <c r="BV90" s="153"/>
      <c r="BW90" s="153"/>
      <c r="BX90" s="153"/>
      <c r="BY90" s="153"/>
      <c r="BZ90" s="153"/>
      <c r="CA90" s="153"/>
      <c r="CB90" s="153"/>
      <c r="CC90" s="153"/>
      <c r="CD90" s="153"/>
      <c r="CE90" s="153"/>
      <c r="CF90" s="153"/>
    </row>
    <row r="91" spans="1:84" ht="26">
      <c r="A91" s="848"/>
      <c r="B91" s="848" t="s">
        <v>896</v>
      </c>
      <c r="C91" s="848"/>
      <c r="D91" s="848"/>
      <c r="E91" s="848" t="s">
        <v>6858</v>
      </c>
      <c r="F91" s="866" t="s">
        <v>6718</v>
      </c>
      <c r="G91" s="866" t="s">
        <v>6838</v>
      </c>
      <c r="H91" s="866"/>
      <c r="I91" s="866"/>
      <c r="J91" s="866"/>
      <c r="K91" s="866" t="s">
        <v>6786</v>
      </c>
      <c r="L91" s="866"/>
      <c r="M91" s="866"/>
      <c r="N91" s="866"/>
      <c r="O91" s="866"/>
      <c r="P91" s="866"/>
      <c r="Q91" s="897">
        <v>0.7568010918478536</v>
      </c>
      <c r="R91" s="848">
        <v>2060</v>
      </c>
      <c r="S91" s="850">
        <v>0</v>
      </c>
      <c r="T91" s="850">
        <v>0</v>
      </c>
      <c r="U91" s="850">
        <v>0</v>
      </c>
      <c r="V91" s="850">
        <v>0</v>
      </c>
      <c r="W91" s="850">
        <v>0</v>
      </c>
      <c r="X91" s="850">
        <v>0</v>
      </c>
      <c r="Y91" s="850">
        <v>0</v>
      </c>
      <c r="Z91" s="850">
        <v>305378.70622016926</v>
      </c>
      <c r="AA91" s="850">
        <v>237399.23290189548</v>
      </c>
      <c r="AB91" s="850">
        <v>2397062.9976513204</v>
      </c>
      <c r="AC91" s="898">
        <f t="shared" si="132"/>
        <v>2939840.9367733849</v>
      </c>
      <c r="AD91" s="848"/>
      <c r="AF91" s="58" t="str">
        <f>IFERROR(VLOOKUP(K91,FA_Codes!C:F,2,FALSE),"CHECK")</f>
        <v>TRA A26</v>
      </c>
      <c r="AG91" s="851">
        <f t="shared" si="102"/>
        <v>2939840.9367733849</v>
      </c>
      <c r="AH91" s="58" t="str">
        <f>IFERROR(VLOOKUP(AF91,FA_Codes!D:F,3,FALSE),"CHECK")</f>
        <v>Local</v>
      </c>
      <c r="AI91" s="857">
        <v>0.11846479298881837</v>
      </c>
      <c r="AJ91" s="853">
        <f t="shared" si="133"/>
        <v>0.8815352070111816</v>
      </c>
      <c r="AK91" s="854">
        <f t="shared" si="103"/>
        <v>714966.10596427042</v>
      </c>
      <c r="AL91" s="854">
        <f t="shared" si="104"/>
        <v>0</v>
      </c>
      <c r="AM91" s="854">
        <f t="shared" si="105"/>
        <v>0</v>
      </c>
      <c r="AN91" s="854">
        <f t="shared" si="106"/>
        <v>0</v>
      </c>
      <c r="AO91" s="854">
        <f t="shared" si="107"/>
        <v>0</v>
      </c>
      <c r="AP91" s="854">
        <f t="shared" si="108"/>
        <v>0</v>
      </c>
      <c r="AQ91" s="854">
        <f t="shared" si="109"/>
        <v>0</v>
      </c>
      <c r="AR91" s="854">
        <f t="shared" si="110"/>
        <v>0</v>
      </c>
      <c r="AS91" s="854">
        <f t="shared" si="111"/>
        <v>27378.509462510588</v>
      </c>
      <c r="AT91" s="854">
        <f t="shared" si="112"/>
        <v>21283.858409273791</v>
      </c>
      <c r="AU91" s="854">
        <f t="shared" si="113"/>
        <v>214906.9683860497</v>
      </c>
      <c r="AV91" s="854">
        <f t="shared" si="134"/>
        <v>263569.3362578341</v>
      </c>
      <c r="AW91" s="854">
        <f t="shared" si="114"/>
        <v>0</v>
      </c>
      <c r="AX91" s="855">
        <f t="shared" si="115"/>
        <v>0</v>
      </c>
      <c r="AZ91" s="854">
        <f t="shared" si="116"/>
        <v>0</v>
      </c>
      <c r="BA91" s="854">
        <f t="shared" si="117"/>
        <v>0</v>
      </c>
      <c r="BB91" s="854">
        <f t="shared" si="118"/>
        <v>0</v>
      </c>
      <c r="BC91" s="854">
        <f t="shared" si="119"/>
        <v>0</v>
      </c>
      <c r="BD91" s="854">
        <f t="shared" si="120"/>
        <v>0</v>
      </c>
      <c r="BE91" s="854">
        <f t="shared" si="121"/>
        <v>0</v>
      </c>
      <c r="BF91" s="854">
        <f t="shared" si="122"/>
        <v>0</v>
      </c>
      <c r="BG91" s="854">
        <f t="shared" si="123"/>
        <v>203732.42883199843</v>
      </c>
      <c r="BH91" s="854">
        <f t="shared" si="124"/>
        <v>158380.14025472361</v>
      </c>
      <c r="BI91" s="854">
        <f t="shared" si="125"/>
        <v>1599192.9254645584</v>
      </c>
      <c r="BJ91" s="854">
        <f t="shared" si="135"/>
        <v>1961305.4945512805</v>
      </c>
      <c r="BK91" s="58" t="str">
        <f t="shared" si="136"/>
        <v>OK</v>
      </c>
      <c r="BL91" s="878" t="str">
        <f t="shared" si="126"/>
        <v>New intersection on Waihoehoe Rd/Fitzgerald Rd( including approach cross-sections) TRA A26 0.756801091847854 2060 0.118464792988818</v>
      </c>
      <c r="BM91" s="870">
        <f t="shared" si="127"/>
        <v>2</v>
      </c>
      <c r="BN91" s="869">
        <f t="shared" si="137"/>
        <v>2224874.8308091145</v>
      </c>
      <c r="BO91" s="870">
        <f>IFERROR(VLOOKUP(AF91,FA_Codes!D:H,5,FALSE),"CHECK")</f>
        <v>0</v>
      </c>
      <c r="BP91" s="870" t="str">
        <f t="shared" si="128"/>
        <v>TRA</v>
      </c>
      <c r="BQ91" s="869">
        <f t="shared" si="129"/>
        <v>2939840.9367733849</v>
      </c>
      <c r="BR91" s="870" t="str">
        <f t="shared" si="130"/>
        <v>10b TRA A26</v>
      </c>
      <c r="BS91" s="870" t="str">
        <f t="shared" si="138"/>
        <v>10b</v>
      </c>
      <c r="BT91" s="870" t="s">
        <v>6992</v>
      </c>
      <c r="BU91" s="870">
        <f t="shared" si="131"/>
        <v>2060</v>
      </c>
      <c r="BV91" s="153"/>
      <c r="BW91" s="153"/>
      <c r="BX91" s="153"/>
      <c r="BY91" s="153"/>
      <c r="BZ91" s="153"/>
      <c r="CA91" s="153"/>
      <c r="CB91" s="153"/>
      <c r="CC91" s="153"/>
      <c r="CD91" s="153"/>
      <c r="CE91" s="153"/>
      <c r="CF91" s="153"/>
    </row>
    <row r="92" spans="1:84" ht="26">
      <c r="A92" s="848"/>
      <c r="B92" s="848" t="s">
        <v>896</v>
      </c>
      <c r="C92" s="848"/>
      <c r="D92" s="848"/>
      <c r="E92" s="848" t="s">
        <v>6789</v>
      </c>
      <c r="F92" s="866" t="s">
        <v>6720</v>
      </c>
      <c r="G92" s="866" t="s">
        <v>6721</v>
      </c>
      <c r="H92" s="866"/>
      <c r="I92" s="866"/>
      <c r="J92" s="866"/>
      <c r="K92" s="866" t="s">
        <v>6786</v>
      </c>
      <c r="L92" s="866"/>
      <c r="M92" s="866"/>
      <c r="N92" s="866"/>
      <c r="O92" s="866"/>
      <c r="P92" s="866"/>
      <c r="Q92" s="897">
        <v>0.7568010918478536</v>
      </c>
      <c r="R92" s="848">
        <v>2060</v>
      </c>
      <c r="S92" s="850">
        <v>0</v>
      </c>
      <c r="T92" s="850">
        <v>0</v>
      </c>
      <c r="U92" s="850">
        <v>0</v>
      </c>
      <c r="V92" s="850">
        <v>0</v>
      </c>
      <c r="W92" s="850">
        <v>0</v>
      </c>
      <c r="X92" s="850">
        <v>6357.9548228895565</v>
      </c>
      <c r="Y92" s="850">
        <v>0</v>
      </c>
      <c r="Z92" s="850">
        <v>12672.044283801921</v>
      </c>
      <c r="AA92" s="850">
        <v>6474.524533688058</v>
      </c>
      <c r="AB92" s="850">
        <v>64324.9898353303</v>
      </c>
      <c r="AC92" s="898">
        <f t="shared" si="132"/>
        <v>89829.513475709828</v>
      </c>
      <c r="AD92" s="848"/>
      <c r="AF92" s="58" t="str">
        <f>IFERROR(VLOOKUP(K92,FA_Codes!C:F,2,FALSE),"CHECK")</f>
        <v>TRA A26</v>
      </c>
      <c r="AG92" s="851">
        <f t="shared" si="102"/>
        <v>89829.513475709828</v>
      </c>
      <c r="AH92" s="58" t="str">
        <f>IFERROR(VLOOKUP(AF92,FA_Codes!D:F,3,FALSE),"CHECK")</f>
        <v>Local</v>
      </c>
      <c r="AI92" s="857">
        <v>0.11846479298881837</v>
      </c>
      <c r="AJ92" s="853">
        <f t="shared" si="133"/>
        <v>0.8815352070111816</v>
      </c>
      <c r="AK92" s="854">
        <f t="shared" si="103"/>
        <v>21846.439597131153</v>
      </c>
      <c r="AL92" s="854">
        <f t="shared" si="104"/>
        <v>0</v>
      </c>
      <c r="AM92" s="854">
        <f t="shared" si="105"/>
        <v>0</v>
      </c>
      <c r="AN92" s="854">
        <f t="shared" si="106"/>
        <v>0</v>
      </c>
      <c r="AO92" s="854">
        <f t="shared" si="107"/>
        <v>0</v>
      </c>
      <c r="AP92" s="854">
        <f t="shared" si="108"/>
        <v>0</v>
      </c>
      <c r="AQ92" s="854">
        <f t="shared" si="109"/>
        <v>570.01789167053494</v>
      </c>
      <c r="AR92" s="854">
        <f t="shared" si="110"/>
        <v>0</v>
      </c>
      <c r="AS92" s="854">
        <f t="shared" si="111"/>
        <v>1136.1030656907988</v>
      </c>
      <c r="AT92" s="854">
        <f t="shared" si="112"/>
        <v>580.46886570746699</v>
      </c>
      <c r="AU92" s="854">
        <f t="shared" si="113"/>
        <v>5767.0109507005691</v>
      </c>
      <c r="AV92" s="854">
        <f t="shared" si="134"/>
        <v>8053.6007737693699</v>
      </c>
      <c r="AW92" s="854">
        <f t="shared" si="114"/>
        <v>0</v>
      </c>
      <c r="AX92" s="855">
        <f t="shared" si="115"/>
        <v>0</v>
      </c>
      <c r="AZ92" s="854">
        <f t="shared" si="116"/>
        <v>0</v>
      </c>
      <c r="BA92" s="854">
        <f t="shared" si="117"/>
        <v>0</v>
      </c>
      <c r="BB92" s="854">
        <f t="shared" si="118"/>
        <v>0</v>
      </c>
      <c r="BC92" s="854">
        <f t="shared" si="119"/>
        <v>0</v>
      </c>
      <c r="BD92" s="854">
        <f t="shared" si="120"/>
        <v>0</v>
      </c>
      <c r="BE92" s="854">
        <f t="shared" si="121"/>
        <v>4241.6892602116077</v>
      </c>
      <c r="BF92" s="854">
        <f t="shared" si="122"/>
        <v>0</v>
      </c>
      <c r="BG92" s="854">
        <f t="shared" si="123"/>
        <v>8454.1138842348464</v>
      </c>
      <c r="BH92" s="854">
        <f t="shared" si="124"/>
        <v>4319.4583705833702</v>
      </c>
      <c r="BI92" s="854">
        <f t="shared" si="125"/>
        <v>42914.211589779487</v>
      </c>
      <c r="BJ92" s="854">
        <f t="shared" si="135"/>
        <v>59929.473104809309</v>
      </c>
      <c r="BK92" s="58" t="str">
        <f t="shared" si="136"/>
        <v>OK</v>
      </c>
      <c r="BL92" s="878" t="str">
        <f t="shared" si="126"/>
        <v>Intersection upgrade Waihoehoe Rd/Fielding Rd/Appleby Rd TRA A26 0.756801091847854 2060 0.118464792988818</v>
      </c>
      <c r="BM92" s="870">
        <f t="shared" si="127"/>
        <v>2</v>
      </c>
      <c r="BN92" s="869">
        <f t="shared" si="137"/>
        <v>67983.073878578682</v>
      </c>
      <c r="BO92" s="870">
        <f>IFERROR(VLOOKUP(AF92,FA_Codes!D:H,5,FALSE),"CHECK")</f>
        <v>0</v>
      </c>
      <c r="BP92" s="870" t="str">
        <f t="shared" si="128"/>
        <v>TRA</v>
      </c>
      <c r="BQ92" s="869">
        <f t="shared" si="129"/>
        <v>89829.513475709828</v>
      </c>
      <c r="BR92" s="870" t="str">
        <f t="shared" si="130"/>
        <v>11 TRA A26</v>
      </c>
      <c r="BS92" s="870">
        <f t="shared" si="138"/>
        <v>11</v>
      </c>
      <c r="BT92" s="870" t="s">
        <v>6992</v>
      </c>
      <c r="BU92" s="870">
        <f t="shared" si="131"/>
        <v>2060</v>
      </c>
      <c r="BV92" s="153"/>
      <c r="BW92" s="153"/>
      <c r="BX92" s="153"/>
      <c r="BY92" s="153"/>
      <c r="BZ92" s="153"/>
      <c r="CA92" s="153"/>
      <c r="CB92" s="153"/>
      <c r="CC92" s="153"/>
      <c r="CD92" s="153"/>
      <c r="CE92" s="153"/>
      <c r="CF92" s="153"/>
    </row>
    <row r="93" spans="1:84" ht="39">
      <c r="A93" s="848"/>
      <c r="B93" s="848" t="s">
        <v>896</v>
      </c>
      <c r="C93" s="848"/>
      <c r="D93" s="848"/>
      <c r="E93" s="848" t="s">
        <v>6790</v>
      </c>
      <c r="F93" s="866" t="s">
        <v>6725</v>
      </c>
      <c r="G93" s="866" t="s">
        <v>6726</v>
      </c>
      <c r="H93" s="866"/>
      <c r="I93" s="866"/>
      <c r="J93" s="866"/>
      <c r="K93" s="866" t="s">
        <v>6786</v>
      </c>
      <c r="L93" s="866"/>
      <c r="M93" s="866"/>
      <c r="N93" s="866"/>
      <c r="O93" s="866"/>
      <c r="P93" s="866"/>
      <c r="Q93" s="897">
        <v>0.7568010918478536</v>
      </c>
      <c r="R93" s="848">
        <v>2060</v>
      </c>
      <c r="S93" s="850">
        <v>0</v>
      </c>
      <c r="T93" s="850">
        <v>243536.15455260003</v>
      </c>
      <c r="U93" s="850">
        <v>0</v>
      </c>
      <c r="V93" s="850">
        <v>0</v>
      </c>
      <c r="W93" s="850">
        <v>0</v>
      </c>
      <c r="X93" s="850">
        <v>0</v>
      </c>
      <c r="Y93" s="850">
        <v>0</v>
      </c>
      <c r="Z93" s="850">
        <v>2397155.1408427698</v>
      </c>
      <c r="AA93" s="850">
        <v>709289.39609034802</v>
      </c>
      <c r="AB93" s="850">
        <v>7100651.4652482923</v>
      </c>
      <c r="AC93" s="898">
        <f t="shared" si="132"/>
        <v>10450632.15673401</v>
      </c>
      <c r="AD93" s="848"/>
      <c r="AF93" s="58" t="str">
        <f>IFERROR(VLOOKUP(K93,FA_Codes!C:F,2,FALSE),"CHECK")</f>
        <v>TRA A26</v>
      </c>
      <c r="AG93" s="851">
        <f t="shared" si="102"/>
        <v>10450632.15673401</v>
      </c>
      <c r="AH93" s="58" t="str">
        <f>IFERROR(VLOOKUP(AF93,FA_Codes!D:F,3,FALSE),"CHECK")</f>
        <v>Local</v>
      </c>
      <c r="AI93" s="857">
        <v>0.11846479298881837</v>
      </c>
      <c r="AJ93" s="853">
        <f t="shared" si="133"/>
        <v>0.8815352070111816</v>
      </c>
      <c r="AK93" s="854">
        <f t="shared" si="103"/>
        <v>2541582.3300174223</v>
      </c>
      <c r="AL93" s="854">
        <f t="shared" si="104"/>
        <v>0</v>
      </c>
      <c r="AM93" s="854">
        <f t="shared" si="105"/>
        <v>21834.059730001649</v>
      </c>
      <c r="AN93" s="854">
        <f t="shared" si="106"/>
        <v>0</v>
      </c>
      <c r="AO93" s="854">
        <f t="shared" si="107"/>
        <v>0</v>
      </c>
      <c r="AP93" s="854">
        <f t="shared" si="108"/>
        <v>0</v>
      </c>
      <c r="AQ93" s="854">
        <f t="shared" si="109"/>
        <v>0</v>
      </c>
      <c r="AR93" s="854">
        <f t="shared" si="110"/>
        <v>0</v>
      </c>
      <c r="AS93" s="854">
        <f t="shared" si="111"/>
        <v>214915.22941796717</v>
      </c>
      <c r="AT93" s="854">
        <f t="shared" si="112"/>
        <v>63590.833437211775</v>
      </c>
      <c r="AU93" s="854">
        <f t="shared" si="113"/>
        <v>636603.8278750499</v>
      </c>
      <c r="AV93" s="854">
        <f t="shared" si="134"/>
        <v>936943.95046023047</v>
      </c>
      <c r="AW93" s="854">
        <f t="shared" si="114"/>
        <v>0</v>
      </c>
      <c r="AX93" s="855">
        <f t="shared" si="115"/>
        <v>0</v>
      </c>
      <c r="AZ93" s="854">
        <f t="shared" si="116"/>
        <v>0</v>
      </c>
      <c r="BA93" s="854">
        <f t="shared" si="117"/>
        <v>162474.3679398337</v>
      </c>
      <c r="BB93" s="854">
        <f t="shared" si="118"/>
        <v>0</v>
      </c>
      <c r="BC93" s="854">
        <f t="shared" si="119"/>
        <v>0</v>
      </c>
      <c r="BD93" s="854">
        <f t="shared" si="120"/>
        <v>0</v>
      </c>
      <c r="BE93" s="854">
        <f t="shared" si="121"/>
        <v>0</v>
      </c>
      <c r="BF93" s="854">
        <f t="shared" si="122"/>
        <v>0</v>
      </c>
      <c r="BG93" s="854">
        <f t="shared" si="123"/>
        <v>1599254.3985005363</v>
      </c>
      <c r="BH93" s="854">
        <f t="shared" si="124"/>
        <v>473200.15596006822</v>
      </c>
      <c r="BI93" s="854">
        <f t="shared" si="125"/>
        <v>4737176.9538559197</v>
      </c>
      <c r="BJ93" s="854">
        <f t="shared" si="135"/>
        <v>6972105.8762563579</v>
      </c>
      <c r="BK93" s="58" t="str">
        <f t="shared" si="136"/>
        <v>OK</v>
      </c>
      <c r="BL93" s="878" t="str">
        <f t="shared" si="126"/>
        <v>Waihoehoe Rd West upgrades- between GSR &amp; Kath Henry Lane TRA A26 0.756801091847854 2060 0.118464792988818</v>
      </c>
      <c r="BM93" s="870">
        <f t="shared" si="127"/>
        <v>2</v>
      </c>
      <c r="BN93" s="869">
        <f t="shared" si="137"/>
        <v>7909049.8267165888</v>
      </c>
      <c r="BO93" s="870">
        <f>IFERROR(VLOOKUP(AF93,FA_Codes!D:H,5,FALSE),"CHECK")</f>
        <v>0</v>
      </c>
      <c r="BP93" s="870" t="str">
        <f t="shared" si="128"/>
        <v>TRA</v>
      </c>
      <c r="BQ93" s="869">
        <f t="shared" si="129"/>
        <v>10450632.15673401</v>
      </c>
      <c r="BR93" s="870" t="str">
        <f t="shared" si="130"/>
        <v>23b TRA A26</v>
      </c>
      <c r="BS93" s="870" t="str">
        <f t="shared" si="138"/>
        <v>23b</v>
      </c>
      <c r="BT93" s="870" t="s">
        <v>6992</v>
      </c>
      <c r="BU93" s="870">
        <f t="shared" si="131"/>
        <v>2060</v>
      </c>
      <c r="BV93" s="153"/>
      <c r="BW93" s="153"/>
      <c r="BX93" s="153"/>
      <c r="BY93" s="153"/>
      <c r="BZ93" s="153"/>
      <c r="CA93" s="153"/>
      <c r="CB93" s="153"/>
      <c r="CC93" s="153"/>
      <c r="CD93" s="153"/>
      <c r="CE93" s="153"/>
      <c r="CF93" s="153"/>
    </row>
    <row r="94" spans="1:84" ht="39">
      <c r="A94" s="848"/>
      <c r="B94" s="848" t="s">
        <v>896</v>
      </c>
      <c r="C94" s="848"/>
      <c r="D94" s="848"/>
      <c r="E94" s="848" t="s">
        <v>6791</v>
      </c>
      <c r="F94" s="866" t="s">
        <v>6727</v>
      </c>
      <c r="G94" s="866" t="s">
        <v>6726</v>
      </c>
      <c r="H94" s="866"/>
      <c r="I94" s="866"/>
      <c r="J94" s="866"/>
      <c r="K94" s="866" t="s">
        <v>6786</v>
      </c>
      <c r="L94" s="866"/>
      <c r="M94" s="866"/>
      <c r="N94" s="866"/>
      <c r="O94" s="866"/>
      <c r="P94" s="866"/>
      <c r="Q94" s="897">
        <v>0.7568010918478536</v>
      </c>
      <c r="R94" s="848">
        <v>2060</v>
      </c>
      <c r="S94" s="850">
        <v>0</v>
      </c>
      <c r="T94" s="850">
        <v>0</v>
      </c>
      <c r="U94" s="850">
        <v>0</v>
      </c>
      <c r="V94" s="850">
        <v>0</v>
      </c>
      <c r="W94" s="850">
        <v>0</v>
      </c>
      <c r="X94" s="850">
        <v>7926.5823763055805</v>
      </c>
      <c r="Y94" s="850">
        <v>0</v>
      </c>
      <c r="Z94" s="850">
        <v>415403.51734213775</v>
      </c>
      <c r="AA94" s="850">
        <v>134772.87395411037</v>
      </c>
      <c r="AB94" s="850">
        <v>1408000.8270596308</v>
      </c>
      <c r="AC94" s="898">
        <f t="shared" si="132"/>
        <v>1966103.8007321844</v>
      </c>
      <c r="AD94" s="848"/>
      <c r="AF94" s="58" t="str">
        <f>IFERROR(VLOOKUP(K94,FA_Codes!C:F,2,FALSE),"CHECK")</f>
        <v>TRA A26</v>
      </c>
      <c r="AG94" s="851">
        <f t="shared" si="102"/>
        <v>1966103.8007321844</v>
      </c>
      <c r="AH94" s="58" t="str">
        <f>IFERROR(VLOOKUP(AF94,FA_Codes!D:F,3,FALSE),"CHECK")</f>
        <v>Local</v>
      </c>
      <c r="AI94" s="857">
        <v>0.11846479298881837</v>
      </c>
      <c r="AJ94" s="853">
        <f t="shared" si="133"/>
        <v>0.8815352070111816</v>
      </c>
      <c r="AK94" s="854">
        <f t="shared" si="103"/>
        <v>478154.29765185248</v>
      </c>
      <c r="AL94" s="854">
        <f t="shared" si="104"/>
        <v>0</v>
      </c>
      <c r="AM94" s="854">
        <f t="shared" si="105"/>
        <v>0</v>
      </c>
      <c r="AN94" s="854">
        <f t="shared" si="106"/>
        <v>0</v>
      </c>
      <c r="AO94" s="854">
        <f t="shared" si="107"/>
        <v>0</v>
      </c>
      <c r="AP94" s="854">
        <f t="shared" si="108"/>
        <v>0</v>
      </c>
      <c r="AQ94" s="854">
        <f t="shared" si="109"/>
        <v>710.65207290055207</v>
      </c>
      <c r="AR94" s="854">
        <f t="shared" si="110"/>
        <v>0</v>
      </c>
      <c r="AS94" s="854">
        <f t="shared" si="111"/>
        <v>37242.705200644217</v>
      </c>
      <c r="AT94" s="854">
        <f t="shared" si="112"/>
        <v>12082.965608551829</v>
      </c>
      <c r="AU94" s="854">
        <f t="shared" si="113"/>
        <v>126233.30697813009</v>
      </c>
      <c r="AV94" s="854">
        <f t="shared" si="134"/>
        <v>176269.62986022668</v>
      </c>
      <c r="AW94" s="854">
        <f t="shared" si="114"/>
        <v>0</v>
      </c>
      <c r="AX94" s="855">
        <f t="shared" si="115"/>
        <v>0</v>
      </c>
      <c r="AZ94" s="854">
        <f t="shared" si="116"/>
        <v>0</v>
      </c>
      <c r="BA94" s="854">
        <f t="shared" si="117"/>
        <v>0</v>
      </c>
      <c r="BB94" s="854">
        <f t="shared" si="118"/>
        <v>0</v>
      </c>
      <c r="BC94" s="854">
        <f t="shared" si="119"/>
        <v>0</v>
      </c>
      <c r="BD94" s="854">
        <f t="shared" si="120"/>
        <v>0</v>
      </c>
      <c r="BE94" s="854">
        <f t="shared" si="121"/>
        <v>5288.1941241094646</v>
      </c>
      <c r="BF94" s="854">
        <f t="shared" si="122"/>
        <v>0</v>
      </c>
      <c r="BG94" s="854">
        <f t="shared" si="123"/>
        <v>277135.13028132444</v>
      </c>
      <c r="BH94" s="854">
        <f t="shared" si="124"/>
        <v>89913.292551392049</v>
      </c>
      <c r="BI94" s="854">
        <f t="shared" si="125"/>
        <v>939343.25626327924</v>
      </c>
      <c r="BJ94" s="854">
        <f t="shared" si="135"/>
        <v>1311679.8732201052</v>
      </c>
      <c r="BK94" s="58" t="str">
        <f t="shared" si="136"/>
        <v>OK</v>
      </c>
      <c r="BL94" s="878" t="str">
        <f t="shared" si="126"/>
        <v>Waihoehoe Rd West upgrades- between Kath Henry Lane and Fitzgerald Rd TRA A26 0.756801091847854 2060 0.118464792988818</v>
      </c>
      <c r="BM94" s="870">
        <f t="shared" si="127"/>
        <v>2</v>
      </c>
      <c r="BN94" s="869">
        <f t="shared" si="137"/>
        <v>1487949.503080332</v>
      </c>
      <c r="BO94" s="870">
        <f>IFERROR(VLOOKUP(AF94,FA_Codes!D:H,5,FALSE),"CHECK")</f>
        <v>0</v>
      </c>
      <c r="BP94" s="870" t="str">
        <f t="shared" si="128"/>
        <v>TRA</v>
      </c>
      <c r="BQ94" s="869">
        <f t="shared" si="129"/>
        <v>1966103.8007321844</v>
      </c>
      <c r="BR94" s="870" t="str">
        <f t="shared" si="130"/>
        <v>23d TRA A26</v>
      </c>
      <c r="BS94" s="870" t="str">
        <f t="shared" si="138"/>
        <v>23d</v>
      </c>
      <c r="BT94" s="870" t="s">
        <v>6992</v>
      </c>
      <c r="BU94" s="870">
        <f t="shared" si="131"/>
        <v>2060</v>
      </c>
      <c r="BV94" s="153"/>
      <c r="BW94" s="153"/>
      <c r="BX94" s="153"/>
      <c r="BY94" s="153"/>
      <c r="BZ94" s="153"/>
      <c r="CA94" s="153"/>
      <c r="CB94" s="153"/>
      <c r="CC94" s="153"/>
      <c r="CD94" s="153"/>
      <c r="CE94" s="153"/>
      <c r="CF94" s="153"/>
    </row>
    <row r="95" spans="1:84" ht="26">
      <c r="A95" s="848"/>
      <c r="B95" s="848" t="s">
        <v>896</v>
      </c>
      <c r="C95" s="848"/>
      <c r="D95" s="848"/>
      <c r="E95" s="848" t="s">
        <v>6792</v>
      </c>
      <c r="F95" s="866" t="s">
        <v>6730</v>
      </c>
      <c r="G95" s="866" t="s">
        <v>6731</v>
      </c>
      <c r="H95" s="866"/>
      <c r="I95" s="866"/>
      <c r="J95" s="866"/>
      <c r="K95" s="866" t="s">
        <v>6786</v>
      </c>
      <c r="L95" s="866"/>
      <c r="M95" s="866"/>
      <c r="N95" s="866"/>
      <c r="O95" s="866"/>
      <c r="P95" s="866"/>
      <c r="Q95" s="897">
        <v>0.7568010918478536</v>
      </c>
      <c r="R95" s="848">
        <v>2060</v>
      </c>
      <c r="S95" s="850">
        <v>0</v>
      </c>
      <c r="T95" s="850">
        <v>0</v>
      </c>
      <c r="U95" s="850">
        <v>0</v>
      </c>
      <c r="V95" s="850">
        <v>0</v>
      </c>
      <c r="W95" s="850">
        <v>0</v>
      </c>
      <c r="X95" s="850">
        <v>11704.242068550027</v>
      </c>
      <c r="Y95" s="850">
        <v>0</v>
      </c>
      <c r="Z95" s="850">
        <v>0</v>
      </c>
      <c r="AA95" s="850">
        <v>0</v>
      </c>
      <c r="AB95" s="850">
        <v>0</v>
      </c>
      <c r="AC95" s="898">
        <f t="shared" si="132"/>
        <v>11704.242068550027</v>
      </c>
      <c r="AD95" s="848"/>
      <c r="AF95" s="58" t="str">
        <f>IFERROR(VLOOKUP(K95,FA_Codes!C:F,2,FALSE),"CHECK")</f>
        <v>TRA A26</v>
      </c>
      <c r="AG95" s="851">
        <f t="shared" si="102"/>
        <v>11704.242068550027</v>
      </c>
      <c r="AH95" s="58" t="str">
        <f>IFERROR(VLOOKUP(AF95,FA_Codes!D:F,3,FALSE),"CHECK")</f>
        <v>Local</v>
      </c>
      <c r="AI95" s="857">
        <v>0.11846479298881837</v>
      </c>
      <c r="AJ95" s="853">
        <f t="shared" si="133"/>
        <v>0.8815352070111816</v>
      </c>
      <c r="AK95" s="854">
        <f t="shared" si="103"/>
        <v>2846.458891819786</v>
      </c>
      <c r="AL95" s="854">
        <f t="shared" si="104"/>
        <v>0</v>
      </c>
      <c r="AM95" s="854">
        <f t="shared" si="105"/>
        <v>0</v>
      </c>
      <c r="AN95" s="854">
        <f t="shared" si="106"/>
        <v>0</v>
      </c>
      <c r="AO95" s="854">
        <f t="shared" si="107"/>
        <v>0</v>
      </c>
      <c r="AP95" s="854">
        <f t="shared" si="108"/>
        <v>0</v>
      </c>
      <c r="AQ95" s="854">
        <f t="shared" si="109"/>
        <v>1049.335450371186</v>
      </c>
      <c r="AR95" s="854">
        <f t="shared" si="110"/>
        <v>0</v>
      </c>
      <c r="AS95" s="854">
        <f t="shared" si="111"/>
        <v>0</v>
      </c>
      <c r="AT95" s="854">
        <f t="shared" si="112"/>
        <v>0</v>
      </c>
      <c r="AU95" s="854">
        <f t="shared" si="113"/>
        <v>0</v>
      </c>
      <c r="AV95" s="854">
        <f t="shared" si="134"/>
        <v>1049.335450371186</v>
      </c>
      <c r="AW95" s="854">
        <f t="shared" si="114"/>
        <v>0</v>
      </c>
      <c r="AX95" s="855">
        <f t="shared" si="115"/>
        <v>0</v>
      </c>
      <c r="AZ95" s="854">
        <f t="shared" si="116"/>
        <v>0</v>
      </c>
      <c r="BA95" s="854">
        <f t="shared" si="117"/>
        <v>0</v>
      </c>
      <c r="BB95" s="854">
        <f t="shared" si="118"/>
        <v>0</v>
      </c>
      <c r="BC95" s="854">
        <f t="shared" si="119"/>
        <v>0</v>
      </c>
      <c r="BD95" s="854">
        <f t="shared" si="120"/>
        <v>0</v>
      </c>
      <c r="BE95" s="854">
        <f t="shared" si="121"/>
        <v>7808.4477263590552</v>
      </c>
      <c r="BF95" s="854">
        <f t="shared" si="122"/>
        <v>0</v>
      </c>
      <c r="BG95" s="854">
        <f t="shared" si="123"/>
        <v>0</v>
      </c>
      <c r="BH95" s="854">
        <f t="shared" si="124"/>
        <v>0</v>
      </c>
      <c r="BI95" s="854">
        <f t="shared" si="125"/>
        <v>0</v>
      </c>
      <c r="BJ95" s="854">
        <f t="shared" si="135"/>
        <v>7808.4477263590552</v>
      </c>
      <c r="BK95" s="58" t="str">
        <f t="shared" si="136"/>
        <v>OK</v>
      </c>
      <c r="BL95" s="878" t="str">
        <f t="shared" si="126"/>
        <v>Upgrades on Waihoehoe Rd east- from project 4 to Drury Hills + Drury Hills Intersection TRA A26 0.756801091847854 2060 0.118464792988818</v>
      </c>
      <c r="BM95" s="870">
        <f t="shared" si="127"/>
        <v>2</v>
      </c>
      <c r="BN95" s="869">
        <f t="shared" si="137"/>
        <v>8857.7831767302414</v>
      </c>
      <c r="BO95" s="870">
        <f>IFERROR(VLOOKUP(AF95,FA_Codes!D:H,5,FALSE),"CHECK")</f>
        <v>0</v>
      </c>
      <c r="BP95" s="870" t="str">
        <f t="shared" si="128"/>
        <v>TRA</v>
      </c>
      <c r="BQ95" s="869">
        <f t="shared" si="129"/>
        <v>11704.242068550027</v>
      </c>
      <c r="BR95" s="870" t="str">
        <f t="shared" si="130"/>
        <v>24 TRA A26</v>
      </c>
      <c r="BS95" s="870">
        <f t="shared" si="138"/>
        <v>24</v>
      </c>
      <c r="BT95" s="870" t="s">
        <v>6992</v>
      </c>
      <c r="BU95" s="870">
        <f t="shared" si="131"/>
        <v>2060</v>
      </c>
      <c r="BV95" s="153"/>
      <c r="BW95" s="153"/>
      <c r="BX95" s="153"/>
      <c r="BY95" s="153"/>
      <c r="BZ95" s="153"/>
      <c r="CA95" s="153"/>
      <c r="CB95" s="153"/>
      <c r="CC95" s="153"/>
      <c r="CD95" s="153"/>
      <c r="CE95" s="153"/>
      <c r="CF95" s="153"/>
    </row>
    <row r="96" spans="1:84" ht="26">
      <c r="A96" s="848"/>
      <c r="B96" s="848" t="s">
        <v>896</v>
      </c>
      <c r="C96" s="848"/>
      <c r="D96" s="848"/>
      <c r="E96" s="848" t="s">
        <v>6793</v>
      </c>
      <c r="F96" s="866" t="s">
        <v>6733</v>
      </c>
      <c r="G96" s="866" t="s">
        <v>6734</v>
      </c>
      <c r="H96" s="866"/>
      <c r="I96" s="866"/>
      <c r="J96" s="866"/>
      <c r="K96" s="866" t="s">
        <v>6786</v>
      </c>
      <c r="L96" s="848"/>
      <c r="M96" s="848"/>
      <c r="N96" s="848"/>
      <c r="O96" s="848"/>
      <c r="P96" s="848"/>
      <c r="Q96" s="897">
        <v>0.7568010918478536</v>
      </c>
      <c r="R96" s="848">
        <v>2060</v>
      </c>
      <c r="S96" s="850">
        <v>0</v>
      </c>
      <c r="T96" s="850">
        <v>0</v>
      </c>
      <c r="U96" s="850">
        <v>0</v>
      </c>
      <c r="V96" s="850">
        <v>0</v>
      </c>
      <c r="W96" s="850">
        <v>0</v>
      </c>
      <c r="X96" s="850">
        <v>0</v>
      </c>
      <c r="Y96" s="850">
        <v>0</v>
      </c>
      <c r="Z96" s="850">
        <v>0</v>
      </c>
      <c r="AA96" s="850">
        <v>0</v>
      </c>
      <c r="AB96" s="850">
        <v>676561.22081865778</v>
      </c>
      <c r="AC96" s="898">
        <f t="shared" si="132"/>
        <v>676561.22081865778</v>
      </c>
      <c r="AD96" s="848"/>
      <c r="AF96" s="58" t="str">
        <f>IFERROR(VLOOKUP(K96,FA_Codes!C:F,2,FALSE),"CHECK")</f>
        <v>TRA A26</v>
      </c>
      <c r="AG96" s="851">
        <f t="shared" si="102"/>
        <v>676561.22081865778</v>
      </c>
      <c r="AH96" s="58" t="str">
        <f>IFERROR(VLOOKUP(AF96,FA_Codes!D:F,3,FALSE),"CHECK")</f>
        <v>Local</v>
      </c>
      <c r="AI96" s="857">
        <v>0.11846479298881837</v>
      </c>
      <c r="AJ96" s="853">
        <f t="shared" si="133"/>
        <v>0.8815352070111816</v>
      </c>
      <c r="AK96" s="854">
        <f t="shared" si="103"/>
        <v>164538.95020118079</v>
      </c>
      <c r="AL96" s="854">
        <f t="shared" si="104"/>
        <v>0</v>
      </c>
      <c r="AM96" s="854">
        <f t="shared" si="105"/>
        <v>0</v>
      </c>
      <c r="AN96" s="854">
        <f t="shared" si="106"/>
        <v>0</v>
      </c>
      <c r="AO96" s="854">
        <f t="shared" si="107"/>
        <v>0</v>
      </c>
      <c r="AP96" s="854">
        <f t="shared" si="108"/>
        <v>0</v>
      </c>
      <c r="AQ96" s="854">
        <f t="shared" si="109"/>
        <v>0</v>
      </c>
      <c r="AR96" s="854">
        <f t="shared" si="110"/>
        <v>0</v>
      </c>
      <c r="AS96" s="854">
        <f t="shared" si="111"/>
        <v>0</v>
      </c>
      <c r="AT96" s="854">
        <f t="shared" si="112"/>
        <v>0</v>
      </c>
      <c r="AU96" s="854">
        <f t="shared" si="113"/>
        <v>60656.612294364153</v>
      </c>
      <c r="AV96" s="854">
        <f t="shared" si="134"/>
        <v>60656.612294364153</v>
      </c>
      <c r="AW96" s="854">
        <f t="shared" si="114"/>
        <v>0</v>
      </c>
      <c r="AX96" s="855">
        <f t="shared" si="115"/>
        <v>0</v>
      </c>
      <c r="AZ96" s="854">
        <f t="shared" si="116"/>
        <v>0</v>
      </c>
      <c r="BA96" s="854">
        <f t="shared" si="117"/>
        <v>0</v>
      </c>
      <c r="BB96" s="854">
        <f t="shared" si="118"/>
        <v>0</v>
      </c>
      <c r="BC96" s="854">
        <f t="shared" si="119"/>
        <v>0</v>
      </c>
      <c r="BD96" s="854">
        <f t="shared" si="120"/>
        <v>0</v>
      </c>
      <c r="BE96" s="854">
        <f t="shared" si="121"/>
        <v>0</v>
      </c>
      <c r="BF96" s="854">
        <f t="shared" si="122"/>
        <v>0</v>
      </c>
      <c r="BG96" s="854">
        <f t="shared" si="123"/>
        <v>0</v>
      </c>
      <c r="BH96" s="854">
        <f t="shared" si="124"/>
        <v>0</v>
      </c>
      <c r="BI96" s="854">
        <f t="shared" si="125"/>
        <v>451365.65832311282</v>
      </c>
      <c r="BJ96" s="854">
        <f t="shared" si="135"/>
        <v>451365.65832311282</v>
      </c>
      <c r="BK96" s="58" t="str">
        <f t="shared" si="136"/>
        <v>OK</v>
      </c>
      <c r="BL96" s="878" t="str">
        <f t="shared" si="126"/>
        <v>Bremner-Norrie Road east of SH1 up to GSR (overlap with project 12) TRA A26 0.756801091847854 2060 0.118464792988818</v>
      </c>
      <c r="BM96" s="870">
        <f t="shared" si="127"/>
        <v>2</v>
      </c>
      <c r="BN96" s="869">
        <f t="shared" si="137"/>
        <v>512022.27061747696</v>
      </c>
      <c r="BO96" s="870">
        <f>IFERROR(VLOOKUP(AF96,FA_Codes!D:H,5,FALSE),"CHECK")</f>
        <v>0</v>
      </c>
      <c r="BP96" s="870" t="str">
        <f t="shared" si="128"/>
        <v>TRA</v>
      </c>
      <c r="BQ96" s="869">
        <f t="shared" si="129"/>
        <v>676561.22081865778</v>
      </c>
      <c r="BR96" s="870" t="str">
        <f t="shared" si="130"/>
        <v>36a TRA A26</v>
      </c>
      <c r="BS96" s="870" t="str">
        <f t="shared" si="138"/>
        <v>36a</v>
      </c>
      <c r="BT96" s="870" t="s">
        <v>6992</v>
      </c>
      <c r="BU96" s="870">
        <f t="shared" si="131"/>
        <v>2060</v>
      </c>
      <c r="BV96" s="153"/>
      <c r="BW96" s="153"/>
      <c r="BX96" s="153"/>
      <c r="BY96" s="153"/>
      <c r="BZ96" s="153"/>
      <c r="CA96" s="153"/>
      <c r="CB96" s="153"/>
      <c r="CC96" s="153"/>
      <c r="CD96" s="153"/>
      <c r="CE96" s="153"/>
      <c r="CF96" s="153"/>
    </row>
    <row r="97" spans="1:84" ht="26">
      <c r="A97" s="848"/>
      <c r="B97" s="848" t="s">
        <v>896</v>
      </c>
      <c r="C97" s="848"/>
      <c r="D97" s="848"/>
      <c r="E97" s="848" t="s">
        <v>6883</v>
      </c>
      <c r="F97" s="866" t="s">
        <v>6868</v>
      </c>
      <c r="G97" s="808" t="s">
        <v>6711</v>
      </c>
      <c r="H97" s="808"/>
      <c r="I97" s="808"/>
      <c r="J97" s="808"/>
      <c r="K97" s="808" t="s">
        <v>6786</v>
      </c>
      <c r="L97" s="848"/>
      <c r="M97" s="848"/>
      <c r="N97" s="848"/>
      <c r="O97" s="848"/>
      <c r="P97" s="848"/>
      <c r="Q97" s="849">
        <v>0.7568010918478536</v>
      </c>
      <c r="R97" s="848">
        <v>2060</v>
      </c>
      <c r="S97" s="850">
        <v>0</v>
      </c>
      <c r="T97" s="850">
        <v>0</v>
      </c>
      <c r="U97" s="850">
        <v>0</v>
      </c>
      <c r="V97" s="850">
        <v>0</v>
      </c>
      <c r="W97" s="850">
        <v>0</v>
      </c>
      <c r="X97" s="850">
        <v>0</v>
      </c>
      <c r="Y97" s="850">
        <v>0</v>
      </c>
      <c r="Z97" s="850">
        <v>0</v>
      </c>
      <c r="AA97" s="850">
        <v>-217096.96374787582</v>
      </c>
      <c r="AB97" s="850">
        <v>-2156878.0709227603</v>
      </c>
      <c r="AC97" s="809">
        <f t="shared" si="132"/>
        <v>-2373975.0346706361</v>
      </c>
      <c r="AD97" s="848"/>
      <c r="AF97" s="58" t="str">
        <f>IFERROR(VLOOKUP(K97,FA_Codes!C:F,2,FALSE),"CHECK")</f>
        <v>TRA A26</v>
      </c>
      <c r="AG97" s="851">
        <f t="shared" si="102"/>
        <v>-2373975.0346706361</v>
      </c>
      <c r="AH97" s="58" t="str">
        <f>IFERROR(VLOOKUP(AF97,FA_Codes!D:F,3,FALSE),"CHECK")</f>
        <v>Local</v>
      </c>
      <c r="AI97" s="857">
        <v>0.11846479298881837</v>
      </c>
      <c r="AJ97" s="853">
        <f t="shared" si="133"/>
        <v>0.8815352070111816</v>
      </c>
      <c r="AK97" s="854">
        <f t="shared" si="103"/>
        <v>-577348.13641235256</v>
      </c>
      <c r="AL97" s="854">
        <f t="shared" si="104"/>
        <v>0</v>
      </c>
      <c r="AM97" s="854">
        <f t="shared" si="105"/>
        <v>0</v>
      </c>
      <c r="AN97" s="854">
        <f t="shared" si="106"/>
        <v>0</v>
      </c>
      <c r="AO97" s="854">
        <f t="shared" si="107"/>
        <v>0</v>
      </c>
      <c r="AP97" s="854">
        <f t="shared" si="108"/>
        <v>0</v>
      </c>
      <c r="AQ97" s="854">
        <f t="shared" si="109"/>
        <v>0</v>
      </c>
      <c r="AR97" s="854">
        <f t="shared" si="110"/>
        <v>0</v>
      </c>
      <c r="AS97" s="854">
        <f t="shared" si="111"/>
        <v>0</v>
      </c>
      <c r="AT97" s="854">
        <f t="shared" si="112"/>
        <v>-19463.672990900137</v>
      </c>
      <c r="AU97" s="854">
        <f t="shared" si="113"/>
        <v>-193373.36058941027</v>
      </c>
      <c r="AV97" s="854">
        <f t="shared" si="134"/>
        <v>-212837.03358031041</v>
      </c>
      <c r="AW97" s="854">
        <f t="shared" si="114"/>
        <v>0</v>
      </c>
      <c r="AX97" s="855">
        <f t="shared" si="115"/>
        <v>0</v>
      </c>
      <c r="AZ97" s="854">
        <f t="shared" si="116"/>
        <v>0</v>
      </c>
      <c r="BA97" s="854">
        <f t="shared" si="117"/>
        <v>0</v>
      </c>
      <c r="BB97" s="854">
        <f t="shared" si="118"/>
        <v>0</v>
      </c>
      <c r="BC97" s="854">
        <f t="shared" si="119"/>
        <v>0</v>
      </c>
      <c r="BD97" s="854">
        <f t="shared" si="120"/>
        <v>0</v>
      </c>
      <c r="BE97" s="854">
        <f t="shared" si="121"/>
        <v>0</v>
      </c>
      <c r="BF97" s="854">
        <f t="shared" si="122"/>
        <v>0</v>
      </c>
      <c r="BG97" s="854">
        <f t="shared" si="123"/>
        <v>0</v>
      </c>
      <c r="BH97" s="854">
        <f t="shared" si="124"/>
        <v>-144835.54621034616</v>
      </c>
      <c r="BI97" s="854">
        <f t="shared" si="125"/>
        <v>-1438954.3184676268</v>
      </c>
      <c r="BJ97" s="854">
        <f t="shared" si="135"/>
        <v>-1583789.8646779731</v>
      </c>
      <c r="BK97" s="58" t="str">
        <f t="shared" si="136"/>
        <v>OK</v>
      </c>
      <c r="BL97" s="856" t="str">
        <f t="shared" si="126"/>
        <v>GSR improvements - Waihoehoe Rd to Drury Interchange TRA A26 0.756801091847854 2060 0.118464792988818</v>
      </c>
      <c r="BM97" s="153">
        <f t="shared" si="127"/>
        <v>2</v>
      </c>
      <c r="BN97" s="869">
        <f t="shared" si="137"/>
        <v>-1796626.8982582835</v>
      </c>
      <c r="BO97" s="870">
        <f>IFERROR(VLOOKUP(AF97,FA_Codes!D:H,5,FALSE),"CHECK")</f>
        <v>0</v>
      </c>
      <c r="BP97" s="870" t="str">
        <f t="shared" si="128"/>
        <v>TRA</v>
      </c>
      <c r="BQ97" s="869">
        <f t="shared" si="129"/>
        <v>0</v>
      </c>
      <c r="BR97" s="870" t="str">
        <f t="shared" si="130"/>
        <v>1b TRA A26</v>
      </c>
      <c r="BS97" s="870" t="str">
        <f t="shared" si="138"/>
        <v>1b</v>
      </c>
      <c r="BT97" s="870" t="s">
        <v>6992</v>
      </c>
      <c r="BU97" s="870">
        <f t="shared" si="131"/>
        <v>2060</v>
      </c>
      <c r="BV97" s="153"/>
      <c r="BW97" s="153"/>
      <c r="BX97" s="153"/>
      <c r="BY97" s="153"/>
      <c r="BZ97" s="153"/>
      <c r="CA97" s="153"/>
      <c r="CB97" s="153"/>
      <c r="CC97" s="153"/>
      <c r="CD97" s="153"/>
      <c r="CE97" s="153"/>
      <c r="CF97" s="153"/>
    </row>
    <row r="98" spans="1:84" ht="26">
      <c r="A98" s="848"/>
      <c r="B98" s="848" t="s">
        <v>896</v>
      </c>
      <c r="C98" s="848"/>
      <c r="D98" s="848"/>
      <c r="E98" s="848" t="s">
        <v>6794</v>
      </c>
      <c r="F98" s="866" t="s">
        <v>6708</v>
      </c>
      <c r="G98" s="808" t="s">
        <v>6709</v>
      </c>
      <c r="H98" s="808"/>
      <c r="I98" s="808"/>
      <c r="J98" s="808"/>
      <c r="K98" s="808" t="s">
        <v>6786</v>
      </c>
      <c r="L98" s="808"/>
      <c r="M98" s="808"/>
      <c r="N98" s="808"/>
      <c r="O98" s="808"/>
      <c r="P98" s="808"/>
      <c r="Q98" s="849">
        <v>0.7568010918478536</v>
      </c>
      <c r="R98" s="848">
        <v>2060</v>
      </c>
      <c r="S98" s="850">
        <v>0</v>
      </c>
      <c r="T98" s="850">
        <v>0</v>
      </c>
      <c r="U98" s="850">
        <v>0</v>
      </c>
      <c r="V98" s="850">
        <v>0</v>
      </c>
      <c r="W98" s="850">
        <v>0</v>
      </c>
      <c r="X98" s="850">
        <v>0</v>
      </c>
      <c r="Y98" s="850">
        <v>0</v>
      </c>
      <c r="Z98" s="850">
        <v>-132099.08979606745</v>
      </c>
      <c r="AA98" s="850">
        <v>-1312416.4661320932</v>
      </c>
      <c r="AB98" s="850">
        <v>0</v>
      </c>
      <c r="AC98" s="809">
        <f t="shared" si="132"/>
        <v>-1444515.5559281607</v>
      </c>
      <c r="AD98" s="848"/>
      <c r="AF98" s="58" t="str">
        <f>IFERROR(VLOOKUP(K98,FA_Codes!C:F,2,FALSE),"CHECK")</f>
        <v>TRA A26</v>
      </c>
      <c r="AG98" s="851">
        <f t="shared" si="102"/>
        <v>-1444515.5559281607</v>
      </c>
      <c r="AH98" s="58" t="str">
        <f>IFERROR(VLOOKUP(AF98,FA_Codes!D:F,3,FALSE),"CHECK")</f>
        <v>Local</v>
      </c>
      <c r="AI98" s="857">
        <v>0.11846479298881837</v>
      </c>
      <c r="AJ98" s="853">
        <f t="shared" si="133"/>
        <v>0.8815352070111816</v>
      </c>
      <c r="AK98" s="854">
        <f t="shared" si="103"/>
        <v>-351304.60601051943</v>
      </c>
      <c r="AL98" s="854">
        <f t="shared" si="104"/>
        <v>0</v>
      </c>
      <c r="AM98" s="854">
        <f t="shared" si="105"/>
        <v>0</v>
      </c>
      <c r="AN98" s="854">
        <f t="shared" si="106"/>
        <v>0</v>
      </c>
      <c r="AO98" s="854">
        <f t="shared" si="107"/>
        <v>0</v>
      </c>
      <c r="AP98" s="854">
        <f t="shared" si="108"/>
        <v>0</v>
      </c>
      <c r="AQ98" s="854">
        <f t="shared" si="109"/>
        <v>0</v>
      </c>
      <c r="AR98" s="854">
        <f t="shared" si="110"/>
        <v>0</v>
      </c>
      <c r="AS98" s="854">
        <f t="shared" si="111"/>
        <v>-11843.249402475198</v>
      </c>
      <c r="AT98" s="854">
        <f t="shared" si="112"/>
        <v>-117663.75947262766</v>
      </c>
      <c r="AU98" s="854">
        <f t="shared" si="113"/>
        <v>0</v>
      </c>
      <c r="AV98" s="854">
        <f t="shared" si="134"/>
        <v>-129507.00887510285</v>
      </c>
      <c r="AW98" s="854">
        <f t="shared" si="114"/>
        <v>0</v>
      </c>
      <c r="AX98" s="855">
        <f t="shared" si="115"/>
        <v>0</v>
      </c>
      <c r="AZ98" s="854">
        <f t="shared" si="116"/>
        <v>0</v>
      </c>
      <c r="BA98" s="854">
        <f t="shared" si="117"/>
        <v>0</v>
      </c>
      <c r="BB98" s="854">
        <f t="shared" si="118"/>
        <v>0</v>
      </c>
      <c r="BC98" s="854">
        <f t="shared" si="119"/>
        <v>0</v>
      </c>
      <c r="BD98" s="854">
        <f t="shared" si="120"/>
        <v>0</v>
      </c>
      <c r="BE98" s="854">
        <f t="shared" si="121"/>
        <v>0</v>
      </c>
      <c r="BF98" s="854">
        <f t="shared" si="122"/>
        <v>0</v>
      </c>
      <c r="BG98" s="854">
        <f t="shared" si="123"/>
        <v>-88129.485987296313</v>
      </c>
      <c r="BH98" s="854">
        <f t="shared" si="124"/>
        <v>-875574.45505524206</v>
      </c>
      <c r="BI98" s="854">
        <f t="shared" si="125"/>
        <v>0</v>
      </c>
      <c r="BJ98" s="854">
        <f t="shared" si="135"/>
        <v>-963703.94104253838</v>
      </c>
      <c r="BK98" s="58" t="str">
        <f t="shared" si="136"/>
        <v>OK</v>
      </c>
      <c r="BL98" s="856" t="str">
        <f t="shared" si="126"/>
        <v>GSR improvements - From Drury School to Waihoehoe Rd TRA A26 0.756801091847854 2060 0.118464792988818</v>
      </c>
      <c r="BM98" s="153">
        <f t="shared" si="127"/>
        <v>2</v>
      </c>
      <c r="BN98" s="869">
        <f t="shared" si="137"/>
        <v>-1093210.9499176412</v>
      </c>
      <c r="BO98" s="870">
        <f>IFERROR(VLOOKUP(AF98,FA_Codes!D:H,5,FALSE),"CHECK")</f>
        <v>0</v>
      </c>
      <c r="BP98" s="870" t="str">
        <f t="shared" si="128"/>
        <v>TRA</v>
      </c>
      <c r="BQ98" s="869">
        <f t="shared" si="129"/>
        <v>0</v>
      </c>
      <c r="BR98" s="870" t="str">
        <f t="shared" si="130"/>
        <v>2a TRA A26</v>
      </c>
      <c r="BS98" s="870" t="str">
        <f t="shared" si="138"/>
        <v>2a</v>
      </c>
      <c r="BT98" s="870" t="s">
        <v>6992</v>
      </c>
      <c r="BU98" s="870">
        <f t="shared" si="131"/>
        <v>2060</v>
      </c>
      <c r="BV98" s="153"/>
      <c r="BW98" s="153"/>
      <c r="BX98" s="153"/>
      <c r="BY98" s="153"/>
      <c r="BZ98" s="153"/>
      <c r="CA98" s="153"/>
      <c r="CB98" s="153"/>
      <c r="CC98" s="153"/>
      <c r="CD98" s="153"/>
      <c r="CE98" s="153"/>
      <c r="CF98" s="153"/>
    </row>
    <row r="99" spans="1:84" ht="39">
      <c r="A99" s="848"/>
      <c r="B99" s="848" t="s">
        <v>896</v>
      </c>
      <c r="C99" s="848"/>
      <c r="D99" s="848"/>
      <c r="E99" s="848" t="s">
        <v>6795</v>
      </c>
      <c r="F99" s="866" t="s">
        <v>6713</v>
      </c>
      <c r="G99" s="808" t="s">
        <v>6714</v>
      </c>
      <c r="H99" s="808"/>
      <c r="I99" s="808"/>
      <c r="J99" s="808"/>
      <c r="K99" s="808" t="s">
        <v>6786</v>
      </c>
      <c r="L99" s="808"/>
      <c r="M99" s="808"/>
      <c r="N99" s="808"/>
      <c r="O99" s="808"/>
      <c r="P99" s="808"/>
      <c r="Q99" s="849">
        <v>0.7568010918478536</v>
      </c>
      <c r="R99" s="848">
        <v>2060</v>
      </c>
      <c r="S99" s="850">
        <v>0</v>
      </c>
      <c r="T99" s="850">
        <v>0</v>
      </c>
      <c r="U99" s="850">
        <v>-812.16204780471196</v>
      </c>
      <c r="V99" s="850">
        <v>0</v>
      </c>
      <c r="W99" s="850">
        <v>0</v>
      </c>
      <c r="X99" s="850">
        <v>-85778.628211835574</v>
      </c>
      <c r="Y99" s="850">
        <v>-24498.689545664794</v>
      </c>
      <c r="Z99" s="850">
        <v>-267133.97071425401</v>
      </c>
      <c r="AA99" s="850">
        <v>0</v>
      </c>
      <c r="AB99" s="850">
        <v>0</v>
      </c>
      <c r="AC99" s="809">
        <f t="shared" si="132"/>
        <v>-378223.45051955909</v>
      </c>
      <c r="AD99" s="848"/>
      <c r="AF99" s="58" t="str">
        <f>IFERROR(VLOOKUP(K99,FA_Codes!C:F,2,FALSE),"CHECK")</f>
        <v>TRA A26</v>
      </c>
      <c r="AG99" s="851">
        <f t="shared" si="102"/>
        <v>-378223.45051955909</v>
      </c>
      <c r="AH99" s="58" t="str">
        <f>IFERROR(VLOOKUP(AF99,FA_Codes!D:F,3,FALSE),"CHECK")</f>
        <v>Local</v>
      </c>
      <c r="AI99" s="857">
        <v>0.11846479298881837</v>
      </c>
      <c r="AJ99" s="853">
        <f t="shared" si="133"/>
        <v>0.8815352070111816</v>
      </c>
      <c r="AK99" s="854">
        <f t="shared" si="103"/>
        <v>-91983.530203894145</v>
      </c>
      <c r="AL99" s="854">
        <f t="shared" si="104"/>
        <v>0</v>
      </c>
      <c r="AM99" s="854">
        <f t="shared" si="105"/>
        <v>0</v>
      </c>
      <c r="AN99" s="854">
        <f t="shared" si="106"/>
        <v>-72.813807439743101</v>
      </c>
      <c r="AO99" s="854">
        <f t="shared" si="107"/>
        <v>0</v>
      </c>
      <c r="AP99" s="854">
        <f t="shared" si="108"/>
        <v>0</v>
      </c>
      <c r="AQ99" s="854">
        <f t="shared" si="109"/>
        <v>-7690.4215531181262</v>
      </c>
      <c r="AR99" s="854">
        <f t="shared" si="110"/>
        <v>-2196.4124868009308</v>
      </c>
      <c r="AS99" s="854">
        <f t="shared" si="111"/>
        <v>-23949.705057972318</v>
      </c>
      <c r="AT99" s="854">
        <f t="shared" si="112"/>
        <v>0</v>
      </c>
      <c r="AU99" s="854">
        <f t="shared" si="113"/>
        <v>0</v>
      </c>
      <c r="AV99" s="854">
        <f t="shared" si="134"/>
        <v>-33909.352905331121</v>
      </c>
      <c r="AW99" s="854">
        <f t="shared" si="114"/>
        <v>0</v>
      </c>
      <c r="AX99" s="855">
        <f t="shared" si="115"/>
        <v>0</v>
      </c>
      <c r="AZ99" s="854">
        <f t="shared" si="116"/>
        <v>0</v>
      </c>
      <c r="BA99" s="854">
        <f t="shared" si="117"/>
        <v>0</v>
      </c>
      <c r="BB99" s="854">
        <f t="shared" si="118"/>
        <v>-541.83131709625161</v>
      </c>
      <c r="BC99" s="854">
        <f t="shared" si="119"/>
        <v>0</v>
      </c>
      <c r="BD99" s="854">
        <f t="shared" si="120"/>
        <v>0</v>
      </c>
      <c r="BE99" s="854">
        <f t="shared" si="121"/>
        <v>-57226.937934810136</v>
      </c>
      <c r="BF99" s="854">
        <f t="shared" si="122"/>
        <v>-16344.222510199783</v>
      </c>
      <c r="BG99" s="854">
        <f t="shared" si="123"/>
        <v>-178217.57564822768</v>
      </c>
      <c r="BH99" s="854">
        <f t="shared" si="124"/>
        <v>0</v>
      </c>
      <c r="BI99" s="854">
        <f t="shared" si="125"/>
        <v>0</v>
      </c>
      <c r="BJ99" s="854">
        <f t="shared" si="135"/>
        <v>-252330.56741033384</v>
      </c>
      <c r="BK99" s="58" t="str">
        <f t="shared" si="136"/>
        <v>OK</v>
      </c>
      <c r="BL99" s="856" t="str">
        <f t="shared" si="126"/>
        <v>Waihoehoe Rd East upgrades- from Fitzgerald Rd to before Cossey Rd (development boundary) TRA A26 0.756801091847854 2060 0.118464792988818</v>
      </c>
      <c r="BM99" s="153">
        <f t="shared" si="127"/>
        <v>2</v>
      </c>
      <c r="BN99" s="869">
        <f t="shared" si="137"/>
        <v>-286239.92031566496</v>
      </c>
      <c r="BO99" s="870">
        <f>IFERROR(VLOOKUP(AF99,FA_Codes!D:H,5,FALSE),"CHECK")</f>
        <v>0</v>
      </c>
      <c r="BP99" s="870" t="str">
        <f t="shared" si="128"/>
        <v>TRA</v>
      </c>
      <c r="BQ99" s="869">
        <f t="shared" si="129"/>
        <v>0</v>
      </c>
      <c r="BR99" s="870" t="str">
        <f t="shared" si="130"/>
        <v>4b TRA A26</v>
      </c>
      <c r="BS99" s="870" t="str">
        <f t="shared" si="138"/>
        <v>4b</v>
      </c>
      <c r="BT99" s="870" t="s">
        <v>6992</v>
      </c>
      <c r="BU99" s="870">
        <f t="shared" si="131"/>
        <v>2060</v>
      </c>
      <c r="BV99" s="153"/>
      <c r="BW99" s="153"/>
      <c r="BX99" s="153"/>
      <c r="BY99" s="153"/>
      <c r="BZ99" s="153"/>
      <c r="CA99" s="153"/>
      <c r="CB99" s="153"/>
      <c r="CC99" s="153"/>
      <c r="CD99" s="153"/>
      <c r="CE99" s="153"/>
      <c r="CF99" s="153"/>
    </row>
    <row r="100" spans="1:84" ht="26">
      <c r="A100" s="848"/>
      <c r="B100" s="848" t="s">
        <v>896</v>
      </c>
      <c r="C100" s="848"/>
      <c r="D100" s="848"/>
      <c r="E100" s="848" t="s">
        <v>6796</v>
      </c>
      <c r="F100" s="866" t="s">
        <v>6715</v>
      </c>
      <c r="G100" s="808" t="s">
        <v>6717</v>
      </c>
      <c r="H100" s="808"/>
      <c r="I100" s="808"/>
      <c r="J100" s="808"/>
      <c r="K100" s="808" t="s">
        <v>6786</v>
      </c>
      <c r="L100" s="808"/>
      <c r="M100" s="808"/>
      <c r="N100" s="808"/>
      <c r="O100" s="808"/>
      <c r="P100" s="808"/>
      <c r="Q100" s="849">
        <v>0.7568010918478536</v>
      </c>
      <c r="R100" s="848">
        <v>2060</v>
      </c>
      <c r="S100" s="850">
        <v>0</v>
      </c>
      <c r="T100" s="850">
        <v>0</v>
      </c>
      <c r="U100" s="850">
        <v>0</v>
      </c>
      <c r="V100" s="850">
        <v>0</v>
      </c>
      <c r="W100" s="850">
        <v>0</v>
      </c>
      <c r="X100" s="850">
        <v>0</v>
      </c>
      <c r="Y100" s="850">
        <v>0</v>
      </c>
      <c r="Z100" s="850">
        <v>-87920.316121292315</v>
      </c>
      <c r="AA100" s="850">
        <v>-109040.78401227669</v>
      </c>
      <c r="AB100" s="850">
        <v>-1102070.1505589469</v>
      </c>
      <c r="AC100" s="809">
        <f t="shared" si="132"/>
        <v>-1299031.2506925159</v>
      </c>
      <c r="AD100" s="848"/>
      <c r="AF100" s="58" t="str">
        <f>IFERROR(VLOOKUP(K100,FA_Codes!C:F,2,FALSE),"CHECK")</f>
        <v>TRA A26</v>
      </c>
      <c r="AG100" s="851">
        <f t="shared" si="102"/>
        <v>-1299031.2506925159</v>
      </c>
      <c r="AH100" s="58" t="str">
        <f>IFERROR(VLOOKUP(AF100,FA_Codes!D:F,3,FALSE),"CHECK")</f>
        <v>Local</v>
      </c>
      <c r="AI100" s="857">
        <v>0.11846479298881837</v>
      </c>
      <c r="AJ100" s="853">
        <f t="shared" si="133"/>
        <v>0.8815352070111816</v>
      </c>
      <c r="AK100" s="854">
        <f t="shared" si="103"/>
        <v>-315922.98182393704</v>
      </c>
      <c r="AL100" s="854">
        <f t="shared" si="104"/>
        <v>0</v>
      </c>
      <c r="AM100" s="854">
        <f t="shared" si="105"/>
        <v>0</v>
      </c>
      <c r="AN100" s="854">
        <f t="shared" si="106"/>
        <v>0</v>
      </c>
      <c r="AO100" s="854">
        <f t="shared" si="107"/>
        <v>0</v>
      </c>
      <c r="AP100" s="854">
        <f t="shared" si="108"/>
        <v>0</v>
      </c>
      <c r="AQ100" s="854">
        <f t="shared" si="109"/>
        <v>0</v>
      </c>
      <c r="AR100" s="854">
        <f t="shared" si="110"/>
        <v>0</v>
      </c>
      <c r="AS100" s="854">
        <f t="shared" si="111"/>
        <v>-7882.4330506471351</v>
      </c>
      <c r="AT100" s="854">
        <f t="shared" si="112"/>
        <v>-9775.9734915090048</v>
      </c>
      <c r="AU100" s="854">
        <f t="shared" si="113"/>
        <v>-98805.31101495566</v>
      </c>
      <c r="AV100" s="854">
        <f t="shared" si="134"/>
        <v>-116463.7175571118</v>
      </c>
      <c r="AW100" s="854">
        <f t="shared" si="114"/>
        <v>0</v>
      </c>
      <c r="AX100" s="855">
        <f t="shared" si="115"/>
        <v>0</v>
      </c>
      <c r="AZ100" s="854">
        <f t="shared" si="116"/>
        <v>0</v>
      </c>
      <c r="BA100" s="854">
        <f t="shared" si="117"/>
        <v>0</v>
      </c>
      <c r="BB100" s="854">
        <f t="shared" si="118"/>
        <v>0</v>
      </c>
      <c r="BC100" s="854">
        <f t="shared" si="119"/>
        <v>0</v>
      </c>
      <c r="BD100" s="854">
        <f t="shared" si="120"/>
        <v>0</v>
      </c>
      <c r="BE100" s="854">
        <f t="shared" si="121"/>
        <v>0</v>
      </c>
      <c r="BF100" s="854">
        <f t="shared" si="122"/>
        <v>0</v>
      </c>
      <c r="BG100" s="854">
        <f t="shared" si="123"/>
        <v>-58655.758185555336</v>
      </c>
      <c r="BH100" s="854">
        <f t="shared" si="124"/>
        <v>-72746.210904927968</v>
      </c>
      <c r="BI100" s="854">
        <f t="shared" si="125"/>
        <v>-735242.58222098381</v>
      </c>
      <c r="BJ100" s="854">
        <f t="shared" si="135"/>
        <v>-866644.55131146708</v>
      </c>
      <c r="BK100" s="58" t="str">
        <f t="shared" si="136"/>
        <v>OK</v>
      </c>
      <c r="BL100" s="856" t="str">
        <f t="shared" si="126"/>
        <v>Upgrade in Norrie Rd/GSR/Waihoehoe intersection TRA A26 0.756801091847854 2060 0.118464792988818</v>
      </c>
      <c r="BM100" s="153">
        <f t="shared" si="127"/>
        <v>2</v>
      </c>
      <c r="BN100" s="869">
        <f t="shared" si="137"/>
        <v>-983108.26886857883</v>
      </c>
      <c r="BO100" s="870">
        <f>IFERROR(VLOOKUP(AF100,FA_Codes!D:H,5,FALSE),"CHECK")</f>
        <v>0</v>
      </c>
      <c r="BP100" s="870" t="str">
        <f t="shared" si="128"/>
        <v>TRA</v>
      </c>
      <c r="BQ100" s="869">
        <f t="shared" si="129"/>
        <v>0</v>
      </c>
      <c r="BR100" s="870" t="str">
        <f t="shared" si="130"/>
        <v>9b TRA A26</v>
      </c>
      <c r="BS100" s="870" t="str">
        <f t="shared" si="138"/>
        <v>9b</v>
      </c>
      <c r="BT100" s="870" t="s">
        <v>6992</v>
      </c>
      <c r="BU100" s="870">
        <f t="shared" si="131"/>
        <v>2060</v>
      </c>
      <c r="BV100" s="153"/>
      <c r="BW100" s="153"/>
      <c r="BX100" s="153"/>
      <c r="BY100" s="153"/>
      <c r="BZ100" s="153"/>
      <c r="CA100" s="153"/>
      <c r="CB100" s="153"/>
      <c r="CC100" s="153"/>
      <c r="CD100" s="153"/>
      <c r="CE100" s="153"/>
      <c r="CF100" s="153"/>
    </row>
    <row r="101" spans="1:84" ht="26">
      <c r="A101" s="848"/>
      <c r="B101" s="848" t="s">
        <v>896</v>
      </c>
      <c r="C101" s="848"/>
      <c r="D101" s="848"/>
      <c r="E101" s="848" t="s">
        <v>6859</v>
      </c>
      <c r="F101" s="866" t="s">
        <v>6718</v>
      </c>
      <c r="G101" s="808" t="s">
        <v>6838</v>
      </c>
      <c r="H101" s="808"/>
      <c r="I101" s="808"/>
      <c r="J101" s="808"/>
      <c r="K101" s="808" t="s">
        <v>6786</v>
      </c>
      <c r="L101" s="808"/>
      <c r="M101" s="808"/>
      <c r="N101" s="808"/>
      <c r="O101" s="808"/>
      <c r="P101" s="808"/>
      <c r="Q101" s="849">
        <v>0.7568010918478536</v>
      </c>
      <c r="R101" s="848">
        <v>2060</v>
      </c>
      <c r="S101" s="850">
        <v>0</v>
      </c>
      <c r="T101" s="850">
        <v>0</v>
      </c>
      <c r="U101" s="850">
        <v>0</v>
      </c>
      <c r="V101" s="850">
        <v>0</v>
      </c>
      <c r="W101" s="850">
        <v>0</v>
      </c>
      <c r="X101" s="850">
        <v>0</v>
      </c>
      <c r="Y101" s="850">
        <v>0</v>
      </c>
      <c r="Z101" s="850">
        <v>-155743.14017228634</v>
      </c>
      <c r="AA101" s="850">
        <v>-121073.6087799667</v>
      </c>
      <c r="AB101" s="850">
        <v>-1222502.1288021735</v>
      </c>
      <c r="AC101" s="809">
        <f t="shared" si="132"/>
        <v>-1499318.8777544266</v>
      </c>
      <c r="AD101" s="848"/>
      <c r="AF101" s="58" t="str">
        <f>IFERROR(VLOOKUP(K101,FA_Codes!C:F,2,FALSE),"CHECK")</f>
        <v>TRA A26</v>
      </c>
      <c r="AG101" s="851">
        <f t="shared" si="102"/>
        <v>-1499318.8777544266</v>
      </c>
      <c r="AH101" s="58" t="str">
        <f>IFERROR(VLOOKUP(AF101,FA_Codes!D:F,3,FALSE),"CHECK")</f>
        <v>Local</v>
      </c>
      <c r="AI101" s="857">
        <v>0.11846479298881837</v>
      </c>
      <c r="AJ101" s="853">
        <f t="shared" si="133"/>
        <v>0.8815352070111816</v>
      </c>
      <c r="AK101" s="854">
        <f t="shared" si="103"/>
        <v>-364632.714041778</v>
      </c>
      <c r="AL101" s="854">
        <f t="shared" si="104"/>
        <v>0</v>
      </c>
      <c r="AM101" s="854">
        <f t="shared" si="105"/>
        <v>0</v>
      </c>
      <c r="AN101" s="854">
        <f t="shared" si="106"/>
        <v>0</v>
      </c>
      <c r="AO101" s="854">
        <f t="shared" si="107"/>
        <v>0</v>
      </c>
      <c r="AP101" s="854">
        <f t="shared" si="108"/>
        <v>0</v>
      </c>
      <c r="AQ101" s="854">
        <f t="shared" si="109"/>
        <v>0</v>
      </c>
      <c r="AR101" s="854">
        <f t="shared" si="110"/>
        <v>0</v>
      </c>
      <c r="AS101" s="854">
        <f t="shared" si="111"/>
        <v>-13963.039825880402</v>
      </c>
      <c r="AT101" s="854">
        <f t="shared" si="112"/>
        <v>-10854.767788729634</v>
      </c>
      <c r="AU101" s="854">
        <f t="shared" si="113"/>
        <v>-109602.55387688534</v>
      </c>
      <c r="AV101" s="854">
        <f t="shared" si="134"/>
        <v>-134420.36149149539</v>
      </c>
      <c r="AW101" s="854">
        <f t="shared" si="114"/>
        <v>0</v>
      </c>
      <c r="AX101" s="855">
        <f t="shared" si="115"/>
        <v>0</v>
      </c>
      <c r="AZ101" s="854">
        <f t="shared" si="116"/>
        <v>0</v>
      </c>
      <c r="BA101" s="854">
        <f t="shared" si="117"/>
        <v>0</v>
      </c>
      <c r="BB101" s="854">
        <f t="shared" si="118"/>
        <v>0</v>
      </c>
      <c r="BC101" s="854">
        <f t="shared" si="119"/>
        <v>0</v>
      </c>
      <c r="BD101" s="854">
        <f t="shared" si="120"/>
        <v>0</v>
      </c>
      <c r="BE101" s="854">
        <f t="shared" si="121"/>
        <v>0</v>
      </c>
      <c r="BF101" s="854">
        <f t="shared" si="122"/>
        <v>0</v>
      </c>
      <c r="BG101" s="854">
        <f t="shared" si="123"/>
        <v>-103903.5387043192</v>
      </c>
      <c r="BH101" s="854">
        <f t="shared" si="124"/>
        <v>-80773.87152990904</v>
      </c>
      <c r="BI101" s="854">
        <f t="shared" si="125"/>
        <v>-815588.39198692492</v>
      </c>
      <c r="BJ101" s="854">
        <f t="shared" si="135"/>
        <v>-1000265.8022211532</v>
      </c>
      <c r="BK101" s="58" t="str">
        <f t="shared" si="136"/>
        <v>OK</v>
      </c>
      <c r="BL101" s="856" t="str">
        <f t="shared" si="126"/>
        <v>New intersection on Waihoehoe Rd/Fitzgerald Rd( including approach cross-sections) TRA A26 0.756801091847854 2060 0.118464792988818</v>
      </c>
      <c r="BM101" s="153">
        <f t="shared" si="127"/>
        <v>2</v>
      </c>
      <c r="BN101" s="869">
        <f t="shared" si="137"/>
        <v>-1134686.1637126487</v>
      </c>
      <c r="BO101" s="870">
        <f>IFERROR(VLOOKUP(AF101,FA_Codes!D:H,5,FALSE),"CHECK")</f>
        <v>0</v>
      </c>
      <c r="BP101" s="870" t="str">
        <f t="shared" si="128"/>
        <v>TRA</v>
      </c>
      <c r="BQ101" s="869">
        <f t="shared" si="129"/>
        <v>0</v>
      </c>
      <c r="BR101" s="870" t="str">
        <f t="shared" si="130"/>
        <v>10b TRA A26</v>
      </c>
      <c r="BS101" s="870" t="str">
        <f t="shared" si="138"/>
        <v>10b</v>
      </c>
      <c r="BT101" s="870" t="s">
        <v>6992</v>
      </c>
      <c r="BU101" s="870">
        <f t="shared" si="131"/>
        <v>2060</v>
      </c>
      <c r="BV101" s="153"/>
      <c r="BW101" s="153"/>
      <c r="BX101" s="153"/>
      <c r="BY101" s="153"/>
      <c r="BZ101" s="153"/>
      <c r="CA101" s="153"/>
      <c r="CB101" s="153"/>
      <c r="CC101" s="153"/>
      <c r="CD101" s="153"/>
      <c r="CE101" s="153"/>
      <c r="CF101" s="153"/>
    </row>
    <row r="102" spans="1:84" ht="26">
      <c r="A102" s="848"/>
      <c r="B102" s="848" t="s">
        <v>896</v>
      </c>
      <c r="C102" s="848"/>
      <c r="D102" s="848"/>
      <c r="E102" s="848" t="s">
        <v>6797</v>
      </c>
      <c r="F102" s="866" t="s">
        <v>6720</v>
      </c>
      <c r="G102" s="808" t="s">
        <v>6721</v>
      </c>
      <c r="H102" s="808"/>
      <c r="I102" s="808"/>
      <c r="J102" s="808"/>
      <c r="K102" s="808" t="s">
        <v>6786</v>
      </c>
      <c r="L102" s="808"/>
      <c r="M102" s="808"/>
      <c r="N102" s="808"/>
      <c r="O102" s="808"/>
      <c r="P102" s="808"/>
      <c r="Q102" s="849">
        <v>0.7568010918478536</v>
      </c>
      <c r="R102" s="848">
        <v>2060</v>
      </c>
      <c r="S102" s="850">
        <v>0</v>
      </c>
      <c r="T102" s="850">
        <v>0</v>
      </c>
      <c r="U102" s="850">
        <v>0</v>
      </c>
      <c r="V102" s="850">
        <v>0</v>
      </c>
      <c r="W102" s="850">
        <v>0</v>
      </c>
      <c r="X102" s="850">
        <v>-3242.5569596736736</v>
      </c>
      <c r="Y102" s="850">
        <v>0</v>
      </c>
      <c r="Z102" s="850">
        <v>-6462.7425847389795</v>
      </c>
      <c r="AA102" s="850">
        <v>-3302.0075121809095</v>
      </c>
      <c r="AB102" s="850">
        <v>-32805.74481601845</v>
      </c>
      <c r="AC102" s="809">
        <f t="shared" si="132"/>
        <v>-45813.051872612014</v>
      </c>
      <c r="AD102" s="848"/>
      <c r="AF102" s="58" t="str">
        <f>IFERROR(VLOOKUP(K102,FA_Codes!C:F,2,FALSE),"CHECK")</f>
        <v>TRA A26</v>
      </c>
      <c r="AG102" s="851">
        <f t="shared" si="102"/>
        <v>-45813.051872612014</v>
      </c>
      <c r="AH102" s="58" t="str">
        <f>IFERROR(VLOOKUP(AF102,FA_Codes!D:F,3,FALSE),"CHECK")</f>
        <v>Local</v>
      </c>
      <c r="AI102" s="857">
        <v>0.11846479298881837</v>
      </c>
      <c r="AJ102" s="853">
        <f t="shared" si="133"/>
        <v>0.8815352070111816</v>
      </c>
      <c r="AK102" s="854">
        <f t="shared" si="103"/>
        <v>-11141.684194536887</v>
      </c>
      <c r="AL102" s="854">
        <f t="shared" si="104"/>
        <v>0</v>
      </c>
      <c r="AM102" s="854">
        <f t="shared" si="105"/>
        <v>0</v>
      </c>
      <c r="AN102" s="854">
        <f t="shared" si="106"/>
        <v>0</v>
      </c>
      <c r="AO102" s="854">
        <f t="shared" si="107"/>
        <v>0</v>
      </c>
      <c r="AP102" s="854">
        <f t="shared" si="108"/>
        <v>0</v>
      </c>
      <c r="AQ102" s="854">
        <f t="shared" si="109"/>
        <v>-290.70912475197281</v>
      </c>
      <c r="AR102" s="854">
        <f t="shared" si="110"/>
        <v>0</v>
      </c>
      <c r="AS102" s="854">
        <f t="shared" si="111"/>
        <v>-579.41256350230742</v>
      </c>
      <c r="AT102" s="854">
        <f t="shared" si="112"/>
        <v>-296.03912151080817</v>
      </c>
      <c r="AU102" s="854">
        <f t="shared" si="113"/>
        <v>-2941.1755848572898</v>
      </c>
      <c r="AV102" s="854">
        <f t="shared" si="134"/>
        <v>-4107.3363946223781</v>
      </c>
      <c r="AW102" s="854">
        <f t="shared" si="114"/>
        <v>0</v>
      </c>
      <c r="AX102" s="855">
        <f t="shared" si="115"/>
        <v>0</v>
      </c>
      <c r="AZ102" s="854">
        <f t="shared" si="116"/>
        <v>0</v>
      </c>
      <c r="BA102" s="854">
        <f t="shared" si="117"/>
        <v>0</v>
      </c>
      <c r="BB102" s="854">
        <f t="shared" si="118"/>
        <v>0</v>
      </c>
      <c r="BC102" s="854">
        <f t="shared" si="119"/>
        <v>0</v>
      </c>
      <c r="BD102" s="854">
        <f t="shared" si="120"/>
        <v>0</v>
      </c>
      <c r="BE102" s="854">
        <f t="shared" si="121"/>
        <v>-2163.26152270792</v>
      </c>
      <c r="BF102" s="854">
        <f t="shared" si="122"/>
        <v>0</v>
      </c>
      <c r="BG102" s="854">
        <f t="shared" si="123"/>
        <v>-4311.5980809597722</v>
      </c>
      <c r="BH102" s="854">
        <f t="shared" si="124"/>
        <v>-2202.9237689975189</v>
      </c>
      <c r="BI102" s="854">
        <f t="shared" si="125"/>
        <v>-21886.247910787537</v>
      </c>
      <c r="BJ102" s="854">
        <f t="shared" si="135"/>
        <v>-30564.031283452747</v>
      </c>
      <c r="BK102" s="58" t="str">
        <f t="shared" si="136"/>
        <v>OK</v>
      </c>
      <c r="BL102" s="856" t="str">
        <f t="shared" si="126"/>
        <v>Intersection upgrade Waihoehoe Rd/Fielding Rd/Appleby Rd TRA A26 0.756801091847854 2060 0.118464792988818</v>
      </c>
      <c r="BM102" s="153">
        <f t="shared" si="127"/>
        <v>2</v>
      </c>
      <c r="BN102" s="869">
        <f t="shared" si="137"/>
        <v>-34671.367678075127</v>
      </c>
      <c r="BO102" s="870">
        <f>IFERROR(VLOOKUP(AF102,FA_Codes!D:H,5,FALSE),"CHECK")</f>
        <v>0</v>
      </c>
      <c r="BP102" s="870" t="str">
        <f t="shared" si="128"/>
        <v>TRA</v>
      </c>
      <c r="BQ102" s="869">
        <f t="shared" si="129"/>
        <v>0</v>
      </c>
      <c r="BR102" s="870" t="str">
        <f t="shared" si="130"/>
        <v>11 TRA A26</v>
      </c>
      <c r="BS102" s="870">
        <f t="shared" si="138"/>
        <v>11</v>
      </c>
      <c r="BT102" s="870" t="s">
        <v>6992</v>
      </c>
      <c r="BU102" s="870">
        <f t="shared" si="131"/>
        <v>2060</v>
      </c>
      <c r="BV102" s="153"/>
      <c r="BW102" s="153"/>
      <c r="BX102" s="153"/>
      <c r="BY102" s="153"/>
      <c r="BZ102" s="153"/>
      <c r="CA102" s="153"/>
      <c r="CB102" s="153"/>
      <c r="CC102" s="153"/>
      <c r="CD102" s="153"/>
      <c r="CE102" s="153"/>
      <c r="CF102" s="153"/>
    </row>
    <row r="103" spans="1:84" ht="26">
      <c r="A103" s="848"/>
      <c r="B103" s="848" t="s">
        <v>896</v>
      </c>
      <c r="C103" s="848"/>
      <c r="D103" s="848"/>
      <c r="E103" s="848" t="s">
        <v>6798</v>
      </c>
      <c r="F103" s="866" t="s">
        <v>6725</v>
      </c>
      <c r="G103" s="808" t="s">
        <v>6726</v>
      </c>
      <c r="H103" s="808"/>
      <c r="I103" s="808"/>
      <c r="J103" s="808"/>
      <c r="K103" s="808" t="s">
        <v>6786</v>
      </c>
      <c r="L103" s="808"/>
      <c r="M103" s="808"/>
      <c r="N103" s="808"/>
      <c r="O103" s="808"/>
      <c r="P103" s="808"/>
      <c r="Q103" s="849">
        <v>0.7568010918478536</v>
      </c>
      <c r="R103" s="848">
        <v>2060</v>
      </c>
      <c r="S103" s="850">
        <v>0</v>
      </c>
      <c r="T103" s="850">
        <v>-124203.43882182601</v>
      </c>
      <c r="U103" s="850">
        <v>0</v>
      </c>
      <c r="V103" s="850">
        <v>0</v>
      </c>
      <c r="W103" s="850">
        <v>0</v>
      </c>
      <c r="X103" s="850">
        <v>0</v>
      </c>
      <c r="Y103" s="850">
        <v>0</v>
      </c>
      <c r="Z103" s="850">
        <v>-1222549.1218298126</v>
      </c>
      <c r="AA103" s="850">
        <v>-361737.59200607752</v>
      </c>
      <c r="AB103" s="850">
        <v>-3621332.2472766293</v>
      </c>
      <c r="AC103" s="809">
        <f t="shared" si="132"/>
        <v>-5329822.3999343459</v>
      </c>
      <c r="AD103" s="848"/>
      <c r="AF103" s="58" t="str">
        <f>IFERROR(VLOOKUP(K103,FA_Codes!C:F,2,FALSE),"CHECK")</f>
        <v>TRA A26</v>
      </c>
      <c r="AG103" s="851">
        <f t="shared" si="102"/>
        <v>-5329822.3999343459</v>
      </c>
      <c r="AH103" s="58" t="str">
        <f>IFERROR(VLOOKUP(AF103,FA_Codes!D:F,3,FALSE),"CHECK")</f>
        <v>Local</v>
      </c>
      <c r="AI103" s="857">
        <v>0.11846479298881837</v>
      </c>
      <c r="AJ103" s="853">
        <f t="shared" si="133"/>
        <v>0.8815352070111816</v>
      </c>
      <c r="AK103" s="854">
        <f t="shared" si="103"/>
        <v>-1296206.9883088854</v>
      </c>
      <c r="AL103" s="854">
        <f t="shared" si="104"/>
        <v>0</v>
      </c>
      <c r="AM103" s="854">
        <f t="shared" si="105"/>
        <v>-11135.370462300838</v>
      </c>
      <c r="AN103" s="854">
        <f t="shared" si="106"/>
        <v>0</v>
      </c>
      <c r="AO103" s="854">
        <f t="shared" si="107"/>
        <v>0</v>
      </c>
      <c r="AP103" s="854">
        <f t="shared" si="108"/>
        <v>0</v>
      </c>
      <c r="AQ103" s="854">
        <f t="shared" si="109"/>
        <v>0</v>
      </c>
      <c r="AR103" s="854">
        <f t="shared" si="110"/>
        <v>0</v>
      </c>
      <c r="AS103" s="854">
        <f t="shared" si="111"/>
        <v>-109606.76700316326</v>
      </c>
      <c r="AT103" s="854">
        <f t="shared" si="112"/>
        <v>-32431.325052978013</v>
      </c>
      <c r="AU103" s="854">
        <f t="shared" si="113"/>
        <v>-324667.95221627544</v>
      </c>
      <c r="AV103" s="854">
        <f t="shared" si="134"/>
        <v>-477841.41473471757</v>
      </c>
      <c r="AW103" s="854">
        <f t="shared" si="114"/>
        <v>0</v>
      </c>
      <c r="AX103" s="855">
        <f t="shared" si="115"/>
        <v>0</v>
      </c>
      <c r="AZ103" s="854">
        <f t="shared" si="116"/>
        <v>0</v>
      </c>
      <c r="BA103" s="854">
        <f t="shared" si="117"/>
        <v>-82861.92764931517</v>
      </c>
      <c r="BB103" s="854">
        <f t="shared" si="118"/>
        <v>0</v>
      </c>
      <c r="BC103" s="854">
        <f t="shared" si="119"/>
        <v>0</v>
      </c>
      <c r="BD103" s="854">
        <f t="shared" si="120"/>
        <v>0</v>
      </c>
      <c r="BE103" s="854">
        <f t="shared" si="121"/>
        <v>0</v>
      </c>
      <c r="BF103" s="854">
        <f t="shared" si="122"/>
        <v>0</v>
      </c>
      <c r="BG103" s="854">
        <f t="shared" si="123"/>
        <v>-815619.74323527352</v>
      </c>
      <c r="BH103" s="854">
        <f t="shared" si="124"/>
        <v>-241332.07953963484</v>
      </c>
      <c r="BI103" s="854">
        <f t="shared" si="125"/>
        <v>-2415960.2464665188</v>
      </c>
      <c r="BJ103" s="854">
        <f t="shared" si="135"/>
        <v>-3555773.9968907423</v>
      </c>
      <c r="BK103" s="58" t="str">
        <f t="shared" si="136"/>
        <v>OK</v>
      </c>
      <c r="BL103" s="856" t="str">
        <f t="shared" si="126"/>
        <v>Waihoehoe Rd West upgrades- between GSR &amp; Kath Henry Lane TRA A26 0.756801091847854 2060 0.118464792988818</v>
      </c>
      <c r="BM103" s="153">
        <f t="shared" si="127"/>
        <v>2</v>
      </c>
      <c r="BN103" s="869">
        <f t="shared" si="137"/>
        <v>-4033615.4116254598</v>
      </c>
      <c r="BO103" s="870">
        <f>IFERROR(VLOOKUP(AF103,FA_Codes!D:H,5,FALSE),"CHECK")</f>
        <v>0</v>
      </c>
      <c r="BP103" s="870" t="str">
        <f t="shared" si="128"/>
        <v>TRA</v>
      </c>
      <c r="BQ103" s="869">
        <f t="shared" si="129"/>
        <v>0</v>
      </c>
      <c r="BR103" s="870" t="str">
        <f t="shared" si="130"/>
        <v>23b TRA A26</v>
      </c>
      <c r="BS103" s="870" t="str">
        <f t="shared" si="138"/>
        <v>23b</v>
      </c>
      <c r="BT103" s="870" t="s">
        <v>6992</v>
      </c>
      <c r="BU103" s="870">
        <f t="shared" si="131"/>
        <v>2060</v>
      </c>
      <c r="BV103" s="153"/>
      <c r="BW103" s="153"/>
      <c r="BX103" s="153"/>
      <c r="BY103" s="153"/>
      <c r="BZ103" s="153"/>
      <c r="CA103" s="153"/>
      <c r="CB103" s="153"/>
      <c r="CC103" s="153"/>
      <c r="CD103" s="153"/>
      <c r="CE103" s="153"/>
      <c r="CF103" s="153"/>
    </row>
    <row r="104" spans="1:84" ht="26">
      <c r="A104" s="848"/>
      <c r="B104" s="848" t="s">
        <v>896</v>
      </c>
      <c r="C104" s="848"/>
      <c r="D104" s="848"/>
      <c r="E104" s="848" t="s">
        <v>6799</v>
      </c>
      <c r="F104" s="866" t="s">
        <v>6727</v>
      </c>
      <c r="G104" s="808" t="s">
        <v>6726</v>
      </c>
      <c r="H104" s="808"/>
      <c r="I104" s="808"/>
      <c r="J104" s="808"/>
      <c r="K104" s="808" t="s">
        <v>6786</v>
      </c>
      <c r="L104" s="808"/>
      <c r="M104" s="808"/>
      <c r="N104" s="808"/>
      <c r="O104" s="808"/>
      <c r="P104" s="808"/>
      <c r="Q104" s="849">
        <v>0.7568010918478536</v>
      </c>
      <c r="R104" s="848">
        <v>2060</v>
      </c>
      <c r="S104" s="850">
        <v>0</v>
      </c>
      <c r="T104" s="850">
        <v>0</v>
      </c>
      <c r="U104" s="850">
        <v>0</v>
      </c>
      <c r="V104" s="850">
        <v>0</v>
      </c>
      <c r="W104" s="850">
        <v>0</v>
      </c>
      <c r="X104" s="850">
        <v>-4042.557011915846</v>
      </c>
      <c r="Y104" s="850">
        <v>0</v>
      </c>
      <c r="Z104" s="850">
        <v>-211855.79384449025</v>
      </c>
      <c r="AA104" s="850">
        <v>-68734.165716596297</v>
      </c>
      <c r="AB104" s="850">
        <v>-718080.42180041166</v>
      </c>
      <c r="AC104" s="809">
        <f t="shared" si="132"/>
        <v>-1002712.9383734141</v>
      </c>
      <c r="AD104" s="848"/>
      <c r="AF104" s="58" t="str">
        <f>IFERROR(VLOOKUP(K104,FA_Codes!C:F,2,FALSE),"CHECK")</f>
        <v>TRA A26</v>
      </c>
      <c r="AG104" s="851">
        <f t="shared" ref="AG104:AG135" si="139">AC104-AD104</f>
        <v>-1002712.9383734141</v>
      </c>
      <c r="AH104" s="58" t="str">
        <f>IFERROR(VLOOKUP(AF104,FA_Codes!D:F,3,FALSE),"CHECK")</f>
        <v>Local</v>
      </c>
      <c r="AI104" s="857">
        <v>0.11846479298881837</v>
      </c>
      <c r="AJ104" s="853">
        <f t="shared" si="133"/>
        <v>0.8815352070111816</v>
      </c>
      <c r="AK104" s="854">
        <f t="shared" ref="AK104:AK135" si="140">AG104*(1-Q104)</f>
        <v>-243858.69180244478</v>
      </c>
      <c r="AL104" s="854">
        <f t="shared" ref="AL104:AL135" si="141">S104*$Q104*$AI104*(1-$AX104)</f>
        <v>0</v>
      </c>
      <c r="AM104" s="854">
        <f t="shared" ref="AM104:AM135" si="142">T104*$Q104*$AI104*(1-$AX104)</f>
        <v>0</v>
      </c>
      <c r="AN104" s="854">
        <f t="shared" ref="AN104:AN135" si="143">U104*$Q104*$AI104*(1-$AX104)</f>
        <v>0</v>
      </c>
      <c r="AO104" s="854">
        <f t="shared" ref="AO104:AO135" si="144">V104*$Q104*$AI104*(1-$AX104)</f>
        <v>0</v>
      </c>
      <c r="AP104" s="854">
        <f t="shared" ref="AP104:AP135" si="145">W104*$Q104*$AI104*(1-$AX104)</f>
        <v>0</v>
      </c>
      <c r="AQ104" s="854">
        <f t="shared" ref="AQ104:AQ135" si="146">X104*$Q104*$AI104*(1-$AX104)</f>
        <v>-362.43255717928156</v>
      </c>
      <c r="AR104" s="854">
        <f t="shared" ref="AR104:AR135" si="147">Y104*$Q104*$AI104*(1-$AX104)</f>
        <v>0</v>
      </c>
      <c r="AS104" s="854">
        <f t="shared" ref="AS104:AS135" si="148">Z104*$Q104*$AI104*(1-$AX104)</f>
        <v>-18993.779652328551</v>
      </c>
      <c r="AT104" s="854">
        <f t="shared" ref="AT104:AT135" si="149">AA104*$Q104*$AI104*(1-$AX104)</f>
        <v>-6162.3124603614333</v>
      </c>
      <c r="AU104" s="854">
        <f t="shared" ref="AU104:AU135" si="150">AB104*$Q104*$AI104*(1-$AX104)</f>
        <v>-64378.986558846351</v>
      </c>
      <c r="AV104" s="854">
        <f t="shared" si="134"/>
        <v>-89897.511228715623</v>
      </c>
      <c r="AW104" s="854">
        <f t="shared" ref="AW104:AW135" si="151">AD104</f>
        <v>0</v>
      </c>
      <c r="AX104" s="855">
        <f t="shared" ref="AX104:AX135" si="152">IFERROR(AW104/AC104,0)</f>
        <v>0</v>
      </c>
      <c r="AZ104" s="854">
        <f t="shared" ref="AZ104:AZ135" si="153">S104*$Q104*$AJ104*(1-$AX104)</f>
        <v>0</v>
      </c>
      <c r="BA104" s="854">
        <f t="shared" ref="BA104:BA135" si="154">T104*$Q104*$AJ104*(1-$AX104)</f>
        <v>0</v>
      </c>
      <c r="BB104" s="854">
        <f t="shared" ref="BB104:BB135" si="155">U104*$Q104*$AJ104*(1-$AX104)</f>
        <v>0</v>
      </c>
      <c r="BC104" s="854">
        <f t="shared" ref="BC104:BC135" si="156">V104*$Q104*$AJ104*(1-$AX104)</f>
        <v>0</v>
      </c>
      <c r="BD104" s="854">
        <f t="shared" ref="BD104:BD135" si="157">W104*$Q104*$AJ104*(1-$AX104)</f>
        <v>0</v>
      </c>
      <c r="BE104" s="854">
        <f t="shared" ref="BE104:BE135" si="158">X104*$Q104*$AJ104*(1-$AX104)</f>
        <v>-2696.9790032958272</v>
      </c>
      <c r="BF104" s="854">
        <f t="shared" ref="BF104:BF135" si="159">Y104*$Q104*$AJ104*(1-$AX104)</f>
        <v>0</v>
      </c>
      <c r="BG104" s="854">
        <f t="shared" ref="BG104:BG135" si="160">Z104*$Q104*$AJ104*(1-$AX104)</f>
        <v>-141338.91644347546</v>
      </c>
      <c r="BH104" s="854">
        <f t="shared" ref="BH104:BH135" si="161">AA104*$Q104*$AJ104*(1-$AX104)</f>
        <v>-45855.779201209953</v>
      </c>
      <c r="BI104" s="854">
        <f t="shared" ref="BI104:BI135" si="162">AB104*$Q104*$AJ104*(1-$AX104)</f>
        <v>-479065.06069427246</v>
      </c>
      <c r="BJ104" s="854">
        <f t="shared" si="135"/>
        <v>-668956.7353422537</v>
      </c>
      <c r="BK104" s="58" t="str">
        <f t="shared" si="136"/>
        <v>OK</v>
      </c>
      <c r="BL104" s="856" t="str">
        <f t="shared" ref="BL104:BL135" si="163">IF($Q104=0,"",F104&amp;" "&amp;AF104&amp;" "&amp;Q104&amp;" "&amp;R104&amp;" "&amp;AI104)</f>
        <v>Waihoehoe Rd West upgrades- between Kath Henry Lane and Fitzgerald Rd TRA A26 0.756801091847854 2060 0.118464792988818</v>
      </c>
      <c r="BM104" s="153">
        <f t="shared" ref="BM104:BM135" si="164">COUNTIF($BL$8:$BL$149,BL104)</f>
        <v>2</v>
      </c>
      <c r="BN104" s="869">
        <f t="shared" si="137"/>
        <v>-758854.24657096935</v>
      </c>
      <c r="BO104" s="870">
        <f>IFERROR(VLOOKUP(AF104,FA_Codes!D:H,5,FALSE),"CHECK")</f>
        <v>0</v>
      </c>
      <c r="BP104" s="870" t="str">
        <f t="shared" ref="BP104:BP135" si="165">TRIM(LEFT(AF104,3))</f>
        <v>TRA</v>
      </c>
      <c r="BQ104" s="869">
        <f t="shared" ref="BQ104:BQ135" si="166">IF(AC104&gt;0,+AC104,0)</f>
        <v>0</v>
      </c>
      <c r="BR104" s="870" t="str">
        <f t="shared" ref="BR104:BR135" si="167">IF(RIGHT(E104,11)=" WK subsidy",LEFT(E104,LEN(E104)-11),E104)</f>
        <v>23d TRA A26</v>
      </c>
      <c r="BS104" s="870" t="str">
        <f t="shared" si="138"/>
        <v>23d</v>
      </c>
      <c r="BT104" s="870" t="s">
        <v>6992</v>
      </c>
      <c r="BU104" s="870">
        <f t="shared" ref="BU104:BU135" si="168">+R104</f>
        <v>2060</v>
      </c>
      <c r="BV104" s="153"/>
      <c r="BW104" s="153"/>
      <c r="BX104" s="153"/>
      <c r="BY104" s="153"/>
      <c r="BZ104" s="153"/>
      <c r="CA104" s="153"/>
      <c r="CB104" s="153"/>
      <c r="CC104" s="153"/>
      <c r="CD104" s="153"/>
      <c r="CE104" s="153"/>
      <c r="CF104" s="153"/>
    </row>
    <row r="105" spans="1:84" ht="26">
      <c r="A105" s="848"/>
      <c r="B105" s="848" t="s">
        <v>896</v>
      </c>
      <c r="C105" s="848"/>
      <c r="D105" s="848"/>
      <c r="E105" s="848" t="s">
        <v>6800</v>
      </c>
      <c r="F105" s="866" t="s">
        <v>6730</v>
      </c>
      <c r="G105" s="808" t="s">
        <v>6731</v>
      </c>
      <c r="H105" s="808"/>
      <c r="I105" s="808"/>
      <c r="J105" s="808"/>
      <c r="K105" s="808" t="s">
        <v>6786</v>
      </c>
      <c r="L105" s="808"/>
      <c r="M105" s="808"/>
      <c r="N105" s="808"/>
      <c r="O105" s="808"/>
      <c r="P105" s="808"/>
      <c r="Q105" s="849">
        <v>0.7568010918478536</v>
      </c>
      <c r="R105" s="848">
        <v>2060</v>
      </c>
      <c r="S105" s="850">
        <v>0</v>
      </c>
      <c r="T105" s="850">
        <v>0</v>
      </c>
      <c r="U105" s="850">
        <v>0</v>
      </c>
      <c r="V105" s="850">
        <v>0</v>
      </c>
      <c r="W105" s="850">
        <v>0</v>
      </c>
      <c r="X105" s="850">
        <v>-5969.1634549605142</v>
      </c>
      <c r="Y105" s="850">
        <v>0</v>
      </c>
      <c r="Z105" s="850">
        <v>0</v>
      </c>
      <c r="AA105" s="850">
        <v>0</v>
      </c>
      <c r="AB105" s="850">
        <v>0</v>
      </c>
      <c r="AC105" s="809">
        <f t="shared" si="132"/>
        <v>-5969.1634549605142</v>
      </c>
      <c r="AD105" s="848"/>
      <c r="AF105" s="58" t="str">
        <f>IFERROR(VLOOKUP(K105,FA_Codes!C:F,2,FALSE),"CHECK")</f>
        <v>TRA A26</v>
      </c>
      <c r="AG105" s="851">
        <f t="shared" si="139"/>
        <v>-5969.1634549605142</v>
      </c>
      <c r="AH105" s="58" t="str">
        <f>IFERROR(VLOOKUP(AF105,FA_Codes!D:F,3,FALSE),"CHECK")</f>
        <v>Local</v>
      </c>
      <c r="AI105" s="857">
        <v>0.11846479298881837</v>
      </c>
      <c r="AJ105" s="853">
        <f t="shared" si="133"/>
        <v>0.8815352070111816</v>
      </c>
      <c r="AK105" s="854">
        <f t="shared" si="140"/>
        <v>-1451.6940348280909</v>
      </c>
      <c r="AL105" s="854">
        <f t="shared" si="141"/>
        <v>0</v>
      </c>
      <c r="AM105" s="854">
        <f t="shared" si="142"/>
        <v>0</v>
      </c>
      <c r="AN105" s="854">
        <f t="shared" si="143"/>
        <v>0</v>
      </c>
      <c r="AO105" s="854">
        <f t="shared" si="144"/>
        <v>0</v>
      </c>
      <c r="AP105" s="854">
        <f t="shared" si="145"/>
        <v>0</v>
      </c>
      <c r="AQ105" s="854">
        <f t="shared" si="146"/>
        <v>-535.16107968930487</v>
      </c>
      <c r="AR105" s="854">
        <f t="shared" si="147"/>
        <v>0</v>
      </c>
      <c r="AS105" s="854">
        <f t="shared" si="148"/>
        <v>0</v>
      </c>
      <c r="AT105" s="854">
        <f t="shared" si="149"/>
        <v>0</v>
      </c>
      <c r="AU105" s="854">
        <f t="shared" si="150"/>
        <v>0</v>
      </c>
      <c r="AV105" s="854">
        <f t="shared" si="134"/>
        <v>-535.16107968930487</v>
      </c>
      <c r="AW105" s="854">
        <f t="shared" si="151"/>
        <v>0</v>
      </c>
      <c r="AX105" s="855">
        <f t="shared" si="152"/>
        <v>0</v>
      </c>
      <c r="AZ105" s="854">
        <f t="shared" si="153"/>
        <v>0</v>
      </c>
      <c r="BA105" s="854">
        <f t="shared" si="154"/>
        <v>0</v>
      </c>
      <c r="BB105" s="854">
        <f t="shared" si="155"/>
        <v>0</v>
      </c>
      <c r="BC105" s="854">
        <f t="shared" si="156"/>
        <v>0</v>
      </c>
      <c r="BD105" s="854">
        <f t="shared" si="157"/>
        <v>0</v>
      </c>
      <c r="BE105" s="854">
        <f t="shared" si="158"/>
        <v>-3982.3083404431177</v>
      </c>
      <c r="BF105" s="854">
        <f t="shared" si="159"/>
        <v>0</v>
      </c>
      <c r="BG105" s="854">
        <f t="shared" si="160"/>
        <v>0</v>
      </c>
      <c r="BH105" s="854">
        <f t="shared" si="161"/>
        <v>0</v>
      </c>
      <c r="BI105" s="854">
        <f t="shared" si="162"/>
        <v>0</v>
      </c>
      <c r="BJ105" s="854">
        <f t="shared" si="135"/>
        <v>-3982.3083404431177</v>
      </c>
      <c r="BK105" s="58" t="str">
        <f t="shared" si="136"/>
        <v>OK</v>
      </c>
      <c r="BL105" s="856" t="str">
        <f t="shared" si="163"/>
        <v>Upgrades on Waihoehoe Rd east- from project 4 to Drury Hills + Drury Hills Intersection TRA A26 0.756801091847854 2060 0.118464792988818</v>
      </c>
      <c r="BM105" s="153">
        <f t="shared" si="164"/>
        <v>2</v>
      </c>
      <c r="BN105" s="869">
        <f t="shared" si="137"/>
        <v>-4517.4694201324228</v>
      </c>
      <c r="BO105" s="870">
        <f>IFERROR(VLOOKUP(AF105,FA_Codes!D:H,5,FALSE),"CHECK")</f>
        <v>0</v>
      </c>
      <c r="BP105" s="870" t="str">
        <f t="shared" si="165"/>
        <v>TRA</v>
      </c>
      <c r="BQ105" s="869">
        <f t="shared" si="166"/>
        <v>0</v>
      </c>
      <c r="BR105" s="870" t="str">
        <f t="shared" si="167"/>
        <v>24 TRA A26</v>
      </c>
      <c r="BS105" s="870">
        <f t="shared" si="138"/>
        <v>24</v>
      </c>
      <c r="BT105" s="870" t="s">
        <v>6992</v>
      </c>
      <c r="BU105" s="870">
        <f t="shared" si="168"/>
        <v>2060</v>
      </c>
      <c r="BV105" s="153"/>
      <c r="BW105" s="153"/>
      <c r="BX105" s="153"/>
      <c r="BY105" s="153"/>
      <c r="BZ105" s="153"/>
      <c r="CA105" s="153"/>
      <c r="CB105" s="153"/>
      <c r="CC105" s="153"/>
      <c r="CD105" s="153"/>
      <c r="CE105" s="153"/>
      <c r="CF105" s="153"/>
    </row>
    <row r="106" spans="1:84" ht="26">
      <c r="A106" s="848"/>
      <c r="B106" s="848" t="s">
        <v>896</v>
      </c>
      <c r="C106" s="848"/>
      <c r="D106" s="848"/>
      <c r="E106" s="848" t="s">
        <v>6801</v>
      </c>
      <c r="F106" s="866" t="s">
        <v>6733</v>
      </c>
      <c r="G106" s="808" t="s">
        <v>6734</v>
      </c>
      <c r="H106" s="808"/>
      <c r="I106" s="808"/>
      <c r="J106" s="808"/>
      <c r="K106" s="808" t="s">
        <v>6786</v>
      </c>
      <c r="L106" s="808"/>
      <c r="M106" s="808"/>
      <c r="N106" s="808"/>
      <c r="O106" s="808"/>
      <c r="P106" s="808"/>
      <c r="Q106" s="849">
        <v>0.7568010918478536</v>
      </c>
      <c r="R106" s="848">
        <v>2060</v>
      </c>
      <c r="S106" s="850">
        <v>0</v>
      </c>
      <c r="T106" s="850">
        <v>0</v>
      </c>
      <c r="U106" s="850">
        <v>0</v>
      </c>
      <c r="V106" s="850">
        <v>0</v>
      </c>
      <c r="W106" s="850">
        <v>0</v>
      </c>
      <c r="X106" s="850">
        <v>0</v>
      </c>
      <c r="Y106" s="850">
        <v>0</v>
      </c>
      <c r="Z106" s="850">
        <v>0</v>
      </c>
      <c r="AA106" s="850">
        <v>0</v>
      </c>
      <c r="AB106" s="850">
        <v>-345046.22261751548</v>
      </c>
      <c r="AC106" s="809">
        <f t="shared" si="132"/>
        <v>-345046.22261751548</v>
      </c>
      <c r="AD106" s="848"/>
      <c r="AF106" s="58" t="str">
        <f>IFERROR(VLOOKUP(K106,FA_Codes!C:F,2,FALSE),"CHECK")</f>
        <v>TRA A26</v>
      </c>
      <c r="AG106" s="851">
        <f t="shared" si="139"/>
        <v>-345046.22261751548</v>
      </c>
      <c r="AH106" s="58" t="str">
        <f>IFERROR(VLOOKUP(AF106,FA_Codes!D:F,3,FALSE),"CHECK")</f>
        <v>Local</v>
      </c>
      <c r="AI106" s="857">
        <v>0.11846479298881837</v>
      </c>
      <c r="AJ106" s="853">
        <f t="shared" si="133"/>
        <v>0.8815352070111816</v>
      </c>
      <c r="AK106" s="854">
        <f t="shared" si="140"/>
        <v>-83914.864602602203</v>
      </c>
      <c r="AL106" s="854">
        <f t="shared" si="141"/>
        <v>0</v>
      </c>
      <c r="AM106" s="854">
        <f t="shared" si="142"/>
        <v>0</v>
      </c>
      <c r="AN106" s="854">
        <f t="shared" si="143"/>
        <v>0</v>
      </c>
      <c r="AO106" s="854">
        <f t="shared" si="144"/>
        <v>0</v>
      </c>
      <c r="AP106" s="854">
        <f t="shared" si="145"/>
        <v>0</v>
      </c>
      <c r="AQ106" s="854">
        <f t="shared" si="146"/>
        <v>0</v>
      </c>
      <c r="AR106" s="854">
        <f t="shared" si="147"/>
        <v>0</v>
      </c>
      <c r="AS106" s="854">
        <f t="shared" si="148"/>
        <v>0</v>
      </c>
      <c r="AT106" s="854">
        <f t="shared" si="149"/>
        <v>0</v>
      </c>
      <c r="AU106" s="854">
        <f t="shared" si="150"/>
        <v>-30934.872270125717</v>
      </c>
      <c r="AV106" s="854">
        <f t="shared" si="134"/>
        <v>-30934.872270125717</v>
      </c>
      <c r="AW106" s="854">
        <f t="shared" si="151"/>
        <v>0</v>
      </c>
      <c r="AX106" s="855">
        <f t="shared" si="152"/>
        <v>0</v>
      </c>
      <c r="AZ106" s="854">
        <f t="shared" si="153"/>
        <v>0</v>
      </c>
      <c r="BA106" s="854">
        <f t="shared" si="154"/>
        <v>0</v>
      </c>
      <c r="BB106" s="854">
        <f t="shared" si="155"/>
        <v>0</v>
      </c>
      <c r="BC106" s="854">
        <f t="shared" si="156"/>
        <v>0</v>
      </c>
      <c r="BD106" s="854">
        <f t="shared" si="157"/>
        <v>0</v>
      </c>
      <c r="BE106" s="854">
        <f t="shared" si="158"/>
        <v>0</v>
      </c>
      <c r="BF106" s="854">
        <f t="shared" si="159"/>
        <v>0</v>
      </c>
      <c r="BG106" s="854">
        <f t="shared" si="160"/>
        <v>0</v>
      </c>
      <c r="BH106" s="854">
        <f t="shared" si="161"/>
        <v>0</v>
      </c>
      <c r="BI106" s="854">
        <f t="shared" si="162"/>
        <v>-230196.48574478755</v>
      </c>
      <c r="BJ106" s="854">
        <f t="shared" si="135"/>
        <v>-230196.48574478755</v>
      </c>
      <c r="BK106" s="58" t="str">
        <f t="shared" si="136"/>
        <v>OK</v>
      </c>
      <c r="BL106" s="856" t="str">
        <f t="shared" si="163"/>
        <v>Bremner-Norrie Road east of SH1 up to GSR (overlap with project 12) TRA A26 0.756801091847854 2060 0.118464792988818</v>
      </c>
      <c r="BM106" s="153">
        <f t="shared" si="164"/>
        <v>2</v>
      </c>
      <c r="BN106" s="869">
        <f t="shared" si="137"/>
        <v>-261131.35801491328</v>
      </c>
      <c r="BO106" s="870">
        <f>IFERROR(VLOOKUP(AF106,FA_Codes!D:H,5,FALSE),"CHECK")</f>
        <v>0</v>
      </c>
      <c r="BP106" s="870" t="str">
        <f t="shared" si="165"/>
        <v>TRA</v>
      </c>
      <c r="BQ106" s="869">
        <f t="shared" si="166"/>
        <v>0</v>
      </c>
      <c r="BR106" s="870" t="str">
        <f t="shared" si="167"/>
        <v>36a TRA A26</v>
      </c>
      <c r="BS106" s="870" t="str">
        <f t="shared" si="138"/>
        <v>36a</v>
      </c>
      <c r="BT106" s="870" t="s">
        <v>6992</v>
      </c>
      <c r="BU106" s="870">
        <f t="shared" si="168"/>
        <v>2060</v>
      </c>
      <c r="BV106" s="153"/>
      <c r="BW106" s="153"/>
      <c r="BX106" s="153"/>
      <c r="BY106" s="153"/>
      <c r="BZ106" s="153"/>
      <c r="CA106" s="153"/>
      <c r="CB106" s="153"/>
      <c r="CC106" s="153"/>
      <c r="CD106" s="153"/>
      <c r="CE106" s="153"/>
      <c r="CF106" s="153"/>
    </row>
    <row r="107" spans="1:84" ht="26">
      <c r="A107" s="848"/>
      <c r="B107" s="848" t="s">
        <v>896</v>
      </c>
      <c r="C107" s="848"/>
      <c r="D107" s="848"/>
      <c r="E107" s="848" t="s">
        <v>6802</v>
      </c>
      <c r="F107" s="866" t="s">
        <v>6747</v>
      </c>
      <c r="G107" s="866" t="s">
        <v>6748</v>
      </c>
      <c r="H107" s="866"/>
      <c r="I107" s="866"/>
      <c r="J107" s="866"/>
      <c r="K107" s="866" t="s">
        <v>6884</v>
      </c>
      <c r="L107" s="866"/>
      <c r="M107" s="866"/>
      <c r="N107" s="866"/>
      <c r="O107" s="866"/>
      <c r="P107" s="866"/>
      <c r="Q107" s="897">
        <v>0.83421396896522304</v>
      </c>
      <c r="R107" s="848">
        <v>2060</v>
      </c>
      <c r="S107" s="850">
        <v>0</v>
      </c>
      <c r="T107" s="850">
        <v>0</v>
      </c>
      <c r="U107" s="850">
        <v>0</v>
      </c>
      <c r="V107" s="850">
        <v>0</v>
      </c>
      <c r="W107" s="850">
        <v>0</v>
      </c>
      <c r="X107" s="850">
        <v>0</v>
      </c>
      <c r="Y107" s="850">
        <v>0</v>
      </c>
      <c r="Z107" s="850">
        <v>0</v>
      </c>
      <c r="AA107" s="850">
        <v>16042.561571690436</v>
      </c>
      <c r="AB107" s="850">
        <v>159457.64408188884</v>
      </c>
      <c r="AC107" s="898">
        <f t="shared" si="132"/>
        <v>175500.20565357927</v>
      </c>
      <c r="AD107" s="848"/>
      <c r="AF107" s="58" t="str">
        <f>IFERROR(VLOOKUP(K107,FA_Codes!C:F,2,FALSE),"CHECK")</f>
        <v>TRA A27</v>
      </c>
      <c r="AG107" s="851">
        <f t="shared" si="139"/>
        <v>175500.20565357927</v>
      </c>
      <c r="AH107" s="58" t="str">
        <f>IFERROR(VLOOKUP(AF107,FA_Codes!D:F,3,FALSE),"CHECK")</f>
        <v>Local</v>
      </c>
      <c r="AI107" s="857">
        <v>0.50175192711983185</v>
      </c>
      <c r="AJ107" s="853">
        <f t="shared" si="133"/>
        <v>0.49824807288016815</v>
      </c>
      <c r="AK107" s="854">
        <f t="shared" si="140"/>
        <v>29095.482541094032</v>
      </c>
      <c r="AL107" s="854">
        <f t="shared" si="141"/>
        <v>0</v>
      </c>
      <c r="AM107" s="854">
        <f t="shared" si="142"/>
        <v>0</v>
      </c>
      <c r="AN107" s="854">
        <f t="shared" si="143"/>
        <v>0</v>
      </c>
      <c r="AO107" s="854">
        <f t="shared" si="144"/>
        <v>0</v>
      </c>
      <c r="AP107" s="854">
        <f t="shared" si="145"/>
        <v>0</v>
      </c>
      <c r="AQ107" s="854">
        <f t="shared" si="146"/>
        <v>0</v>
      </c>
      <c r="AR107" s="854">
        <f t="shared" si="147"/>
        <v>0</v>
      </c>
      <c r="AS107" s="854">
        <f t="shared" si="148"/>
        <v>0</v>
      </c>
      <c r="AT107" s="854">
        <f t="shared" si="149"/>
        <v>6714.9103967341371</v>
      </c>
      <c r="AU107" s="854">
        <f t="shared" si="150"/>
        <v>66743.941564400724</v>
      </c>
      <c r="AV107" s="854">
        <f t="shared" si="134"/>
        <v>73458.85196113486</v>
      </c>
      <c r="AW107" s="854">
        <f t="shared" si="151"/>
        <v>0</v>
      </c>
      <c r="AX107" s="855">
        <f t="shared" si="152"/>
        <v>0</v>
      </c>
      <c r="AZ107" s="854">
        <f t="shared" si="153"/>
        <v>0</v>
      </c>
      <c r="BA107" s="854">
        <f t="shared" si="154"/>
        <v>0</v>
      </c>
      <c r="BB107" s="854">
        <f t="shared" si="155"/>
        <v>0</v>
      </c>
      <c r="BC107" s="854">
        <f t="shared" si="156"/>
        <v>0</v>
      </c>
      <c r="BD107" s="854">
        <f t="shared" si="157"/>
        <v>0</v>
      </c>
      <c r="BE107" s="854">
        <f t="shared" si="158"/>
        <v>0</v>
      </c>
      <c r="BF107" s="854">
        <f t="shared" si="159"/>
        <v>0</v>
      </c>
      <c r="BG107" s="854">
        <f t="shared" si="160"/>
        <v>0</v>
      </c>
      <c r="BH107" s="854">
        <f t="shared" si="161"/>
        <v>6668.0185643547075</v>
      </c>
      <c r="BI107" s="854">
        <f t="shared" si="162"/>
        <v>66277.852586995679</v>
      </c>
      <c r="BJ107" s="854">
        <f t="shared" si="135"/>
        <v>72945.87115135038</v>
      </c>
      <c r="BK107" s="58" t="str">
        <f t="shared" si="136"/>
        <v>OK</v>
      </c>
      <c r="BL107" s="878" t="str">
        <f t="shared" si="163"/>
        <v>walk/cycle bridges on GSR Road bridge over the rail corridor TRA A27 0.834213968965223 2060 0.501751927119832</v>
      </c>
      <c r="BM107" s="870">
        <f t="shared" si="164"/>
        <v>2</v>
      </c>
      <c r="BN107" s="869">
        <f t="shared" si="137"/>
        <v>146404.72311248526</v>
      </c>
      <c r="BO107" s="870">
        <f>IFERROR(VLOOKUP(AF107,FA_Codes!D:H,5,FALSE),"CHECK")</f>
        <v>0</v>
      </c>
      <c r="BP107" s="870" t="str">
        <f t="shared" si="165"/>
        <v>TRA</v>
      </c>
      <c r="BQ107" s="869">
        <f t="shared" si="166"/>
        <v>175500.20565357927</v>
      </c>
      <c r="BR107" s="870" t="str">
        <f t="shared" si="167"/>
        <v>70 TRA A27</v>
      </c>
      <c r="BS107" s="870">
        <f t="shared" si="138"/>
        <v>70</v>
      </c>
      <c r="BT107" s="870" t="s">
        <v>6992</v>
      </c>
      <c r="BU107" s="870">
        <f t="shared" si="168"/>
        <v>2060</v>
      </c>
      <c r="BV107" s="153"/>
      <c r="BW107" s="153"/>
      <c r="BX107" s="153"/>
      <c r="BY107" s="153"/>
      <c r="BZ107" s="153"/>
      <c r="CA107" s="153"/>
      <c r="CB107" s="153"/>
      <c r="CC107" s="153"/>
      <c r="CD107" s="153"/>
      <c r="CE107" s="153"/>
      <c r="CF107" s="153"/>
    </row>
    <row r="108" spans="1:84" ht="26">
      <c r="A108" s="848"/>
      <c r="B108" s="848" t="s">
        <v>896</v>
      </c>
      <c r="C108" s="848"/>
      <c r="D108" s="848"/>
      <c r="E108" s="848" t="s">
        <v>6803</v>
      </c>
      <c r="F108" s="866" t="s">
        <v>6747</v>
      </c>
      <c r="G108" s="808" t="s">
        <v>6748</v>
      </c>
      <c r="H108" s="808"/>
      <c r="I108" s="808"/>
      <c r="J108" s="808"/>
      <c r="K108" s="808" t="s">
        <v>6884</v>
      </c>
      <c r="L108" s="808"/>
      <c r="M108" s="808"/>
      <c r="N108" s="808"/>
      <c r="O108" s="808"/>
      <c r="P108" s="808"/>
      <c r="Q108" s="849">
        <v>0.83421396896522304</v>
      </c>
      <c r="R108" s="848">
        <v>2060</v>
      </c>
      <c r="S108" s="850">
        <v>0</v>
      </c>
      <c r="T108" s="850">
        <v>0</v>
      </c>
      <c r="U108" s="850">
        <v>0</v>
      </c>
      <c r="V108" s="850">
        <v>0</v>
      </c>
      <c r="W108" s="850">
        <v>0</v>
      </c>
      <c r="X108" s="850">
        <v>0</v>
      </c>
      <c r="Y108" s="850">
        <v>0</v>
      </c>
      <c r="Z108" s="850">
        <v>0</v>
      </c>
      <c r="AA108" s="850">
        <v>-8181.7064015621227</v>
      </c>
      <c r="AB108" s="850">
        <v>-81323.398481763303</v>
      </c>
      <c r="AC108" s="809">
        <f t="shared" si="132"/>
        <v>-89505.104883325432</v>
      </c>
      <c r="AD108" s="848"/>
      <c r="AF108" s="58" t="str">
        <f>IFERROR(VLOOKUP(K108,FA_Codes!C:F,2,FALSE),"CHECK")</f>
        <v>TRA A27</v>
      </c>
      <c r="AG108" s="851">
        <f t="shared" si="139"/>
        <v>-89505.104883325432</v>
      </c>
      <c r="AH108" s="58" t="str">
        <f>IFERROR(VLOOKUP(AF108,FA_Codes!D:F,3,FALSE),"CHECK")</f>
        <v>Local</v>
      </c>
      <c r="AI108" s="857">
        <v>0.50175192711983185</v>
      </c>
      <c r="AJ108" s="853">
        <f t="shared" si="133"/>
        <v>0.49824807288016815</v>
      </c>
      <c r="AK108" s="854">
        <f t="shared" si="140"/>
        <v>-14838.696095957957</v>
      </c>
      <c r="AL108" s="854">
        <f t="shared" si="141"/>
        <v>0</v>
      </c>
      <c r="AM108" s="854">
        <f t="shared" si="142"/>
        <v>0</v>
      </c>
      <c r="AN108" s="854">
        <f t="shared" si="143"/>
        <v>0</v>
      </c>
      <c r="AO108" s="854">
        <f t="shared" si="144"/>
        <v>0</v>
      </c>
      <c r="AP108" s="854">
        <f t="shared" si="145"/>
        <v>0</v>
      </c>
      <c r="AQ108" s="854">
        <f t="shared" si="146"/>
        <v>0</v>
      </c>
      <c r="AR108" s="854">
        <f t="shared" si="147"/>
        <v>0</v>
      </c>
      <c r="AS108" s="854">
        <f t="shared" si="148"/>
        <v>0</v>
      </c>
      <c r="AT108" s="854">
        <f t="shared" si="149"/>
        <v>-3424.60430233441</v>
      </c>
      <c r="AU108" s="854">
        <f t="shared" si="150"/>
        <v>-34039.410197844365</v>
      </c>
      <c r="AV108" s="854">
        <f t="shared" si="134"/>
        <v>-37464.014500178775</v>
      </c>
      <c r="AW108" s="854">
        <f t="shared" si="151"/>
        <v>0</v>
      </c>
      <c r="AX108" s="855">
        <f t="shared" si="152"/>
        <v>0</v>
      </c>
      <c r="AZ108" s="854">
        <f t="shared" si="153"/>
        <v>0</v>
      </c>
      <c r="BA108" s="854">
        <f t="shared" si="154"/>
        <v>0</v>
      </c>
      <c r="BB108" s="854">
        <f t="shared" si="155"/>
        <v>0</v>
      </c>
      <c r="BC108" s="854">
        <f t="shared" si="156"/>
        <v>0</v>
      </c>
      <c r="BD108" s="854">
        <f t="shared" si="157"/>
        <v>0</v>
      </c>
      <c r="BE108" s="854">
        <f t="shared" si="158"/>
        <v>0</v>
      </c>
      <c r="BF108" s="854">
        <f t="shared" si="159"/>
        <v>0</v>
      </c>
      <c r="BG108" s="854">
        <f t="shared" si="160"/>
        <v>0</v>
      </c>
      <c r="BH108" s="854">
        <f t="shared" si="161"/>
        <v>-3400.689467820901</v>
      </c>
      <c r="BI108" s="854">
        <f t="shared" si="162"/>
        <v>-33801.704819367791</v>
      </c>
      <c r="BJ108" s="854">
        <f t="shared" si="135"/>
        <v>-37202.39428718869</v>
      </c>
      <c r="BK108" s="58" t="str">
        <f t="shared" si="136"/>
        <v>OK</v>
      </c>
      <c r="BL108" s="856" t="str">
        <f t="shared" si="163"/>
        <v>walk/cycle bridges on GSR Road bridge over the rail corridor TRA A27 0.834213968965223 2060 0.501751927119832</v>
      </c>
      <c r="BM108" s="153">
        <f t="shared" si="164"/>
        <v>2</v>
      </c>
      <c r="BN108" s="869">
        <f t="shared" si="137"/>
        <v>-74666.408787367458</v>
      </c>
      <c r="BO108" s="870">
        <f>IFERROR(VLOOKUP(AF108,FA_Codes!D:H,5,FALSE),"CHECK")</f>
        <v>0</v>
      </c>
      <c r="BP108" s="870" t="str">
        <f t="shared" si="165"/>
        <v>TRA</v>
      </c>
      <c r="BQ108" s="869">
        <f t="shared" si="166"/>
        <v>0</v>
      </c>
      <c r="BR108" s="870" t="str">
        <f t="shared" si="167"/>
        <v>70 TRA A27</v>
      </c>
      <c r="BS108" s="870">
        <f t="shared" si="138"/>
        <v>70</v>
      </c>
      <c r="BT108" s="870" t="s">
        <v>6992</v>
      </c>
      <c r="BU108" s="870">
        <f t="shared" si="168"/>
        <v>2060</v>
      </c>
      <c r="BV108" s="153"/>
      <c r="BW108" s="153"/>
      <c r="BX108" s="153"/>
      <c r="BY108" s="153"/>
      <c r="BZ108" s="153"/>
      <c r="CA108" s="153"/>
      <c r="CB108" s="153"/>
      <c r="CC108" s="153"/>
      <c r="CD108" s="153"/>
      <c r="CE108" s="153"/>
      <c r="CF108" s="153"/>
    </row>
    <row r="109" spans="1:84" ht="26">
      <c r="A109" s="848"/>
      <c r="B109" s="848" t="s">
        <v>896</v>
      </c>
      <c r="C109" s="848"/>
      <c r="D109" s="848"/>
      <c r="E109" s="848" t="s">
        <v>6885</v>
      </c>
      <c r="F109" s="866" t="s">
        <v>6868</v>
      </c>
      <c r="G109" s="866" t="s">
        <v>6711</v>
      </c>
      <c r="H109" s="866"/>
      <c r="I109" s="866"/>
      <c r="J109" s="866"/>
      <c r="K109" s="866" t="s">
        <v>6886</v>
      </c>
      <c r="L109" s="866"/>
      <c r="M109" s="866"/>
      <c r="N109" s="866"/>
      <c r="O109" s="866"/>
      <c r="P109" s="866"/>
      <c r="Q109" s="897">
        <v>0.61047382917385584</v>
      </c>
      <c r="R109" s="848">
        <v>2060</v>
      </c>
      <c r="S109" s="850">
        <v>0</v>
      </c>
      <c r="T109" s="850">
        <v>0</v>
      </c>
      <c r="U109" s="850">
        <v>0</v>
      </c>
      <c r="V109" s="850">
        <v>0</v>
      </c>
      <c r="W109" s="850">
        <v>0</v>
      </c>
      <c r="X109" s="850">
        <v>0</v>
      </c>
      <c r="Y109" s="850">
        <v>0</v>
      </c>
      <c r="Z109" s="850">
        <v>0</v>
      </c>
      <c r="AA109" s="850">
        <v>60811.474439180914</v>
      </c>
      <c r="AB109" s="850">
        <v>604167.52686912043</v>
      </c>
      <c r="AC109" s="898">
        <f t="shared" si="132"/>
        <v>664979.00130830135</v>
      </c>
      <c r="AD109" s="848"/>
      <c r="AF109" s="58" t="str">
        <f>IFERROR(VLOOKUP(K109,FA_Codes!C:F,2,FALSE),"CHECK")</f>
        <v>TRA A28</v>
      </c>
      <c r="AG109" s="851">
        <f t="shared" si="139"/>
        <v>664979.00130830135</v>
      </c>
      <c r="AH109" s="58" t="str">
        <f>IFERROR(VLOOKUP(AF109,FA_Codes!D:F,3,FALSE),"CHECK")</f>
        <v>Local</v>
      </c>
      <c r="AI109" s="857">
        <v>0.34815918280485209</v>
      </c>
      <c r="AJ109" s="853">
        <f t="shared" si="133"/>
        <v>0.65184081719514797</v>
      </c>
      <c r="AK109" s="854">
        <f t="shared" si="140"/>
        <v>259026.72405941613</v>
      </c>
      <c r="AL109" s="854">
        <f t="shared" si="141"/>
        <v>0</v>
      </c>
      <c r="AM109" s="854">
        <f t="shared" si="142"/>
        <v>0</v>
      </c>
      <c r="AN109" s="854">
        <f t="shared" si="143"/>
        <v>0</v>
      </c>
      <c r="AO109" s="854">
        <f t="shared" si="144"/>
        <v>0</v>
      </c>
      <c r="AP109" s="854">
        <f t="shared" si="145"/>
        <v>0</v>
      </c>
      <c r="AQ109" s="854">
        <f t="shared" si="146"/>
        <v>0</v>
      </c>
      <c r="AR109" s="854">
        <f t="shared" si="147"/>
        <v>0</v>
      </c>
      <c r="AS109" s="854">
        <f t="shared" si="148"/>
        <v>0</v>
      </c>
      <c r="AT109" s="854">
        <f t="shared" si="149"/>
        <v>12924.996625975982</v>
      </c>
      <c r="AU109" s="854">
        <f t="shared" si="150"/>
        <v>128411.01647876465</v>
      </c>
      <c r="AV109" s="854">
        <f t="shared" si="134"/>
        <v>141336.01310474065</v>
      </c>
      <c r="AW109" s="854">
        <f t="shared" si="151"/>
        <v>0</v>
      </c>
      <c r="AX109" s="855">
        <f t="shared" si="152"/>
        <v>0</v>
      </c>
      <c r="AZ109" s="854">
        <f t="shared" si="153"/>
        <v>0</v>
      </c>
      <c r="BA109" s="854">
        <f t="shared" si="154"/>
        <v>0</v>
      </c>
      <c r="BB109" s="854">
        <f t="shared" si="155"/>
        <v>0</v>
      </c>
      <c r="BC109" s="854">
        <f t="shared" si="156"/>
        <v>0</v>
      </c>
      <c r="BD109" s="854">
        <f t="shared" si="157"/>
        <v>0</v>
      </c>
      <c r="BE109" s="854">
        <f t="shared" si="158"/>
        <v>0</v>
      </c>
      <c r="BF109" s="854">
        <f t="shared" si="159"/>
        <v>0</v>
      </c>
      <c r="BG109" s="854">
        <f t="shared" si="160"/>
        <v>0</v>
      </c>
      <c r="BH109" s="854">
        <f t="shared" si="161"/>
        <v>24198.817032618852</v>
      </c>
      <c r="BI109" s="854">
        <f t="shared" si="162"/>
        <v>240417.44711152578</v>
      </c>
      <c r="BJ109" s="854">
        <f t="shared" si="135"/>
        <v>264616.2641441446</v>
      </c>
      <c r="BK109" s="58" t="str">
        <f t="shared" si="136"/>
        <v>OK</v>
      </c>
      <c r="BL109" s="878" t="str">
        <f t="shared" si="163"/>
        <v>GSR improvements - Waihoehoe Rd to Drury Interchange TRA A28 0.610473829173856 2060 0.348159182804852</v>
      </c>
      <c r="BM109" s="870">
        <f t="shared" si="164"/>
        <v>2</v>
      </c>
      <c r="BN109" s="869">
        <f t="shared" si="137"/>
        <v>405952.27724888525</v>
      </c>
      <c r="BO109" s="870">
        <f>IFERROR(VLOOKUP(AF109,FA_Codes!D:H,5,FALSE),"CHECK")</f>
        <v>0</v>
      </c>
      <c r="BP109" s="870" t="str">
        <f t="shared" si="165"/>
        <v>TRA</v>
      </c>
      <c r="BQ109" s="869">
        <f t="shared" si="166"/>
        <v>664979.00130830135</v>
      </c>
      <c r="BR109" s="870" t="str">
        <f t="shared" si="167"/>
        <v>1b TRA A29</v>
      </c>
      <c r="BS109" s="870" t="str">
        <f t="shared" si="138"/>
        <v>1b</v>
      </c>
      <c r="BT109" s="870" t="s">
        <v>6992</v>
      </c>
      <c r="BU109" s="870">
        <f t="shared" si="168"/>
        <v>2060</v>
      </c>
      <c r="BV109" s="153"/>
      <c r="BW109" s="153"/>
      <c r="BX109" s="153"/>
      <c r="BY109" s="153"/>
      <c r="BZ109" s="153"/>
      <c r="CA109" s="153"/>
      <c r="CB109" s="153"/>
      <c r="CC109" s="153"/>
      <c r="CD109" s="153"/>
      <c r="CE109" s="153"/>
      <c r="CF109" s="153"/>
    </row>
    <row r="110" spans="1:84" ht="26">
      <c r="A110" s="848"/>
      <c r="B110" s="848" t="s">
        <v>896</v>
      </c>
      <c r="C110" s="848"/>
      <c r="D110" s="848"/>
      <c r="E110" s="848" t="s">
        <v>6818</v>
      </c>
      <c r="F110" s="866" t="s">
        <v>6708</v>
      </c>
      <c r="G110" s="866" t="s">
        <v>6709</v>
      </c>
      <c r="H110" s="866"/>
      <c r="I110" s="866"/>
      <c r="J110" s="866"/>
      <c r="K110" s="866" t="s">
        <v>6886</v>
      </c>
      <c r="L110" s="866"/>
      <c r="M110" s="866"/>
      <c r="N110" s="866"/>
      <c r="O110" s="866"/>
      <c r="P110" s="866"/>
      <c r="Q110" s="897">
        <v>0.61047382917385584</v>
      </c>
      <c r="R110" s="848">
        <v>2060</v>
      </c>
      <c r="S110" s="850">
        <v>0</v>
      </c>
      <c r="T110" s="850">
        <v>0</v>
      </c>
      <c r="U110" s="850">
        <v>0</v>
      </c>
      <c r="V110" s="850">
        <v>0</v>
      </c>
      <c r="W110" s="850">
        <v>0</v>
      </c>
      <c r="X110" s="850">
        <v>0</v>
      </c>
      <c r="Y110" s="850">
        <v>0</v>
      </c>
      <c r="Z110" s="850">
        <v>37002.546161363432</v>
      </c>
      <c r="AA110" s="850">
        <v>367623.65998097853</v>
      </c>
      <c r="AB110" s="850">
        <v>0</v>
      </c>
      <c r="AC110" s="898">
        <f t="shared" si="132"/>
        <v>404626.20614234195</v>
      </c>
      <c r="AD110" s="848"/>
      <c r="AF110" s="58" t="str">
        <f>IFERROR(VLOOKUP(K110,FA_Codes!C:F,2,FALSE),"CHECK")</f>
        <v>TRA A28</v>
      </c>
      <c r="AG110" s="851">
        <f t="shared" si="139"/>
        <v>404626.20614234195</v>
      </c>
      <c r="AH110" s="58" t="str">
        <f>IFERROR(VLOOKUP(AF110,FA_Codes!D:F,3,FALSE),"CHECK")</f>
        <v>Local</v>
      </c>
      <c r="AI110" s="857">
        <v>0.34815918280485209</v>
      </c>
      <c r="AJ110" s="853">
        <f t="shared" si="133"/>
        <v>0.65184081719514797</v>
      </c>
      <c r="AK110" s="854">
        <f t="shared" si="140"/>
        <v>157612.4966945365</v>
      </c>
      <c r="AL110" s="854">
        <f t="shared" si="141"/>
        <v>0</v>
      </c>
      <c r="AM110" s="854">
        <f t="shared" si="142"/>
        <v>0</v>
      </c>
      <c r="AN110" s="854">
        <f t="shared" si="143"/>
        <v>0</v>
      </c>
      <c r="AO110" s="854">
        <f t="shared" si="144"/>
        <v>0</v>
      </c>
      <c r="AP110" s="854">
        <f t="shared" si="145"/>
        <v>0</v>
      </c>
      <c r="AQ110" s="854">
        <f t="shared" si="146"/>
        <v>0</v>
      </c>
      <c r="AR110" s="854">
        <f t="shared" si="147"/>
        <v>0</v>
      </c>
      <c r="AS110" s="854">
        <f t="shared" si="148"/>
        <v>7864.5977374954209</v>
      </c>
      <c r="AT110" s="854">
        <f t="shared" si="149"/>
        <v>78135.493485447689</v>
      </c>
      <c r="AU110" s="854">
        <f t="shared" si="150"/>
        <v>0</v>
      </c>
      <c r="AV110" s="854">
        <f t="shared" si="134"/>
        <v>86000.091222943112</v>
      </c>
      <c r="AW110" s="854">
        <f t="shared" si="151"/>
        <v>0</v>
      </c>
      <c r="AX110" s="855">
        <f t="shared" si="152"/>
        <v>0</v>
      </c>
      <c r="AZ110" s="854">
        <f t="shared" si="153"/>
        <v>0</v>
      </c>
      <c r="BA110" s="854">
        <f t="shared" si="154"/>
        <v>0</v>
      </c>
      <c r="BB110" s="854">
        <f t="shared" si="155"/>
        <v>0</v>
      </c>
      <c r="BC110" s="854">
        <f t="shared" si="156"/>
        <v>0</v>
      </c>
      <c r="BD110" s="854">
        <f t="shared" si="157"/>
        <v>0</v>
      </c>
      <c r="BE110" s="854">
        <f t="shared" si="158"/>
        <v>0</v>
      </c>
      <c r="BF110" s="854">
        <f t="shared" si="159"/>
        <v>0</v>
      </c>
      <c r="BG110" s="854">
        <f t="shared" si="160"/>
        <v>14724.488306814474</v>
      </c>
      <c r="BH110" s="854">
        <f t="shared" si="161"/>
        <v>146289.12991804787</v>
      </c>
      <c r="BI110" s="854">
        <f t="shared" si="162"/>
        <v>0</v>
      </c>
      <c r="BJ110" s="854">
        <f t="shared" si="135"/>
        <v>161013.61822486235</v>
      </c>
      <c r="BK110" s="58" t="str">
        <f t="shared" si="136"/>
        <v>OK</v>
      </c>
      <c r="BL110" s="878" t="str">
        <f t="shared" si="163"/>
        <v>GSR improvements - From Drury School to Waihoehoe Rd TRA A28 0.610473829173856 2060 0.348159182804852</v>
      </c>
      <c r="BM110" s="870">
        <f t="shared" si="164"/>
        <v>2</v>
      </c>
      <c r="BN110" s="869">
        <f t="shared" si="137"/>
        <v>247013.70944780548</v>
      </c>
      <c r="BO110" s="870">
        <f>IFERROR(VLOOKUP(AF110,FA_Codes!D:H,5,FALSE),"CHECK")</f>
        <v>0</v>
      </c>
      <c r="BP110" s="870" t="str">
        <f t="shared" si="165"/>
        <v>TRA</v>
      </c>
      <c r="BQ110" s="869">
        <f t="shared" si="166"/>
        <v>404626.20614234195</v>
      </c>
      <c r="BR110" s="870" t="str">
        <f t="shared" si="167"/>
        <v>2a TRA A29</v>
      </c>
      <c r="BS110" s="870" t="str">
        <f t="shared" si="138"/>
        <v>2a</v>
      </c>
      <c r="BT110" s="870" t="s">
        <v>6992</v>
      </c>
      <c r="BU110" s="870">
        <f t="shared" si="168"/>
        <v>2060</v>
      </c>
      <c r="BV110" s="153"/>
      <c r="BW110" s="153"/>
      <c r="BX110" s="153"/>
      <c r="BY110" s="153"/>
      <c r="BZ110" s="153"/>
      <c r="CA110" s="153"/>
      <c r="CB110" s="153"/>
      <c r="CC110" s="153"/>
      <c r="CD110" s="153"/>
      <c r="CE110" s="153"/>
      <c r="CF110" s="153"/>
    </row>
    <row r="111" spans="1:84" ht="26">
      <c r="A111" s="848"/>
      <c r="B111" s="848" t="s">
        <v>896</v>
      </c>
      <c r="C111" s="848"/>
      <c r="D111" s="848"/>
      <c r="E111" s="848" t="s">
        <v>6819</v>
      </c>
      <c r="F111" s="866" t="s">
        <v>6715</v>
      </c>
      <c r="G111" s="866" t="s">
        <v>6717</v>
      </c>
      <c r="H111" s="866"/>
      <c r="I111" s="866"/>
      <c r="J111" s="866"/>
      <c r="K111" s="866" t="s">
        <v>6886</v>
      </c>
      <c r="L111" s="866"/>
      <c r="M111" s="866"/>
      <c r="N111" s="866"/>
      <c r="O111" s="866"/>
      <c r="P111" s="866"/>
      <c r="Q111" s="897">
        <v>0.61047382917385584</v>
      </c>
      <c r="R111" s="848">
        <v>2060</v>
      </c>
      <c r="S111" s="850">
        <v>0</v>
      </c>
      <c r="T111" s="850">
        <v>0</v>
      </c>
      <c r="U111" s="850">
        <v>0</v>
      </c>
      <c r="V111" s="850">
        <v>0</v>
      </c>
      <c r="W111" s="850">
        <v>0</v>
      </c>
      <c r="X111" s="850">
        <v>0</v>
      </c>
      <c r="Y111" s="850">
        <v>0</v>
      </c>
      <c r="Z111" s="850">
        <v>21549.097088552036</v>
      </c>
      <c r="AA111" s="850">
        <v>26725.682355950168</v>
      </c>
      <c r="AB111" s="850">
        <v>270115.23298013402</v>
      </c>
      <c r="AC111" s="898">
        <f t="shared" si="132"/>
        <v>318390.01242463622</v>
      </c>
      <c r="AD111" s="848"/>
      <c r="AF111" s="58" t="str">
        <f>IFERROR(VLOOKUP(K111,FA_Codes!C:F,2,FALSE),"CHECK")</f>
        <v>TRA A28</v>
      </c>
      <c r="AG111" s="851">
        <f t="shared" si="139"/>
        <v>318390.01242463622</v>
      </c>
      <c r="AH111" s="58" t="str">
        <f>IFERROR(VLOOKUP(AF111,FA_Codes!D:F,3,FALSE),"CHECK")</f>
        <v>Local</v>
      </c>
      <c r="AI111" s="857">
        <v>0.34815918280485209</v>
      </c>
      <c r="AJ111" s="853">
        <f t="shared" si="133"/>
        <v>0.65184081719514797</v>
      </c>
      <c r="AK111" s="854">
        <f t="shared" si="140"/>
        <v>124021.24236905701</v>
      </c>
      <c r="AL111" s="854">
        <f t="shared" si="141"/>
        <v>0</v>
      </c>
      <c r="AM111" s="854">
        <f t="shared" si="142"/>
        <v>0</v>
      </c>
      <c r="AN111" s="854">
        <f t="shared" si="143"/>
        <v>0</v>
      </c>
      <c r="AO111" s="854">
        <f t="shared" si="144"/>
        <v>0</v>
      </c>
      <c r="AP111" s="854">
        <f t="shared" si="145"/>
        <v>0</v>
      </c>
      <c r="AQ111" s="854">
        <f t="shared" si="146"/>
        <v>0</v>
      </c>
      <c r="AR111" s="854">
        <f t="shared" si="147"/>
        <v>0</v>
      </c>
      <c r="AS111" s="854">
        <f t="shared" si="148"/>
        <v>4580.0896908184786</v>
      </c>
      <c r="AT111" s="854">
        <f t="shared" si="149"/>
        <v>5680.3318364371244</v>
      </c>
      <c r="AU111" s="854">
        <f t="shared" si="150"/>
        <v>57410.850618079057</v>
      </c>
      <c r="AV111" s="854">
        <f t="shared" si="134"/>
        <v>67671.27214533466</v>
      </c>
      <c r="AW111" s="854">
        <f t="shared" si="151"/>
        <v>0</v>
      </c>
      <c r="AX111" s="855">
        <f t="shared" si="152"/>
        <v>0</v>
      </c>
      <c r="AZ111" s="854">
        <f t="shared" si="153"/>
        <v>0</v>
      </c>
      <c r="BA111" s="854">
        <f t="shared" si="154"/>
        <v>0</v>
      </c>
      <c r="BB111" s="854">
        <f t="shared" si="155"/>
        <v>0</v>
      </c>
      <c r="BC111" s="854">
        <f t="shared" si="156"/>
        <v>0</v>
      </c>
      <c r="BD111" s="854">
        <f t="shared" si="157"/>
        <v>0</v>
      </c>
      <c r="BE111" s="854">
        <f t="shared" si="158"/>
        <v>0</v>
      </c>
      <c r="BF111" s="854">
        <f t="shared" si="159"/>
        <v>0</v>
      </c>
      <c r="BG111" s="854">
        <f t="shared" si="160"/>
        <v>8575.0701240690723</v>
      </c>
      <c r="BH111" s="854">
        <f t="shared" si="161"/>
        <v>10634.997808683933</v>
      </c>
      <c r="BI111" s="854">
        <f t="shared" si="162"/>
        <v>107487.42997749156</v>
      </c>
      <c r="BJ111" s="854">
        <f t="shared" si="135"/>
        <v>126697.49791024456</v>
      </c>
      <c r="BK111" s="58" t="str">
        <f t="shared" si="136"/>
        <v>OK</v>
      </c>
      <c r="BL111" s="878" t="str">
        <f t="shared" si="163"/>
        <v>Upgrade in Norrie Rd/GSR/Waihoehoe intersection TRA A28 0.610473829173856 2060 0.348159182804852</v>
      </c>
      <c r="BM111" s="870">
        <f t="shared" si="164"/>
        <v>2</v>
      </c>
      <c r="BN111" s="869">
        <f t="shared" si="137"/>
        <v>194368.77005557923</v>
      </c>
      <c r="BO111" s="870">
        <f>IFERROR(VLOOKUP(AF111,FA_Codes!D:H,5,FALSE),"CHECK")</f>
        <v>0</v>
      </c>
      <c r="BP111" s="870" t="str">
        <f t="shared" si="165"/>
        <v>TRA</v>
      </c>
      <c r="BQ111" s="869">
        <f t="shared" si="166"/>
        <v>318390.01242463622</v>
      </c>
      <c r="BR111" s="870" t="str">
        <f t="shared" si="167"/>
        <v>9b TRA A29</v>
      </c>
      <c r="BS111" s="870" t="str">
        <f t="shared" si="138"/>
        <v>9b</v>
      </c>
      <c r="BT111" s="870" t="s">
        <v>6992</v>
      </c>
      <c r="BU111" s="870">
        <f t="shared" si="168"/>
        <v>2060</v>
      </c>
      <c r="BV111" s="153"/>
      <c r="BW111" s="153"/>
      <c r="BX111" s="153"/>
      <c r="BY111" s="153"/>
      <c r="BZ111" s="153"/>
      <c r="CA111" s="153"/>
      <c r="CB111" s="153"/>
      <c r="CC111" s="153"/>
      <c r="CD111" s="153"/>
      <c r="CE111" s="153"/>
      <c r="CF111" s="153"/>
    </row>
    <row r="112" spans="1:84" ht="39">
      <c r="A112" s="848"/>
      <c r="B112" s="848" t="s">
        <v>896</v>
      </c>
      <c r="C112" s="848"/>
      <c r="D112" s="848"/>
      <c r="E112" s="848" t="s">
        <v>6820</v>
      </c>
      <c r="F112" s="866" t="s">
        <v>6725</v>
      </c>
      <c r="G112" s="866" t="s">
        <v>6726</v>
      </c>
      <c r="H112" s="866"/>
      <c r="I112" s="866"/>
      <c r="J112" s="866"/>
      <c r="K112" s="866" t="s">
        <v>6886</v>
      </c>
      <c r="L112" s="866"/>
      <c r="M112" s="866"/>
      <c r="N112" s="866"/>
      <c r="O112" s="866"/>
      <c r="P112" s="866"/>
      <c r="Q112" s="897">
        <v>0.61047382917385584</v>
      </c>
      <c r="R112" s="848">
        <v>2060</v>
      </c>
      <c r="S112" s="850">
        <v>0</v>
      </c>
      <c r="T112" s="850">
        <v>69581.758443600018</v>
      </c>
      <c r="U112" s="850">
        <v>0</v>
      </c>
      <c r="V112" s="850">
        <v>0</v>
      </c>
      <c r="W112" s="850">
        <v>0</v>
      </c>
      <c r="X112" s="850">
        <v>0</v>
      </c>
      <c r="Y112" s="850">
        <v>0</v>
      </c>
      <c r="Z112" s="850">
        <v>684901.46881222003</v>
      </c>
      <c r="AA112" s="850">
        <v>202654.11316867091</v>
      </c>
      <c r="AB112" s="850">
        <v>2028757.5614995123</v>
      </c>
      <c r="AC112" s="898">
        <f t="shared" si="132"/>
        <v>2985894.9019240034</v>
      </c>
      <c r="AD112" s="848"/>
      <c r="AF112" s="58" t="str">
        <f>IFERROR(VLOOKUP(K112,FA_Codes!C:F,2,FALSE),"CHECK")</f>
        <v>TRA A28</v>
      </c>
      <c r="AG112" s="851">
        <f t="shared" si="139"/>
        <v>2985894.9019240034</v>
      </c>
      <c r="AH112" s="58" t="str">
        <f>IFERROR(VLOOKUP(AF112,FA_Codes!D:F,3,FALSE),"CHECK")</f>
        <v>Local</v>
      </c>
      <c r="AI112" s="857">
        <v>0.34815918280485209</v>
      </c>
      <c r="AJ112" s="853">
        <f t="shared" si="133"/>
        <v>0.65184081719514797</v>
      </c>
      <c r="AK112" s="854">
        <f t="shared" si="140"/>
        <v>1163084.2076357624</v>
      </c>
      <c r="AL112" s="854">
        <f t="shared" si="141"/>
        <v>0</v>
      </c>
      <c r="AM112" s="854">
        <f t="shared" si="142"/>
        <v>14789.050938280778</v>
      </c>
      <c r="AN112" s="854">
        <f t="shared" si="143"/>
        <v>0</v>
      </c>
      <c r="AO112" s="854">
        <f t="shared" si="144"/>
        <v>0</v>
      </c>
      <c r="AP112" s="854">
        <f t="shared" si="145"/>
        <v>0</v>
      </c>
      <c r="AQ112" s="854">
        <f t="shared" si="146"/>
        <v>0</v>
      </c>
      <c r="AR112" s="854">
        <f t="shared" si="147"/>
        <v>0</v>
      </c>
      <c r="AS112" s="854">
        <f t="shared" si="148"/>
        <v>145570.37557734924</v>
      </c>
      <c r="AT112" s="854">
        <f t="shared" si="149"/>
        <v>43072.524603310812</v>
      </c>
      <c r="AU112" s="854">
        <f t="shared" si="150"/>
        <v>431196.33061239822</v>
      </c>
      <c r="AV112" s="854">
        <f t="shared" si="134"/>
        <v>634628.28173133906</v>
      </c>
      <c r="AW112" s="854">
        <f t="shared" si="151"/>
        <v>0</v>
      </c>
      <c r="AX112" s="855">
        <f t="shared" si="152"/>
        <v>0</v>
      </c>
      <c r="AZ112" s="854">
        <f t="shared" si="153"/>
        <v>0</v>
      </c>
      <c r="BA112" s="854">
        <f t="shared" si="154"/>
        <v>27688.791579434004</v>
      </c>
      <c r="BB112" s="854">
        <f t="shared" si="155"/>
        <v>0</v>
      </c>
      <c r="BC112" s="854">
        <f t="shared" si="156"/>
        <v>0</v>
      </c>
      <c r="BD112" s="854">
        <f t="shared" si="157"/>
        <v>0</v>
      </c>
      <c r="BE112" s="854">
        <f t="shared" si="158"/>
        <v>0</v>
      </c>
      <c r="BF112" s="854">
        <f t="shared" si="159"/>
        <v>0</v>
      </c>
      <c r="BG112" s="854">
        <f t="shared" si="160"/>
        <v>272544.04669524496</v>
      </c>
      <c r="BH112" s="854">
        <f t="shared" si="161"/>
        <v>80642.507860599653</v>
      </c>
      <c r="BI112" s="854">
        <f t="shared" si="162"/>
        <v>807307.06642162346</v>
      </c>
      <c r="BJ112" s="854">
        <f t="shared" si="135"/>
        <v>1188182.412556902</v>
      </c>
      <c r="BK112" s="58" t="str">
        <f t="shared" si="136"/>
        <v>OK</v>
      </c>
      <c r="BL112" s="878" t="str">
        <f t="shared" si="163"/>
        <v>Waihoehoe Rd West upgrades- between GSR &amp; Kath Henry Lane TRA A28 0.610473829173856 2060 0.348159182804852</v>
      </c>
      <c r="BM112" s="870">
        <f t="shared" si="164"/>
        <v>2</v>
      </c>
      <c r="BN112" s="869">
        <f t="shared" si="137"/>
        <v>1822810.6942882412</v>
      </c>
      <c r="BO112" s="870">
        <f>IFERROR(VLOOKUP(AF112,FA_Codes!D:H,5,FALSE),"CHECK")</f>
        <v>0</v>
      </c>
      <c r="BP112" s="870" t="str">
        <f t="shared" si="165"/>
        <v>TRA</v>
      </c>
      <c r="BQ112" s="869">
        <f t="shared" si="166"/>
        <v>2985894.9019240034</v>
      </c>
      <c r="BR112" s="870" t="str">
        <f t="shared" si="167"/>
        <v>23b TRA A29</v>
      </c>
      <c r="BS112" s="870" t="str">
        <f t="shared" si="138"/>
        <v>23b</v>
      </c>
      <c r="BT112" s="870" t="s">
        <v>6992</v>
      </c>
      <c r="BU112" s="870">
        <f t="shared" si="168"/>
        <v>2060</v>
      </c>
      <c r="BV112" s="153"/>
      <c r="BW112" s="153"/>
      <c r="BX112" s="153"/>
      <c r="BY112" s="153"/>
      <c r="BZ112" s="153"/>
      <c r="CA112" s="153"/>
      <c r="CB112" s="153"/>
      <c r="CC112" s="153"/>
      <c r="CD112" s="153"/>
      <c r="CE112" s="153"/>
      <c r="CF112" s="153"/>
    </row>
    <row r="113" spans="1:84" ht="39">
      <c r="A113" s="848"/>
      <c r="B113" s="848" t="s">
        <v>896</v>
      </c>
      <c r="C113" s="848"/>
      <c r="D113" s="848"/>
      <c r="E113" s="848" t="s">
        <v>6821</v>
      </c>
      <c r="F113" s="866" t="s">
        <v>6727</v>
      </c>
      <c r="G113" s="866" t="s">
        <v>6726</v>
      </c>
      <c r="H113" s="866"/>
      <c r="I113" s="866"/>
      <c r="J113" s="866"/>
      <c r="K113" s="866" t="s">
        <v>6886</v>
      </c>
      <c r="L113" s="866"/>
      <c r="M113" s="866"/>
      <c r="N113" s="866"/>
      <c r="O113" s="866"/>
      <c r="P113" s="866"/>
      <c r="Q113" s="897">
        <v>0.61047382917385584</v>
      </c>
      <c r="R113" s="848">
        <v>2060</v>
      </c>
      <c r="S113" s="850">
        <v>0</v>
      </c>
      <c r="T113" s="850">
        <v>0</v>
      </c>
      <c r="U113" s="850">
        <v>0</v>
      </c>
      <c r="V113" s="850">
        <v>0</v>
      </c>
      <c r="W113" s="850">
        <v>0</v>
      </c>
      <c r="X113" s="850">
        <v>2264.7378218015947</v>
      </c>
      <c r="Y113" s="850">
        <v>0</v>
      </c>
      <c r="Z113" s="850">
        <v>118686.71924061079</v>
      </c>
      <c r="AA113" s="850">
        <v>38506.535415460108</v>
      </c>
      <c r="AB113" s="850">
        <v>402285.95058846596</v>
      </c>
      <c r="AC113" s="898">
        <f t="shared" si="132"/>
        <v>561743.94306633843</v>
      </c>
      <c r="AD113" s="848"/>
      <c r="AF113" s="58" t="str">
        <f>IFERROR(VLOOKUP(K113,FA_Codes!C:F,2,FALSE),"CHECK")</f>
        <v>TRA A28</v>
      </c>
      <c r="AG113" s="851">
        <f t="shared" si="139"/>
        <v>561743.94306633843</v>
      </c>
      <c r="AH113" s="58" t="str">
        <f>IFERROR(VLOOKUP(AF113,FA_Codes!D:F,3,FALSE),"CHECK")</f>
        <v>Local</v>
      </c>
      <c r="AI113" s="857">
        <v>0.34815918280485209</v>
      </c>
      <c r="AJ113" s="853">
        <f t="shared" si="133"/>
        <v>0.65184081719514797</v>
      </c>
      <c r="AK113" s="854">
        <f t="shared" si="140"/>
        <v>218813.96712741035</v>
      </c>
      <c r="AL113" s="854">
        <f t="shared" si="141"/>
        <v>0</v>
      </c>
      <c r="AM113" s="854">
        <f t="shared" si="142"/>
        <v>0</v>
      </c>
      <c r="AN113" s="854">
        <f t="shared" si="143"/>
        <v>0</v>
      </c>
      <c r="AO113" s="854">
        <f t="shared" si="144"/>
        <v>0</v>
      </c>
      <c r="AP113" s="854">
        <f t="shared" si="145"/>
        <v>0</v>
      </c>
      <c r="AQ113" s="854">
        <f t="shared" si="146"/>
        <v>481.35206349553647</v>
      </c>
      <c r="AR113" s="854">
        <f t="shared" si="147"/>
        <v>0</v>
      </c>
      <c r="AS113" s="854">
        <f t="shared" si="148"/>
        <v>25225.920928249663</v>
      </c>
      <c r="AT113" s="854">
        <f t="shared" si="149"/>
        <v>8184.2587260502241</v>
      </c>
      <c r="AU113" s="854">
        <f t="shared" si="150"/>
        <v>85502.688464389372</v>
      </c>
      <c r="AV113" s="854">
        <f t="shared" si="134"/>
        <v>119394.2201821848</v>
      </c>
      <c r="AW113" s="854">
        <f t="shared" si="151"/>
        <v>0</v>
      </c>
      <c r="AX113" s="855">
        <f t="shared" si="152"/>
        <v>0</v>
      </c>
      <c r="AZ113" s="854">
        <f t="shared" si="153"/>
        <v>0</v>
      </c>
      <c r="BA113" s="854">
        <f t="shared" si="154"/>
        <v>0</v>
      </c>
      <c r="BB113" s="854">
        <f t="shared" si="155"/>
        <v>0</v>
      </c>
      <c r="BC113" s="854">
        <f t="shared" si="156"/>
        <v>0</v>
      </c>
      <c r="BD113" s="854">
        <f t="shared" si="157"/>
        <v>0</v>
      </c>
      <c r="BE113" s="854">
        <f t="shared" si="158"/>
        <v>901.21110665454057</v>
      </c>
      <c r="BF113" s="854">
        <f t="shared" si="159"/>
        <v>0</v>
      </c>
      <c r="BG113" s="854">
        <f t="shared" si="160"/>
        <v>47229.21503864837</v>
      </c>
      <c r="BH113" s="854">
        <f t="shared" si="161"/>
        <v>15322.973397244401</v>
      </c>
      <c r="BI113" s="854">
        <f t="shared" si="162"/>
        <v>160082.35621419601</v>
      </c>
      <c r="BJ113" s="854">
        <f t="shared" si="135"/>
        <v>223535.75575674331</v>
      </c>
      <c r="BK113" s="58" t="str">
        <f t="shared" si="136"/>
        <v>OK</v>
      </c>
      <c r="BL113" s="878" t="str">
        <f t="shared" si="163"/>
        <v>Waihoehoe Rd West upgrades- between Kath Henry Lane and Fitzgerald Rd TRA A28 0.610473829173856 2060 0.348159182804852</v>
      </c>
      <c r="BM113" s="870">
        <f t="shared" si="164"/>
        <v>2</v>
      </c>
      <c r="BN113" s="869">
        <f t="shared" si="137"/>
        <v>342929.97593892808</v>
      </c>
      <c r="BO113" s="870">
        <f>IFERROR(VLOOKUP(AF113,FA_Codes!D:H,5,FALSE),"CHECK")</f>
        <v>0</v>
      </c>
      <c r="BP113" s="870" t="str">
        <f t="shared" si="165"/>
        <v>TRA</v>
      </c>
      <c r="BQ113" s="869">
        <f t="shared" si="166"/>
        <v>561743.94306633843</v>
      </c>
      <c r="BR113" s="870" t="str">
        <f t="shared" si="167"/>
        <v>23d TRA A29</v>
      </c>
      <c r="BS113" s="870" t="str">
        <f t="shared" si="138"/>
        <v>23d</v>
      </c>
      <c r="BT113" s="870" t="s">
        <v>6992</v>
      </c>
      <c r="BU113" s="870">
        <f t="shared" si="168"/>
        <v>2060</v>
      </c>
      <c r="BV113" s="153"/>
      <c r="BW113" s="153"/>
      <c r="BX113" s="153"/>
      <c r="BY113" s="153"/>
      <c r="BZ113" s="153"/>
      <c r="CA113" s="153"/>
      <c r="CB113" s="153"/>
      <c r="CC113" s="153"/>
      <c r="CD113" s="153"/>
      <c r="CE113" s="153"/>
      <c r="CF113" s="153"/>
    </row>
    <row r="114" spans="1:84" ht="26">
      <c r="A114" s="848"/>
      <c r="B114" s="848" t="s">
        <v>896</v>
      </c>
      <c r="C114" s="848"/>
      <c r="D114" s="848"/>
      <c r="E114" s="848" t="s">
        <v>6822</v>
      </c>
      <c r="F114" s="866" t="s">
        <v>6745</v>
      </c>
      <c r="G114" s="866">
        <v>0</v>
      </c>
      <c r="H114" s="866"/>
      <c r="I114" s="866"/>
      <c r="J114" s="866"/>
      <c r="K114" s="866" t="s">
        <v>6886</v>
      </c>
      <c r="L114" s="866"/>
      <c r="M114" s="866"/>
      <c r="N114" s="866"/>
      <c r="O114" s="866"/>
      <c r="P114" s="866"/>
      <c r="Q114" s="897">
        <v>0.61047382917385584</v>
      </c>
      <c r="R114" s="848">
        <v>2060</v>
      </c>
      <c r="S114" s="850">
        <v>0</v>
      </c>
      <c r="T114" s="850">
        <v>0</v>
      </c>
      <c r="U114" s="850">
        <v>0</v>
      </c>
      <c r="V114" s="850">
        <v>0</v>
      </c>
      <c r="W114" s="850">
        <v>0</v>
      </c>
      <c r="X114" s="850">
        <v>0</v>
      </c>
      <c r="Y114" s="850">
        <v>0</v>
      </c>
      <c r="Z114" s="850">
        <v>547843.35690810601</v>
      </c>
      <c r="AA114" s="850">
        <v>0</v>
      </c>
      <c r="AB114" s="850">
        <v>5704158.2620239509</v>
      </c>
      <c r="AC114" s="898">
        <f t="shared" si="132"/>
        <v>6252001.6189320572</v>
      </c>
      <c r="AD114" s="848"/>
      <c r="AF114" s="58" t="str">
        <f>IFERROR(VLOOKUP(K114,FA_Codes!C:F,2,FALSE),"CHECK")</f>
        <v>TRA A28</v>
      </c>
      <c r="AG114" s="851">
        <f t="shared" si="139"/>
        <v>6252001.6189320572</v>
      </c>
      <c r="AH114" s="58" t="str">
        <f>IFERROR(VLOOKUP(AF114,FA_Codes!D:F,3,FALSE),"CHECK")</f>
        <v>Local</v>
      </c>
      <c r="AI114" s="857">
        <v>0.34815918280485209</v>
      </c>
      <c r="AJ114" s="853">
        <f t="shared" si="133"/>
        <v>0.65184081719514797</v>
      </c>
      <c r="AK114" s="854">
        <f t="shared" si="140"/>
        <v>2435318.2506214585</v>
      </c>
      <c r="AL114" s="854">
        <f t="shared" si="141"/>
        <v>0</v>
      </c>
      <c r="AM114" s="854">
        <f t="shared" si="142"/>
        <v>0</v>
      </c>
      <c r="AN114" s="854">
        <f t="shared" si="143"/>
        <v>0</v>
      </c>
      <c r="AO114" s="854">
        <f t="shared" si="144"/>
        <v>0</v>
      </c>
      <c r="AP114" s="854">
        <f t="shared" si="145"/>
        <v>0</v>
      </c>
      <c r="AQ114" s="854">
        <f t="shared" si="146"/>
        <v>0</v>
      </c>
      <c r="AR114" s="854">
        <f t="shared" si="147"/>
        <v>0</v>
      </c>
      <c r="AS114" s="854">
        <f t="shared" si="148"/>
        <v>116439.76083300506</v>
      </c>
      <c r="AT114" s="854">
        <f t="shared" si="149"/>
        <v>0</v>
      </c>
      <c r="AU114" s="854">
        <f t="shared" si="150"/>
        <v>1212373.6017028834</v>
      </c>
      <c r="AV114" s="854">
        <f t="shared" si="134"/>
        <v>1328813.3625358883</v>
      </c>
      <c r="AW114" s="854">
        <f t="shared" si="151"/>
        <v>0</v>
      </c>
      <c r="AX114" s="855">
        <f t="shared" si="152"/>
        <v>0</v>
      </c>
      <c r="AZ114" s="854">
        <f t="shared" si="153"/>
        <v>0</v>
      </c>
      <c r="BA114" s="854">
        <f t="shared" si="154"/>
        <v>0</v>
      </c>
      <c r="BB114" s="854">
        <f t="shared" si="155"/>
        <v>0</v>
      </c>
      <c r="BC114" s="854">
        <f t="shared" si="156"/>
        <v>0</v>
      </c>
      <c r="BD114" s="854">
        <f t="shared" si="157"/>
        <v>0</v>
      </c>
      <c r="BE114" s="854">
        <f t="shared" si="158"/>
        <v>0</v>
      </c>
      <c r="BF114" s="854">
        <f t="shared" si="159"/>
        <v>0</v>
      </c>
      <c r="BG114" s="854">
        <f t="shared" si="160"/>
        <v>218004.27104614579</v>
      </c>
      <c r="BH114" s="854">
        <f t="shared" si="161"/>
        <v>0</v>
      </c>
      <c r="BI114" s="854">
        <f t="shared" si="162"/>
        <v>2269865.734728565</v>
      </c>
      <c r="BJ114" s="854">
        <f t="shared" si="135"/>
        <v>2487870.0057747108</v>
      </c>
      <c r="BK114" s="58" t="str">
        <f t="shared" si="136"/>
        <v>OK</v>
      </c>
      <c r="BL114" s="878" t="str">
        <f t="shared" si="163"/>
        <v>Active Mode Corridor Drury Central to GSR TRA A28 0.610473829173856 2060 0.348159182804852</v>
      </c>
      <c r="BM114" s="870">
        <f t="shared" si="164"/>
        <v>2</v>
      </c>
      <c r="BN114" s="869">
        <f t="shared" si="137"/>
        <v>3816683.3683105991</v>
      </c>
      <c r="BO114" s="870">
        <f>IFERROR(VLOOKUP(AF114,FA_Codes!D:H,5,FALSE),"CHECK")</f>
        <v>0</v>
      </c>
      <c r="BP114" s="870" t="str">
        <f t="shared" si="165"/>
        <v>TRA</v>
      </c>
      <c r="BQ114" s="869">
        <f t="shared" si="166"/>
        <v>6252001.6189320572</v>
      </c>
      <c r="BR114" s="870" t="str">
        <f t="shared" si="167"/>
        <v>67 TRA A29</v>
      </c>
      <c r="BS114" s="870">
        <f t="shared" si="138"/>
        <v>67</v>
      </c>
      <c r="BT114" s="870" t="s">
        <v>6992</v>
      </c>
      <c r="BU114" s="870">
        <f t="shared" si="168"/>
        <v>2060</v>
      </c>
      <c r="BV114" s="153"/>
      <c r="BW114" s="153"/>
      <c r="BX114" s="153"/>
      <c r="BY114" s="153"/>
      <c r="BZ114" s="153"/>
      <c r="CA114" s="153"/>
      <c r="CB114" s="153"/>
      <c r="CC114" s="153"/>
      <c r="CD114" s="153"/>
      <c r="CE114" s="153"/>
      <c r="CF114" s="153"/>
    </row>
    <row r="115" spans="1:84" ht="26">
      <c r="A115" s="848"/>
      <c r="B115" s="848" t="s">
        <v>896</v>
      </c>
      <c r="C115" s="848"/>
      <c r="D115" s="848"/>
      <c r="E115" s="848" t="s">
        <v>6887</v>
      </c>
      <c r="F115" s="866" t="s">
        <v>6868</v>
      </c>
      <c r="G115" s="808" t="s">
        <v>6711</v>
      </c>
      <c r="H115" s="808"/>
      <c r="I115" s="808"/>
      <c r="J115" s="808"/>
      <c r="K115" s="808" t="s">
        <v>6886</v>
      </c>
      <c r="L115" s="808"/>
      <c r="M115" s="808"/>
      <c r="N115" s="808"/>
      <c r="O115" s="808"/>
      <c r="P115" s="808"/>
      <c r="Q115" s="849">
        <v>0.61047382917385584</v>
      </c>
      <c r="R115" s="848">
        <v>2060</v>
      </c>
      <c r="S115" s="850">
        <v>0</v>
      </c>
      <c r="T115" s="850">
        <v>0</v>
      </c>
      <c r="U115" s="850">
        <v>0</v>
      </c>
      <c r="V115" s="850">
        <v>0</v>
      </c>
      <c r="W115" s="850">
        <v>0</v>
      </c>
      <c r="X115" s="850">
        <v>0</v>
      </c>
      <c r="Y115" s="850">
        <v>0</v>
      </c>
      <c r="Z115" s="850">
        <v>0</v>
      </c>
      <c r="AA115" s="850">
        <v>-31013.851963982266</v>
      </c>
      <c r="AB115" s="850">
        <v>-308125.43870325142</v>
      </c>
      <c r="AC115" s="809">
        <f t="shared" si="132"/>
        <v>-339139.2906672337</v>
      </c>
      <c r="AD115" s="848"/>
      <c r="AF115" s="58" t="str">
        <f>IFERROR(VLOOKUP(K115,FA_Codes!C:F,2,FALSE),"CHECK")</f>
        <v>TRA A28</v>
      </c>
      <c r="AG115" s="851">
        <f t="shared" si="139"/>
        <v>-339139.2906672337</v>
      </c>
      <c r="AH115" s="58" t="str">
        <f>IFERROR(VLOOKUP(AF115,FA_Codes!D:F,3,FALSE),"CHECK")</f>
        <v>Local</v>
      </c>
      <c r="AI115" s="857">
        <v>0.34815918280485209</v>
      </c>
      <c r="AJ115" s="853">
        <f t="shared" si="133"/>
        <v>0.65184081719514797</v>
      </c>
      <c r="AK115" s="854">
        <f t="shared" si="140"/>
        <v>-132103.62927030222</v>
      </c>
      <c r="AL115" s="854">
        <f t="shared" si="141"/>
        <v>0</v>
      </c>
      <c r="AM115" s="854">
        <f t="shared" si="142"/>
        <v>0</v>
      </c>
      <c r="AN115" s="854">
        <f t="shared" si="143"/>
        <v>0</v>
      </c>
      <c r="AO115" s="854">
        <f t="shared" si="144"/>
        <v>0</v>
      </c>
      <c r="AP115" s="854">
        <f t="shared" si="145"/>
        <v>0</v>
      </c>
      <c r="AQ115" s="854">
        <f t="shared" si="146"/>
        <v>0</v>
      </c>
      <c r="AR115" s="854">
        <f t="shared" si="147"/>
        <v>0</v>
      </c>
      <c r="AS115" s="854">
        <f t="shared" si="148"/>
        <v>0</v>
      </c>
      <c r="AT115" s="854">
        <f t="shared" si="149"/>
        <v>-6591.7482792477504</v>
      </c>
      <c r="AU115" s="854">
        <f t="shared" si="150"/>
        <v>-65489.618404169967</v>
      </c>
      <c r="AV115" s="854">
        <f t="shared" si="134"/>
        <v>-72081.366683417713</v>
      </c>
      <c r="AW115" s="854">
        <f t="shared" si="151"/>
        <v>0</v>
      </c>
      <c r="AX115" s="855">
        <f t="shared" si="152"/>
        <v>0</v>
      </c>
      <c r="AZ115" s="854">
        <f t="shared" si="153"/>
        <v>0</v>
      </c>
      <c r="BA115" s="854">
        <f t="shared" si="154"/>
        <v>0</v>
      </c>
      <c r="BB115" s="854">
        <f t="shared" si="155"/>
        <v>0</v>
      </c>
      <c r="BC115" s="854">
        <f t="shared" si="156"/>
        <v>0</v>
      </c>
      <c r="BD115" s="854">
        <f t="shared" si="157"/>
        <v>0</v>
      </c>
      <c r="BE115" s="854">
        <f t="shared" si="158"/>
        <v>0</v>
      </c>
      <c r="BF115" s="854">
        <f t="shared" si="159"/>
        <v>0</v>
      </c>
      <c r="BG115" s="854">
        <f t="shared" si="160"/>
        <v>0</v>
      </c>
      <c r="BH115" s="854">
        <f t="shared" si="161"/>
        <v>-12341.396686635613</v>
      </c>
      <c r="BI115" s="854">
        <f t="shared" si="162"/>
        <v>-122612.89802687815</v>
      </c>
      <c r="BJ115" s="854">
        <f t="shared" si="135"/>
        <v>-134954.29471351375</v>
      </c>
      <c r="BK115" s="58" t="str">
        <f t="shared" si="136"/>
        <v>OK</v>
      </c>
      <c r="BL115" s="856" t="str">
        <f t="shared" si="163"/>
        <v>GSR improvements - Waihoehoe Rd to Drury Interchange TRA A28 0.610473829173856 2060 0.348159182804852</v>
      </c>
      <c r="BM115" s="153">
        <f t="shared" si="164"/>
        <v>2</v>
      </c>
      <c r="BN115" s="869">
        <f t="shared" si="137"/>
        <v>-207035.66139693145</v>
      </c>
      <c r="BO115" s="870">
        <f>IFERROR(VLOOKUP(AF115,FA_Codes!D:H,5,FALSE),"CHECK")</f>
        <v>0</v>
      </c>
      <c r="BP115" s="870" t="str">
        <f t="shared" si="165"/>
        <v>TRA</v>
      </c>
      <c r="BQ115" s="869">
        <f t="shared" si="166"/>
        <v>0</v>
      </c>
      <c r="BR115" s="870" t="str">
        <f t="shared" si="167"/>
        <v>1b TRA A29</v>
      </c>
      <c r="BS115" s="870" t="str">
        <f t="shared" si="138"/>
        <v>1b</v>
      </c>
      <c r="BT115" s="870" t="s">
        <v>6992</v>
      </c>
      <c r="BU115" s="870">
        <f t="shared" si="168"/>
        <v>2060</v>
      </c>
      <c r="BV115" s="153"/>
      <c r="BW115" s="153"/>
      <c r="BX115" s="153"/>
      <c r="BY115" s="153"/>
      <c r="BZ115" s="153"/>
      <c r="CA115" s="153"/>
      <c r="CB115" s="153"/>
      <c r="CC115" s="153"/>
      <c r="CD115" s="153"/>
      <c r="CE115" s="153"/>
      <c r="CF115" s="153"/>
    </row>
    <row r="116" spans="1:84" ht="26">
      <c r="A116" s="848"/>
      <c r="B116" s="848" t="s">
        <v>896</v>
      </c>
      <c r="C116" s="848"/>
      <c r="D116" s="848"/>
      <c r="E116" s="848" t="s">
        <v>6823</v>
      </c>
      <c r="F116" s="866" t="s">
        <v>6708</v>
      </c>
      <c r="G116" s="808" t="s">
        <v>6709</v>
      </c>
      <c r="H116" s="808"/>
      <c r="I116" s="808"/>
      <c r="J116" s="808"/>
      <c r="K116" s="808" t="s">
        <v>6886</v>
      </c>
      <c r="L116" s="808"/>
      <c r="M116" s="808"/>
      <c r="N116" s="808"/>
      <c r="O116" s="808"/>
      <c r="P116" s="808"/>
      <c r="Q116" s="849">
        <v>0.61047382917385584</v>
      </c>
      <c r="R116" s="848">
        <v>2060</v>
      </c>
      <c r="S116" s="850">
        <v>0</v>
      </c>
      <c r="T116" s="850">
        <v>0</v>
      </c>
      <c r="U116" s="850">
        <v>0</v>
      </c>
      <c r="V116" s="850">
        <v>0</v>
      </c>
      <c r="W116" s="850">
        <v>0</v>
      </c>
      <c r="X116" s="850">
        <v>0</v>
      </c>
      <c r="Y116" s="850">
        <v>0</v>
      </c>
      <c r="Z116" s="850">
        <v>-18871.29854229535</v>
      </c>
      <c r="AA116" s="850">
        <v>-187488.06659029904</v>
      </c>
      <c r="AB116" s="850">
        <v>0</v>
      </c>
      <c r="AC116" s="809">
        <f t="shared" si="132"/>
        <v>-206359.36513259439</v>
      </c>
      <c r="AD116" s="848"/>
      <c r="AF116" s="58" t="str">
        <f>IFERROR(VLOOKUP(K116,FA_Codes!C:F,2,FALSE),"CHECK")</f>
        <v>TRA A28</v>
      </c>
      <c r="AG116" s="851">
        <f t="shared" si="139"/>
        <v>-206359.36513259439</v>
      </c>
      <c r="AH116" s="58" t="str">
        <f>IFERROR(VLOOKUP(AF116,FA_Codes!D:F,3,FALSE),"CHECK")</f>
        <v>Local</v>
      </c>
      <c r="AI116" s="857">
        <v>0.34815918280485209</v>
      </c>
      <c r="AJ116" s="853">
        <f t="shared" si="133"/>
        <v>0.65184081719514797</v>
      </c>
      <c r="AK116" s="854">
        <f t="shared" si="140"/>
        <v>-80382.373314213619</v>
      </c>
      <c r="AL116" s="854">
        <f t="shared" si="141"/>
        <v>0</v>
      </c>
      <c r="AM116" s="854">
        <f t="shared" si="142"/>
        <v>0</v>
      </c>
      <c r="AN116" s="854">
        <f t="shared" si="143"/>
        <v>0</v>
      </c>
      <c r="AO116" s="854">
        <f t="shared" si="144"/>
        <v>0</v>
      </c>
      <c r="AP116" s="854">
        <f t="shared" si="145"/>
        <v>0</v>
      </c>
      <c r="AQ116" s="854">
        <f t="shared" si="146"/>
        <v>0</v>
      </c>
      <c r="AR116" s="854">
        <f t="shared" si="147"/>
        <v>0</v>
      </c>
      <c r="AS116" s="854">
        <f t="shared" si="148"/>
        <v>-4010.9448461226652</v>
      </c>
      <c r="AT116" s="854">
        <f t="shared" si="149"/>
        <v>-39849.101677578321</v>
      </c>
      <c r="AU116" s="854">
        <f t="shared" si="150"/>
        <v>0</v>
      </c>
      <c r="AV116" s="854">
        <f t="shared" si="134"/>
        <v>-43860.046523700985</v>
      </c>
      <c r="AW116" s="854">
        <f t="shared" si="151"/>
        <v>0</v>
      </c>
      <c r="AX116" s="855">
        <f t="shared" si="152"/>
        <v>0</v>
      </c>
      <c r="AZ116" s="854">
        <f t="shared" si="153"/>
        <v>0</v>
      </c>
      <c r="BA116" s="854">
        <f t="shared" si="154"/>
        <v>0</v>
      </c>
      <c r="BB116" s="854">
        <f t="shared" si="155"/>
        <v>0</v>
      </c>
      <c r="BC116" s="854">
        <f t="shared" si="156"/>
        <v>0</v>
      </c>
      <c r="BD116" s="854">
        <f t="shared" si="157"/>
        <v>0</v>
      </c>
      <c r="BE116" s="854">
        <f t="shared" si="158"/>
        <v>0</v>
      </c>
      <c r="BF116" s="854">
        <f t="shared" si="159"/>
        <v>0</v>
      </c>
      <c r="BG116" s="854">
        <f t="shared" si="160"/>
        <v>-7509.4890364753819</v>
      </c>
      <c r="BH116" s="854">
        <f t="shared" si="161"/>
        <v>-74607.456258204402</v>
      </c>
      <c r="BI116" s="854">
        <f t="shared" si="162"/>
        <v>0</v>
      </c>
      <c r="BJ116" s="854">
        <f t="shared" si="135"/>
        <v>-82116.945294679783</v>
      </c>
      <c r="BK116" s="58" t="str">
        <f t="shared" si="136"/>
        <v>OK</v>
      </c>
      <c r="BL116" s="856" t="str">
        <f t="shared" si="163"/>
        <v>GSR improvements - From Drury School to Waihoehoe Rd TRA A28 0.610473829173856 2060 0.348159182804852</v>
      </c>
      <c r="BM116" s="153">
        <f t="shared" si="164"/>
        <v>2</v>
      </c>
      <c r="BN116" s="869">
        <f t="shared" si="137"/>
        <v>-125976.99181838077</v>
      </c>
      <c r="BO116" s="870">
        <f>IFERROR(VLOOKUP(AF116,FA_Codes!D:H,5,FALSE),"CHECK")</f>
        <v>0</v>
      </c>
      <c r="BP116" s="870" t="str">
        <f t="shared" si="165"/>
        <v>TRA</v>
      </c>
      <c r="BQ116" s="869">
        <f t="shared" si="166"/>
        <v>0</v>
      </c>
      <c r="BR116" s="870" t="str">
        <f t="shared" si="167"/>
        <v>2a TRA A29</v>
      </c>
      <c r="BS116" s="870" t="str">
        <f t="shared" si="138"/>
        <v>2a</v>
      </c>
      <c r="BT116" s="870" t="s">
        <v>6992</v>
      </c>
      <c r="BU116" s="870">
        <f t="shared" si="168"/>
        <v>2060</v>
      </c>
      <c r="BV116" s="153"/>
      <c r="BW116" s="153"/>
      <c r="BX116" s="153"/>
      <c r="BY116" s="153"/>
      <c r="BZ116" s="153"/>
      <c r="CA116" s="153"/>
      <c r="CB116" s="153"/>
      <c r="CC116" s="153"/>
      <c r="CD116" s="153"/>
      <c r="CE116" s="153"/>
      <c r="CF116" s="153"/>
    </row>
    <row r="117" spans="1:84" ht="26">
      <c r="A117" s="848"/>
      <c r="B117" s="848" t="s">
        <v>896</v>
      </c>
      <c r="C117" s="848"/>
      <c r="D117" s="848"/>
      <c r="E117" s="848" t="s">
        <v>6824</v>
      </c>
      <c r="F117" s="866" t="s">
        <v>6715</v>
      </c>
      <c r="G117" s="808" t="s">
        <v>6717</v>
      </c>
      <c r="H117" s="808"/>
      <c r="I117" s="808"/>
      <c r="J117" s="808"/>
      <c r="K117" s="808" t="s">
        <v>6886</v>
      </c>
      <c r="L117" s="808"/>
      <c r="M117" s="808"/>
      <c r="N117" s="808"/>
      <c r="O117" s="808"/>
      <c r="P117" s="808"/>
      <c r="Q117" s="849">
        <v>0.61047382917385584</v>
      </c>
      <c r="R117" s="848">
        <v>2060</v>
      </c>
      <c r="S117" s="850">
        <v>0</v>
      </c>
      <c r="T117" s="850">
        <v>0</v>
      </c>
      <c r="U117" s="850">
        <v>0</v>
      </c>
      <c r="V117" s="850">
        <v>0</v>
      </c>
      <c r="W117" s="850">
        <v>0</v>
      </c>
      <c r="X117" s="850">
        <v>0</v>
      </c>
      <c r="Y117" s="850">
        <v>0</v>
      </c>
      <c r="Z117" s="850">
        <v>-10990.039515161539</v>
      </c>
      <c r="AA117" s="850">
        <v>-13630.098001534587</v>
      </c>
      <c r="AB117" s="850">
        <v>-137758.76881986836</v>
      </c>
      <c r="AC117" s="809">
        <f t="shared" si="132"/>
        <v>-162378.90633656448</v>
      </c>
      <c r="AD117" s="848"/>
      <c r="AF117" s="58" t="str">
        <f>IFERROR(VLOOKUP(K117,FA_Codes!C:F,2,FALSE),"CHECK")</f>
        <v>TRA A28</v>
      </c>
      <c r="AG117" s="851">
        <f t="shared" si="139"/>
        <v>-162378.90633656448</v>
      </c>
      <c r="AH117" s="58" t="str">
        <f>IFERROR(VLOOKUP(AF117,FA_Codes!D:F,3,FALSE),"CHECK")</f>
        <v>Local</v>
      </c>
      <c r="AI117" s="857">
        <v>0.34815918280485209</v>
      </c>
      <c r="AJ117" s="853">
        <f t="shared" si="133"/>
        <v>0.65184081719514797</v>
      </c>
      <c r="AK117" s="854">
        <f t="shared" si="140"/>
        <v>-63250.83360821908</v>
      </c>
      <c r="AL117" s="854">
        <f t="shared" si="141"/>
        <v>0</v>
      </c>
      <c r="AM117" s="854">
        <f t="shared" si="142"/>
        <v>0</v>
      </c>
      <c r="AN117" s="854">
        <f t="shared" si="143"/>
        <v>0</v>
      </c>
      <c r="AO117" s="854">
        <f t="shared" si="144"/>
        <v>0</v>
      </c>
      <c r="AP117" s="854">
        <f t="shared" si="145"/>
        <v>0</v>
      </c>
      <c r="AQ117" s="854">
        <f t="shared" si="146"/>
        <v>0</v>
      </c>
      <c r="AR117" s="854">
        <f t="shared" si="147"/>
        <v>0</v>
      </c>
      <c r="AS117" s="854">
        <f t="shared" si="148"/>
        <v>-2335.8457423174241</v>
      </c>
      <c r="AT117" s="854">
        <f t="shared" si="149"/>
        <v>-2896.9692365829337</v>
      </c>
      <c r="AU117" s="854">
        <f t="shared" si="150"/>
        <v>-29279.533815220322</v>
      </c>
      <c r="AV117" s="854">
        <f t="shared" si="134"/>
        <v>-34512.348794120684</v>
      </c>
      <c r="AW117" s="854">
        <f t="shared" si="151"/>
        <v>0</v>
      </c>
      <c r="AX117" s="855">
        <f t="shared" si="152"/>
        <v>0</v>
      </c>
      <c r="AZ117" s="854">
        <f t="shared" si="153"/>
        <v>0</v>
      </c>
      <c r="BA117" s="854">
        <f t="shared" si="154"/>
        <v>0</v>
      </c>
      <c r="BB117" s="854">
        <f t="shared" si="155"/>
        <v>0</v>
      </c>
      <c r="BC117" s="854">
        <f t="shared" si="156"/>
        <v>0</v>
      </c>
      <c r="BD117" s="854">
        <f t="shared" si="157"/>
        <v>0</v>
      </c>
      <c r="BE117" s="854">
        <f t="shared" si="158"/>
        <v>0</v>
      </c>
      <c r="BF117" s="854">
        <f t="shared" si="159"/>
        <v>0</v>
      </c>
      <c r="BG117" s="854">
        <f t="shared" si="160"/>
        <v>-4373.2857632752266</v>
      </c>
      <c r="BH117" s="854">
        <f t="shared" si="161"/>
        <v>-5423.8488824288061</v>
      </c>
      <c r="BI117" s="854">
        <f t="shared" si="162"/>
        <v>-54818.589288520699</v>
      </c>
      <c r="BJ117" s="854">
        <f t="shared" si="135"/>
        <v>-64615.723934224734</v>
      </c>
      <c r="BK117" s="58" t="str">
        <f t="shared" si="136"/>
        <v>OK</v>
      </c>
      <c r="BL117" s="856" t="str">
        <f t="shared" si="163"/>
        <v>Upgrade in Norrie Rd/GSR/Waihoehoe intersection TRA A28 0.610473829173856 2060 0.348159182804852</v>
      </c>
      <c r="BM117" s="153">
        <f t="shared" si="164"/>
        <v>2</v>
      </c>
      <c r="BN117" s="869">
        <f t="shared" si="137"/>
        <v>-99128.072728345418</v>
      </c>
      <c r="BO117" s="870">
        <f>IFERROR(VLOOKUP(AF117,FA_Codes!D:H,5,FALSE),"CHECK")</f>
        <v>0</v>
      </c>
      <c r="BP117" s="870" t="str">
        <f t="shared" si="165"/>
        <v>TRA</v>
      </c>
      <c r="BQ117" s="869">
        <f t="shared" si="166"/>
        <v>0</v>
      </c>
      <c r="BR117" s="870" t="str">
        <f t="shared" si="167"/>
        <v>9b TRA A29</v>
      </c>
      <c r="BS117" s="870" t="str">
        <f t="shared" si="138"/>
        <v>9b</v>
      </c>
      <c r="BT117" s="870" t="s">
        <v>6992</v>
      </c>
      <c r="BU117" s="870">
        <f t="shared" si="168"/>
        <v>2060</v>
      </c>
      <c r="BV117" s="153"/>
      <c r="BW117" s="153"/>
      <c r="BX117" s="153"/>
      <c r="BY117" s="153"/>
      <c r="BZ117" s="153"/>
      <c r="CA117" s="153"/>
      <c r="CB117" s="153"/>
      <c r="CC117" s="153"/>
      <c r="CD117" s="153"/>
      <c r="CE117" s="153"/>
      <c r="CF117" s="153"/>
    </row>
    <row r="118" spans="1:84" ht="26">
      <c r="A118" s="848"/>
      <c r="B118" s="848" t="s">
        <v>896</v>
      </c>
      <c r="C118" s="848"/>
      <c r="D118" s="848"/>
      <c r="E118" s="848" t="s">
        <v>6825</v>
      </c>
      <c r="F118" s="866" t="s">
        <v>6725</v>
      </c>
      <c r="G118" s="808" t="s">
        <v>6726</v>
      </c>
      <c r="H118" s="808"/>
      <c r="I118" s="808"/>
      <c r="J118" s="808"/>
      <c r="K118" s="808" t="s">
        <v>6886</v>
      </c>
      <c r="L118" s="808"/>
      <c r="M118" s="808"/>
      <c r="N118" s="808"/>
      <c r="O118" s="808"/>
      <c r="P118" s="808"/>
      <c r="Q118" s="849">
        <v>0.61047382917385584</v>
      </c>
      <c r="R118" s="848">
        <v>2060</v>
      </c>
      <c r="S118" s="850">
        <v>0</v>
      </c>
      <c r="T118" s="850">
        <v>-35486.69680623601</v>
      </c>
      <c r="U118" s="850">
        <v>0</v>
      </c>
      <c r="V118" s="850">
        <v>0</v>
      </c>
      <c r="W118" s="850">
        <v>0</v>
      </c>
      <c r="X118" s="850">
        <v>0</v>
      </c>
      <c r="Y118" s="850">
        <v>0</v>
      </c>
      <c r="Z118" s="850">
        <v>-349299.74909423222</v>
      </c>
      <c r="AA118" s="850">
        <v>-103353.59771602217</v>
      </c>
      <c r="AB118" s="850">
        <v>-1034666.3563647512</v>
      </c>
      <c r="AC118" s="809">
        <f t="shared" si="132"/>
        <v>-1522806.3999812417</v>
      </c>
      <c r="AD118" s="848"/>
      <c r="AF118" s="58" t="str">
        <f>IFERROR(VLOOKUP(K118,FA_Codes!C:F,2,FALSE),"CHECK")</f>
        <v>TRA A28</v>
      </c>
      <c r="AG118" s="851">
        <f t="shared" si="139"/>
        <v>-1522806.3999812417</v>
      </c>
      <c r="AH118" s="58" t="str">
        <f>IFERROR(VLOOKUP(AF118,FA_Codes!D:F,3,FALSE),"CHECK")</f>
        <v>Local</v>
      </c>
      <c r="AI118" s="857">
        <v>0.34815918280485209</v>
      </c>
      <c r="AJ118" s="853">
        <f t="shared" si="133"/>
        <v>0.65184081719514797</v>
      </c>
      <c r="AK118" s="854">
        <f t="shared" si="140"/>
        <v>-593172.94589423877</v>
      </c>
      <c r="AL118" s="854">
        <f t="shared" si="141"/>
        <v>0</v>
      </c>
      <c r="AM118" s="854">
        <f t="shared" si="142"/>
        <v>-7542.4159785231968</v>
      </c>
      <c r="AN118" s="854">
        <f t="shared" si="143"/>
        <v>0</v>
      </c>
      <c r="AO118" s="854">
        <f t="shared" si="144"/>
        <v>0</v>
      </c>
      <c r="AP118" s="854">
        <f t="shared" si="145"/>
        <v>0</v>
      </c>
      <c r="AQ118" s="854">
        <f t="shared" si="146"/>
        <v>0</v>
      </c>
      <c r="AR118" s="854">
        <f t="shared" si="147"/>
        <v>0</v>
      </c>
      <c r="AS118" s="854">
        <f t="shared" si="148"/>
        <v>-74240.89154444811</v>
      </c>
      <c r="AT118" s="854">
        <f t="shared" si="149"/>
        <v>-21966.987547688514</v>
      </c>
      <c r="AU118" s="854">
        <f t="shared" si="150"/>
        <v>-219910.12861232311</v>
      </c>
      <c r="AV118" s="854">
        <f t="shared" si="134"/>
        <v>-323660.42368298292</v>
      </c>
      <c r="AW118" s="854">
        <f t="shared" si="151"/>
        <v>0</v>
      </c>
      <c r="AX118" s="855">
        <f t="shared" si="152"/>
        <v>0</v>
      </c>
      <c r="AZ118" s="854">
        <f t="shared" si="153"/>
        <v>0</v>
      </c>
      <c r="BA118" s="854">
        <f t="shared" si="154"/>
        <v>-14121.283705511341</v>
      </c>
      <c r="BB118" s="854">
        <f t="shared" si="155"/>
        <v>0</v>
      </c>
      <c r="BC118" s="854">
        <f t="shared" si="156"/>
        <v>0</v>
      </c>
      <c r="BD118" s="854">
        <f t="shared" si="157"/>
        <v>0</v>
      </c>
      <c r="BE118" s="854">
        <f t="shared" si="158"/>
        <v>0</v>
      </c>
      <c r="BF118" s="854">
        <f t="shared" si="159"/>
        <v>0</v>
      </c>
      <c r="BG118" s="854">
        <f t="shared" si="160"/>
        <v>-138997.46381457493</v>
      </c>
      <c r="BH118" s="854">
        <f t="shared" si="161"/>
        <v>-41127.67900890582</v>
      </c>
      <c r="BI118" s="854">
        <f t="shared" si="162"/>
        <v>-411726.60387502797</v>
      </c>
      <c r="BJ118" s="854">
        <f t="shared" si="135"/>
        <v>-605973.0304040201</v>
      </c>
      <c r="BK118" s="58" t="str">
        <f t="shared" si="136"/>
        <v>OK</v>
      </c>
      <c r="BL118" s="856" t="str">
        <f t="shared" si="163"/>
        <v>Waihoehoe Rd West upgrades- between GSR &amp; Kath Henry Lane TRA A28 0.610473829173856 2060 0.348159182804852</v>
      </c>
      <c r="BM118" s="153">
        <f t="shared" si="164"/>
        <v>2</v>
      </c>
      <c r="BN118" s="869">
        <f t="shared" si="137"/>
        <v>-929633.45408700302</v>
      </c>
      <c r="BO118" s="870">
        <f>IFERROR(VLOOKUP(AF118,FA_Codes!D:H,5,FALSE),"CHECK")</f>
        <v>0</v>
      </c>
      <c r="BP118" s="870" t="str">
        <f t="shared" si="165"/>
        <v>TRA</v>
      </c>
      <c r="BQ118" s="869">
        <f t="shared" si="166"/>
        <v>0</v>
      </c>
      <c r="BR118" s="870" t="str">
        <f t="shared" si="167"/>
        <v>23b TRA A29</v>
      </c>
      <c r="BS118" s="870" t="str">
        <f t="shared" si="138"/>
        <v>23b</v>
      </c>
      <c r="BT118" s="870" t="s">
        <v>6992</v>
      </c>
      <c r="BU118" s="870">
        <f t="shared" si="168"/>
        <v>2060</v>
      </c>
      <c r="BV118" s="153"/>
      <c r="BW118" s="153"/>
      <c r="BX118" s="153"/>
      <c r="BY118" s="153"/>
      <c r="BZ118" s="153"/>
      <c r="CA118" s="153"/>
      <c r="CB118" s="153"/>
      <c r="CC118" s="153"/>
      <c r="CD118" s="153"/>
      <c r="CE118" s="153"/>
      <c r="CF118" s="153"/>
    </row>
    <row r="119" spans="1:84" ht="26">
      <c r="A119" s="848"/>
      <c r="B119" s="848" t="s">
        <v>896</v>
      </c>
      <c r="C119" s="848"/>
      <c r="D119" s="848"/>
      <c r="E119" s="848" t="s">
        <v>6826</v>
      </c>
      <c r="F119" s="866" t="s">
        <v>6727</v>
      </c>
      <c r="G119" s="808" t="s">
        <v>6726</v>
      </c>
      <c r="H119" s="808"/>
      <c r="I119" s="808"/>
      <c r="J119" s="808"/>
      <c r="K119" s="808" t="s">
        <v>6886</v>
      </c>
      <c r="L119" s="808"/>
      <c r="M119" s="808"/>
      <c r="N119" s="808"/>
      <c r="O119" s="808"/>
      <c r="P119" s="808"/>
      <c r="Q119" s="849">
        <v>0.61047382917385584</v>
      </c>
      <c r="R119" s="848">
        <v>2060</v>
      </c>
      <c r="S119" s="850">
        <v>0</v>
      </c>
      <c r="T119" s="850">
        <v>0</v>
      </c>
      <c r="U119" s="850">
        <v>0</v>
      </c>
      <c r="V119" s="850">
        <v>0</v>
      </c>
      <c r="W119" s="850">
        <v>0</v>
      </c>
      <c r="X119" s="850">
        <v>-1155.0162891188133</v>
      </c>
      <c r="Y119" s="850">
        <v>0</v>
      </c>
      <c r="Z119" s="850">
        <v>-60530.226812711502</v>
      </c>
      <c r="AA119" s="850">
        <v>-19638.333061884656</v>
      </c>
      <c r="AB119" s="850">
        <v>-205165.83480011765</v>
      </c>
      <c r="AC119" s="809">
        <f t="shared" si="132"/>
        <v>-286489.41096383263</v>
      </c>
      <c r="AD119" s="848"/>
      <c r="AF119" s="58" t="str">
        <f>IFERROR(VLOOKUP(K119,FA_Codes!C:F,2,FALSE),"CHECK")</f>
        <v>TRA A28</v>
      </c>
      <c r="AG119" s="851">
        <f t="shared" si="139"/>
        <v>-286489.41096383263</v>
      </c>
      <c r="AH119" s="58" t="str">
        <f>IFERROR(VLOOKUP(AF119,FA_Codes!D:F,3,FALSE),"CHECK")</f>
        <v>Local</v>
      </c>
      <c r="AI119" s="857">
        <v>0.34815918280485209</v>
      </c>
      <c r="AJ119" s="853">
        <f t="shared" si="133"/>
        <v>0.65184081719514797</v>
      </c>
      <c r="AK119" s="854">
        <f t="shared" si="140"/>
        <v>-111595.12323497928</v>
      </c>
      <c r="AL119" s="854">
        <f t="shared" si="141"/>
        <v>0</v>
      </c>
      <c r="AM119" s="854">
        <f t="shared" si="142"/>
        <v>0</v>
      </c>
      <c r="AN119" s="854">
        <f t="shared" si="143"/>
        <v>0</v>
      </c>
      <c r="AO119" s="854">
        <f t="shared" si="144"/>
        <v>0</v>
      </c>
      <c r="AP119" s="854">
        <f t="shared" si="145"/>
        <v>0</v>
      </c>
      <c r="AQ119" s="854">
        <f t="shared" si="146"/>
        <v>-245.48955238272362</v>
      </c>
      <c r="AR119" s="854">
        <f t="shared" si="147"/>
        <v>0</v>
      </c>
      <c r="AS119" s="854">
        <f t="shared" si="148"/>
        <v>-12865.219673407328</v>
      </c>
      <c r="AT119" s="854">
        <f t="shared" si="149"/>
        <v>-4173.9719502856142</v>
      </c>
      <c r="AU119" s="854">
        <f t="shared" si="150"/>
        <v>-43606.371116838578</v>
      </c>
      <c r="AV119" s="854">
        <f t="shared" si="134"/>
        <v>-60891.052292914246</v>
      </c>
      <c r="AW119" s="854">
        <f t="shared" si="151"/>
        <v>0</v>
      </c>
      <c r="AX119" s="855">
        <f t="shared" si="152"/>
        <v>0</v>
      </c>
      <c r="AZ119" s="854">
        <f t="shared" si="153"/>
        <v>0</v>
      </c>
      <c r="BA119" s="854">
        <f t="shared" si="154"/>
        <v>0</v>
      </c>
      <c r="BB119" s="854">
        <f t="shared" si="155"/>
        <v>0</v>
      </c>
      <c r="BC119" s="854">
        <f t="shared" si="156"/>
        <v>0</v>
      </c>
      <c r="BD119" s="854">
        <f t="shared" si="157"/>
        <v>0</v>
      </c>
      <c r="BE119" s="854">
        <f t="shared" si="158"/>
        <v>-459.61766439381574</v>
      </c>
      <c r="BF119" s="854">
        <f t="shared" si="159"/>
        <v>0</v>
      </c>
      <c r="BG119" s="854">
        <f t="shared" si="160"/>
        <v>-24086.899669710667</v>
      </c>
      <c r="BH119" s="854">
        <f t="shared" si="161"/>
        <v>-7814.7164325946442</v>
      </c>
      <c r="BI119" s="854">
        <f t="shared" si="162"/>
        <v>-81642.001669239966</v>
      </c>
      <c r="BJ119" s="854">
        <f t="shared" si="135"/>
        <v>-114003.23543593909</v>
      </c>
      <c r="BK119" s="58" t="str">
        <f t="shared" si="136"/>
        <v>OK</v>
      </c>
      <c r="BL119" s="856" t="str">
        <f t="shared" si="163"/>
        <v>Waihoehoe Rd West upgrades- between Kath Henry Lane and Fitzgerald Rd TRA A28 0.610473829173856 2060 0.348159182804852</v>
      </c>
      <c r="BM119" s="153">
        <f t="shared" si="164"/>
        <v>2</v>
      </c>
      <c r="BN119" s="869">
        <f t="shared" si="137"/>
        <v>-174894.28772885335</v>
      </c>
      <c r="BO119" s="870">
        <f>IFERROR(VLOOKUP(AF119,FA_Codes!D:H,5,FALSE),"CHECK")</f>
        <v>0</v>
      </c>
      <c r="BP119" s="870" t="str">
        <f t="shared" si="165"/>
        <v>TRA</v>
      </c>
      <c r="BQ119" s="869">
        <f t="shared" si="166"/>
        <v>0</v>
      </c>
      <c r="BR119" s="870" t="str">
        <f t="shared" si="167"/>
        <v>23d TRA A29</v>
      </c>
      <c r="BS119" s="870" t="str">
        <f t="shared" si="138"/>
        <v>23d</v>
      </c>
      <c r="BT119" s="870" t="s">
        <v>6992</v>
      </c>
      <c r="BU119" s="870">
        <f t="shared" si="168"/>
        <v>2060</v>
      </c>
      <c r="BV119" s="153"/>
      <c r="BW119" s="153"/>
      <c r="BX119" s="153"/>
      <c r="BY119" s="153"/>
      <c r="BZ119" s="153"/>
      <c r="CA119" s="153"/>
      <c r="CB119" s="153"/>
      <c r="CC119" s="153"/>
      <c r="CD119" s="153"/>
      <c r="CE119" s="153"/>
      <c r="CF119" s="153"/>
    </row>
    <row r="120" spans="1:84" ht="26">
      <c r="A120" s="848"/>
      <c r="B120" s="848" t="s">
        <v>896</v>
      </c>
      <c r="C120" s="848"/>
      <c r="D120" s="848"/>
      <c r="E120" s="848" t="s">
        <v>6827</v>
      </c>
      <c r="F120" s="866" t="s">
        <v>6745</v>
      </c>
      <c r="G120" s="808">
        <v>0</v>
      </c>
      <c r="H120" s="808"/>
      <c r="I120" s="808"/>
      <c r="J120" s="808"/>
      <c r="K120" s="808" t="s">
        <v>6886</v>
      </c>
      <c r="L120" s="808"/>
      <c r="M120" s="808"/>
      <c r="N120" s="808"/>
      <c r="O120" s="808"/>
      <c r="P120" s="808"/>
      <c r="Q120" s="849">
        <v>0.61047382917385584</v>
      </c>
      <c r="R120" s="848">
        <v>2060</v>
      </c>
      <c r="S120" s="850">
        <v>0</v>
      </c>
      <c r="T120" s="850">
        <v>0</v>
      </c>
      <c r="U120" s="850">
        <v>0</v>
      </c>
      <c r="V120" s="850">
        <v>0</v>
      </c>
      <c r="W120" s="850">
        <v>0</v>
      </c>
      <c r="X120" s="850">
        <v>0</v>
      </c>
      <c r="Y120" s="850">
        <v>0</v>
      </c>
      <c r="Z120" s="850">
        <v>-279400.11202313408</v>
      </c>
      <c r="AA120" s="850">
        <v>0</v>
      </c>
      <c r="AB120" s="850">
        <v>-2909120.7136322148</v>
      </c>
      <c r="AC120" s="809">
        <f t="shared" si="132"/>
        <v>-3188520.8256553491</v>
      </c>
      <c r="AD120" s="848"/>
      <c r="AF120" s="58" t="str">
        <f>IFERROR(VLOOKUP(K120,FA_Codes!C:F,2,FALSE),"CHECK")</f>
        <v>TRA A28</v>
      </c>
      <c r="AG120" s="851">
        <f t="shared" si="139"/>
        <v>-3188520.8256553491</v>
      </c>
      <c r="AH120" s="58" t="str">
        <f>IFERROR(VLOOKUP(AF120,FA_Codes!D:F,3,FALSE),"CHECK")</f>
        <v>Local</v>
      </c>
      <c r="AI120" s="857">
        <v>0.34815918280485209</v>
      </c>
      <c r="AJ120" s="853">
        <f t="shared" si="133"/>
        <v>0.65184081719514797</v>
      </c>
      <c r="AK120" s="854">
        <f t="shared" si="140"/>
        <v>-1242012.3078169436</v>
      </c>
      <c r="AL120" s="854">
        <f t="shared" si="141"/>
        <v>0</v>
      </c>
      <c r="AM120" s="854">
        <f t="shared" si="142"/>
        <v>0</v>
      </c>
      <c r="AN120" s="854">
        <f t="shared" si="143"/>
        <v>0</v>
      </c>
      <c r="AO120" s="854">
        <f t="shared" si="144"/>
        <v>0</v>
      </c>
      <c r="AP120" s="854">
        <f t="shared" si="145"/>
        <v>0</v>
      </c>
      <c r="AQ120" s="854">
        <f t="shared" si="146"/>
        <v>0</v>
      </c>
      <c r="AR120" s="854">
        <f t="shared" si="147"/>
        <v>0</v>
      </c>
      <c r="AS120" s="854">
        <f t="shared" si="148"/>
        <v>-59384.27802483258</v>
      </c>
      <c r="AT120" s="854">
        <f t="shared" si="149"/>
        <v>0</v>
      </c>
      <c r="AU120" s="854">
        <f t="shared" si="150"/>
        <v>-618310.53686847049</v>
      </c>
      <c r="AV120" s="854">
        <f t="shared" si="134"/>
        <v>-677694.81489330309</v>
      </c>
      <c r="AW120" s="854">
        <f t="shared" si="151"/>
        <v>0</v>
      </c>
      <c r="AX120" s="855">
        <f t="shared" si="152"/>
        <v>0</v>
      </c>
      <c r="AZ120" s="854">
        <f t="shared" si="153"/>
        <v>0</v>
      </c>
      <c r="BA120" s="854">
        <f t="shared" si="154"/>
        <v>0</v>
      </c>
      <c r="BB120" s="854">
        <f t="shared" si="155"/>
        <v>0</v>
      </c>
      <c r="BC120" s="854">
        <f t="shared" si="156"/>
        <v>0</v>
      </c>
      <c r="BD120" s="854">
        <f t="shared" si="157"/>
        <v>0</v>
      </c>
      <c r="BE120" s="854">
        <f t="shared" si="158"/>
        <v>0</v>
      </c>
      <c r="BF120" s="854">
        <f t="shared" si="159"/>
        <v>0</v>
      </c>
      <c r="BG120" s="854">
        <f t="shared" si="160"/>
        <v>-111182.17823353436</v>
      </c>
      <c r="BH120" s="854">
        <f t="shared" si="161"/>
        <v>0</v>
      </c>
      <c r="BI120" s="854">
        <f t="shared" si="162"/>
        <v>-1157631.5247115681</v>
      </c>
      <c r="BJ120" s="854">
        <f t="shared" si="135"/>
        <v>-1268813.7029451025</v>
      </c>
      <c r="BK120" s="58" t="str">
        <f t="shared" si="136"/>
        <v>OK</v>
      </c>
      <c r="BL120" s="856" t="str">
        <f t="shared" si="163"/>
        <v>Active Mode Corridor Drury Central to GSR TRA A28 0.610473829173856 2060 0.348159182804852</v>
      </c>
      <c r="BM120" s="153">
        <f t="shared" si="164"/>
        <v>2</v>
      </c>
      <c r="BN120" s="869">
        <f t="shared" si="137"/>
        <v>-1946508.5178384054</v>
      </c>
      <c r="BO120" s="870">
        <f>IFERROR(VLOOKUP(AF120,FA_Codes!D:H,5,FALSE),"CHECK")</f>
        <v>0</v>
      </c>
      <c r="BP120" s="870" t="str">
        <f t="shared" si="165"/>
        <v>TRA</v>
      </c>
      <c r="BQ120" s="869">
        <f t="shared" si="166"/>
        <v>0</v>
      </c>
      <c r="BR120" s="870" t="str">
        <f t="shared" si="167"/>
        <v>67 TRA A29</v>
      </c>
      <c r="BS120" s="870">
        <f t="shared" si="138"/>
        <v>67</v>
      </c>
      <c r="BT120" s="870" t="s">
        <v>6992</v>
      </c>
      <c r="BU120" s="870">
        <f t="shared" si="168"/>
        <v>2060</v>
      </c>
      <c r="BV120" s="153"/>
      <c r="BW120" s="153"/>
      <c r="BX120" s="153"/>
      <c r="BY120" s="153"/>
      <c r="BZ120" s="153"/>
      <c r="CA120" s="153"/>
      <c r="CB120" s="153"/>
      <c r="CC120" s="153"/>
      <c r="CD120" s="153"/>
      <c r="CE120" s="153"/>
      <c r="CF120" s="153"/>
    </row>
    <row r="121" spans="1:84" ht="26">
      <c r="A121" s="848"/>
      <c r="B121" s="848" t="s">
        <v>896</v>
      </c>
      <c r="C121" s="848"/>
      <c r="D121" s="848"/>
      <c r="E121" s="848" t="s">
        <v>6888</v>
      </c>
      <c r="F121" s="866" t="s">
        <v>6868</v>
      </c>
      <c r="G121" s="866" t="s">
        <v>6711</v>
      </c>
      <c r="H121" s="866"/>
      <c r="I121" s="866"/>
      <c r="J121" s="866"/>
      <c r="K121" s="866" t="s">
        <v>6889</v>
      </c>
      <c r="L121" s="866"/>
      <c r="M121" s="866"/>
      <c r="N121" s="866"/>
      <c r="O121" s="866"/>
      <c r="P121" s="866"/>
      <c r="Q121" s="897">
        <v>0.36349328388092461</v>
      </c>
      <c r="R121" s="848">
        <v>2060</v>
      </c>
      <c r="S121" s="850">
        <v>0</v>
      </c>
      <c r="T121" s="850">
        <v>0</v>
      </c>
      <c r="U121" s="850">
        <v>0</v>
      </c>
      <c r="V121" s="850">
        <v>0</v>
      </c>
      <c r="W121" s="850">
        <v>0</v>
      </c>
      <c r="X121" s="850">
        <v>0</v>
      </c>
      <c r="Y121" s="850">
        <v>0</v>
      </c>
      <c r="Z121" s="850">
        <v>0</v>
      </c>
      <c r="AA121" s="850">
        <v>121622.94887836183</v>
      </c>
      <c r="AB121" s="850">
        <v>1208335.0537382409</v>
      </c>
      <c r="AC121" s="898">
        <f t="shared" si="132"/>
        <v>1329958.0026166027</v>
      </c>
      <c r="AD121" s="848"/>
      <c r="AF121" s="58" t="str">
        <f>IFERROR(VLOOKUP(K121,FA_Codes!C:F,2,FALSE),"CHECK")</f>
        <v>TRA A29</v>
      </c>
      <c r="AG121" s="851">
        <f t="shared" si="139"/>
        <v>1329958.0026166027</v>
      </c>
      <c r="AH121" s="58" t="str">
        <f>IFERROR(VLOOKUP(AF121,FA_Codes!D:F,3,FALSE),"CHECK")</f>
        <v>Local</v>
      </c>
      <c r="AI121" s="857">
        <v>0.40600624024960996</v>
      </c>
      <c r="AJ121" s="853">
        <f t="shared" si="133"/>
        <v>0.59399375975039004</v>
      </c>
      <c r="AK121" s="854">
        <f t="shared" si="140"/>
        <v>846527.2008217785</v>
      </c>
      <c r="AL121" s="854">
        <f t="shared" si="141"/>
        <v>0</v>
      </c>
      <c r="AM121" s="854">
        <f t="shared" si="142"/>
        <v>0</v>
      </c>
      <c r="AN121" s="854">
        <f t="shared" si="143"/>
        <v>0</v>
      </c>
      <c r="AO121" s="854">
        <f t="shared" si="144"/>
        <v>0</v>
      </c>
      <c r="AP121" s="854">
        <f t="shared" si="145"/>
        <v>0</v>
      </c>
      <c r="AQ121" s="854">
        <f t="shared" si="146"/>
        <v>0</v>
      </c>
      <c r="AR121" s="854">
        <f t="shared" si="147"/>
        <v>0</v>
      </c>
      <c r="AS121" s="854">
        <f t="shared" si="148"/>
        <v>0</v>
      </c>
      <c r="AT121" s="854">
        <f t="shared" si="149"/>
        <v>17949.180659705045</v>
      </c>
      <c r="AU121" s="854">
        <f t="shared" si="150"/>
        <v>178326.74159786594</v>
      </c>
      <c r="AV121" s="854">
        <f t="shared" si="134"/>
        <v>196275.92225757099</v>
      </c>
      <c r="AW121" s="854">
        <f t="shared" si="151"/>
        <v>0</v>
      </c>
      <c r="AX121" s="855">
        <f t="shared" si="152"/>
        <v>0</v>
      </c>
      <c r="AZ121" s="854">
        <f t="shared" si="153"/>
        <v>0</v>
      </c>
      <c r="BA121" s="854">
        <f t="shared" si="154"/>
        <v>0</v>
      </c>
      <c r="BB121" s="854">
        <f t="shared" si="155"/>
        <v>0</v>
      </c>
      <c r="BC121" s="854">
        <f t="shared" si="156"/>
        <v>0</v>
      </c>
      <c r="BD121" s="854">
        <f t="shared" si="157"/>
        <v>0</v>
      </c>
      <c r="BE121" s="854">
        <f t="shared" si="158"/>
        <v>0</v>
      </c>
      <c r="BF121" s="854">
        <f t="shared" si="159"/>
        <v>0</v>
      </c>
      <c r="BG121" s="854">
        <f t="shared" si="160"/>
        <v>0</v>
      </c>
      <c r="BH121" s="854">
        <f t="shared" si="161"/>
        <v>26259.944423372515</v>
      </c>
      <c r="BI121" s="854">
        <f t="shared" si="162"/>
        <v>260894.93511388073</v>
      </c>
      <c r="BJ121" s="854">
        <f t="shared" si="135"/>
        <v>287154.87953725323</v>
      </c>
      <c r="BK121" s="58" t="str">
        <f t="shared" si="136"/>
        <v>OK</v>
      </c>
      <c r="BL121" s="878" t="str">
        <f t="shared" si="163"/>
        <v>GSR improvements - Waihoehoe Rd to Drury Interchange TRA A29 0.363493283880925 2060 0.40600624024961</v>
      </c>
      <c r="BM121" s="870">
        <f t="shared" si="164"/>
        <v>2</v>
      </c>
      <c r="BN121" s="869">
        <f t="shared" si="137"/>
        <v>483430.80179482419</v>
      </c>
      <c r="BO121" s="870">
        <f>IFERROR(VLOOKUP(AF121,FA_Codes!D:H,5,FALSE),"CHECK")</f>
        <v>0</v>
      </c>
      <c r="BP121" s="870" t="str">
        <f t="shared" si="165"/>
        <v>TRA</v>
      </c>
      <c r="BQ121" s="869">
        <f t="shared" si="166"/>
        <v>1329958.0026166027</v>
      </c>
      <c r="BR121" s="870" t="str">
        <f t="shared" si="167"/>
        <v>1b TRA A28</v>
      </c>
      <c r="BS121" s="870" t="str">
        <f t="shared" si="138"/>
        <v>1b</v>
      </c>
      <c r="BT121" s="870" t="s">
        <v>6992</v>
      </c>
      <c r="BU121" s="870">
        <f t="shared" si="168"/>
        <v>2060</v>
      </c>
      <c r="BV121" s="153"/>
      <c r="BW121" s="153"/>
      <c r="BX121" s="153"/>
      <c r="BY121" s="153"/>
      <c r="BZ121" s="153"/>
      <c r="CA121" s="153"/>
      <c r="CB121" s="153"/>
      <c r="CC121" s="153"/>
      <c r="CD121" s="153"/>
      <c r="CE121" s="153"/>
      <c r="CF121" s="153"/>
    </row>
    <row r="122" spans="1:84" ht="26">
      <c r="A122" s="848"/>
      <c r="B122" s="848" t="s">
        <v>896</v>
      </c>
      <c r="C122" s="848"/>
      <c r="D122" s="848"/>
      <c r="E122" s="848" t="s">
        <v>6804</v>
      </c>
      <c r="F122" s="866" t="s">
        <v>6708</v>
      </c>
      <c r="G122" s="866" t="s">
        <v>6709</v>
      </c>
      <c r="H122" s="866"/>
      <c r="I122" s="866"/>
      <c r="J122" s="866"/>
      <c r="K122" s="866" t="s">
        <v>6889</v>
      </c>
      <c r="L122" s="866"/>
      <c r="M122" s="866"/>
      <c r="N122" s="866"/>
      <c r="O122" s="866"/>
      <c r="P122" s="866"/>
      <c r="Q122" s="897">
        <v>0.36349328388092461</v>
      </c>
      <c r="R122" s="848">
        <v>2060</v>
      </c>
      <c r="S122" s="850">
        <v>0</v>
      </c>
      <c r="T122" s="850">
        <v>0</v>
      </c>
      <c r="U122" s="850">
        <v>0</v>
      </c>
      <c r="V122" s="850">
        <v>0</v>
      </c>
      <c r="W122" s="850">
        <v>0</v>
      </c>
      <c r="X122" s="850">
        <v>0</v>
      </c>
      <c r="Y122" s="850">
        <v>0</v>
      </c>
      <c r="Z122" s="850">
        <v>74005.092322726865</v>
      </c>
      <c r="AA122" s="850">
        <v>735247.31996195705</v>
      </c>
      <c r="AB122" s="850">
        <v>0</v>
      </c>
      <c r="AC122" s="898">
        <f t="shared" si="132"/>
        <v>809252.4122846839</v>
      </c>
      <c r="AD122" s="848"/>
      <c r="AF122" s="58" t="str">
        <f>IFERROR(VLOOKUP(K122,FA_Codes!C:F,2,FALSE),"CHECK")</f>
        <v>TRA A29</v>
      </c>
      <c r="AG122" s="851">
        <f t="shared" si="139"/>
        <v>809252.4122846839</v>
      </c>
      <c r="AH122" s="58" t="str">
        <f>IFERROR(VLOOKUP(AF122,FA_Codes!D:F,3,FALSE),"CHECK")</f>
        <v>Local</v>
      </c>
      <c r="AI122" s="857">
        <v>0.40600624024960996</v>
      </c>
      <c r="AJ122" s="853">
        <f t="shared" si="133"/>
        <v>0.59399375975039004</v>
      </c>
      <c r="AK122" s="854">
        <f t="shared" si="140"/>
        <v>515094.59545476426</v>
      </c>
      <c r="AL122" s="854">
        <f t="shared" si="141"/>
        <v>0</v>
      </c>
      <c r="AM122" s="854">
        <f t="shared" si="142"/>
        <v>0</v>
      </c>
      <c r="AN122" s="854">
        <f t="shared" si="143"/>
        <v>0</v>
      </c>
      <c r="AO122" s="854">
        <f t="shared" si="144"/>
        <v>0</v>
      </c>
      <c r="AP122" s="854">
        <f t="shared" si="145"/>
        <v>0</v>
      </c>
      <c r="AQ122" s="854">
        <f t="shared" si="146"/>
        <v>0</v>
      </c>
      <c r="AR122" s="854">
        <f t="shared" si="147"/>
        <v>0</v>
      </c>
      <c r="AS122" s="854">
        <f t="shared" si="148"/>
        <v>10921.711602037149</v>
      </c>
      <c r="AT122" s="854">
        <f t="shared" si="149"/>
        <v>108508.19764911199</v>
      </c>
      <c r="AU122" s="854">
        <f t="shared" si="150"/>
        <v>0</v>
      </c>
      <c r="AV122" s="854">
        <f t="shared" si="134"/>
        <v>119429.90925114913</v>
      </c>
      <c r="AW122" s="854">
        <f t="shared" si="151"/>
        <v>0</v>
      </c>
      <c r="AX122" s="855">
        <f t="shared" si="152"/>
        <v>0</v>
      </c>
      <c r="AZ122" s="854">
        <f t="shared" si="153"/>
        <v>0</v>
      </c>
      <c r="BA122" s="854">
        <f t="shared" si="154"/>
        <v>0</v>
      </c>
      <c r="BB122" s="854">
        <f t="shared" si="155"/>
        <v>0</v>
      </c>
      <c r="BC122" s="854">
        <f t="shared" si="156"/>
        <v>0</v>
      </c>
      <c r="BD122" s="854">
        <f t="shared" si="157"/>
        <v>0</v>
      </c>
      <c r="BE122" s="854">
        <f t="shared" si="158"/>
        <v>0</v>
      </c>
      <c r="BF122" s="854">
        <f t="shared" si="159"/>
        <v>0</v>
      </c>
      <c r="BG122" s="854">
        <f t="shared" si="160"/>
        <v>15978.642430261842</v>
      </c>
      <c r="BH122" s="854">
        <f t="shared" si="161"/>
        <v>158749.26514850871</v>
      </c>
      <c r="BI122" s="854">
        <f t="shared" si="162"/>
        <v>0</v>
      </c>
      <c r="BJ122" s="854">
        <f t="shared" si="135"/>
        <v>174727.90757877057</v>
      </c>
      <c r="BK122" s="58" t="str">
        <f t="shared" si="136"/>
        <v>OK</v>
      </c>
      <c r="BL122" s="878" t="str">
        <f t="shared" si="163"/>
        <v>GSR improvements - From Drury School to Waihoehoe Rd TRA A29 0.363493283880925 2060 0.40600624024961</v>
      </c>
      <c r="BM122" s="870">
        <f t="shared" si="164"/>
        <v>2</v>
      </c>
      <c r="BN122" s="869">
        <f t="shared" si="137"/>
        <v>294157.8168299197</v>
      </c>
      <c r="BO122" s="870">
        <f>IFERROR(VLOOKUP(AF122,FA_Codes!D:H,5,FALSE),"CHECK")</f>
        <v>0</v>
      </c>
      <c r="BP122" s="870" t="str">
        <f t="shared" si="165"/>
        <v>TRA</v>
      </c>
      <c r="BQ122" s="869">
        <f t="shared" si="166"/>
        <v>809252.4122846839</v>
      </c>
      <c r="BR122" s="870" t="str">
        <f t="shared" si="167"/>
        <v>2a TRA A28</v>
      </c>
      <c r="BS122" s="870" t="str">
        <f t="shared" si="138"/>
        <v>2a</v>
      </c>
      <c r="BT122" s="870" t="s">
        <v>6992</v>
      </c>
      <c r="BU122" s="870">
        <f t="shared" si="168"/>
        <v>2060</v>
      </c>
      <c r="BV122" s="153"/>
      <c r="BW122" s="153"/>
      <c r="BX122" s="153"/>
      <c r="BY122" s="153"/>
      <c r="BZ122" s="153"/>
      <c r="CA122" s="153"/>
      <c r="CB122" s="153"/>
      <c r="CC122" s="153"/>
      <c r="CD122" s="153"/>
      <c r="CE122" s="153"/>
      <c r="CF122" s="153"/>
    </row>
    <row r="123" spans="1:84" ht="39">
      <c r="A123" s="848"/>
      <c r="B123" s="848" t="s">
        <v>896</v>
      </c>
      <c r="C123" s="848"/>
      <c r="D123" s="848"/>
      <c r="E123" s="848" t="s">
        <v>6805</v>
      </c>
      <c r="F123" s="866" t="s">
        <v>6713</v>
      </c>
      <c r="G123" s="866" t="s">
        <v>6714</v>
      </c>
      <c r="H123" s="866"/>
      <c r="I123" s="866"/>
      <c r="J123" s="866"/>
      <c r="K123" s="866" t="s">
        <v>6889</v>
      </c>
      <c r="L123" s="866"/>
      <c r="M123" s="866"/>
      <c r="N123" s="866"/>
      <c r="O123" s="866"/>
      <c r="P123" s="866"/>
      <c r="Q123" s="897">
        <v>0.36349328388092461</v>
      </c>
      <c r="R123" s="848">
        <v>2060</v>
      </c>
      <c r="S123" s="850">
        <v>0</v>
      </c>
      <c r="T123" s="850">
        <v>0</v>
      </c>
      <c r="U123" s="850">
        <v>530.82486784621699</v>
      </c>
      <c r="V123" s="850">
        <v>0</v>
      </c>
      <c r="W123" s="850">
        <v>0</v>
      </c>
      <c r="X123" s="850">
        <v>56064.462883552667</v>
      </c>
      <c r="Y123" s="850">
        <v>16012.215389323395</v>
      </c>
      <c r="Z123" s="850">
        <v>174597.36647990462</v>
      </c>
      <c r="AA123" s="850">
        <v>0</v>
      </c>
      <c r="AB123" s="850">
        <v>0</v>
      </c>
      <c r="AC123" s="898">
        <f t="shared" si="132"/>
        <v>247204.86962062691</v>
      </c>
      <c r="AD123" s="848"/>
      <c r="AF123" s="58" t="str">
        <f>IFERROR(VLOOKUP(K123,FA_Codes!C:F,2,FALSE),"CHECK")</f>
        <v>TRA A29</v>
      </c>
      <c r="AG123" s="851">
        <f t="shared" si="139"/>
        <v>247204.86962062691</v>
      </c>
      <c r="AH123" s="58" t="str">
        <f>IFERROR(VLOOKUP(AF123,FA_Codes!D:F,3,FALSE),"CHECK")</f>
        <v>Local</v>
      </c>
      <c r="AI123" s="857">
        <v>0.40600624024960996</v>
      </c>
      <c r="AJ123" s="853">
        <f t="shared" si="133"/>
        <v>0.59399375975039004</v>
      </c>
      <c r="AK123" s="854">
        <f t="shared" si="140"/>
        <v>157347.55977086941</v>
      </c>
      <c r="AL123" s="854">
        <f t="shared" si="141"/>
        <v>0</v>
      </c>
      <c r="AM123" s="854">
        <f t="shared" si="142"/>
        <v>0</v>
      </c>
      <c r="AN123" s="854">
        <f t="shared" si="143"/>
        <v>78.339421462020866</v>
      </c>
      <c r="AO123" s="854">
        <f t="shared" si="144"/>
        <v>0</v>
      </c>
      <c r="AP123" s="854">
        <f t="shared" si="145"/>
        <v>0</v>
      </c>
      <c r="AQ123" s="854">
        <f t="shared" si="146"/>
        <v>8274.0237937550082</v>
      </c>
      <c r="AR123" s="854">
        <f t="shared" si="147"/>
        <v>2363.0914184831772</v>
      </c>
      <c r="AS123" s="854">
        <f t="shared" si="148"/>
        <v>25767.173897344077</v>
      </c>
      <c r="AT123" s="854">
        <f t="shared" si="149"/>
        <v>0</v>
      </c>
      <c r="AU123" s="854">
        <f t="shared" si="150"/>
        <v>0</v>
      </c>
      <c r="AV123" s="854">
        <f t="shared" si="134"/>
        <v>36482.628531044284</v>
      </c>
      <c r="AW123" s="854">
        <f t="shared" si="151"/>
        <v>0</v>
      </c>
      <c r="AX123" s="855">
        <f t="shared" si="152"/>
        <v>0</v>
      </c>
      <c r="AZ123" s="854">
        <f t="shared" si="153"/>
        <v>0</v>
      </c>
      <c r="BA123" s="854">
        <f t="shared" si="154"/>
        <v>0</v>
      </c>
      <c r="BB123" s="854">
        <f t="shared" si="155"/>
        <v>114.61185291705839</v>
      </c>
      <c r="BC123" s="854">
        <f t="shared" si="156"/>
        <v>0</v>
      </c>
      <c r="BD123" s="854">
        <f t="shared" si="157"/>
        <v>0</v>
      </c>
      <c r="BE123" s="854">
        <f t="shared" si="158"/>
        <v>12105.031928807763</v>
      </c>
      <c r="BF123" s="854">
        <f t="shared" si="159"/>
        <v>3457.2413355906619</v>
      </c>
      <c r="BG123" s="854">
        <f t="shared" si="160"/>
        <v>37697.796201397723</v>
      </c>
      <c r="BH123" s="854">
        <f t="shared" si="161"/>
        <v>0</v>
      </c>
      <c r="BI123" s="854">
        <f t="shared" si="162"/>
        <v>0</v>
      </c>
      <c r="BJ123" s="854">
        <f t="shared" si="135"/>
        <v>53374.681318713207</v>
      </c>
      <c r="BK123" s="58" t="str">
        <f t="shared" si="136"/>
        <v>OK</v>
      </c>
      <c r="BL123" s="878" t="str">
        <f t="shared" si="163"/>
        <v>Waihoehoe Rd East upgrades- from Fitzgerald Rd to before Cossey Rd (development boundary) TRA A29 0.363493283880925 2060 0.40600624024961</v>
      </c>
      <c r="BM123" s="870">
        <f t="shared" si="164"/>
        <v>2</v>
      </c>
      <c r="BN123" s="869">
        <f t="shared" si="137"/>
        <v>89857.309849757497</v>
      </c>
      <c r="BO123" s="870">
        <f>IFERROR(VLOOKUP(AF123,FA_Codes!D:H,5,FALSE),"CHECK")</f>
        <v>0</v>
      </c>
      <c r="BP123" s="870" t="str">
        <f t="shared" si="165"/>
        <v>TRA</v>
      </c>
      <c r="BQ123" s="869">
        <f t="shared" si="166"/>
        <v>247204.86962062691</v>
      </c>
      <c r="BR123" s="870" t="str">
        <f t="shared" si="167"/>
        <v>4b TRA A28</v>
      </c>
      <c r="BS123" s="870" t="str">
        <f t="shared" si="138"/>
        <v>4b</v>
      </c>
      <c r="BT123" s="870" t="s">
        <v>6992</v>
      </c>
      <c r="BU123" s="870">
        <f t="shared" si="168"/>
        <v>2060</v>
      </c>
      <c r="BV123" s="153"/>
      <c r="BW123" s="153"/>
      <c r="BX123" s="153"/>
      <c r="BY123" s="153"/>
      <c r="BZ123" s="153"/>
      <c r="CA123" s="153"/>
      <c r="CB123" s="153"/>
      <c r="CC123" s="153"/>
      <c r="CD123" s="153"/>
      <c r="CE123" s="153"/>
      <c r="CF123" s="153"/>
    </row>
    <row r="124" spans="1:84" ht="26">
      <c r="A124" s="848"/>
      <c r="B124" s="848" t="s">
        <v>896</v>
      </c>
      <c r="C124" s="848"/>
      <c r="D124" s="848"/>
      <c r="E124" s="848" t="s">
        <v>6860</v>
      </c>
      <c r="F124" s="866" t="s">
        <v>6718</v>
      </c>
      <c r="G124" s="866" t="s">
        <v>6838</v>
      </c>
      <c r="H124" s="866"/>
      <c r="I124" s="866"/>
      <c r="J124" s="866"/>
      <c r="K124" s="866" t="s">
        <v>6889</v>
      </c>
      <c r="L124" s="866"/>
      <c r="M124" s="866"/>
      <c r="N124" s="866"/>
      <c r="O124" s="866"/>
      <c r="P124" s="866"/>
      <c r="Q124" s="897">
        <v>0.36349328388092461</v>
      </c>
      <c r="R124" s="848">
        <v>2060</v>
      </c>
      <c r="S124" s="850">
        <v>0</v>
      </c>
      <c r="T124" s="850">
        <v>0</v>
      </c>
      <c r="U124" s="850">
        <v>0</v>
      </c>
      <c r="V124" s="850">
        <v>0</v>
      </c>
      <c r="W124" s="850">
        <v>0</v>
      </c>
      <c r="X124" s="850">
        <v>0</v>
      </c>
      <c r="Y124" s="850">
        <v>0</v>
      </c>
      <c r="Z124" s="850">
        <v>27761.700565469931</v>
      </c>
      <c r="AA124" s="850">
        <v>21581.748445626861</v>
      </c>
      <c r="AB124" s="850">
        <v>217914.81796830185</v>
      </c>
      <c r="AC124" s="898">
        <f t="shared" si="132"/>
        <v>267258.26697939867</v>
      </c>
      <c r="AD124" s="848"/>
      <c r="AF124" s="58" t="str">
        <f>IFERROR(VLOOKUP(K124,FA_Codes!C:F,2,FALSE),"CHECK")</f>
        <v>TRA A29</v>
      </c>
      <c r="AG124" s="851">
        <f t="shared" si="139"/>
        <v>267258.26697939867</v>
      </c>
      <c r="AH124" s="58" t="str">
        <f>IFERROR(VLOOKUP(AF124,FA_Codes!D:F,3,FALSE),"CHECK")</f>
        <v>Local</v>
      </c>
      <c r="AI124" s="857">
        <v>0.40600624024960996</v>
      </c>
      <c r="AJ124" s="853">
        <f t="shared" si="133"/>
        <v>0.59399375975039004</v>
      </c>
      <c r="AK124" s="854">
        <f t="shared" si="140"/>
        <v>170111.68187073217</v>
      </c>
      <c r="AL124" s="854">
        <f t="shared" si="141"/>
        <v>0</v>
      </c>
      <c r="AM124" s="854">
        <f t="shared" si="142"/>
        <v>0</v>
      </c>
      <c r="AN124" s="854">
        <f t="shared" si="143"/>
        <v>0</v>
      </c>
      <c r="AO124" s="854">
        <f t="shared" si="144"/>
        <v>0</v>
      </c>
      <c r="AP124" s="854">
        <f t="shared" si="145"/>
        <v>0</v>
      </c>
      <c r="AQ124" s="854">
        <f t="shared" si="146"/>
        <v>0</v>
      </c>
      <c r="AR124" s="854">
        <f t="shared" si="147"/>
        <v>0</v>
      </c>
      <c r="AS124" s="854">
        <f t="shared" si="148"/>
        <v>4097.0868036477032</v>
      </c>
      <c r="AT124" s="854">
        <f t="shared" si="149"/>
        <v>3185.0461230823162</v>
      </c>
      <c r="AU124" s="854">
        <f t="shared" si="150"/>
        <v>32159.986846328407</v>
      </c>
      <c r="AV124" s="854">
        <f t="shared" si="134"/>
        <v>39442.119773058424</v>
      </c>
      <c r="AW124" s="854">
        <f t="shared" si="151"/>
        <v>0</v>
      </c>
      <c r="AX124" s="855">
        <f t="shared" si="152"/>
        <v>0</v>
      </c>
      <c r="AZ124" s="854">
        <f t="shared" si="153"/>
        <v>0</v>
      </c>
      <c r="BA124" s="854">
        <f t="shared" si="154"/>
        <v>0</v>
      </c>
      <c r="BB124" s="854">
        <f t="shared" si="155"/>
        <v>0</v>
      </c>
      <c r="BC124" s="854">
        <f t="shared" si="156"/>
        <v>0</v>
      </c>
      <c r="BD124" s="854">
        <f t="shared" si="157"/>
        <v>0</v>
      </c>
      <c r="BE124" s="854">
        <f t="shared" si="158"/>
        <v>0</v>
      </c>
      <c r="BF124" s="854">
        <f t="shared" si="159"/>
        <v>0</v>
      </c>
      <c r="BG124" s="854">
        <f t="shared" si="160"/>
        <v>5994.104901013884</v>
      </c>
      <c r="BH124" s="854">
        <f t="shared" si="161"/>
        <v>4659.7744913106317</v>
      </c>
      <c r="BI124" s="854">
        <f t="shared" si="162"/>
        <v>47050.585943283542</v>
      </c>
      <c r="BJ124" s="854">
        <f t="shared" si="135"/>
        <v>57704.46533560806</v>
      </c>
      <c r="BK124" s="58" t="str">
        <f t="shared" si="136"/>
        <v>OK</v>
      </c>
      <c r="BL124" s="878" t="str">
        <f t="shared" si="163"/>
        <v>New intersection on Waihoehoe Rd/Fitzgerald Rd( including approach cross-sections) TRA A29 0.363493283880925 2060 0.40600624024961</v>
      </c>
      <c r="BM124" s="870">
        <f t="shared" si="164"/>
        <v>2</v>
      </c>
      <c r="BN124" s="869">
        <f t="shared" si="137"/>
        <v>97146.585108666477</v>
      </c>
      <c r="BO124" s="870">
        <f>IFERROR(VLOOKUP(AF124,FA_Codes!D:H,5,FALSE),"CHECK")</f>
        <v>0</v>
      </c>
      <c r="BP124" s="870" t="str">
        <f t="shared" si="165"/>
        <v>TRA</v>
      </c>
      <c r="BQ124" s="869">
        <f t="shared" si="166"/>
        <v>267258.26697939867</v>
      </c>
      <c r="BR124" s="870" t="str">
        <f t="shared" si="167"/>
        <v>10b TRA A28</v>
      </c>
      <c r="BS124" s="870" t="str">
        <f t="shared" si="138"/>
        <v>10b</v>
      </c>
      <c r="BT124" s="870" t="s">
        <v>6992</v>
      </c>
      <c r="BU124" s="870">
        <f t="shared" si="168"/>
        <v>2060</v>
      </c>
      <c r="BV124" s="153"/>
      <c r="BW124" s="153"/>
      <c r="BX124" s="153"/>
      <c r="BY124" s="153"/>
      <c r="BZ124" s="153"/>
      <c r="CA124" s="153"/>
      <c r="CB124" s="153"/>
      <c r="CC124" s="153"/>
      <c r="CD124" s="153"/>
      <c r="CE124" s="153"/>
      <c r="CF124" s="153"/>
    </row>
    <row r="125" spans="1:84" ht="26">
      <c r="A125" s="848"/>
      <c r="B125" s="848" t="s">
        <v>896</v>
      </c>
      <c r="C125" s="848"/>
      <c r="D125" s="848"/>
      <c r="E125" s="848" t="s">
        <v>6806</v>
      </c>
      <c r="F125" s="866" t="s">
        <v>6720</v>
      </c>
      <c r="G125" s="866" t="s">
        <v>6721</v>
      </c>
      <c r="H125" s="866"/>
      <c r="I125" s="866"/>
      <c r="J125" s="866"/>
      <c r="K125" s="866" t="s">
        <v>6889</v>
      </c>
      <c r="L125" s="866"/>
      <c r="M125" s="866"/>
      <c r="N125" s="866"/>
      <c r="O125" s="866"/>
      <c r="P125" s="866"/>
      <c r="Q125" s="897">
        <v>0.36349328388092461</v>
      </c>
      <c r="R125" s="848">
        <v>2060</v>
      </c>
      <c r="S125" s="850">
        <v>0</v>
      </c>
      <c r="T125" s="850">
        <v>0</v>
      </c>
      <c r="U125" s="850">
        <v>0</v>
      </c>
      <c r="V125" s="850">
        <v>0</v>
      </c>
      <c r="W125" s="850">
        <v>0</v>
      </c>
      <c r="X125" s="850">
        <v>2119.3182742965191</v>
      </c>
      <c r="Y125" s="850">
        <v>0</v>
      </c>
      <c r="Z125" s="850">
        <v>4224.0147612673072</v>
      </c>
      <c r="AA125" s="850">
        <v>2158.1748445626863</v>
      </c>
      <c r="AB125" s="850">
        <v>21441.663278443433</v>
      </c>
      <c r="AC125" s="898">
        <f t="shared" si="132"/>
        <v>29943.171158569945</v>
      </c>
      <c r="AD125" s="848"/>
      <c r="AF125" s="58" t="str">
        <f>IFERROR(VLOOKUP(K125,FA_Codes!C:F,2,FALSE),"CHECK")</f>
        <v>TRA A29</v>
      </c>
      <c r="AG125" s="851">
        <f t="shared" si="139"/>
        <v>29943.171158569945</v>
      </c>
      <c r="AH125" s="58" t="str">
        <f>IFERROR(VLOOKUP(AF125,FA_Codes!D:F,3,FALSE),"CHECK")</f>
        <v>Local</v>
      </c>
      <c r="AI125" s="857">
        <v>0.40600624024960996</v>
      </c>
      <c r="AJ125" s="853">
        <f t="shared" si="133"/>
        <v>0.59399375975039004</v>
      </c>
      <c r="AK125" s="854">
        <f t="shared" si="140"/>
        <v>19059.029544332767</v>
      </c>
      <c r="AL125" s="854">
        <f t="shared" si="141"/>
        <v>0</v>
      </c>
      <c r="AM125" s="854">
        <f t="shared" si="142"/>
        <v>0</v>
      </c>
      <c r="AN125" s="854">
        <f t="shared" si="143"/>
        <v>0</v>
      </c>
      <c r="AO125" s="854">
        <f t="shared" si="144"/>
        <v>0</v>
      </c>
      <c r="AP125" s="854">
        <f t="shared" si="145"/>
        <v>0</v>
      </c>
      <c r="AQ125" s="854">
        <f t="shared" si="146"/>
        <v>312.77013862578963</v>
      </c>
      <c r="AR125" s="854">
        <f t="shared" si="147"/>
        <v>0</v>
      </c>
      <c r="AS125" s="854">
        <f t="shared" si="148"/>
        <v>623.3823859596996</v>
      </c>
      <c r="AT125" s="854">
        <f t="shared" si="149"/>
        <v>318.50461230823163</v>
      </c>
      <c r="AU125" s="854">
        <f t="shared" si="150"/>
        <v>3164.3722782470372</v>
      </c>
      <c r="AV125" s="854">
        <f t="shared" si="134"/>
        <v>4419.0294151407579</v>
      </c>
      <c r="AW125" s="854">
        <f t="shared" si="151"/>
        <v>0</v>
      </c>
      <c r="AX125" s="855">
        <f t="shared" si="152"/>
        <v>0</v>
      </c>
      <c r="AZ125" s="854">
        <f t="shared" si="153"/>
        <v>0</v>
      </c>
      <c r="BA125" s="854">
        <f t="shared" si="154"/>
        <v>0</v>
      </c>
      <c r="BB125" s="854">
        <f t="shared" si="155"/>
        <v>0</v>
      </c>
      <c r="BC125" s="854">
        <f t="shared" si="156"/>
        <v>0</v>
      </c>
      <c r="BD125" s="854">
        <f t="shared" si="157"/>
        <v>0</v>
      </c>
      <c r="BE125" s="854">
        <f t="shared" si="158"/>
        <v>457.58782048710623</v>
      </c>
      <c r="BF125" s="854">
        <f t="shared" si="159"/>
        <v>0</v>
      </c>
      <c r="BG125" s="854">
        <f t="shared" si="160"/>
        <v>912.01861077485364</v>
      </c>
      <c r="BH125" s="854">
        <f t="shared" si="161"/>
        <v>465.97744913106322</v>
      </c>
      <c r="BI125" s="854">
        <f t="shared" si="162"/>
        <v>4629.5283187033992</v>
      </c>
      <c r="BJ125" s="854">
        <f t="shared" si="135"/>
        <v>6465.112199096422</v>
      </c>
      <c r="BK125" s="58" t="str">
        <f t="shared" si="136"/>
        <v>OK</v>
      </c>
      <c r="BL125" s="878" t="str">
        <f t="shared" si="163"/>
        <v>Intersection upgrade Waihoehoe Rd/Fielding Rd/Appleby Rd TRA A29 0.363493283880925 2060 0.40600624024961</v>
      </c>
      <c r="BM125" s="870">
        <f t="shared" si="164"/>
        <v>2</v>
      </c>
      <c r="BN125" s="869">
        <f t="shared" si="137"/>
        <v>10884.14161423718</v>
      </c>
      <c r="BO125" s="870">
        <f>IFERROR(VLOOKUP(AF125,FA_Codes!D:H,5,FALSE),"CHECK")</f>
        <v>0</v>
      </c>
      <c r="BP125" s="870" t="str">
        <f t="shared" si="165"/>
        <v>TRA</v>
      </c>
      <c r="BQ125" s="869">
        <f t="shared" si="166"/>
        <v>29943.171158569945</v>
      </c>
      <c r="BR125" s="870" t="str">
        <f t="shared" si="167"/>
        <v>11 TRA A28</v>
      </c>
      <c r="BS125" s="870">
        <f t="shared" si="138"/>
        <v>11</v>
      </c>
      <c r="BT125" s="870" t="s">
        <v>6992</v>
      </c>
      <c r="BU125" s="870">
        <f t="shared" si="168"/>
        <v>2060</v>
      </c>
      <c r="BV125" s="153"/>
      <c r="BW125" s="153"/>
      <c r="BX125" s="153"/>
      <c r="BY125" s="153"/>
      <c r="BZ125" s="153"/>
      <c r="CA125" s="153"/>
      <c r="CB125" s="153"/>
      <c r="CC125" s="153"/>
      <c r="CD125" s="153"/>
      <c r="CE125" s="153"/>
      <c r="CF125" s="153"/>
    </row>
    <row r="126" spans="1:84" ht="26">
      <c r="A126" s="848"/>
      <c r="B126" s="848" t="s">
        <v>896</v>
      </c>
      <c r="C126" s="848"/>
      <c r="D126" s="848"/>
      <c r="E126" s="848" t="s">
        <v>6807</v>
      </c>
      <c r="F126" s="866" t="s">
        <v>7000</v>
      </c>
      <c r="G126" s="866" t="s">
        <v>6723</v>
      </c>
      <c r="H126" s="866"/>
      <c r="I126" s="866"/>
      <c r="J126" s="866"/>
      <c r="K126" s="866" t="s">
        <v>6889</v>
      </c>
      <c r="L126" s="866"/>
      <c r="M126" s="866"/>
      <c r="N126" s="866"/>
      <c r="O126" s="866"/>
      <c r="P126" s="866"/>
      <c r="Q126" s="897">
        <v>0.36349328388092461</v>
      </c>
      <c r="R126" s="848">
        <v>2060</v>
      </c>
      <c r="S126" s="850">
        <v>0</v>
      </c>
      <c r="T126" s="850">
        <v>0</v>
      </c>
      <c r="U126" s="850">
        <v>7536.2355121770033</v>
      </c>
      <c r="V126" s="850">
        <v>0</v>
      </c>
      <c r="W126" s="850">
        <v>0</v>
      </c>
      <c r="X126" s="850">
        <v>28036.205971966621</v>
      </c>
      <c r="Y126" s="850">
        <v>0</v>
      </c>
      <c r="Z126" s="850">
        <v>0</v>
      </c>
      <c r="AA126" s="850">
        <v>0</v>
      </c>
      <c r="AB126" s="850">
        <v>0</v>
      </c>
      <c r="AC126" s="898">
        <f t="shared" si="132"/>
        <v>35572.441484143623</v>
      </c>
      <c r="AD126" s="848"/>
      <c r="AF126" s="58" t="str">
        <f>IFERROR(VLOOKUP(K126,FA_Codes!C:F,2,FALSE),"CHECK")</f>
        <v>TRA A29</v>
      </c>
      <c r="AG126" s="851">
        <f t="shared" si="139"/>
        <v>35572.441484143623</v>
      </c>
      <c r="AH126" s="58" t="str">
        <f>IFERROR(VLOOKUP(AF126,FA_Codes!D:F,3,FALSE),"CHECK")</f>
        <v>Local</v>
      </c>
      <c r="AI126" s="857">
        <v>0.40600624024960996</v>
      </c>
      <c r="AJ126" s="853">
        <f t="shared" si="133"/>
        <v>0.59399375975039004</v>
      </c>
      <c r="AK126" s="854">
        <f t="shared" si="140"/>
        <v>22642.097913410227</v>
      </c>
      <c r="AL126" s="854">
        <f t="shared" si="141"/>
        <v>0</v>
      </c>
      <c r="AM126" s="854">
        <f t="shared" si="142"/>
        <v>0</v>
      </c>
      <c r="AN126" s="854">
        <f t="shared" si="143"/>
        <v>1112.2017180938112</v>
      </c>
      <c r="AO126" s="854">
        <f t="shared" si="144"/>
        <v>0</v>
      </c>
      <c r="AP126" s="854">
        <f t="shared" si="145"/>
        <v>0</v>
      </c>
      <c r="AQ126" s="854">
        <f t="shared" si="146"/>
        <v>4137.5984601953724</v>
      </c>
      <c r="AR126" s="854">
        <f t="shared" si="147"/>
        <v>0</v>
      </c>
      <c r="AS126" s="854">
        <f t="shared" si="148"/>
        <v>0</v>
      </c>
      <c r="AT126" s="854">
        <f t="shared" si="149"/>
        <v>0</v>
      </c>
      <c r="AU126" s="854">
        <f t="shared" si="150"/>
        <v>0</v>
      </c>
      <c r="AV126" s="854">
        <f t="shared" si="134"/>
        <v>5249.8001782891833</v>
      </c>
      <c r="AW126" s="854">
        <f t="shared" si="151"/>
        <v>0</v>
      </c>
      <c r="AX126" s="855">
        <f t="shared" si="152"/>
        <v>0</v>
      </c>
      <c r="AZ126" s="854">
        <f t="shared" si="153"/>
        <v>0</v>
      </c>
      <c r="BA126" s="854">
        <f t="shared" si="154"/>
        <v>0</v>
      </c>
      <c r="BB126" s="854">
        <f t="shared" si="155"/>
        <v>1627.1692763274493</v>
      </c>
      <c r="BC126" s="854">
        <f t="shared" si="156"/>
        <v>0</v>
      </c>
      <c r="BD126" s="854">
        <f t="shared" si="157"/>
        <v>0</v>
      </c>
      <c r="BE126" s="854">
        <f t="shared" si="158"/>
        <v>6053.3741161167645</v>
      </c>
      <c r="BF126" s="854">
        <f t="shared" si="159"/>
        <v>0</v>
      </c>
      <c r="BG126" s="854">
        <f t="shared" si="160"/>
        <v>0</v>
      </c>
      <c r="BH126" s="854">
        <f t="shared" si="161"/>
        <v>0</v>
      </c>
      <c r="BI126" s="854">
        <f t="shared" si="162"/>
        <v>0</v>
      </c>
      <c r="BJ126" s="854">
        <f t="shared" si="135"/>
        <v>7680.5433924442141</v>
      </c>
      <c r="BK126" s="58" t="str">
        <f t="shared" si="136"/>
        <v>OK</v>
      </c>
      <c r="BL126" s="878" t="str">
        <f t="shared" si="163"/>
        <v>N-S Opaheke Arterial across development (up to Waihoehoe Stream) TRA A29 0.363493283880925 2060 0.40600624024961</v>
      </c>
      <c r="BM126" s="870">
        <f t="shared" si="164"/>
        <v>2</v>
      </c>
      <c r="BN126" s="869">
        <f t="shared" si="137"/>
        <v>12930.343570733397</v>
      </c>
      <c r="BO126" s="870">
        <f>IFERROR(VLOOKUP(AF126,FA_Codes!D:H,5,FALSE),"CHECK")</f>
        <v>0</v>
      </c>
      <c r="BP126" s="870" t="str">
        <f t="shared" si="165"/>
        <v>TRA</v>
      </c>
      <c r="BQ126" s="869">
        <f t="shared" si="166"/>
        <v>35572.441484143623</v>
      </c>
      <c r="BR126" s="870" t="str">
        <f t="shared" si="167"/>
        <v>13a TRA A28</v>
      </c>
      <c r="BS126" s="870" t="str">
        <f t="shared" si="138"/>
        <v>13a</v>
      </c>
      <c r="BT126" s="870" t="s">
        <v>6992</v>
      </c>
      <c r="BU126" s="870">
        <f t="shared" si="168"/>
        <v>2060</v>
      </c>
      <c r="BV126" s="153"/>
      <c r="BW126" s="153"/>
      <c r="BX126" s="153"/>
      <c r="BY126" s="153"/>
      <c r="BZ126" s="153"/>
      <c r="CA126" s="153"/>
      <c r="CB126" s="153"/>
      <c r="CC126" s="153"/>
      <c r="CD126" s="153"/>
      <c r="CE126" s="153"/>
      <c r="CF126" s="153"/>
    </row>
    <row r="127" spans="1:84" ht="39">
      <c r="A127" s="848"/>
      <c r="B127" s="848" t="s">
        <v>896</v>
      </c>
      <c r="C127" s="848"/>
      <c r="D127" s="848"/>
      <c r="E127" s="848" t="s">
        <v>6808</v>
      </c>
      <c r="F127" s="866" t="s">
        <v>6725</v>
      </c>
      <c r="G127" s="866" t="s">
        <v>6726</v>
      </c>
      <c r="H127" s="866"/>
      <c r="I127" s="866"/>
      <c r="J127" s="866"/>
      <c r="K127" s="866" t="s">
        <v>6889</v>
      </c>
      <c r="L127" s="866"/>
      <c r="M127" s="866"/>
      <c r="N127" s="866"/>
      <c r="O127" s="866"/>
      <c r="P127" s="866"/>
      <c r="Q127" s="897">
        <v>0.36349328388092461</v>
      </c>
      <c r="R127" s="848">
        <v>2060</v>
      </c>
      <c r="S127" s="850">
        <v>0</v>
      </c>
      <c r="T127" s="850">
        <v>69581.758443600018</v>
      </c>
      <c r="U127" s="850">
        <v>0</v>
      </c>
      <c r="V127" s="850">
        <v>0</v>
      </c>
      <c r="W127" s="850">
        <v>0</v>
      </c>
      <c r="X127" s="850">
        <v>0</v>
      </c>
      <c r="Y127" s="850">
        <v>0</v>
      </c>
      <c r="Z127" s="850">
        <v>684901.46881222003</v>
      </c>
      <c r="AA127" s="850">
        <v>202654.11316867091</v>
      </c>
      <c r="AB127" s="850">
        <v>2028757.5614995123</v>
      </c>
      <c r="AC127" s="898">
        <f t="shared" si="132"/>
        <v>2985894.9019240034</v>
      </c>
      <c r="AD127" s="848"/>
      <c r="AF127" s="58" t="str">
        <f>IFERROR(VLOOKUP(K127,FA_Codes!C:F,2,FALSE),"CHECK")</f>
        <v>TRA A29</v>
      </c>
      <c r="AG127" s="851">
        <f t="shared" si="139"/>
        <v>2985894.9019240034</v>
      </c>
      <c r="AH127" s="58" t="str">
        <f>IFERROR(VLOOKUP(AF127,FA_Codes!D:F,3,FALSE),"CHECK")</f>
        <v>Local</v>
      </c>
      <c r="AI127" s="857">
        <v>0.40600624024960996</v>
      </c>
      <c r="AJ127" s="853">
        <f t="shared" si="133"/>
        <v>0.59399375975039004</v>
      </c>
      <c r="AK127" s="854">
        <f t="shared" si="140"/>
        <v>1900542.158700336</v>
      </c>
      <c r="AL127" s="854">
        <f t="shared" si="141"/>
        <v>0</v>
      </c>
      <c r="AM127" s="854">
        <f t="shared" si="142"/>
        <v>10268.913592723571</v>
      </c>
      <c r="AN127" s="854">
        <f t="shared" si="143"/>
        <v>0</v>
      </c>
      <c r="AO127" s="854">
        <f t="shared" si="144"/>
        <v>0</v>
      </c>
      <c r="AP127" s="854">
        <f t="shared" si="145"/>
        <v>0</v>
      </c>
      <c r="AQ127" s="854">
        <f t="shared" si="146"/>
        <v>0</v>
      </c>
      <c r="AR127" s="854">
        <f t="shared" si="147"/>
        <v>0</v>
      </c>
      <c r="AS127" s="854">
        <f t="shared" si="148"/>
        <v>101078.12967191607</v>
      </c>
      <c r="AT127" s="854">
        <f t="shared" si="149"/>
        <v>29907.803767648456</v>
      </c>
      <c r="AU127" s="854">
        <f t="shared" si="150"/>
        <v>299405.13958855334</v>
      </c>
      <c r="AV127" s="854">
        <f t="shared" si="134"/>
        <v>440659.98662084143</v>
      </c>
      <c r="AW127" s="854">
        <f t="shared" si="151"/>
        <v>0</v>
      </c>
      <c r="AX127" s="855">
        <f t="shared" si="152"/>
        <v>0</v>
      </c>
      <c r="AZ127" s="854">
        <f t="shared" si="153"/>
        <v>0</v>
      </c>
      <c r="BA127" s="854">
        <f t="shared" si="154"/>
        <v>15023.588282149854</v>
      </c>
      <c r="BB127" s="854">
        <f t="shared" si="155"/>
        <v>0</v>
      </c>
      <c r="BC127" s="854">
        <f t="shared" si="156"/>
        <v>0</v>
      </c>
      <c r="BD127" s="854">
        <f t="shared" si="157"/>
        <v>0</v>
      </c>
      <c r="BE127" s="854">
        <f t="shared" si="158"/>
        <v>0</v>
      </c>
      <c r="BF127" s="854">
        <f t="shared" si="159"/>
        <v>0</v>
      </c>
      <c r="BG127" s="854">
        <f t="shared" si="160"/>
        <v>147878.95436150645</v>
      </c>
      <c r="BH127" s="854">
        <f t="shared" si="161"/>
        <v>43755.605320008268</v>
      </c>
      <c r="BI127" s="854">
        <f t="shared" si="162"/>
        <v>438034.60863916122</v>
      </c>
      <c r="BJ127" s="854">
        <f t="shared" si="135"/>
        <v>644692.75660282583</v>
      </c>
      <c r="BK127" s="58" t="str">
        <f t="shared" si="136"/>
        <v>OK</v>
      </c>
      <c r="BL127" s="878" t="str">
        <f t="shared" si="163"/>
        <v>Waihoehoe Rd West upgrades- between GSR &amp; Kath Henry Lane TRA A29 0.363493283880925 2060 0.40600624024961</v>
      </c>
      <c r="BM127" s="870">
        <f t="shared" si="164"/>
        <v>2</v>
      </c>
      <c r="BN127" s="869">
        <f t="shared" si="137"/>
        <v>1085352.7432236671</v>
      </c>
      <c r="BO127" s="870">
        <f>IFERROR(VLOOKUP(AF127,FA_Codes!D:H,5,FALSE),"CHECK")</f>
        <v>0</v>
      </c>
      <c r="BP127" s="870" t="str">
        <f t="shared" si="165"/>
        <v>TRA</v>
      </c>
      <c r="BQ127" s="869">
        <f t="shared" si="166"/>
        <v>2985894.9019240034</v>
      </c>
      <c r="BR127" s="870" t="str">
        <f t="shared" si="167"/>
        <v>23b TRA A28</v>
      </c>
      <c r="BS127" s="870" t="str">
        <f t="shared" si="138"/>
        <v>23b</v>
      </c>
      <c r="BT127" s="870" t="s">
        <v>6992</v>
      </c>
      <c r="BU127" s="870">
        <f t="shared" si="168"/>
        <v>2060</v>
      </c>
      <c r="BV127" s="153"/>
      <c r="BW127" s="153"/>
      <c r="BX127" s="153"/>
      <c r="BY127" s="153"/>
      <c r="BZ127" s="153"/>
      <c r="CA127" s="153"/>
      <c r="CB127" s="153"/>
      <c r="CC127" s="153"/>
      <c r="CD127" s="153"/>
      <c r="CE127" s="153"/>
      <c r="CF127" s="153"/>
    </row>
    <row r="128" spans="1:84" ht="39">
      <c r="A128" s="848"/>
      <c r="B128" s="848" t="s">
        <v>896</v>
      </c>
      <c r="C128" s="848"/>
      <c r="D128" s="848"/>
      <c r="E128" s="848" t="s">
        <v>6809</v>
      </c>
      <c r="F128" s="866" t="s">
        <v>6727</v>
      </c>
      <c r="G128" s="866" t="s">
        <v>6726</v>
      </c>
      <c r="H128" s="866"/>
      <c r="I128" s="866"/>
      <c r="J128" s="866"/>
      <c r="K128" s="866" t="s">
        <v>6889</v>
      </c>
      <c r="L128" s="866"/>
      <c r="M128" s="866"/>
      <c r="N128" s="866"/>
      <c r="O128" s="866"/>
      <c r="P128" s="866"/>
      <c r="Q128" s="897">
        <v>0.36349328388092461</v>
      </c>
      <c r="R128" s="848">
        <v>2060</v>
      </c>
      <c r="S128" s="850">
        <v>0</v>
      </c>
      <c r="T128" s="850">
        <v>0</v>
      </c>
      <c r="U128" s="850">
        <v>0</v>
      </c>
      <c r="V128" s="850">
        <v>0</v>
      </c>
      <c r="W128" s="850">
        <v>0</v>
      </c>
      <c r="X128" s="850">
        <v>2264.7378218015947</v>
      </c>
      <c r="Y128" s="850">
        <v>0</v>
      </c>
      <c r="Z128" s="850">
        <v>118686.71924061079</v>
      </c>
      <c r="AA128" s="850">
        <v>38506.535415460108</v>
      </c>
      <c r="AB128" s="850">
        <v>402285.95058846596</v>
      </c>
      <c r="AC128" s="898">
        <f t="shared" si="132"/>
        <v>561743.94306633843</v>
      </c>
      <c r="AD128" s="848"/>
      <c r="AF128" s="58" t="str">
        <f>IFERROR(VLOOKUP(K128,FA_Codes!C:F,2,FALSE),"CHECK")</f>
        <v>TRA A29</v>
      </c>
      <c r="AG128" s="851">
        <f t="shared" si="139"/>
        <v>561743.94306633843</v>
      </c>
      <c r="AH128" s="58" t="str">
        <f>IFERROR(VLOOKUP(AF128,FA_Codes!D:F,3,FALSE),"CHECK")</f>
        <v>Local</v>
      </c>
      <c r="AI128" s="857">
        <v>0.40600624024960996</v>
      </c>
      <c r="AJ128" s="853">
        <f t="shared" si="133"/>
        <v>0.59399375975039004</v>
      </c>
      <c r="AK128" s="854">
        <f t="shared" si="140"/>
        <v>357553.7925009359</v>
      </c>
      <c r="AL128" s="854">
        <f t="shared" si="141"/>
        <v>0</v>
      </c>
      <c r="AM128" s="854">
        <f t="shared" si="142"/>
        <v>0</v>
      </c>
      <c r="AN128" s="854">
        <f t="shared" si="143"/>
        <v>0</v>
      </c>
      <c r="AO128" s="854">
        <f t="shared" si="144"/>
        <v>0</v>
      </c>
      <c r="AP128" s="854">
        <f t="shared" si="145"/>
        <v>0</v>
      </c>
      <c r="AQ128" s="854">
        <f t="shared" si="146"/>
        <v>334.23123419774163</v>
      </c>
      <c r="AR128" s="854">
        <f t="shared" si="147"/>
        <v>0</v>
      </c>
      <c r="AS128" s="854">
        <f t="shared" si="148"/>
        <v>17515.850299666799</v>
      </c>
      <c r="AT128" s="854">
        <f t="shared" si="149"/>
        <v>5682.8153496152372</v>
      </c>
      <c r="AU128" s="854">
        <f t="shared" si="150"/>
        <v>59369.578443581071</v>
      </c>
      <c r="AV128" s="854">
        <f t="shared" si="134"/>
        <v>82902.475327060849</v>
      </c>
      <c r="AW128" s="854">
        <f t="shared" si="151"/>
        <v>0</v>
      </c>
      <c r="AX128" s="855">
        <f t="shared" si="152"/>
        <v>0</v>
      </c>
      <c r="AZ128" s="854">
        <f t="shared" si="153"/>
        <v>0</v>
      </c>
      <c r="BA128" s="854">
        <f t="shared" si="154"/>
        <v>0</v>
      </c>
      <c r="BB128" s="854">
        <f t="shared" si="155"/>
        <v>0</v>
      </c>
      <c r="BC128" s="854">
        <f t="shared" si="156"/>
        <v>0</v>
      </c>
      <c r="BD128" s="854">
        <f t="shared" si="157"/>
        <v>0</v>
      </c>
      <c r="BE128" s="854">
        <f t="shared" si="158"/>
        <v>488.98575377825227</v>
      </c>
      <c r="BF128" s="854">
        <f t="shared" si="159"/>
        <v>0</v>
      </c>
      <c r="BG128" s="854">
        <f t="shared" si="160"/>
        <v>25625.97503015614</v>
      </c>
      <c r="BH128" s="854">
        <f t="shared" si="161"/>
        <v>8314.0516594274814</v>
      </c>
      <c r="BI128" s="854">
        <f t="shared" si="162"/>
        <v>86858.662794979813</v>
      </c>
      <c r="BJ128" s="854">
        <f t="shared" si="135"/>
        <v>121287.67523834169</v>
      </c>
      <c r="BK128" s="58" t="str">
        <f t="shared" si="136"/>
        <v>OK</v>
      </c>
      <c r="BL128" s="878" t="str">
        <f t="shared" si="163"/>
        <v>Waihoehoe Rd West upgrades- between Kath Henry Lane and Fitzgerald Rd TRA A29 0.363493283880925 2060 0.40600624024961</v>
      </c>
      <c r="BM128" s="870">
        <f t="shared" si="164"/>
        <v>2</v>
      </c>
      <c r="BN128" s="869">
        <f t="shared" si="137"/>
        <v>204190.15056540252</v>
      </c>
      <c r="BO128" s="870">
        <f>IFERROR(VLOOKUP(AF128,FA_Codes!D:H,5,FALSE),"CHECK")</f>
        <v>0</v>
      </c>
      <c r="BP128" s="870" t="str">
        <f t="shared" si="165"/>
        <v>TRA</v>
      </c>
      <c r="BQ128" s="869">
        <f t="shared" si="166"/>
        <v>561743.94306633843</v>
      </c>
      <c r="BR128" s="870" t="str">
        <f t="shared" si="167"/>
        <v>23d TRA A28</v>
      </c>
      <c r="BS128" s="870" t="str">
        <f t="shared" si="138"/>
        <v>23d</v>
      </c>
      <c r="BT128" s="870" t="s">
        <v>6992</v>
      </c>
      <c r="BU128" s="870">
        <f t="shared" si="168"/>
        <v>2060</v>
      </c>
      <c r="BV128" s="153"/>
      <c r="BW128" s="153"/>
      <c r="BX128" s="153"/>
      <c r="BY128" s="153"/>
      <c r="BZ128" s="153"/>
      <c r="CA128" s="153"/>
      <c r="CB128" s="153"/>
      <c r="CC128" s="153"/>
      <c r="CD128" s="153"/>
      <c r="CE128" s="153"/>
      <c r="CF128" s="153"/>
    </row>
    <row r="129" spans="1:84" ht="26">
      <c r="A129" s="848"/>
      <c r="B129" s="848" t="s">
        <v>896</v>
      </c>
      <c r="C129" s="848"/>
      <c r="D129" s="848"/>
      <c r="E129" s="848" t="s">
        <v>6810</v>
      </c>
      <c r="F129" s="866" t="s">
        <v>6730</v>
      </c>
      <c r="G129" s="866" t="s">
        <v>6731</v>
      </c>
      <c r="H129" s="866"/>
      <c r="I129" s="866"/>
      <c r="J129" s="866"/>
      <c r="K129" s="866" t="s">
        <v>6889</v>
      </c>
      <c r="L129" s="866"/>
      <c r="M129" s="866"/>
      <c r="N129" s="866"/>
      <c r="O129" s="866"/>
      <c r="P129" s="866"/>
      <c r="Q129" s="897">
        <v>0.36349328388092461</v>
      </c>
      <c r="R129" s="848">
        <v>2060</v>
      </c>
      <c r="S129" s="850">
        <v>0</v>
      </c>
      <c r="T129" s="850">
        <v>0</v>
      </c>
      <c r="U129" s="850">
        <v>0</v>
      </c>
      <c r="V129" s="850">
        <v>0</v>
      </c>
      <c r="W129" s="850">
        <v>0</v>
      </c>
      <c r="X129" s="850">
        <v>3901.4140228500096</v>
      </c>
      <c r="Y129" s="850">
        <v>0</v>
      </c>
      <c r="Z129" s="850">
        <v>0</v>
      </c>
      <c r="AA129" s="850">
        <v>0</v>
      </c>
      <c r="AB129" s="850">
        <v>0</v>
      </c>
      <c r="AC129" s="898">
        <f t="shared" si="132"/>
        <v>3901.4140228500096</v>
      </c>
      <c r="AD129" s="848"/>
      <c r="AF129" s="58" t="str">
        <f>IFERROR(VLOOKUP(K129,FA_Codes!C:F,2,FALSE),"CHECK")</f>
        <v>TRA A29</v>
      </c>
      <c r="AG129" s="851">
        <f t="shared" si="139"/>
        <v>3901.4140228500096</v>
      </c>
      <c r="AH129" s="58" t="str">
        <f>IFERROR(VLOOKUP(AF129,FA_Codes!D:F,3,FALSE),"CHECK")</f>
        <v>Local</v>
      </c>
      <c r="AI129" s="857">
        <v>0.40600624024960996</v>
      </c>
      <c r="AJ129" s="853">
        <f t="shared" si="133"/>
        <v>0.59399375975039004</v>
      </c>
      <c r="AK129" s="854">
        <f t="shared" si="140"/>
        <v>2483.2762279051708</v>
      </c>
      <c r="AL129" s="854">
        <f t="shared" si="141"/>
        <v>0</v>
      </c>
      <c r="AM129" s="854">
        <f t="shared" si="142"/>
        <v>0</v>
      </c>
      <c r="AN129" s="854">
        <f t="shared" si="143"/>
        <v>0</v>
      </c>
      <c r="AO129" s="854">
        <f t="shared" si="144"/>
        <v>0</v>
      </c>
      <c r="AP129" s="854">
        <f t="shared" si="145"/>
        <v>0</v>
      </c>
      <c r="AQ129" s="854">
        <f t="shared" si="146"/>
        <v>575.77279428142629</v>
      </c>
      <c r="AR129" s="854">
        <f t="shared" si="147"/>
        <v>0</v>
      </c>
      <c r="AS129" s="854">
        <f t="shared" si="148"/>
        <v>0</v>
      </c>
      <c r="AT129" s="854">
        <f t="shared" si="149"/>
        <v>0</v>
      </c>
      <c r="AU129" s="854">
        <f t="shared" si="150"/>
        <v>0</v>
      </c>
      <c r="AV129" s="854">
        <f t="shared" si="134"/>
        <v>575.77279428142629</v>
      </c>
      <c r="AW129" s="854">
        <f t="shared" si="151"/>
        <v>0</v>
      </c>
      <c r="AX129" s="855">
        <f t="shared" si="152"/>
        <v>0</v>
      </c>
      <c r="AZ129" s="854">
        <f t="shared" si="153"/>
        <v>0</v>
      </c>
      <c r="BA129" s="854">
        <f t="shared" si="154"/>
        <v>0</v>
      </c>
      <c r="BB129" s="854">
        <f t="shared" si="155"/>
        <v>0</v>
      </c>
      <c r="BC129" s="854">
        <f t="shared" si="156"/>
        <v>0</v>
      </c>
      <c r="BD129" s="854">
        <f t="shared" si="157"/>
        <v>0</v>
      </c>
      <c r="BE129" s="854">
        <f t="shared" si="158"/>
        <v>842.36500066341227</v>
      </c>
      <c r="BF129" s="854">
        <f t="shared" si="159"/>
        <v>0</v>
      </c>
      <c r="BG129" s="854">
        <f t="shared" si="160"/>
        <v>0</v>
      </c>
      <c r="BH129" s="854">
        <f t="shared" si="161"/>
        <v>0</v>
      </c>
      <c r="BI129" s="854">
        <f t="shared" si="162"/>
        <v>0</v>
      </c>
      <c r="BJ129" s="854">
        <f t="shared" si="135"/>
        <v>842.36500066341227</v>
      </c>
      <c r="BK129" s="58" t="str">
        <f t="shared" si="136"/>
        <v>OK</v>
      </c>
      <c r="BL129" s="878" t="str">
        <f t="shared" si="163"/>
        <v>Upgrades on Waihoehoe Rd east- from project 4 to Drury Hills + Drury Hills Intersection TRA A29 0.363493283880925 2060 0.40600624024961</v>
      </c>
      <c r="BM129" s="870">
        <f t="shared" si="164"/>
        <v>2</v>
      </c>
      <c r="BN129" s="869">
        <f t="shared" si="137"/>
        <v>1418.1377949448386</v>
      </c>
      <c r="BO129" s="870">
        <f>IFERROR(VLOOKUP(AF129,FA_Codes!D:H,5,FALSE),"CHECK")</f>
        <v>0</v>
      </c>
      <c r="BP129" s="870" t="str">
        <f t="shared" si="165"/>
        <v>TRA</v>
      </c>
      <c r="BQ129" s="869">
        <f t="shared" si="166"/>
        <v>3901.4140228500096</v>
      </c>
      <c r="BR129" s="870" t="str">
        <f t="shared" si="167"/>
        <v>24 TRA A28</v>
      </c>
      <c r="BS129" s="870">
        <f t="shared" si="138"/>
        <v>24</v>
      </c>
      <c r="BT129" s="870" t="s">
        <v>6992</v>
      </c>
      <c r="BU129" s="870">
        <f t="shared" si="168"/>
        <v>2060</v>
      </c>
      <c r="BV129" s="153"/>
      <c r="BW129" s="153"/>
      <c r="BX129" s="153"/>
      <c r="BY129" s="153"/>
      <c r="BZ129" s="153"/>
      <c r="CA129" s="153"/>
      <c r="CB129" s="153"/>
      <c r="CC129" s="153"/>
      <c r="CD129" s="153"/>
      <c r="CE129" s="153"/>
      <c r="CF129" s="153"/>
    </row>
    <row r="130" spans="1:84" ht="26">
      <c r="A130" s="848"/>
      <c r="B130" s="848" t="s">
        <v>896</v>
      </c>
      <c r="C130" s="848"/>
      <c r="D130" s="848"/>
      <c r="E130" s="848" t="s">
        <v>6890</v>
      </c>
      <c r="F130" s="866" t="s">
        <v>6868</v>
      </c>
      <c r="G130" s="808" t="s">
        <v>6711</v>
      </c>
      <c r="H130" s="808"/>
      <c r="I130" s="808"/>
      <c r="J130" s="808"/>
      <c r="K130" s="808" t="s">
        <v>6889</v>
      </c>
      <c r="L130" s="808"/>
      <c r="M130" s="808"/>
      <c r="N130" s="808"/>
      <c r="O130" s="808"/>
      <c r="P130" s="808"/>
      <c r="Q130" s="849">
        <v>0.36349328388092461</v>
      </c>
      <c r="R130" s="848">
        <v>2060</v>
      </c>
      <c r="S130" s="850">
        <v>0</v>
      </c>
      <c r="T130" s="850">
        <v>0</v>
      </c>
      <c r="U130" s="850">
        <v>0</v>
      </c>
      <c r="V130" s="850">
        <v>0</v>
      </c>
      <c r="W130" s="850">
        <v>0</v>
      </c>
      <c r="X130" s="850">
        <v>0</v>
      </c>
      <c r="Y130" s="850">
        <v>0</v>
      </c>
      <c r="Z130" s="850">
        <v>0</v>
      </c>
      <c r="AA130" s="850">
        <v>-62027.703927964532</v>
      </c>
      <c r="AB130" s="850">
        <v>-616250.87740650284</v>
      </c>
      <c r="AC130" s="809">
        <f t="shared" si="132"/>
        <v>-678278.5813344674</v>
      </c>
      <c r="AD130" s="848"/>
      <c r="AF130" s="58" t="str">
        <f>IFERROR(VLOOKUP(K130,FA_Codes!C:F,2,FALSE),"CHECK")</f>
        <v>TRA A29</v>
      </c>
      <c r="AG130" s="851">
        <f t="shared" si="139"/>
        <v>-678278.5813344674</v>
      </c>
      <c r="AH130" s="58" t="str">
        <f>IFERROR(VLOOKUP(AF130,FA_Codes!D:F,3,FALSE),"CHECK")</f>
        <v>Local</v>
      </c>
      <c r="AI130" s="857">
        <v>0.40600624024960996</v>
      </c>
      <c r="AJ130" s="853">
        <f t="shared" si="133"/>
        <v>0.59399375975039004</v>
      </c>
      <c r="AK130" s="854">
        <f t="shared" si="140"/>
        <v>-431728.87241910701</v>
      </c>
      <c r="AL130" s="854">
        <f t="shared" si="141"/>
        <v>0</v>
      </c>
      <c r="AM130" s="854">
        <f t="shared" si="142"/>
        <v>0</v>
      </c>
      <c r="AN130" s="854">
        <f t="shared" si="143"/>
        <v>0</v>
      </c>
      <c r="AO130" s="854">
        <f t="shared" si="144"/>
        <v>0</v>
      </c>
      <c r="AP130" s="854">
        <f t="shared" si="145"/>
        <v>0</v>
      </c>
      <c r="AQ130" s="854">
        <f t="shared" si="146"/>
        <v>0</v>
      </c>
      <c r="AR130" s="854">
        <f t="shared" si="147"/>
        <v>0</v>
      </c>
      <c r="AS130" s="854">
        <f t="shared" si="148"/>
        <v>0</v>
      </c>
      <c r="AT130" s="854">
        <f t="shared" si="149"/>
        <v>-9154.0821364495732</v>
      </c>
      <c r="AU130" s="854">
        <f t="shared" si="150"/>
        <v>-90946.638214911625</v>
      </c>
      <c r="AV130" s="854">
        <f t="shared" si="134"/>
        <v>-100100.7203513612</v>
      </c>
      <c r="AW130" s="854">
        <f t="shared" si="151"/>
        <v>0</v>
      </c>
      <c r="AX130" s="855">
        <f t="shared" si="152"/>
        <v>0</v>
      </c>
      <c r="AZ130" s="854">
        <f t="shared" si="153"/>
        <v>0</v>
      </c>
      <c r="BA130" s="854">
        <f t="shared" si="154"/>
        <v>0</v>
      </c>
      <c r="BB130" s="854">
        <f t="shared" si="155"/>
        <v>0</v>
      </c>
      <c r="BC130" s="854">
        <f t="shared" si="156"/>
        <v>0</v>
      </c>
      <c r="BD130" s="854">
        <f t="shared" si="157"/>
        <v>0</v>
      </c>
      <c r="BE130" s="854">
        <f t="shared" si="158"/>
        <v>0</v>
      </c>
      <c r="BF130" s="854">
        <f t="shared" si="159"/>
        <v>0</v>
      </c>
      <c r="BG130" s="854">
        <f t="shared" si="160"/>
        <v>0</v>
      </c>
      <c r="BH130" s="854">
        <f t="shared" si="161"/>
        <v>-13392.571655919981</v>
      </c>
      <c r="BI130" s="854">
        <f t="shared" si="162"/>
        <v>-133056.41690807918</v>
      </c>
      <c r="BJ130" s="854">
        <f t="shared" si="135"/>
        <v>-146448.98856399916</v>
      </c>
      <c r="BK130" s="58" t="str">
        <f t="shared" si="136"/>
        <v>OK</v>
      </c>
      <c r="BL130" s="856" t="str">
        <f t="shared" si="163"/>
        <v>GSR improvements - Waihoehoe Rd to Drury Interchange TRA A29 0.363493283880925 2060 0.40600624024961</v>
      </c>
      <c r="BM130" s="153">
        <f t="shared" si="164"/>
        <v>2</v>
      </c>
      <c r="BN130" s="869">
        <f t="shared" si="137"/>
        <v>-246549.70891536036</v>
      </c>
      <c r="BO130" s="870">
        <f>IFERROR(VLOOKUP(AF130,FA_Codes!D:H,5,FALSE),"CHECK")</f>
        <v>0</v>
      </c>
      <c r="BP130" s="870" t="str">
        <f t="shared" si="165"/>
        <v>TRA</v>
      </c>
      <c r="BQ130" s="869">
        <f t="shared" si="166"/>
        <v>0</v>
      </c>
      <c r="BR130" s="870" t="str">
        <f t="shared" si="167"/>
        <v>1b TRA A28</v>
      </c>
      <c r="BS130" s="870" t="str">
        <f t="shared" si="138"/>
        <v>1b</v>
      </c>
      <c r="BT130" s="870" t="s">
        <v>6992</v>
      </c>
      <c r="BU130" s="870">
        <f t="shared" si="168"/>
        <v>2060</v>
      </c>
      <c r="BV130" s="153"/>
      <c r="BW130" s="153"/>
      <c r="BX130" s="153"/>
      <c r="BY130" s="153"/>
      <c r="BZ130" s="153"/>
      <c r="CA130" s="153"/>
      <c r="CB130" s="153"/>
      <c r="CC130" s="153"/>
      <c r="CD130" s="153"/>
      <c r="CE130" s="153"/>
      <c r="CF130" s="153"/>
    </row>
    <row r="131" spans="1:84" ht="26">
      <c r="A131" s="848"/>
      <c r="B131" s="848" t="s">
        <v>896</v>
      </c>
      <c r="C131" s="848"/>
      <c r="D131" s="848"/>
      <c r="E131" s="848" t="s">
        <v>6811</v>
      </c>
      <c r="F131" s="866" t="s">
        <v>6708</v>
      </c>
      <c r="G131" s="808" t="s">
        <v>6709</v>
      </c>
      <c r="H131" s="808"/>
      <c r="I131" s="808"/>
      <c r="J131" s="808"/>
      <c r="K131" s="808" t="s">
        <v>6889</v>
      </c>
      <c r="L131" s="848"/>
      <c r="M131" s="848"/>
      <c r="N131" s="848"/>
      <c r="O131" s="848"/>
      <c r="P131" s="848"/>
      <c r="Q131" s="849">
        <v>0.36349328388092461</v>
      </c>
      <c r="R131" s="848">
        <v>2060</v>
      </c>
      <c r="S131" s="850">
        <v>0</v>
      </c>
      <c r="T131" s="850">
        <v>0</v>
      </c>
      <c r="U131" s="850">
        <v>0</v>
      </c>
      <c r="V131" s="850">
        <v>0</v>
      </c>
      <c r="W131" s="850">
        <v>0</v>
      </c>
      <c r="X131" s="850">
        <v>0</v>
      </c>
      <c r="Y131" s="850">
        <v>0</v>
      </c>
      <c r="Z131" s="850">
        <v>-37742.5970845907</v>
      </c>
      <c r="AA131" s="850">
        <v>-374976.13318059809</v>
      </c>
      <c r="AB131" s="850">
        <v>0</v>
      </c>
      <c r="AC131" s="809">
        <f t="shared" si="132"/>
        <v>-412718.73026518879</v>
      </c>
      <c r="AD131" s="848"/>
      <c r="AF131" s="58" t="str">
        <f>IFERROR(VLOOKUP(K131,FA_Codes!C:F,2,FALSE),"CHECK")</f>
        <v>TRA A29</v>
      </c>
      <c r="AG131" s="851">
        <f t="shared" si="139"/>
        <v>-412718.73026518879</v>
      </c>
      <c r="AH131" s="58" t="str">
        <f>IFERROR(VLOOKUP(AF131,FA_Codes!D:F,3,FALSE),"CHECK")</f>
        <v>Local</v>
      </c>
      <c r="AI131" s="857">
        <v>0.40600624024960996</v>
      </c>
      <c r="AJ131" s="853">
        <f t="shared" si="133"/>
        <v>0.59399375975039004</v>
      </c>
      <c r="AK131" s="854">
        <f t="shared" si="140"/>
        <v>-262698.24368192977</v>
      </c>
      <c r="AL131" s="854">
        <f t="shared" si="141"/>
        <v>0</v>
      </c>
      <c r="AM131" s="854">
        <f t="shared" si="142"/>
        <v>0</v>
      </c>
      <c r="AN131" s="854">
        <f t="shared" si="143"/>
        <v>0</v>
      </c>
      <c r="AO131" s="854">
        <f t="shared" si="144"/>
        <v>0</v>
      </c>
      <c r="AP131" s="854">
        <f t="shared" si="145"/>
        <v>0</v>
      </c>
      <c r="AQ131" s="854">
        <f t="shared" si="146"/>
        <v>0</v>
      </c>
      <c r="AR131" s="854">
        <f t="shared" si="147"/>
        <v>0</v>
      </c>
      <c r="AS131" s="854">
        <f t="shared" si="148"/>
        <v>-5570.0729170389459</v>
      </c>
      <c r="AT131" s="854">
        <f t="shared" si="149"/>
        <v>-55339.180801047107</v>
      </c>
      <c r="AU131" s="854">
        <f t="shared" si="150"/>
        <v>0</v>
      </c>
      <c r="AV131" s="854">
        <f t="shared" si="134"/>
        <v>-60909.253718086053</v>
      </c>
      <c r="AW131" s="854">
        <f t="shared" si="151"/>
        <v>0</v>
      </c>
      <c r="AX131" s="855">
        <f t="shared" si="152"/>
        <v>0</v>
      </c>
      <c r="AZ131" s="854">
        <f t="shared" si="153"/>
        <v>0</v>
      </c>
      <c r="BA131" s="854">
        <f t="shared" si="154"/>
        <v>0</v>
      </c>
      <c r="BB131" s="854">
        <f t="shared" si="155"/>
        <v>0</v>
      </c>
      <c r="BC131" s="854">
        <f t="shared" si="156"/>
        <v>0</v>
      </c>
      <c r="BD131" s="854">
        <f t="shared" si="157"/>
        <v>0</v>
      </c>
      <c r="BE131" s="854">
        <f t="shared" si="158"/>
        <v>0</v>
      </c>
      <c r="BF131" s="854">
        <f t="shared" si="159"/>
        <v>0</v>
      </c>
      <c r="BG131" s="854">
        <f t="shared" si="160"/>
        <v>-8149.1076394335396</v>
      </c>
      <c r="BH131" s="854">
        <f t="shared" si="161"/>
        <v>-80962.125225739437</v>
      </c>
      <c r="BI131" s="854">
        <f t="shared" si="162"/>
        <v>0</v>
      </c>
      <c r="BJ131" s="854">
        <f t="shared" si="135"/>
        <v>-89111.232865172977</v>
      </c>
      <c r="BK131" s="58" t="str">
        <f t="shared" si="136"/>
        <v>OK</v>
      </c>
      <c r="BL131" s="856" t="str">
        <f t="shared" si="163"/>
        <v>GSR improvements - From Drury School to Waihoehoe Rd TRA A29 0.363493283880925 2060 0.40600624024961</v>
      </c>
      <c r="BM131" s="153">
        <f t="shared" si="164"/>
        <v>2</v>
      </c>
      <c r="BN131" s="869">
        <f t="shared" si="137"/>
        <v>-150020.48658325901</v>
      </c>
      <c r="BO131" s="870">
        <f>IFERROR(VLOOKUP(AF131,FA_Codes!D:H,5,FALSE),"CHECK")</f>
        <v>0</v>
      </c>
      <c r="BP131" s="870" t="str">
        <f t="shared" si="165"/>
        <v>TRA</v>
      </c>
      <c r="BQ131" s="869">
        <f t="shared" si="166"/>
        <v>0</v>
      </c>
      <c r="BR131" s="870" t="str">
        <f t="shared" si="167"/>
        <v>2a TRA A28</v>
      </c>
      <c r="BS131" s="870" t="str">
        <f t="shared" si="138"/>
        <v>2a</v>
      </c>
      <c r="BT131" s="870" t="s">
        <v>6992</v>
      </c>
      <c r="BU131" s="870">
        <f t="shared" si="168"/>
        <v>2060</v>
      </c>
      <c r="BV131" s="153"/>
      <c r="BW131" s="153"/>
      <c r="BX131" s="153"/>
      <c r="BY131" s="153"/>
      <c r="BZ131" s="153"/>
      <c r="CA131" s="153"/>
      <c r="CB131" s="153"/>
      <c r="CC131" s="153"/>
      <c r="CD131" s="153"/>
      <c r="CE131" s="153"/>
      <c r="CF131" s="153"/>
    </row>
    <row r="132" spans="1:84" ht="39">
      <c r="A132" s="848"/>
      <c r="B132" s="848" t="s">
        <v>896</v>
      </c>
      <c r="C132" s="848"/>
      <c r="D132" s="848"/>
      <c r="E132" s="848" t="s">
        <v>6812</v>
      </c>
      <c r="F132" s="866" t="s">
        <v>6713</v>
      </c>
      <c r="G132" s="808" t="s">
        <v>6714</v>
      </c>
      <c r="H132" s="808"/>
      <c r="I132" s="808"/>
      <c r="J132" s="808"/>
      <c r="K132" s="808" t="s">
        <v>6889</v>
      </c>
      <c r="L132" s="848"/>
      <c r="M132" s="848"/>
      <c r="N132" s="848"/>
      <c r="O132" s="848"/>
      <c r="P132" s="848"/>
      <c r="Q132" s="849">
        <v>0.36349328388092461</v>
      </c>
      <c r="R132" s="848">
        <v>2060</v>
      </c>
      <c r="S132" s="850">
        <v>0</v>
      </c>
      <c r="T132" s="850">
        <v>0</v>
      </c>
      <c r="U132" s="850">
        <v>-270.72068260157067</v>
      </c>
      <c r="V132" s="850">
        <v>0</v>
      </c>
      <c r="W132" s="850">
        <v>0</v>
      </c>
      <c r="X132" s="850">
        <v>-28592.876070611859</v>
      </c>
      <c r="Y132" s="850">
        <v>-8166.2298485549318</v>
      </c>
      <c r="Z132" s="850">
        <v>-89044.656904751362</v>
      </c>
      <c r="AA132" s="850">
        <v>0</v>
      </c>
      <c r="AB132" s="850">
        <v>0</v>
      </c>
      <c r="AC132" s="809">
        <f t="shared" si="132"/>
        <v>-126074.48350651973</v>
      </c>
      <c r="AD132" s="848"/>
      <c r="AF132" s="58" t="str">
        <f>IFERROR(VLOOKUP(K132,FA_Codes!C:F,2,FALSE),"CHECK")</f>
        <v>TRA A29</v>
      </c>
      <c r="AG132" s="851">
        <f t="shared" si="139"/>
        <v>-126074.48350651973</v>
      </c>
      <c r="AH132" s="58" t="str">
        <f>IFERROR(VLOOKUP(AF132,FA_Codes!D:F,3,FALSE),"CHECK")</f>
        <v>Local</v>
      </c>
      <c r="AI132" s="857">
        <v>0.40600624024960996</v>
      </c>
      <c r="AJ132" s="853">
        <f t="shared" si="133"/>
        <v>0.59399375975039004</v>
      </c>
      <c r="AK132" s="854">
        <f t="shared" si="140"/>
        <v>-80247.25548314341</v>
      </c>
      <c r="AL132" s="854">
        <f t="shared" si="141"/>
        <v>0</v>
      </c>
      <c r="AM132" s="854">
        <f t="shared" si="142"/>
        <v>0</v>
      </c>
      <c r="AN132" s="854">
        <f t="shared" si="143"/>
        <v>-39.953104945630642</v>
      </c>
      <c r="AO132" s="854">
        <f t="shared" si="144"/>
        <v>0</v>
      </c>
      <c r="AP132" s="854">
        <f t="shared" si="145"/>
        <v>0</v>
      </c>
      <c r="AQ132" s="854">
        <f t="shared" si="146"/>
        <v>-4219.7521348150549</v>
      </c>
      <c r="AR132" s="854">
        <f t="shared" si="147"/>
        <v>-1205.1766234264203</v>
      </c>
      <c r="AS132" s="854">
        <f t="shared" si="148"/>
        <v>-13141.258687645479</v>
      </c>
      <c r="AT132" s="854">
        <f t="shared" si="149"/>
        <v>0</v>
      </c>
      <c r="AU132" s="854">
        <f t="shared" si="150"/>
        <v>0</v>
      </c>
      <c r="AV132" s="854">
        <f t="shared" si="134"/>
        <v>-18606.140550832584</v>
      </c>
      <c r="AW132" s="854">
        <f t="shared" si="151"/>
        <v>0</v>
      </c>
      <c r="AX132" s="855">
        <f t="shared" si="152"/>
        <v>0</v>
      </c>
      <c r="AZ132" s="854">
        <f t="shared" si="153"/>
        <v>0</v>
      </c>
      <c r="BA132" s="854">
        <f t="shared" si="154"/>
        <v>0</v>
      </c>
      <c r="BB132" s="854">
        <f t="shared" si="155"/>
        <v>-58.452044987699779</v>
      </c>
      <c r="BC132" s="854">
        <f t="shared" si="156"/>
        <v>0</v>
      </c>
      <c r="BD132" s="854">
        <f t="shared" si="157"/>
        <v>0</v>
      </c>
      <c r="BE132" s="854">
        <f t="shared" si="158"/>
        <v>-6173.5662836919582</v>
      </c>
      <c r="BF132" s="854">
        <f t="shared" si="159"/>
        <v>-1763.1930811512377</v>
      </c>
      <c r="BG132" s="854">
        <f t="shared" si="160"/>
        <v>-19225.876062712839</v>
      </c>
      <c r="BH132" s="854">
        <f t="shared" si="161"/>
        <v>0</v>
      </c>
      <c r="BI132" s="854">
        <f t="shared" si="162"/>
        <v>0</v>
      </c>
      <c r="BJ132" s="854">
        <f t="shared" si="135"/>
        <v>-27221.087472543735</v>
      </c>
      <c r="BK132" s="58" t="str">
        <f t="shared" si="136"/>
        <v>OK</v>
      </c>
      <c r="BL132" s="856" t="str">
        <f t="shared" si="163"/>
        <v>Waihoehoe Rd East upgrades- from Fitzgerald Rd to before Cossey Rd (development boundary) TRA A29 0.363493283880925 2060 0.40600624024961</v>
      </c>
      <c r="BM132" s="153">
        <f t="shared" si="164"/>
        <v>2</v>
      </c>
      <c r="BN132" s="869">
        <f t="shared" si="137"/>
        <v>-45827.228023376316</v>
      </c>
      <c r="BO132" s="870">
        <f>IFERROR(VLOOKUP(AF132,FA_Codes!D:H,5,FALSE),"CHECK")</f>
        <v>0</v>
      </c>
      <c r="BP132" s="870" t="str">
        <f t="shared" si="165"/>
        <v>TRA</v>
      </c>
      <c r="BQ132" s="869">
        <f t="shared" si="166"/>
        <v>0</v>
      </c>
      <c r="BR132" s="870" t="str">
        <f t="shared" si="167"/>
        <v>4b TRA A28</v>
      </c>
      <c r="BS132" s="870" t="str">
        <f t="shared" si="138"/>
        <v>4b</v>
      </c>
      <c r="BT132" s="870" t="s">
        <v>6992</v>
      </c>
      <c r="BU132" s="870">
        <f t="shared" si="168"/>
        <v>2060</v>
      </c>
      <c r="BV132" s="153"/>
      <c r="BW132" s="153"/>
      <c r="BX132" s="153"/>
      <c r="BY132" s="153"/>
      <c r="BZ132" s="153"/>
      <c r="CA132" s="153"/>
      <c r="CB132" s="153"/>
      <c r="CC132" s="153"/>
      <c r="CD132" s="153"/>
      <c r="CE132" s="153"/>
      <c r="CF132" s="153"/>
    </row>
    <row r="133" spans="1:84" ht="26">
      <c r="A133" s="848"/>
      <c r="B133" s="848" t="s">
        <v>896</v>
      </c>
      <c r="C133" s="848"/>
      <c r="D133" s="848"/>
      <c r="E133" s="848" t="s">
        <v>6861</v>
      </c>
      <c r="F133" s="866" t="s">
        <v>6718</v>
      </c>
      <c r="G133" s="808" t="s">
        <v>6838</v>
      </c>
      <c r="H133" s="808"/>
      <c r="I133" s="808"/>
      <c r="J133" s="808"/>
      <c r="K133" s="808" t="s">
        <v>6889</v>
      </c>
      <c r="L133" s="808"/>
      <c r="M133" s="808"/>
      <c r="N133" s="808"/>
      <c r="O133" s="808"/>
      <c r="P133" s="808"/>
      <c r="Q133" s="849">
        <v>0.36349328388092461</v>
      </c>
      <c r="R133" s="848">
        <v>2060</v>
      </c>
      <c r="S133" s="850">
        <v>0</v>
      </c>
      <c r="T133" s="850">
        <v>0</v>
      </c>
      <c r="U133" s="850">
        <v>0</v>
      </c>
      <c r="V133" s="850">
        <v>0</v>
      </c>
      <c r="W133" s="850">
        <v>0</v>
      </c>
      <c r="X133" s="850">
        <v>0</v>
      </c>
      <c r="Y133" s="850">
        <v>0</v>
      </c>
      <c r="Z133" s="850">
        <v>-14158.467288389666</v>
      </c>
      <c r="AA133" s="850">
        <v>-11006.6917072697</v>
      </c>
      <c r="AB133" s="850">
        <v>-111136.55716383395</v>
      </c>
      <c r="AC133" s="809">
        <f t="shared" si="132"/>
        <v>-136301.71615949331</v>
      </c>
      <c r="AD133" s="848"/>
      <c r="AF133" s="58" t="str">
        <f>IFERROR(VLOOKUP(K133,FA_Codes!C:F,2,FALSE),"CHECK")</f>
        <v>TRA A29</v>
      </c>
      <c r="AG133" s="851">
        <f t="shared" si="139"/>
        <v>-136301.71615949331</v>
      </c>
      <c r="AH133" s="58" t="str">
        <f>IFERROR(VLOOKUP(AF133,FA_Codes!D:F,3,FALSE),"CHECK")</f>
        <v>Local</v>
      </c>
      <c r="AI133" s="857">
        <v>0.40600624024960996</v>
      </c>
      <c r="AJ133" s="853">
        <f t="shared" si="133"/>
        <v>0.59399375975039004</v>
      </c>
      <c r="AK133" s="854">
        <f t="shared" si="140"/>
        <v>-86756.957754073403</v>
      </c>
      <c r="AL133" s="854">
        <f t="shared" si="141"/>
        <v>0</v>
      </c>
      <c r="AM133" s="854">
        <f t="shared" si="142"/>
        <v>0</v>
      </c>
      <c r="AN133" s="854">
        <f t="shared" si="143"/>
        <v>0</v>
      </c>
      <c r="AO133" s="854">
        <f t="shared" si="144"/>
        <v>0</v>
      </c>
      <c r="AP133" s="854">
        <f t="shared" si="145"/>
        <v>0</v>
      </c>
      <c r="AQ133" s="854">
        <f t="shared" si="146"/>
        <v>0</v>
      </c>
      <c r="AR133" s="854">
        <f t="shared" si="147"/>
        <v>0</v>
      </c>
      <c r="AS133" s="854">
        <f t="shared" si="148"/>
        <v>-2089.5142698603286</v>
      </c>
      <c r="AT133" s="854">
        <f t="shared" si="149"/>
        <v>-1624.3735227719812</v>
      </c>
      <c r="AU133" s="854">
        <f t="shared" si="150"/>
        <v>-16401.593291627491</v>
      </c>
      <c r="AV133" s="854">
        <f t="shared" si="134"/>
        <v>-20115.481084259802</v>
      </c>
      <c r="AW133" s="854">
        <f t="shared" si="151"/>
        <v>0</v>
      </c>
      <c r="AX133" s="855">
        <f t="shared" si="152"/>
        <v>0</v>
      </c>
      <c r="AZ133" s="854">
        <f t="shared" si="153"/>
        <v>0</v>
      </c>
      <c r="BA133" s="854">
        <f t="shared" si="154"/>
        <v>0</v>
      </c>
      <c r="BB133" s="854">
        <f t="shared" si="155"/>
        <v>0</v>
      </c>
      <c r="BC133" s="854">
        <f t="shared" si="156"/>
        <v>0</v>
      </c>
      <c r="BD133" s="854">
        <f t="shared" si="157"/>
        <v>0</v>
      </c>
      <c r="BE133" s="854">
        <f t="shared" si="158"/>
        <v>0</v>
      </c>
      <c r="BF133" s="854">
        <f t="shared" si="159"/>
        <v>0</v>
      </c>
      <c r="BG133" s="854">
        <f t="shared" si="160"/>
        <v>-3056.9934995170806</v>
      </c>
      <c r="BH133" s="854">
        <f t="shared" si="161"/>
        <v>-2376.4849905684223</v>
      </c>
      <c r="BI133" s="854">
        <f t="shared" si="162"/>
        <v>-23995.798831074608</v>
      </c>
      <c r="BJ133" s="854">
        <f t="shared" si="135"/>
        <v>-29429.277321160109</v>
      </c>
      <c r="BK133" s="58" t="str">
        <f t="shared" si="136"/>
        <v>OK</v>
      </c>
      <c r="BL133" s="856" t="str">
        <f t="shared" si="163"/>
        <v>New intersection on Waihoehoe Rd/Fitzgerald Rd( including approach cross-sections) TRA A29 0.363493283880925 2060 0.40600624024961</v>
      </c>
      <c r="BM133" s="153">
        <f t="shared" si="164"/>
        <v>2</v>
      </c>
      <c r="BN133" s="869">
        <f t="shared" si="137"/>
        <v>-49544.758405419911</v>
      </c>
      <c r="BO133" s="870">
        <f>IFERROR(VLOOKUP(AF133,FA_Codes!D:H,5,FALSE),"CHECK")</f>
        <v>0</v>
      </c>
      <c r="BP133" s="870" t="str">
        <f t="shared" si="165"/>
        <v>TRA</v>
      </c>
      <c r="BQ133" s="869">
        <f t="shared" si="166"/>
        <v>0</v>
      </c>
      <c r="BR133" s="870" t="str">
        <f t="shared" si="167"/>
        <v>10b TRA A28</v>
      </c>
      <c r="BS133" s="870" t="str">
        <f t="shared" si="138"/>
        <v>10b</v>
      </c>
      <c r="BT133" s="870" t="s">
        <v>6992</v>
      </c>
      <c r="BU133" s="870">
        <f t="shared" si="168"/>
        <v>2060</v>
      </c>
      <c r="BV133" s="153"/>
      <c r="BW133" s="153"/>
      <c r="BX133" s="153"/>
      <c r="BY133" s="153"/>
      <c r="BZ133" s="153"/>
      <c r="CA133" s="153"/>
      <c r="CB133" s="153"/>
      <c r="CC133" s="153"/>
      <c r="CD133" s="153"/>
      <c r="CE133" s="153"/>
      <c r="CF133" s="153"/>
    </row>
    <row r="134" spans="1:84" ht="26">
      <c r="A134" s="848"/>
      <c r="B134" s="848" t="s">
        <v>896</v>
      </c>
      <c r="C134" s="848"/>
      <c r="D134" s="848"/>
      <c r="E134" s="848" t="s">
        <v>6813</v>
      </c>
      <c r="F134" s="866" t="s">
        <v>6720</v>
      </c>
      <c r="G134" s="808" t="s">
        <v>6721</v>
      </c>
      <c r="H134" s="808"/>
      <c r="I134" s="808"/>
      <c r="J134" s="808"/>
      <c r="K134" s="808" t="s">
        <v>6889</v>
      </c>
      <c r="L134" s="808"/>
      <c r="M134" s="808"/>
      <c r="N134" s="808"/>
      <c r="O134" s="808"/>
      <c r="P134" s="808"/>
      <c r="Q134" s="849">
        <v>0.36349328388092461</v>
      </c>
      <c r="R134" s="848">
        <v>2060</v>
      </c>
      <c r="S134" s="850">
        <v>0</v>
      </c>
      <c r="T134" s="850">
        <v>0</v>
      </c>
      <c r="U134" s="850">
        <v>0</v>
      </c>
      <c r="V134" s="850">
        <v>0</v>
      </c>
      <c r="W134" s="850">
        <v>0</v>
      </c>
      <c r="X134" s="850">
        <v>-1080.8523198912249</v>
      </c>
      <c r="Y134" s="850">
        <v>0</v>
      </c>
      <c r="Z134" s="850">
        <v>-2154.2475282463265</v>
      </c>
      <c r="AA134" s="850">
        <v>-1100.6691707269699</v>
      </c>
      <c r="AB134" s="850">
        <v>-10935.248272006151</v>
      </c>
      <c r="AC134" s="809">
        <f t="shared" si="132"/>
        <v>-15271.017290870672</v>
      </c>
      <c r="AD134" s="848"/>
      <c r="AF134" s="58" t="str">
        <f>IFERROR(VLOOKUP(K134,FA_Codes!C:F,2,FALSE),"CHECK")</f>
        <v>TRA A29</v>
      </c>
      <c r="AG134" s="851">
        <f t="shared" si="139"/>
        <v>-15271.017290870672</v>
      </c>
      <c r="AH134" s="58" t="str">
        <f>IFERROR(VLOOKUP(AF134,FA_Codes!D:F,3,FALSE),"CHECK")</f>
        <v>Local</v>
      </c>
      <c r="AI134" s="857">
        <v>0.40600624024960996</v>
      </c>
      <c r="AJ134" s="853">
        <f t="shared" si="133"/>
        <v>0.59399375975039004</v>
      </c>
      <c r="AK134" s="854">
        <f t="shared" si="140"/>
        <v>-9720.1050676097111</v>
      </c>
      <c r="AL134" s="854">
        <f t="shared" si="141"/>
        <v>0</v>
      </c>
      <c r="AM134" s="854">
        <f t="shared" si="142"/>
        <v>0</v>
      </c>
      <c r="AN134" s="854">
        <f t="shared" si="143"/>
        <v>0</v>
      </c>
      <c r="AO134" s="854">
        <f t="shared" si="144"/>
        <v>0</v>
      </c>
      <c r="AP134" s="854">
        <f t="shared" si="145"/>
        <v>0</v>
      </c>
      <c r="AQ134" s="854">
        <f t="shared" si="146"/>
        <v>-159.51277069915272</v>
      </c>
      <c r="AR134" s="854">
        <f t="shared" si="147"/>
        <v>0</v>
      </c>
      <c r="AS134" s="854">
        <f t="shared" si="148"/>
        <v>-317.92501683944681</v>
      </c>
      <c r="AT134" s="854">
        <f t="shared" si="149"/>
        <v>-162.43735227719813</v>
      </c>
      <c r="AU134" s="854">
        <f t="shared" si="150"/>
        <v>-1613.829861905989</v>
      </c>
      <c r="AV134" s="854">
        <f t="shared" si="134"/>
        <v>-2253.7050017217866</v>
      </c>
      <c r="AW134" s="854">
        <f t="shared" si="151"/>
        <v>0</v>
      </c>
      <c r="AX134" s="855">
        <f t="shared" si="152"/>
        <v>0</v>
      </c>
      <c r="AZ134" s="854">
        <f t="shared" si="153"/>
        <v>0</v>
      </c>
      <c r="BA134" s="854">
        <f t="shared" si="154"/>
        <v>0</v>
      </c>
      <c r="BB134" s="854">
        <f t="shared" si="155"/>
        <v>0</v>
      </c>
      <c r="BC134" s="854">
        <f t="shared" si="156"/>
        <v>0</v>
      </c>
      <c r="BD134" s="854">
        <f t="shared" si="157"/>
        <v>0</v>
      </c>
      <c r="BE134" s="854">
        <f t="shared" si="158"/>
        <v>-233.36978844842423</v>
      </c>
      <c r="BF134" s="854">
        <f t="shared" si="159"/>
        <v>0</v>
      </c>
      <c r="BG134" s="854">
        <f t="shared" si="160"/>
        <v>-465.12949149517533</v>
      </c>
      <c r="BH134" s="854">
        <f t="shared" si="161"/>
        <v>-237.64849905684221</v>
      </c>
      <c r="BI134" s="854">
        <f t="shared" si="162"/>
        <v>-2361.0594425387335</v>
      </c>
      <c r="BJ134" s="854">
        <f t="shared" si="135"/>
        <v>-3297.2072215391754</v>
      </c>
      <c r="BK134" s="58" t="str">
        <f t="shared" si="136"/>
        <v>OK</v>
      </c>
      <c r="BL134" s="856" t="str">
        <f t="shared" si="163"/>
        <v>Intersection upgrade Waihoehoe Rd/Fielding Rd/Appleby Rd TRA A29 0.363493283880925 2060 0.40600624024961</v>
      </c>
      <c r="BM134" s="153">
        <f t="shared" si="164"/>
        <v>2</v>
      </c>
      <c r="BN134" s="869">
        <f t="shared" si="137"/>
        <v>-5550.9122232609625</v>
      </c>
      <c r="BO134" s="870">
        <f>IFERROR(VLOOKUP(AF134,FA_Codes!D:H,5,FALSE),"CHECK")</f>
        <v>0</v>
      </c>
      <c r="BP134" s="870" t="str">
        <f t="shared" si="165"/>
        <v>TRA</v>
      </c>
      <c r="BQ134" s="869">
        <f t="shared" si="166"/>
        <v>0</v>
      </c>
      <c r="BR134" s="870" t="str">
        <f t="shared" si="167"/>
        <v>11 TRA A28</v>
      </c>
      <c r="BS134" s="870">
        <f t="shared" si="138"/>
        <v>11</v>
      </c>
      <c r="BT134" s="870" t="s">
        <v>6992</v>
      </c>
      <c r="BU134" s="870">
        <f t="shared" si="168"/>
        <v>2060</v>
      </c>
      <c r="BV134" s="153"/>
      <c r="BW134" s="153"/>
      <c r="BX134" s="153"/>
      <c r="BY134" s="153"/>
      <c r="BZ134" s="153"/>
      <c r="CA134" s="153"/>
      <c r="CB134" s="153"/>
      <c r="CC134" s="153"/>
      <c r="CD134" s="153"/>
      <c r="CE134" s="153"/>
      <c r="CF134" s="153"/>
    </row>
    <row r="135" spans="1:84" ht="26">
      <c r="A135" s="848"/>
      <c r="B135" s="848" t="s">
        <v>896</v>
      </c>
      <c r="C135" s="848"/>
      <c r="D135" s="848"/>
      <c r="E135" s="848" t="s">
        <v>6814</v>
      </c>
      <c r="F135" s="866" t="s">
        <v>7000</v>
      </c>
      <c r="G135" s="808" t="s">
        <v>6723</v>
      </c>
      <c r="H135" s="808"/>
      <c r="I135" s="808"/>
      <c r="J135" s="808"/>
      <c r="K135" s="808" t="s">
        <v>6889</v>
      </c>
      <c r="L135" s="808"/>
      <c r="M135" s="808"/>
      <c r="N135" s="808"/>
      <c r="O135" s="808"/>
      <c r="P135" s="808"/>
      <c r="Q135" s="849">
        <v>0.36349328388092461</v>
      </c>
      <c r="R135" s="848">
        <v>2060</v>
      </c>
      <c r="S135" s="850">
        <v>0</v>
      </c>
      <c r="T135" s="850">
        <v>0</v>
      </c>
      <c r="U135" s="850">
        <v>-3843.4801112102718</v>
      </c>
      <c r="V135" s="850">
        <v>0</v>
      </c>
      <c r="W135" s="850">
        <v>0</v>
      </c>
      <c r="X135" s="850">
        <v>-14298.465045702977</v>
      </c>
      <c r="Y135" s="850">
        <v>0</v>
      </c>
      <c r="Z135" s="850">
        <v>0</v>
      </c>
      <c r="AA135" s="850">
        <v>0</v>
      </c>
      <c r="AB135" s="850">
        <v>0</v>
      </c>
      <c r="AC135" s="809">
        <f t="shared" si="132"/>
        <v>-18141.945156913247</v>
      </c>
      <c r="AD135" s="848"/>
      <c r="AF135" s="58" t="str">
        <f>IFERROR(VLOOKUP(K135,FA_Codes!C:F,2,FALSE),"CHECK")</f>
        <v>TRA A29</v>
      </c>
      <c r="AG135" s="851">
        <f t="shared" si="139"/>
        <v>-18141.945156913247</v>
      </c>
      <c r="AH135" s="58" t="str">
        <f>IFERROR(VLOOKUP(AF135,FA_Codes!D:F,3,FALSE),"CHECK")</f>
        <v>Local</v>
      </c>
      <c r="AI135" s="857">
        <v>0.40600624024960996</v>
      </c>
      <c r="AJ135" s="853">
        <f t="shared" si="133"/>
        <v>0.59399375975039004</v>
      </c>
      <c r="AK135" s="854">
        <f t="shared" si="140"/>
        <v>-11547.469935839215</v>
      </c>
      <c r="AL135" s="854">
        <f t="shared" si="141"/>
        <v>0</v>
      </c>
      <c r="AM135" s="854">
        <f t="shared" si="142"/>
        <v>0</v>
      </c>
      <c r="AN135" s="854">
        <f t="shared" si="143"/>
        <v>-567.22287622784381</v>
      </c>
      <c r="AO135" s="854">
        <f t="shared" si="144"/>
        <v>0</v>
      </c>
      <c r="AP135" s="854">
        <f t="shared" si="145"/>
        <v>0</v>
      </c>
      <c r="AQ135" s="854">
        <f t="shared" si="146"/>
        <v>-2110.1752146996396</v>
      </c>
      <c r="AR135" s="854">
        <f t="shared" si="147"/>
        <v>0</v>
      </c>
      <c r="AS135" s="854">
        <f t="shared" si="148"/>
        <v>0</v>
      </c>
      <c r="AT135" s="854">
        <f t="shared" si="149"/>
        <v>0</v>
      </c>
      <c r="AU135" s="854">
        <f t="shared" si="150"/>
        <v>0</v>
      </c>
      <c r="AV135" s="854">
        <f t="shared" si="134"/>
        <v>-2677.3980909274833</v>
      </c>
      <c r="AW135" s="854">
        <f t="shared" si="151"/>
        <v>0</v>
      </c>
      <c r="AX135" s="855">
        <f t="shared" si="152"/>
        <v>0</v>
      </c>
      <c r="AZ135" s="854">
        <f t="shared" si="153"/>
        <v>0</v>
      </c>
      <c r="BA135" s="854">
        <f t="shared" si="154"/>
        <v>0</v>
      </c>
      <c r="BB135" s="854">
        <f t="shared" si="155"/>
        <v>-829.85633092699925</v>
      </c>
      <c r="BC135" s="854">
        <f t="shared" si="156"/>
        <v>0</v>
      </c>
      <c r="BD135" s="854">
        <f t="shared" si="157"/>
        <v>0</v>
      </c>
      <c r="BE135" s="854">
        <f t="shared" si="158"/>
        <v>-3087.2207992195499</v>
      </c>
      <c r="BF135" s="854">
        <f t="shared" si="159"/>
        <v>0</v>
      </c>
      <c r="BG135" s="854">
        <f t="shared" si="160"/>
        <v>0</v>
      </c>
      <c r="BH135" s="854">
        <f t="shared" si="161"/>
        <v>0</v>
      </c>
      <c r="BI135" s="854">
        <f t="shared" si="162"/>
        <v>0</v>
      </c>
      <c r="BJ135" s="854">
        <f t="shared" si="135"/>
        <v>-3917.0771301465493</v>
      </c>
      <c r="BK135" s="58" t="str">
        <f t="shared" si="136"/>
        <v>OK</v>
      </c>
      <c r="BL135" s="856" t="str">
        <f t="shared" si="163"/>
        <v>N-S Opaheke Arterial across development (up to Waihoehoe Stream) TRA A29 0.363493283880925 2060 0.40600624024961</v>
      </c>
      <c r="BM135" s="153">
        <f t="shared" si="164"/>
        <v>2</v>
      </c>
      <c r="BN135" s="869">
        <f t="shared" si="137"/>
        <v>-6594.4752210740326</v>
      </c>
      <c r="BO135" s="870">
        <f>IFERROR(VLOOKUP(AF135,FA_Codes!D:H,5,FALSE),"CHECK")</f>
        <v>0</v>
      </c>
      <c r="BP135" s="870" t="str">
        <f t="shared" si="165"/>
        <v>TRA</v>
      </c>
      <c r="BQ135" s="869">
        <f t="shared" si="166"/>
        <v>0</v>
      </c>
      <c r="BR135" s="870" t="str">
        <f t="shared" si="167"/>
        <v>13a TRA A28</v>
      </c>
      <c r="BS135" s="870" t="str">
        <f t="shared" si="138"/>
        <v>13a</v>
      </c>
      <c r="BT135" s="870" t="s">
        <v>6992</v>
      </c>
      <c r="BU135" s="870">
        <f t="shared" si="168"/>
        <v>2060</v>
      </c>
      <c r="BV135" s="153"/>
      <c r="BW135" s="153"/>
      <c r="BX135" s="153"/>
      <c r="BY135" s="153"/>
      <c r="BZ135" s="153"/>
      <c r="CA135" s="153"/>
      <c r="CB135" s="153"/>
      <c r="CC135" s="153"/>
      <c r="CD135" s="153"/>
      <c r="CE135" s="153"/>
      <c r="CF135" s="153"/>
    </row>
    <row r="136" spans="1:84" ht="26">
      <c r="A136" s="848"/>
      <c r="B136" s="848" t="s">
        <v>896</v>
      </c>
      <c r="C136" s="848"/>
      <c r="D136" s="848"/>
      <c r="E136" s="848" t="s">
        <v>6815</v>
      </c>
      <c r="F136" s="866" t="s">
        <v>6725</v>
      </c>
      <c r="G136" s="808" t="s">
        <v>6726</v>
      </c>
      <c r="H136" s="808"/>
      <c r="I136" s="808"/>
      <c r="J136" s="808"/>
      <c r="K136" s="808" t="s">
        <v>6889</v>
      </c>
      <c r="L136" s="808"/>
      <c r="M136" s="808"/>
      <c r="N136" s="808"/>
      <c r="O136" s="808"/>
      <c r="P136" s="808"/>
      <c r="Q136" s="849">
        <v>0.36349328388092461</v>
      </c>
      <c r="R136" s="848">
        <v>2060</v>
      </c>
      <c r="S136" s="850">
        <v>0</v>
      </c>
      <c r="T136" s="850">
        <v>-35486.69680623601</v>
      </c>
      <c r="U136" s="850">
        <v>0</v>
      </c>
      <c r="V136" s="850">
        <v>0</v>
      </c>
      <c r="W136" s="850">
        <v>0</v>
      </c>
      <c r="X136" s="850">
        <v>0</v>
      </c>
      <c r="Y136" s="850">
        <v>0</v>
      </c>
      <c r="Z136" s="850">
        <v>-349299.74909423222</v>
      </c>
      <c r="AA136" s="850">
        <v>-103353.59771602217</v>
      </c>
      <c r="AB136" s="850">
        <v>-1034666.3563647512</v>
      </c>
      <c r="AC136" s="809">
        <f t="shared" si="132"/>
        <v>-1522806.3999812417</v>
      </c>
      <c r="AD136" s="848"/>
      <c r="AF136" s="58" t="str">
        <f>IFERROR(VLOOKUP(K136,FA_Codes!C:F,2,FALSE),"CHECK")</f>
        <v>TRA A29</v>
      </c>
      <c r="AG136" s="851">
        <f t="shared" ref="AG136:AG149" si="169">AC136-AD136</f>
        <v>-1522806.3999812417</v>
      </c>
      <c r="AH136" s="58" t="str">
        <f>IFERROR(VLOOKUP(AF136,FA_Codes!D:F,3,FALSE),"CHECK")</f>
        <v>Local</v>
      </c>
      <c r="AI136" s="857">
        <v>0.40600624024960996</v>
      </c>
      <c r="AJ136" s="853">
        <f t="shared" si="133"/>
        <v>0.59399375975039004</v>
      </c>
      <c r="AK136" s="854">
        <f t="shared" ref="AK136:AK149" si="170">AG136*(1-Q136)</f>
        <v>-969276.5009371714</v>
      </c>
      <c r="AL136" s="854">
        <f t="shared" ref="AL136:AL149" si="171">S136*$Q136*$AI136*(1-$AX136)</f>
        <v>0</v>
      </c>
      <c r="AM136" s="854">
        <f t="shared" ref="AM136:AM149" si="172">T136*$Q136*$AI136*(1-$AX136)</f>
        <v>-5237.1459322890205</v>
      </c>
      <c r="AN136" s="854">
        <f t="shared" ref="AN136:AN149" si="173">U136*$Q136*$AI136*(1-$AX136)</f>
        <v>0</v>
      </c>
      <c r="AO136" s="854">
        <f t="shared" ref="AO136:AO149" si="174">V136*$Q136*$AI136*(1-$AX136)</f>
        <v>0</v>
      </c>
      <c r="AP136" s="854">
        <f t="shared" ref="AP136:AP149" si="175">W136*$Q136*$AI136*(1-$AX136)</f>
        <v>0</v>
      </c>
      <c r="AQ136" s="854">
        <f t="shared" ref="AQ136:AQ149" si="176">X136*$Q136*$AI136*(1-$AX136)</f>
        <v>0</v>
      </c>
      <c r="AR136" s="854">
        <f t="shared" ref="AR136:AR149" si="177">Y136*$Q136*$AI136*(1-$AX136)</f>
        <v>0</v>
      </c>
      <c r="AS136" s="854">
        <f t="shared" ref="AS136:AS149" si="178">Z136*$Q136*$AI136*(1-$AX136)</f>
        <v>-51549.846132677201</v>
      </c>
      <c r="AT136" s="854">
        <f t="shared" ref="AT136:AT149" si="179">AA136*$Q136*$AI136*(1-$AX136)</f>
        <v>-15252.979921500711</v>
      </c>
      <c r="AU136" s="854">
        <f t="shared" ref="AU136:AU149" si="180">AB136*$Q136*$AI136*(1-$AX136)</f>
        <v>-152696.6211901622</v>
      </c>
      <c r="AV136" s="854">
        <f t="shared" si="134"/>
        <v>-224736.59317662913</v>
      </c>
      <c r="AW136" s="854">
        <f t="shared" ref="AW136:AW149" si="181">AD136</f>
        <v>0</v>
      </c>
      <c r="AX136" s="855">
        <f t="shared" ref="AX136:AX149" si="182">IFERROR(AW136/AC136,0)</f>
        <v>0</v>
      </c>
      <c r="AZ136" s="854">
        <f t="shared" ref="AZ136:AZ149" si="183">S136*$Q136*$AJ136*(1-$AX136)</f>
        <v>0</v>
      </c>
      <c r="BA136" s="854">
        <f t="shared" ref="BA136:BA149" si="184">T136*$Q136*$AJ136*(1-$AX136)</f>
        <v>-7662.0300238964264</v>
      </c>
      <c r="BB136" s="854">
        <f t="shared" ref="BB136:BB149" si="185">U136*$Q136*$AJ136*(1-$AX136)</f>
        <v>0</v>
      </c>
      <c r="BC136" s="854">
        <f t="shared" ref="BC136:BC149" si="186">V136*$Q136*$AJ136*(1-$AX136)</f>
        <v>0</v>
      </c>
      <c r="BD136" s="854">
        <f t="shared" ref="BD136:BD149" si="187">W136*$Q136*$AJ136*(1-$AX136)</f>
        <v>0</v>
      </c>
      <c r="BE136" s="854">
        <f t="shared" ref="BE136:BE149" si="188">X136*$Q136*$AJ136*(1-$AX136)</f>
        <v>0</v>
      </c>
      <c r="BF136" s="854">
        <f t="shared" ref="BF136:BF149" si="189">Y136*$Q136*$AJ136*(1-$AX136)</f>
        <v>0</v>
      </c>
      <c r="BG136" s="854">
        <f t="shared" ref="BG136:BG149" si="190">Z136*$Q136*$AJ136*(1-$AX136)</f>
        <v>-75418.266724368281</v>
      </c>
      <c r="BH136" s="854">
        <f t="shared" ref="BH136:BH149" si="191">AA136*$Q136*$AJ136*(1-$AX136)</f>
        <v>-22315.358713204212</v>
      </c>
      <c r="BI136" s="854">
        <f t="shared" ref="BI136:BI149" si="192">AB136*$Q136*$AJ136*(1-$AX136)</f>
        <v>-223397.65040597221</v>
      </c>
      <c r="BJ136" s="854">
        <f t="shared" si="135"/>
        <v>-328793.30586744111</v>
      </c>
      <c r="BK136" s="58" t="str">
        <f t="shared" si="136"/>
        <v>OK</v>
      </c>
      <c r="BL136" s="856" t="str">
        <f t="shared" ref="BL136:BL150" si="193">IF($Q136=0,"",F136&amp;" "&amp;AF136&amp;" "&amp;Q136&amp;" "&amp;R136&amp;" "&amp;AI136)</f>
        <v>Waihoehoe Rd West upgrades- between GSR &amp; Kath Henry Lane TRA A29 0.363493283880925 2060 0.40600624024961</v>
      </c>
      <c r="BM136" s="153">
        <f t="shared" ref="BM136:BM149" si="194">COUNTIF($BL$8:$BL$149,BL136)</f>
        <v>2</v>
      </c>
      <c r="BN136" s="869">
        <f t="shared" si="137"/>
        <v>-553529.89904407028</v>
      </c>
      <c r="BO136" s="870">
        <f>IFERROR(VLOOKUP(AF136,FA_Codes!D:H,5,FALSE),"CHECK")</f>
        <v>0</v>
      </c>
      <c r="BP136" s="870" t="str">
        <f t="shared" ref="BP136:BP150" si="195">TRIM(LEFT(AF136,3))</f>
        <v>TRA</v>
      </c>
      <c r="BQ136" s="869">
        <f t="shared" ref="BQ136:BQ149" si="196">IF(AC136&gt;0,+AC136,0)</f>
        <v>0</v>
      </c>
      <c r="BR136" s="870" t="str">
        <f t="shared" ref="BR136:BR149" si="197">IF(RIGHT(E136,11)=" WK subsidy",LEFT(E136,LEN(E136)-11),E136)</f>
        <v>23b TRA A28</v>
      </c>
      <c r="BS136" s="870" t="str">
        <f t="shared" si="138"/>
        <v>23b</v>
      </c>
      <c r="BT136" s="870" t="s">
        <v>6992</v>
      </c>
      <c r="BU136" s="870">
        <f t="shared" ref="BU136:BU149" si="198">+R136</f>
        <v>2060</v>
      </c>
      <c r="BV136" s="153"/>
      <c r="BW136" s="153"/>
      <c r="BX136" s="153"/>
      <c r="BY136" s="153"/>
      <c r="BZ136" s="153"/>
      <c r="CA136" s="153"/>
      <c r="CB136" s="153"/>
      <c r="CC136" s="153"/>
      <c r="CD136" s="153"/>
      <c r="CE136" s="153"/>
      <c r="CF136" s="153"/>
    </row>
    <row r="137" spans="1:84" ht="26">
      <c r="A137" s="848"/>
      <c r="B137" s="848" t="s">
        <v>896</v>
      </c>
      <c r="C137" s="848"/>
      <c r="D137" s="848"/>
      <c r="E137" s="848" t="s">
        <v>6816</v>
      </c>
      <c r="F137" s="866" t="s">
        <v>6727</v>
      </c>
      <c r="G137" s="808" t="s">
        <v>6726</v>
      </c>
      <c r="H137" s="808"/>
      <c r="I137" s="808"/>
      <c r="J137" s="808"/>
      <c r="K137" s="808" t="s">
        <v>6889</v>
      </c>
      <c r="L137" s="808"/>
      <c r="M137" s="808"/>
      <c r="N137" s="808"/>
      <c r="O137" s="808"/>
      <c r="P137" s="808"/>
      <c r="Q137" s="849">
        <v>0.36349328388092461</v>
      </c>
      <c r="R137" s="848">
        <v>2060</v>
      </c>
      <c r="S137" s="850">
        <v>0</v>
      </c>
      <c r="T137" s="850">
        <v>0</v>
      </c>
      <c r="U137" s="850">
        <v>0</v>
      </c>
      <c r="V137" s="850">
        <v>0</v>
      </c>
      <c r="W137" s="850">
        <v>0</v>
      </c>
      <c r="X137" s="850">
        <v>-1155.0162891188133</v>
      </c>
      <c r="Y137" s="850">
        <v>0</v>
      </c>
      <c r="Z137" s="850">
        <v>-60530.226812711502</v>
      </c>
      <c r="AA137" s="850">
        <v>-19638.333061884656</v>
      </c>
      <c r="AB137" s="850">
        <v>-205165.83480011765</v>
      </c>
      <c r="AC137" s="809">
        <f t="shared" ref="AC137:AC149" si="199">SUM(S137:AB137)</f>
        <v>-286489.41096383263</v>
      </c>
      <c r="AD137" s="848"/>
      <c r="AF137" s="58" t="str">
        <f>IFERROR(VLOOKUP(K137,FA_Codes!C:F,2,FALSE),"CHECK")</f>
        <v>TRA A29</v>
      </c>
      <c r="AG137" s="851">
        <f t="shared" si="169"/>
        <v>-286489.41096383263</v>
      </c>
      <c r="AH137" s="58" t="str">
        <f>IFERROR(VLOOKUP(AF137,FA_Codes!D:F,3,FALSE),"CHECK")</f>
        <v>Local</v>
      </c>
      <c r="AI137" s="857">
        <v>0.40600624024960996</v>
      </c>
      <c r="AJ137" s="853">
        <f t="shared" ref="AJ137:AJ148" si="200">1-AI137</f>
        <v>0.59399375975039004</v>
      </c>
      <c r="AK137" s="854">
        <f t="shared" si="170"/>
        <v>-182352.43417547733</v>
      </c>
      <c r="AL137" s="854">
        <f t="shared" si="171"/>
        <v>0</v>
      </c>
      <c r="AM137" s="854">
        <f t="shared" si="172"/>
        <v>0</v>
      </c>
      <c r="AN137" s="854">
        <f t="shared" si="173"/>
        <v>0</v>
      </c>
      <c r="AO137" s="854">
        <f t="shared" si="174"/>
        <v>0</v>
      </c>
      <c r="AP137" s="854">
        <f t="shared" si="175"/>
        <v>0</v>
      </c>
      <c r="AQ137" s="854">
        <f t="shared" si="176"/>
        <v>-170.45792944084826</v>
      </c>
      <c r="AR137" s="854">
        <f t="shared" si="177"/>
        <v>0</v>
      </c>
      <c r="AS137" s="854">
        <f t="shared" si="178"/>
        <v>-8933.0836528300679</v>
      </c>
      <c r="AT137" s="854">
        <f t="shared" si="179"/>
        <v>-2898.2358283037715</v>
      </c>
      <c r="AU137" s="854">
        <f t="shared" si="180"/>
        <v>-30278.485006226347</v>
      </c>
      <c r="AV137" s="854">
        <f t="shared" ref="AV137:AV148" si="201">SUM(AL137:AU137)</f>
        <v>-42280.262416801037</v>
      </c>
      <c r="AW137" s="854">
        <f t="shared" si="181"/>
        <v>0</v>
      </c>
      <c r="AX137" s="855">
        <f t="shared" si="182"/>
        <v>0</v>
      </c>
      <c r="AZ137" s="854">
        <f t="shared" si="183"/>
        <v>0</v>
      </c>
      <c r="BA137" s="854">
        <f t="shared" si="184"/>
        <v>0</v>
      </c>
      <c r="BB137" s="854">
        <f t="shared" si="185"/>
        <v>0</v>
      </c>
      <c r="BC137" s="854">
        <f t="shared" si="186"/>
        <v>0</v>
      </c>
      <c r="BD137" s="854">
        <f t="shared" si="187"/>
        <v>0</v>
      </c>
      <c r="BE137" s="854">
        <f t="shared" si="188"/>
        <v>-249.38273442690866</v>
      </c>
      <c r="BF137" s="854">
        <f t="shared" si="189"/>
        <v>0</v>
      </c>
      <c r="BG137" s="854">
        <f t="shared" si="190"/>
        <v>-13069.247265379629</v>
      </c>
      <c r="BH137" s="854">
        <f t="shared" si="191"/>
        <v>-4240.1663463080158</v>
      </c>
      <c r="BI137" s="854">
        <f t="shared" si="192"/>
        <v>-44297.9180254397</v>
      </c>
      <c r="BJ137" s="854">
        <f t="shared" ref="BJ137:BJ148" si="202">SUM(AZ137:BI137)</f>
        <v>-61856.714371554248</v>
      </c>
      <c r="BK137" s="58" t="str">
        <f t="shared" ref="BK137:BK148" si="203">IF(ABS(AG137-BJ137-AV137-AK137)&lt;0.5,"OK","CHECK")</f>
        <v>OK</v>
      </c>
      <c r="BL137" s="856" t="str">
        <f t="shared" si="193"/>
        <v>Waihoehoe Rd West upgrades- between Kath Henry Lane and Fitzgerald Rd TRA A29 0.363493283880925 2060 0.40600624024961</v>
      </c>
      <c r="BM137" s="153">
        <f t="shared" si="194"/>
        <v>2</v>
      </c>
      <c r="BN137" s="869">
        <f t="shared" ref="BN137:BN148" si="204">+BJ137+AV137</f>
        <v>-104136.97678835528</v>
      </c>
      <c r="BO137" s="870">
        <f>IFERROR(VLOOKUP(AF137,FA_Codes!D:H,5,FALSE),"CHECK")</f>
        <v>0</v>
      </c>
      <c r="BP137" s="870" t="str">
        <f t="shared" si="195"/>
        <v>TRA</v>
      </c>
      <c r="BQ137" s="869">
        <f t="shared" si="196"/>
        <v>0</v>
      </c>
      <c r="BR137" s="870" t="str">
        <f t="shared" si="197"/>
        <v>23d TRA A28</v>
      </c>
      <c r="BS137" s="870" t="str">
        <f t="shared" ref="BS137:BS138" si="205">IFERROR(LEFT(BR137,LEN(BR137)-8)*1,LEFT(BR137,LEN(BR137)-8))</f>
        <v>23d</v>
      </c>
      <c r="BT137" s="870" t="s">
        <v>6992</v>
      </c>
      <c r="BU137" s="870">
        <f t="shared" si="198"/>
        <v>2060</v>
      </c>
      <c r="BV137" s="153"/>
      <c r="BW137" s="153"/>
      <c r="BX137" s="153"/>
      <c r="BY137" s="153"/>
      <c r="BZ137" s="153"/>
      <c r="CA137" s="153"/>
      <c r="CB137" s="153"/>
      <c r="CC137" s="153"/>
      <c r="CD137" s="153"/>
      <c r="CE137" s="153"/>
      <c r="CF137" s="153"/>
    </row>
    <row r="138" spans="1:84" ht="26">
      <c r="A138" s="848"/>
      <c r="B138" s="848" t="s">
        <v>896</v>
      </c>
      <c r="C138" s="848"/>
      <c r="D138" s="848"/>
      <c r="E138" s="848" t="s">
        <v>6817</v>
      </c>
      <c r="F138" s="866" t="s">
        <v>6730</v>
      </c>
      <c r="G138" s="808" t="s">
        <v>6731</v>
      </c>
      <c r="H138" s="808"/>
      <c r="I138" s="808"/>
      <c r="J138" s="808"/>
      <c r="K138" s="808" t="s">
        <v>6889</v>
      </c>
      <c r="L138" s="808"/>
      <c r="M138" s="808"/>
      <c r="N138" s="808"/>
      <c r="O138" s="808"/>
      <c r="P138" s="808"/>
      <c r="Q138" s="849">
        <v>0.36349328388092461</v>
      </c>
      <c r="R138" s="848">
        <v>2060</v>
      </c>
      <c r="S138" s="850">
        <v>0</v>
      </c>
      <c r="T138" s="850">
        <v>0</v>
      </c>
      <c r="U138" s="850">
        <v>0</v>
      </c>
      <c r="V138" s="850">
        <v>0</v>
      </c>
      <c r="W138" s="850">
        <v>0</v>
      </c>
      <c r="X138" s="850">
        <v>-1989.7211516535049</v>
      </c>
      <c r="Y138" s="850">
        <v>0</v>
      </c>
      <c r="Z138" s="850">
        <v>0</v>
      </c>
      <c r="AA138" s="850">
        <v>0</v>
      </c>
      <c r="AB138" s="850">
        <v>0</v>
      </c>
      <c r="AC138" s="809">
        <f t="shared" si="199"/>
        <v>-1989.7211516535049</v>
      </c>
      <c r="AD138" s="848"/>
      <c r="AF138" s="58" t="str">
        <f>IFERROR(VLOOKUP(K138,FA_Codes!C:F,2,FALSE),"CHECK")</f>
        <v>TRA A29</v>
      </c>
      <c r="AG138" s="851">
        <f t="shared" si="169"/>
        <v>-1989.7211516535049</v>
      </c>
      <c r="AH138" s="58" t="str">
        <f>IFERROR(VLOOKUP(AF138,FA_Codes!D:F,3,FALSE),"CHECK")</f>
        <v>Local</v>
      </c>
      <c r="AI138" s="857">
        <v>0.40600624024960996</v>
      </c>
      <c r="AJ138" s="853">
        <f t="shared" si="200"/>
        <v>0.59399375975039004</v>
      </c>
      <c r="AK138" s="854">
        <f t="shared" si="170"/>
        <v>-1266.4708762316372</v>
      </c>
      <c r="AL138" s="854">
        <f t="shared" si="171"/>
        <v>0</v>
      </c>
      <c r="AM138" s="854">
        <f t="shared" si="172"/>
        <v>0</v>
      </c>
      <c r="AN138" s="854">
        <f t="shared" si="173"/>
        <v>0</v>
      </c>
      <c r="AO138" s="854">
        <f t="shared" si="174"/>
        <v>0</v>
      </c>
      <c r="AP138" s="854">
        <f t="shared" si="175"/>
        <v>0</v>
      </c>
      <c r="AQ138" s="854">
        <f t="shared" si="176"/>
        <v>-293.6441250835274</v>
      </c>
      <c r="AR138" s="854">
        <f t="shared" si="177"/>
        <v>0</v>
      </c>
      <c r="AS138" s="854">
        <f t="shared" si="178"/>
        <v>0</v>
      </c>
      <c r="AT138" s="854">
        <f t="shared" si="179"/>
        <v>0</v>
      </c>
      <c r="AU138" s="854">
        <f t="shared" si="180"/>
        <v>0</v>
      </c>
      <c r="AV138" s="854">
        <f t="shared" si="201"/>
        <v>-293.6441250835274</v>
      </c>
      <c r="AW138" s="854">
        <f t="shared" si="181"/>
        <v>0</v>
      </c>
      <c r="AX138" s="855">
        <f t="shared" si="182"/>
        <v>0</v>
      </c>
      <c r="AZ138" s="854">
        <f t="shared" si="183"/>
        <v>0</v>
      </c>
      <c r="BA138" s="854">
        <f t="shared" si="184"/>
        <v>0</v>
      </c>
      <c r="BB138" s="854">
        <f t="shared" si="185"/>
        <v>0</v>
      </c>
      <c r="BC138" s="854">
        <f t="shared" si="186"/>
        <v>0</v>
      </c>
      <c r="BD138" s="854">
        <f t="shared" si="187"/>
        <v>0</v>
      </c>
      <c r="BE138" s="854">
        <f t="shared" si="188"/>
        <v>-429.60615033834034</v>
      </c>
      <c r="BF138" s="854">
        <f t="shared" si="189"/>
        <v>0</v>
      </c>
      <c r="BG138" s="854">
        <f t="shared" si="190"/>
        <v>0</v>
      </c>
      <c r="BH138" s="854">
        <f t="shared" si="191"/>
        <v>0</v>
      </c>
      <c r="BI138" s="854">
        <f t="shared" si="192"/>
        <v>0</v>
      </c>
      <c r="BJ138" s="854">
        <f t="shared" si="202"/>
        <v>-429.60615033834034</v>
      </c>
      <c r="BK138" s="58" t="str">
        <f t="shared" si="203"/>
        <v>OK</v>
      </c>
      <c r="BL138" s="856" t="str">
        <f t="shared" si="193"/>
        <v>Upgrades on Waihoehoe Rd east- from project 4 to Drury Hills + Drury Hills Intersection TRA A29 0.363493283880925 2060 0.40600624024961</v>
      </c>
      <c r="BM138" s="153">
        <f t="shared" si="194"/>
        <v>2</v>
      </c>
      <c r="BN138" s="869">
        <f t="shared" si="204"/>
        <v>-723.25027542186774</v>
      </c>
      <c r="BO138" s="870">
        <f>IFERROR(VLOOKUP(AF138,FA_Codes!D:H,5,FALSE),"CHECK")</f>
        <v>0</v>
      </c>
      <c r="BP138" s="870" t="str">
        <f t="shared" si="195"/>
        <v>TRA</v>
      </c>
      <c r="BQ138" s="869">
        <f t="shared" si="196"/>
        <v>0</v>
      </c>
      <c r="BR138" s="870" t="str">
        <f t="shared" si="197"/>
        <v>24 TRA A28</v>
      </c>
      <c r="BS138" s="870">
        <f t="shared" si="205"/>
        <v>24</v>
      </c>
      <c r="BT138" s="870" t="s">
        <v>6992</v>
      </c>
      <c r="BU138" s="870">
        <f t="shared" si="198"/>
        <v>2060</v>
      </c>
      <c r="BV138" s="153"/>
      <c r="BW138" s="153"/>
      <c r="BX138" s="153"/>
      <c r="BY138" s="153"/>
      <c r="BZ138" s="153"/>
      <c r="CA138" s="153"/>
      <c r="CB138" s="153"/>
      <c r="CC138" s="153"/>
      <c r="CD138" s="153"/>
      <c r="CE138" s="153"/>
      <c r="CF138" s="153"/>
    </row>
    <row r="139" spans="1:84" ht="26">
      <c r="A139" s="848"/>
      <c r="B139" s="848" t="s">
        <v>896</v>
      </c>
      <c r="C139" s="848"/>
      <c r="D139" s="848"/>
      <c r="E139" s="848" t="s">
        <v>6891</v>
      </c>
      <c r="F139" s="866" t="s">
        <v>6865</v>
      </c>
      <c r="G139" s="866" t="s">
        <v>6866</v>
      </c>
      <c r="H139" s="866"/>
      <c r="I139" s="866"/>
      <c r="J139" s="866"/>
      <c r="K139" s="866" t="s">
        <v>6066</v>
      </c>
      <c r="L139" s="866"/>
      <c r="M139" s="866"/>
      <c r="N139" s="866"/>
      <c r="O139" s="866"/>
      <c r="P139" s="866"/>
      <c r="Q139" s="897">
        <v>0.32871997159665223</v>
      </c>
      <c r="R139" s="848">
        <v>2060</v>
      </c>
      <c r="S139" s="850">
        <v>0</v>
      </c>
      <c r="T139" s="850">
        <v>0</v>
      </c>
      <c r="U139" s="850">
        <v>0</v>
      </c>
      <c r="V139" s="850">
        <v>0</v>
      </c>
      <c r="W139" s="850">
        <v>0</v>
      </c>
      <c r="X139" s="850">
        <v>0</v>
      </c>
      <c r="Y139" s="850">
        <v>0</v>
      </c>
      <c r="Z139" s="850">
        <v>0</v>
      </c>
      <c r="AA139" s="850">
        <v>0</v>
      </c>
      <c r="AB139" s="850">
        <v>225992.13136967673</v>
      </c>
      <c r="AC139" s="898">
        <f t="shared" si="199"/>
        <v>225992.13136967673</v>
      </c>
      <c r="AD139" s="848"/>
      <c r="AF139" s="58" t="str">
        <f>IFERROR(VLOOKUP(K139,FA_Codes!C:F,2,FALSE),"CHECK")</f>
        <v>TRA A1</v>
      </c>
      <c r="AG139" s="851">
        <f t="shared" si="169"/>
        <v>225992.13136967673</v>
      </c>
      <c r="AH139" s="58" t="str">
        <f>IFERROR(VLOOKUP(AF139,FA_Codes!D:F,3,FALSE),"CHECK")</f>
        <v>Wider</v>
      </c>
      <c r="AI139" s="852">
        <v>0.30067701191857399</v>
      </c>
      <c r="AJ139" s="853">
        <f t="shared" si="200"/>
        <v>0.69932298808142601</v>
      </c>
      <c r="AK139" s="854">
        <f t="shared" si="170"/>
        <v>151704.0043647697</v>
      </c>
      <c r="AL139" s="854">
        <f t="shared" si="171"/>
        <v>0</v>
      </c>
      <c r="AM139" s="854">
        <f t="shared" si="172"/>
        <v>0</v>
      </c>
      <c r="AN139" s="854">
        <f t="shared" si="173"/>
        <v>0</v>
      </c>
      <c r="AO139" s="854">
        <f t="shared" si="174"/>
        <v>0</v>
      </c>
      <c r="AP139" s="854">
        <f t="shared" si="175"/>
        <v>0</v>
      </c>
      <c r="AQ139" s="854">
        <f t="shared" si="176"/>
        <v>0</v>
      </c>
      <c r="AR139" s="854">
        <f t="shared" si="177"/>
        <v>0</v>
      </c>
      <c r="AS139" s="854">
        <f t="shared" si="178"/>
        <v>0</v>
      </c>
      <c r="AT139" s="854">
        <f t="shared" si="179"/>
        <v>0</v>
      </c>
      <c r="AU139" s="854">
        <f t="shared" si="180"/>
        <v>22336.73204886297</v>
      </c>
      <c r="AV139" s="854">
        <f t="shared" si="201"/>
        <v>22336.73204886297</v>
      </c>
      <c r="AW139" s="854">
        <f t="shared" si="181"/>
        <v>0</v>
      </c>
      <c r="AX139" s="855">
        <f t="shared" si="182"/>
        <v>0</v>
      </c>
      <c r="AZ139" s="854">
        <f t="shared" si="183"/>
        <v>0</v>
      </c>
      <c r="BA139" s="854">
        <f t="shared" si="184"/>
        <v>0</v>
      </c>
      <c r="BB139" s="854">
        <f t="shared" si="185"/>
        <v>0</v>
      </c>
      <c r="BC139" s="854">
        <f t="shared" si="186"/>
        <v>0</v>
      </c>
      <c r="BD139" s="854">
        <f t="shared" si="187"/>
        <v>0</v>
      </c>
      <c r="BE139" s="854">
        <f t="shared" si="188"/>
        <v>0</v>
      </c>
      <c r="BF139" s="854">
        <f t="shared" si="189"/>
        <v>0</v>
      </c>
      <c r="BG139" s="854">
        <f t="shared" si="190"/>
        <v>0</v>
      </c>
      <c r="BH139" s="854">
        <f t="shared" si="191"/>
        <v>0</v>
      </c>
      <c r="BI139" s="854">
        <f t="shared" si="192"/>
        <v>51951.39495604406</v>
      </c>
      <c r="BJ139" s="854">
        <f t="shared" si="202"/>
        <v>51951.39495604406</v>
      </c>
      <c r="BK139" s="58" t="str">
        <f t="shared" si="203"/>
        <v>OK</v>
      </c>
      <c r="BL139" s="878" t="str">
        <f t="shared" si="193"/>
        <v>Western end of Brookefield Road Extension tie in with Quarry Rd TRA A1 0.328719971596652 2060 0.300677011918574</v>
      </c>
      <c r="BM139" s="870">
        <f t="shared" si="194"/>
        <v>1</v>
      </c>
      <c r="BN139" s="869">
        <f t="shared" si="204"/>
        <v>74288.12700490703</v>
      </c>
      <c r="BO139" s="870" t="str">
        <f>IFERROR(VLOOKUP(AF139,FA_Codes!D:H,5,FALSE),"CHECK")</f>
        <v>Regional</v>
      </c>
      <c r="BP139" s="870" t="str">
        <f t="shared" si="195"/>
        <v>TRA</v>
      </c>
      <c r="BQ139" s="869">
        <f t="shared" si="196"/>
        <v>225992.13136967673</v>
      </c>
      <c r="BR139" s="870" t="str">
        <f t="shared" si="197"/>
        <v>14a TRA A1</v>
      </c>
      <c r="BS139" s="870" t="str">
        <f>IFERROR(LEFT(BR139,LEN(BR139)-7)*1,LEFT(BR139,LEN(BR139)-7))</f>
        <v>14a</v>
      </c>
      <c r="BT139" s="870" t="s">
        <v>6991</v>
      </c>
      <c r="BU139" s="870">
        <f t="shared" si="198"/>
        <v>2060</v>
      </c>
      <c r="BV139" s="153"/>
      <c r="BW139" s="153"/>
      <c r="BX139" s="153"/>
      <c r="BY139" s="153"/>
      <c r="BZ139" s="153"/>
      <c r="CA139" s="153"/>
      <c r="CB139" s="153"/>
      <c r="CC139" s="153"/>
      <c r="CD139" s="153"/>
      <c r="CE139" s="153"/>
      <c r="CF139" s="153"/>
    </row>
    <row r="140" spans="1:84" ht="26">
      <c r="A140" s="848"/>
      <c r="B140" s="848" t="s">
        <v>896</v>
      </c>
      <c r="C140" s="848"/>
      <c r="D140" s="848"/>
      <c r="E140" s="848" t="s">
        <v>6892</v>
      </c>
      <c r="F140" s="866" t="s">
        <v>6868</v>
      </c>
      <c r="G140" s="866" t="s">
        <v>6711</v>
      </c>
      <c r="H140" s="866"/>
      <c r="I140" s="866"/>
      <c r="J140" s="866"/>
      <c r="K140" s="866" t="s">
        <v>6066</v>
      </c>
      <c r="L140" s="866"/>
      <c r="M140" s="866"/>
      <c r="N140" s="866"/>
      <c r="O140" s="866"/>
      <c r="P140" s="866"/>
      <c r="Q140" s="897">
        <v>0.32871997159665223</v>
      </c>
      <c r="R140" s="848">
        <v>2060</v>
      </c>
      <c r="S140" s="850">
        <v>0</v>
      </c>
      <c r="T140" s="850">
        <v>0</v>
      </c>
      <c r="U140" s="850">
        <v>0</v>
      </c>
      <c r="V140" s="850">
        <v>0</v>
      </c>
      <c r="W140" s="850">
        <v>0</v>
      </c>
      <c r="X140" s="850">
        <v>0</v>
      </c>
      <c r="Y140" s="850">
        <v>0</v>
      </c>
      <c r="Z140" s="850">
        <v>0</v>
      </c>
      <c r="AA140" s="850">
        <v>60811.474439180914</v>
      </c>
      <c r="AB140" s="850">
        <v>604167.52686912043</v>
      </c>
      <c r="AC140" s="898">
        <f t="shared" si="199"/>
        <v>664979.00130830135</v>
      </c>
      <c r="AD140" s="848"/>
      <c r="AF140" s="58" t="str">
        <f>IFERROR(VLOOKUP(K140,FA_Codes!C:F,2,FALSE),"CHECK")</f>
        <v>TRA A1</v>
      </c>
      <c r="AG140" s="851">
        <f t="shared" si="169"/>
        <v>664979.00130830135</v>
      </c>
      <c r="AH140" s="58" t="str">
        <f>IFERROR(VLOOKUP(AF140,FA_Codes!D:F,3,FALSE),"CHECK")</f>
        <v>Wider</v>
      </c>
      <c r="AI140" s="852">
        <v>0.30067701191857399</v>
      </c>
      <c r="AJ140" s="853">
        <f t="shared" si="200"/>
        <v>0.69932298808142601</v>
      </c>
      <c r="AK140" s="854">
        <f t="shared" si="170"/>
        <v>446387.12288586638</v>
      </c>
      <c r="AL140" s="854">
        <f t="shared" si="171"/>
        <v>0</v>
      </c>
      <c r="AM140" s="854">
        <f t="shared" si="172"/>
        <v>0</v>
      </c>
      <c r="AN140" s="854">
        <f t="shared" si="173"/>
        <v>0</v>
      </c>
      <c r="AO140" s="854">
        <f t="shared" si="174"/>
        <v>0</v>
      </c>
      <c r="AP140" s="854">
        <f t="shared" si="175"/>
        <v>0</v>
      </c>
      <c r="AQ140" s="854">
        <f t="shared" si="176"/>
        <v>0</v>
      </c>
      <c r="AR140" s="854">
        <f t="shared" si="177"/>
        <v>0</v>
      </c>
      <c r="AS140" s="854">
        <f t="shared" si="178"/>
        <v>0</v>
      </c>
      <c r="AT140" s="854">
        <f t="shared" si="179"/>
        <v>6010.5172769148994</v>
      </c>
      <c r="AU140" s="854">
        <f t="shared" si="180"/>
        <v>59715.035556811054</v>
      </c>
      <c r="AV140" s="854">
        <f t="shared" si="201"/>
        <v>65725.55283372596</v>
      </c>
      <c r="AW140" s="854">
        <f t="shared" si="181"/>
        <v>0</v>
      </c>
      <c r="AX140" s="855">
        <f t="shared" si="182"/>
        <v>0</v>
      </c>
      <c r="AZ140" s="854">
        <f t="shared" si="183"/>
        <v>0</v>
      </c>
      <c r="BA140" s="854">
        <f t="shared" si="184"/>
        <v>0</v>
      </c>
      <c r="BB140" s="854">
        <f t="shared" si="185"/>
        <v>0</v>
      </c>
      <c r="BC140" s="854">
        <f t="shared" si="186"/>
        <v>0</v>
      </c>
      <c r="BD140" s="854">
        <f t="shared" si="187"/>
        <v>0</v>
      </c>
      <c r="BE140" s="854">
        <f t="shared" si="188"/>
        <v>0</v>
      </c>
      <c r="BF140" s="854">
        <f t="shared" si="189"/>
        <v>0</v>
      </c>
      <c r="BG140" s="854">
        <f t="shared" si="190"/>
        <v>0</v>
      </c>
      <c r="BH140" s="854">
        <f t="shared" si="191"/>
        <v>13979.428873483193</v>
      </c>
      <c r="BI140" s="854">
        <f t="shared" si="192"/>
        <v>138886.89671522583</v>
      </c>
      <c r="BJ140" s="854">
        <f t="shared" si="202"/>
        <v>152866.32558870903</v>
      </c>
      <c r="BK140" s="58" t="str">
        <f t="shared" si="203"/>
        <v>OK</v>
      </c>
      <c r="BL140" s="878" t="str">
        <f t="shared" si="193"/>
        <v>GSR improvements - Waihoehoe Rd to Drury Interchange TRA A1 0.328719971596652 2060 0.300677011918574</v>
      </c>
      <c r="BM140" s="870">
        <f t="shared" si="194"/>
        <v>2</v>
      </c>
      <c r="BN140" s="869">
        <f t="shared" si="204"/>
        <v>218591.87842243499</v>
      </c>
      <c r="BO140" s="870" t="str">
        <f>IFERROR(VLOOKUP(AF140,FA_Codes!D:H,5,FALSE),"CHECK")</f>
        <v>Regional</v>
      </c>
      <c r="BP140" s="870" t="str">
        <f t="shared" si="195"/>
        <v>TRA</v>
      </c>
      <c r="BQ140" s="869">
        <f t="shared" si="196"/>
        <v>664979.00130830135</v>
      </c>
      <c r="BR140" s="870" t="str">
        <f t="shared" si="197"/>
        <v>1b TRA A1</v>
      </c>
      <c r="BS140" s="870" t="str">
        <f t="shared" ref="BS140:BS147" si="206">IFERROR(LEFT(BR140,LEN(BR140)-7)*1,LEFT(BR140,LEN(BR140)-7))</f>
        <v>1b</v>
      </c>
      <c r="BT140" s="870" t="s">
        <v>6992</v>
      </c>
      <c r="BU140" s="870">
        <f t="shared" si="198"/>
        <v>2060</v>
      </c>
      <c r="BV140" s="153"/>
      <c r="BW140" s="153"/>
      <c r="BX140" s="153"/>
      <c r="BY140" s="153"/>
      <c r="BZ140" s="153"/>
      <c r="CA140" s="153"/>
      <c r="CB140" s="153"/>
      <c r="CC140" s="153"/>
      <c r="CD140" s="153"/>
      <c r="CE140" s="153"/>
      <c r="CF140" s="153"/>
    </row>
    <row r="141" spans="1:84" ht="26">
      <c r="A141" s="848"/>
      <c r="B141" s="848" t="s">
        <v>896</v>
      </c>
      <c r="C141" s="848"/>
      <c r="D141" s="848"/>
      <c r="E141" s="848" t="s">
        <v>6828</v>
      </c>
      <c r="F141" s="866" t="s">
        <v>6708</v>
      </c>
      <c r="G141" s="866" t="s">
        <v>6709</v>
      </c>
      <c r="H141" s="866"/>
      <c r="I141" s="866"/>
      <c r="J141" s="866"/>
      <c r="K141" s="866" t="s">
        <v>6066</v>
      </c>
      <c r="L141" s="866"/>
      <c r="M141" s="866"/>
      <c r="N141" s="866"/>
      <c r="O141" s="866"/>
      <c r="P141" s="866"/>
      <c r="Q141" s="897">
        <v>0.32871997159665223</v>
      </c>
      <c r="R141" s="848">
        <v>2060</v>
      </c>
      <c r="S141" s="850">
        <v>0</v>
      </c>
      <c r="T141" s="850">
        <v>0</v>
      </c>
      <c r="U141" s="850">
        <v>0</v>
      </c>
      <c r="V141" s="850">
        <v>0</v>
      </c>
      <c r="W141" s="850">
        <v>0</v>
      </c>
      <c r="X141" s="850">
        <v>0</v>
      </c>
      <c r="Y141" s="850">
        <v>0</v>
      </c>
      <c r="Z141" s="850">
        <v>37002.546161363432</v>
      </c>
      <c r="AA141" s="850">
        <v>367623.65998097853</v>
      </c>
      <c r="AB141" s="850">
        <v>0</v>
      </c>
      <c r="AC141" s="898">
        <f t="shared" si="199"/>
        <v>404626.20614234195</v>
      </c>
      <c r="AD141" s="848"/>
      <c r="AF141" s="58" t="str">
        <f>IFERROR(VLOOKUP(K141,FA_Codes!C:F,2,FALSE),"CHECK")</f>
        <v>TRA A1</v>
      </c>
      <c r="AG141" s="851">
        <f t="shared" si="169"/>
        <v>404626.20614234195</v>
      </c>
      <c r="AH141" s="58" t="str">
        <f>IFERROR(VLOOKUP(AF141,FA_Codes!D:F,3,FALSE),"CHECK")</f>
        <v>Wider</v>
      </c>
      <c r="AI141" s="852">
        <v>0.30067701191857399</v>
      </c>
      <c r="AJ141" s="853">
        <f t="shared" si="200"/>
        <v>0.69932298808142601</v>
      </c>
      <c r="AK141" s="854">
        <f t="shared" si="170"/>
        <v>271617.49115197017</v>
      </c>
      <c r="AL141" s="854">
        <f t="shared" si="171"/>
        <v>0</v>
      </c>
      <c r="AM141" s="854">
        <f t="shared" si="172"/>
        <v>0</v>
      </c>
      <c r="AN141" s="854">
        <f t="shared" si="173"/>
        <v>0</v>
      </c>
      <c r="AO141" s="854">
        <f t="shared" si="174"/>
        <v>0</v>
      </c>
      <c r="AP141" s="854">
        <f t="shared" si="175"/>
        <v>0</v>
      </c>
      <c r="AQ141" s="854">
        <f t="shared" si="176"/>
        <v>0</v>
      </c>
      <c r="AR141" s="854">
        <f t="shared" si="177"/>
        <v>0</v>
      </c>
      <c r="AS141" s="854">
        <f t="shared" si="178"/>
        <v>3657.2775951214317</v>
      </c>
      <c r="AT141" s="854">
        <f t="shared" si="179"/>
        <v>36335.385387312803</v>
      </c>
      <c r="AU141" s="854">
        <f t="shared" si="180"/>
        <v>0</v>
      </c>
      <c r="AV141" s="854">
        <f t="shared" si="201"/>
        <v>39992.662982434238</v>
      </c>
      <c r="AW141" s="854">
        <f t="shared" si="181"/>
        <v>0</v>
      </c>
      <c r="AX141" s="855">
        <f t="shared" si="182"/>
        <v>0</v>
      </c>
      <c r="AZ141" s="854">
        <f t="shared" si="183"/>
        <v>0</v>
      </c>
      <c r="BA141" s="854">
        <f t="shared" si="184"/>
        <v>0</v>
      </c>
      <c r="BB141" s="854">
        <f t="shared" si="185"/>
        <v>0</v>
      </c>
      <c r="BC141" s="854">
        <f t="shared" si="186"/>
        <v>0</v>
      </c>
      <c r="BD141" s="854">
        <f t="shared" si="187"/>
        <v>0</v>
      </c>
      <c r="BE141" s="854">
        <f t="shared" si="188"/>
        <v>0</v>
      </c>
      <c r="BF141" s="854">
        <f t="shared" si="189"/>
        <v>0</v>
      </c>
      <c r="BG141" s="854">
        <f t="shared" si="190"/>
        <v>8506.198328045768</v>
      </c>
      <c r="BH141" s="854">
        <f t="shared" si="191"/>
        <v>84509.853679891807</v>
      </c>
      <c r="BI141" s="854">
        <f t="shared" si="192"/>
        <v>0</v>
      </c>
      <c r="BJ141" s="854">
        <f t="shared" si="202"/>
        <v>93016.052007937571</v>
      </c>
      <c r="BK141" s="58" t="str">
        <f t="shared" si="203"/>
        <v>OK</v>
      </c>
      <c r="BL141" s="878" t="str">
        <f t="shared" si="193"/>
        <v>GSR improvements - From Drury School to Waihoehoe Rd TRA A1 0.328719971596652 2060 0.300677011918574</v>
      </c>
      <c r="BM141" s="870">
        <f t="shared" si="194"/>
        <v>2</v>
      </c>
      <c r="BN141" s="869">
        <f t="shared" si="204"/>
        <v>133008.71499037181</v>
      </c>
      <c r="BO141" s="870" t="str">
        <f>IFERROR(VLOOKUP(AF141,FA_Codes!D:H,5,FALSE),"CHECK")</f>
        <v>Regional</v>
      </c>
      <c r="BP141" s="870" t="str">
        <f t="shared" si="195"/>
        <v>TRA</v>
      </c>
      <c r="BQ141" s="869">
        <f t="shared" si="196"/>
        <v>404626.20614234195</v>
      </c>
      <c r="BR141" s="870" t="str">
        <f t="shared" si="197"/>
        <v>2a TRA A1</v>
      </c>
      <c r="BS141" s="870" t="str">
        <f t="shared" si="206"/>
        <v>2a</v>
      </c>
      <c r="BT141" s="870" t="s">
        <v>6992</v>
      </c>
      <c r="BU141" s="870">
        <f t="shared" si="198"/>
        <v>2060</v>
      </c>
      <c r="BV141" s="153"/>
      <c r="BW141" s="153"/>
      <c r="BX141" s="153"/>
      <c r="BY141" s="153"/>
      <c r="BZ141" s="153"/>
      <c r="CA141" s="153"/>
      <c r="CB141" s="153"/>
      <c r="CC141" s="153"/>
      <c r="CD141" s="153"/>
      <c r="CE141" s="153"/>
      <c r="CF141" s="153"/>
    </row>
    <row r="142" spans="1:84" ht="26">
      <c r="A142" s="848"/>
      <c r="B142" s="848" t="s">
        <v>896</v>
      </c>
      <c r="C142" s="848"/>
      <c r="D142" s="848"/>
      <c r="E142" s="848" t="s">
        <v>6829</v>
      </c>
      <c r="F142" s="866" t="s">
        <v>6733</v>
      </c>
      <c r="G142" s="866" t="s">
        <v>6734</v>
      </c>
      <c r="H142" s="866"/>
      <c r="I142" s="866"/>
      <c r="J142" s="866"/>
      <c r="K142" s="866" t="s">
        <v>6066</v>
      </c>
      <c r="L142" s="866"/>
      <c r="M142" s="866"/>
      <c r="N142" s="866"/>
      <c r="O142" s="866"/>
      <c r="P142" s="866"/>
      <c r="Q142" s="897">
        <v>0.32871997159665223</v>
      </c>
      <c r="R142" s="848">
        <v>2060</v>
      </c>
      <c r="S142" s="850">
        <v>0</v>
      </c>
      <c r="T142" s="850">
        <v>0</v>
      </c>
      <c r="U142" s="850">
        <v>0</v>
      </c>
      <c r="V142" s="850">
        <v>0</v>
      </c>
      <c r="W142" s="850">
        <v>0</v>
      </c>
      <c r="X142" s="850">
        <v>0</v>
      </c>
      <c r="Y142" s="850">
        <v>0</v>
      </c>
      <c r="Z142" s="850">
        <v>0</v>
      </c>
      <c r="AA142" s="850">
        <v>0</v>
      </c>
      <c r="AB142" s="850">
        <v>676561.22081865778</v>
      </c>
      <c r="AC142" s="898">
        <f t="shared" si="199"/>
        <v>676561.22081865778</v>
      </c>
      <c r="AD142" s="848"/>
      <c r="AF142" s="58" t="str">
        <f>IFERROR(VLOOKUP(K142,FA_Codes!C:F,2,FALSE),"CHECK")</f>
        <v>TRA A1</v>
      </c>
      <c r="AG142" s="851">
        <f t="shared" si="169"/>
        <v>676561.22081865778</v>
      </c>
      <c r="AH142" s="58" t="str">
        <f>IFERROR(VLOOKUP(AF142,FA_Codes!D:F,3,FALSE),"CHECK")</f>
        <v>Wider</v>
      </c>
      <c r="AI142" s="852">
        <v>0.30067701191857399</v>
      </c>
      <c r="AJ142" s="853">
        <f t="shared" si="200"/>
        <v>0.69932298808142601</v>
      </c>
      <c r="AK142" s="854">
        <f t="shared" si="170"/>
        <v>454162.03552775225</v>
      </c>
      <c r="AL142" s="854">
        <f t="shared" si="171"/>
        <v>0</v>
      </c>
      <c r="AM142" s="854">
        <f t="shared" si="172"/>
        <v>0</v>
      </c>
      <c r="AN142" s="854">
        <f t="shared" si="173"/>
        <v>0</v>
      </c>
      <c r="AO142" s="854">
        <f t="shared" si="174"/>
        <v>0</v>
      </c>
      <c r="AP142" s="854">
        <f t="shared" si="175"/>
        <v>0</v>
      </c>
      <c r="AQ142" s="854">
        <f t="shared" si="176"/>
        <v>0</v>
      </c>
      <c r="AR142" s="854">
        <f t="shared" si="177"/>
        <v>0</v>
      </c>
      <c r="AS142" s="854">
        <f t="shared" si="178"/>
        <v>0</v>
      </c>
      <c r="AT142" s="854">
        <f t="shared" si="179"/>
        <v>0</v>
      </c>
      <c r="AU142" s="854">
        <f t="shared" si="180"/>
        <v>66870.322486394754</v>
      </c>
      <c r="AV142" s="854">
        <f t="shared" si="201"/>
        <v>66870.322486394754</v>
      </c>
      <c r="AW142" s="854">
        <f t="shared" si="181"/>
        <v>0</v>
      </c>
      <c r="AX142" s="855">
        <f t="shared" si="182"/>
        <v>0</v>
      </c>
      <c r="AZ142" s="854">
        <f t="shared" si="183"/>
        <v>0</v>
      </c>
      <c r="BA142" s="854">
        <f t="shared" si="184"/>
        <v>0</v>
      </c>
      <c r="BB142" s="854">
        <f t="shared" si="185"/>
        <v>0</v>
      </c>
      <c r="BC142" s="854">
        <f t="shared" si="186"/>
        <v>0</v>
      </c>
      <c r="BD142" s="854">
        <f t="shared" si="187"/>
        <v>0</v>
      </c>
      <c r="BE142" s="854">
        <f t="shared" si="188"/>
        <v>0</v>
      </c>
      <c r="BF142" s="854">
        <f t="shared" si="189"/>
        <v>0</v>
      </c>
      <c r="BG142" s="854">
        <f t="shared" si="190"/>
        <v>0</v>
      </c>
      <c r="BH142" s="854">
        <f t="shared" si="191"/>
        <v>0</v>
      </c>
      <c r="BI142" s="854">
        <f t="shared" si="192"/>
        <v>155528.86280451078</v>
      </c>
      <c r="BJ142" s="854">
        <f t="shared" si="202"/>
        <v>155528.86280451078</v>
      </c>
      <c r="BK142" s="58" t="str">
        <f t="shared" si="203"/>
        <v>OK</v>
      </c>
      <c r="BL142" s="878" t="str">
        <f t="shared" si="193"/>
        <v>Bremner-Norrie Road east of SH1 up to GSR (overlap with project 12) TRA A1 0.328719971596652 2060 0.300677011918574</v>
      </c>
      <c r="BM142" s="870">
        <f t="shared" si="194"/>
        <v>2</v>
      </c>
      <c r="BN142" s="869">
        <f t="shared" si="204"/>
        <v>222399.18529090553</v>
      </c>
      <c r="BO142" s="870" t="str">
        <f>IFERROR(VLOOKUP(AF142,FA_Codes!D:H,5,FALSE),"CHECK")</f>
        <v>Regional</v>
      </c>
      <c r="BP142" s="870" t="str">
        <f t="shared" si="195"/>
        <v>TRA</v>
      </c>
      <c r="BQ142" s="869">
        <f t="shared" si="196"/>
        <v>676561.22081865778</v>
      </c>
      <c r="BR142" s="870" t="str">
        <f t="shared" si="197"/>
        <v>36a TRA A1</v>
      </c>
      <c r="BS142" s="870" t="str">
        <f t="shared" si="206"/>
        <v>36a</v>
      </c>
      <c r="BT142" s="870" t="s">
        <v>6992</v>
      </c>
      <c r="BU142" s="870">
        <f t="shared" si="198"/>
        <v>2060</v>
      </c>
      <c r="BV142" s="153"/>
      <c r="BW142" s="153"/>
      <c r="BX142" s="153"/>
      <c r="BY142" s="153"/>
      <c r="BZ142" s="153"/>
      <c r="CA142" s="153"/>
      <c r="CB142" s="153"/>
      <c r="CC142" s="153"/>
      <c r="CD142" s="153"/>
      <c r="CE142" s="153"/>
      <c r="CF142" s="153"/>
    </row>
    <row r="143" spans="1:84" ht="26">
      <c r="A143" s="848"/>
      <c r="B143" s="848" t="s">
        <v>896</v>
      </c>
      <c r="C143" s="848"/>
      <c r="D143" s="848"/>
      <c r="E143" s="848" t="s">
        <v>6893</v>
      </c>
      <c r="F143" s="866" t="s">
        <v>6873</v>
      </c>
      <c r="G143" s="866" t="s">
        <v>6874</v>
      </c>
      <c r="H143" s="866"/>
      <c r="I143" s="866"/>
      <c r="J143" s="866"/>
      <c r="K143" s="866" t="s">
        <v>6066</v>
      </c>
      <c r="L143" s="866"/>
      <c r="M143" s="866"/>
      <c r="N143" s="866"/>
      <c r="O143" s="866"/>
      <c r="P143" s="866"/>
      <c r="Q143" s="897">
        <v>0.32871997159665223</v>
      </c>
      <c r="R143" s="848">
        <v>2060</v>
      </c>
      <c r="S143" s="850">
        <v>0</v>
      </c>
      <c r="T143" s="850">
        <v>0</v>
      </c>
      <c r="U143" s="850">
        <v>0</v>
      </c>
      <c r="V143" s="850">
        <v>0</v>
      </c>
      <c r="W143" s="850">
        <v>0</v>
      </c>
      <c r="X143" s="850">
        <v>0</v>
      </c>
      <c r="Y143" s="850">
        <v>0</v>
      </c>
      <c r="Z143" s="850">
        <v>0</v>
      </c>
      <c r="AA143" s="850">
        <v>17265.398756501494</v>
      </c>
      <c r="AB143" s="850">
        <v>171533.30622754747</v>
      </c>
      <c r="AC143" s="898">
        <f t="shared" si="199"/>
        <v>188798.70498404896</v>
      </c>
      <c r="AD143" s="848"/>
      <c r="AF143" s="58" t="str">
        <f>IFERROR(VLOOKUP(K143,FA_Codes!C:F,2,FALSE),"CHECK")</f>
        <v>TRA A1</v>
      </c>
      <c r="AG143" s="851">
        <f t="shared" si="169"/>
        <v>188798.70498404896</v>
      </c>
      <c r="AH143" s="58" t="str">
        <f>IFERROR(VLOOKUP(AF143,FA_Codes!D:F,3,FALSE),"CHECK")</f>
        <v>Wider</v>
      </c>
      <c r="AI143" s="852">
        <v>0.30067701191857399</v>
      </c>
      <c r="AJ143" s="853">
        <f t="shared" si="200"/>
        <v>0.69932298808142601</v>
      </c>
      <c r="AK143" s="854">
        <f t="shared" si="170"/>
        <v>126736.80004420766</v>
      </c>
      <c r="AL143" s="854">
        <f t="shared" si="171"/>
        <v>0</v>
      </c>
      <c r="AM143" s="854">
        <f t="shared" si="172"/>
        <v>0</v>
      </c>
      <c r="AN143" s="854">
        <f t="shared" si="173"/>
        <v>0</v>
      </c>
      <c r="AO143" s="854">
        <f t="shared" si="174"/>
        <v>0</v>
      </c>
      <c r="AP143" s="854">
        <f t="shared" si="175"/>
        <v>0</v>
      </c>
      <c r="AQ143" s="854">
        <f t="shared" si="176"/>
        <v>0</v>
      </c>
      <c r="AR143" s="854">
        <f t="shared" si="177"/>
        <v>0</v>
      </c>
      <c r="AS143" s="854">
        <f t="shared" si="178"/>
        <v>0</v>
      </c>
      <c r="AT143" s="854">
        <f t="shared" si="179"/>
        <v>1706.4867851965046</v>
      </c>
      <c r="AU143" s="854">
        <f t="shared" si="180"/>
        <v>16954.101346089563</v>
      </c>
      <c r="AV143" s="854">
        <f t="shared" si="201"/>
        <v>18660.588131286066</v>
      </c>
      <c r="AW143" s="854">
        <f t="shared" si="181"/>
        <v>0</v>
      </c>
      <c r="AX143" s="855">
        <f t="shared" si="182"/>
        <v>0</v>
      </c>
      <c r="AZ143" s="854">
        <f t="shared" si="183"/>
        <v>0</v>
      </c>
      <c r="BA143" s="854">
        <f t="shared" si="184"/>
        <v>0</v>
      </c>
      <c r="BB143" s="854">
        <f t="shared" si="185"/>
        <v>0</v>
      </c>
      <c r="BC143" s="854">
        <f t="shared" si="186"/>
        <v>0</v>
      </c>
      <c r="BD143" s="854">
        <f t="shared" si="187"/>
        <v>0</v>
      </c>
      <c r="BE143" s="854">
        <f t="shared" si="188"/>
        <v>0</v>
      </c>
      <c r="BF143" s="854">
        <f t="shared" si="189"/>
        <v>0</v>
      </c>
      <c r="BG143" s="854">
        <f t="shared" si="190"/>
        <v>0</v>
      </c>
      <c r="BH143" s="854">
        <f t="shared" si="191"/>
        <v>3968.9946036455412</v>
      </c>
      <c r="BI143" s="854">
        <f t="shared" si="192"/>
        <v>39432.322204909688</v>
      </c>
      <c r="BJ143" s="854">
        <f t="shared" si="202"/>
        <v>43401.316808555232</v>
      </c>
      <c r="BK143" s="58" t="str">
        <f t="shared" si="203"/>
        <v>OK</v>
      </c>
      <c r="BL143" s="878" t="str">
        <f t="shared" si="193"/>
        <v>Upgrade intersection on Jesmond/Bremner Rd TRA A1 0.328719971596652 2060 0.300677011918574</v>
      </c>
      <c r="BM143" s="870">
        <f t="shared" si="194"/>
        <v>2</v>
      </c>
      <c r="BN143" s="869">
        <f t="shared" si="204"/>
        <v>62061.904939841297</v>
      </c>
      <c r="BO143" s="870" t="str">
        <f>IFERROR(VLOOKUP(AF143,FA_Codes!D:H,5,FALSE),"CHECK")</f>
        <v>Regional</v>
      </c>
      <c r="BP143" s="870" t="str">
        <f t="shared" si="195"/>
        <v>TRA</v>
      </c>
      <c r="BQ143" s="869">
        <f t="shared" si="196"/>
        <v>188798.70498404896</v>
      </c>
      <c r="BR143" s="870" t="str">
        <f t="shared" si="197"/>
        <v>40b TRA A1</v>
      </c>
      <c r="BS143" s="870" t="str">
        <f t="shared" si="206"/>
        <v>40b</v>
      </c>
      <c r="BT143" s="870" t="s">
        <v>6992</v>
      </c>
      <c r="BU143" s="870">
        <f t="shared" si="198"/>
        <v>2060</v>
      </c>
      <c r="BV143" s="153"/>
      <c r="BW143" s="153"/>
      <c r="BX143" s="153"/>
      <c r="BY143" s="153"/>
      <c r="BZ143" s="153"/>
      <c r="CA143" s="153"/>
      <c r="CB143" s="153"/>
      <c r="CC143" s="153"/>
      <c r="CD143" s="153"/>
      <c r="CE143" s="153"/>
      <c r="CF143" s="153"/>
    </row>
    <row r="144" spans="1:84" ht="26">
      <c r="A144" s="848"/>
      <c r="B144" s="848" t="s">
        <v>896</v>
      </c>
      <c r="C144" s="848"/>
      <c r="D144" s="848"/>
      <c r="E144" s="848" t="s">
        <v>6894</v>
      </c>
      <c r="F144" s="866" t="s">
        <v>6868</v>
      </c>
      <c r="G144" s="808" t="s">
        <v>6711</v>
      </c>
      <c r="H144" s="808"/>
      <c r="I144" s="808"/>
      <c r="J144" s="808"/>
      <c r="K144" s="808" t="s">
        <v>6066</v>
      </c>
      <c r="L144" s="808"/>
      <c r="M144" s="808"/>
      <c r="N144" s="808"/>
      <c r="O144" s="808"/>
      <c r="P144" s="808"/>
      <c r="Q144" s="849">
        <v>0.32871997159665223</v>
      </c>
      <c r="R144" s="848">
        <v>2060</v>
      </c>
      <c r="S144" s="850">
        <v>0</v>
      </c>
      <c r="T144" s="850">
        <v>0</v>
      </c>
      <c r="U144" s="850">
        <v>0</v>
      </c>
      <c r="V144" s="850">
        <v>0</v>
      </c>
      <c r="W144" s="850">
        <v>0</v>
      </c>
      <c r="X144" s="850">
        <v>0</v>
      </c>
      <c r="Y144" s="850">
        <v>0</v>
      </c>
      <c r="Z144" s="850">
        <v>0</v>
      </c>
      <c r="AA144" s="850">
        <v>-31013.851963982266</v>
      </c>
      <c r="AB144" s="850">
        <v>-308125.43870325142</v>
      </c>
      <c r="AC144" s="809">
        <f t="shared" si="199"/>
        <v>-339139.2906672337</v>
      </c>
      <c r="AD144" s="848"/>
      <c r="AF144" s="58" t="str">
        <f>IFERROR(VLOOKUP(K144,FA_Codes!C:F,2,FALSE),"CHECK")</f>
        <v>TRA A1</v>
      </c>
      <c r="AG144" s="851">
        <f t="shared" si="169"/>
        <v>-339139.2906672337</v>
      </c>
      <c r="AH144" s="58" t="str">
        <f>IFERROR(VLOOKUP(AF144,FA_Codes!D:F,3,FALSE),"CHECK")</f>
        <v>Wider</v>
      </c>
      <c r="AI144" s="852">
        <v>0.30067701191857399</v>
      </c>
      <c r="AJ144" s="853">
        <f t="shared" si="200"/>
        <v>0.69932298808142601</v>
      </c>
      <c r="AK144" s="854">
        <f t="shared" si="170"/>
        <v>-227657.43267179184</v>
      </c>
      <c r="AL144" s="854">
        <f t="shared" si="171"/>
        <v>0</v>
      </c>
      <c r="AM144" s="854">
        <f t="shared" si="172"/>
        <v>0</v>
      </c>
      <c r="AN144" s="854">
        <f t="shared" si="173"/>
        <v>0</v>
      </c>
      <c r="AO144" s="854">
        <f t="shared" si="174"/>
        <v>0</v>
      </c>
      <c r="AP144" s="854">
        <f t="shared" si="175"/>
        <v>0</v>
      </c>
      <c r="AQ144" s="854">
        <f t="shared" si="176"/>
        <v>0</v>
      </c>
      <c r="AR144" s="854">
        <f t="shared" si="177"/>
        <v>0</v>
      </c>
      <c r="AS144" s="854">
        <f t="shared" si="178"/>
        <v>0</v>
      </c>
      <c r="AT144" s="854">
        <f t="shared" si="179"/>
        <v>-3065.363811226599</v>
      </c>
      <c r="AU144" s="854">
        <f t="shared" si="180"/>
        <v>-30454.668133973639</v>
      </c>
      <c r="AV144" s="854">
        <f t="shared" si="201"/>
        <v>-33520.031945200237</v>
      </c>
      <c r="AW144" s="854">
        <f t="shared" si="181"/>
        <v>0</v>
      </c>
      <c r="AX144" s="855">
        <f t="shared" si="182"/>
        <v>0</v>
      </c>
      <c r="AZ144" s="854">
        <f t="shared" si="183"/>
        <v>0</v>
      </c>
      <c r="BA144" s="854">
        <f t="shared" si="184"/>
        <v>0</v>
      </c>
      <c r="BB144" s="854">
        <f t="shared" si="185"/>
        <v>0</v>
      </c>
      <c r="BC144" s="854">
        <f t="shared" si="186"/>
        <v>0</v>
      </c>
      <c r="BD144" s="854">
        <f t="shared" si="187"/>
        <v>0</v>
      </c>
      <c r="BE144" s="854">
        <f t="shared" si="188"/>
        <v>0</v>
      </c>
      <c r="BF144" s="854">
        <f t="shared" si="189"/>
        <v>0</v>
      </c>
      <c r="BG144" s="854">
        <f t="shared" si="190"/>
        <v>0</v>
      </c>
      <c r="BH144" s="854">
        <f t="shared" si="191"/>
        <v>-7129.5087254764285</v>
      </c>
      <c r="BI144" s="854">
        <f t="shared" si="192"/>
        <v>-70832.317324765172</v>
      </c>
      <c r="BJ144" s="854">
        <f t="shared" si="202"/>
        <v>-77961.826050241594</v>
      </c>
      <c r="BK144" s="58" t="str">
        <f t="shared" si="203"/>
        <v>OK</v>
      </c>
      <c r="BL144" s="856" t="str">
        <f t="shared" si="193"/>
        <v>GSR improvements - Waihoehoe Rd to Drury Interchange TRA A1 0.328719971596652 2060 0.300677011918574</v>
      </c>
      <c r="BM144" s="153">
        <f t="shared" si="194"/>
        <v>2</v>
      </c>
      <c r="BN144" s="869">
        <f t="shared" si="204"/>
        <v>-111481.85799544182</v>
      </c>
      <c r="BO144" s="870" t="str">
        <f>IFERROR(VLOOKUP(AF144,FA_Codes!D:H,5,FALSE),"CHECK")</f>
        <v>Regional</v>
      </c>
      <c r="BP144" s="870" t="str">
        <f t="shared" si="195"/>
        <v>TRA</v>
      </c>
      <c r="BQ144" s="869">
        <f t="shared" si="196"/>
        <v>0</v>
      </c>
      <c r="BR144" s="870" t="str">
        <f t="shared" si="197"/>
        <v>1b TRA A1</v>
      </c>
      <c r="BS144" s="870" t="str">
        <f t="shared" si="206"/>
        <v>1b</v>
      </c>
      <c r="BT144" s="870" t="s">
        <v>6992</v>
      </c>
      <c r="BU144" s="870">
        <f t="shared" si="198"/>
        <v>2060</v>
      </c>
      <c r="BV144" s="153"/>
      <c r="BW144" s="153"/>
      <c r="BX144" s="153"/>
      <c r="BY144" s="153"/>
      <c r="BZ144" s="153"/>
      <c r="CA144" s="153"/>
      <c r="CB144" s="153"/>
      <c r="CC144" s="153"/>
      <c r="CD144" s="153"/>
      <c r="CE144" s="153"/>
      <c r="CF144" s="153"/>
    </row>
    <row r="145" spans="1:84" ht="26">
      <c r="A145" s="848"/>
      <c r="B145" s="848" t="s">
        <v>896</v>
      </c>
      <c r="C145" s="848"/>
      <c r="D145" s="848"/>
      <c r="E145" s="848" t="s">
        <v>6830</v>
      </c>
      <c r="F145" s="866" t="s">
        <v>6708</v>
      </c>
      <c r="G145" s="808" t="s">
        <v>6709</v>
      </c>
      <c r="H145" s="808"/>
      <c r="I145" s="808"/>
      <c r="J145" s="808"/>
      <c r="K145" s="808" t="s">
        <v>6066</v>
      </c>
      <c r="L145" s="808"/>
      <c r="M145" s="808"/>
      <c r="N145" s="808"/>
      <c r="O145" s="808"/>
      <c r="P145" s="808"/>
      <c r="Q145" s="849">
        <v>0.32871997159665223</v>
      </c>
      <c r="R145" s="848">
        <v>2060</v>
      </c>
      <c r="S145" s="850">
        <v>0</v>
      </c>
      <c r="T145" s="850">
        <v>0</v>
      </c>
      <c r="U145" s="850">
        <v>0</v>
      </c>
      <c r="V145" s="850">
        <v>0</v>
      </c>
      <c r="W145" s="850">
        <v>0</v>
      </c>
      <c r="X145" s="850">
        <v>0</v>
      </c>
      <c r="Y145" s="850">
        <v>0</v>
      </c>
      <c r="Z145" s="850">
        <v>-18871.29854229535</v>
      </c>
      <c r="AA145" s="850">
        <v>-187488.06659029904</v>
      </c>
      <c r="AB145" s="850">
        <v>0</v>
      </c>
      <c r="AC145" s="809">
        <f t="shared" si="199"/>
        <v>-206359.36513259439</v>
      </c>
      <c r="AD145" s="848"/>
      <c r="AF145" s="58" t="str">
        <f>IFERROR(VLOOKUP(K145,FA_Codes!C:F,2,FALSE),"CHECK")</f>
        <v>TRA A1</v>
      </c>
      <c r="AG145" s="851">
        <f t="shared" si="169"/>
        <v>-206359.36513259439</v>
      </c>
      <c r="AH145" s="58" t="str">
        <f>IFERROR(VLOOKUP(AF145,FA_Codes!D:F,3,FALSE),"CHECK")</f>
        <v>Wider</v>
      </c>
      <c r="AI145" s="852">
        <v>0.30067701191857399</v>
      </c>
      <c r="AJ145" s="853">
        <f t="shared" si="200"/>
        <v>0.69932298808142601</v>
      </c>
      <c r="AK145" s="854">
        <f t="shared" si="170"/>
        <v>-138524.92048750477</v>
      </c>
      <c r="AL145" s="854">
        <f t="shared" si="171"/>
        <v>0</v>
      </c>
      <c r="AM145" s="854">
        <f t="shared" si="172"/>
        <v>0</v>
      </c>
      <c r="AN145" s="854">
        <f t="shared" si="173"/>
        <v>0</v>
      </c>
      <c r="AO145" s="854">
        <f t="shared" si="174"/>
        <v>0</v>
      </c>
      <c r="AP145" s="854">
        <f t="shared" si="175"/>
        <v>0</v>
      </c>
      <c r="AQ145" s="854">
        <f t="shared" si="176"/>
        <v>0</v>
      </c>
      <c r="AR145" s="854">
        <f t="shared" si="177"/>
        <v>0</v>
      </c>
      <c r="AS145" s="854">
        <f t="shared" si="178"/>
        <v>-1865.2115735119303</v>
      </c>
      <c r="AT145" s="854">
        <f t="shared" si="179"/>
        <v>-18531.046547529528</v>
      </c>
      <c r="AU145" s="854">
        <f t="shared" si="180"/>
        <v>0</v>
      </c>
      <c r="AV145" s="854">
        <f t="shared" si="201"/>
        <v>-20396.258121041457</v>
      </c>
      <c r="AW145" s="854">
        <f t="shared" si="181"/>
        <v>0</v>
      </c>
      <c r="AX145" s="855">
        <f t="shared" si="182"/>
        <v>0</v>
      </c>
      <c r="AZ145" s="854">
        <f t="shared" si="183"/>
        <v>0</v>
      </c>
      <c r="BA145" s="854">
        <f t="shared" si="184"/>
        <v>0</v>
      </c>
      <c r="BB145" s="854">
        <f t="shared" si="185"/>
        <v>0</v>
      </c>
      <c r="BC145" s="854">
        <f t="shared" si="186"/>
        <v>0</v>
      </c>
      <c r="BD145" s="854">
        <f t="shared" si="187"/>
        <v>0</v>
      </c>
      <c r="BE145" s="854">
        <f t="shared" si="188"/>
        <v>0</v>
      </c>
      <c r="BF145" s="854">
        <f t="shared" si="189"/>
        <v>0</v>
      </c>
      <c r="BG145" s="854">
        <f t="shared" si="190"/>
        <v>-4338.1611473033417</v>
      </c>
      <c r="BH145" s="854">
        <f t="shared" si="191"/>
        <v>-43100.025376744816</v>
      </c>
      <c r="BI145" s="854">
        <f t="shared" si="192"/>
        <v>0</v>
      </c>
      <c r="BJ145" s="854">
        <f t="shared" si="202"/>
        <v>-47438.186524048157</v>
      </c>
      <c r="BK145" s="58" t="str">
        <f t="shared" si="203"/>
        <v>OK</v>
      </c>
      <c r="BL145" s="856" t="str">
        <f t="shared" si="193"/>
        <v>GSR improvements - From Drury School to Waihoehoe Rd TRA A1 0.328719971596652 2060 0.300677011918574</v>
      </c>
      <c r="BM145" s="153">
        <f t="shared" si="194"/>
        <v>2</v>
      </c>
      <c r="BN145" s="869">
        <f t="shared" si="204"/>
        <v>-67834.444645089621</v>
      </c>
      <c r="BO145" s="870" t="str">
        <f>IFERROR(VLOOKUP(AF145,FA_Codes!D:H,5,FALSE),"CHECK")</f>
        <v>Regional</v>
      </c>
      <c r="BP145" s="870" t="str">
        <f t="shared" si="195"/>
        <v>TRA</v>
      </c>
      <c r="BQ145" s="869">
        <f t="shared" si="196"/>
        <v>0</v>
      </c>
      <c r="BR145" s="870" t="str">
        <f t="shared" si="197"/>
        <v>2a TRA A1</v>
      </c>
      <c r="BS145" s="870" t="str">
        <f t="shared" si="206"/>
        <v>2a</v>
      </c>
      <c r="BT145" s="870" t="s">
        <v>6992</v>
      </c>
      <c r="BU145" s="870">
        <f t="shared" si="198"/>
        <v>2060</v>
      </c>
      <c r="BV145" s="153"/>
      <c r="BW145" s="153"/>
      <c r="BX145" s="153"/>
      <c r="BY145" s="153"/>
      <c r="BZ145" s="153"/>
      <c r="CA145" s="153"/>
      <c r="CB145" s="153"/>
      <c r="CC145" s="153"/>
      <c r="CD145" s="153"/>
      <c r="CE145" s="153"/>
      <c r="CF145" s="153"/>
    </row>
    <row r="146" spans="1:84" ht="26">
      <c r="A146" s="848"/>
      <c r="B146" s="848" t="s">
        <v>896</v>
      </c>
      <c r="C146" s="848"/>
      <c r="D146" s="848"/>
      <c r="E146" s="848" t="s">
        <v>6831</v>
      </c>
      <c r="F146" s="866" t="s">
        <v>6733</v>
      </c>
      <c r="G146" s="808" t="s">
        <v>6734</v>
      </c>
      <c r="H146" s="808"/>
      <c r="I146" s="808"/>
      <c r="J146" s="808"/>
      <c r="K146" s="808" t="s">
        <v>6066</v>
      </c>
      <c r="L146" s="808"/>
      <c r="M146" s="808"/>
      <c r="N146" s="808"/>
      <c r="O146" s="808"/>
      <c r="P146" s="808"/>
      <c r="Q146" s="849">
        <v>0.32871997159665223</v>
      </c>
      <c r="R146" s="848">
        <v>2060</v>
      </c>
      <c r="S146" s="850">
        <v>0</v>
      </c>
      <c r="T146" s="850">
        <v>0</v>
      </c>
      <c r="U146" s="850">
        <v>0</v>
      </c>
      <c r="V146" s="850">
        <v>0</v>
      </c>
      <c r="W146" s="850">
        <v>0</v>
      </c>
      <c r="X146" s="850">
        <v>0</v>
      </c>
      <c r="Y146" s="850">
        <v>0</v>
      </c>
      <c r="Z146" s="850">
        <v>0</v>
      </c>
      <c r="AA146" s="850">
        <v>0</v>
      </c>
      <c r="AB146" s="850">
        <v>-345046.22261751548</v>
      </c>
      <c r="AC146" s="809">
        <f t="shared" si="199"/>
        <v>-345046.22261751548</v>
      </c>
      <c r="AD146" s="848"/>
      <c r="AF146" s="58" t="str">
        <f>IFERROR(VLOOKUP(K146,FA_Codes!C:F,2,FALSE),"CHECK")</f>
        <v>TRA A1</v>
      </c>
      <c r="AG146" s="851">
        <f t="shared" si="169"/>
        <v>-345046.22261751548</v>
      </c>
      <c r="AH146" s="58" t="str">
        <f>IFERROR(VLOOKUP(AF146,FA_Codes!D:F,3,FALSE),"CHECK")</f>
        <v>Wider</v>
      </c>
      <c r="AI146" s="852">
        <v>0.30067701191857399</v>
      </c>
      <c r="AJ146" s="853">
        <f t="shared" si="200"/>
        <v>0.69932298808142601</v>
      </c>
      <c r="AK146" s="854">
        <f t="shared" si="170"/>
        <v>-231622.63811915365</v>
      </c>
      <c r="AL146" s="854">
        <f t="shared" si="171"/>
        <v>0</v>
      </c>
      <c r="AM146" s="854">
        <f t="shared" si="172"/>
        <v>0</v>
      </c>
      <c r="AN146" s="854">
        <f t="shared" si="173"/>
        <v>0</v>
      </c>
      <c r="AO146" s="854">
        <f t="shared" si="174"/>
        <v>0</v>
      </c>
      <c r="AP146" s="854">
        <f t="shared" si="175"/>
        <v>0</v>
      </c>
      <c r="AQ146" s="854">
        <f t="shared" si="176"/>
        <v>0</v>
      </c>
      <c r="AR146" s="854">
        <f t="shared" si="177"/>
        <v>0</v>
      </c>
      <c r="AS146" s="854">
        <f t="shared" si="178"/>
        <v>0</v>
      </c>
      <c r="AT146" s="854">
        <f t="shared" si="179"/>
        <v>0</v>
      </c>
      <c r="AU146" s="854">
        <f t="shared" si="180"/>
        <v>-34103.864468061322</v>
      </c>
      <c r="AV146" s="854">
        <f t="shared" si="201"/>
        <v>-34103.864468061322</v>
      </c>
      <c r="AW146" s="854">
        <f t="shared" si="181"/>
        <v>0</v>
      </c>
      <c r="AX146" s="855">
        <f t="shared" si="182"/>
        <v>0</v>
      </c>
      <c r="AZ146" s="854">
        <f t="shared" si="183"/>
        <v>0</v>
      </c>
      <c r="BA146" s="854">
        <f t="shared" si="184"/>
        <v>0</v>
      </c>
      <c r="BB146" s="854">
        <f t="shared" si="185"/>
        <v>0</v>
      </c>
      <c r="BC146" s="854">
        <f t="shared" si="186"/>
        <v>0</v>
      </c>
      <c r="BD146" s="854">
        <f t="shared" si="187"/>
        <v>0</v>
      </c>
      <c r="BE146" s="854">
        <f t="shared" si="188"/>
        <v>0</v>
      </c>
      <c r="BF146" s="854">
        <f t="shared" si="189"/>
        <v>0</v>
      </c>
      <c r="BG146" s="854">
        <f t="shared" si="190"/>
        <v>0</v>
      </c>
      <c r="BH146" s="854">
        <f t="shared" si="191"/>
        <v>0</v>
      </c>
      <c r="BI146" s="854">
        <f t="shared" si="192"/>
        <v>-79319.720030300508</v>
      </c>
      <c r="BJ146" s="854">
        <f t="shared" si="202"/>
        <v>-79319.720030300508</v>
      </c>
      <c r="BK146" s="58" t="str">
        <f t="shared" si="203"/>
        <v>OK</v>
      </c>
      <c r="BL146" s="856" t="str">
        <f t="shared" si="193"/>
        <v>Bremner-Norrie Road east of SH1 up to GSR (overlap with project 12) TRA A1 0.328719971596652 2060 0.300677011918574</v>
      </c>
      <c r="BM146" s="153">
        <f t="shared" si="194"/>
        <v>2</v>
      </c>
      <c r="BN146" s="869">
        <f t="shared" si="204"/>
        <v>-113423.58449836183</v>
      </c>
      <c r="BO146" s="870" t="str">
        <f>IFERROR(VLOOKUP(AF146,FA_Codes!D:H,5,FALSE),"CHECK")</f>
        <v>Regional</v>
      </c>
      <c r="BP146" s="870" t="str">
        <f t="shared" si="195"/>
        <v>TRA</v>
      </c>
      <c r="BQ146" s="869">
        <f t="shared" si="196"/>
        <v>0</v>
      </c>
      <c r="BR146" s="870" t="str">
        <f t="shared" si="197"/>
        <v>36a TRA A1</v>
      </c>
      <c r="BS146" s="870" t="str">
        <f t="shared" si="206"/>
        <v>36a</v>
      </c>
      <c r="BT146" s="870" t="s">
        <v>6992</v>
      </c>
      <c r="BU146" s="870">
        <f t="shared" si="198"/>
        <v>2060</v>
      </c>
      <c r="BV146" s="153"/>
      <c r="BW146" s="153"/>
      <c r="BX146" s="153"/>
      <c r="BY146" s="153"/>
      <c r="BZ146" s="153"/>
      <c r="CA146" s="153"/>
      <c r="CB146" s="153"/>
      <c r="CC146" s="153"/>
      <c r="CD146" s="153"/>
      <c r="CE146" s="153"/>
      <c r="CF146" s="153"/>
    </row>
    <row r="147" spans="1:84" ht="26">
      <c r="A147" s="848"/>
      <c r="B147" s="848" t="s">
        <v>896</v>
      </c>
      <c r="C147" s="848"/>
      <c r="D147" s="848"/>
      <c r="E147" s="848" t="s">
        <v>6895</v>
      </c>
      <c r="F147" s="866" t="s">
        <v>6873</v>
      </c>
      <c r="G147" s="808" t="s">
        <v>6874</v>
      </c>
      <c r="H147" s="808"/>
      <c r="I147" s="808"/>
      <c r="J147" s="808"/>
      <c r="K147" s="808" t="s">
        <v>6066</v>
      </c>
      <c r="L147" s="808"/>
      <c r="M147" s="808"/>
      <c r="N147" s="808"/>
      <c r="O147" s="808"/>
      <c r="P147" s="808"/>
      <c r="Q147" s="849">
        <v>0.32871997159665223</v>
      </c>
      <c r="R147" s="848">
        <v>2060</v>
      </c>
      <c r="S147" s="850">
        <v>0</v>
      </c>
      <c r="T147" s="850">
        <v>0</v>
      </c>
      <c r="U147" s="850">
        <v>0</v>
      </c>
      <c r="V147" s="850">
        <v>0</v>
      </c>
      <c r="W147" s="850">
        <v>0</v>
      </c>
      <c r="X147" s="850">
        <v>0</v>
      </c>
      <c r="Y147" s="850">
        <v>0</v>
      </c>
      <c r="Z147" s="850">
        <v>0</v>
      </c>
      <c r="AA147" s="850">
        <v>-8805.353365815763</v>
      </c>
      <c r="AB147" s="850">
        <v>-87481.986176049206</v>
      </c>
      <c r="AC147" s="809">
        <f t="shared" si="199"/>
        <v>-96287.339541864974</v>
      </c>
      <c r="AD147" s="848"/>
      <c r="AF147" s="58" t="str">
        <f>IFERROR(VLOOKUP(K147,FA_Codes!C:F,2,FALSE),"CHECK")</f>
        <v>TRA A1</v>
      </c>
      <c r="AG147" s="851">
        <f t="shared" si="169"/>
        <v>-96287.339541864974</v>
      </c>
      <c r="AH147" s="58" t="str">
        <f>IFERROR(VLOOKUP(AF147,FA_Codes!D:F,3,FALSE),"CHECK")</f>
        <v>Wider</v>
      </c>
      <c r="AI147" s="852">
        <v>0.30067701191857399</v>
      </c>
      <c r="AJ147" s="853">
        <f t="shared" si="200"/>
        <v>0.69932298808142601</v>
      </c>
      <c r="AK147" s="854">
        <f t="shared" si="170"/>
        <v>-64635.768022545912</v>
      </c>
      <c r="AL147" s="854">
        <f t="shared" si="171"/>
        <v>0</v>
      </c>
      <c r="AM147" s="854">
        <f t="shared" si="172"/>
        <v>0</v>
      </c>
      <c r="AN147" s="854">
        <f t="shared" si="173"/>
        <v>0</v>
      </c>
      <c r="AO147" s="854">
        <f t="shared" si="174"/>
        <v>0</v>
      </c>
      <c r="AP147" s="854">
        <f t="shared" si="175"/>
        <v>0</v>
      </c>
      <c r="AQ147" s="854">
        <f t="shared" si="176"/>
        <v>0</v>
      </c>
      <c r="AR147" s="854">
        <f t="shared" si="177"/>
        <v>0</v>
      </c>
      <c r="AS147" s="854">
        <f t="shared" si="178"/>
        <v>0</v>
      </c>
      <c r="AT147" s="854">
        <f t="shared" si="179"/>
        <v>-870.30826045021752</v>
      </c>
      <c r="AU147" s="854">
        <f t="shared" si="180"/>
        <v>-8646.591686505677</v>
      </c>
      <c r="AV147" s="854">
        <f t="shared" si="201"/>
        <v>-9516.8999469558948</v>
      </c>
      <c r="AW147" s="854">
        <f t="shared" si="181"/>
        <v>0</v>
      </c>
      <c r="AX147" s="855">
        <f t="shared" si="182"/>
        <v>0</v>
      </c>
      <c r="AZ147" s="854">
        <f t="shared" si="183"/>
        <v>0</v>
      </c>
      <c r="BA147" s="854">
        <f t="shared" si="184"/>
        <v>0</v>
      </c>
      <c r="BB147" s="854">
        <f t="shared" si="185"/>
        <v>0</v>
      </c>
      <c r="BC147" s="854">
        <f t="shared" si="186"/>
        <v>0</v>
      </c>
      <c r="BD147" s="854">
        <f t="shared" si="187"/>
        <v>0</v>
      </c>
      <c r="BE147" s="854">
        <f t="shared" si="188"/>
        <v>0</v>
      </c>
      <c r="BF147" s="854">
        <f t="shared" si="189"/>
        <v>0</v>
      </c>
      <c r="BG147" s="854">
        <f t="shared" si="190"/>
        <v>0</v>
      </c>
      <c r="BH147" s="854">
        <f t="shared" si="191"/>
        <v>-2024.1872478592263</v>
      </c>
      <c r="BI147" s="854">
        <f t="shared" si="192"/>
        <v>-20110.484324503941</v>
      </c>
      <c r="BJ147" s="854">
        <f t="shared" si="202"/>
        <v>-22134.671572363168</v>
      </c>
      <c r="BK147" s="58" t="str">
        <f t="shared" si="203"/>
        <v>OK</v>
      </c>
      <c r="BL147" s="856" t="str">
        <f t="shared" si="193"/>
        <v>Upgrade intersection on Jesmond/Bremner Rd TRA A1 0.328719971596652 2060 0.300677011918574</v>
      </c>
      <c r="BM147" s="153">
        <f t="shared" si="194"/>
        <v>2</v>
      </c>
      <c r="BN147" s="869">
        <f t="shared" si="204"/>
        <v>-31651.571519319063</v>
      </c>
      <c r="BO147" s="870" t="str">
        <f>IFERROR(VLOOKUP(AF147,FA_Codes!D:H,5,FALSE),"CHECK")</f>
        <v>Regional</v>
      </c>
      <c r="BP147" s="870" t="str">
        <f t="shared" si="195"/>
        <v>TRA</v>
      </c>
      <c r="BQ147" s="869">
        <f t="shared" si="196"/>
        <v>0</v>
      </c>
      <c r="BR147" s="870" t="str">
        <f t="shared" si="197"/>
        <v>40b TRA A1</v>
      </c>
      <c r="BS147" s="870" t="str">
        <f t="shared" si="206"/>
        <v>40b</v>
      </c>
      <c r="BT147" s="870" t="s">
        <v>6992</v>
      </c>
      <c r="BU147" s="870">
        <f t="shared" si="198"/>
        <v>2060</v>
      </c>
      <c r="BV147" s="153"/>
      <c r="BW147" s="153"/>
      <c r="BX147" s="153"/>
      <c r="BY147" s="153"/>
      <c r="BZ147" s="153"/>
      <c r="CA147" s="153"/>
      <c r="CB147" s="153"/>
      <c r="CC147" s="153"/>
      <c r="CD147" s="153"/>
      <c r="CE147" s="153"/>
      <c r="CF147" s="153"/>
    </row>
    <row r="148" spans="1:84" ht="26">
      <c r="A148" s="848"/>
      <c r="B148" s="848" t="s">
        <v>6905</v>
      </c>
      <c r="C148" s="848"/>
      <c r="D148" s="848"/>
      <c r="E148" s="848"/>
      <c r="F148" s="866" t="s">
        <v>6987</v>
      </c>
      <c r="G148" s="866" t="s">
        <v>6902</v>
      </c>
      <c r="H148" s="866"/>
      <c r="I148" s="866"/>
      <c r="J148" s="866"/>
      <c r="K148" s="866" t="s">
        <v>7053</v>
      </c>
      <c r="L148" s="866"/>
      <c r="M148" s="866"/>
      <c r="N148" s="866"/>
      <c r="O148" s="866"/>
      <c r="P148" s="866"/>
      <c r="Q148" s="897">
        <v>0.96648863809325614</v>
      </c>
      <c r="R148" s="848">
        <v>2060</v>
      </c>
      <c r="S148" s="850">
        <v>1282729</v>
      </c>
      <c r="T148" s="850">
        <v>6748071.0790001228</v>
      </c>
      <c r="U148" s="850">
        <v>8693105.9302291404</v>
      </c>
      <c r="V148" s="850">
        <v>9343406.9749496114</v>
      </c>
      <c r="W148" s="850">
        <v>14121199.545423575</v>
      </c>
      <c r="X148" s="850">
        <v>15296958.455035716</v>
      </c>
      <c r="Y148" s="850">
        <v>12613743.302144399</v>
      </c>
      <c r="Z148" s="850">
        <v>16132995.270044602</v>
      </c>
      <c r="AA148" s="850">
        <v>20459486.658467807</v>
      </c>
      <c r="AB148" s="850">
        <v>21901903.784705032</v>
      </c>
      <c r="AC148" s="898">
        <f t="shared" si="199"/>
        <v>126593599.99999999</v>
      </c>
      <c r="AD148" s="848"/>
      <c r="AF148" s="58" t="str">
        <f>IFERROR(VLOOKUP(K148,FA_Codes!C:F,2,FALSE),"CHECK")</f>
        <v>OSL A28</v>
      </c>
      <c r="AG148" s="851">
        <f t="shared" si="169"/>
        <v>126593599.99999999</v>
      </c>
      <c r="AH148" s="58" t="str">
        <f>IFERROR(VLOOKUP(AF148,FA_Codes!D:F,3,FALSE),"CHECK")</f>
        <v>Local</v>
      </c>
      <c r="AI148" s="852">
        <v>0.14377739056972386</v>
      </c>
      <c r="AJ148" s="853">
        <f t="shared" si="200"/>
        <v>0.85622260943027617</v>
      </c>
      <c r="AK148" s="854">
        <f t="shared" si="170"/>
        <v>4242323.9446775699</v>
      </c>
      <c r="AL148" s="854">
        <f t="shared" si="171"/>
        <v>178247.01412852676</v>
      </c>
      <c r="AM148" s="854">
        <f t="shared" si="172"/>
        <v>937706.65585547523</v>
      </c>
      <c r="AN148" s="854">
        <f t="shared" si="173"/>
        <v>1207987.1707635312</v>
      </c>
      <c r="AO148" s="854">
        <f t="shared" si="174"/>
        <v>1298352.4930616044</v>
      </c>
      <c r="AP148" s="854">
        <f t="shared" si="175"/>
        <v>1962270.7952224216</v>
      </c>
      <c r="AQ148" s="854">
        <f t="shared" si="176"/>
        <v>2125653.329626319</v>
      </c>
      <c r="AR148" s="854">
        <f t="shared" si="177"/>
        <v>1752795.8599134679</v>
      </c>
      <c r="AS148" s="854">
        <f t="shared" si="178"/>
        <v>2241828.3486497118</v>
      </c>
      <c r="AT148" s="854">
        <f t="shared" si="179"/>
        <v>2843034.1930948128</v>
      </c>
      <c r="AU148" s="854">
        <f t="shared" si="180"/>
        <v>3043471.3437943258</v>
      </c>
      <c r="AV148" s="854">
        <f t="shared" si="201"/>
        <v>17591347.204110198</v>
      </c>
      <c r="AW148" s="854">
        <f t="shared" si="181"/>
        <v>0</v>
      </c>
      <c r="AX148" s="855">
        <f t="shared" si="182"/>
        <v>0</v>
      </c>
      <c r="AZ148" s="854">
        <f t="shared" si="183"/>
        <v>1061495.9901241977</v>
      </c>
      <c r="BA148" s="854">
        <f t="shared" si="184"/>
        <v>5584227.3710438432</v>
      </c>
      <c r="BB148" s="854">
        <f t="shared" si="185"/>
        <v>7193800.9405440399</v>
      </c>
      <c r="BC148" s="854">
        <f t="shared" si="186"/>
        <v>7731944.1893084757</v>
      </c>
      <c r="BD148" s="854">
        <f t="shared" si="187"/>
        <v>11685708.121677116</v>
      </c>
      <c r="BE148" s="854">
        <f t="shared" si="188"/>
        <v>12658683.214550272</v>
      </c>
      <c r="BF148" s="854">
        <f t="shared" si="189"/>
        <v>10438243.725434003</v>
      </c>
      <c r="BG148" s="854">
        <f t="shared" si="190"/>
        <v>13350528.278260641</v>
      </c>
      <c r="BH148" s="854">
        <f t="shared" si="191"/>
        <v>16930827.203534883</v>
      </c>
      <c r="BI148" s="854">
        <f t="shared" si="192"/>
        <v>18124469.816734772</v>
      </c>
      <c r="BJ148" s="854">
        <f t="shared" si="202"/>
        <v>104759928.85121226</v>
      </c>
      <c r="BK148" s="58" t="str">
        <f t="shared" si="203"/>
        <v>OK</v>
      </c>
      <c r="BL148" s="856" t="str">
        <f t="shared" si="193"/>
        <v>Acquisition of neighbourhood, suburb, and civic parks for Drury OSL A28 0.966488638093256 2060 0.143777390569724</v>
      </c>
      <c r="BM148" s="153">
        <f t="shared" si="194"/>
        <v>1</v>
      </c>
      <c r="BN148" s="869">
        <f t="shared" si="204"/>
        <v>122351276.05532247</v>
      </c>
      <c r="BO148" s="870">
        <f>IFERROR(VLOOKUP(AF148,FA_Codes!D:H,5,FALSE),"CHECK")</f>
        <v>0</v>
      </c>
      <c r="BP148" s="870" t="str">
        <f t="shared" si="195"/>
        <v>OSL</v>
      </c>
      <c r="BQ148" s="869">
        <f t="shared" si="196"/>
        <v>126593599.99999999</v>
      </c>
      <c r="BR148" s="870">
        <f t="shared" si="197"/>
        <v>0</v>
      </c>
      <c r="BS148" s="870"/>
      <c r="BT148" s="870"/>
      <c r="BU148" s="870">
        <f t="shared" si="198"/>
        <v>2060</v>
      </c>
      <c r="BV148" s="153"/>
      <c r="BW148" s="153"/>
      <c r="BX148" s="153"/>
      <c r="BY148" s="153"/>
      <c r="BZ148" s="153"/>
      <c r="CA148" s="153"/>
      <c r="CB148" s="153"/>
      <c r="CC148" s="153"/>
      <c r="CD148" s="153"/>
      <c r="CE148" s="153"/>
      <c r="CF148" s="153"/>
    </row>
    <row r="149" spans="1:84" ht="26">
      <c r="A149" s="848"/>
      <c r="B149" s="848" t="s">
        <v>6904</v>
      </c>
      <c r="C149" s="848"/>
      <c r="D149" s="848"/>
      <c r="E149" s="848"/>
      <c r="F149" s="866" t="s">
        <v>6988</v>
      </c>
      <c r="G149" s="808" t="s">
        <v>6903</v>
      </c>
      <c r="H149" s="808"/>
      <c r="I149" s="808"/>
      <c r="J149" s="808"/>
      <c r="K149" s="808" t="s">
        <v>6986</v>
      </c>
      <c r="L149" s="808"/>
      <c r="M149" s="808"/>
      <c r="N149" s="808"/>
      <c r="O149" s="808"/>
      <c r="P149" s="808"/>
      <c r="Q149" s="849">
        <v>0.96648863809325614</v>
      </c>
      <c r="R149" s="848">
        <v>2060</v>
      </c>
      <c r="T149" s="58">
        <v>0</v>
      </c>
      <c r="U149" s="58">
        <v>0</v>
      </c>
      <c r="V149" s="58">
        <v>0</v>
      </c>
      <c r="W149" s="58">
        <v>0</v>
      </c>
      <c r="X149" s="58">
        <v>0</v>
      </c>
      <c r="Y149" s="58">
        <v>0</v>
      </c>
      <c r="Z149" s="58">
        <v>0</v>
      </c>
      <c r="AA149" s="58">
        <v>0</v>
      </c>
      <c r="AB149" s="58">
        <v>0</v>
      </c>
      <c r="AC149" s="809">
        <f t="shared" si="199"/>
        <v>0</v>
      </c>
      <c r="AD149" s="848"/>
      <c r="AF149" s="58" t="str">
        <f>IFERROR(VLOOKUP(K149,FA_Codes!C:F,2,FALSE),"CHECK")</f>
        <v>CHECK</v>
      </c>
      <c r="AG149" s="851">
        <f t="shared" si="169"/>
        <v>0</v>
      </c>
      <c r="AH149" s="58" t="str">
        <f>IFERROR(VLOOKUP(AF149,FA_Codes!D:F,3,FALSE),"CHECK")</f>
        <v>CHECK</v>
      </c>
      <c r="AI149" s="852">
        <v>0.14377739056972386</v>
      </c>
      <c r="AJ149" s="853">
        <f t="shared" ref="AJ149" si="207">1-AI149</f>
        <v>0.85622260943027617</v>
      </c>
      <c r="AK149" s="854">
        <f t="shared" si="170"/>
        <v>0</v>
      </c>
      <c r="AL149" s="854">
        <f t="shared" si="171"/>
        <v>0</v>
      </c>
      <c r="AM149" s="854">
        <f t="shared" si="172"/>
        <v>0</v>
      </c>
      <c r="AN149" s="854">
        <f t="shared" si="173"/>
        <v>0</v>
      </c>
      <c r="AO149" s="854">
        <f t="shared" si="174"/>
        <v>0</v>
      </c>
      <c r="AP149" s="854">
        <f t="shared" si="175"/>
        <v>0</v>
      </c>
      <c r="AQ149" s="854">
        <f t="shared" si="176"/>
        <v>0</v>
      </c>
      <c r="AR149" s="854">
        <f t="shared" si="177"/>
        <v>0</v>
      </c>
      <c r="AS149" s="854">
        <f t="shared" si="178"/>
        <v>0</v>
      </c>
      <c r="AT149" s="854">
        <f t="shared" si="179"/>
        <v>0</v>
      </c>
      <c r="AU149" s="854">
        <f t="shared" si="180"/>
        <v>0</v>
      </c>
      <c r="AV149" s="854">
        <f t="shared" ref="AV149" si="208">SUM(AL149:AU149)</f>
        <v>0</v>
      </c>
      <c r="AW149" s="854">
        <f t="shared" si="181"/>
        <v>0</v>
      </c>
      <c r="AX149" s="855">
        <f t="shared" si="182"/>
        <v>0</v>
      </c>
      <c r="AZ149" s="854">
        <f t="shared" si="183"/>
        <v>0</v>
      </c>
      <c r="BA149" s="854">
        <f t="shared" si="184"/>
        <v>0</v>
      </c>
      <c r="BB149" s="854">
        <f t="shared" si="185"/>
        <v>0</v>
      </c>
      <c r="BC149" s="854">
        <f t="shared" si="186"/>
        <v>0</v>
      </c>
      <c r="BD149" s="854">
        <f t="shared" si="187"/>
        <v>0</v>
      </c>
      <c r="BE149" s="854">
        <f t="shared" si="188"/>
        <v>0</v>
      </c>
      <c r="BF149" s="854">
        <f t="shared" si="189"/>
        <v>0</v>
      </c>
      <c r="BG149" s="854">
        <f t="shared" si="190"/>
        <v>0</v>
      </c>
      <c r="BH149" s="854">
        <f t="shared" si="191"/>
        <v>0</v>
      </c>
      <c r="BI149" s="854">
        <f t="shared" si="192"/>
        <v>0</v>
      </c>
      <c r="BJ149" s="854">
        <f t="shared" ref="BJ149" si="209">SUM(AZ149:BI149)</f>
        <v>0</v>
      </c>
      <c r="BK149" s="58" t="str">
        <f t="shared" ref="BK149" si="210">IF(ABS(AG149-BJ149-AV149-AK149)&lt;0.5,"OK","CHECK")</f>
        <v>OK</v>
      </c>
      <c r="BL149" s="856" t="str">
        <f t="shared" si="193"/>
        <v>Development of neighbourhood, suburb, and civic parks for Drury CHECK 0.966488638093256 2060 0.143777390569724</v>
      </c>
      <c r="BM149" s="153">
        <f t="shared" si="194"/>
        <v>1</v>
      </c>
      <c r="BN149" s="869">
        <f t="shared" ref="BN149" si="211">+BJ149+AV149</f>
        <v>0</v>
      </c>
      <c r="BO149" s="870" t="str">
        <f>IFERROR(VLOOKUP(AF149,FA_Codes!D:H,5,FALSE),"CHECK")</f>
        <v>CHECK</v>
      </c>
      <c r="BP149" s="870" t="str">
        <f t="shared" si="195"/>
        <v>CHE</v>
      </c>
      <c r="BQ149" s="869">
        <f t="shared" si="196"/>
        <v>0</v>
      </c>
      <c r="BR149" s="870">
        <f t="shared" si="197"/>
        <v>0</v>
      </c>
      <c r="BS149" s="870"/>
      <c r="BT149" s="870"/>
      <c r="BU149" s="870">
        <f t="shared" si="198"/>
        <v>2060</v>
      </c>
      <c r="BV149" s="153"/>
      <c r="BW149" s="153"/>
      <c r="BX149" s="153"/>
      <c r="BY149" s="153"/>
      <c r="BZ149" s="153"/>
      <c r="CA149" s="153"/>
      <c r="CB149" s="153"/>
      <c r="CC149" s="153"/>
      <c r="CD149" s="153"/>
      <c r="CE149" s="153"/>
      <c r="CF149" s="153"/>
    </row>
    <row r="150" spans="1:84">
      <c r="BL150" s="858" t="str">
        <f t="shared" si="193"/>
        <v/>
      </c>
      <c r="BM150" s="58"/>
      <c r="BP150" s="867" t="str">
        <f t="shared" si="195"/>
        <v/>
      </c>
      <c r="BR150" s="870"/>
    </row>
    <row r="151" spans="1:84" ht="13.5" thickBot="1">
      <c r="F151" s="859" t="s">
        <v>4355</v>
      </c>
      <c r="G151" s="860"/>
      <c r="H151" s="860"/>
      <c r="I151" s="860"/>
      <c r="J151" s="860"/>
      <c r="K151" s="860"/>
      <c r="L151" s="860"/>
      <c r="M151" s="860"/>
      <c r="N151" s="860"/>
      <c r="O151" s="860"/>
      <c r="P151" s="860"/>
      <c r="Q151" s="860"/>
      <c r="R151" s="860"/>
      <c r="S151" s="861">
        <f t="shared" ref="S151:AD151" si="212">SUBTOTAL(9,S8:S150)</f>
        <v>1282729</v>
      </c>
      <c r="T151" s="861">
        <f t="shared" si="212"/>
        <v>7429972.3117474029</v>
      </c>
      <c r="U151" s="861">
        <f t="shared" si="212"/>
        <v>8851220.3136775959</v>
      </c>
      <c r="V151" s="861">
        <f t="shared" si="212"/>
        <v>10066804.675134689</v>
      </c>
      <c r="W151" s="861">
        <f t="shared" si="212"/>
        <v>14806771.749998549</v>
      </c>
      <c r="X151" s="861">
        <f t="shared" si="212"/>
        <v>23947842.025268525</v>
      </c>
      <c r="Y151" s="861">
        <f t="shared" si="212"/>
        <v>12927582.723775137</v>
      </c>
      <c r="Z151" s="861">
        <f t="shared" si="212"/>
        <v>29801340.668259695</v>
      </c>
      <c r="AA151" s="861">
        <f t="shared" si="212"/>
        <v>33537738.97775792</v>
      </c>
      <c r="AB151" s="861">
        <f t="shared" si="212"/>
        <v>109264384.27760051</v>
      </c>
      <c r="AC151" s="861">
        <f t="shared" si="212"/>
        <v>251916386.72321999</v>
      </c>
      <c r="AD151" s="861">
        <f t="shared" si="212"/>
        <v>0</v>
      </c>
      <c r="AE151" s="860"/>
      <c r="AF151" s="860"/>
      <c r="AG151" s="861">
        <f>SUBTOTAL(9,AG8:AG150)</f>
        <v>251916386.72321999</v>
      </c>
      <c r="AH151" s="860"/>
      <c r="AI151" s="860"/>
      <c r="AJ151" s="860"/>
      <c r="AK151" s="861">
        <f t="shared" ref="AK151:AW151" si="213">SUBTOTAL(9,AK8:AK150)</f>
        <v>18051149.334163845</v>
      </c>
      <c r="AL151" s="861">
        <f t="shared" si="213"/>
        <v>178247.01412852676</v>
      </c>
      <c r="AM151" s="861">
        <f t="shared" si="213"/>
        <v>1000350.3935450393</v>
      </c>
      <c r="AN151" s="861">
        <f t="shared" si="213"/>
        <v>1220186.287440134</v>
      </c>
      <c r="AO151" s="861">
        <f t="shared" si="213"/>
        <v>1488318.0270689372</v>
      </c>
      <c r="AP151" s="861">
        <f t="shared" si="213"/>
        <v>2142303.2862150655</v>
      </c>
      <c r="AQ151" s="861">
        <f t="shared" si="213"/>
        <v>4067216.8408043962</v>
      </c>
      <c r="AR151" s="861">
        <f t="shared" si="213"/>
        <v>1777325.9309740611</v>
      </c>
      <c r="AS151" s="861">
        <f t="shared" si="213"/>
        <v>3504602.1560694342</v>
      </c>
      <c r="AT151" s="861">
        <f t="shared" si="213"/>
        <v>4366339.7821206124</v>
      </c>
      <c r="AU151" s="861">
        <f t="shared" si="213"/>
        <v>13844406.605611002</v>
      </c>
      <c r="AV151" s="861">
        <f t="shared" si="213"/>
        <v>33589296.323977202</v>
      </c>
      <c r="AW151" s="861">
        <f t="shared" si="213"/>
        <v>0</v>
      </c>
      <c r="AX151" s="860"/>
      <c r="AY151" s="860"/>
      <c r="AZ151" s="861">
        <f t="shared" ref="AZ151:BJ151" si="214">SUBTOTAL(9,AZ8:AZ150)</f>
        <v>1061495.9901241977</v>
      </c>
      <c r="BA151" s="861">
        <f t="shared" si="214"/>
        <v>6117129.0328684961</v>
      </c>
      <c r="BB151" s="861">
        <f t="shared" si="214"/>
        <v>7330403.1216268251</v>
      </c>
      <c r="BC151" s="861">
        <f t="shared" si="214"/>
        <v>8206087.3511404889</v>
      </c>
      <c r="BD151" s="861">
        <f t="shared" si="214"/>
        <v>12135058.973439787</v>
      </c>
      <c r="BE151" s="861">
        <f t="shared" si="214"/>
        <v>18682203.026642706</v>
      </c>
      <c r="BF151" s="861">
        <f t="shared" si="214"/>
        <v>10704667.14697428</v>
      </c>
      <c r="BG151" s="861">
        <f t="shared" si="214"/>
        <v>24177142.185364272</v>
      </c>
      <c r="BH151" s="861">
        <f t="shared" si="214"/>
        <v>26823497.268550105</v>
      </c>
      <c r="BI151" s="861">
        <f t="shared" si="214"/>
        <v>85038256.968347862</v>
      </c>
      <c r="BJ151" s="861">
        <f t="shared" si="214"/>
        <v>200275941.06507909</v>
      </c>
      <c r="BK151" s="860"/>
      <c r="BL151" s="879"/>
      <c r="BM151" s="872"/>
      <c r="BN151" s="871">
        <f>SUBTOTAL(9,BN8:BN150)</f>
        <v>233865237.38905627</v>
      </c>
      <c r="BO151" s="872"/>
      <c r="BP151" s="872"/>
      <c r="BQ151" s="871">
        <f>SUBTOTAL(9,BQ8:BQ150)</f>
        <v>372945737.23118109</v>
      </c>
      <c r="BR151" s="873"/>
    </row>
    <row r="152" spans="1:84">
      <c r="BL152" s="880"/>
      <c r="BR152" s="870"/>
    </row>
    <row r="153" spans="1:84" ht="13.5" thickBot="1">
      <c r="F153" s="862" t="s">
        <v>4356</v>
      </c>
      <c r="G153" s="860"/>
      <c r="H153" s="860"/>
      <c r="I153" s="860"/>
      <c r="J153" s="860"/>
      <c r="K153" s="860"/>
      <c r="L153" s="860"/>
      <c r="M153" s="860"/>
      <c r="N153" s="860"/>
      <c r="O153" s="860"/>
      <c r="P153" s="860"/>
      <c r="Q153" s="860"/>
      <c r="R153" s="860"/>
      <c r="S153" s="863">
        <f t="shared" ref="S153:AB153" si="215">SUM(S8:S150)</f>
        <v>1282729</v>
      </c>
      <c r="T153" s="863">
        <f t="shared" si="215"/>
        <v>7429972.3117474029</v>
      </c>
      <c r="U153" s="863">
        <f t="shared" si="215"/>
        <v>8851220.3136775959</v>
      </c>
      <c r="V153" s="863">
        <f t="shared" si="215"/>
        <v>10066804.675134689</v>
      </c>
      <c r="W153" s="863">
        <f t="shared" si="215"/>
        <v>14806771.749998549</v>
      </c>
      <c r="X153" s="863">
        <f t="shared" si="215"/>
        <v>23947842.025268525</v>
      </c>
      <c r="Y153" s="863">
        <f t="shared" si="215"/>
        <v>12927582.723775137</v>
      </c>
      <c r="Z153" s="863">
        <f t="shared" si="215"/>
        <v>29801340.668259695</v>
      </c>
      <c r="AA153" s="863">
        <f t="shared" si="215"/>
        <v>33537738.97775792</v>
      </c>
      <c r="AB153" s="863">
        <f t="shared" si="215"/>
        <v>109264384.27760051</v>
      </c>
      <c r="AC153" s="863">
        <f>SUM(AC8:AC150)</f>
        <v>251916386.72321999</v>
      </c>
      <c r="AD153" s="860"/>
      <c r="AE153" s="860"/>
      <c r="AF153" s="860"/>
      <c r="AG153" s="860"/>
      <c r="AH153" s="860"/>
      <c r="AI153" s="860"/>
      <c r="AJ153" s="860"/>
      <c r="AK153" s="863">
        <f t="shared" ref="AK153:AW153" si="216">SUM(AK8:AK150)</f>
        <v>18051149.334163845</v>
      </c>
      <c r="AL153" s="863">
        <f t="shared" si="216"/>
        <v>178247.01412852676</v>
      </c>
      <c r="AM153" s="863">
        <f t="shared" si="216"/>
        <v>1000350.3935450393</v>
      </c>
      <c r="AN153" s="863">
        <f t="shared" si="216"/>
        <v>1220186.287440134</v>
      </c>
      <c r="AO153" s="863">
        <f t="shared" si="216"/>
        <v>1488318.0270689372</v>
      </c>
      <c r="AP153" s="863">
        <f t="shared" si="216"/>
        <v>2142303.2862150655</v>
      </c>
      <c r="AQ153" s="863">
        <f t="shared" si="216"/>
        <v>4067216.8408043962</v>
      </c>
      <c r="AR153" s="863">
        <f t="shared" si="216"/>
        <v>1777325.9309740611</v>
      </c>
      <c r="AS153" s="863">
        <f t="shared" si="216"/>
        <v>3504602.1560694342</v>
      </c>
      <c r="AT153" s="863">
        <f t="shared" si="216"/>
        <v>4366339.7821206124</v>
      </c>
      <c r="AU153" s="863">
        <f t="shared" si="216"/>
        <v>13844406.605611002</v>
      </c>
      <c r="AV153" s="863">
        <f t="shared" si="216"/>
        <v>33589296.323977202</v>
      </c>
      <c r="AW153" s="863">
        <f t="shared" si="216"/>
        <v>0</v>
      </c>
      <c r="AX153" s="860"/>
      <c r="AY153" s="860"/>
      <c r="AZ153" s="863">
        <f t="shared" ref="AZ153:BJ153" si="217">SUM(AZ8:AZ150)</f>
        <v>1061495.9901241977</v>
      </c>
      <c r="BA153" s="863">
        <f t="shared" si="217"/>
        <v>6117129.0328684961</v>
      </c>
      <c r="BB153" s="863">
        <f t="shared" si="217"/>
        <v>7330403.1216268251</v>
      </c>
      <c r="BC153" s="863">
        <f t="shared" si="217"/>
        <v>8206087.3511404889</v>
      </c>
      <c r="BD153" s="863">
        <f t="shared" si="217"/>
        <v>12135058.973439787</v>
      </c>
      <c r="BE153" s="863">
        <f t="shared" si="217"/>
        <v>18682203.026642706</v>
      </c>
      <c r="BF153" s="863">
        <f t="shared" si="217"/>
        <v>10704667.14697428</v>
      </c>
      <c r="BG153" s="863">
        <f t="shared" si="217"/>
        <v>24177142.185364272</v>
      </c>
      <c r="BH153" s="863">
        <f t="shared" si="217"/>
        <v>26823497.268550105</v>
      </c>
      <c r="BI153" s="863">
        <f t="shared" si="217"/>
        <v>85038256.968347862</v>
      </c>
      <c r="BJ153" s="863">
        <f t="shared" si="217"/>
        <v>200275941.06507909</v>
      </c>
      <c r="BK153" s="860"/>
      <c r="BL153" s="879" t="str">
        <f t="shared" ref="BL153:BL168" si="218">IF($Q153=0,"",F153&amp;" "&amp;AF153&amp;" "&amp;Q153&amp;" "&amp;R153&amp;" "&amp;AI153)</f>
        <v/>
      </c>
      <c r="BM153" s="872"/>
      <c r="BN153" s="874">
        <f>SUM(BN8:BN150)</f>
        <v>233865237.38905627</v>
      </c>
      <c r="BO153" s="872">
        <f>+BN153/1000000</f>
        <v>233.86523738905626</v>
      </c>
      <c r="BP153" s="872"/>
      <c r="BQ153" s="872"/>
      <c r="BR153" s="873"/>
    </row>
    <row r="154" spans="1:84">
      <c r="F154" s="58" t="s">
        <v>6862</v>
      </c>
      <c r="S154" s="854">
        <f t="shared" ref="S154:AB154" si="219">SUMIF($AC$8:$AC$149,"&lt;0",S$8:S$149)</f>
        <v>0</v>
      </c>
      <c r="T154" s="854">
        <f t="shared" si="219"/>
        <v>-709733.93612472026</v>
      </c>
      <c r="U154" s="854">
        <f t="shared" si="219"/>
        <v>-164568.03175247367</v>
      </c>
      <c r="V154" s="854">
        <f t="shared" si="219"/>
        <v>-752924.13692732516</v>
      </c>
      <c r="W154" s="854">
        <f t="shared" si="219"/>
        <v>-713554.74353721784</v>
      </c>
      <c r="X154" s="854">
        <f t="shared" si="219"/>
        <v>-9003980.8588137366</v>
      </c>
      <c r="Y154" s="854">
        <f t="shared" si="219"/>
        <v>-326649.19394219731</v>
      </c>
      <c r="Z154" s="854">
        <f t="shared" si="219"/>
        <v>-14226237.047121828</v>
      </c>
      <c r="AA154" s="854">
        <f t="shared" si="219"/>
        <v>-13612058.536403997</v>
      </c>
      <c r="AB154" s="854">
        <f t="shared" si="219"/>
        <v>-81519644.023337439</v>
      </c>
      <c r="AC154" s="854">
        <f>SUMIF($AC$8:$AC$149,"&lt;0",AC$8:AC$149)</f>
        <v>-121029350.50796095</v>
      </c>
      <c r="BL154" s="880" t="str">
        <f t="shared" si="218"/>
        <v/>
      </c>
      <c r="BR154" s="870"/>
    </row>
    <row r="155" spans="1:84" ht="13.5" thickBot="1">
      <c r="F155" s="862" t="s">
        <v>6863</v>
      </c>
      <c r="G155" s="862"/>
      <c r="H155" s="862"/>
      <c r="I155" s="862"/>
      <c r="J155" s="862"/>
      <c r="K155" s="862"/>
      <c r="L155" s="862"/>
      <c r="M155" s="862"/>
      <c r="N155" s="862"/>
      <c r="O155" s="862"/>
      <c r="P155" s="862"/>
      <c r="Q155" s="862"/>
      <c r="R155" s="862"/>
      <c r="S155" s="864">
        <f>+S153-S154</f>
        <v>1282729</v>
      </c>
      <c r="T155" s="864">
        <f t="shared" ref="T155:AB155" si="220">+T153-T154</f>
        <v>8139706.2478721235</v>
      </c>
      <c r="U155" s="864">
        <f t="shared" si="220"/>
        <v>9015788.3454300687</v>
      </c>
      <c r="V155" s="864">
        <f t="shared" si="220"/>
        <v>10819728.812062014</v>
      </c>
      <c r="W155" s="864">
        <f t="shared" si="220"/>
        <v>15520326.493535766</v>
      </c>
      <c r="X155" s="864">
        <f t="shared" si="220"/>
        <v>32951822.884082261</v>
      </c>
      <c r="Y155" s="864">
        <f t="shared" si="220"/>
        <v>13254231.917717334</v>
      </c>
      <c r="Z155" s="864">
        <f t="shared" si="220"/>
        <v>44027577.715381525</v>
      </c>
      <c r="AA155" s="864">
        <f t="shared" si="220"/>
        <v>47149797.514161915</v>
      </c>
      <c r="AB155" s="864">
        <f t="shared" si="220"/>
        <v>190784028.30093795</v>
      </c>
      <c r="AC155" s="864">
        <f>+AC153-AC154</f>
        <v>372945737.23118091</v>
      </c>
      <c r="BL155" s="880" t="str">
        <f t="shared" si="218"/>
        <v/>
      </c>
      <c r="BN155" s="875">
        <f>+BN153/AC153</f>
        <v>0.92834467987985048</v>
      </c>
      <c r="BR155" s="870"/>
    </row>
    <row r="156" spans="1:84">
      <c r="BL156" s="880" t="str">
        <f t="shared" si="218"/>
        <v/>
      </c>
      <c r="BR156" s="870"/>
    </row>
    <row r="157" spans="1:84">
      <c r="J157" s="58" t="s">
        <v>91</v>
      </c>
      <c r="K157" s="58" t="s">
        <v>2778</v>
      </c>
      <c r="AC157" s="844" t="s">
        <v>6990</v>
      </c>
      <c r="BL157" s="880" t="str">
        <f t="shared" si="218"/>
        <v/>
      </c>
      <c r="BR157" s="870"/>
    </row>
    <row r="158" spans="1:84">
      <c r="J158" s="58" t="s">
        <v>6832</v>
      </c>
      <c r="K158" s="58" t="s">
        <v>2800</v>
      </c>
      <c r="S158" s="854">
        <f t="shared" ref="S158:AB165" si="221">SUMIFS(S$8:S$149,$AC$8:$AC$149,"&gt;0",$AF$8:$AF$149,$K157)</f>
        <v>0</v>
      </c>
      <c r="T158" s="854">
        <f t="shared" si="221"/>
        <v>0</v>
      </c>
      <c r="U158" s="854">
        <f t="shared" si="221"/>
        <v>0</v>
      </c>
      <c r="V158" s="854">
        <f t="shared" si="221"/>
        <v>0</v>
      </c>
      <c r="W158" s="854">
        <f t="shared" si="221"/>
        <v>0</v>
      </c>
      <c r="X158" s="854">
        <f t="shared" si="221"/>
        <v>0</v>
      </c>
      <c r="Y158" s="854">
        <f t="shared" si="221"/>
        <v>0</v>
      </c>
      <c r="Z158" s="854">
        <f t="shared" si="221"/>
        <v>37002.546161363432</v>
      </c>
      <c r="AA158" s="854">
        <f t="shared" si="221"/>
        <v>445700.53317666095</v>
      </c>
      <c r="AB158" s="854">
        <f t="shared" si="221"/>
        <v>1678254.1852850025</v>
      </c>
      <c r="AC158" s="854">
        <f t="shared" ref="AC158:AC165" si="222">SUMIFS(AC$8:AC$149,$AC$8:$AC$149,"&gt;0",$AF$8:$AF$149,$K157)</f>
        <v>2160957.2646230268</v>
      </c>
      <c r="AF158" s="58" t="s">
        <v>91</v>
      </c>
      <c r="AK158" s="854">
        <f t="shared" ref="AK158:AW165" si="223">SUMIFS(AK$8:AK$149,$AC$8:$AC$149,"&gt;0",$AF$8:$AF$149,$K157)</f>
        <v>1450607.4539745662</v>
      </c>
      <c r="AL158" s="854">
        <f t="shared" si="223"/>
        <v>0</v>
      </c>
      <c r="AM158" s="854">
        <f t="shared" si="223"/>
        <v>0</v>
      </c>
      <c r="AN158" s="854">
        <f t="shared" si="223"/>
        <v>0</v>
      </c>
      <c r="AO158" s="854">
        <f t="shared" si="223"/>
        <v>0</v>
      </c>
      <c r="AP158" s="854">
        <f t="shared" si="223"/>
        <v>0</v>
      </c>
      <c r="AQ158" s="854">
        <f t="shared" si="223"/>
        <v>0</v>
      </c>
      <c r="AR158" s="854">
        <f t="shared" si="223"/>
        <v>0</v>
      </c>
      <c r="AS158" s="854">
        <f t="shared" si="223"/>
        <v>3657.2775951214317</v>
      </c>
      <c r="AT158" s="854">
        <f t="shared" si="223"/>
        <v>44052.389449424205</v>
      </c>
      <c r="AU158" s="854">
        <f t="shared" si="223"/>
        <v>165876.19143815833</v>
      </c>
      <c r="AV158" s="854">
        <f t="shared" si="223"/>
        <v>213585.85848270397</v>
      </c>
      <c r="AW158" s="854">
        <f t="shared" si="223"/>
        <v>0</v>
      </c>
      <c r="AZ158" s="854">
        <f t="shared" ref="AZ158:BJ165" si="224">SUMIFS(AZ$8:AZ$149,$AC$8:$AC$149,"&gt;0",$AF$8:$AF$149,$K157)</f>
        <v>0</v>
      </c>
      <c r="BA158" s="854">
        <f t="shared" si="224"/>
        <v>0</v>
      </c>
      <c r="BB158" s="854">
        <f t="shared" si="224"/>
        <v>0</v>
      </c>
      <c r="BC158" s="854">
        <f t="shared" si="224"/>
        <v>0</v>
      </c>
      <c r="BD158" s="854">
        <f t="shared" si="224"/>
        <v>0</v>
      </c>
      <c r="BE158" s="854">
        <f t="shared" si="224"/>
        <v>0</v>
      </c>
      <c r="BF158" s="854">
        <f t="shared" si="224"/>
        <v>0</v>
      </c>
      <c r="BG158" s="854">
        <f t="shared" si="224"/>
        <v>8506.198328045768</v>
      </c>
      <c r="BH158" s="854">
        <f t="shared" si="224"/>
        <v>102458.27715702054</v>
      </c>
      <c r="BI158" s="854">
        <f t="shared" si="224"/>
        <v>385799.47668069036</v>
      </c>
      <c r="BJ158" s="854">
        <f t="shared" si="224"/>
        <v>496763.95216575667</v>
      </c>
      <c r="BL158" s="880" t="str">
        <f t="shared" si="218"/>
        <v/>
      </c>
      <c r="BN158" s="876">
        <f t="shared" ref="BN158:BN165" si="225">SUMIFS(BN$8:BN$149,$AC$8:$AC$149,"&gt;0",$AF$8:$AF$149,$K157)</f>
        <v>710349.81064846064</v>
      </c>
      <c r="BQ158" s="876">
        <f t="shared" ref="BQ158:BQ165" si="226">SUMIFS(BQ$8:BQ$149,$AC$8:$AC$149,"&gt;0",$AF$8:$AF$149,$K157)</f>
        <v>2160957.2646230268</v>
      </c>
      <c r="BR158" s="867" t="s">
        <v>91</v>
      </c>
      <c r="BS158" s="867" t="s">
        <v>2778</v>
      </c>
    </row>
    <row r="159" spans="1:84">
      <c r="J159" s="58" t="s">
        <v>6833</v>
      </c>
      <c r="K159" s="58" t="s">
        <v>2801</v>
      </c>
      <c r="S159" s="854">
        <f t="shared" si="221"/>
        <v>0</v>
      </c>
      <c r="T159" s="854">
        <f t="shared" si="221"/>
        <v>939353.73898860021</v>
      </c>
      <c r="U159" s="854">
        <f t="shared" si="221"/>
        <v>313022.88021736691</v>
      </c>
      <c r="V159" s="854">
        <f t="shared" si="221"/>
        <v>0</v>
      </c>
      <c r="W159" s="854">
        <f t="shared" si="221"/>
        <v>0</v>
      </c>
      <c r="X159" s="854">
        <f t="shared" si="221"/>
        <v>3359053.0200061905</v>
      </c>
      <c r="Y159" s="854">
        <f t="shared" si="221"/>
        <v>576439.75401564222</v>
      </c>
      <c r="Z159" s="854">
        <f t="shared" si="221"/>
        <v>19818352.772759128</v>
      </c>
      <c r="AA159" s="854">
        <f t="shared" si="221"/>
        <v>14918630.900646674</v>
      </c>
      <c r="AB159" s="854">
        <f t="shared" si="221"/>
        <v>88112903.785335213</v>
      </c>
      <c r="AC159" s="854">
        <f t="shared" si="222"/>
        <v>128037756.8519688</v>
      </c>
      <c r="AF159" s="58" t="s">
        <v>6832</v>
      </c>
      <c r="AK159" s="854">
        <f t="shared" si="223"/>
        <v>5515557.9262643643</v>
      </c>
      <c r="AL159" s="854">
        <f t="shared" si="223"/>
        <v>0</v>
      </c>
      <c r="AM159" s="854">
        <f t="shared" si="223"/>
        <v>70709.990334621019</v>
      </c>
      <c r="AN159" s="854">
        <f t="shared" si="223"/>
        <v>23562.843171856326</v>
      </c>
      <c r="AO159" s="854">
        <f t="shared" si="223"/>
        <v>0</v>
      </c>
      <c r="AP159" s="854">
        <f t="shared" si="223"/>
        <v>0</v>
      </c>
      <c r="AQ159" s="854">
        <f t="shared" si="223"/>
        <v>252853.2082427787</v>
      </c>
      <c r="AR159" s="854">
        <f t="shared" si="223"/>
        <v>43391.586942341462</v>
      </c>
      <c r="AS159" s="854">
        <f t="shared" si="223"/>
        <v>1491829.4087153401</v>
      </c>
      <c r="AT159" s="854">
        <f t="shared" si="223"/>
        <v>1123002.1268945059</v>
      </c>
      <c r="AU159" s="854">
        <f t="shared" si="223"/>
        <v>6632711.7425697017</v>
      </c>
      <c r="AV159" s="854">
        <f t="shared" si="223"/>
        <v>9638060.9068711456</v>
      </c>
      <c r="AW159" s="854">
        <f t="shared" si="223"/>
        <v>0</v>
      </c>
      <c r="AZ159" s="854">
        <f t="shared" si="224"/>
        <v>0</v>
      </c>
      <c r="BA159" s="854">
        <f t="shared" si="224"/>
        <v>828178.65391919133</v>
      </c>
      <c r="BB159" s="854">
        <f t="shared" si="224"/>
        <v>275975.76591694739</v>
      </c>
      <c r="BC159" s="854">
        <f t="shared" si="224"/>
        <v>0</v>
      </c>
      <c r="BD159" s="854">
        <f t="shared" si="224"/>
        <v>0</v>
      </c>
      <c r="BE159" s="854">
        <f t="shared" si="224"/>
        <v>2961499.9047613121</v>
      </c>
      <c r="BF159" s="854">
        <f t="shared" si="224"/>
        <v>508216.53199591715</v>
      </c>
      <c r="BG159" s="854">
        <f t="shared" si="224"/>
        <v>17472796.499337208</v>
      </c>
      <c r="BH159" s="854">
        <f t="shared" si="224"/>
        <v>13152970.116367159</v>
      </c>
      <c r="BI159" s="854">
        <f t="shared" si="224"/>
        <v>77684500.546535552</v>
      </c>
      <c r="BJ159" s="854">
        <f t="shared" si="224"/>
        <v>112884138.01883331</v>
      </c>
      <c r="BL159" s="880" t="str">
        <f t="shared" si="218"/>
        <v/>
      </c>
      <c r="BN159" s="876">
        <f t="shared" si="225"/>
        <v>122522198.92570443</v>
      </c>
      <c r="BQ159" s="876">
        <f t="shared" si="226"/>
        <v>128037756.8519688</v>
      </c>
      <c r="BR159" s="867" t="s">
        <v>6832</v>
      </c>
      <c r="BS159" s="867" t="s">
        <v>2800</v>
      </c>
    </row>
    <row r="160" spans="1:84">
      <c r="J160" s="58" t="s">
        <v>6834</v>
      </c>
      <c r="K160" s="58" t="s">
        <v>2802</v>
      </c>
      <c r="S160" s="854">
        <f t="shared" si="221"/>
        <v>0</v>
      </c>
      <c r="T160" s="854">
        <f t="shared" si="221"/>
        <v>34790.879221800009</v>
      </c>
      <c r="U160" s="854">
        <f t="shared" si="221"/>
        <v>0</v>
      </c>
      <c r="V160" s="854">
        <f t="shared" si="221"/>
        <v>1328689.653401162</v>
      </c>
      <c r="W160" s="854">
        <f t="shared" si="221"/>
        <v>1259214.2533009725</v>
      </c>
      <c r="X160" s="854">
        <f t="shared" si="221"/>
        <v>12605374.632764392</v>
      </c>
      <c r="Y160" s="854">
        <f t="shared" si="221"/>
        <v>0</v>
      </c>
      <c r="Z160" s="854">
        <f t="shared" si="221"/>
        <v>871071.11456295417</v>
      </c>
      <c r="AA160" s="854">
        <f t="shared" si="221"/>
        <v>4230726.9970951024</v>
      </c>
      <c r="AB160" s="854">
        <f t="shared" si="221"/>
        <v>35358575.400688224</v>
      </c>
      <c r="AC160" s="854">
        <f t="shared" si="222"/>
        <v>55688442.931034617</v>
      </c>
      <c r="AF160" s="58" t="s">
        <v>6833</v>
      </c>
      <c r="AK160" s="854">
        <f t="shared" si="223"/>
        <v>4674710.0650730608</v>
      </c>
      <c r="AL160" s="854">
        <f t="shared" si="223"/>
        <v>0</v>
      </c>
      <c r="AM160" s="854">
        <f t="shared" si="223"/>
        <v>10139.89062840002</v>
      </c>
      <c r="AN160" s="854">
        <f t="shared" si="223"/>
        <v>0</v>
      </c>
      <c r="AO160" s="854">
        <f t="shared" si="223"/>
        <v>387249.99384702125</v>
      </c>
      <c r="AP160" s="854">
        <f t="shared" si="223"/>
        <v>367001.2110011187</v>
      </c>
      <c r="AQ160" s="854">
        <f t="shared" si="223"/>
        <v>3673868.6392883295</v>
      </c>
      <c r="AR160" s="854">
        <f t="shared" si="223"/>
        <v>0</v>
      </c>
      <c r="AS160" s="854">
        <f t="shared" si="223"/>
        <v>253875.90163839154</v>
      </c>
      <c r="AT160" s="854">
        <f t="shared" si="223"/>
        <v>1233056.1914136093</v>
      </c>
      <c r="AU160" s="854">
        <f t="shared" si="223"/>
        <v>10305347.130013244</v>
      </c>
      <c r="AV160" s="854">
        <f t="shared" si="223"/>
        <v>16230538.957830112</v>
      </c>
      <c r="AW160" s="854">
        <f t="shared" si="223"/>
        <v>0</v>
      </c>
      <c r="AZ160" s="854">
        <f t="shared" si="224"/>
        <v>0</v>
      </c>
      <c r="BA160" s="854">
        <f t="shared" si="224"/>
        <v>21730.503395559168</v>
      </c>
      <c r="BB160" s="854">
        <f t="shared" si="224"/>
        <v>0</v>
      </c>
      <c r="BC160" s="854">
        <f t="shared" si="224"/>
        <v>829904.14932619373</v>
      </c>
      <c r="BD160" s="854">
        <f t="shared" si="224"/>
        <v>786509.57432393299</v>
      </c>
      <c r="BE160" s="854">
        <f t="shared" si="224"/>
        <v>7873360.5584748406</v>
      </c>
      <c r="BF160" s="854">
        <f t="shared" si="224"/>
        <v>0</v>
      </c>
      <c r="BG160" s="854">
        <f t="shared" si="224"/>
        <v>544074.02848626394</v>
      </c>
      <c r="BH160" s="854">
        <f t="shared" si="224"/>
        <v>2642526.7033335529</v>
      </c>
      <c r="BI160" s="854">
        <f t="shared" si="224"/>
        <v>22085088.390791096</v>
      </c>
      <c r="BJ160" s="854">
        <f t="shared" si="224"/>
        <v>34783193.908131436</v>
      </c>
      <c r="BL160" s="880" t="str">
        <f t="shared" si="218"/>
        <v/>
      </c>
      <c r="BN160" s="876">
        <f t="shared" si="225"/>
        <v>51013732.865961552</v>
      </c>
      <c r="BQ160" s="876">
        <f t="shared" si="226"/>
        <v>55688442.931034617</v>
      </c>
      <c r="BR160" s="867" t="s">
        <v>6833</v>
      </c>
      <c r="BS160" s="867" t="s">
        <v>2801</v>
      </c>
    </row>
    <row r="161" spans="10:71">
      <c r="J161" s="58" t="s">
        <v>6835</v>
      </c>
      <c r="K161" s="58" t="s">
        <v>2803</v>
      </c>
      <c r="S161" s="854">
        <f t="shared" si="221"/>
        <v>0</v>
      </c>
      <c r="T161" s="854">
        <f t="shared" si="221"/>
        <v>34790.879221800009</v>
      </c>
      <c r="U161" s="854">
        <f t="shared" si="221"/>
        <v>0</v>
      </c>
      <c r="V161" s="854">
        <f t="shared" si="221"/>
        <v>147632.18371124024</v>
      </c>
      <c r="W161" s="854">
        <f t="shared" si="221"/>
        <v>139912.69481121917</v>
      </c>
      <c r="X161" s="854">
        <f t="shared" si="221"/>
        <v>1401603.7315612887</v>
      </c>
      <c r="Y161" s="854">
        <f t="shared" si="221"/>
        <v>0</v>
      </c>
      <c r="Z161" s="854">
        <f t="shared" si="221"/>
        <v>588184.35349387291</v>
      </c>
      <c r="AA161" s="854">
        <f t="shared" si="221"/>
        <v>960330.12986033992</v>
      </c>
      <c r="AB161" s="854">
        <f t="shared" si="221"/>
        <v>12648017.867270343</v>
      </c>
      <c r="AC161" s="854">
        <f t="shared" si="222"/>
        <v>15920471.839930104</v>
      </c>
      <c r="AF161" s="58" t="s">
        <v>6834</v>
      </c>
      <c r="AK161" s="854">
        <f t="shared" si="223"/>
        <v>1020419.7319683586</v>
      </c>
      <c r="AL161" s="854">
        <f t="shared" si="223"/>
        <v>0</v>
      </c>
      <c r="AM161" s="854">
        <f t="shared" si="223"/>
        <v>102.45740773636147</v>
      </c>
      <c r="AN161" s="854">
        <f t="shared" si="223"/>
        <v>0</v>
      </c>
      <c r="AO161" s="854">
        <f t="shared" si="223"/>
        <v>434.76943324944733</v>
      </c>
      <c r="AP161" s="854">
        <f t="shared" si="223"/>
        <v>412.0359226444557</v>
      </c>
      <c r="AQ161" s="854">
        <f t="shared" si="223"/>
        <v>4127.6532304305156</v>
      </c>
      <c r="AR161" s="854">
        <f t="shared" si="223"/>
        <v>0</v>
      </c>
      <c r="AS161" s="854">
        <f t="shared" si="223"/>
        <v>1732.1736466007017</v>
      </c>
      <c r="AT161" s="854">
        <f t="shared" si="223"/>
        <v>2828.1244359861039</v>
      </c>
      <c r="AU161" s="854">
        <f t="shared" si="223"/>
        <v>37247.783116435319</v>
      </c>
      <c r="AV161" s="854">
        <f t="shared" si="223"/>
        <v>46884.997193082898</v>
      </c>
      <c r="AW161" s="854">
        <f t="shared" si="223"/>
        <v>0</v>
      </c>
      <c r="AZ161" s="854">
        <f t="shared" si="224"/>
        <v>0</v>
      </c>
      <c r="BA161" s="854">
        <f t="shared" si="224"/>
        <v>32458.506770879314</v>
      </c>
      <c r="BB161" s="854">
        <f t="shared" si="224"/>
        <v>0</v>
      </c>
      <c r="BC161" s="854">
        <f t="shared" si="224"/>
        <v>137734.95645342491</v>
      </c>
      <c r="BD161" s="854">
        <f t="shared" si="224"/>
        <v>130532.98029376355</v>
      </c>
      <c r="BE161" s="854">
        <f t="shared" si="224"/>
        <v>1307640.5434003873</v>
      </c>
      <c r="BF161" s="854">
        <f t="shared" si="224"/>
        <v>0</v>
      </c>
      <c r="BG161" s="854">
        <f t="shared" si="224"/>
        <v>548752.61124310223</v>
      </c>
      <c r="BH161" s="854">
        <f t="shared" si="224"/>
        <v>895949.82132039778</v>
      </c>
      <c r="BI161" s="854">
        <f t="shared" si="224"/>
        <v>11800097.691286709</v>
      </c>
      <c r="BJ161" s="854">
        <f t="shared" si="224"/>
        <v>14853167.110768665</v>
      </c>
      <c r="BL161" s="880" t="str">
        <f t="shared" si="218"/>
        <v/>
      </c>
      <c r="BN161" s="876">
        <f t="shared" si="225"/>
        <v>14900052.107961748</v>
      </c>
      <c r="BQ161" s="876">
        <f t="shared" si="226"/>
        <v>15920471.839930104</v>
      </c>
      <c r="BR161" s="867" t="s">
        <v>6834</v>
      </c>
      <c r="BS161" s="867" t="s">
        <v>2802</v>
      </c>
    </row>
    <row r="162" spans="10:71">
      <c r="J162" s="58" t="s">
        <v>2943</v>
      </c>
      <c r="K162" s="58" t="s">
        <v>2804</v>
      </c>
      <c r="S162" s="854">
        <f t="shared" si="221"/>
        <v>0</v>
      </c>
      <c r="T162" s="854">
        <f t="shared" si="221"/>
        <v>243536.15455260003</v>
      </c>
      <c r="U162" s="854">
        <f t="shared" si="221"/>
        <v>1592.4746035386509</v>
      </c>
      <c r="V162" s="854">
        <f t="shared" si="221"/>
        <v>0</v>
      </c>
      <c r="W162" s="854">
        <f t="shared" si="221"/>
        <v>0</v>
      </c>
      <c r="X162" s="854">
        <f t="shared" si="221"/>
        <v>194182.16791840314</v>
      </c>
      <c r="Y162" s="854">
        <f t="shared" si="221"/>
        <v>48036.646167970182</v>
      </c>
      <c r="Z162" s="854">
        <f t="shared" si="221"/>
        <v>4085812.107966553</v>
      </c>
      <c r="AA162" s="854">
        <f t="shared" si="221"/>
        <v>4300787.4272687593</v>
      </c>
      <c r="AB162" s="854">
        <f t="shared" si="221"/>
        <v>18036696.052538149</v>
      </c>
      <c r="AC162" s="854">
        <f t="shared" si="222"/>
        <v>26910643.03101597</v>
      </c>
      <c r="AF162" s="58" t="s">
        <v>6835</v>
      </c>
      <c r="AK162" s="854">
        <f t="shared" si="223"/>
        <v>6544639.0028152522</v>
      </c>
      <c r="AL162" s="854">
        <f t="shared" si="223"/>
        <v>0</v>
      </c>
      <c r="AM162" s="854">
        <f t="shared" si="223"/>
        <v>21834.059730001649</v>
      </c>
      <c r="AN162" s="854">
        <f t="shared" si="223"/>
        <v>142.77217145047666</v>
      </c>
      <c r="AO162" s="854">
        <f t="shared" si="223"/>
        <v>0</v>
      </c>
      <c r="AP162" s="854">
        <f t="shared" si="223"/>
        <v>0</v>
      </c>
      <c r="AQ162" s="854">
        <f t="shared" si="223"/>
        <v>17409.263362232716</v>
      </c>
      <c r="AR162" s="854">
        <f t="shared" si="223"/>
        <v>4306.6911505900598</v>
      </c>
      <c r="AS162" s="854">
        <f t="shared" si="223"/>
        <v>366310.56187444931</v>
      </c>
      <c r="AT162" s="854">
        <f t="shared" si="223"/>
        <v>385584.0203502287</v>
      </c>
      <c r="AU162" s="854">
        <f t="shared" si="223"/>
        <v>1617067.0825712865</v>
      </c>
      <c r="AV162" s="854">
        <f t="shared" si="223"/>
        <v>2412654.4512102394</v>
      </c>
      <c r="AW162" s="854">
        <f t="shared" si="223"/>
        <v>0</v>
      </c>
      <c r="AZ162" s="854">
        <f t="shared" si="224"/>
        <v>0</v>
      </c>
      <c r="BA162" s="854">
        <f t="shared" si="224"/>
        <v>162474.3679398337</v>
      </c>
      <c r="BB162" s="854">
        <f t="shared" si="224"/>
        <v>1062.4143472475521</v>
      </c>
      <c r="BC162" s="854">
        <f t="shared" si="224"/>
        <v>0</v>
      </c>
      <c r="BD162" s="854">
        <f t="shared" si="224"/>
        <v>0</v>
      </c>
      <c r="BE162" s="854">
        <f t="shared" si="224"/>
        <v>129548.01333579804</v>
      </c>
      <c r="BF162" s="854">
        <f t="shared" si="224"/>
        <v>32047.495118038783</v>
      </c>
      <c r="BG162" s="854">
        <f t="shared" si="224"/>
        <v>2725836.502519818</v>
      </c>
      <c r="BH162" s="854">
        <f t="shared" si="224"/>
        <v>2869256.6004122896</v>
      </c>
      <c r="BI162" s="854">
        <f t="shared" si="224"/>
        <v>12033124.183317455</v>
      </c>
      <c r="BJ162" s="854">
        <f t="shared" si="224"/>
        <v>17953349.576990478</v>
      </c>
      <c r="BL162" s="880" t="str">
        <f t="shared" si="218"/>
        <v/>
      </c>
      <c r="BN162" s="876">
        <f t="shared" si="225"/>
        <v>20366004.02820072</v>
      </c>
      <c r="BQ162" s="876">
        <f t="shared" si="226"/>
        <v>26910643.03101597</v>
      </c>
      <c r="BR162" s="867" t="s">
        <v>6835</v>
      </c>
      <c r="BS162" s="867" t="s">
        <v>2803</v>
      </c>
    </row>
    <row r="163" spans="10:71">
      <c r="J163" s="58" t="s">
        <v>2574</v>
      </c>
      <c r="K163" s="58" t="s">
        <v>2805</v>
      </c>
      <c r="S163" s="854">
        <f t="shared" si="221"/>
        <v>0</v>
      </c>
      <c r="T163" s="854">
        <f t="shared" si="221"/>
        <v>0</v>
      </c>
      <c r="U163" s="854">
        <f t="shared" si="221"/>
        <v>0</v>
      </c>
      <c r="V163" s="854">
        <f t="shared" si="221"/>
        <v>0</v>
      </c>
      <c r="W163" s="854">
        <f t="shared" si="221"/>
        <v>0</v>
      </c>
      <c r="X163" s="854">
        <f t="shared" si="221"/>
        <v>0</v>
      </c>
      <c r="Y163" s="854">
        <f t="shared" si="221"/>
        <v>0</v>
      </c>
      <c r="Z163" s="854">
        <f t="shared" si="221"/>
        <v>0</v>
      </c>
      <c r="AA163" s="854">
        <f t="shared" si="221"/>
        <v>16042.561571690436</v>
      </c>
      <c r="AB163" s="854">
        <f t="shared" si="221"/>
        <v>159457.64408188884</v>
      </c>
      <c r="AC163" s="854">
        <f t="shared" si="222"/>
        <v>175500.20565357927</v>
      </c>
      <c r="AF163" s="58" t="s">
        <v>2943</v>
      </c>
      <c r="AK163" s="854">
        <f t="shared" si="223"/>
        <v>29095.482541094032</v>
      </c>
      <c r="AL163" s="854">
        <f t="shared" si="223"/>
        <v>0</v>
      </c>
      <c r="AM163" s="854">
        <f t="shared" si="223"/>
        <v>0</v>
      </c>
      <c r="AN163" s="854">
        <f t="shared" si="223"/>
        <v>0</v>
      </c>
      <c r="AO163" s="854">
        <f t="shared" si="223"/>
        <v>0</v>
      </c>
      <c r="AP163" s="854">
        <f t="shared" si="223"/>
        <v>0</v>
      </c>
      <c r="AQ163" s="854">
        <f t="shared" si="223"/>
        <v>0</v>
      </c>
      <c r="AR163" s="854">
        <f t="shared" si="223"/>
        <v>0</v>
      </c>
      <c r="AS163" s="854">
        <f t="shared" si="223"/>
        <v>0</v>
      </c>
      <c r="AT163" s="854">
        <f t="shared" si="223"/>
        <v>6714.9103967341371</v>
      </c>
      <c r="AU163" s="854">
        <f t="shared" si="223"/>
        <v>66743.941564400724</v>
      </c>
      <c r="AV163" s="854">
        <f t="shared" si="223"/>
        <v>73458.85196113486</v>
      </c>
      <c r="AW163" s="854">
        <f t="shared" si="223"/>
        <v>0</v>
      </c>
      <c r="AZ163" s="854">
        <f t="shared" si="224"/>
        <v>0</v>
      </c>
      <c r="BA163" s="854">
        <f t="shared" si="224"/>
        <v>0</v>
      </c>
      <c r="BB163" s="854">
        <f t="shared" si="224"/>
        <v>0</v>
      </c>
      <c r="BC163" s="854">
        <f t="shared" si="224"/>
        <v>0</v>
      </c>
      <c r="BD163" s="854">
        <f t="shared" si="224"/>
        <v>0</v>
      </c>
      <c r="BE163" s="854">
        <f t="shared" si="224"/>
        <v>0</v>
      </c>
      <c r="BF163" s="854">
        <f t="shared" si="224"/>
        <v>0</v>
      </c>
      <c r="BG163" s="854">
        <f t="shared" si="224"/>
        <v>0</v>
      </c>
      <c r="BH163" s="854">
        <f t="shared" si="224"/>
        <v>6668.0185643547075</v>
      </c>
      <c r="BI163" s="854">
        <f t="shared" si="224"/>
        <v>66277.852586995679</v>
      </c>
      <c r="BJ163" s="854">
        <f t="shared" si="224"/>
        <v>72945.87115135038</v>
      </c>
      <c r="BL163" s="880" t="str">
        <f t="shared" si="218"/>
        <v/>
      </c>
      <c r="BN163" s="876">
        <f t="shared" si="225"/>
        <v>146404.72311248526</v>
      </c>
      <c r="BQ163" s="876">
        <f t="shared" si="226"/>
        <v>175500.20565357927</v>
      </c>
      <c r="BR163" s="867" t="s">
        <v>2943</v>
      </c>
      <c r="BS163" s="867" t="s">
        <v>2804</v>
      </c>
    </row>
    <row r="164" spans="10:71">
      <c r="J164" s="58" t="s">
        <v>6836</v>
      </c>
      <c r="K164" s="58" t="s">
        <v>2806</v>
      </c>
      <c r="S164" s="854">
        <f t="shared" si="221"/>
        <v>0</v>
      </c>
      <c r="T164" s="854">
        <f t="shared" si="221"/>
        <v>69581.758443600018</v>
      </c>
      <c r="U164" s="854">
        <f t="shared" si="221"/>
        <v>0</v>
      </c>
      <c r="V164" s="854">
        <f t="shared" si="221"/>
        <v>0</v>
      </c>
      <c r="W164" s="854">
        <f t="shared" si="221"/>
        <v>0</v>
      </c>
      <c r="X164" s="854">
        <f t="shared" si="221"/>
        <v>2264.7378218015947</v>
      </c>
      <c r="Y164" s="854">
        <f t="shared" si="221"/>
        <v>0</v>
      </c>
      <c r="Z164" s="854">
        <f t="shared" si="221"/>
        <v>1409983.1882108524</v>
      </c>
      <c r="AA164" s="854">
        <f t="shared" si="221"/>
        <v>696321.46536024066</v>
      </c>
      <c r="AB164" s="854">
        <f t="shared" si="221"/>
        <v>9009484.5339611843</v>
      </c>
      <c r="AC164" s="854">
        <f t="shared" si="222"/>
        <v>11187635.683797678</v>
      </c>
      <c r="AF164" s="58" t="s">
        <v>2574</v>
      </c>
      <c r="AK164" s="854">
        <f t="shared" si="223"/>
        <v>4357876.8885076409</v>
      </c>
      <c r="AL164" s="854">
        <f t="shared" si="223"/>
        <v>0</v>
      </c>
      <c r="AM164" s="854">
        <f t="shared" si="223"/>
        <v>14789.050938280778</v>
      </c>
      <c r="AN164" s="854">
        <f t="shared" si="223"/>
        <v>0</v>
      </c>
      <c r="AO164" s="854">
        <f t="shared" si="223"/>
        <v>0</v>
      </c>
      <c r="AP164" s="854">
        <f t="shared" si="223"/>
        <v>0</v>
      </c>
      <c r="AQ164" s="854">
        <f t="shared" si="223"/>
        <v>481.35206349553647</v>
      </c>
      <c r="AR164" s="854">
        <f t="shared" si="223"/>
        <v>0</v>
      </c>
      <c r="AS164" s="854">
        <f t="shared" si="223"/>
        <v>299680.74476691784</v>
      </c>
      <c r="AT164" s="854">
        <f t="shared" si="223"/>
        <v>147997.60527722185</v>
      </c>
      <c r="AU164" s="854">
        <f t="shared" si="223"/>
        <v>1914894.4878765147</v>
      </c>
      <c r="AV164" s="854">
        <f t="shared" si="223"/>
        <v>2377843.2409224305</v>
      </c>
      <c r="AW164" s="854">
        <f t="shared" si="223"/>
        <v>0</v>
      </c>
      <c r="AZ164" s="854">
        <f t="shared" si="224"/>
        <v>0</v>
      </c>
      <c r="BA164" s="854">
        <f t="shared" si="224"/>
        <v>27688.791579434004</v>
      </c>
      <c r="BB164" s="854">
        <f t="shared" si="224"/>
        <v>0</v>
      </c>
      <c r="BC164" s="854">
        <f t="shared" si="224"/>
        <v>0</v>
      </c>
      <c r="BD164" s="854">
        <f t="shared" si="224"/>
        <v>0</v>
      </c>
      <c r="BE164" s="854">
        <f t="shared" si="224"/>
        <v>901.21110665454057</v>
      </c>
      <c r="BF164" s="854">
        <f t="shared" si="224"/>
        <v>0</v>
      </c>
      <c r="BG164" s="854">
        <f t="shared" si="224"/>
        <v>561077.09121092269</v>
      </c>
      <c r="BH164" s="854">
        <f t="shared" si="224"/>
        <v>277088.4260171947</v>
      </c>
      <c r="BI164" s="854">
        <f t="shared" si="224"/>
        <v>3585160.0344534018</v>
      </c>
      <c r="BJ164" s="854">
        <f t="shared" si="224"/>
        <v>4451915.5543676075</v>
      </c>
      <c r="BL164" s="880" t="str">
        <f t="shared" si="218"/>
        <v/>
      </c>
      <c r="BN164" s="876">
        <f t="shared" si="225"/>
        <v>6829758.795290038</v>
      </c>
      <c r="BQ164" s="876">
        <f t="shared" si="226"/>
        <v>11187635.683797678</v>
      </c>
      <c r="BR164" s="867" t="s">
        <v>2574</v>
      </c>
      <c r="BS164" s="867" t="s">
        <v>2805</v>
      </c>
    </row>
    <row r="165" spans="10:71">
      <c r="S165" s="854">
        <f t="shared" si="221"/>
        <v>0</v>
      </c>
      <c r="T165" s="854">
        <f t="shared" si="221"/>
        <v>69581.758443600018</v>
      </c>
      <c r="U165" s="854">
        <f t="shared" si="221"/>
        <v>8067.0603800232202</v>
      </c>
      <c r="V165" s="854">
        <f t="shared" si="221"/>
        <v>0</v>
      </c>
      <c r="W165" s="854">
        <f t="shared" si="221"/>
        <v>0</v>
      </c>
      <c r="X165" s="854">
        <f t="shared" si="221"/>
        <v>92386.138974467409</v>
      </c>
      <c r="Y165" s="854">
        <f t="shared" si="221"/>
        <v>16012.215389323395</v>
      </c>
      <c r="Z165" s="854">
        <f t="shared" si="221"/>
        <v>1084176.3621821995</v>
      </c>
      <c r="AA165" s="854">
        <f t="shared" si="221"/>
        <v>1121770.8407146393</v>
      </c>
      <c r="AB165" s="854">
        <f t="shared" si="221"/>
        <v>3878735.0470729647</v>
      </c>
      <c r="AC165" s="854">
        <f t="shared" si="222"/>
        <v>6270729.423157217</v>
      </c>
      <c r="AF165" s="58" t="s">
        <v>6836</v>
      </c>
      <c r="AK165" s="854">
        <f t="shared" si="223"/>
        <v>3991361.3928050641</v>
      </c>
      <c r="AL165" s="854">
        <f t="shared" si="223"/>
        <v>0</v>
      </c>
      <c r="AM165" s="854">
        <f t="shared" si="223"/>
        <v>10268.913592723571</v>
      </c>
      <c r="AN165" s="854">
        <f t="shared" si="223"/>
        <v>1190.5411395558322</v>
      </c>
      <c r="AO165" s="854">
        <f t="shared" si="223"/>
        <v>0</v>
      </c>
      <c r="AP165" s="854">
        <f t="shared" si="223"/>
        <v>0</v>
      </c>
      <c r="AQ165" s="854">
        <f t="shared" si="223"/>
        <v>13634.396421055339</v>
      </c>
      <c r="AR165" s="854">
        <f t="shared" si="223"/>
        <v>2363.0914184831772</v>
      </c>
      <c r="AS165" s="854">
        <f t="shared" si="223"/>
        <v>160003.33466057153</v>
      </c>
      <c r="AT165" s="854">
        <f t="shared" si="223"/>
        <v>165551.54816147126</v>
      </c>
      <c r="AU165" s="854">
        <f t="shared" si="223"/>
        <v>572425.8187545758</v>
      </c>
      <c r="AV165" s="854">
        <f t="shared" si="223"/>
        <v>925437.64414843649</v>
      </c>
      <c r="AW165" s="854">
        <f t="shared" si="223"/>
        <v>0</v>
      </c>
      <c r="AZ165" s="854">
        <f t="shared" si="224"/>
        <v>0</v>
      </c>
      <c r="BA165" s="854">
        <f t="shared" si="224"/>
        <v>15023.588282149854</v>
      </c>
      <c r="BB165" s="854">
        <f t="shared" si="224"/>
        <v>1741.7811292445076</v>
      </c>
      <c r="BC165" s="854">
        <f t="shared" si="224"/>
        <v>0</v>
      </c>
      <c r="BD165" s="854">
        <f t="shared" si="224"/>
        <v>0</v>
      </c>
      <c r="BE165" s="854">
        <f t="shared" si="224"/>
        <v>19947.344619853298</v>
      </c>
      <c r="BF165" s="854">
        <f t="shared" si="224"/>
        <v>3457.2413355906619</v>
      </c>
      <c r="BG165" s="854">
        <f t="shared" si="224"/>
        <v>234087.49153511089</v>
      </c>
      <c r="BH165" s="854">
        <f t="shared" si="224"/>
        <v>242204.61849175865</v>
      </c>
      <c r="BI165" s="854">
        <f t="shared" si="224"/>
        <v>837468.32081000879</v>
      </c>
      <c r="BJ165" s="854">
        <f t="shared" si="224"/>
        <v>1353930.3862037167</v>
      </c>
      <c r="BL165" s="880" t="str">
        <f t="shared" si="218"/>
        <v/>
      </c>
      <c r="BN165" s="876">
        <f t="shared" si="225"/>
        <v>2279368.0303521529</v>
      </c>
      <c r="BQ165" s="876">
        <f t="shared" si="226"/>
        <v>6270729.423157217</v>
      </c>
      <c r="BR165" s="867" t="s">
        <v>6836</v>
      </c>
      <c r="BS165" s="867" t="s">
        <v>2806</v>
      </c>
    </row>
    <row r="166" spans="10:71" ht="13.5" thickBot="1">
      <c r="S166" s="864">
        <f t="shared" ref="S166:AB166" si="227">SUM(S158:S165)</f>
        <v>0</v>
      </c>
      <c r="T166" s="864">
        <f t="shared" si="227"/>
        <v>1391635.1688720004</v>
      </c>
      <c r="U166" s="864">
        <f t="shared" si="227"/>
        <v>322682.41520092875</v>
      </c>
      <c r="V166" s="864">
        <f t="shared" si="227"/>
        <v>1476321.8371124023</v>
      </c>
      <c r="W166" s="864">
        <f t="shared" si="227"/>
        <v>1399126.9481121916</v>
      </c>
      <c r="X166" s="864">
        <f t="shared" si="227"/>
        <v>17654864.429046545</v>
      </c>
      <c r="Y166" s="864">
        <f t="shared" si="227"/>
        <v>640488.61557293579</v>
      </c>
      <c r="Z166" s="864">
        <f t="shared" si="227"/>
        <v>27894582.445336927</v>
      </c>
      <c r="AA166" s="864">
        <f t="shared" si="227"/>
        <v>26690310.855694108</v>
      </c>
      <c r="AB166" s="864">
        <f t="shared" si="227"/>
        <v>168882124.516233</v>
      </c>
      <c r="AC166" s="864">
        <f>SUM(AC158:AC165)</f>
        <v>246352137.231181</v>
      </c>
      <c r="AF166" s="851"/>
      <c r="AK166" s="864">
        <f t="shared" ref="AK166:AW166" si="228">SUM(AK158:AK165)</f>
        <v>27584267.943949401</v>
      </c>
      <c r="AL166" s="864">
        <f t="shared" si="228"/>
        <v>0</v>
      </c>
      <c r="AM166" s="864">
        <f t="shared" si="228"/>
        <v>127844.36263176342</v>
      </c>
      <c r="AN166" s="864">
        <f t="shared" si="228"/>
        <v>24896.156482862636</v>
      </c>
      <c r="AO166" s="864">
        <f t="shared" si="228"/>
        <v>387684.76328027068</v>
      </c>
      <c r="AP166" s="864">
        <f t="shared" si="228"/>
        <v>367413.24692376313</v>
      </c>
      <c r="AQ166" s="864">
        <f t="shared" si="228"/>
        <v>3962374.5126083223</v>
      </c>
      <c r="AR166" s="864">
        <f t="shared" si="228"/>
        <v>50061.369511414698</v>
      </c>
      <c r="AS166" s="864">
        <f t="shared" si="228"/>
        <v>2577089.4028973929</v>
      </c>
      <c r="AT166" s="864">
        <f t="shared" si="228"/>
        <v>3108786.9163791807</v>
      </c>
      <c r="AU166" s="864">
        <f t="shared" si="228"/>
        <v>21312314.177904315</v>
      </c>
      <c r="AV166" s="864">
        <f t="shared" si="228"/>
        <v>31918464.908619281</v>
      </c>
      <c r="AW166" s="864">
        <f t="shared" si="228"/>
        <v>0</v>
      </c>
      <c r="AZ166" s="864">
        <f t="shared" ref="AZ166:BJ166" si="229">SUM(AZ158:AZ165)</f>
        <v>0</v>
      </c>
      <c r="BA166" s="864">
        <f t="shared" si="229"/>
        <v>1087554.4118870471</v>
      </c>
      <c r="BB166" s="864">
        <f t="shared" si="229"/>
        <v>278779.96139343944</v>
      </c>
      <c r="BC166" s="864">
        <f t="shared" si="229"/>
        <v>967639.10577961861</v>
      </c>
      <c r="BD166" s="864">
        <f t="shared" si="229"/>
        <v>917042.55461769656</v>
      </c>
      <c r="BE166" s="864">
        <f t="shared" si="229"/>
        <v>12292897.575698847</v>
      </c>
      <c r="BF166" s="864">
        <f t="shared" si="229"/>
        <v>543721.26844954665</v>
      </c>
      <c r="BG166" s="864">
        <f t="shared" si="229"/>
        <v>22095130.42266047</v>
      </c>
      <c r="BH166" s="864">
        <f t="shared" si="229"/>
        <v>20189122.581663728</v>
      </c>
      <c r="BI166" s="864">
        <f t="shared" si="229"/>
        <v>128477516.49646191</v>
      </c>
      <c r="BJ166" s="864">
        <f t="shared" si="229"/>
        <v>186849404.37861231</v>
      </c>
      <c r="BL166" s="880" t="str">
        <f t="shared" si="218"/>
        <v/>
      </c>
      <c r="BN166" s="877">
        <f>SUM(BN158:BN165)</f>
        <v>218767869.28723159</v>
      </c>
      <c r="BQ166" s="877">
        <f>SUM(BQ158:BQ165)</f>
        <v>246352137.231181</v>
      </c>
      <c r="BR166" s="870"/>
    </row>
    <row r="167" spans="10:71">
      <c r="AC167" s="854"/>
      <c r="BL167" s="880" t="str">
        <f t="shared" si="218"/>
        <v/>
      </c>
      <c r="BR167" s="870"/>
    </row>
    <row r="168" spans="10:71">
      <c r="BL168" s="880" t="str">
        <f t="shared" si="218"/>
        <v/>
      </c>
      <c r="BR168" s="870"/>
    </row>
    <row r="169" spans="10:71">
      <c r="K169" s="58" t="s">
        <v>2682</v>
      </c>
      <c r="S169" s="854">
        <f t="shared" ref="S169:AB178" si="230">SUMIFS(S$8:S$149,$AC$8:$AC$149,"&gt;0",$AF$8:$AF$149,$AF169)</f>
        <v>1282729</v>
      </c>
      <c r="T169" s="854">
        <f t="shared" si="230"/>
        <v>6748071.0790001228</v>
      </c>
      <c r="U169" s="854">
        <f t="shared" si="230"/>
        <v>8693105.9302291404</v>
      </c>
      <c r="V169" s="854">
        <f t="shared" si="230"/>
        <v>9343406.9749496114</v>
      </c>
      <c r="W169" s="854">
        <f t="shared" si="230"/>
        <v>14121199.545423575</v>
      </c>
      <c r="X169" s="854">
        <f t="shared" si="230"/>
        <v>15296958.455035716</v>
      </c>
      <c r="Y169" s="854">
        <f t="shared" si="230"/>
        <v>12613743.302144399</v>
      </c>
      <c r="Z169" s="854">
        <f t="shared" si="230"/>
        <v>16132995.270044602</v>
      </c>
      <c r="AA169" s="854">
        <f t="shared" si="230"/>
        <v>20459486.658467807</v>
      </c>
      <c r="AB169" s="854">
        <f t="shared" si="230"/>
        <v>21901903.784705032</v>
      </c>
      <c r="AC169" s="854">
        <f t="shared" ref="AC169:AC178" si="231">SUMIFS(AC$8:AC$149,$AC$8:$AC$149,"&gt;0",$AF$8:$AF$149,$AF169)</f>
        <v>126593599.99999999</v>
      </c>
      <c r="AF169" s="58" t="s">
        <v>2682</v>
      </c>
      <c r="BL169" s="880" t="str">
        <f>IF($Q169=0,"",F169&amp;" "&amp;#REF!&amp;" "&amp;Q169&amp;" "&amp;R169&amp;" "&amp;AI169)</f>
        <v/>
      </c>
      <c r="BR169" s="870"/>
    </row>
    <row r="170" spans="10:71">
      <c r="K170" s="58" t="s">
        <v>2684</v>
      </c>
      <c r="S170" s="854">
        <f t="shared" si="230"/>
        <v>0</v>
      </c>
      <c r="T170" s="854">
        <f t="shared" si="230"/>
        <v>0</v>
      </c>
      <c r="U170" s="854">
        <f t="shared" si="230"/>
        <v>0</v>
      </c>
      <c r="V170" s="854">
        <f t="shared" si="230"/>
        <v>0</v>
      </c>
      <c r="W170" s="854">
        <f t="shared" si="230"/>
        <v>0</v>
      </c>
      <c r="X170" s="854">
        <f t="shared" si="230"/>
        <v>0</v>
      </c>
      <c r="Y170" s="854">
        <f t="shared" si="230"/>
        <v>0</v>
      </c>
      <c r="Z170" s="854">
        <f t="shared" si="230"/>
        <v>0</v>
      </c>
      <c r="AA170" s="854">
        <f t="shared" si="230"/>
        <v>0</v>
      </c>
      <c r="AB170" s="854">
        <f t="shared" si="230"/>
        <v>0</v>
      </c>
      <c r="AC170" s="854">
        <f t="shared" si="231"/>
        <v>0</v>
      </c>
      <c r="AF170" s="58" t="s">
        <v>2684</v>
      </c>
      <c r="BL170" s="880" t="str">
        <f>IF($Q170=0,"",F170&amp;" "&amp;#REF!&amp;" "&amp;Q170&amp;" "&amp;R170&amp;" "&amp;AI170)</f>
        <v/>
      </c>
      <c r="BR170" s="870"/>
    </row>
    <row r="171" spans="10:71">
      <c r="K171" s="58" t="s">
        <v>2686</v>
      </c>
      <c r="S171" s="854">
        <f t="shared" si="230"/>
        <v>0</v>
      </c>
      <c r="T171" s="854">
        <f t="shared" si="230"/>
        <v>0</v>
      </c>
      <c r="U171" s="854">
        <f t="shared" si="230"/>
        <v>0</v>
      </c>
      <c r="V171" s="854">
        <f t="shared" si="230"/>
        <v>0</v>
      </c>
      <c r="W171" s="854">
        <f t="shared" si="230"/>
        <v>0</v>
      </c>
      <c r="X171" s="854">
        <f t="shared" si="230"/>
        <v>0</v>
      </c>
      <c r="Y171" s="854">
        <f t="shared" si="230"/>
        <v>0</v>
      </c>
      <c r="Z171" s="854">
        <f t="shared" si="230"/>
        <v>0</v>
      </c>
      <c r="AA171" s="854">
        <f t="shared" si="230"/>
        <v>0</v>
      </c>
      <c r="AB171" s="854">
        <f t="shared" si="230"/>
        <v>0</v>
      </c>
      <c r="AC171" s="854">
        <f t="shared" si="231"/>
        <v>0</v>
      </c>
      <c r="AF171" s="58" t="s">
        <v>2686</v>
      </c>
      <c r="BL171" s="880" t="str">
        <f>IF($Q171=0,"",F171&amp;" "&amp;#REF!&amp;" "&amp;Q171&amp;" "&amp;R171&amp;" "&amp;AI171)</f>
        <v/>
      </c>
      <c r="BR171" s="870"/>
    </row>
    <row r="172" spans="10:71">
      <c r="K172" s="58" t="s">
        <v>2688</v>
      </c>
      <c r="S172" s="854">
        <f t="shared" si="230"/>
        <v>0</v>
      </c>
      <c r="T172" s="854">
        <f t="shared" si="230"/>
        <v>0</v>
      </c>
      <c r="U172" s="854">
        <f t="shared" si="230"/>
        <v>0</v>
      </c>
      <c r="V172" s="854">
        <f t="shared" si="230"/>
        <v>0</v>
      </c>
      <c r="W172" s="854">
        <f t="shared" si="230"/>
        <v>0</v>
      </c>
      <c r="X172" s="854">
        <f t="shared" si="230"/>
        <v>0</v>
      </c>
      <c r="Y172" s="854">
        <f t="shared" si="230"/>
        <v>0</v>
      </c>
      <c r="Z172" s="854">
        <f t="shared" si="230"/>
        <v>0</v>
      </c>
      <c r="AA172" s="854">
        <f t="shared" si="230"/>
        <v>0</v>
      </c>
      <c r="AB172" s="854">
        <f t="shared" si="230"/>
        <v>0</v>
      </c>
      <c r="AC172" s="854">
        <f t="shared" si="231"/>
        <v>0</v>
      </c>
      <c r="AF172" s="58" t="s">
        <v>2688</v>
      </c>
      <c r="BL172" s="880" t="str">
        <f>IF($Q172=0,"",F172&amp;" "&amp;#REF!&amp;" "&amp;Q172&amp;" "&amp;R172&amp;" "&amp;AI172)</f>
        <v/>
      </c>
      <c r="BR172" s="870"/>
    </row>
    <row r="173" spans="10:71">
      <c r="K173" s="58" t="s">
        <v>2690</v>
      </c>
      <c r="S173" s="854">
        <f t="shared" si="230"/>
        <v>0</v>
      </c>
      <c r="T173" s="854">
        <f t="shared" si="230"/>
        <v>0</v>
      </c>
      <c r="U173" s="854">
        <f t="shared" si="230"/>
        <v>0</v>
      </c>
      <c r="V173" s="854">
        <f t="shared" si="230"/>
        <v>0</v>
      </c>
      <c r="W173" s="854">
        <f t="shared" si="230"/>
        <v>0</v>
      </c>
      <c r="X173" s="854">
        <f t="shared" si="230"/>
        <v>0</v>
      </c>
      <c r="Y173" s="854">
        <f t="shared" si="230"/>
        <v>0</v>
      </c>
      <c r="Z173" s="854">
        <f t="shared" si="230"/>
        <v>0</v>
      </c>
      <c r="AA173" s="854">
        <f t="shared" si="230"/>
        <v>0</v>
      </c>
      <c r="AB173" s="854">
        <f t="shared" si="230"/>
        <v>0</v>
      </c>
      <c r="AC173" s="854">
        <f t="shared" si="231"/>
        <v>0</v>
      </c>
      <c r="AF173" s="58" t="s">
        <v>2690</v>
      </c>
      <c r="BL173" s="880" t="str">
        <f>IF($Q173=0,"",F173&amp;" "&amp;#REF!&amp;" "&amp;Q173&amp;" "&amp;R173&amp;" "&amp;AI173)</f>
        <v/>
      </c>
      <c r="BR173" s="870"/>
    </row>
    <row r="174" spans="10:71">
      <c r="K174" s="58" t="s">
        <v>2692</v>
      </c>
      <c r="S174" s="854">
        <f t="shared" si="230"/>
        <v>0</v>
      </c>
      <c r="T174" s="854">
        <f t="shared" si="230"/>
        <v>0</v>
      </c>
      <c r="U174" s="854">
        <f t="shared" si="230"/>
        <v>0</v>
      </c>
      <c r="V174" s="854">
        <f t="shared" si="230"/>
        <v>0</v>
      </c>
      <c r="W174" s="854">
        <f t="shared" si="230"/>
        <v>0</v>
      </c>
      <c r="X174" s="854">
        <f t="shared" si="230"/>
        <v>0</v>
      </c>
      <c r="Y174" s="854">
        <f t="shared" si="230"/>
        <v>0</v>
      </c>
      <c r="Z174" s="854">
        <f t="shared" si="230"/>
        <v>0</v>
      </c>
      <c r="AA174" s="854">
        <f t="shared" si="230"/>
        <v>0</v>
      </c>
      <c r="AB174" s="854">
        <f t="shared" si="230"/>
        <v>0</v>
      </c>
      <c r="AC174" s="854">
        <f t="shared" si="231"/>
        <v>0</v>
      </c>
      <c r="AF174" s="58" t="s">
        <v>2692</v>
      </c>
      <c r="BL174" s="880" t="str">
        <f>IF($Q174=0,"",F174&amp;" "&amp;#REF!&amp;" "&amp;Q174&amp;" "&amp;R174&amp;" "&amp;AI174)</f>
        <v/>
      </c>
      <c r="BR174" s="870"/>
    </row>
    <row r="175" spans="10:71">
      <c r="K175" s="58" t="s">
        <v>2694</v>
      </c>
      <c r="S175" s="854">
        <f t="shared" si="230"/>
        <v>0</v>
      </c>
      <c r="T175" s="854">
        <f t="shared" si="230"/>
        <v>0</v>
      </c>
      <c r="U175" s="854">
        <f t="shared" si="230"/>
        <v>0</v>
      </c>
      <c r="V175" s="854">
        <f t="shared" si="230"/>
        <v>0</v>
      </c>
      <c r="W175" s="854">
        <f t="shared" si="230"/>
        <v>0</v>
      </c>
      <c r="X175" s="854">
        <f t="shared" si="230"/>
        <v>0</v>
      </c>
      <c r="Y175" s="854">
        <f t="shared" si="230"/>
        <v>0</v>
      </c>
      <c r="Z175" s="854">
        <f t="shared" si="230"/>
        <v>0</v>
      </c>
      <c r="AA175" s="854">
        <f t="shared" si="230"/>
        <v>0</v>
      </c>
      <c r="AB175" s="854">
        <f t="shared" si="230"/>
        <v>0</v>
      </c>
      <c r="AC175" s="854">
        <f t="shared" si="231"/>
        <v>0</v>
      </c>
      <c r="AF175" s="58" t="s">
        <v>2694</v>
      </c>
      <c r="BL175" s="880" t="str">
        <f>IF($Q175=0,"",F175&amp;" "&amp;#REF!&amp;" "&amp;Q175&amp;" "&amp;R175&amp;" "&amp;AI175)</f>
        <v/>
      </c>
      <c r="BR175" s="870"/>
    </row>
    <row r="176" spans="10:71">
      <c r="K176" s="58" t="s">
        <v>2741</v>
      </c>
      <c r="S176" s="854">
        <f t="shared" si="230"/>
        <v>0</v>
      </c>
      <c r="T176" s="854">
        <f t="shared" si="230"/>
        <v>0</v>
      </c>
      <c r="U176" s="854">
        <f t="shared" si="230"/>
        <v>0</v>
      </c>
      <c r="V176" s="854">
        <f t="shared" si="230"/>
        <v>0</v>
      </c>
      <c r="W176" s="854">
        <f t="shared" si="230"/>
        <v>0</v>
      </c>
      <c r="X176" s="854">
        <f t="shared" si="230"/>
        <v>0</v>
      </c>
      <c r="Y176" s="854">
        <f t="shared" si="230"/>
        <v>0</v>
      </c>
      <c r="Z176" s="854">
        <f t="shared" si="230"/>
        <v>0</v>
      </c>
      <c r="AA176" s="854">
        <f t="shared" si="230"/>
        <v>0</v>
      </c>
      <c r="AB176" s="854">
        <f t="shared" si="230"/>
        <v>0</v>
      </c>
      <c r="AC176" s="854">
        <f t="shared" si="231"/>
        <v>0</v>
      </c>
      <c r="AF176" s="58" t="s">
        <v>2741</v>
      </c>
      <c r="BL176" s="880" t="str">
        <f>IF($Q176=0,"",F176&amp;" "&amp;#REF!&amp;" "&amp;Q176&amp;" "&amp;R176&amp;" "&amp;AI176)</f>
        <v/>
      </c>
      <c r="BR176" s="870"/>
    </row>
    <row r="177" spans="11:70">
      <c r="K177" s="58" t="s">
        <v>2742</v>
      </c>
      <c r="S177" s="854">
        <f t="shared" si="230"/>
        <v>0</v>
      </c>
      <c r="T177" s="854">
        <f t="shared" si="230"/>
        <v>0</v>
      </c>
      <c r="U177" s="854">
        <f t="shared" si="230"/>
        <v>0</v>
      </c>
      <c r="V177" s="854">
        <f t="shared" si="230"/>
        <v>0</v>
      </c>
      <c r="W177" s="854">
        <f t="shared" si="230"/>
        <v>0</v>
      </c>
      <c r="X177" s="854">
        <f t="shared" si="230"/>
        <v>0</v>
      </c>
      <c r="Y177" s="854">
        <f t="shared" si="230"/>
        <v>0</v>
      </c>
      <c r="Z177" s="854">
        <f t="shared" si="230"/>
        <v>0</v>
      </c>
      <c r="AA177" s="854">
        <f t="shared" si="230"/>
        <v>0</v>
      </c>
      <c r="AB177" s="854">
        <f t="shared" si="230"/>
        <v>0</v>
      </c>
      <c r="AC177" s="854">
        <f t="shared" si="231"/>
        <v>0</v>
      </c>
      <c r="AF177" s="58" t="s">
        <v>2742</v>
      </c>
      <c r="BL177" s="880" t="str">
        <f>IF($Q177=0,"",F177&amp;" "&amp;#REF!&amp;" "&amp;Q177&amp;" "&amp;R177&amp;" "&amp;AI177)</f>
        <v/>
      </c>
      <c r="BR177" s="870"/>
    </row>
    <row r="178" spans="11:70">
      <c r="K178" s="58" t="s">
        <v>2714</v>
      </c>
      <c r="S178" s="854">
        <f t="shared" si="230"/>
        <v>0</v>
      </c>
      <c r="T178" s="854">
        <f t="shared" si="230"/>
        <v>0</v>
      </c>
      <c r="U178" s="854">
        <f t="shared" si="230"/>
        <v>0</v>
      </c>
      <c r="V178" s="854">
        <f t="shared" si="230"/>
        <v>0</v>
      </c>
      <c r="W178" s="854">
        <f t="shared" si="230"/>
        <v>0</v>
      </c>
      <c r="X178" s="854">
        <f t="shared" si="230"/>
        <v>0</v>
      </c>
      <c r="Y178" s="854">
        <f t="shared" si="230"/>
        <v>0</v>
      </c>
      <c r="Z178" s="854">
        <f t="shared" si="230"/>
        <v>0</v>
      </c>
      <c r="AA178" s="854">
        <f t="shared" si="230"/>
        <v>0</v>
      </c>
      <c r="AB178" s="854">
        <f t="shared" si="230"/>
        <v>0</v>
      </c>
      <c r="AC178" s="854">
        <f t="shared" si="231"/>
        <v>0</v>
      </c>
      <c r="AF178" s="58" t="s">
        <v>2714</v>
      </c>
      <c r="BL178" s="880" t="str">
        <f>IF($Q178=0,"",F178&amp;" "&amp;#REF!&amp;" "&amp;Q178&amp;" "&amp;R178&amp;" "&amp;AI178)</f>
        <v/>
      </c>
      <c r="BR178" s="870"/>
    </row>
    <row r="179" spans="11:70" ht="13.5" thickBot="1">
      <c r="S179" s="864">
        <f t="shared" ref="S179:AB179" si="232">SUM(S169:S178)</f>
        <v>1282729</v>
      </c>
      <c r="T179" s="864">
        <f t="shared" si="232"/>
        <v>6748071.0790001228</v>
      </c>
      <c r="U179" s="864">
        <f t="shared" si="232"/>
        <v>8693105.9302291404</v>
      </c>
      <c r="V179" s="864">
        <f t="shared" si="232"/>
        <v>9343406.9749496114</v>
      </c>
      <c r="W179" s="864">
        <f t="shared" si="232"/>
        <v>14121199.545423575</v>
      </c>
      <c r="X179" s="864">
        <f t="shared" si="232"/>
        <v>15296958.455035716</v>
      </c>
      <c r="Y179" s="864">
        <f t="shared" si="232"/>
        <v>12613743.302144399</v>
      </c>
      <c r="Z179" s="864">
        <f t="shared" si="232"/>
        <v>16132995.270044602</v>
      </c>
      <c r="AA179" s="864">
        <f t="shared" si="232"/>
        <v>20459486.658467807</v>
      </c>
      <c r="AB179" s="864">
        <f t="shared" si="232"/>
        <v>21901903.784705032</v>
      </c>
      <c r="AC179" s="864">
        <f>SUM(AC169:AC178)</f>
        <v>126593599.99999999</v>
      </c>
      <c r="BL179" s="880" t="str">
        <f t="shared" ref="BL179:BL242" si="233">IF($Q179=0,"",F179&amp;" "&amp;AF179&amp;" "&amp;Q179&amp;" "&amp;R179&amp;" "&amp;AI179)</f>
        <v/>
      </c>
      <c r="BR179" s="870"/>
    </row>
    <row r="180" spans="11:70">
      <c r="BL180" s="880" t="str">
        <f t="shared" si="233"/>
        <v/>
      </c>
      <c r="BR180" s="870"/>
    </row>
    <row r="181" spans="11:70">
      <c r="K181" s="844" t="s">
        <v>6993</v>
      </c>
      <c r="S181" s="854">
        <f t="shared" ref="S181:AB181" si="234">+S179+S166</f>
        <v>1282729</v>
      </c>
      <c r="T181" s="854">
        <f t="shared" si="234"/>
        <v>8139706.2478721235</v>
      </c>
      <c r="U181" s="854">
        <f t="shared" si="234"/>
        <v>9015788.3454300687</v>
      </c>
      <c r="V181" s="854">
        <f t="shared" si="234"/>
        <v>10819728.812062014</v>
      </c>
      <c r="W181" s="854">
        <f t="shared" si="234"/>
        <v>15520326.493535766</v>
      </c>
      <c r="X181" s="854">
        <f t="shared" si="234"/>
        <v>32951822.884082261</v>
      </c>
      <c r="Y181" s="854">
        <f t="shared" si="234"/>
        <v>13254231.917717334</v>
      </c>
      <c r="Z181" s="854">
        <f t="shared" si="234"/>
        <v>44027577.715381533</v>
      </c>
      <c r="AA181" s="854">
        <f t="shared" si="234"/>
        <v>47149797.514161915</v>
      </c>
      <c r="AB181" s="854">
        <f t="shared" si="234"/>
        <v>190784028.30093804</v>
      </c>
      <c r="AC181" s="854">
        <f>+AC179+AC166</f>
        <v>372945737.23118097</v>
      </c>
      <c r="BL181" s="880" t="str">
        <f t="shared" si="233"/>
        <v/>
      </c>
      <c r="BR181" s="870"/>
    </row>
    <row r="182" spans="11:70">
      <c r="K182" s="58" t="s">
        <v>6994</v>
      </c>
      <c r="S182" s="854">
        <f>+S181-S155</f>
        <v>0</v>
      </c>
      <c r="T182" s="854">
        <f t="shared" ref="T182:AC182" si="235">+T181-T155</f>
        <v>0</v>
      </c>
      <c r="U182" s="854">
        <f t="shared" si="235"/>
        <v>0</v>
      </c>
      <c r="V182" s="854">
        <f t="shared" si="235"/>
        <v>0</v>
      </c>
      <c r="W182" s="854">
        <f t="shared" si="235"/>
        <v>0</v>
      </c>
      <c r="X182" s="854">
        <f t="shared" si="235"/>
        <v>0</v>
      </c>
      <c r="Y182" s="854">
        <f t="shared" si="235"/>
        <v>0</v>
      </c>
      <c r="Z182" s="854">
        <f t="shared" si="235"/>
        <v>0</v>
      </c>
      <c r="AA182" s="854">
        <f t="shared" si="235"/>
        <v>0</v>
      </c>
      <c r="AB182" s="854">
        <f t="shared" si="235"/>
        <v>0</v>
      </c>
      <c r="AC182" s="854">
        <f t="shared" si="235"/>
        <v>0</v>
      </c>
      <c r="BL182" s="880" t="str">
        <f t="shared" si="233"/>
        <v/>
      </c>
      <c r="BR182" s="870"/>
    </row>
    <row r="183" spans="11:70">
      <c r="BL183" s="880" t="str">
        <f t="shared" si="233"/>
        <v/>
      </c>
      <c r="BR183" s="870"/>
    </row>
    <row r="184" spans="11:70">
      <c r="BL184" s="880" t="str">
        <f t="shared" si="233"/>
        <v/>
      </c>
      <c r="BR184" s="870"/>
    </row>
    <row r="185" spans="11:70">
      <c r="BL185" s="880" t="str">
        <f t="shared" si="233"/>
        <v/>
      </c>
      <c r="BR185" s="870"/>
    </row>
    <row r="186" spans="11:70">
      <c r="BL186" s="880" t="str">
        <f t="shared" si="233"/>
        <v/>
      </c>
      <c r="BR186" s="870"/>
    </row>
    <row r="187" spans="11:70">
      <c r="BL187" s="880" t="str">
        <f t="shared" si="233"/>
        <v/>
      </c>
      <c r="BR187" s="870"/>
    </row>
    <row r="188" spans="11:70">
      <c r="BL188" s="880" t="str">
        <f t="shared" si="233"/>
        <v/>
      </c>
      <c r="BR188" s="870"/>
    </row>
    <row r="189" spans="11:70">
      <c r="BL189" s="880" t="str">
        <f t="shared" si="233"/>
        <v/>
      </c>
      <c r="BR189" s="870"/>
    </row>
    <row r="190" spans="11:70">
      <c r="BL190" s="880" t="str">
        <f t="shared" si="233"/>
        <v/>
      </c>
      <c r="BR190" s="870"/>
    </row>
    <row r="191" spans="11:70">
      <c r="BL191" s="880" t="str">
        <f t="shared" si="233"/>
        <v/>
      </c>
      <c r="BR191" s="870"/>
    </row>
    <row r="192" spans="11:70">
      <c r="BL192" s="880" t="str">
        <f t="shared" si="233"/>
        <v/>
      </c>
      <c r="BR192" s="870"/>
    </row>
    <row r="193" spans="64:70">
      <c r="BL193" s="880" t="str">
        <f t="shared" si="233"/>
        <v/>
      </c>
      <c r="BR193" s="870"/>
    </row>
    <row r="194" spans="64:70">
      <c r="BL194" s="880" t="str">
        <f t="shared" si="233"/>
        <v/>
      </c>
      <c r="BR194" s="870"/>
    </row>
    <row r="195" spans="64:70">
      <c r="BL195" s="880" t="str">
        <f t="shared" si="233"/>
        <v/>
      </c>
      <c r="BR195" s="870"/>
    </row>
    <row r="196" spans="64:70">
      <c r="BL196" s="880" t="str">
        <f t="shared" si="233"/>
        <v/>
      </c>
      <c r="BR196" s="870"/>
    </row>
    <row r="197" spans="64:70">
      <c r="BL197" s="880" t="str">
        <f t="shared" si="233"/>
        <v/>
      </c>
      <c r="BR197" s="870"/>
    </row>
    <row r="198" spans="64:70">
      <c r="BL198" s="880" t="str">
        <f t="shared" si="233"/>
        <v/>
      </c>
      <c r="BR198" s="870"/>
    </row>
    <row r="199" spans="64:70">
      <c r="BL199" s="880" t="str">
        <f t="shared" si="233"/>
        <v/>
      </c>
      <c r="BR199" s="870"/>
    </row>
    <row r="200" spans="64:70">
      <c r="BL200" s="880" t="str">
        <f t="shared" si="233"/>
        <v/>
      </c>
      <c r="BR200" s="870"/>
    </row>
    <row r="201" spans="64:70">
      <c r="BL201" s="880" t="str">
        <f t="shared" si="233"/>
        <v/>
      </c>
      <c r="BR201" s="870"/>
    </row>
    <row r="202" spans="64:70">
      <c r="BL202" s="880" t="str">
        <f t="shared" si="233"/>
        <v/>
      </c>
      <c r="BR202" s="870"/>
    </row>
    <row r="203" spans="64:70">
      <c r="BL203" s="880" t="str">
        <f t="shared" si="233"/>
        <v/>
      </c>
      <c r="BR203" s="870"/>
    </row>
    <row r="204" spans="64:70">
      <c r="BL204" s="880" t="str">
        <f t="shared" si="233"/>
        <v/>
      </c>
      <c r="BR204" s="870"/>
    </row>
    <row r="205" spans="64:70">
      <c r="BL205" s="880" t="str">
        <f t="shared" si="233"/>
        <v/>
      </c>
      <c r="BR205" s="870"/>
    </row>
    <row r="206" spans="64:70">
      <c r="BL206" s="880" t="str">
        <f t="shared" si="233"/>
        <v/>
      </c>
      <c r="BR206" s="870"/>
    </row>
    <row r="207" spans="64:70">
      <c r="BL207" s="880" t="str">
        <f t="shared" si="233"/>
        <v/>
      </c>
      <c r="BR207" s="870"/>
    </row>
    <row r="208" spans="64:70">
      <c r="BL208" s="880" t="str">
        <f t="shared" si="233"/>
        <v/>
      </c>
      <c r="BR208" s="870"/>
    </row>
    <row r="209" spans="64:70">
      <c r="BL209" s="880" t="str">
        <f t="shared" si="233"/>
        <v/>
      </c>
      <c r="BR209" s="870"/>
    </row>
    <row r="210" spans="64:70">
      <c r="BL210" s="880" t="str">
        <f t="shared" si="233"/>
        <v/>
      </c>
      <c r="BR210" s="870"/>
    </row>
    <row r="211" spans="64:70">
      <c r="BL211" s="880" t="str">
        <f t="shared" si="233"/>
        <v/>
      </c>
      <c r="BR211" s="870"/>
    </row>
    <row r="212" spans="64:70">
      <c r="BL212" s="880" t="str">
        <f t="shared" si="233"/>
        <v/>
      </c>
      <c r="BR212" s="870"/>
    </row>
    <row r="213" spans="64:70">
      <c r="BL213" s="880" t="str">
        <f t="shared" si="233"/>
        <v/>
      </c>
      <c r="BR213" s="870"/>
    </row>
    <row r="214" spans="64:70">
      <c r="BL214" s="880" t="str">
        <f t="shared" si="233"/>
        <v/>
      </c>
      <c r="BR214" s="870"/>
    </row>
    <row r="215" spans="64:70">
      <c r="BL215" s="880" t="str">
        <f t="shared" si="233"/>
        <v/>
      </c>
      <c r="BR215" s="870"/>
    </row>
    <row r="216" spans="64:70">
      <c r="BL216" s="880" t="str">
        <f t="shared" si="233"/>
        <v/>
      </c>
      <c r="BR216" s="870"/>
    </row>
    <row r="217" spans="64:70">
      <c r="BL217" s="880" t="str">
        <f t="shared" si="233"/>
        <v/>
      </c>
      <c r="BR217" s="870"/>
    </row>
    <row r="218" spans="64:70">
      <c r="BL218" s="880" t="str">
        <f t="shared" si="233"/>
        <v/>
      </c>
      <c r="BR218" s="870"/>
    </row>
    <row r="219" spans="64:70">
      <c r="BL219" s="880" t="str">
        <f t="shared" si="233"/>
        <v/>
      </c>
      <c r="BR219" s="870"/>
    </row>
    <row r="220" spans="64:70">
      <c r="BL220" s="880" t="str">
        <f t="shared" si="233"/>
        <v/>
      </c>
      <c r="BR220" s="870"/>
    </row>
    <row r="221" spans="64:70">
      <c r="BL221" s="880" t="str">
        <f t="shared" si="233"/>
        <v/>
      </c>
      <c r="BR221" s="870"/>
    </row>
    <row r="222" spans="64:70">
      <c r="BL222" s="880" t="str">
        <f t="shared" si="233"/>
        <v/>
      </c>
      <c r="BR222" s="870"/>
    </row>
    <row r="223" spans="64:70">
      <c r="BL223" s="880" t="str">
        <f t="shared" si="233"/>
        <v/>
      </c>
      <c r="BR223" s="870"/>
    </row>
    <row r="224" spans="64:70">
      <c r="BL224" s="880" t="str">
        <f t="shared" si="233"/>
        <v/>
      </c>
      <c r="BR224" s="870"/>
    </row>
    <row r="225" spans="64:70">
      <c r="BL225" s="880" t="str">
        <f t="shared" si="233"/>
        <v/>
      </c>
      <c r="BR225" s="870"/>
    </row>
    <row r="226" spans="64:70">
      <c r="BL226" s="880" t="str">
        <f t="shared" si="233"/>
        <v/>
      </c>
      <c r="BR226" s="870"/>
    </row>
    <row r="227" spans="64:70">
      <c r="BL227" s="880" t="str">
        <f t="shared" si="233"/>
        <v/>
      </c>
      <c r="BR227" s="870"/>
    </row>
    <row r="228" spans="64:70">
      <c r="BL228" s="880" t="str">
        <f t="shared" si="233"/>
        <v/>
      </c>
      <c r="BR228" s="870"/>
    </row>
    <row r="229" spans="64:70">
      <c r="BL229" s="880" t="str">
        <f t="shared" si="233"/>
        <v/>
      </c>
      <c r="BR229" s="870"/>
    </row>
    <row r="230" spans="64:70">
      <c r="BL230" s="880" t="str">
        <f t="shared" si="233"/>
        <v/>
      </c>
      <c r="BR230" s="870"/>
    </row>
    <row r="231" spans="64:70">
      <c r="BL231" s="880" t="str">
        <f t="shared" si="233"/>
        <v/>
      </c>
      <c r="BR231" s="870"/>
    </row>
    <row r="232" spans="64:70">
      <c r="BL232" s="880" t="str">
        <f t="shared" si="233"/>
        <v/>
      </c>
      <c r="BR232" s="870"/>
    </row>
    <row r="233" spans="64:70">
      <c r="BL233" s="880" t="str">
        <f t="shared" si="233"/>
        <v/>
      </c>
      <c r="BR233" s="870"/>
    </row>
    <row r="234" spans="64:70">
      <c r="BL234" s="880" t="str">
        <f t="shared" si="233"/>
        <v/>
      </c>
      <c r="BR234" s="870"/>
    </row>
    <row r="235" spans="64:70">
      <c r="BL235" s="880" t="str">
        <f t="shared" si="233"/>
        <v/>
      </c>
      <c r="BR235" s="870"/>
    </row>
    <row r="236" spans="64:70">
      <c r="BL236" s="880" t="str">
        <f t="shared" si="233"/>
        <v/>
      </c>
      <c r="BR236" s="870"/>
    </row>
    <row r="237" spans="64:70">
      <c r="BL237" s="880" t="str">
        <f t="shared" si="233"/>
        <v/>
      </c>
      <c r="BR237" s="870"/>
    </row>
    <row r="238" spans="64:70">
      <c r="BL238" s="880" t="str">
        <f t="shared" si="233"/>
        <v/>
      </c>
      <c r="BR238" s="870"/>
    </row>
    <row r="239" spans="64:70">
      <c r="BL239" s="880" t="str">
        <f t="shared" si="233"/>
        <v/>
      </c>
      <c r="BR239" s="870"/>
    </row>
    <row r="240" spans="64:70">
      <c r="BL240" s="880" t="str">
        <f t="shared" si="233"/>
        <v/>
      </c>
      <c r="BR240" s="870"/>
    </row>
    <row r="241" spans="64:70">
      <c r="BL241" s="880" t="str">
        <f t="shared" si="233"/>
        <v/>
      </c>
      <c r="BR241" s="870"/>
    </row>
    <row r="242" spans="64:70">
      <c r="BL242" s="880" t="str">
        <f t="shared" si="233"/>
        <v/>
      </c>
      <c r="BR242" s="870"/>
    </row>
    <row r="243" spans="64:70">
      <c r="BL243" s="880" t="str">
        <f t="shared" ref="BL243:BL306" si="236">IF($Q243=0,"",F243&amp;" "&amp;AF243&amp;" "&amp;Q243&amp;" "&amp;R243&amp;" "&amp;AI243)</f>
        <v/>
      </c>
      <c r="BR243" s="870"/>
    </row>
    <row r="244" spans="64:70">
      <c r="BL244" s="880" t="str">
        <f t="shared" si="236"/>
        <v/>
      </c>
      <c r="BR244" s="870"/>
    </row>
    <row r="245" spans="64:70">
      <c r="BL245" s="880" t="str">
        <f t="shared" si="236"/>
        <v/>
      </c>
      <c r="BR245" s="870"/>
    </row>
    <row r="246" spans="64:70">
      <c r="BL246" s="880" t="str">
        <f t="shared" si="236"/>
        <v/>
      </c>
      <c r="BR246" s="870"/>
    </row>
    <row r="247" spans="64:70">
      <c r="BL247" s="880" t="str">
        <f t="shared" si="236"/>
        <v/>
      </c>
      <c r="BR247" s="870"/>
    </row>
    <row r="248" spans="64:70">
      <c r="BL248" s="880" t="str">
        <f t="shared" si="236"/>
        <v/>
      </c>
      <c r="BR248" s="870"/>
    </row>
    <row r="249" spans="64:70">
      <c r="BL249" s="880" t="str">
        <f t="shared" si="236"/>
        <v/>
      </c>
      <c r="BR249" s="870"/>
    </row>
    <row r="250" spans="64:70">
      <c r="BL250" s="880" t="str">
        <f t="shared" si="236"/>
        <v/>
      </c>
      <c r="BR250" s="870"/>
    </row>
    <row r="251" spans="64:70">
      <c r="BL251" s="880" t="str">
        <f t="shared" si="236"/>
        <v/>
      </c>
      <c r="BR251" s="870"/>
    </row>
    <row r="252" spans="64:70">
      <c r="BL252" s="880" t="str">
        <f t="shared" si="236"/>
        <v/>
      </c>
      <c r="BR252" s="870"/>
    </row>
    <row r="253" spans="64:70">
      <c r="BL253" s="880" t="str">
        <f t="shared" si="236"/>
        <v/>
      </c>
      <c r="BR253" s="870"/>
    </row>
    <row r="254" spans="64:70">
      <c r="BL254" s="880" t="str">
        <f t="shared" si="236"/>
        <v/>
      </c>
      <c r="BR254" s="870"/>
    </row>
    <row r="255" spans="64:70">
      <c r="BL255" s="880" t="str">
        <f t="shared" si="236"/>
        <v/>
      </c>
      <c r="BR255" s="870"/>
    </row>
    <row r="256" spans="64:70">
      <c r="BL256" s="880" t="str">
        <f t="shared" si="236"/>
        <v/>
      </c>
      <c r="BR256" s="870"/>
    </row>
    <row r="257" spans="64:70">
      <c r="BL257" s="880" t="str">
        <f t="shared" si="236"/>
        <v/>
      </c>
      <c r="BR257" s="870"/>
    </row>
    <row r="258" spans="64:70">
      <c r="BL258" s="880" t="str">
        <f t="shared" si="236"/>
        <v/>
      </c>
      <c r="BR258" s="870"/>
    </row>
    <row r="259" spans="64:70">
      <c r="BL259" s="880" t="str">
        <f t="shared" si="236"/>
        <v/>
      </c>
      <c r="BR259" s="870"/>
    </row>
    <row r="260" spans="64:70">
      <c r="BL260" s="880" t="str">
        <f t="shared" si="236"/>
        <v/>
      </c>
      <c r="BR260" s="870"/>
    </row>
    <row r="261" spans="64:70">
      <c r="BL261" s="880" t="str">
        <f t="shared" si="236"/>
        <v/>
      </c>
      <c r="BR261" s="870"/>
    </row>
    <row r="262" spans="64:70">
      <c r="BL262" s="880" t="str">
        <f t="shared" si="236"/>
        <v/>
      </c>
      <c r="BR262" s="870"/>
    </row>
    <row r="263" spans="64:70">
      <c r="BL263" s="880" t="str">
        <f t="shared" si="236"/>
        <v/>
      </c>
      <c r="BR263" s="870"/>
    </row>
    <row r="264" spans="64:70">
      <c r="BL264" s="880" t="str">
        <f t="shared" si="236"/>
        <v/>
      </c>
      <c r="BR264" s="870"/>
    </row>
    <row r="265" spans="64:70">
      <c r="BL265" s="880" t="str">
        <f t="shared" si="236"/>
        <v/>
      </c>
      <c r="BR265" s="870"/>
    </row>
    <row r="266" spans="64:70">
      <c r="BL266" s="880" t="str">
        <f t="shared" si="236"/>
        <v/>
      </c>
      <c r="BR266" s="870"/>
    </row>
    <row r="267" spans="64:70">
      <c r="BL267" s="880" t="str">
        <f t="shared" si="236"/>
        <v/>
      </c>
      <c r="BR267" s="870"/>
    </row>
    <row r="268" spans="64:70">
      <c r="BL268" s="880" t="str">
        <f t="shared" si="236"/>
        <v/>
      </c>
      <c r="BR268" s="870"/>
    </row>
    <row r="269" spans="64:70">
      <c r="BL269" s="880" t="str">
        <f t="shared" si="236"/>
        <v/>
      </c>
      <c r="BR269" s="870"/>
    </row>
    <row r="270" spans="64:70">
      <c r="BL270" s="880" t="str">
        <f t="shared" si="236"/>
        <v/>
      </c>
      <c r="BR270" s="870"/>
    </row>
    <row r="271" spans="64:70">
      <c r="BL271" s="880" t="str">
        <f t="shared" si="236"/>
        <v/>
      </c>
      <c r="BR271" s="870"/>
    </row>
    <row r="272" spans="64:70">
      <c r="BL272" s="880" t="str">
        <f t="shared" si="236"/>
        <v/>
      </c>
      <c r="BR272" s="870"/>
    </row>
    <row r="273" spans="64:70">
      <c r="BL273" s="880" t="str">
        <f t="shared" si="236"/>
        <v/>
      </c>
      <c r="BR273" s="870"/>
    </row>
    <row r="274" spans="64:70">
      <c r="BL274" s="880" t="str">
        <f t="shared" si="236"/>
        <v/>
      </c>
      <c r="BR274" s="870"/>
    </row>
    <row r="275" spans="64:70">
      <c r="BL275" s="880" t="str">
        <f t="shared" si="236"/>
        <v/>
      </c>
      <c r="BR275" s="870"/>
    </row>
    <row r="276" spans="64:70">
      <c r="BL276" s="880" t="str">
        <f t="shared" si="236"/>
        <v/>
      </c>
      <c r="BR276" s="870"/>
    </row>
    <row r="277" spans="64:70">
      <c r="BL277" s="880" t="str">
        <f t="shared" si="236"/>
        <v/>
      </c>
      <c r="BR277" s="870"/>
    </row>
    <row r="278" spans="64:70">
      <c r="BL278" s="880" t="str">
        <f t="shared" si="236"/>
        <v/>
      </c>
      <c r="BR278" s="870"/>
    </row>
    <row r="279" spans="64:70">
      <c r="BL279" s="880" t="str">
        <f t="shared" si="236"/>
        <v/>
      </c>
      <c r="BR279" s="870"/>
    </row>
    <row r="280" spans="64:70">
      <c r="BL280" s="880" t="str">
        <f t="shared" si="236"/>
        <v/>
      </c>
      <c r="BR280" s="870"/>
    </row>
    <row r="281" spans="64:70">
      <c r="BL281" s="880" t="str">
        <f t="shared" si="236"/>
        <v/>
      </c>
      <c r="BR281" s="870"/>
    </row>
    <row r="282" spans="64:70">
      <c r="BL282" s="880" t="str">
        <f t="shared" si="236"/>
        <v/>
      </c>
      <c r="BR282" s="870"/>
    </row>
    <row r="283" spans="64:70">
      <c r="BL283" s="880" t="str">
        <f t="shared" si="236"/>
        <v/>
      </c>
      <c r="BR283" s="870"/>
    </row>
    <row r="284" spans="64:70">
      <c r="BL284" s="880" t="str">
        <f t="shared" si="236"/>
        <v/>
      </c>
      <c r="BR284" s="870"/>
    </row>
    <row r="285" spans="64:70">
      <c r="BL285" s="880" t="str">
        <f t="shared" si="236"/>
        <v/>
      </c>
      <c r="BR285" s="870"/>
    </row>
    <row r="286" spans="64:70">
      <c r="BL286" s="880" t="str">
        <f t="shared" si="236"/>
        <v/>
      </c>
      <c r="BR286" s="870"/>
    </row>
    <row r="287" spans="64:70">
      <c r="BL287" s="880" t="str">
        <f t="shared" si="236"/>
        <v/>
      </c>
      <c r="BR287" s="870"/>
    </row>
    <row r="288" spans="64:70">
      <c r="BL288" s="880" t="str">
        <f t="shared" si="236"/>
        <v/>
      </c>
      <c r="BR288" s="870"/>
    </row>
    <row r="289" spans="64:70">
      <c r="BL289" s="880" t="str">
        <f t="shared" si="236"/>
        <v/>
      </c>
      <c r="BR289" s="870"/>
    </row>
    <row r="290" spans="64:70">
      <c r="BL290" s="880" t="str">
        <f t="shared" si="236"/>
        <v/>
      </c>
      <c r="BR290" s="870"/>
    </row>
    <row r="291" spans="64:70">
      <c r="BL291" s="880" t="str">
        <f t="shared" si="236"/>
        <v/>
      </c>
      <c r="BR291" s="870"/>
    </row>
    <row r="292" spans="64:70">
      <c r="BL292" s="880" t="str">
        <f t="shared" si="236"/>
        <v/>
      </c>
      <c r="BR292" s="870"/>
    </row>
    <row r="293" spans="64:70">
      <c r="BL293" s="880" t="str">
        <f t="shared" si="236"/>
        <v/>
      </c>
      <c r="BR293" s="870"/>
    </row>
    <row r="294" spans="64:70">
      <c r="BL294" s="880" t="str">
        <f t="shared" si="236"/>
        <v/>
      </c>
      <c r="BR294" s="870"/>
    </row>
    <row r="295" spans="64:70">
      <c r="BL295" s="880" t="str">
        <f t="shared" si="236"/>
        <v/>
      </c>
      <c r="BR295" s="870"/>
    </row>
    <row r="296" spans="64:70">
      <c r="BL296" s="880" t="str">
        <f t="shared" si="236"/>
        <v/>
      </c>
      <c r="BR296" s="870"/>
    </row>
    <row r="297" spans="64:70">
      <c r="BL297" s="880" t="str">
        <f t="shared" si="236"/>
        <v/>
      </c>
      <c r="BR297" s="870"/>
    </row>
    <row r="298" spans="64:70">
      <c r="BL298" s="880" t="str">
        <f t="shared" si="236"/>
        <v/>
      </c>
      <c r="BR298" s="870"/>
    </row>
    <row r="299" spans="64:70">
      <c r="BL299" s="880" t="str">
        <f t="shared" si="236"/>
        <v/>
      </c>
      <c r="BR299" s="870"/>
    </row>
    <row r="300" spans="64:70">
      <c r="BL300" s="880" t="str">
        <f t="shared" si="236"/>
        <v/>
      </c>
      <c r="BR300" s="870"/>
    </row>
    <row r="301" spans="64:70">
      <c r="BL301" s="880" t="str">
        <f t="shared" si="236"/>
        <v/>
      </c>
      <c r="BR301" s="870"/>
    </row>
    <row r="302" spans="64:70">
      <c r="BL302" s="880" t="str">
        <f t="shared" si="236"/>
        <v/>
      </c>
      <c r="BR302" s="870"/>
    </row>
    <row r="303" spans="64:70">
      <c r="BL303" s="880" t="str">
        <f t="shared" si="236"/>
        <v/>
      </c>
      <c r="BR303" s="870"/>
    </row>
    <row r="304" spans="64:70">
      <c r="BL304" s="880" t="str">
        <f t="shared" si="236"/>
        <v/>
      </c>
      <c r="BR304" s="870"/>
    </row>
    <row r="305" spans="64:70">
      <c r="BL305" s="880" t="str">
        <f t="shared" si="236"/>
        <v/>
      </c>
      <c r="BR305" s="870"/>
    </row>
    <row r="306" spans="64:70">
      <c r="BL306" s="880" t="str">
        <f t="shared" si="236"/>
        <v/>
      </c>
      <c r="BR306" s="870"/>
    </row>
    <row r="307" spans="64:70">
      <c r="BL307" s="880" t="str">
        <f t="shared" ref="BL307:BL370" si="237">IF($Q307=0,"",F307&amp;" "&amp;AF307&amp;" "&amp;Q307&amp;" "&amp;R307&amp;" "&amp;AI307)</f>
        <v/>
      </c>
      <c r="BR307" s="870"/>
    </row>
    <row r="308" spans="64:70">
      <c r="BL308" s="880" t="str">
        <f t="shared" si="237"/>
        <v/>
      </c>
      <c r="BR308" s="870"/>
    </row>
    <row r="309" spans="64:70">
      <c r="BL309" s="880" t="str">
        <f t="shared" si="237"/>
        <v/>
      </c>
      <c r="BR309" s="870"/>
    </row>
    <row r="310" spans="64:70">
      <c r="BL310" s="880" t="str">
        <f t="shared" si="237"/>
        <v/>
      </c>
      <c r="BR310" s="870"/>
    </row>
    <row r="311" spans="64:70">
      <c r="BL311" s="880" t="str">
        <f t="shared" si="237"/>
        <v/>
      </c>
      <c r="BR311" s="870"/>
    </row>
    <row r="312" spans="64:70">
      <c r="BL312" s="880" t="str">
        <f t="shared" si="237"/>
        <v/>
      </c>
      <c r="BR312" s="870"/>
    </row>
    <row r="313" spans="64:70">
      <c r="BL313" s="880" t="str">
        <f t="shared" si="237"/>
        <v/>
      </c>
      <c r="BR313" s="870"/>
    </row>
    <row r="314" spans="64:70">
      <c r="BL314" s="880" t="str">
        <f t="shared" si="237"/>
        <v/>
      </c>
      <c r="BR314" s="870"/>
    </row>
    <row r="315" spans="64:70">
      <c r="BL315" s="880" t="str">
        <f t="shared" si="237"/>
        <v/>
      </c>
      <c r="BR315" s="870"/>
    </row>
    <row r="316" spans="64:70">
      <c r="BL316" s="880" t="str">
        <f t="shared" si="237"/>
        <v/>
      </c>
      <c r="BR316" s="870"/>
    </row>
    <row r="317" spans="64:70">
      <c r="BL317" s="880" t="str">
        <f t="shared" si="237"/>
        <v/>
      </c>
      <c r="BR317" s="870"/>
    </row>
    <row r="318" spans="64:70">
      <c r="BL318" s="880" t="str">
        <f t="shared" si="237"/>
        <v/>
      </c>
      <c r="BR318" s="870"/>
    </row>
    <row r="319" spans="64:70">
      <c r="BL319" s="880" t="str">
        <f t="shared" si="237"/>
        <v/>
      </c>
      <c r="BR319" s="870"/>
    </row>
    <row r="320" spans="64:70">
      <c r="BL320" s="880" t="str">
        <f t="shared" si="237"/>
        <v/>
      </c>
      <c r="BR320" s="870"/>
    </row>
    <row r="321" spans="64:70">
      <c r="BL321" s="880" t="str">
        <f t="shared" si="237"/>
        <v/>
      </c>
      <c r="BR321" s="870"/>
    </row>
    <row r="322" spans="64:70">
      <c r="BL322" s="880" t="str">
        <f t="shared" si="237"/>
        <v/>
      </c>
      <c r="BR322" s="870"/>
    </row>
    <row r="323" spans="64:70">
      <c r="BL323" s="880" t="str">
        <f t="shared" si="237"/>
        <v/>
      </c>
      <c r="BR323" s="870"/>
    </row>
    <row r="324" spans="64:70">
      <c r="BL324" s="880" t="str">
        <f t="shared" si="237"/>
        <v/>
      </c>
      <c r="BR324" s="870"/>
    </row>
    <row r="325" spans="64:70">
      <c r="BL325" s="880" t="str">
        <f t="shared" si="237"/>
        <v/>
      </c>
      <c r="BR325" s="870"/>
    </row>
    <row r="326" spans="64:70">
      <c r="BL326" s="880" t="str">
        <f t="shared" si="237"/>
        <v/>
      </c>
      <c r="BR326" s="870"/>
    </row>
    <row r="327" spans="64:70">
      <c r="BL327" s="880" t="str">
        <f t="shared" si="237"/>
        <v/>
      </c>
      <c r="BR327" s="870"/>
    </row>
    <row r="328" spans="64:70">
      <c r="BL328" s="880" t="str">
        <f t="shared" si="237"/>
        <v/>
      </c>
      <c r="BR328" s="870"/>
    </row>
    <row r="329" spans="64:70">
      <c r="BL329" s="880" t="str">
        <f t="shared" si="237"/>
        <v/>
      </c>
      <c r="BR329" s="870"/>
    </row>
    <row r="330" spans="64:70">
      <c r="BL330" s="880" t="str">
        <f t="shared" si="237"/>
        <v/>
      </c>
      <c r="BR330" s="870"/>
    </row>
    <row r="331" spans="64:70">
      <c r="BL331" s="880" t="str">
        <f t="shared" si="237"/>
        <v/>
      </c>
      <c r="BR331" s="870"/>
    </row>
    <row r="332" spans="64:70">
      <c r="BL332" s="880" t="str">
        <f t="shared" si="237"/>
        <v/>
      </c>
      <c r="BR332" s="870"/>
    </row>
    <row r="333" spans="64:70">
      <c r="BL333" s="880" t="str">
        <f t="shared" si="237"/>
        <v/>
      </c>
      <c r="BR333" s="870"/>
    </row>
    <row r="334" spans="64:70">
      <c r="BL334" s="880" t="str">
        <f t="shared" si="237"/>
        <v/>
      </c>
      <c r="BR334" s="870"/>
    </row>
    <row r="335" spans="64:70">
      <c r="BL335" s="880" t="str">
        <f t="shared" si="237"/>
        <v/>
      </c>
      <c r="BR335" s="870"/>
    </row>
    <row r="336" spans="64:70">
      <c r="BL336" s="880" t="str">
        <f t="shared" si="237"/>
        <v/>
      </c>
      <c r="BR336" s="870"/>
    </row>
    <row r="337" spans="64:70">
      <c r="BL337" s="880" t="str">
        <f t="shared" si="237"/>
        <v/>
      </c>
      <c r="BR337" s="870"/>
    </row>
    <row r="338" spans="64:70">
      <c r="BL338" s="880" t="str">
        <f t="shared" si="237"/>
        <v/>
      </c>
      <c r="BR338" s="870"/>
    </row>
    <row r="339" spans="64:70">
      <c r="BL339" s="880" t="str">
        <f t="shared" si="237"/>
        <v/>
      </c>
      <c r="BR339" s="870"/>
    </row>
    <row r="340" spans="64:70">
      <c r="BL340" s="880" t="str">
        <f t="shared" si="237"/>
        <v/>
      </c>
      <c r="BR340" s="870"/>
    </row>
    <row r="341" spans="64:70">
      <c r="BL341" s="880" t="str">
        <f t="shared" si="237"/>
        <v/>
      </c>
      <c r="BR341" s="870"/>
    </row>
    <row r="342" spans="64:70">
      <c r="BL342" s="880" t="str">
        <f t="shared" si="237"/>
        <v/>
      </c>
      <c r="BR342" s="870"/>
    </row>
    <row r="343" spans="64:70">
      <c r="BL343" s="880" t="str">
        <f t="shared" si="237"/>
        <v/>
      </c>
      <c r="BR343" s="870"/>
    </row>
    <row r="344" spans="64:70">
      <c r="BL344" s="880" t="str">
        <f t="shared" si="237"/>
        <v/>
      </c>
      <c r="BR344" s="870"/>
    </row>
    <row r="345" spans="64:70">
      <c r="BL345" s="880" t="str">
        <f t="shared" si="237"/>
        <v/>
      </c>
      <c r="BR345" s="870"/>
    </row>
    <row r="346" spans="64:70">
      <c r="BL346" s="880" t="str">
        <f t="shared" si="237"/>
        <v/>
      </c>
      <c r="BR346" s="870"/>
    </row>
    <row r="347" spans="64:70">
      <c r="BL347" s="880" t="str">
        <f t="shared" si="237"/>
        <v/>
      </c>
      <c r="BR347" s="870"/>
    </row>
    <row r="348" spans="64:70">
      <c r="BL348" s="880" t="str">
        <f t="shared" si="237"/>
        <v/>
      </c>
      <c r="BR348" s="870"/>
    </row>
    <row r="349" spans="64:70">
      <c r="BL349" s="880" t="str">
        <f t="shared" si="237"/>
        <v/>
      </c>
      <c r="BR349" s="870"/>
    </row>
    <row r="350" spans="64:70">
      <c r="BL350" s="880" t="str">
        <f t="shared" si="237"/>
        <v/>
      </c>
      <c r="BR350" s="870"/>
    </row>
    <row r="351" spans="64:70">
      <c r="BL351" s="880" t="str">
        <f t="shared" si="237"/>
        <v/>
      </c>
      <c r="BR351" s="870"/>
    </row>
    <row r="352" spans="64:70">
      <c r="BL352" s="880" t="str">
        <f t="shared" si="237"/>
        <v/>
      </c>
      <c r="BR352" s="870"/>
    </row>
    <row r="353" spans="64:70">
      <c r="BL353" s="880" t="str">
        <f t="shared" si="237"/>
        <v/>
      </c>
      <c r="BR353" s="870"/>
    </row>
    <row r="354" spans="64:70">
      <c r="BL354" s="880" t="str">
        <f t="shared" si="237"/>
        <v/>
      </c>
      <c r="BR354" s="870"/>
    </row>
    <row r="355" spans="64:70">
      <c r="BL355" s="880" t="str">
        <f t="shared" si="237"/>
        <v/>
      </c>
      <c r="BR355" s="870"/>
    </row>
    <row r="356" spans="64:70">
      <c r="BL356" s="880" t="str">
        <f t="shared" si="237"/>
        <v/>
      </c>
      <c r="BR356" s="870"/>
    </row>
    <row r="357" spans="64:70">
      <c r="BL357" s="880" t="str">
        <f t="shared" si="237"/>
        <v/>
      </c>
      <c r="BR357" s="870"/>
    </row>
    <row r="358" spans="64:70">
      <c r="BL358" s="880" t="str">
        <f t="shared" si="237"/>
        <v/>
      </c>
      <c r="BR358" s="870"/>
    </row>
    <row r="359" spans="64:70">
      <c r="BL359" s="880" t="str">
        <f t="shared" si="237"/>
        <v/>
      </c>
      <c r="BR359" s="870"/>
    </row>
    <row r="360" spans="64:70">
      <c r="BL360" s="880" t="str">
        <f t="shared" si="237"/>
        <v/>
      </c>
      <c r="BR360" s="870"/>
    </row>
    <row r="361" spans="64:70">
      <c r="BL361" s="880" t="str">
        <f t="shared" si="237"/>
        <v/>
      </c>
      <c r="BR361" s="870"/>
    </row>
    <row r="362" spans="64:70">
      <c r="BL362" s="880" t="str">
        <f t="shared" si="237"/>
        <v/>
      </c>
      <c r="BR362" s="870"/>
    </row>
    <row r="363" spans="64:70">
      <c r="BL363" s="880" t="str">
        <f t="shared" si="237"/>
        <v/>
      </c>
      <c r="BR363" s="870"/>
    </row>
    <row r="364" spans="64:70">
      <c r="BL364" s="880" t="str">
        <f t="shared" si="237"/>
        <v/>
      </c>
      <c r="BR364" s="870"/>
    </row>
    <row r="365" spans="64:70">
      <c r="BL365" s="880" t="str">
        <f t="shared" si="237"/>
        <v/>
      </c>
      <c r="BR365" s="870"/>
    </row>
    <row r="366" spans="64:70">
      <c r="BL366" s="880" t="str">
        <f t="shared" si="237"/>
        <v/>
      </c>
      <c r="BR366" s="870"/>
    </row>
    <row r="367" spans="64:70">
      <c r="BL367" s="880" t="str">
        <f t="shared" si="237"/>
        <v/>
      </c>
      <c r="BR367" s="870"/>
    </row>
    <row r="368" spans="64:70">
      <c r="BL368" s="880" t="str">
        <f t="shared" si="237"/>
        <v/>
      </c>
      <c r="BR368" s="870"/>
    </row>
    <row r="369" spans="64:70">
      <c r="BL369" s="880" t="str">
        <f t="shared" si="237"/>
        <v/>
      </c>
      <c r="BR369" s="870"/>
    </row>
    <row r="370" spans="64:70">
      <c r="BL370" s="880" t="str">
        <f t="shared" si="237"/>
        <v/>
      </c>
      <c r="BR370" s="870"/>
    </row>
    <row r="371" spans="64:70">
      <c r="BL371" s="880" t="str">
        <f t="shared" ref="BL371:BL413" si="238">IF($Q371=0,"",F371&amp;" "&amp;AF371&amp;" "&amp;Q371&amp;" "&amp;R371&amp;" "&amp;AI371)</f>
        <v/>
      </c>
      <c r="BR371" s="870"/>
    </row>
    <row r="372" spans="64:70">
      <c r="BL372" s="880" t="str">
        <f t="shared" si="238"/>
        <v/>
      </c>
      <c r="BR372" s="870"/>
    </row>
    <row r="373" spans="64:70">
      <c r="BL373" s="880" t="str">
        <f t="shared" si="238"/>
        <v/>
      </c>
      <c r="BR373" s="870"/>
    </row>
    <row r="374" spans="64:70">
      <c r="BL374" s="880" t="str">
        <f t="shared" si="238"/>
        <v/>
      </c>
      <c r="BR374" s="870"/>
    </row>
    <row r="375" spans="64:70">
      <c r="BL375" s="880" t="str">
        <f t="shared" si="238"/>
        <v/>
      </c>
      <c r="BR375" s="870"/>
    </row>
    <row r="376" spans="64:70">
      <c r="BL376" s="880" t="str">
        <f t="shared" si="238"/>
        <v/>
      </c>
      <c r="BR376" s="870"/>
    </row>
    <row r="377" spans="64:70">
      <c r="BL377" s="880" t="str">
        <f t="shared" si="238"/>
        <v/>
      </c>
      <c r="BR377" s="870"/>
    </row>
    <row r="378" spans="64:70">
      <c r="BL378" s="880" t="str">
        <f t="shared" si="238"/>
        <v/>
      </c>
      <c r="BR378" s="870"/>
    </row>
    <row r="379" spans="64:70">
      <c r="BL379" s="880" t="str">
        <f t="shared" si="238"/>
        <v/>
      </c>
      <c r="BR379" s="870"/>
    </row>
    <row r="380" spans="64:70">
      <c r="BL380" s="880" t="str">
        <f t="shared" si="238"/>
        <v/>
      </c>
      <c r="BR380" s="870"/>
    </row>
    <row r="381" spans="64:70">
      <c r="BL381" s="880" t="str">
        <f t="shared" si="238"/>
        <v/>
      </c>
      <c r="BR381" s="870"/>
    </row>
    <row r="382" spans="64:70">
      <c r="BL382" s="880" t="str">
        <f t="shared" si="238"/>
        <v/>
      </c>
      <c r="BR382" s="870"/>
    </row>
    <row r="383" spans="64:70">
      <c r="BL383" s="880" t="str">
        <f t="shared" si="238"/>
        <v/>
      </c>
      <c r="BR383" s="870"/>
    </row>
    <row r="384" spans="64:70">
      <c r="BL384" s="880" t="str">
        <f t="shared" si="238"/>
        <v/>
      </c>
      <c r="BR384" s="870"/>
    </row>
    <row r="385" spans="64:70">
      <c r="BL385" s="880" t="str">
        <f t="shared" si="238"/>
        <v/>
      </c>
      <c r="BR385" s="870"/>
    </row>
    <row r="386" spans="64:70">
      <c r="BL386" s="880" t="str">
        <f t="shared" si="238"/>
        <v/>
      </c>
      <c r="BR386" s="870"/>
    </row>
    <row r="387" spans="64:70">
      <c r="BL387" s="880" t="str">
        <f t="shared" si="238"/>
        <v/>
      </c>
      <c r="BR387" s="870"/>
    </row>
    <row r="388" spans="64:70">
      <c r="BL388" s="880" t="str">
        <f t="shared" si="238"/>
        <v/>
      </c>
      <c r="BR388" s="870"/>
    </row>
    <row r="389" spans="64:70">
      <c r="BL389" s="880" t="str">
        <f t="shared" si="238"/>
        <v/>
      </c>
      <c r="BR389" s="870"/>
    </row>
    <row r="390" spans="64:70">
      <c r="BL390" s="880" t="str">
        <f t="shared" si="238"/>
        <v/>
      </c>
      <c r="BR390" s="870"/>
    </row>
    <row r="391" spans="64:70">
      <c r="BL391" s="880" t="str">
        <f t="shared" si="238"/>
        <v/>
      </c>
      <c r="BR391" s="870"/>
    </row>
    <row r="392" spans="64:70">
      <c r="BL392" s="880" t="str">
        <f t="shared" si="238"/>
        <v/>
      </c>
      <c r="BR392" s="870"/>
    </row>
    <row r="393" spans="64:70">
      <c r="BL393" s="880" t="str">
        <f t="shared" si="238"/>
        <v/>
      </c>
      <c r="BR393" s="870"/>
    </row>
    <row r="394" spans="64:70">
      <c r="BL394" s="880" t="str">
        <f t="shared" si="238"/>
        <v/>
      </c>
      <c r="BR394" s="870"/>
    </row>
    <row r="395" spans="64:70">
      <c r="BL395" s="880" t="str">
        <f t="shared" si="238"/>
        <v/>
      </c>
      <c r="BR395" s="870"/>
    </row>
    <row r="396" spans="64:70">
      <c r="BL396" s="880" t="str">
        <f t="shared" si="238"/>
        <v/>
      </c>
      <c r="BR396" s="870"/>
    </row>
    <row r="397" spans="64:70">
      <c r="BL397" s="880" t="str">
        <f t="shared" si="238"/>
        <v/>
      </c>
      <c r="BR397" s="870"/>
    </row>
    <row r="398" spans="64:70">
      <c r="BL398" s="880" t="str">
        <f t="shared" si="238"/>
        <v/>
      </c>
      <c r="BR398" s="870"/>
    </row>
    <row r="399" spans="64:70">
      <c r="BL399" s="880" t="str">
        <f t="shared" si="238"/>
        <v/>
      </c>
      <c r="BR399" s="870"/>
    </row>
    <row r="400" spans="64:70">
      <c r="BL400" s="880" t="str">
        <f t="shared" si="238"/>
        <v/>
      </c>
      <c r="BR400" s="870"/>
    </row>
    <row r="401" spans="64:70">
      <c r="BL401" s="880" t="str">
        <f t="shared" si="238"/>
        <v/>
      </c>
      <c r="BR401" s="870"/>
    </row>
    <row r="402" spans="64:70">
      <c r="BL402" s="880" t="str">
        <f t="shared" si="238"/>
        <v/>
      </c>
      <c r="BR402" s="870"/>
    </row>
    <row r="403" spans="64:70">
      <c r="BL403" s="880" t="str">
        <f t="shared" si="238"/>
        <v/>
      </c>
      <c r="BR403" s="870"/>
    </row>
    <row r="404" spans="64:70">
      <c r="BL404" s="880" t="str">
        <f t="shared" si="238"/>
        <v/>
      </c>
      <c r="BR404" s="870"/>
    </row>
    <row r="405" spans="64:70">
      <c r="BL405" s="880" t="str">
        <f t="shared" si="238"/>
        <v/>
      </c>
      <c r="BR405" s="870"/>
    </row>
    <row r="406" spans="64:70">
      <c r="BL406" s="880" t="str">
        <f t="shared" si="238"/>
        <v/>
      </c>
      <c r="BR406" s="870"/>
    </row>
    <row r="407" spans="64:70">
      <c r="BL407" s="880" t="str">
        <f t="shared" si="238"/>
        <v/>
      </c>
      <c r="BR407" s="870"/>
    </row>
    <row r="408" spans="64:70">
      <c r="BL408" s="880" t="str">
        <f t="shared" si="238"/>
        <v/>
      </c>
      <c r="BR408" s="870"/>
    </row>
    <row r="409" spans="64:70">
      <c r="BL409" s="880" t="str">
        <f t="shared" si="238"/>
        <v/>
      </c>
      <c r="BR409" s="870"/>
    </row>
    <row r="410" spans="64:70">
      <c r="BL410" s="880" t="str">
        <f t="shared" si="238"/>
        <v/>
      </c>
      <c r="BR410" s="870"/>
    </row>
    <row r="411" spans="64:70">
      <c r="BL411" s="880" t="str">
        <f t="shared" si="238"/>
        <v/>
      </c>
      <c r="BR411" s="870"/>
    </row>
    <row r="412" spans="64:70">
      <c r="BL412" s="880" t="str">
        <f t="shared" si="238"/>
        <v/>
      </c>
      <c r="BR412" s="870"/>
    </row>
    <row r="413" spans="64:70">
      <c r="BL413" s="880" t="str">
        <f t="shared" si="238"/>
        <v/>
      </c>
      <c r="BR413" s="870"/>
    </row>
  </sheetData>
  <autoFilter ref="A7:BX150" xr:uid="{72FB73FE-D71E-4E8F-88FE-4A5CF5BB187D}"/>
  <mergeCells count="2">
    <mergeCell ref="AZ6:BJ6"/>
    <mergeCell ref="AL6:AV6"/>
  </mergeCells>
  <phoneticPr fontId="7" type="noConversion"/>
  <pageMargins left="0.51181102362204722" right="0.31496062992125984" top="0.55118110236220474" bottom="0.74803149606299213" header="0.31496062992125984" footer="0.31496062992125984"/>
  <pageSetup paperSize="8" scale="22" fitToHeight="30" orientation="landscape" r:id="rId1"/>
  <headerFooter>
    <oddFooter>&amp;L&amp;F&amp;C&amp;A&amp;RPage &amp;P of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filterMode="1">
    <tabColor rgb="FFC65911"/>
    <pageSetUpPr fitToPage="1"/>
  </sheetPr>
  <dimension ref="A1:AI230"/>
  <sheetViews>
    <sheetView topLeftCell="B2" zoomScale="115" zoomScaleNormal="115" workbookViewId="0">
      <selection activeCell="C38" sqref="C38"/>
    </sheetView>
  </sheetViews>
  <sheetFormatPr defaultColWidth="9.453125" defaultRowHeight="12.5"/>
  <cols>
    <col min="1" max="1" width="0" hidden="1" customWidth="1"/>
    <col min="2" max="2" width="27.54296875" customWidth="1"/>
    <col min="3" max="3" width="29.453125" customWidth="1"/>
    <col min="4" max="4" width="16.54296875" customWidth="1"/>
    <col min="5" max="5" width="14.453125" customWidth="1"/>
    <col min="6" max="7" width="14.54296875" customWidth="1"/>
    <col min="8" max="8" width="14.453125" customWidth="1"/>
    <col min="9" max="9" width="13.54296875" customWidth="1"/>
    <col min="10" max="10" width="14" customWidth="1"/>
    <col min="11" max="11" width="13.54296875" customWidth="1"/>
    <col min="12" max="14" width="14.453125" customWidth="1"/>
    <col min="15" max="15" width="19.81640625" customWidth="1"/>
    <col min="16" max="16" width="10.54296875" bestFit="1" customWidth="1"/>
    <col min="18" max="18" width="12.54296875" bestFit="1" customWidth="1"/>
    <col min="19" max="19" width="10.453125" bestFit="1" customWidth="1"/>
    <col min="23" max="23" width="11.453125" bestFit="1" customWidth="1"/>
    <col min="34" max="34" width="11" bestFit="1" customWidth="1"/>
    <col min="35" max="35" width="13.453125" customWidth="1"/>
  </cols>
  <sheetData>
    <row r="1" spans="1:34" ht="13">
      <c r="A1" s="22" t="s">
        <v>7010</v>
      </c>
      <c r="B1" s="22"/>
      <c r="C1" s="22"/>
      <c r="D1" s="22"/>
      <c r="E1" s="22"/>
      <c r="F1" s="22"/>
      <c r="G1" s="22"/>
      <c r="H1" s="22"/>
      <c r="I1" s="22"/>
      <c r="J1" s="22"/>
      <c r="K1" s="22"/>
      <c r="L1" s="22"/>
      <c r="M1" s="22"/>
      <c r="N1" s="22"/>
      <c r="O1" s="22"/>
      <c r="P1" s="22"/>
    </row>
    <row r="2" spans="1:34" ht="13">
      <c r="A2" s="22" t="s">
        <v>2224</v>
      </c>
      <c r="B2" s="22"/>
      <c r="C2" s="22"/>
      <c r="D2" s="22"/>
      <c r="E2" s="22"/>
      <c r="F2" s="22"/>
      <c r="G2" s="22"/>
      <c r="H2" s="22"/>
      <c r="I2" s="22"/>
      <c r="J2" s="22"/>
      <c r="K2" s="22"/>
      <c r="L2" s="22"/>
      <c r="M2" s="22"/>
      <c r="N2" s="22"/>
      <c r="O2" s="22"/>
      <c r="P2" s="22"/>
    </row>
    <row r="3" spans="1:34" ht="13">
      <c r="A3" s="22" t="s">
        <v>2225</v>
      </c>
      <c r="B3" s="22"/>
      <c r="C3" s="22"/>
      <c r="D3" s="22"/>
      <c r="E3" s="22"/>
      <c r="F3" s="22"/>
      <c r="G3" s="22"/>
      <c r="H3" s="22"/>
      <c r="I3" s="22"/>
      <c r="J3" s="22"/>
      <c r="K3" s="22"/>
      <c r="L3" s="22"/>
      <c r="M3" s="22"/>
      <c r="N3" s="22"/>
      <c r="O3" s="22"/>
      <c r="P3" s="22"/>
    </row>
    <row r="4" spans="1:34" ht="13">
      <c r="A4" s="22"/>
      <c r="B4" s="22"/>
      <c r="C4" s="22"/>
      <c r="D4" s="22"/>
      <c r="E4" s="22"/>
      <c r="F4" s="22"/>
      <c r="G4" s="22"/>
      <c r="H4" s="22"/>
      <c r="I4" s="22"/>
      <c r="J4" s="22"/>
      <c r="K4" s="22"/>
      <c r="L4" s="22"/>
      <c r="M4" s="22"/>
      <c r="N4" s="22"/>
      <c r="O4" s="22"/>
      <c r="P4" s="22"/>
    </row>
    <row r="5" spans="1:34" ht="13">
      <c r="A5" s="22"/>
      <c r="B5" s="22"/>
      <c r="C5" s="22"/>
      <c r="D5" s="22"/>
      <c r="E5" s="22"/>
      <c r="F5" s="22"/>
      <c r="G5" s="22"/>
      <c r="H5" s="22"/>
      <c r="I5" s="22"/>
      <c r="J5" s="22"/>
      <c r="K5" s="22"/>
      <c r="L5" s="22"/>
      <c r="M5" s="22"/>
      <c r="N5" s="22"/>
      <c r="O5" s="22"/>
      <c r="P5" s="22"/>
    </row>
    <row r="6" spans="1:34" ht="18.5">
      <c r="A6" s="22"/>
      <c r="B6" s="30" t="s">
        <v>2209</v>
      </c>
      <c r="C6" s="31"/>
      <c r="D6" s="31"/>
      <c r="E6" s="31"/>
      <c r="F6" s="32"/>
      <c r="G6" s="31"/>
      <c r="H6" s="31"/>
      <c r="I6" s="31"/>
      <c r="J6" s="31"/>
      <c r="K6" s="31"/>
      <c r="L6" s="31"/>
      <c r="M6" s="31"/>
      <c r="N6" s="31"/>
      <c r="O6" s="31"/>
      <c r="P6" s="22"/>
    </row>
    <row r="7" spans="1:34" ht="13">
      <c r="A7" s="22"/>
      <c r="B7" s="31"/>
      <c r="C7" s="31"/>
      <c r="D7" s="31"/>
      <c r="E7" s="31"/>
      <c r="F7" s="31"/>
      <c r="G7" s="31"/>
      <c r="H7" s="31"/>
      <c r="I7" s="31"/>
      <c r="J7" s="31"/>
      <c r="K7" s="31"/>
      <c r="L7" s="31"/>
      <c r="M7" s="31"/>
      <c r="N7" s="31"/>
      <c r="O7" s="31"/>
      <c r="P7" s="22"/>
    </row>
    <row r="8" spans="1:34" ht="13">
      <c r="A8" s="22"/>
      <c r="B8" s="31"/>
      <c r="C8" s="32"/>
      <c r="D8" s="31"/>
      <c r="E8" s="31"/>
      <c r="F8" s="31"/>
      <c r="G8" s="31"/>
      <c r="H8" s="31"/>
      <c r="I8" s="31"/>
      <c r="J8" s="31"/>
      <c r="K8" s="31"/>
      <c r="L8" s="31"/>
      <c r="M8" s="31"/>
      <c r="N8" s="31"/>
      <c r="O8" s="31"/>
      <c r="P8" s="22"/>
    </row>
    <row r="9" spans="1:34" ht="13">
      <c r="A9" s="22"/>
      <c r="B9" s="31"/>
      <c r="C9" s="31"/>
      <c r="D9" s="54" t="s">
        <v>1200</v>
      </c>
      <c r="E9" s="55" t="s">
        <v>1201</v>
      </c>
      <c r="F9" s="56"/>
      <c r="G9" s="56"/>
      <c r="H9" s="56"/>
      <c r="I9" s="56"/>
      <c r="J9" s="56"/>
      <c r="K9" s="56"/>
      <c r="L9" s="56"/>
      <c r="M9" s="56"/>
      <c r="N9" s="56"/>
      <c r="O9" s="57"/>
      <c r="P9" s="22"/>
    </row>
    <row r="10" spans="1:34" ht="13">
      <c r="A10" s="22"/>
      <c r="B10" s="50" t="s">
        <v>894</v>
      </c>
      <c r="C10" s="50" t="s">
        <v>1202</v>
      </c>
      <c r="D10" s="50" t="s">
        <v>1203</v>
      </c>
      <c r="E10" s="50" t="s">
        <v>1204</v>
      </c>
      <c r="F10" s="50" t="s">
        <v>2276</v>
      </c>
      <c r="G10" s="50" t="s">
        <v>2277</v>
      </c>
      <c r="H10" s="50" t="s">
        <v>2278</v>
      </c>
      <c r="I10" s="50" t="s">
        <v>2914</v>
      </c>
      <c r="J10" s="50" t="s">
        <v>2915</v>
      </c>
      <c r="K10" s="50" t="s">
        <v>2916</v>
      </c>
      <c r="L10" s="50" t="s">
        <v>6673</v>
      </c>
      <c r="M10" s="50" t="s">
        <v>6674</v>
      </c>
      <c r="N10" s="50" t="s">
        <v>6675</v>
      </c>
      <c r="O10" s="50" t="s">
        <v>891</v>
      </c>
      <c r="P10" s="22"/>
      <c r="W10" s="80"/>
      <c r="X10" s="80"/>
      <c r="Y10" s="80"/>
      <c r="Z10" s="80"/>
      <c r="AA10" s="80"/>
      <c r="AB10" s="80"/>
      <c r="AC10" s="80"/>
      <c r="AD10" s="80"/>
      <c r="AE10" s="80"/>
      <c r="AF10" s="80"/>
      <c r="AG10" s="80"/>
      <c r="AH10" s="80"/>
    </row>
    <row r="11" spans="1:34" ht="13" hidden="1">
      <c r="A11" s="22" t="s">
        <v>2259</v>
      </c>
      <c r="B11" s="58" t="s">
        <v>2259</v>
      </c>
      <c r="C11" s="58" t="s">
        <v>2259</v>
      </c>
      <c r="D11" s="807" t="s">
        <v>2259</v>
      </c>
      <c r="E11" s="807" t="s">
        <v>2259</v>
      </c>
      <c r="F11" s="807" t="s">
        <v>2259</v>
      </c>
      <c r="G11" s="807" t="s">
        <v>2259</v>
      </c>
      <c r="H11" s="807" t="s">
        <v>2259</v>
      </c>
      <c r="I11" s="807" t="s">
        <v>2259</v>
      </c>
      <c r="J11" s="807" t="s">
        <v>2259</v>
      </c>
      <c r="K11" s="807" t="s">
        <v>2259</v>
      </c>
      <c r="L11" s="807" t="s">
        <v>2259</v>
      </c>
      <c r="M11" s="807" t="s">
        <v>2259</v>
      </c>
      <c r="N11" s="807" t="s">
        <v>2259</v>
      </c>
      <c r="O11" s="807" t="s">
        <v>2259</v>
      </c>
      <c r="P11" s="22"/>
    </row>
    <row r="12" spans="1:34" ht="13" hidden="1">
      <c r="A12" s="22" t="s">
        <v>2629</v>
      </c>
      <c r="B12" s="31" t="s">
        <v>1220</v>
      </c>
      <c r="C12" s="31" t="str">
        <f>VLOOKUP($A12,FA_Codes!$D$2:$G$249,4,FALSE)</f>
        <v>Auckland wide</v>
      </c>
      <c r="D12" s="800">
        <f>SUMIF(O_CWP_NOW!$A:$A,$A12,O_CWP_NOW!D:D)+SUMIF(O_CWP_FUT!$A:$A,$A12,O_CWP_FUT!D:D)</f>
        <v>0</v>
      </c>
      <c r="E12" s="800">
        <f>SUMIF(O_CWP_NOW!$A:$A,$A12,O_CWP_NOW!E:E)+SUMIF(O_CWP_FUT!$A:$A,$A12,O_CWP_FUT!E:E)</f>
        <v>0</v>
      </c>
      <c r="F12" s="800">
        <f>SUMIF(O_CWP_NOW!$A:$A,$A12,O_CWP_NOW!F:F)+SUMIF(O_CWP_FUT!$A:$A,$A12,O_CWP_FUT!F:F)</f>
        <v>0</v>
      </c>
      <c r="G12" s="800">
        <f>SUMIF(O_CWP_NOW!$A:$A,$A12,O_CWP_NOW!G:G)+SUMIF(O_CWP_FUT!$A:$A,$A12,O_CWP_FUT!G:G)</f>
        <v>0</v>
      </c>
      <c r="H12" s="800">
        <f>SUMIF(O_CWP_NOW!$A:$A,$A12,O_CWP_NOW!H:H)+SUMIF(O_CWP_FUT!$A:$A,$A12,O_CWP_FUT!H:H)</f>
        <v>0</v>
      </c>
      <c r="I12" s="800">
        <f>SUMIF(O_CWP_NOW!$A:$A,$A12,O_CWP_NOW!I:I)+SUMIF(O_CWP_FUT!$A:$A,$A12,O_CWP_FUT!I:I)</f>
        <v>0</v>
      </c>
      <c r="J12" s="800">
        <f>SUMIF(O_CWP_NOW!$A:$A,$A12,O_CWP_NOW!J:J)+SUMIF(O_CWP_FUT!$A:$A,$A12,O_CWP_FUT!J:J)</f>
        <v>0</v>
      </c>
      <c r="K12" s="800">
        <f>SUMIF(O_CWP_NOW!$A:$A,$A12,O_CWP_NOW!K:K)+SUMIF(O_CWP_FUT!$A:$A,$A12,O_CWP_FUT!K:K)</f>
        <v>0</v>
      </c>
      <c r="L12" s="800">
        <f>SUMIF(O_CWP_NOW!$A:$A,$A12,O_CWP_NOW!L:L)+SUMIF(O_CWP_FUT!$A:$A,$A12,O_CWP_FUT!L:L)</f>
        <v>0</v>
      </c>
      <c r="M12" s="800">
        <f>SUMIF(O_CWP_NOW!$A:$A,$A12,O_CWP_NOW!M:M)+SUMIF(O_CWP_FUT!$A:$A,$A12,O_CWP_FUT!M:M)</f>
        <v>0</v>
      </c>
      <c r="N12" s="800">
        <f>SUMIF(O_CWP_NOW!$A:$A,$A12,O_CWP_NOW!N:N)+SUMIF(O_CWP_FUT!$A:$A,$A12,O_CWP_FUT!N:N)</f>
        <v>0</v>
      </c>
      <c r="O12" s="800">
        <f>SUM(D12:N12)</f>
        <v>0</v>
      </c>
      <c r="P12" s="40"/>
      <c r="R12" s="29"/>
      <c r="S12" s="29"/>
    </row>
    <row r="13" spans="1:34" ht="13" hidden="1">
      <c r="A13" s="22" t="s">
        <v>2631</v>
      </c>
      <c r="B13" s="31" t="s">
        <v>1220</v>
      </c>
      <c r="C13" s="31" t="str">
        <f>VLOOKUP($A13,FA_Codes!$D$2:$G$249,4,FALSE)</f>
        <v>Area 2</v>
      </c>
      <c r="D13" s="800">
        <f>SUMIF(O_CWP_NOW!$A:$A,$A13,O_CWP_NOW!D:D)+SUMIF(O_CWP_FUT!$A:$A,$A13,O_CWP_FUT!D:D)</f>
        <v>0</v>
      </c>
      <c r="E13" s="800">
        <f>SUMIF(O_CWP_NOW!$A:$A,$A13,O_CWP_NOW!E:E)+SUMIF(O_CWP_FUT!$A:$A,$A13,O_CWP_FUT!E:E)</f>
        <v>0</v>
      </c>
      <c r="F13" s="800">
        <f>SUMIF(O_CWP_NOW!$A:$A,$A13,O_CWP_NOW!F:F)+SUMIF(O_CWP_FUT!$A:$A,$A13,O_CWP_FUT!F:F)</f>
        <v>0</v>
      </c>
      <c r="G13" s="800">
        <f>SUMIF(O_CWP_NOW!$A:$A,$A13,O_CWP_NOW!G:G)+SUMIF(O_CWP_FUT!$A:$A,$A13,O_CWP_FUT!G:G)</f>
        <v>0</v>
      </c>
      <c r="H13" s="800">
        <f>SUMIF(O_CWP_NOW!$A:$A,$A13,O_CWP_NOW!H:H)+SUMIF(O_CWP_FUT!$A:$A,$A13,O_CWP_FUT!H:H)</f>
        <v>0</v>
      </c>
      <c r="I13" s="800">
        <f>SUMIF(O_CWP_NOW!$A:$A,$A13,O_CWP_NOW!I:I)+SUMIF(O_CWP_FUT!$A:$A,$A13,O_CWP_FUT!I:I)</f>
        <v>0</v>
      </c>
      <c r="J13" s="800">
        <f>SUMIF(O_CWP_NOW!$A:$A,$A13,O_CWP_NOW!J:J)+SUMIF(O_CWP_FUT!$A:$A,$A13,O_CWP_FUT!J:J)</f>
        <v>0</v>
      </c>
      <c r="K13" s="800">
        <f>SUMIF(O_CWP_NOW!$A:$A,$A13,O_CWP_NOW!K:K)+SUMIF(O_CWP_FUT!$A:$A,$A13,O_CWP_FUT!K:K)</f>
        <v>0</v>
      </c>
      <c r="L13" s="800">
        <f>SUMIF(O_CWP_NOW!$A:$A,$A13,O_CWP_NOW!L:L)+SUMIF(O_CWP_FUT!$A:$A,$A13,O_CWP_FUT!L:L)</f>
        <v>0</v>
      </c>
      <c r="M13" s="800">
        <f>SUMIF(O_CWP_NOW!$A:$A,$A13,O_CWP_NOW!M:M)+SUMIF(O_CWP_FUT!$A:$A,$A13,O_CWP_FUT!M:M)</f>
        <v>0</v>
      </c>
      <c r="N13" s="800">
        <f>SUMIF(O_CWP_NOW!$A:$A,$A13,O_CWP_NOW!N:N)+SUMIF(O_CWP_FUT!$A:$A,$A13,O_CWP_FUT!N:N)</f>
        <v>0</v>
      </c>
      <c r="O13" s="800">
        <f>SUM(D13:N13)</f>
        <v>0</v>
      </c>
      <c r="P13" s="40"/>
      <c r="R13" s="29"/>
      <c r="S13" s="29"/>
    </row>
    <row r="14" spans="1:34" ht="13" hidden="1">
      <c r="A14" s="22" t="s">
        <v>2633</v>
      </c>
      <c r="B14" s="31" t="s">
        <v>1220</v>
      </c>
      <c r="C14" s="31" t="str">
        <f>VLOOKUP($A14,FA_Codes!$D$2:$G$249,4,FALSE)</f>
        <v>Urban</v>
      </c>
      <c r="D14" s="800">
        <f>SUMIF(O_CWP_NOW!$A:$A,$A14,O_CWP_NOW!D:D)+SUMIF(O_CWP_FUT!$A:$A,$A14,O_CWP_FUT!D:D)</f>
        <v>0</v>
      </c>
      <c r="E14" s="800">
        <f>SUMIF(O_CWP_NOW!$A:$A,$A14,O_CWP_NOW!E:E)+SUMIF(O_CWP_FUT!$A:$A,$A14,O_CWP_FUT!E:E)</f>
        <v>0</v>
      </c>
      <c r="F14" s="800">
        <f>SUMIF(O_CWP_NOW!$A:$A,$A14,O_CWP_NOW!F:F)+SUMIF(O_CWP_FUT!$A:$A,$A14,O_CWP_FUT!F:F)</f>
        <v>0</v>
      </c>
      <c r="G14" s="800">
        <f>SUMIF(O_CWP_NOW!$A:$A,$A14,O_CWP_NOW!G:G)+SUMIF(O_CWP_FUT!$A:$A,$A14,O_CWP_FUT!G:G)</f>
        <v>0</v>
      </c>
      <c r="H14" s="800">
        <f>SUMIF(O_CWP_NOW!$A:$A,$A14,O_CWP_NOW!H:H)+SUMIF(O_CWP_FUT!$A:$A,$A14,O_CWP_FUT!H:H)</f>
        <v>0</v>
      </c>
      <c r="I14" s="800">
        <f>SUMIF(O_CWP_NOW!$A:$A,$A14,O_CWP_NOW!I:I)+SUMIF(O_CWP_FUT!$A:$A,$A14,O_CWP_FUT!I:I)</f>
        <v>0</v>
      </c>
      <c r="J14" s="800">
        <f>SUMIF(O_CWP_NOW!$A:$A,$A14,O_CWP_NOW!J:J)+SUMIF(O_CWP_FUT!$A:$A,$A14,O_CWP_FUT!J:J)</f>
        <v>0</v>
      </c>
      <c r="K14" s="800">
        <f>SUMIF(O_CWP_NOW!$A:$A,$A14,O_CWP_NOW!K:K)+SUMIF(O_CWP_FUT!$A:$A,$A14,O_CWP_FUT!K:K)</f>
        <v>0</v>
      </c>
      <c r="L14" s="800">
        <f>SUMIF(O_CWP_NOW!$A:$A,$A14,O_CWP_NOW!L:L)+SUMIF(O_CWP_FUT!$A:$A,$A14,O_CWP_FUT!L:L)</f>
        <v>0</v>
      </c>
      <c r="M14" s="800">
        <f>SUMIF(O_CWP_NOW!$A:$A,$A14,O_CWP_NOW!M:M)+SUMIF(O_CWP_FUT!$A:$A,$A14,O_CWP_FUT!M:M)</f>
        <v>0</v>
      </c>
      <c r="N14" s="800">
        <f>SUMIF(O_CWP_NOW!$A:$A,$A14,O_CWP_NOW!N:N)+SUMIF(O_CWP_FUT!$A:$A,$A14,O_CWP_FUT!N:N)</f>
        <v>0</v>
      </c>
      <c r="O14" s="800">
        <f>SUM(D14:N14)</f>
        <v>0</v>
      </c>
      <c r="P14" s="40"/>
      <c r="R14" s="29"/>
      <c r="S14" s="29"/>
    </row>
    <row r="15" spans="1:34" ht="13" hidden="1">
      <c r="A15" s="22" t="s">
        <v>2634</v>
      </c>
      <c r="B15" s="31" t="s">
        <v>1220</v>
      </c>
      <c r="C15" s="31" t="str">
        <f>VLOOKUP($A15,FA_Codes!$D$2:$G$249,4,FALSE)</f>
        <v>Area 4</v>
      </c>
      <c r="D15" s="800">
        <f>SUMIF(O_CWP_NOW!$A:$A,$A15,O_CWP_NOW!D:D)+SUMIF(O_CWP_FUT!$A:$A,$A15,O_CWP_FUT!D:D)</f>
        <v>0</v>
      </c>
      <c r="E15" s="800">
        <f>SUMIF(O_CWP_NOW!$A:$A,$A15,O_CWP_NOW!E:E)+SUMIF(O_CWP_FUT!$A:$A,$A15,O_CWP_FUT!E:E)</f>
        <v>0</v>
      </c>
      <c r="F15" s="800">
        <f>SUMIF(O_CWP_NOW!$A:$A,$A15,O_CWP_NOW!F:F)+SUMIF(O_CWP_FUT!$A:$A,$A15,O_CWP_FUT!F:F)</f>
        <v>0</v>
      </c>
      <c r="G15" s="800">
        <f>SUMIF(O_CWP_NOW!$A:$A,$A15,O_CWP_NOW!G:G)+SUMIF(O_CWP_FUT!$A:$A,$A15,O_CWP_FUT!G:G)</f>
        <v>0</v>
      </c>
      <c r="H15" s="800">
        <f>SUMIF(O_CWP_NOW!$A:$A,$A15,O_CWP_NOW!H:H)+SUMIF(O_CWP_FUT!$A:$A,$A15,O_CWP_FUT!H:H)</f>
        <v>0</v>
      </c>
      <c r="I15" s="800">
        <f>SUMIF(O_CWP_NOW!$A:$A,$A15,O_CWP_NOW!I:I)+SUMIF(O_CWP_FUT!$A:$A,$A15,O_CWP_FUT!I:I)</f>
        <v>0</v>
      </c>
      <c r="J15" s="800">
        <f>SUMIF(O_CWP_NOW!$A:$A,$A15,O_CWP_NOW!J:J)+SUMIF(O_CWP_FUT!$A:$A,$A15,O_CWP_FUT!J:J)</f>
        <v>0</v>
      </c>
      <c r="K15" s="800">
        <f>SUMIF(O_CWP_NOW!$A:$A,$A15,O_CWP_NOW!K:K)+SUMIF(O_CWP_FUT!$A:$A,$A15,O_CWP_FUT!K:K)</f>
        <v>0</v>
      </c>
      <c r="L15" s="800">
        <f>SUMIF(O_CWP_NOW!$A:$A,$A15,O_CWP_NOW!L:L)+SUMIF(O_CWP_FUT!$A:$A,$A15,O_CWP_FUT!L:L)</f>
        <v>0</v>
      </c>
      <c r="M15" s="800">
        <f>SUMIF(O_CWP_NOW!$A:$A,$A15,O_CWP_NOW!M:M)+SUMIF(O_CWP_FUT!$A:$A,$A15,O_CWP_FUT!M:M)</f>
        <v>0</v>
      </c>
      <c r="N15" s="800">
        <f>SUMIF(O_CWP_NOW!$A:$A,$A15,O_CWP_NOW!N:N)+SUMIF(O_CWP_FUT!$A:$A,$A15,O_CWP_FUT!N:N)</f>
        <v>0</v>
      </c>
      <c r="O15" s="800">
        <f>SUM(D15:N15)</f>
        <v>0</v>
      </c>
      <c r="P15" s="40"/>
      <c r="R15" s="29"/>
      <c r="S15" s="29"/>
    </row>
    <row r="16" spans="1:34" ht="13" hidden="1">
      <c r="A16" s="22" t="s">
        <v>2636</v>
      </c>
      <c r="B16" s="31" t="s">
        <v>1220</v>
      </c>
      <c r="C16" s="31" t="str">
        <f>VLOOKUP($A16,FA_Codes!$D$2:$G$249,4,FALSE)</f>
        <v>Warkworth</v>
      </c>
      <c r="D16" s="800">
        <f>SUMIF(O_CWP_NOW!$A:$A,$A16,O_CWP_NOW!D:D)+SUMIF(O_CWP_FUT!$A:$A,$A16,O_CWP_FUT!D:D)</f>
        <v>0</v>
      </c>
      <c r="E16" s="800">
        <f>SUMIF(O_CWP_NOW!$A:$A,$A16,O_CWP_NOW!E:E)+SUMIF(O_CWP_FUT!$A:$A,$A16,O_CWP_FUT!E:E)</f>
        <v>0</v>
      </c>
      <c r="F16" s="800">
        <f>SUMIF(O_CWP_NOW!$A:$A,$A16,O_CWP_NOW!F:F)+SUMIF(O_CWP_FUT!$A:$A,$A16,O_CWP_FUT!F:F)</f>
        <v>0</v>
      </c>
      <c r="G16" s="800">
        <f>SUMIF(O_CWP_NOW!$A:$A,$A16,O_CWP_NOW!G:G)+SUMIF(O_CWP_FUT!$A:$A,$A16,O_CWP_FUT!G:G)</f>
        <v>0</v>
      </c>
      <c r="H16" s="800">
        <f>SUMIF(O_CWP_NOW!$A:$A,$A16,O_CWP_NOW!H:H)+SUMIF(O_CWP_FUT!$A:$A,$A16,O_CWP_FUT!H:H)</f>
        <v>0</v>
      </c>
      <c r="I16" s="800">
        <f>SUMIF(O_CWP_NOW!$A:$A,$A16,O_CWP_NOW!I:I)+SUMIF(O_CWP_FUT!$A:$A,$A16,O_CWP_FUT!I:I)</f>
        <v>0</v>
      </c>
      <c r="J16" s="800">
        <f>SUMIF(O_CWP_NOW!$A:$A,$A16,O_CWP_NOW!J:J)+SUMIF(O_CWP_FUT!$A:$A,$A16,O_CWP_FUT!J:J)</f>
        <v>0</v>
      </c>
      <c r="K16" s="800">
        <f>SUMIF(O_CWP_NOW!$A:$A,$A16,O_CWP_NOW!K:K)+SUMIF(O_CWP_FUT!$A:$A,$A16,O_CWP_FUT!K:K)</f>
        <v>0</v>
      </c>
      <c r="L16" s="800">
        <f>SUMIF(O_CWP_NOW!$A:$A,$A16,O_CWP_NOW!L:L)+SUMIF(O_CWP_FUT!$A:$A,$A16,O_CWP_FUT!L:L)</f>
        <v>0</v>
      </c>
      <c r="M16" s="800">
        <f>SUMIF(O_CWP_NOW!$A:$A,$A16,O_CWP_NOW!M:M)+SUMIF(O_CWP_FUT!$A:$A,$A16,O_CWP_FUT!M:M)</f>
        <v>0</v>
      </c>
      <c r="N16" s="800">
        <f>SUMIF(O_CWP_NOW!$A:$A,$A16,O_CWP_NOW!N:N)+SUMIF(O_CWP_FUT!$A:$A,$A16,O_CWP_FUT!N:N)</f>
        <v>0</v>
      </c>
      <c r="O16" s="800">
        <f>SUM(D16:N16)</f>
        <v>0</v>
      </c>
      <c r="P16" s="40"/>
      <c r="R16" s="29"/>
      <c r="S16" s="29"/>
    </row>
    <row r="17" spans="1:19" ht="13" hidden="1">
      <c r="A17" s="22" t="s">
        <v>2638</v>
      </c>
      <c r="B17" s="31" t="s">
        <v>1220</v>
      </c>
      <c r="C17" s="31" t="str">
        <f>VLOOKUP($A17,FA_Codes!$D$2:$G$249,4,FALSE)</f>
        <v>Dairy Flat</v>
      </c>
      <c r="D17" s="800">
        <f>SUMIF(O_CWP_NOW!$A:$A,$A17,O_CWP_NOW!D:D)+SUMIF(O_CWP_FUT!$A:$A,$A17,O_CWP_FUT!D:D)</f>
        <v>0</v>
      </c>
      <c r="E17" s="800">
        <f>SUMIF(O_CWP_NOW!$A:$A,$A17,O_CWP_NOW!E:E)+SUMIF(O_CWP_FUT!$A:$A,$A17,O_CWP_FUT!E:E)</f>
        <v>0</v>
      </c>
      <c r="F17" s="800">
        <f>SUMIF(O_CWP_NOW!$A:$A,$A17,O_CWP_NOW!F:F)+SUMIF(O_CWP_FUT!$A:$A,$A17,O_CWP_FUT!F:F)</f>
        <v>0</v>
      </c>
      <c r="G17" s="800">
        <f>SUMIF(O_CWP_NOW!$A:$A,$A17,O_CWP_NOW!G:G)+SUMIF(O_CWP_FUT!$A:$A,$A17,O_CWP_FUT!G:G)</f>
        <v>0</v>
      </c>
      <c r="H17" s="800">
        <f>SUMIF(O_CWP_NOW!$A:$A,$A17,O_CWP_NOW!H:H)+SUMIF(O_CWP_FUT!$A:$A,$A17,O_CWP_FUT!H:H)</f>
        <v>0</v>
      </c>
      <c r="I17" s="800">
        <f>SUMIF(O_CWP_NOW!$A:$A,$A17,O_CWP_NOW!I:I)+SUMIF(O_CWP_FUT!$A:$A,$A17,O_CWP_FUT!I:I)</f>
        <v>0</v>
      </c>
      <c r="J17" s="800">
        <f>SUMIF(O_CWP_NOW!$A:$A,$A17,O_CWP_NOW!J:J)+SUMIF(O_CWP_FUT!$A:$A,$A17,O_CWP_FUT!J:J)</f>
        <v>0</v>
      </c>
      <c r="K17" s="800">
        <f>SUMIF(O_CWP_NOW!$A:$A,$A17,O_CWP_NOW!K:K)+SUMIF(O_CWP_FUT!$A:$A,$A17,O_CWP_FUT!K:K)</f>
        <v>0</v>
      </c>
      <c r="L17" s="800">
        <f>SUMIF(O_CWP_NOW!$A:$A,$A17,O_CWP_NOW!L:L)+SUMIF(O_CWP_FUT!$A:$A,$A17,O_CWP_FUT!L:L)</f>
        <v>0</v>
      </c>
      <c r="M17" s="800">
        <f>SUMIF(O_CWP_NOW!$A:$A,$A17,O_CWP_NOW!M:M)+SUMIF(O_CWP_FUT!$A:$A,$A17,O_CWP_FUT!M:M)</f>
        <v>0</v>
      </c>
      <c r="N17" s="800">
        <f>SUMIF(O_CWP_NOW!$A:$A,$A17,O_CWP_NOW!N:N)+SUMIF(O_CWP_FUT!$A:$A,$A17,O_CWP_FUT!N:N)</f>
        <v>0</v>
      </c>
      <c r="O17" s="800">
        <f t="shared" ref="O17:O28" si="0">SUM(D17:N17)</f>
        <v>0</v>
      </c>
      <c r="P17" s="40"/>
      <c r="R17" s="29"/>
      <c r="S17" s="29"/>
    </row>
    <row r="18" spans="1:19" ht="13" hidden="1">
      <c r="A18" s="22" t="s">
        <v>2640</v>
      </c>
      <c r="B18" s="31" t="s">
        <v>1220</v>
      </c>
      <c r="C18" s="31" t="str">
        <f>VLOOKUP($A18,FA_Codes!$D$2:$G$249,4,FALSE)</f>
        <v>Northwest Greenfield</v>
      </c>
      <c r="D18" s="800">
        <f>SUMIF(O_CWP_NOW!$A:$A,$A18,O_CWP_NOW!D:D)+SUMIF(O_CWP_FUT!$A:$A,$A18,O_CWP_FUT!D:D)</f>
        <v>0</v>
      </c>
      <c r="E18" s="800">
        <f>SUMIF(O_CWP_NOW!$A:$A,$A18,O_CWP_NOW!E:E)+SUMIF(O_CWP_FUT!$A:$A,$A18,O_CWP_FUT!E:E)</f>
        <v>0</v>
      </c>
      <c r="F18" s="800">
        <f>SUMIF(O_CWP_NOW!$A:$A,$A18,O_CWP_NOW!F:F)+SUMIF(O_CWP_FUT!$A:$A,$A18,O_CWP_FUT!F:F)</f>
        <v>0</v>
      </c>
      <c r="G18" s="800">
        <f>SUMIF(O_CWP_NOW!$A:$A,$A18,O_CWP_NOW!G:G)+SUMIF(O_CWP_FUT!$A:$A,$A18,O_CWP_FUT!G:G)</f>
        <v>0</v>
      </c>
      <c r="H18" s="800">
        <f>SUMIF(O_CWP_NOW!$A:$A,$A18,O_CWP_NOW!H:H)+SUMIF(O_CWP_FUT!$A:$A,$A18,O_CWP_FUT!H:H)</f>
        <v>0</v>
      </c>
      <c r="I18" s="800">
        <f>SUMIF(O_CWP_NOW!$A:$A,$A18,O_CWP_NOW!I:I)+SUMIF(O_CWP_FUT!$A:$A,$A18,O_CWP_FUT!I:I)</f>
        <v>0</v>
      </c>
      <c r="J18" s="800">
        <f>SUMIF(O_CWP_NOW!$A:$A,$A18,O_CWP_NOW!J:J)+SUMIF(O_CWP_FUT!$A:$A,$A18,O_CWP_FUT!J:J)</f>
        <v>0</v>
      </c>
      <c r="K18" s="800">
        <f>SUMIF(O_CWP_NOW!$A:$A,$A18,O_CWP_NOW!K:K)+SUMIF(O_CWP_FUT!$A:$A,$A18,O_CWP_FUT!K:K)</f>
        <v>0</v>
      </c>
      <c r="L18" s="800">
        <f>SUMIF(O_CWP_NOW!$A:$A,$A18,O_CWP_NOW!L:L)+SUMIF(O_CWP_FUT!$A:$A,$A18,O_CWP_FUT!L:L)</f>
        <v>0</v>
      </c>
      <c r="M18" s="800">
        <f>SUMIF(O_CWP_NOW!$A:$A,$A18,O_CWP_NOW!M:M)+SUMIF(O_CWP_FUT!$A:$A,$A18,O_CWP_FUT!M:M)</f>
        <v>0</v>
      </c>
      <c r="N18" s="800">
        <f>SUMIF(O_CWP_NOW!$A:$A,$A18,O_CWP_NOW!N:N)+SUMIF(O_CWP_FUT!$A:$A,$A18,O_CWP_FUT!N:N)</f>
        <v>0</v>
      </c>
      <c r="O18" s="800">
        <f t="shared" si="0"/>
        <v>0</v>
      </c>
      <c r="P18" s="40"/>
      <c r="R18" s="29"/>
      <c r="S18" s="29"/>
    </row>
    <row r="19" spans="1:19" ht="13" hidden="1">
      <c r="A19" s="22" t="s">
        <v>2642</v>
      </c>
      <c r="B19" s="31" t="s">
        <v>1220</v>
      </c>
      <c r="C19" s="31" t="str">
        <f>VLOOKUP($A19,FA_Codes!$D$2:$G$249,4,FALSE)</f>
        <v>North Greenfield</v>
      </c>
      <c r="D19" s="800">
        <f>SUMIF(O_CWP_NOW!$A:$A,$A19,O_CWP_NOW!D:D)+SUMIF(O_CWP_FUT!$A:$A,$A19,O_CWP_FUT!D:D)</f>
        <v>0</v>
      </c>
      <c r="E19" s="800">
        <f>SUMIF(O_CWP_NOW!$A:$A,$A19,O_CWP_NOW!E:E)+SUMIF(O_CWP_FUT!$A:$A,$A19,O_CWP_FUT!E:E)</f>
        <v>0</v>
      </c>
      <c r="F19" s="800">
        <f>SUMIF(O_CWP_NOW!$A:$A,$A19,O_CWP_NOW!F:F)+SUMIF(O_CWP_FUT!$A:$A,$A19,O_CWP_FUT!F:F)</f>
        <v>0</v>
      </c>
      <c r="G19" s="800">
        <f>SUMIF(O_CWP_NOW!$A:$A,$A19,O_CWP_NOW!G:G)+SUMIF(O_CWP_FUT!$A:$A,$A19,O_CWP_FUT!G:G)</f>
        <v>0</v>
      </c>
      <c r="H19" s="800">
        <f>SUMIF(O_CWP_NOW!$A:$A,$A19,O_CWP_NOW!H:H)+SUMIF(O_CWP_FUT!$A:$A,$A19,O_CWP_FUT!H:H)</f>
        <v>0</v>
      </c>
      <c r="I19" s="800">
        <f>SUMIF(O_CWP_NOW!$A:$A,$A19,O_CWP_NOW!I:I)+SUMIF(O_CWP_FUT!$A:$A,$A19,O_CWP_FUT!I:I)</f>
        <v>0</v>
      </c>
      <c r="J19" s="800">
        <f>SUMIF(O_CWP_NOW!$A:$A,$A19,O_CWP_NOW!J:J)+SUMIF(O_CWP_FUT!$A:$A,$A19,O_CWP_FUT!J:J)</f>
        <v>0</v>
      </c>
      <c r="K19" s="800">
        <f>SUMIF(O_CWP_NOW!$A:$A,$A19,O_CWP_NOW!K:K)+SUMIF(O_CWP_FUT!$A:$A,$A19,O_CWP_FUT!K:K)</f>
        <v>0</v>
      </c>
      <c r="L19" s="800">
        <f>SUMIF(O_CWP_NOW!$A:$A,$A19,O_CWP_NOW!L:L)+SUMIF(O_CWP_FUT!$A:$A,$A19,O_CWP_FUT!L:L)</f>
        <v>0</v>
      </c>
      <c r="M19" s="800">
        <f>SUMIF(O_CWP_NOW!$A:$A,$A19,O_CWP_NOW!M:M)+SUMIF(O_CWP_FUT!$A:$A,$A19,O_CWP_FUT!M:M)</f>
        <v>0</v>
      </c>
      <c r="N19" s="800">
        <f>SUMIF(O_CWP_NOW!$A:$A,$A19,O_CWP_NOW!N:N)+SUMIF(O_CWP_FUT!$A:$A,$A19,O_CWP_FUT!N:N)</f>
        <v>0</v>
      </c>
      <c r="O19" s="800">
        <f t="shared" si="0"/>
        <v>0</v>
      </c>
      <c r="P19" s="40"/>
      <c r="R19" s="29"/>
      <c r="S19" s="29"/>
    </row>
    <row r="20" spans="1:19" ht="13" hidden="1">
      <c r="A20" s="22" t="s">
        <v>2644</v>
      </c>
      <c r="B20" s="31" t="s">
        <v>1220</v>
      </c>
      <c r="C20" s="31" t="str">
        <f>VLOOKUP($A20,FA_Codes!$D$2:$G$249,4,FALSE)</f>
        <v>South Greenfield</v>
      </c>
      <c r="D20" s="800">
        <f>SUMIF(O_CWP_NOW!$A:$A,$A20,O_CWP_NOW!D:D)+SUMIF(O_CWP_FUT!$A:$A,$A20,O_CWP_FUT!D:D)</f>
        <v>0</v>
      </c>
      <c r="E20" s="800">
        <f>SUMIF(O_CWP_NOW!$A:$A,$A20,O_CWP_NOW!E:E)+SUMIF(O_CWP_FUT!$A:$A,$A20,O_CWP_FUT!E:E)</f>
        <v>0</v>
      </c>
      <c r="F20" s="800">
        <f>SUMIF(O_CWP_NOW!$A:$A,$A20,O_CWP_NOW!F:F)+SUMIF(O_CWP_FUT!$A:$A,$A20,O_CWP_FUT!F:F)</f>
        <v>0</v>
      </c>
      <c r="G20" s="800">
        <f>SUMIF(O_CWP_NOW!$A:$A,$A20,O_CWP_NOW!G:G)+SUMIF(O_CWP_FUT!$A:$A,$A20,O_CWP_FUT!G:G)</f>
        <v>0</v>
      </c>
      <c r="H20" s="800">
        <f>SUMIF(O_CWP_NOW!$A:$A,$A20,O_CWP_NOW!H:H)+SUMIF(O_CWP_FUT!$A:$A,$A20,O_CWP_FUT!H:H)</f>
        <v>0</v>
      </c>
      <c r="I20" s="800">
        <f>SUMIF(O_CWP_NOW!$A:$A,$A20,O_CWP_NOW!I:I)+SUMIF(O_CWP_FUT!$A:$A,$A20,O_CWP_FUT!I:I)</f>
        <v>0</v>
      </c>
      <c r="J20" s="800">
        <f>SUMIF(O_CWP_NOW!$A:$A,$A20,O_CWP_NOW!J:J)+SUMIF(O_CWP_FUT!$A:$A,$A20,O_CWP_FUT!J:J)</f>
        <v>0</v>
      </c>
      <c r="K20" s="800">
        <f>SUMIF(O_CWP_NOW!$A:$A,$A20,O_CWP_NOW!K:K)+SUMIF(O_CWP_FUT!$A:$A,$A20,O_CWP_FUT!K:K)</f>
        <v>0</v>
      </c>
      <c r="L20" s="800">
        <f>SUMIF(O_CWP_NOW!$A:$A,$A20,O_CWP_NOW!L:L)+SUMIF(O_CWP_FUT!$A:$A,$A20,O_CWP_FUT!L:L)</f>
        <v>0</v>
      </c>
      <c r="M20" s="800">
        <f>SUMIF(O_CWP_NOW!$A:$A,$A20,O_CWP_NOW!M:M)+SUMIF(O_CWP_FUT!$A:$A,$A20,O_CWP_FUT!M:M)</f>
        <v>0</v>
      </c>
      <c r="N20" s="800">
        <f>SUMIF(O_CWP_NOW!$A:$A,$A20,O_CWP_NOW!N:N)+SUMIF(O_CWP_FUT!$A:$A,$A20,O_CWP_FUT!N:N)</f>
        <v>0</v>
      </c>
      <c r="O20" s="800">
        <f t="shared" si="0"/>
        <v>0</v>
      </c>
      <c r="P20" s="40"/>
      <c r="R20" s="29"/>
      <c r="S20" s="29"/>
    </row>
    <row r="21" spans="1:19" ht="13" hidden="1">
      <c r="A21" s="22" t="s">
        <v>2646</v>
      </c>
      <c r="B21" s="31" t="s">
        <v>1220</v>
      </c>
      <c r="C21" s="31" t="str">
        <f>VLOOKUP($A21,FA_Codes!$D$2:$G$249,4,FALSE)</f>
        <v>Flatbush</v>
      </c>
      <c r="D21" s="800">
        <f>SUMIF(O_CWP_NOW!$A:$A,$A21,O_CWP_NOW!D:D)+SUMIF(O_CWP_FUT!$A:$A,$A21,O_CWP_FUT!D:D)</f>
        <v>0</v>
      </c>
      <c r="E21" s="800">
        <f>SUMIF(O_CWP_NOW!$A:$A,$A21,O_CWP_NOW!E:E)+SUMIF(O_CWP_FUT!$A:$A,$A21,O_CWP_FUT!E:E)</f>
        <v>0</v>
      </c>
      <c r="F21" s="800">
        <f>SUMIF(O_CWP_NOW!$A:$A,$A21,O_CWP_NOW!F:F)+SUMIF(O_CWP_FUT!$A:$A,$A21,O_CWP_FUT!F:F)</f>
        <v>0</v>
      </c>
      <c r="G21" s="800">
        <f>SUMIF(O_CWP_NOW!$A:$A,$A21,O_CWP_NOW!G:G)+SUMIF(O_CWP_FUT!$A:$A,$A21,O_CWP_FUT!G:G)</f>
        <v>0</v>
      </c>
      <c r="H21" s="800">
        <f>SUMIF(O_CWP_NOW!$A:$A,$A21,O_CWP_NOW!H:H)+SUMIF(O_CWP_FUT!$A:$A,$A21,O_CWP_FUT!H:H)</f>
        <v>0</v>
      </c>
      <c r="I21" s="800">
        <f>SUMIF(O_CWP_NOW!$A:$A,$A21,O_CWP_NOW!I:I)+SUMIF(O_CWP_FUT!$A:$A,$A21,O_CWP_FUT!I:I)</f>
        <v>0</v>
      </c>
      <c r="J21" s="800">
        <f>SUMIF(O_CWP_NOW!$A:$A,$A21,O_CWP_NOW!J:J)+SUMIF(O_CWP_FUT!$A:$A,$A21,O_CWP_FUT!J:J)</f>
        <v>0</v>
      </c>
      <c r="K21" s="800">
        <f>SUMIF(O_CWP_NOW!$A:$A,$A21,O_CWP_NOW!K:K)+SUMIF(O_CWP_FUT!$A:$A,$A21,O_CWP_FUT!K:K)</f>
        <v>0</v>
      </c>
      <c r="L21" s="800">
        <f>SUMIF(O_CWP_NOW!$A:$A,$A21,O_CWP_NOW!L:L)+SUMIF(O_CWP_FUT!$A:$A,$A21,O_CWP_FUT!L:L)</f>
        <v>0</v>
      </c>
      <c r="M21" s="800">
        <f>SUMIF(O_CWP_NOW!$A:$A,$A21,O_CWP_NOW!M:M)+SUMIF(O_CWP_FUT!$A:$A,$A21,O_CWP_FUT!M:M)</f>
        <v>0</v>
      </c>
      <c r="N21" s="800">
        <f>SUMIF(O_CWP_NOW!$A:$A,$A21,O_CWP_NOW!N:N)+SUMIF(O_CWP_FUT!$A:$A,$A21,O_CWP_FUT!N:N)</f>
        <v>0</v>
      </c>
      <c r="O21" s="800">
        <f t="shared" si="0"/>
        <v>0</v>
      </c>
      <c r="P21" s="40"/>
      <c r="R21" s="29"/>
      <c r="S21" s="29"/>
    </row>
    <row r="22" spans="1:19" ht="13" hidden="1">
      <c r="A22" s="22" t="s">
        <v>2648</v>
      </c>
      <c r="B22" s="31" t="s">
        <v>1220</v>
      </c>
      <c r="C22" s="31" t="str">
        <f>VLOOKUP($A22,FA_Codes!$D$2:$G$249,4,FALSE)</f>
        <v>Takanini</v>
      </c>
      <c r="D22" s="800">
        <f>SUMIF(O_CWP_NOW!$A:$A,$A22,O_CWP_NOW!D:D)+SUMIF(O_CWP_FUT!$A:$A,$A22,O_CWP_FUT!D:D)</f>
        <v>0</v>
      </c>
      <c r="E22" s="800">
        <f>SUMIF(O_CWP_NOW!$A:$A,$A22,O_CWP_NOW!E:E)+SUMIF(O_CWP_FUT!$A:$A,$A22,O_CWP_FUT!E:E)</f>
        <v>0</v>
      </c>
      <c r="F22" s="800">
        <f>SUMIF(O_CWP_NOW!$A:$A,$A22,O_CWP_NOW!F:F)+SUMIF(O_CWP_FUT!$A:$A,$A22,O_CWP_FUT!F:F)</f>
        <v>0</v>
      </c>
      <c r="G22" s="800">
        <f>SUMIF(O_CWP_NOW!$A:$A,$A22,O_CWP_NOW!G:G)+SUMIF(O_CWP_FUT!$A:$A,$A22,O_CWP_FUT!G:G)</f>
        <v>0</v>
      </c>
      <c r="H22" s="800">
        <f>SUMIF(O_CWP_NOW!$A:$A,$A22,O_CWP_NOW!H:H)+SUMIF(O_CWP_FUT!$A:$A,$A22,O_CWP_FUT!H:H)</f>
        <v>0</v>
      </c>
      <c r="I22" s="800">
        <f>SUMIF(O_CWP_NOW!$A:$A,$A22,O_CWP_NOW!I:I)+SUMIF(O_CWP_FUT!$A:$A,$A22,O_CWP_FUT!I:I)</f>
        <v>0</v>
      </c>
      <c r="J22" s="800">
        <f>SUMIF(O_CWP_NOW!$A:$A,$A22,O_CWP_NOW!J:J)+SUMIF(O_CWP_FUT!$A:$A,$A22,O_CWP_FUT!J:J)</f>
        <v>0</v>
      </c>
      <c r="K22" s="800">
        <f>SUMIF(O_CWP_NOW!$A:$A,$A22,O_CWP_NOW!K:K)+SUMIF(O_CWP_FUT!$A:$A,$A22,O_CWP_FUT!K:K)</f>
        <v>0</v>
      </c>
      <c r="L22" s="800">
        <f>SUMIF(O_CWP_NOW!$A:$A,$A22,O_CWP_NOW!L:L)+SUMIF(O_CWP_FUT!$A:$A,$A22,O_CWP_FUT!L:L)</f>
        <v>0</v>
      </c>
      <c r="M22" s="800">
        <f>SUMIF(O_CWP_NOW!$A:$A,$A22,O_CWP_NOW!M:M)+SUMIF(O_CWP_FUT!$A:$A,$A22,O_CWP_FUT!M:M)</f>
        <v>0</v>
      </c>
      <c r="N22" s="800">
        <f>SUMIF(O_CWP_NOW!$A:$A,$A22,O_CWP_NOW!N:N)+SUMIF(O_CWP_FUT!$A:$A,$A22,O_CWP_FUT!N:N)</f>
        <v>0</v>
      </c>
      <c r="O22" s="800">
        <f t="shared" si="0"/>
        <v>0</v>
      </c>
      <c r="P22" s="40"/>
      <c r="R22" s="29"/>
      <c r="S22" s="29"/>
    </row>
    <row r="23" spans="1:19" ht="13" hidden="1">
      <c r="A23" s="22" t="s">
        <v>2652</v>
      </c>
      <c r="B23" s="31" t="s">
        <v>1220</v>
      </c>
      <c r="C23" s="31" t="str">
        <f>VLOOKUP($A23,FA_Codes!$D$2:$G$249,4,FALSE)</f>
        <v>Hingaia</v>
      </c>
      <c r="D23" s="800">
        <f>SUMIF(O_CWP_NOW!$A:$A,$A23,O_CWP_NOW!D:D)+SUMIF(O_CWP_FUT!$A:$A,$A23,O_CWP_FUT!D:D)</f>
        <v>0</v>
      </c>
      <c r="E23" s="800">
        <f>SUMIF(O_CWP_NOW!$A:$A,$A23,O_CWP_NOW!E:E)+SUMIF(O_CWP_FUT!$A:$A,$A23,O_CWP_FUT!E:E)</f>
        <v>0</v>
      </c>
      <c r="F23" s="800">
        <f>SUMIF(O_CWP_NOW!$A:$A,$A23,O_CWP_NOW!F:F)+SUMIF(O_CWP_FUT!$A:$A,$A23,O_CWP_FUT!F:F)</f>
        <v>0</v>
      </c>
      <c r="G23" s="800">
        <f>SUMIF(O_CWP_NOW!$A:$A,$A23,O_CWP_NOW!G:G)+SUMIF(O_CWP_FUT!$A:$A,$A23,O_CWP_FUT!G:G)</f>
        <v>0</v>
      </c>
      <c r="H23" s="800">
        <f>SUMIF(O_CWP_NOW!$A:$A,$A23,O_CWP_NOW!H:H)+SUMIF(O_CWP_FUT!$A:$A,$A23,O_CWP_FUT!H:H)</f>
        <v>0</v>
      </c>
      <c r="I23" s="800">
        <f>SUMIF(O_CWP_NOW!$A:$A,$A23,O_CWP_NOW!I:I)+SUMIF(O_CWP_FUT!$A:$A,$A23,O_CWP_FUT!I:I)</f>
        <v>0</v>
      </c>
      <c r="J23" s="800">
        <f>SUMIF(O_CWP_NOW!$A:$A,$A23,O_CWP_NOW!J:J)+SUMIF(O_CWP_FUT!$A:$A,$A23,O_CWP_FUT!J:J)</f>
        <v>0</v>
      </c>
      <c r="K23" s="800">
        <f>SUMIF(O_CWP_NOW!$A:$A,$A23,O_CWP_NOW!K:K)+SUMIF(O_CWP_FUT!$A:$A,$A23,O_CWP_FUT!K:K)</f>
        <v>0</v>
      </c>
      <c r="L23" s="800">
        <f>SUMIF(O_CWP_NOW!$A:$A,$A23,O_CWP_NOW!L:L)+SUMIF(O_CWP_FUT!$A:$A,$A23,O_CWP_FUT!L:L)</f>
        <v>0</v>
      </c>
      <c r="M23" s="800">
        <f>SUMIF(O_CWP_NOW!$A:$A,$A23,O_CWP_NOW!M:M)+SUMIF(O_CWP_FUT!$A:$A,$A23,O_CWP_FUT!M:M)</f>
        <v>0</v>
      </c>
      <c r="N23" s="800">
        <f>SUMIF(O_CWP_NOW!$A:$A,$A23,O_CWP_NOW!N:N)+SUMIF(O_CWP_FUT!$A:$A,$A23,O_CWP_FUT!N:N)</f>
        <v>0</v>
      </c>
      <c r="O23" s="800">
        <f t="shared" si="0"/>
        <v>0</v>
      </c>
      <c r="P23" s="40"/>
      <c r="R23" s="29"/>
      <c r="S23" s="29"/>
    </row>
    <row r="24" spans="1:19" ht="13" hidden="1">
      <c r="A24" s="22" t="s">
        <v>2654</v>
      </c>
      <c r="B24" s="31" t="s">
        <v>1220</v>
      </c>
      <c r="C24" s="31" t="str">
        <f>VLOOKUP($A24,FA_Codes!$D$2:$G$249,4,FALSE)</f>
        <v>Paerata / Pukekohe</v>
      </c>
      <c r="D24" s="800">
        <f>SUMIF(O_CWP_NOW!$A:$A,$A24,O_CWP_NOW!D:D)+SUMIF(O_CWP_FUT!$A:$A,$A24,O_CWP_FUT!D:D)</f>
        <v>0</v>
      </c>
      <c r="E24" s="800">
        <f>SUMIF(O_CWP_NOW!$A:$A,$A24,O_CWP_NOW!E:E)+SUMIF(O_CWP_FUT!$A:$A,$A24,O_CWP_FUT!E:E)</f>
        <v>0</v>
      </c>
      <c r="F24" s="800">
        <f>SUMIF(O_CWP_NOW!$A:$A,$A24,O_CWP_NOW!F:F)+SUMIF(O_CWP_FUT!$A:$A,$A24,O_CWP_FUT!F:F)</f>
        <v>0</v>
      </c>
      <c r="G24" s="800">
        <f>SUMIF(O_CWP_NOW!$A:$A,$A24,O_CWP_NOW!G:G)+SUMIF(O_CWP_FUT!$A:$A,$A24,O_CWP_FUT!G:G)</f>
        <v>0</v>
      </c>
      <c r="H24" s="800">
        <f>SUMIF(O_CWP_NOW!$A:$A,$A24,O_CWP_NOW!H:H)+SUMIF(O_CWP_FUT!$A:$A,$A24,O_CWP_FUT!H:H)</f>
        <v>0</v>
      </c>
      <c r="I24" s="800">
        <f>SUMIF(O_CWP_NOW!$A:$A,$A24,O_CWP_NOW!I:I)+SUMIF(O_CWP_FUT!$A:$A,$A24,O_CWP_FUT!I:I)</f>
        <v>0</v>
      </c>
      <c r="J24" s="800">
        <f>SUMIF(O_CWP_NOW!$A:$A,$A24,O_CWP_NOW!J:J)+SUMIF(O_CWP_FUT!$A:$A,$A24,O_CWP_FUT!J:J)</f>
        <v>0</v>
      </c>
      <c r="K24" s="800">
        <f>SUMIF(O_CWP_NOW!$A:$A,$A24,O_CWP_NOW!K:K)+SUMIF(O_CWP_FUT!$A:$A,$A24,O_CWP_FUT!K:K)</f>
        <v>0</v>
      </c>
      <c r="L24" s="800">
        <f>SUMIF(O_CWP_NOW!$A:$A,$A24,O_CWP_NOW!L:L)+SUMIF(O_CWP_FUT!$A:$A,$A24,O_CWP_FUT!L:L)</f>
        <v>0</v>
      </c>
      <c r="M24" s="800">
        <f>SUMIF(O_CWP_NOW!$A:$A,$A24,O_CWP_NOW!M:M)+SUMIF(O_CWP_FUT!$A:$A,$A24,O_CWP_FUT!M:M)</f>
        <v>0</v>
      </c>
      <c r="N24" s="800">
        <f>SUMIF(O_CWP_NOW!$A:$A,$A24,O_CWP_NOW!N:N)+SUMIF(O_CWP_FUT!$A:$A,$A24,O_CWP_FUT!N:N)</f>
        <v>0</v>
      </c>
      <c r="O24" s="800">
        <f t="shared" si="0"/>
        <v>0</v>
      </c>
      <c r="P24" s="40"/>
      <c r="R24" s="29"/>
      <c r="S24" s="29"/>
    </row>
    <row r="25" spans="1:19" ht="13" hidden="1">
      <c r="A25" s="22" t="s">
        <v>2656</v>
      </c>
      <c r="B25" s="31" t="s">
        <v>1220</v>
      </c>
      <c r="C25" s="31" t="str">
        <f>VLOOKUP($A25,FA_Codes!$D$2:$G$249,4,FALSE)</f>
        <v>Hibiscus</v>
      </c>
      <c r="D25" s="800">
        <f>SUMIF(O_CWP_NOW!$A:$A,$A25,O_CWP_NOW!D:D)+SUMIF(O_CWP_FUT!$A:$A,$A25,O_CWP_FUT!D:D)</f>
        <v>0</v>
      </c>
      <c r="E25" s="800">
        <f>SUMIF(O_CWP_NOW!$A:$A,$A25,O_CWP_NOW!E:E)+SUMIF(O_CWP_FUT!$A:$A,$A25,O_CWP_FUT!E:E)</f>
        <v>0</v>
      </c>
      <c r="F25" s="800">
        <f>SUMIF(O_CWP_NOW!$A:$A,$A25,O_CWP_NOW!F:F)+SUMIF(O_CWP_FUT!$A:$A,$A25,O_CWP_FUT!F:F)</f>
        <v>0</v>
      </c>
      <c r="G25" s="800">
        <f>SUMIF(O_CWP_NOW!$A:$A,$A25,O_CWP_NOW!G:G)+SUMIF(O_CWP_FUT!$A:$A,$A25,O_CWP_FUT!G:G)</f>
        <v>0</v>
      </c>
      <c r="H25" s="800">
        <f>SUMIF(O_CWP_NOW!$A:$A,$A25,O_CWP_NOW!H:H)+SUMIF(O_CWP_FUT!$A:$A,$A25,O_CWP_FUT!H:H)</f>
        <v>0</v>
      </c>
      <c r="I25" s="800">
        <f>SUMIF(O_CWP_NOW!$A:$A,$A25,O_CWP_NOW!I:I)+SUMIF(O_CWP_FUT!$A:$A,$A25,O_CWP_FUT!I:I)</f>
        <v>0</v>
      </c>
      <c r="J25" s="800">
        <f>SUMIF(O_CWP_NOW!$A:$A,$A25,O_CWP_NOW!J:J)+SUMIF(O_CWP_FUT!$A:$A,$A25,O_CWP_FUT!J:J)</f>
        <v>0</v>
      </c>
      <c r="K25" s="800">
        <f>SUMIF(O_CWP_NOW!$A:$A,$A25,O_CWP_NOW!K:K)+SUMIF(O_CWP_FUT!$A:$A,$A25,O_CWP_FUT!K:K)</f>
        <v>0</v>
      </c>
      <c r="L25" s="800">
        <f>SUMIF(O_CWP_NOW!$A:$A,$A25,O_CWP_NOW!L:L)+SUMIF(O_CWP_FUT!$A:$A,$A25,O_CWP_FUT!L:L)</f>
        <v>0</v>
      </c>
      <c r="M25" s="800">
        <f>SUMIF(O_CWP_NOW!$A:$A,$A25,O_CWP_NOW!M:M)+SUMIF(O_CWP_FUT!$A:$A,$A25,O_CWP_FUT!M:M)</f>
        <v>0</v>
      </c>
      <c r="N25" s="800">
        <f>SUMIF(O_CWP_NOW!$A:$A,$A25,O_CWP_NOW!N:N)+SUMIF(O_CWP_FUT!$A:$A,$A25,O_CWP_FUT!N:N)</f>
        <v>0</v>
      </c>
      <c r="O25" s="800">
        <f t="shared" si="0"/>
        <v>0</v>
      </c>
      <c r="P25" s="40"/>
      <c r="R25" s="29"/>
      <c r="S25" s="29"/>
    </row>
    <row r="26" spans="1:19" ht="13" hidden="1">
      <c r="A26" s="22" t="s">
        <v>2658</v>
      </c>
      <c r="B26" s="31" t="s">
        <v>1220</v>
      </c>
      <c r="C26" s="31" t="str">
        <f>VLOOKUP($A26,FA_Codes!$D$2:$G$249,4,FALSE)</f>
        <v>North Shore</v>
      </c>
      <c r="D26" s="800">
        <f>SUMIF(O_CWP_NOW!$A:$A,$A26,O_CWP_NOW!D:D)+SUMIF(O_CWP_FUT!$A:$A,$A26,O_CWP_FUT!D:D)</f>
        <v>0</v>
      </c>
      <c r="E26" s="800">
        <f>SUMIF(O_CWP_NOW!$A:$A,$A26,O_CWP_NOW!E:E)+SUMIF(O_CWP_FUT!$A:$A,$A26,O_CWP_FUT!E:E)</f>
        <v>0</v>
      </c>
      <c r="F26" s="800">
        <f>SUMIF(O_CWP_NOW!$A:$A,$A26,O_CWP_NOW!F:F)+SUMIF(O_CWP_FUT!$A:$A,$A26,O_CWP_FUT!F:F)</f>
        <v>0</v>
      </c>
      <c r="G26" s="800">
        <f>SUMIF(O_CWP_NOW!$A:$A,$A26,O_CWP_NOW!G:G)+SUMIF(O_CWP_FUT!$A:$A,$A26,O_CWP_FUT!G:G)</f>
        <v>0</v>
      </c>
      <c r="H26" s="800">
        <f>SUMIF(O_CWP_NOW!$A:$A,$A26,O_CWP_NOW!H:H)+SUMIF(O_CWP_FUT!$A:$A,$A26,O_CWP_FUT!H:H)</f>
        <v>0</v>
      </c>
      <c r="I26" s="800">
        <f>SUMIF(O_CWP_NOW!$A:$A,$A26,O_CWP_NOW!I:I)+SUMIF(O_CWP_FUT!$A:$A,$A26,O_CWP_FUT!I:I)</f>
        <v>0</v>
      </c>
      <c r="J26" s="800">
        <f>SUMIF(O_CWP_NOW!$A:$A,$A26,O_CWP_NOW!J:J)+SUMIF(O_CWP_FUT!$A:$A,$A26,O_CWP_FUT!J:J)</f>
        <v>0</v>
      </c>
      <c r="K26" s="800">
        <f>SUMIF(O_CWP_NOW!$A:$A,$A26,O_CWP_NOW!K:K)+SUMIF(O_CWP_FUT!$A:$A,$A26,O_CWP_FUT!K:K)</f>
        <v>0</v>
      </c>
      <c r="L26" s="800">
        <f>SUMIF(O_CWP_NOW!$A:$A,$A26,O_CWP_NOW!L:L)+SUMIF(O_CWP_FUT!$A:$A,$A26,O_CWP_FUT!L:L)</f>
        <v>0</v>
      </c>
      <c r="M26" s="800">
        <f>SUMIF(O_CWP_NOW!$A:$A,$A26,O_CWP_NOW!M:M)+SUMIF(O_CWP_FUT!$A:$A,$A26,O_CWP_FUT!M:M)</f>
        <v>0</v>
      </c>
      <c r="N26" s="800">
        <f>SUMIF(O_CWP_NOW!$A:$A,$A26,O_CWP_NOW!N:N)+SUMIF(O_CWP_FUT!$A:$A,$A26,O_CWP_FUT!N:N)</f>
        <v>0</v>
      </c>
      <c r="O26" s="800">
        <f t="shared" si="0"/>
        <v>0</v>
      </c>
      <c r="P26" s="40"/>
      <c r="R26" s="29"/>
      <c r="S26" s="29"/>
    </row>
    <row r="27" spans="1:19" ht="13" hidden="1">
      <c r="A27" s="22" t="s">
        <v>2660</v>
      </c>
      <c r="B27" s="31" t="s">
        <v>1220</v>
      </c>
      <c r="C27" s="31" t="str">
        <f>VLOOKUP($A27,FA_Codes!$D$2:$G$249,4,FALSE)</f>
        <v>West</v>
      </c>
      <c r="D27" s="800">
        <f>SUMIF(O_CWP_NOW!$A:$A,$A27,O_CWP_NOW!D:D)+SUMIF(O_CWP_FUT!$A:$A,$A27,O_CWP_FUT!D:D)</f>
        <v>0</v>
      </c>
      <c r="E27" s="800">
        <f>SUMIF(O_CWP_NOW!$A:$A,$A27,O_CWP_NOW!E:E)+SUMIF(O_CWP_FUT!$A:$A,$A27,O_CWP_FUT!E:E)</f>
        <v>0</v>
      </c>
      <c r="F27" s="800">
        <f>SUMIF(O_CWP_NOW!$A:$A,$A27,O_CWP_NOW!F:F)+SUMIF(O_CWP_FUT!$A:$A,$A27,O_CWP_FUT!F:F)</f>
        <v>0</v>
      </c>
      <c r="G27" s="800">
        <f>SUMIF(O_CWP_NOW!$A:$A,$A27,O_CWP_NOW!G:G)+SUMIF(O_CWP_FUT!$A:$A,$A27,O_CWP_FUT!G:G)</f>
        <v>0</v>
      </c>
      <c r="H27" s="800">
        <f>SUMIF(O_CWP_NOW!$A:$A,$A27,O_CWP_NOW!H:H)+SUMIF(O_CWP_FUT!$A:$A,$A27,O_CWP_FUT!H:H)</f>
        <v>0</v>
      </c>
      <c r="I27" s="800">
        <f>SUMIF(O_CWP_NOW!$A:$A,$A27,O_CWP_NOW!I:I)+SUMIF(O_CWP_FUT!$A:$A,$A27,O_CWP_FUT!I:I)</f>
        <v>0</v>
      </c>
      <c r="J27" s="800">
        <f>SUMIF(O_CWP_NOW!$A:$A,$A27,O_CWP_NOW!J:J)+SUMIF(O_CWP_FUT!$A:$A,$A27,O_CWP_FUT!J:J)</f>
        <v>0</v>
      </c>
      <c r="K27" s="800">
        <f>SUMIF(O_CWP_NOW!$A:$A,$A27,O_CWP_NOW!K:K)+SUMIF(O_CWP_FUT!$A:$A,$A27,O_CWP_FUT!K:K)</f>
        <v>0</v>
      </c>
      <c r="L27" s="800">
        <f>SUMIF(O_CWP_NOW!$A:$A,$A27,O_CWP_NOW!L:L)+SUMIF(O_CWP_FUT!$A:$A,$A27,O_CWP_FUT!L:L)</f>
        <v>0</v>
      </c>
      <c r="M27" s="800">
        <f>SUMIF(O_CWP_NOW!$A:$A,$A27,O_CWP_NOW!M:M)+SUMIF(O_CWP_FUT!$A:$A,$A27,O_CWP_FUT!M:M)</f>
        <v>0</v>
      </c>
      <c r="N27" s="800">
        <f>SUMIF(O_CWP_NOW!$A:$A,$A27,O_CWP_NOW!N:N)+SUMIF(O_CWP_FUT!$A:$A,$A27,O_CWP_FUT!N:N)</f>
        <v>0</v>
      </c>
      <c r="O27" s="800">
        <f t="shared" si="0"/>
        <v>0</v>
      </c>
      <c r="P27" s="40"/>
      <c r="R27" s="29"/>
      <c r="S27" s="29"/>
    </row>
    <row r="28" spans="1:19" ht="13" hidden="1">
      <c r="A28" s="22" t="s">
        <v>2662</v>
      </c>
      <c r="B28" s="31" t="s">
        <v>1220</v>
      </c>
      <c r="C28" s="31" t="str">
        <f>VLOOKUP($A28,FA_Codes!$D$2:$G$249,4,FALSE)</f>
        <v>Central</v>
      </c>
      <c r="D28" s="800">
        <f>SUMIF(O_CWP_NOW!$A:$A,$A28,O_CWP_NOW!D:D)+SUMIF(O_CWP_FUT!$A:$A,$A28,O_CWP_FUT!D:D)</f>
        <v>0</v>
      </c>
      <c r="E28" s="800">
        <f>SUMIF(O_CWP_NOW!$A:$A,$A28,O_CWP_NOW!E:E)+SUMIF(O_CWP_FUT!$A:$A,$A28,O_CWP_FUT!E:E)</f>
        <v>0</v>
      </c>
      <c r="F28" s="800">
        <f>SUMIF(O_CWP_NOW!$A:$A,$A28,O_CWP_NOW!F:F)+SUMIF(O_CWP_FUT!$A:$A,$A28,O_CWP_FUT!F:F)</f>
        <v>0</v>
      </c>
      <c r="G28" s="800">
        <f>SUMIF(O_CWP_NOW!$A:$A,$A28,O_CWP_NOW!G:G)+SUMIF(O_CWP_FUT!$A:$A,$A28,O_CWP_FUT!G:G)</f>
        <v>0</v>
      </c>
      <c r="H28" s="800">
        <f>SUMIF(O_CWP_NOW!$A:$A,$A28,O_CWP_NOW!H:H)+SUMIF(O_CWP_FUT!$A:$A,$A28,O_CWP_FUT!H:H)</f>
        <v>0</v>
      </c>
      <c r="I28" s="800">
        <f>SUMIF(O_CWP_NOW!$A:$A,$A28,O_CWP_NOW!I:I)+SUMIF(O_CWP_FUT!$A:$A,$A28,O_CWP_FUT!I:I)</f>
        <v>0</v>
      </c>
      <c r="J28" s="800">
        <f>SUMIF(O_CWP_NOW!$A:$A,$A28,O_CWP_NOW!J:J)+SUMIF(O_CWP_FUT!$A:$A,$A28,O_CWP_FUT!J:J)</f>
        <v>0</v>
      </c>
      <c r="K28" s="800">
        <f>SUMIF(O_CWP_NOW!$A:$A,$A28,O_CWP_NOW!K:K)+SUMIF(O_CWP_FUT!$A:$A,$A28,O_CWP_FUT!K:K)</f>
        <v>0</v>
      </c>
      <c r="L28" s="800">
        <f>SUMIF(O_CWP_NOW!$A:$A,$A28,O_CWP_NOW!L:L)+SUMIF(O_CWP_FUT!$A:$A,$A28,O_CWP_FUT!L:L)</f>
        <v>0</v>
      </c>
      <c r="M28" s="800">
        <f>SUMIF(O_CWP_NOW!$A:$A,$A28,O_CWP_NOW!M:M)+SUMIF(O_CWP_FUT!$A:$A,$A28,O_CWP_FUT!M:M)</f>
        <v>0</v>
      </c>
      <c r="N28" s="800">
        <f>SUMIF(O_CWP_NOW!$A:$A,$A28,O_CWP_NOW!N:N)+SUMIF(O_CWP_FUT!$A:$A,$A28,O_CWP_FUT!N:N)</f>
        <v>0</v>
      </c>
      <c r="O28" s="800">
        <f t="shared" si="0"/>
        <v>0</v>
      </c>
      <c r="P28" s="40"/>
      <c r="R28" s="29"/>
      <c r="S28" s="29"/>
    </row>
    <row r="29" spans="1:19" ht="13" hidden="1">
      <c r="A29" s="22" t="s">
        <v>2664</v>
      </c>
      <c r="B29" s="31" t="s">
        <v>1220</v>
      </c>
      <c r="C29" s="31" t="str">
        <f>VLOOKUP($A29,FA_Codes!$D$2:$G$249,4,FALSE)</f>
        <v>South (West)</v>
      </c>
      <c r="D29" s="800">
        <f>SUMIF(O_CWP_NOW!$A:$A,$A29,O_CWP_NOW!D:D)+SUMIF(O_CWP_FUT!$A:$A,$A29,O_CWP_FUT!D:D)</f>
        <v>0</v>
      </c>
      <c r="E29" s="800">
        <f>SUMIF(O_CWP_NOW!$A:$A,$A29,O_CWP_NOW!E:E)+SUMIF(O_CWP_FUT!$A:$A,$A29,O_CWP_FUT!E:E)</f>
        <v>0</v>
      </c>
      <c r="F29" s="800">
        <f>SUMIF(O_CWP_NOW!$A:$A,$A29,O_CWP_NOW!F:F)+SUMIF(O_CWP_FUT!$A:$A,$A29,O_CWP_FUT!F:F)</f>
        <v>0</v>
      </c>
      <c r="G29" s="800">
        <f>SUMIF(O_CWP_NOW!$A:$A,$A29,O_CWP_NOW!G:G)+SUMIF(O_CWP_FUT!$A:$A,$A29,O_CWP_FUT!G:G)</f>
        <v>0</v>
      </c>
      <c r="H29" s="800">
        <f>SUMIF(O_CWP_NOW!$A:$A,$A29,O_CWP_NOW!H:H)+SUMIF(O_CWP_FUT!$A:$A,$A29,O_CWP_FUT!H:H)</f>
        <v>0</v>
      </c>
      <c r="I29" s="800">
        <f>SUMIF(O_CWP_NOW!$A:$A,$A29,O_CWP_NOW!I:I)+SUMIF(O_CWP_FUT!$A:$A,$A29,O_CWP_FUT!I:I)</f>
        <v>0</v>
      </c>
      <c r="J29" s="800">
        <f>SUMIF(O_CWP_NOW!$A:$A,$A29,O_CWP_NOW!J:J)+SUMIF(O_CWP_FUT!$A:$A,$A29,O_CWP_FUT!J:J)</f>
        <v>0</v>
      </c>
      <c r="K29" s="800">
        <f>SUMIF(O_CWP_NOW!$A:$A,$A29,O_CWP_NOW!K:K)+SUMIF(O_CWP_FUT!$A:$A,$A29,O_CWP_FUT!K:K)</f>
        <v>0</v>
      </c>
      <c r="L29" s="800">
        <f>SUMIF(O_CWP_NOW!$A:$A,$A29,O_CWP_NOW!L:L)+SUMIF(O_CWP_FUT!$A:$A,$A29,O_CWP_FUT!L:L)</f>
        <v>0</v>
      </c>
      <c r="M29" s="800">
        <f>SUMIF(O_CWP_NOW!$A:$A,$A29,O_CWP_NOW!M:M)+SUMIF(O_CWP_FUT!$A:$A,$A29,O_CWP_FUT!M:M)</f>
        <v>0</v>
      </c>
      <c r="N29" s="800">
        <f>SUMIF(O_CWP_NOW!$A:$A,$A29,O_CWP_NOW!N:N)+SUMIF(O_CWP_FUT!$A:$A,$A29,O_CWP_FUT!N:N)</f>
        <v>0</v>
      </c>
      <c r="O29" s="800">
        <f t="shared" ref="O29:O36" si="1">SUM(D29:N29)</f>
        <v>0</v>
      </c>
      <c r="P29" s="40"/>
      <c r="R29" s="29"/>
      <c r="S29" s="29"/>
    </row>
    <row r="30" spans="1:19" ht="13" hidden="1">
      <c r="A30" s="22" t="s">
        <v>2666</v>
      </c>
      <c r="B30" s="31" t="s">
        <v>1220</v>
      </c>
      <c r="C30" s="31" t="str">
        <f>VLOOKUP($A30,FA_Codes!$D$2:$G$249,4,FALSE)</f>
        <v>South (East)</v>
      </c>
      <c r="D30" s="800">
        <f>SUMIF(O_CWP_NOW!$A:$A,$A30,O_CWP_NOW!D:D)+SUMIF(O_CWP_FUT!$A:$A,$A30,O_CWP_FUT!D:D)</f>
        <v>0</v>
      </c>
      <c r="E30" s="800">
        <f>SUMIF(O_CWP_NOW!$A:$A,$A30,O_CWP_NOW!E:E)+SUMIF(O_CWP_FUT!$A:$A,$A30,O_CWP_FUT!E:E)</f>
        <v>0</v>
      </c>
      <c r="F30" s="800">
        <f>SUMIF(O_CWP_NOW!$A:$A,$A30,O_CWP_NOW!F:F)+SUMIF(O_CWP_FUT!$A:$A,$A30,O_CWP_FUT!F:F)</f>
        <v>0</v>
      </c>
      <c r="G30" s="800">
        <f>SUMIF(O_CWP_NOW!$A:$A,$A30,O_CWP_NOW!G:G)+SUMIF(O_CWP_FUT!$A:$A,$A30,O_CWP_FUT!G:G)</f>
        <v>0</v>
      </c>
      <c r="H30" s="800">
        <f>SUMIF(O_CWP_NOW!$A:$A,$A30,O_CWP_NOW!H:H)+SUMIF(O_CWP_FUT!$A:$A,$A30,O_CWP_FUT!H:H)</f>
        <v>0</v>
      </c>
      <c r="I30" s="800">
        <f>SUMIF(O_CWP_NOW!$A:$A,$A30,O_CWP_NOW!I:I)+SUMIF(O_CWP_FUT!$A:$A,$A30,O_CWP_FUT!I:I)</f>
        <v>0</v>
      </c>
      <c r="J30" s="800">
        <f>SUMIF(O_CWP_NOW!$A:$A,$A30,O_CWP_NOW!J:J)+SUMIF(O_CWP_FUT!$A:$A,$A30,O_CWP_FUT!J:J)</f>
        <v>0</v>
      </c>
      <c r="K30" s="800">
        <f>SUMIF(O_CWP_NOW!$A:$A,$A30,O_CWP_NOW!K:K)+SUMIF(O_CWP_FUT!$A:$A,$A30,O_CWP_FUT!K:K)</f>
        <v>0</v>
      </c>
      <c r="L30" s="800">
        <f>SUMIF(O_CWP_NOW!$A:$A,$A30,O_CWP_NOW!L:L)+SUMIF(O_CWP_FUT!$A:$A,$A30,O_CWP_FUT!L:L)</f>
        <v>0</v>
      </c>
      <c r="M30" s="800">
        <f>SUMIF(O_CWP_NOW!$A:$A,$A30,O_CWP_NOW!M:M)+SUMIF(O_CWP_FUT!$A:$A,$A30,O_CWP_FUT!M:M)</f>
        <v>0</v>
      </c>
      <c r="N30" s="800">
        <f>SUMIF(O_CWP_NOW!$A:$A,$A30,O_CWP_NOW!N:N)+SUMIF(O_CWP_FUT!$A:$A,$A30,O_CWP_FUT!N:N)</f>
        <v>0</v>
      </c>
      <c r="O30" s="800">
        <f t="shared" si="1"/>
        <v>0</v>
      </c>
      <c r="P30" s="40"/>
      <c r="R30" s="29"/>
      <c r="S30" s="29"/>
    </row>
    <row r="31" spans="1:19" ht="13" hidden="1">
      <c r="A31" s="22" t="s">
        <v>2668</v>
      </c>
      <c r="B31" s="31" t="s">
        <v>1220</v>
      </c>
      <c r="C31" s="31" t="str">
        <f>VLOOKUP($A31,FA_Codes!$D$2:$G$249,4,FALSE)</f>
        <v>Rural North Upper</v>
      </c>
      <c r="D31" s="800">
        <f>SUMIF(O_CWP_NOW!$A:$A,$A31,O_CWP_NOW!D:D)+SUMIF(O_CWP_FUT!$A:$A,$A31,O_CWP_FUT!D:D)</f>
        <v>0</v>
      </c>
      <c r="E31" s="800">
        <f>SUMIF(O_CWP_NOW!$A:$A,$A31,O_CWP_NOW!E:E)+SUMIF(O_CWP_FUT!$A:$A,$A31,O_CWP_FUT!E:E)</f>
        <v>0</v>
      </c>
      <c r="F31" s="800">
        <f>SUMIF(O_CWP_NOW!$A:$A,$A31,O_CWP_NOW!F:F)+SUMIF(O_CWP_FUT!$A:$A,$A31,O_CWP_FUT!F:F)</f>
        <v>0</v>
      </c>
      <c r="G31" s="800">
        <f>SUMIF(O_CWP_NOW!$A:$A,$A31,O_CWP_NOW!G:G)+SUMIF(O_CWP_FUT!$A:$A,$A31,O_CWP_FUT!G:G)</f>
        <v>0</v>
      </c>
      <c r="H31" s="800">
        <f>SUMIF(O_CWP_NOW!$A:$A,$A31,O_CWP_NOW!H:H)+SUMIF(O_CWP_FUT!$A:$A,$A31,O_CWP_FUT!H:H)</f>
        <v>0</v>
      </c>
      <c r="I31" s="800">
        <f>SUMIF(O_CWP_NOW!$A:$A,$A31,O_CWP_NOW!I:I)+SUMIF(O_CWP_FUT!$A:$A,$A31,O_CWP_FUT!I:I)</f>
        <v>0</v>
      </c>
      <c r="J31" s="800">
        <f>SUMIF(O_CWP_NOW!$A:$A,$A31,O_CWP_NOW!J:J)+SUMIF(O_CWP_FUT!$A:$A,$A31,O_CWP_FUT!J:J)</f>
        <v>0</v>
      </c>
      <c r="K31" s="800">
        <f>SUMIF(O_CWP_NOW!$A:$A,$A31,O_CWP_NOW!K:K)+SUMIF(O_CWP_FUT!$A:$A,$A31,O_CWP_FUT!K:K)</f>
        <v>0</v>
      </c>
      <c r="L31" s="800">
        <f>SUMIF(O_CWP_NOW!$A:$A,$A31,O_CWP_NOW!L:L)+SUMIF(O_CWP_FUT!$A:$A,$A31,O_CWP_FUT!L:L)</f>
        <v>0</v>
      </c>
      <c r="M31" s="800">
        <f>SUMIF(O_CWP_NOW!$A:$A,$A31,O_CWP_NOW!M:M)+SUMIF(O_CWP_FUT!$A:$A,$A31,O_CWP_FUT!M:M)</f>
        <v>0</v>
      </c>
      <c r="N31" s="800">
        <f>SUMIF(O_CWP_NOW!$A:$A,$A31,O_CWP_NOW!N:N)+SUMIF(O_CWP_FUT!$A:$A,$A31,O_CWP_FUT!N:N)</f>
        <v>0</v>
      </c>
      <c r="O31" s="800">
        <f t="shared" si="1"/>
        <v>0</v>
      </c>
      <c r="P31" s="40"/>
      <c r="R31" s="29"/>
      <c r="S31" s="29"/>
    </row>
    <row r="32" spans="1:19" ht="13" hidden="1">
      <c r="A32" s="22" t="s">
        <v>2670</v>
      </c>
      <c r="B32" s="31" t="s">
        <v>1220</v>
      </c>
      <c r="C32" s="31" t="str">
        <f>VLOOKUP($A32,FA_Codes!$D$2:$G$249,4,FALSE)</f>
        <v>Rural North Lower</v>
      </c>
      <c r="D32" s="800">
        <f>SUMIF(O_CWP_NOW!$A:$A,$A32,O_CWP_NOW!D:D)+SUMIF(O_CWP_FUT!$A:$A,$A32,O_CWP_FUT!D:D)</f>
        <v>0</v>
      </c>
      <c r="E32" s="800">
        <f>SUMIF(O_CWP_NOW!$A:$A,$A32,O_CWP_NOW!E:E)+SUMIF(O_CWP_FUT!$A:$A,$A32,O_CWP_FUT!E:E)</f>
        <v>0</v>
      </c>
      <c r="F32" s="800">
        <f>SUMIF(O_CWP_NOW!$A:$A,$A32,O_CWP_NOW!F:F)+SUMIF(O_CWP_FUT!$A:$A,$A32,O_CWP_FUT!F:F)</f>
        <v>0</v>
      </c>
      <c r="G32" s="800">
        <f>SUMIF(O_CWP_NOW!$A:$A,$A32,O_CWP_NOW!G:G)+SUMIF(O_CWP_FUT!$A:$A,$A32,O_CWP_FUT!G:G)</f>
        <v>0</v>
      </c>
      <c r="H32" s="800">
        <f>SUMIF(O_CWP_NOW!$A:$A,$A32,O_CWP_NOW!H:H)+SUMIF(O_CWP_FUT!$A:$A,$A32,O_CWP_FUT!H:H)</f>
        <v>0</v>
      </c>
      <c r="I32" s="800">
        <f>SUMIF(O_CWP_NOW!$A:$A,$A32,O_CWP_NOW!I:I)+SUMIF(O_CWP_FUT!$A:$A,$A32,O_CWP_FUT!I:I)</f>
        <v>0</v>
      </c>
      <c r="J32" s="800">
        <f>SUMIF(O_CWP_NOW!$A:$A,$A32,O_CWP_NOW!J:J)+SUMIF(O_CWP_FUT!$A:$A,$A32,O_CWP_FUT!J:J)</f>
        <v>0</v>
      </c>
      <c r="K32" s="800">
        <f>SUMIF(O_CWP_NOW!$A:$A,$A32,O_CWP_NOW!K:K)+SUMIF(O_CWP_FUT!$A:$A,$A32,O_CWP_FUT!K:K)</f>
        <v>0</v>
      </c>
      <c r="L32" s="800">
        <f>SUMIF(O_CWP_NOW!$A:$A,$A32,O_CWP_NOW!L:L)+SUMIF(O_CWP_FUT!$A:$A,$A32,O_CWP_FUT!L:L)</f>
        <v>0</v>
      </c>
      <c r="M32" s="800">
        <f>SUMIF(O_CWP_NOW!$A:$A,$A32,O_CWP_NOW!M:M)+SUMIF(O_CWP_FUT!$A:$A,$A32,O_CWP_FUT!M:M)</f>
        <v>0</v>
      </c>
      <c r="N32" s="800">
        <f>SUMIF(O_CWP_NOW!$A:$A,$A32,O_CWP_NOW!N:N)+SUMIF(O_CWP_FUT!$A:$A,$A32,O_CWP_FUT!N:N)</f>
        <v>0</v>
      </c>
      <c r="O32" s="800">
        <f t="shared" si="1"/>
        <v>0</v>
      </c>
      <c r="P32" s="40"/>
      <c r="R32" s="29"/>
      <c r="S32" s="29"/>
    </row>
    <row r="33" spans="1:19" ht="13" hidden="1">
      <c r="A33" s="22" t="s">
        <v>2672</v>
      </c>
      <c r="B33" s="31" t="s">
        <v>1220</v>
      </c>
      <c r="C33" s="31" t="str">
        <f>VLOOKUP($A33,FA_Codes!$D$2:$G$249,4,FALSE)</f>
        <v>Rural West</v>
      </c>
      <c r="D33" s="800">
        <f>SUMIF(O_CWP_NOW!$A:$A,$A33,O_CWP_NOW!D:D)+SUMIF(O_CWP_FUT!$A:$A,$A33,O_CWP_FUT!D:D)</f>
        <v>0</v>
      </c>
      <c r="E33" s="800">
        <f>SUMIF(O_CWP_NOW!$A:$A,$A33,O_CWP_NOW!E:E)+SUMIF(O_CWP_FUT!$A:$A,$A33,O_CWP_FUT!E:E)</f>
        <v>0</v>
      </c>
      <c r="F33" s="800">
        <f>SUMIF(O_CWP_NOW!$A:$A,$A33,O_CWP_NOW!F:F)+SUMIF(O_CWP_FUT!$A:$A,$A33,O_CWP_FUT!F:F)</f>
        <v>0</v>
      </c>
      <c r="G33" s="800">
        <f>SUMIF(O_CWP_NOW!$A:$A,$A33,O_CWP_NOW!G:G)+SUMIF(O_CWP_FUT!$A:$A,$A33,O_CWP_FUT!G:G)</f>
        <v>0</v>
      </c>
      <c r="H33" s="800">
        <f>SUMIF(O_CWP_NOW!$A:$A,$A33,O_CWP_NOW!H:H)+SUMIF(O_CWP_FUT!$A:$A,$A33,O_CWP_FUT!H:H)</f>
        <v>0</v>
      </c>
      <c r="I33" s="800">
        <f>SUMIF(O_CWP_NOW!$A:$A,$A33,O_CWP_NOW!I:I)+SUMIF(O_CWP_FUT!$A:$A,$A33,O_CWP_FUT!I:I)</f>
        <v>0</v>
      </c>
      <c r="J33" s="800">
        <f>SUMIF(O_CWP_NOW!$A:$A,$A33,O_CWP_NOW!J:J)+SUMIF(O_CWP_FUT!$A:$A,$A33,O_CWP_FUT!J:J)</f>
        <v>0</v>
      </c>
      <c r="K33" s="800">
        <f>SUMIF(O_CWP_NOW!$A:$A,$A33,O_CWP_NOW!K:K)+SUMIF(O_CWP_FUT!$A:$A,$A33,O_CWP_FUT!K:K)</f>
        <v>0</v>
      </c>
      <c r="L33" s="800">
        <f>SUMIF(O_CWP_NOW!$A:$A,$A33,O_CWP_NOW!L:L)+SUMIF(O_CWP_FUT!$A:$A,$A33,O_CWP_FUT!L:L)</f>
        <v>0</v>
      </c>
      <c r="M33" s="800">
        <f>SUMIF(O_CWP_NOW!$A:$A,$A33,O_CWP_NOW!M:M)+SUMIF(O_CWP_FUT!$A:$A,$A33,O_CWP_FUT!M:M)</f>
        <v>0</v>
      </c>
      <c r="N33" s="800">
        <f>SUMIF(O_CWP_NOW!$A:$A,$A33,O_CWP_NOW!N:N)+SUMIF(O_CWP_FUT!$A:$A,$A33,O_CWP_FUT!N:N)</f>
        <v>0</v>
      </c>
      <c r="O33" s="800">
        <f t="shared" si="1"/>
        <v>0</v>
      </c>
      <c r="P33" s="40"/>
      <c r="R33" s="29"/>
      <c r="S33" s="29"/>
    </row>
    <row r="34" spans="1:19" ht="13" hidden="1">
      <c r="A34" s="22" t="s">
        <v>2674</v>
      </c>
      <c r="B34" s="31" t="s">
        <v>1220</v>
      </c>
      <c r="C34" s="31" t="str">
        <f>VLOOKUP($A34,FA_Codes!$D$2:$G$249,4,FALSE)</f>
        <v>Rural South West</v>
      </c>
      <c r="D34" s="800">
        <f>SUMIF(O_CWP_NOW!$A:$A,$A34,O_CWP_NOW!D:D)+SUMIF(O_CWP_FUT!$A:$A,$A34,O_CWP_FUT!D:D)</f>
        <v>0</v>
      </c>
      <c r="E34" s="800">
        <f>SUMIF(O_CWP_NOW!$A:$A,$A34,O_CWP_NOW!E:E)+SUMIF(O_CWP_FUT!$A:$A,$A34,O_CWP_FUT!E:E)</f>
        <v>0</v>
      </c>
      <c r="F34" s="800">
        <f>SUMIF(O_CWP_NOW!$A:$A,$A34,O_CWP_NOW!F:F)+SUMIF(O_CWP_FUT!$A:$A,$A34,O_CWP_FUT!F:F)</f>
        <v>0</v>
      </c>
      <c r="G34" s="800">
        <f>SUMIF(O_CWP_NOW!$A:$A,$A34,O_CWP_NOW!G:G)+SUMIF(O_CWP_FUT!$A:$A,$A34,O_CWP_FUT!G:G)</f>
        <v>0</v>
      </c>
      <c r="H34" s="800">
        <f>SUMIF(O_CWP_NOW!$A:$A,$A34,O_CWP_NOW!H:H)+SUMIF(O_CWP_FUT!$A:$A,$A34,O_CWP_FUT!H:H)</f>
        <v>0</v>
      </c>
      <c r="I34" s="800">
        <f>SUMIF(O_CWP_NOW!$A:$A,$A34,O_CWP_NOW!I:I)+SUMIF(O_CWP_FUT!$A:$A,$A34,O_CWP_FUT!I:I)</f>
        <v>0</v>
      </c>
      <c r="J34" s="800">
        <f>SUMIF(O_CWP_NOW!$A:$A,$A34,O_CWP_NOW!J:J)+SUMIF(O_CWP_FUT!$A:$A,$A34,O_CWP_FUT!J:J)</f>
        <v>0</v>
      </c>
      <c r="K34" s="800">
        <f>SUMIF(O_CWP_NOW!$A:$A,$A34,O_CWP_NOW!K:K)+SUMIF(O_CWP_FUT!$A:$A,$A34,O_CWP_FUT!K:K)</f>
        <v>0</v>
      </c>
      <c r="L34" s="800">
        <f>SUMIF(O_CWP_NOW!$A:$A,$A34,O_CWP_NOW!L:L)+SUMIF(O_CWP_FUT!$A:$A,$A34,O_CWP_FUT!L:L)</f>
        <v>0</v>
      </c>
      <c r="M34" s="800">
        <f>SUMIF(O_CWP_NOW!$A:$A,$A34,O_CWP_NOW!M:M)+SUMIF(O_CWP_FUT!$A:$A,$A34,O_CWP_FUT!M:M)</f>
        <v>0</v>
      </c>
      <c r="N34" s="800">
        <f>SUMIF(O_CWP_NOW!$A:$A,$A34,O_CWP_NOW!N:N)+SUMIF(O_CWP_FUT!$A:$A,$A34,O_CWP_FUT!N:N)</f>
        <v>0</v>
      </c>
      <c r="O34" s="800">
        <f t="shared" si="1"/>
        <v>0</v>
      </c>
      <c r="P34" s="40"/>
      <c r="R34" s="29"/>
      <c r="S34" s="29"/>
    </row>
    <row r="35" spans="1:19" ht="13" hidden="1">
      <c r="A35" s="22" t="s">
        <v>2676</v>
      </c>
      <c r="B35" s="31" t="s">
        <v>1220</v>
      </c>
      <c r="C35" s="31" t="str">
        <f>VLOOKUP($A35,FA_Codes!$D$2:$G$249,4,FALSE)</f>
        <v>Rural South East</v>
      </c>
      <c r="D35" s="800">
        <f>SUMIF(O_CWP_NOW!$A:$A,$A35,O_CWP_NOW!D:D)+SUMIF(O_CWP_FUT!$A:$A,$A35,O_CWP_FUT!D:D)</f>
        <v>0</v>
      </c>
      <c r="E35" s="800">
        <f>SUMIF(O_CWP_NOW!$A:$A,$A35,O_CWP_NOW!E:E)+SUMIF(O_CWP_FUT!$A:$A,$A35,O_CWP_FUT!E:E)</f>
        <v>0</v>
      </c>
      <c r="F35" s="800">
        <f>SUMIF(O_CWP_NOW!$A:$A,$A35,O_CWP_NOW!F:F)+SUMIF(O_CWP_FUT!$A:$A,$A35,O_CWP_FUT!F:F)</f>
        <v>0</v>
      </c>
      <c r="G35" s="800">
        <f>SUMIF(O_CWP_NOW!$A:$A,$A35,O_CWP_NOW!G:G)+SUMIF(O_CWP_FUT!$A:$A,$A35,O_CWP_FUT!G:G)</f>
        <v>0</v>
      </c>
      <c r="H35" s="800">
        <f>SUMIF(O_CWP_NOW!$A:$A,$A35,O_CWP_NOW!H:H)+SUMIF(O_CWP_FUT!$A:$A,$A35,O_CWP_FUT!H:H)</f>
        <v>0</v>
      </c>
      <c r="I35" s="800">
        <f>SUMIF(O_CWP_NOW!$A:$A,$A35,O_CWP_NOW!I:I)+SUMIF(O_CWP_FUT!$A:$A,$A35,O_CWP_FUT!I:I)</f>
        <v>0</v>
      </c>
      <c r="J35" s="800">
        <f>SUMIF(O_CWP_NOW!$A:$A,$A35,O_CWP_NOW!J:J)+SUMIF(O_CWP_FUT!$A:$A,$A35,O_CWP_FUT!J:J)</f>
        <v>0</v>
      </c>
      <c r="K35" s="800">
        <f>SUMIF(O_CWP_NOW!$A:$A,$A35,O_CWP_NOW!K:K)+SUMIF(O_CWP_FUT!$A:$A,$A35,O_CWP_FUT!K:K)</f>
        <v>0</v>
      </c>
      <c r="L35" s="800">
        <f>SUMIF(O_CWP_NOW!$A:$A,$A35,O_CWP_NOW!L:L)+SUMIF(O_CWP_FUT!$A:$A,$A35,O_CWP_FUT!L:L)</f>
        <v>0</v>
      </c>
      <c r="M35" s="800">
        <f>SUMIF(O_CWP_NOW!$A:$A,$A35,O_CWP_NOW!M:M)+SUMIF(O_CWP_FUT!$A:$A,$A35,O_CWP_FUT!M:M)</f>
        <v>0</v>
      </c>
      <c r="N35" s="800">
        <f>SUMIF(O_CWP_NOW!$A:$A,$A35,O_CWP_NOW!N:N)+SUMIF(O_CWP_FUT!$A:$A,$A35,O_CWP_FUT!N:N)</f>
        <v>0</v>
      </c>
      <c r="O35" s="800">
        <f t="shared" si="1"/>
        <v>0</v>
      </c>
      <c r="P35" s="40"/>
      <c r="R35" s="29"/>
      <c r="S35" s="29"/>
    </row>
    <row r="36" spans="1:19" ht="13" hidden="1">
      <c r="A36" s="22" t="s">
        <v>2678</v>
      </c>
      <c r="B36" s="31" t="s">
        <v>1220</v>
      </c>
      <c r="C36" s="31" t="str">
        <f>VLOOKUP($A36,FA_Codes!$D$2:$G$249,4,FALSE)</f>
        <v>Rural Islands</v>
      </c>
      <c r="D36" s="800">
        <f>SUMIF(O_CWP_NOW!$A:$A,$A36,O_CWP_NOW!D:D)+SUMIF(O_CWP_FUT!$A:$A,$A36,O_CWP_FUT!D:D)</f>
        <v>0</v>
      </c>
      <c r="E36" s="800">
        <f>SUMIF(O_CWP_NOW!$A:$A,$A36,O_CWP_NOW!E:E)+SUMIF(O_CWP_FUT!$A:$A,$A36,O_CWP_FUT!E:E)</f>
        <v>0</v>
      </c>
      <c r="F36" s="800">
        <f>SUMIF(O_CWP_NOW!$A:$A,$A36,O_CWP_NOW!F:F)+SUMIF(O_CWP_FUT!$A:$A,$A36,O_CWP_FUT!F:F)</f>
        <v>0</v>
      </c>
      <c r="G36" s="800">
        <f>SUMIF(O_CWP_NOW!$A:$A,$A36,O_CWP_NOW!G:G)+SUMIF(O_CWP_FUT!$A:$A,$A36,O_CWP_FUT!G:G)</f>
        <v>0</v>
      </c>
      <c r="H36" s="800">
        <f>SUMIF(O_CWP_NOW!$A:$A,$A36,O_CWP_NOW!H:H)+SUMIF(O_CWP_FUT!$A:$A,$A36,O_CWP_FUT!H:H)</f>
        <v>0</v>
      </c>
      <c r="I36" s="800">
        <f>SUMIF(O_CWP_NOW!$A:$A,$A36,O_CWP_NOW!I:I)+SUMIF(O_CWP_FUT!$A:$A,$A36,O_CWP_FUT!I:I)</f>
        <v>0</v>
      </c>
      <c r="J36" s="800">
        <f>SUMIF(O_CWP_NOW!$A:$A,$A36,O_CWP_NOW!J:J)+SUMIF(O_CWP_FUT!$A:$A,$A36,O_CWP_FUT!J:J)</f>
        <v>0</v>
      </c>
      <c r="K36" s="800">
        <f>SUMIF(O_CWP_NOW!$A:$A,$A36,O_CWP_NOW!K:K)+SUMIF(O_CWP_FUT!$A:$A,$A36,O_CWP_FUT!K:K)</f>
        <v>0</v>
      </c>
      <c r="L36" s="800">
        <f>SUMIF(O_CWP_NOW!$A:$A,$A36,O_CWP_NOW!L:L)+SUMIF(O_CWP_FUT!$A:$A,$A36,O_CWP_FUT!L:L)</f>
        <v>0</v>
      </c>
      <c r="M36" s="800">
        <f>SUMIF(O_CWP_NOW!$A:$A,$A36,O_CWP_NOW!M:M)+SUMIF(O_CWP_FUT!$A:$A,$A36,O_CWP_FUT!M:M)</f>
        <v>0</v>
      </c>
      <c r="N36" s="800">
        <f>SUMIF(O_CWP_NOW!$A:$A,$A36,O_CWP_NOW!N:N)+SUMIF(O_CWP_FUT!$A:$A,$A36,O_CWP_FUT!N:N)</f>
        <v>0</v>
      </c>
      <c r="O36" s="800">
        <f t="shared" si="1"/>
        <v>0</v>
      </c>
      <c r="P36" s="40"/>
      <c r="R36" s="29"/>
      <c r="S36" s="29"/>
    </row>
    <row r="37" spans="1:19" ht="13" hidden="1">
      <c r="A37" s="22" t="s">
        <v>2680</v>
      </c>
      <c r="B37" s="31" t="s">
        <v>1220</v>
      </c>
      <c r="C37" s="31" t="str">
        <f>VLOOKUP($A37,FA_Codes!$D$2:$G$249,4,FALSE)</f>
        <v>Tamaki</v>
      </c>
      <c r="D37" s="800">
        <f>SUMIF(O_CWP_NOW!$A:$A,$A37,O_CWP_NOW!D:D)+SUMIF(O_CWP_FUT!$A:$A,$A37,O_CWP_FUT!D:D)</f>
        <v>0</v>
      </c>
      <c r="E37" s="800">
        <f>SUMIF(O_CWP_NOW!$A:$A,$A37,O_CWP_NOW!E:E)+SUMIF(O_CWP_FUT!$A:$A,$A37,O_CWP_FUT!E:E)</f>
        <v>0</v>
      </c>
      <c r="F37" s="800">
        <f>SUMIF(O_CWP_NOW!$A:$A,$A37,O_CWP_NOW!F:F)+SUMIF(O_CWP_FUT!$A:$A,$A37,O_CWP_FUT!F:F)</f>
        <v>0</v>
      </c>
      <c r="G37" s="800">
        <f>SUMIF(O_CWP_NOW!$A:$A,$A37,O_CWP_NOW!G:G)+SUMIF(O_CWP_FUT!$A:$A,$A37,O_CWP_FUT!G:G)</f>
        <v>0</v>
      </c>
      <c r="H37" s="800">
        <f>SUMIF(O_CWP_NOW!$A:$A,$A37,O_CWP_NOW!H:H)+SUMIF(O_CWP_FUT!$A:$A,$A37,O_CWP_FUT!H:H)</f>
        <v>0</v>
      </c>
      <c r="I37" s="800">
        <f>SUMIF(O_CWP_NOW!$A:$A,$A37,O_CWP_NOW!I:I)+SUMIF(O_CWP_FUT!$A:$A,$A37,O_CWP_FUT!I:I)</f>
        <v>0</v>
      </c>
      <c r="J37" s="800">
        <f>SUMIF(O_CWP_NOW!$A:$A,$A37,O_CWP_NOW!J:J)+SUMIF(O_CWP_FUT!$A:$A,$A37,O_CWP_FUT!J:J)</f>
        <v>0</v>
      </c>
      <c r="K37" s="800">
        <f>SUMIF(O_CWP_NOW!$A:$A,$A37,O_CWP_NOW!K:K)+SUMIF(O_CWP_FUT!$A:$A,$A37,O_CWP_FUT!K:K)</f>
        <v>0</v>
      </c>
      <c r="L37" s="800">
        <f>SUMIF(O_CWP_NOW!$A:$A,$A37,O_CWP_NOW!L:L)+SUMIF(O_CWP_FUT!$A:$A,$A37,O_CWP_FUT!L:L)</f>
        <v>0</v>
      </c>
      <c r="M37" s="800">
        <f>SUMIF(O_CWP_NOW!$A:$A,$A37,O_CWP_NOW!M:M)+SUMIF(O_CWP_FUT!$A:$A,$A37,O_CWP_FUT!M:M)</f>
        <v>0</v>
      </c>
      <c r="N37" s="800">
        <f>SUMIF(O_CWP_NOW!$A:$A,$A37,O_CWP_NOW!N:N)+SUMIF(O_CWP_FUT!$A:$A,$A37,O_CWP_FUT!N:N)</f>
        <v>0</v>
      </c>
      <c r="O37" s="800">
        <f t="shared" ref="O37:O48" si="2">SUM(D37:N37)</f>
        <v>0</v>
      </c>
      <c r="P37" s="40"/>
      <c r="R37" s="29"/>
      <c r="S37" s="29"/>
    </row>
    <row r="38" spans="1:19" ht="13">
      <c r="A38" s="22" t="s">
        <v>2682</v>
      </c>
      <c r="B38" s="31" t="s">
        <v>1220</v>
      </c>
      <c r="C38" s="31" t="str">
        <f>VLOOKUP($A38,FA_Codes!$D$2:$G$249,4,FALSE)</f>
        <v>Drury IPA</v>
      </c>
      <c r="D38" s="800">
        <f>SUMIF(O_CWP_NOW!$A:$A,$A38,O_CWP_NOW!D:D)+SUMIF(O_CWP_FUT!$A:$A,$A38,O_CWP_FUT!D:D)</f>
        <v>0</v>
      </c>
      <c r="E38" s="800">
        <f>SUMIF(O_CWP_NOW!$A:$A,$A38,O_CWP_NOW!E:E)+SUMIF(O_CWP_FUT!$A:$A,$A38,O_CWP_FUT!E:E)</f>
        <v>1239743.0042527243</v>
      </c>
      <c r="F38" s="800">
        <f>SUMIF(O_CWP_NOW!$A:$A,$A38,O_CWP_NOW!F:F)+SUMIF(O_CWP_FUT!$A:$A,$A38,O_CWP_FUT!F:F)</f>
        <v>6521934.0268993182</v>
      </c>
      <c r="G38" s="800">
        <f>SUMIF(O_CWP_NOW!$A:$A,$A38,O_CWP_NOW!G:G)+SUMIF(O_CWP_FUT!$A:$A,$A38,O_CWP_FUT!G:G)</f>
        <v>8401788.1113075707</v>
      </c>
      <c r="H38" s="800">
        <f>SUMIF(O_CWP_NOW!$A:$A,$A38,O_CWP_NOW!H:H)+SUMIF(O_CWP_FUT!$A:$A,$A38,O_CWP_FUT!H:H)</f>
        <v>9030296.6823700797</v>
      </c>
      <c r="I38" s="800">
        <f>SUMIF(O_CWP_NOW!$A:$A,$A38,O_CWP_NOW!I:I)+SUMIF(O_CWP_FUT!$A:$A,$A38,O_CWP_FUT!I:I)</f>
        <v>13647978.916899538</v>
      </c>
      <c r="J38" s="800">
        <f>SUMIF(O_CWP_NOW!$A:$A,$A38,O_CWP_NOW!J:J)+SUMIF(O_CWP_FUT!$A:$A,$A38,O_CWP_FUT!J:J)</f>
        <v>14784336.54417659</v>
      </c>
      <c r="K38" s="800">
        <f>SUMIF(O_CWP_NOW!$A:$A,$A38,O_CWP_NOW!K:K)+SUMIF(O_CWP_FUT!$A:$A,$A38,O_CWP_FUT!K:K)</f>
        <v>12191039.585347472</v>
      </c>
      <c r="L38" s="800">
        <f>SUMIF(O_CWP_NOW!$A:$A,$A38,O_CWP_NOW!L:L)+SUMIF(O_CWP_FUT!$A:$A,$A38,O_CWP_FUT!L:L)</f>
        <v>15592356.626910353</v>
      </c>
      <c r="M38" s="800">
        <f>SUMIF(O_CWP_NOW!$A:$A,$A38,O_CWP_NOW!M:M)+SUMIF(O_CWP_FUT!$A:$A,$A38,O_CWP_FUT!M:M)</f>
        <v>19773861.396629695</v>
      </c>
      <c r="N38" s="800">
        <f>SUMIF(O_CWP_NOW!$A:$A,$A38,O_CWP_NOW!N:N)+SUMIF(O_CWP_FUT!$A:$A,$A38,O_CWP_FUT!N:N)</f>
        <v>21167941.160529099</v>
      </c>
      <c r="O38" s="800">
        <f t="shared" si="2"/>
        <v>122351276.05532244</v>
      </c>
      <c r="P38" s="40"/>
      <c r="R38" s="29"/>
      <c r="S38" s="29"/>
    </row>
    <row r="39" spans="1:19" ht="13" hidden="1">
      <c r="A39" s="22" t="s">
        <v>2684</v>
      </c>
      <c r="B39" s="31" t="s">
        <v>1220</v>
      </c>
      <c r="C39" s="31" t="str">
        <f>VLOOKUP($A39,FA_Codes!$D$2:$G$249,4,FALSE)</f>
        <v>Auranga</v>
      </c>
      <c r="D39" s="800">
        <f>SUMIF(O_CWP_NOW!$A:$A,$A39,O_CWP_NOW!D:D)+SUMIF(O_CWP_FUT!$A:$A,$A39,O_CWP_FUT!D:D)</f>
        <v>0</v>
      </c>
      <c r="E39" s="800">
        <f>SUMIF(O_CWP_NOW!$A:$A,$A39,O_CWP_NOW!E:E)+SUMIF(O_CWP_FUT!$A:$A,$A39,O_CWP_FUT!E:E)</f>
        <v>0</v>
      </c>
      <c r="F39" s="800">
        <f>SUMIF(O_CWP_NOW!$A:$A,$A39,O_CWP_NOW!F:F)+SUMIF(O_CWP_FUT!$A:$A,$A39,O_CWP_FUT!F:F)</f>
        <v>0</v>
      </c>
      <c r="G39" s="800">
        <f>SUMIF(O_CWP_NOW!$A:$A,$A39,O_CWP_NOW!G:G)+SUMIF(O_CWP_FUT!$A:$A,$A39,O_CWP_FUT!G:G)</f>
        <v>0</v>
      </c>
      <c r="H39" s="800">
        <f>SUMIF(O_CWP_NOW!$A:$A,$A39,O_CWP_NOW!H:H)+SUMIF(O_CWP_FUT!$A:$A,$A39,O_CWP_FUT!H:H)</f>
        <v>0</v>
      </c>
      <c r="I39" s="800">
        <f>SUMIF(O_CWP_NOW!$A:$A,$A39,O_CWP_NOW!I:I)+SUMIF(O_CWP_FUT!$A:$A,$A39,O_CWP_FUT!I:I)</f>
        <v>0</v>
      </c>
      <c r="J39" s="800">
        <f>SUMIF(O_CWP_NOW!$A:$A,$A39,O_CWP_NOW!J:J)+SUMIF(O_CWP_FUT!$A:$A,$A39,O_CWP_FUT!J:J)</f>
        <v>0</v>
      </c>
      <c r="K39" s="800">
        <f>SUMIF(O_CWP_NOW!$A:$A,$A39,O_CWP_NOW!K:K)+SUMIF(O_CWP_FUT!$A:$A,$A39,O_CWP_FUT!K:K)</f>
        <v>0</v>
      </c>
      <c r="L39" s="800">
        <f>SUMIF(O_CWP_NOW!$A:$A,$A39,O_CWP_NOW!L:L)+SUMIF(O_CWP_FUT!$A:$A,$A39,O_CWP_FUT!L:L)</f>
        <v>0</v>
      </c>
      <c r="M39" s="800">
        <f>SUMIF(O_CWP_NOW!$A:$A,$A39,O_CWP_NOW!M:M)+SUMIF(O_CWP_FUT!$A:$A,$A39,O_CWP_FUT!M:M)</f>
        <v>0</v>
      </c>
      <c r="N39" s="800">
        <f>SUMIF(O_CWP_NOW!$A:$A,$A39,O_CWP_NOW!N:N)+SUMIF(O_CWP_FUT!$A:$A,$A39,O_CWP_FUT!N:N)</f>
        <v>0</v>
      </c>
      <c r="O39" s="800">
        <f t="shared" si="2"/>
        <v>0</v>
      </c>
      <c r="P39" s="40"/>
      <c r="R39" s="29"/>
      <c r="S39" s="29"/>
    </row>
    <row r="40" spans="1:19" ht="13" hidden="1">
      <c r="A40" s="22" t="s">
        <v>2696</v>
      </c>
      <c r="B40" s="31" t="s">
        <v>1220</v>
      </c>
      <c r="C40" s="31" t="str">
        <f>VLOOKUP($A40,FA_Codes!$D$2:$G$249,4,FALSE)</f>
        <v>Area 35</v>
      </c>
      <c r="D40" s="800">
        <f>SUMIF(O_CWP_NOW!$A:$A,$A40,O_CWP_NOW!D:D)+SUMIF(O_CWP_FUT!$A:$A,$A40,O_CWP_FUT!D:D)</f>
        <v>0</v>
      </c>
      <c r="E40" s="800">
        <f>SUMIF(O_CWP_NOW!$A:$A,$A40,O_CWP_NOW!E:E)+SUMIF(O_CWP_FUT!$A:$A,$A40,O_CWP_FUT!E:E)</f>
        <v>0</v>
      </c>
      <c r="F40" s="800">
        <f>SUMIF(O_CWP_NOW!$A:$A,$A40,O_CWP_NOW!F:F)+SUMIF(O_CWP_FUT!$A:$A,$A40,O_CWP_FUT!F:F)</f>
        <v>0</v>
      </c>
      <c r="G40" s="800">
        <f>SUMIF(O_CWP_NOW!$A:$A,$A40,O_CWP_NOW!G:G)+SUMIF(O_CWP_FUT!$A:$A,$A40,O_CWP_FUT!G:G)</f>
        <v>0</v>
      </c>
      <c r="H40" s="800">
        <f>SUMIF(O_CWP_NOW!$A:$A,$A40,O_CWP_NOW!H:H)+SUMIF(O_CWP_FUT!$A:$A,$A40,O_CWP_FUT!H:H)</f>
        <v>0</v>
      </c>
      <c r="I40" s="800">
        <f>SUMIF(O_CWP_NOW!$A:$A,$A40,O_CWP_NOW!I:I)+SUMIF(O_CWP_FUT!$A:$A,$A40,O_CWP_FUT!I:I)</f>
        <v>0</v>
      </c>
      <c r="J40" s="800">
        <f>SUMIF(O_CWP_NOW!$A:$A,$A40,O_CWP_NOW!J:J)+SUMIF(O_CWP_FUT!$A:$A,$A40,O_CWP_FUT!J:J)</f>
        <v>0</v>
      </c>
      <c r="K40" s="800">
        <f>SUMIF(O_CWP_NOW!$A:$A,$A40,O_CWP_NOW!K:K)+SUMIF(O_CWP_FUT!$A:$A,$A40,O_CWP_FUT!K:K)</f>
        <v>0</v>
      </c>
      <c r="L40" s="800">
        <f>SUMIF(O_CWP_NOW!$A:$A,$A40,O_CWP_NOW!L:L)+SUMIF(O_CWP_FUT!$A:$A,$A40,O_CWP_FUT!L:L)</f>
        <v>0</v>
      </c>
      <c r="M40" s="800">
        <f>SUMIF(O_CWP_NOW!$A:$A,$A40,O_CWP_NOW!M:M)+SUMIF(O_CWP_FUT!$A:$A,$A40,O_CWP_FUT!M:M)</f>
        <v>0</v>
      </c>
      <c r="N40" s="800">
        <f>SUMIF(O_CWP_NOW!$A:$A,$A40,O_CWP_NOW!N:N)+SUMIF(O_CWP_FUT!$A:$A,$A40,O_CWP_FUT!N:N)</f>
        <v>0</v>
      </c>
      <c r="O40" s="800">
        <f t="shared" si="2"/>
        <v>0</v>
      </c>
      <c r="P40" s="40"/>
      <c r="R40" s="29"/>
      <c r="S40" s="29"/>
    </row>
    <row r="41" spans="1:19" ht="13" hidden="1">
      <c r="A41" s="22" t="s">
        <v>2698</v>
      </c>
      <c r="B41" s="31" t="s">
        <v>1220</v>
      </c>
      <c r="C41" s="31" t="str">
        <f>VLOOKUP($A41,FA_Codes!$D$2:$G$249,4,FALSE)</f>
        <v>Area 36</v>
      </c>
      <c r="D41" s="800">
        <f>SUMIF(O_CWP_NOW!$A:$A,$A41,O_CWP_NOW!D:D)+SUMIF(O_CWP_FUT!$A:$A,$A41,O_CWP_FUT!D:D)</f>
        <v>0</v>
      </c>
      <c r="E41" s="800">
        <f>SUMIF(O_CWP_NOW!$A:$A,$A41,O_CWP_NOW!E:E)+SUMIF(O_CWP_FUT!$A:$A,$A41,O_CWP_FUT!E:E)</f>
        <v>0</v>
      </c>
      <c r="F41" s="800">
        <f>SUMIF(O_CWP_NOW!$A:$A,$A41,O_CWP_NOW!F:F)+SUMIF(O_CWP_FUT!$A:$A,$A41,O_CWP_FUT!F:F)</f>
        <v>0</v>
      </c>
      <c r="G41" s="800">
        <f>SUMIF(O_CWP_NOW!$A:$A,$A41,O_CWP_NOW!G:G)+SUMIF(O_CWP_FUT!$A:$A,$A41,O_CWP_FUT!G:G)</f>
        <v>0</v>
      </c>
      <c r="H41" s="800">
        <f>SUMIF(O_CWP_NOW!$A:$A,$A41,O_CWP_NOW!H:H)+SUMIF(O_CWP_FUT!$A:$A,$A41,O_CWP_FUT!H:H)</f>
        <v>0</v>
      </c>
      <c r="I41" s="800">
        <f>SUMIF(O_CWP_NOW!$A:$A,$A41,O_CWP_NOW!I:I)+SUMIF(O_CWP_FUT!$A:$A,$A41,O_CWP_FUT!I:I)</f>
        <v>0</v>
      </c>
      <c r="J41" s="800">
        <f>SUMIF(O_CWP_NOW!$A:$A,$A41,O_CWP_NOW!J:J)+SUMIF(O_CWP_FUT!$A:$A,$A41,O_CWP_FUT!J:J)</f>
        <v>0</v>
      </c>
      <c r="K41" s="800">
        <f>SUMIF(O_CWP_NOW!$A:$A,$A41,O_CWP_NOW!K:K)+SUMIF(O_CWP_FUT!$A:$A,$A41,O_CWP_FUT!K:K)</f>
        <v>0</v>
      </c>
      <c r="L41" s="800">
        <f>SUMIF(O_CWP_NOW!$A:$A,$A41,O_CWP_NOW!L:L)+SUMIF(O_CWP_FUT!$A:$A,$A41,O_CWP_FUT!L:L)</f>
        <v>0</v>
      </c>
      <c r="M41" s="800">
        <f>SUMIF(O_CWP_NOW!$A:$A,$A41,O_CWP_NOW!M:M)+SUMIF(O_CWP_FUT!$A:$A,$A41,O_CWP_FUT!M:M)</f>
        <v>0</v>
      </c>
      <c r="N41" s="800">
        <f>SUMIF(O_CWP_NOW!$A:$A,$A41,O_CWP_NOW!N:N)+SUMIF(O_CWP_FUT!$A:$A,$A41,O_CWP_FUT!N:N)</f>
        <v>0</v>
      </c>
      <c r="O41" s="800">
        <f t="shared" si="2"/>
        <v>0</v>
      </c>
      <c r="P41" s="40"/>
      <c r="R41" s="29"/>
      <c r="S41" s="29"/>
    </row>
    <row r="42" spans="1:19" ht="13" hidden="1">
      <c r="A42" s="22" t="s">
        <v>2700</v>
      </c>
      <c r="B42" s="31" t="s">
        <v>1220</v>
      </c>
      <c r="C42" s="31" t="str">
        <f>VLOOKUP($A42,FA_Codes!$D$2:$G$249,4,FALSE)</f>
        <v>Area 37</v>
      </c>
      <c r="D42" s="800">
        <f>SUMIF(O_CWP_NOW!$A:$A,$A42,O_CWP_NOW!D:D)+SUMIF(O_CWP_FUT!$A:$A,$A42,O_CWP_FUT!D:D)</f>
        <v>0</v>
      </c>
      <c r="E42" s="800">
        <f>SUMIF(O_CWP_NOW!$A:$A,$A42,O_CWP_NOW!E:E)+SUMIF(O_CWP_FUT!$A:$A,$A42,O_CWP_FUT!E:E)</f>
        <v>0</v>
      </c>
      <c r="F42" s="800">
        <f>SUMIF(O_CWP_NOW!$A:$A,$A42,O_CWP_NOW!F:F)+SUMIF(O_CWP_FUT!$A:$A,$A42,O_CWP_FUT!F:F)</f>
        <v>0</v>
      </c>
      <c r="G42" s="800">
        <f>SUMIF(O_CWP_NOW!$A:$A,$A42,O_CWP_NOW!G:G)+SUMIF(O_CWP_FUT!$A:$A,$A42,O_CWP_FUT!G:G)</f>
        <v>0</v>
      </c>
      <c r="H42" s="800">
        <f>SUMIF(O_CWP_NOW!$A:$A,$A42,O_CWP_NOW!H:H)+SUMIF(O_CWP_FUT!$A:$A,$A42,O_CWP_FUT!H:H)</f>
        <v>0</v>
      </c>
      <c r="I42" s="800">
        <f>SUMIF(O_CWP_NOW!$A:$A,$A42,O_CWP_NOW!I:I)+SUMIF(O_CWP_FUT!$A:$A,$A42,O_CWP_FUT!I:I)</f>
        <v>0</v>
      </c>
      <c r="J42" s="800">
        <f>SUMIF(O_CWP_NOW!$A:$A,$A42,O_CWP_NOW!J:J)+SUMIF(O_CWP_FUT!$A:$A,$A42,O_CWP_FUT!J:J)</f>
        <v>0</v>
      </c>
      <c r="K42" s="800">
        <f>SUMIF(O_CWP_NOW!$A:$A,$A42,O_CWP_NOW!K:K)+SUMIF(O_CWP_FUT!$A:$A,$A42,O_CWP_FUT!K:K)</f>
        <v>0</v>
      </c>
      <c r="L42" s="800">
        <f>SUMIF(O_CWP_NOW!$A:$A,$A42,O_CWP_NOW!L:L)+SUMIF(O_CWP_FUT!$A:$A,$A42,O_CWP_FUT!L:L)</f>
        <v>0</v>
      </c>
      <c r="M42" s="800">
        <f>SUMIF(O_CWP_NOW!$A:$A,$A42,O_CWP_NOW!M:M)+SUMIF(O_CWP_FUT!$A:$A,$A42,O_CWP_FUT!M:M)</f>
        <v>0</v>
      </c>
      <c r="N42" s="800">
        <f>SUMIF(O_CWP_NOW!$A:$A,$A42,O_CWP_NOW!N:N)+SUMIF(O_CWP_FUT!$A:$A,$A42,O_CWP_FUT!N:N)</f>
        <v>0</v>
      </c>
      <c r="O42" s="800">
        <f t="shared" si="2"/>
        <v>0</v>
      </c>
      <c r="P42" s="40"/>
      <c r="R42" s="29"/>
      <c r="S42" s="29"/>
    </row>
    <row r="43" spans="1:19" ht="13" hidden="1">
      <c r="A43" s="22" t="s">
        <v>2702</v>
      </c>
      <c r="B43" s="31" t="s">
        <v>1220</v>
      </c>
      <c r="C43" s="58" t="s">
        <v>7013</v>
      </c>
      <c r="D43" s="800">
        <f>SUMIF(O_CWP_NOW!$A:$A,$A43,O_CWP_NOW!D:D)+SUMIF(O_CWP_FUT!$A:$A,$A43,O_CWP_FUT!D:D)</f>
        <v>0</v>
      </c>
      <c r="E43" s="800">
        <f>SUMIF(O_CWP_NOW!$A:$A,$A43,O_CWP_NOW!E:E)+SUMIF(O_CWP_FUT!$A:$A,$A43,O_CWP_FUT!E:E)</f>
        <v>0</v>
      </c>
      <c r="F43" s="800">
        <f>SUMIF(O_CWP_NOW!$A:$A,$A43,O_CWP_NOW!F:F)+SUMIF(O_CWP_FUT!$A:$A,$A43,O_CWP_FUT!F:F)</f>
        <v>0</v>
      </c>
      <c r="G43" s="800">
        <f>SUMIF(O_CWP_NOW!$A:$A,$A43,O_CWP_NOW!G:G)+SUMIF(O_CWP_FUT!$A:$A,$A43,O_CWP_FUT!G:G)</f>
        <v>0</v>
      </c>
      <c r="H43" s="800">
        <f>SUMIF(O_CWP_NOW!$A:$A,$A43,O_CWP_NOW!H:H)+SUMIF(O_CWP_FUT!$A:$A,$A43,O_CWP_FUT!H:H)</f>
        <v>0</v>
      </c>
      <c r="I43" s="800">
        <f>SUMIF(O_CWP_NOW!$A:$A,$A43,O_CWP_NOW!I:I)+SUMIF(O_CWP_FUT!$A:$A,$A43,O_CWP_FUT!I:I)</f>
        <v>0</v>
      </c>
      <c r="J43" s="800">
        <f>SUMIF(O_CWP_NOW!$A:$A,$A43,O_CWP_NOW!J:J)+SUMIF(O_CWP_FUT!$A:$A,$A43,O_CWP_FUT!J:J)</f>
        <v>0</v>
      </c>
      <c r="K43" s="800">
        <f>SUMIF(O_CWP_NOW!$A:$A,$A43,O_CWP_NOW!K:K)+SUMIF(O_CWP_FUT!$A:$A,$A43,O_CWP_FUT!K:K)</f>
        <v>0</v>
      </c>
      <c r="L43" s="800">
        <f>SUMIF(O_CWP_NOW!$A:$A,$A43,O_CWP_NOW!L:L)+SUMIF(O_CWP_FUT!$A:$A,$A43,O_CWP_FUT!L:L)</f>
        <v>0</v>
      </c>
      <c r="M43" s="800">
        <f>SUMIF(O_CWP_NOW!$A:$A,$A43,O_CWP_NOW!M:M)+SUMIF(O_CWP_FUT!$A:$A,$A43,O_CWP_FUT!M:M)</f>
        <v>0</v>
      </c>
      <c r="N43" s="800">
        <f>SUMIF(O_CWP_NOW!$A:$A,$A43,O_CWP_NOW!N:N)+SUMIF(O_CWP_FUT!$A:$A,$A43,O_CWP_FUT!N:N)</f>
        <v>0</v>
      </c>
      <c r="O43" s="800">
        <f t="shared" si="2"/>
        <v>0</v>
      </c>
      <c r="P43" s="40"/>
      <c r="R43" s="29"/>
      <c r="S43" s="29"/>
    </row>
    <row r="44" spans="1:19" ht="13" hidden="1">
      <c r="A44" s="22" t="s">
        <v>2704</v>
      </c>
      <c r="B44" s="31" t="s">
        <v>1220</v>
      </c>
      <c r="C44" s="58" t="s">
        <v>7013</v>
      </c>
      <c r="D44" s="800">
        <f>SUMIF(O_CWP_NOW!$A:$A,$A44,O_CWP_NOW!D:D)+SUMIF(O_CWP_FUT!$A:$A,$A44,O_CWP_FUT!D:D)</f>
        <v>0</v>
      </c>
      <c r="E44" s="800">
        <f>SUMIF(O_CWP_NOW!$A:$A,$A44,O_CWP_NOW!E:E)+SUMIF(O_CWP_FUT!$A:$A,$A44,O_CWP_FUT!E:E)</f>
        <v>0</v>
      </c>
      <c r="F44" s="800">
        <f>SUMIF(O_CWP_NOW!$A:$A,$A44,O_CWP_NOW!F:F)+SUMIF(O_CWP_FUT!$A:$A,$A44,O_CWP_FUT!F:F)</f>
        <v>0</v>
      </c>
      <c r="G44" s="800">
        <f>SUMIF(O_CWP_NOW!$A:$A,$A44,O_CWP_NOW!G:G)+SUMIF(O_CWP_FUT!$A:$A,$A44,O_CWP_FUT!G:G)</f>
        <v>0</v>
      </c>
      <c r="H44" s="800">
        <f>SUMIF(O_CWP_NOW!$A:$A,$A44,O_CWP_NOW!H:H)+SUMIF(O_CWP_FUT!$A:$A,$A44,O_CWP_FUT!H:H)</f>
        <v>0</v>
      </c>
      <c r="I44" s="800">
        <f>SUMIF(O_CWP_NOW!$A:$A,$A44,O_CWP_NOW!I:I)+SUMIF(O_CWP_FUT!$A:$A,$A44,O_CWP_FUT!I:I)</f>
        <v>0</v>
      </c>
      <c r="J44" s="800">
        <f>SUMIF(O_CWP_NOW!$A:$A,$A44,O_CWP_NOW!J:J)+SUMIF(O_CWP_FUT!$A:$A,$A44,O_CWP_FUT!J:J)</f>
        <v>0</v>
      </c>
      <c r="K44" s="800">
        <f>SUMIF(O_CWP_NOW!$A:$A,$A44,O_CWP_NOW!K:K)+SUMIF(O_CWP_FUT!$A:$A,$A44,O_CWP_FUT!K:K)</f>
        <v>0</v>
      </c>
      <c r="L44" s="800">
        <f>SUMIF(O_CWP_NOW!$A:$A,$A44,O_CWP_NOW!L:L)+SUMIF(O_CWP_FUT!$A:$A,$A44,O_CWP_FUT!L:L)</f>
        <v>0</v>
      </c>
      <c r="M44" s="800">
        <f>SUMIF(O_CWP_NOW!$A:$A,$A44,O_CWP_NOW!M:M)+SUMIF(O_CWP_FUT!$A:$A,$A44,O_CWP_FUT!M:M)</f>
        <v>0</v>
      </c>
      <c r="N44" s="800">
        <f>SUMIF(O_CWP_NOW!$A:$A,$A44,O_CWP_NOW!N:N)+SUMIF(O_CWP_FUT!$A:$A,$A44,O_CWP_FUT!N:N)</f>
        <v>0</v>
      </c>
      <c r="O44" s="800">
        <f t="shared" si="2"/>
        <v>0</v>
      </c>
      <c r="P44" s="40"/>
      <c r="R44" s="29"/>
      <c r="S44" s="29"/>
    </row>
    <row r="45" spans="1:19" ht="13" hidden="1">
      <c r="A45" s="22" t="s">
        <v>2706</v>
      </c>
      <c r="B45" s="31" t="s">
        <v>1220</v>
      </c>
      <c r="C45" s="58" t="s">
        <v>7013</v>
      </c>
      <c r="D45" s="800">
        <f>SUMIF(O_CWP_NOW!$A:$A,$A45,O_CWP_NOW!D:D)+SUMIF(O_CWP_FUT!$A:$A,$A45,O_CWP_FUT!D:D)</f>
        <v>0</v>
      </c>
      <c r="E45" s="800">
        <f>SUMIF(O_CWP_NOW!$A:$A,$A45,O_CWP_NOW!E:E)+SUMIF(O_CWP_FUT!$A:$A,$A45,O_CWP_FUT!E:E)</f>
        <v>0</v>
      </c>
      <c r="F45" s="800">
        <f>SUMIF(O_CWP_NOW!$A:$A,$A45,O_CWP_NOW!F:F)+SUMIF(O_CWP_FUT!$A:$A,$A45,O_CWP_FUT!F:F)</f>
        <v>0</v>
      </c>
      <c r="G45" s="800">
        <f>SUMIF(O_CWP_NOW!$A:$A,$A45,O_CWP_NOW!G:G)+SUMIF(O_CWP_FUT!$A:$A,$A45,O_CWP_FUT!G:G)</f>
        <v>0</v>
      </c>
      <c r="H45" s="800">
        <f>SUMIF(O_CWP_NOW!$A:$A,$A45,O_CWP_NOW!H:H)+SUMIF(O_CWP_FUT!$A:$A,$A45,O_CWP_FUT!H:H)</f>
        <v>0</v>
      </c>
      <c r="I45" s="800">
        <f>SUMIF(O_CWP_NOW!$A:$A,$A45,O_CWP_NOW!I:I)+SUMIF(O_CWP_FUT!$A:$A,$A45,O_CWP_FUT!I:I)</f>
        <v>0</v>
      </c>
      <c r="J45" s="800">
        <f>SUMIF(O_CWP_NOW!$A:$A,$A45,O_CWP_NOW!J:J)+SUMIF(O_CWP_FUT!$A:$A,$A45,O_CWP_FUT!J:J)</f>
        <v>0</v>
      </c>
      <c r="K45" s="800">
        <f>SUMIF(O_CWP_NOW!$A:$A,$A45,O_CWP_NOW!K:K)+SUMIF(O_CWP_FUT!$A:$A,$A45,O_CWP_FUT!K:K)</f>
        <v>0</v>
      </c>
      <c r="L45" s="800">
        <f>SUMIF(O_CWP_NOW!$A:$A,$A45,O_CWP_NOW!L:L)+SUMIF(O_CWP_FUT!$A:$A,$A45,O_CWP_FUT!L:L)</f>
        <v>0</v>
      </c>
      <c r="M45" s="800">
        <f>SUMIF(O_CWP_NOW!$A:$A,$A45,O_CWP_NOW!M:M)+SUMIF(O_CWP_FUT!$A:$A,$A45,O_CWP_FUT!M:M)</f>
        <v>0</v>
      </c>
      <c r="N45" s="800">
        <f>SUMIF(O_CWP_NOW!$A:$A,$A45,O_CWP_NOW!N:N)+SUMIF(O_CWP_FUT!$A:$A,$A45,O_CWP_FUT!N:N)</f>
        <v>0</v>
      </c>
      <c r="O45" s="800">
        <f t="shared" si="2"/>
        <v>0</v>
      </c>
      <c r="P45" s="40"/>
      <c r="R45" s="29"/>
      <c r="S45" s="29"/>
    </row>
    <row r="46" spans="1:19" ht="13" hidden="1">
      <c r="A46" s="22" t="s">
        <v>2708</v>
      </c>
      <c r="B46" s="31" t="s">
        <v>1220</v>
      </c>
      <c r="C46" s="58" t="s">
        <v>7013</v>
      </c>
      <c r="D46" s="800">
        <f>SUMIF(O_CWP_NOW!$A:$A,$A46,O_CWP_NOW!D:D)+SUMIF(O_CWP_FUT!$A:$A,$A46,O_CWP_FUT!D:D)</f>
        <v>0</v>
      </c>
      <c r="E46" s="800">
        <f>SUMIF(O_CWP_NOW!$A:$A,$A46,O_CWP_NOW!E:E)+SUMIF(O_CWP_FUT!$A:$A,$A46,O_CWP_FUT!E:E)</f>
        <v>0</v>
      </c>
      <c r="F46" s="800">
        <f>SUMIF(O_CWP_NOW!$A:$A,$A46,O_CWP_NOW!F:F)+SUMIF(O_CWP_FUT!$A:$A,$A46,O_CWP_FUT!F:F)</f>
        <v>0</v>
      </c>
      <c r="G46" s="800">
        <f>SUMIF(O_CWP_NOW!$A:$A,$A46,O_CWP_NOW!G:G)+SUMIF(O_CWP_FUT!$A:$A,$A46,O_CWP_FUT!G:G)</f>
        <v>0</v>
      </c>
      <c r="H46" s="800">
        <f>SUMIF(O_CWP_NOW!$A:$A,$A46,O_CWP_NOW!H:H)+SUMIF(O_CWP_FUT!$A:$A,$A46,O_CWP_FUT!H:H)</f>
        <v>0</v>
      </c>
      <c r="I46" s="800">
        <f>SUMIF(O_CWP_NOW!$A:$A,$A46,O_CWP_NOW!I:I)+SUMIF(O_CWP_FUT!$A:$A,$A46,O_CWP_FUT!I:I)</f>
        <v>0</v>
      </c>
      <c r="J46" s="800">
        <f>SUMIF(O_CWP_NOW!$A:$A,$A46,O_CWP_NOW!J:J)+SUMIF(O_CWP_FUT!$A:$A,$A46,O_CWP_FUT!J:J)</f>
        <v>0</v>
      </c>
      <c r="K46" s="800">
        <f>SUMIF(O_CWP_NOW!$A:$A,$A46,O_CWP_NOW!K:K)+SUMIF(O_CWP_FUT!$A:$A,$A46,O_CWP_FUT!K:K)</f>
        <v>0</v>
      </c>
      <c r="L46" s="800">
        <f>SUMIF(O_CWP_NOW!$A:$A,$A46,O_CWP_NOW!L:L)+SUMIF(O_CWP_FUT!$A:$A,$A46,O_CWP_FUT!L:L)</f>
        <v>0</v>
      </c>
      <c r="M46" s="800">
        <f>SUMIF(O_CWP_NOW!$A:$A,$A46,O_CWP_NOW!M:M)+SUMIF(O_CWP_FUT!$A:$A,$A46,O_CWP_FUT!M:M)</f>
        <v>0</v>
      </c>
      <c r="N46" s="800">
        <f>SUMIF(O_CWP_NOW!$A:$A,$A46,O_CWP_NOW!N:N)+SUMIF(O_CWP_FUT!$A:$A,$A46,O_CWP_FUT!N:N)</f>
        <v>0</v>
      </c>
      <c r="O46" s="800">
        <f t="shared" si="2"/>
        <v>0</v>
      </c>
      <c r="P46" s="40"/>
      <c r="R46" s="29"/>
      <c r="S46" s="29"/>
    </row>
    <row r="47" spans="1:19" ht="13" hidden="1">
      <c r="A47" s="22" t="s">
        <v>2710</v>
      </c>
      <c r="B47" s="31" t="s">
        <v>1220</v>
      </c>
      <c r="C47" s="58" t="s">
        <v>7013</v>
      </c>
      <c r="D47" s="800">
        <f>SUMIF(O_CWP_NOW!$A:$A,$A47,O_CWP_NOW!D:D)+SUMIF(O_CWP_FUT!$A:$A,$A47,O_CWP_FUT!D:D)</f>
        <v>0</v>
      </c>
      <c r="E47" s="800">
        <f>SUMIF(O_CWP_NOW!$A:$A,$A47,O_CWP_NOW!E:E)+SUMIF(O_CWP_FUT!$A:$A,$A47,O_CWP_FUT!E:E)</f>
        <v>0</v>
      </c>
      <c r="F47" s="800">
        <f>SUMIF(O_CWP_NOW!$A:$A,$A47,O_CWP_NOW!F:F)+SUMIF(O_CWP_FUT!$A:$A,$A47,O_CWP_FUT!F:F)</f>
        <v>0</v>
      </c>
      <c r="G47" s="800">
        <f>SUMIF(O_CWP_NOW!$A:$A,$A47,O_CWP_NOW!G:G)+SUMIF(O_CWP_FUT!$A:$A,$A47,O_CWP_FUT!G:G)</f>
        <v>0</v>
      </c>
      <c r="H47" s="800">
        <f>SUMIF(O_CWP_NOW!$A:$A,$A47,O_CWP_NOW!H:H)+SUMIF(O_CWP_FUT!$A:$A,$A47,O_CWP_FUT!H:H)</f>
        <v>0</v>
      </c>
      <c r="I47" s="800">
        <f>SUMIF(O_CWP_NOW!$A:$A,$A47,O_CWP_NOW!I:I)+SUMIF(O_CWP_FUT!$A:$A,$A47,O_CWP_FUT!I:I)</f>
        <v>0</v>
      </c>
      <c r="J47" s="800">
        <f>SUMIF(O_CWP_NOW!$A:$A,$A47,O_CWP_NOW!J:J)+SUMIF(O_CWP_FUT!$A:$A,$A47,O_CWP_FUT!J:J)</f>
        <v>0</v>
      </c>
      <c r="K47" s="800">
        <f>SUMIF(O_CWP_NOW!$A:$A,$A47,O_CWP_NOW!K:K)+SUMIF(O_CWP_FUT!$A:$A,$A47,O_CWP_FUT!K:K)</f>
        <v>0</v>
      </c>
      <c r="L47" s="800">
        <f>SUMIF(O_CWP_NOW!$A:$A,$A47,O_CWP_NOW!L:L)+SUMIF(O_CWP_FUT!$A:$A,$A47,O_CWP_FUT!L:L)</f>
        <v>0</v>
      </c>
      <c r="M47" s="800">
        <f>SUMIF(O_CWP_NOW!$A:$A,$A47,O_CWP_NOW!M:M)+SUMIF(O_CWP_FUT!$A:$A,$A47,O_CWP_FUT!M:M)</f>
        <v>0</v>
      </c>
      <c r="N47" s="800">
        <f>SUMIF(O_CWP_NOW!$A:$A,$A47,O_CWP_NOW!N:N)+SUMIF(O_CWP_FUT!$A:$A,$A47,O_CWP_FUT!N:N)</f>
        <v>0</v>
      </c>
      <c r="O47" s="800">
        <f t="shared" si="2"/>
        <v>0</v>
      </c>
      <c r="P47" s="40"/>
      <c r="R47" s="29"/>
      <c r="S47" s="29"/>
    </row>
    <row r="48" spans="1:19" ht="13" hidden="1">
      <c r="A48" s="22" t="s">
        <v>2712</v>
      </c>
      <c r="B48" s="31" t="s">
        <v>1220</v>
      </c>
      <c r="C48" s="58" t="s">
        <v>7013</v>
      </c>
      <c r="D48" s="800">
        <f>SUMIF(O_CWP_NOW!$A:$A,$A48,O_CWP_NOW!D:D)+SUMIF(O_CWP_FUT!$A:$A,$A48,O_CWP_FUT!D:D)</f>
        <v>0</v>
      </c>
      <c r="E48" s="800">
        <f>SUMIF(O_CWP_NOW!$A:$A,$A48,O_CWP_NOW!E:E)+SUMIF(O_CWP_FUT!$A:$A,$A48,O_CWP_FUT!E:E)</f>
        <v>0</v>
      </c>
      <c r="F48" s="800">
        <f>SUMIF(O_CWP_NOW!$A:$A,$A48,O_CWP_NOW!F:F)+SUMIF(O_CWP_FUT!$A:$A,$A48,O_CWP_FUT!F:F)</f>
        <v>0</v>
      </c>
      <c r="G48" s="800">
        <f>SUMIF(O_CWP_NOW!$A:$A,$A48,O_CWP_NOW!G:G)+SUMIF(O_CWP_FUT!$A:$A,$A48,O_CWP_FUT!G:G)</f>
        <v>0</v>
      </c>
      <c r="H48" s="800">
        <f>SUMIF(O_CWP_NOW!$A:$A,$A48,O_CWP_NOW!H:H)+SUMIF(O_CWP_FUT!$A:$A,$A48,O_CWP_FUT!H:H)</f>
        <v>0</v>
      </c>
      <c r="I48" s="800">
        <f>SUMIF(O_CWP_NOW!$A:$A,$A48,O_CWP_NOW!I:I)+SUMIF(O_CWP_FUT!$A:$A,$A48,O_CWP_FUT!I:I)</f>
        <v>0</v>
      </c>
      <c r="J48" s="800">
        <f>SUMIF(O_CWP_NOW!$A:$A,$A48,O_CWP_NOW!J:J)+SUMIF(O_CWP_FUT!$A:$A,$A48,O_CWP_FUT!J:J)</f>
        <v>0</v>
      </c>
      <c r="K48" s="800">
        <f>SUMIF(O_CWP_NOW!$A:$A,$A48,O_CWP_NOW!K:K)+SUMIF(O_CWP_FUT!$A:$A,$A48,O_CWP_FUT!K:K)</f>
        <v>0</v>
      </c>
      <c r="L48" s="800">
        <f>SUMIF(O_CWP_NOW!$A:$A,$A48,O_CWP_NOW!L:L)+SUMIF(O_CWP_FUT!$A:$A,$A48,O_CWP_FUT!L:L)</f>
        <v>0</v>
      </c>
      <c r="M48" s="800">
        <f>SUMIF(O_CWP_NOW!$A:$A,$A48,O_CWP_NOW!M:M)+SUMIF(O_CWP_FUT!$A:$A,$A48,O_CWP_FUT!M:M)</f>
        <v>0</v>
      </c>
      <c r="N48" s="800">
        <f>SUMIF(O_CWP_NOW!$A:$A,$A48,O_CWP_NOW!N:N)+SUMIF(O_CWP_FUT!$A:$A,$A48,O_CWP_FUT!N:N)</f>
        <v>0</v>
      </c>
      <c r="O48" s="800">
        <f t="shared" si="2"/>
        <v>0</v>
      </c>
      <c r="P48" s="40"/>
      <c r="R48" s="29"/>
      <c r="S48" s="29"/>
    </row>
    <row r="49" spans="1:19" ht="13" hidden="1">
      <c r="A49" s="22" t="s">
        <v>2714</v>
      </c>
      <c r="B49" s="58" t="s">
        <v>2328</v>
      </c>
      <c r="C49" s="31" t="str">
        <f>VLOOKUP($A49,FA_Codes!$D$2:$G$249,4,FALSE)</f>
        <v>Auckland wide</v>
      </c>
      <c r="D49" s="800">
        <f>SUMIF(O_CWP_NOW!$A:$A,$A49,O_CWP_NOW!D:D)+SUMIF(O_CWP_FUT!$A:$A,$A49,O_CWP_FUT!D:D)</f>
        <v>0</v>
      </c>
      <c r="E49" s="800">
        <f>SUMIF(O_CWP_NOW!$A:$A,$A49,O_CWP_NOW!E:E)+SUMIF(O_CWP_FUT!$A:$A,$A49,O_CWP_FUT!E:E)</f>
        <v>0</v>
      </c>
      <c r="F49" s="800">
        <f>SUMIF(O_CWP_NOW!$A:$A,$A49,O_CWP_NOW!F:F)+SUMIF(O_CWP_FUT!$A:$A,$A49,O_CWP_FUT!F:F)</f>
        <v>0</v>
      </c>
      <c r="G49" s="800">
        <f>SUMIF(O_CWP_NOW!$A:$A,$A49,O_CWP_NOW!G:G)+SUMIF(O_CWP_FUT!$A:$A,$A49,O_CWP_FUT!G:G)</f>
        <v>0</v>
      </c>
      <c r="H49" s="800">
        <f>SUMIF(O_CWP_NOW!$A:$A,$A49,O_CWP_NOW!H:H)+SUMIF(O_CWP_FUT!$A:$A,$A49,O_CWP_FUT!H:H)</f>
        <v>0</v>
      </c>
      <c r="I49" s="800">
        <f>SUMIF(O_CWP_NOW!$A:$A,$A49,O_CWP_NOW!I:I)+SUMIF(O_CWP_FUT!$A:$A,$A49,O_CWP_FUT!I:I)</f>
        <v>0</v>
      </c>
      <c r="J49" s="800">
        <f>SUMIF(O_CWP_NOW!$A:$A,$A49,O_CWP_NOW!J:J)+SUMIF(O_CWP_FUT!$A:$A,$A49,O_CWP_FUT!J:J)</f>
        <v>0</v>
      </c>
      <c r="K49" s="800">
        <f>SUMIF(O_CWP_NOW!$A:$A,$A49,O_CWP_NOW!K:K)+SUMIF(O_CWP_FUT!$A:$A,$A49,O_CWP_FUT!K:K)</f>
        <v>0</v>
      </c>
      <c r="L49" s="800">
        <f>SUMIF(O_CWP_NOW!$A:$A,$A49,O_CWP_NOW!L:L)+SUMIF(O_CWP_FUT!$A:$A,$A49,O_CWP_FUT!L:L)</f>
        <v>0</v>
      </c>
      <c r="M49" s="800">
        <f>SUMIF(O_CWP_NOW!$A:$A,$A49,O_CWP_NOW!M:M)+SUMIF(O_CWP_FUT!$A:$A,$A49,O_CWP_FUT!M:M)</f>
        <v>0</v>
      </c>
      <c r="N49" s="800">
        <f>SUMIF(O_CWP_NOW!$A:$A,$A49,O_CWP_NOW!N:N)+SUMIF(O_CWP_FUT!$A:$A,$A49,O_CWP_FUT!N:N)</f>
        <v>0</v>
      </c>
      <c r="O49" s="800">
        <f>SUM(D49:N49)</f>
        <v>0</v>
      </c>
      <c r="P49" s="40"/>
      <c r="R49" s="29"/>
      <c r="S49" s="29"/>
    </row>
    <row r="50" spans="1:19" ht="13" hidden="1">
      <c r="A50" s="22" t="s">
        <v>2715</v>
      </c>
      <c r="B50" s="58" t="s">
        <v>2328</v>
      </c>
      <c r="C50" s="31" t="str">
        <f>VLOOKUP($A50,FA_Codes!$D$2:$G$249,4,FALSE)</f>
        <v>Area 2</v>
      </c>
      <c r="D50" s="800">
        <f>SUMIF(O_CWP_NOW!$A:$A,$A50,O_CWP_NOW!D:D)+SUMIF(O_CWP_FUT!$A:$A,$A50,O_CWP_FUT!D:D)</f>
        <v>0</v>
      </c>
      <c r="E50" s="800">
        <f>SUMIF(O_CWP_NOW!$A:$A,$A50,O_CWP_NOW!E:E)+SUMIF(O_CWP_FUT!$A:$A,$A50,O_CWP_FUT!E:E)</f>
        <v>0</v>
      </c>
      <c r="F50" s="800">
        <f>SUMIF(O_CWP_NOW!$A:$A,$A50,O_CWP_NOW!F:F)+SUMIF(O_CWP_FUT!$A:$A,$A50,O_CWP_FUT!F:F)</f>
        <v>0</v>
      </c>
      <c r="G50" s="800">
        <f>SUMIF(O_CWP_NOW!$A:$A,$A50,O_CWP_NOW!G:G)+SUMIF(O_CWP_FUT!$A:$A,$A50,O_CWP_FUT!G:G)</f>
        <v>0</v>
      </c>
      <c r="H50" s="800">
        <f>SUMIF(O_CWP_NOW!$A:$A,$A50,O_CWP_NOW!H:H)+SUMIF(O_CWP_FUT!$A:$A,$A50,O_CWP_FUT!H:H)</f>
        <v>0</v>
      </c>
      <c r="I50" s="800">
        <f>SUMIF(O_CWP_NOW!$A:$A,$A50,O_CWP_NOW!I:I)+SUMIF(O_CWP_FUT!$A:$A,$A50,O_CWP_FUT!I:I)</f>
        <v>0</v>
      </c>
      <c r="J50" s="800">
        <f>SUMIF(O_CWP_NOW!$A:$A,$A50,O_CWP_NOW!J:J)+SUMIF(O_CWP_FUT!$A:$A,$A50,O_CWP_FUT!J:J)</f>
        <v>0</v>
      </c>
      <c r="K50" s="800">
        <f>SUMIF(O_CWP_NOW!$A:$A,$A50,O_CWP_NOW!K:K)+SUMIF(O_CWP_FUT!$A:$A,$A50,O_CWP_FUT!K:K)</f>
        <v>0</v>
      </c>
      <c r="L50" s="800">
        <f>SUMIF(O_CWP_NOW!$A:$A,$A50,O_CWP_NOW!L:L)+SUMIF(O_CWP_FUT!$A:$A,$A50,O_CWP_FUT!L:L)</f>
        <v>0</v>
      </c>
      <c r="M50" s="800">
        <f>SUMIF(O_CWP_NOW!$A:$A,$A50,O_CWP_NOW!M:M)+SUMIF(O_CWP_FUT!$A:$A,$A50,O_CWP_FUT!M:M)</f>
        <v>0</v>
      </c>
      <c r="N50" s="800">
        <f>SUMIF(O_CWP_NOW!$A:$A,$A50,O_CWP_NOW!N:N)+SUMIF(O_CWP_FUT!$A:$A,$A50,O_CWP_FUT!N:N)</f>
        <v>0</v>
      </c>
      <c r="O50" s="800">
        <f t="shared" ref="O50:O65" si="3">SUM(D50:N50)</f>
        <v>0</v>
      </c>
      <c r="P50" s="40"/>
      <c r="R50" s="29"/>
      <c r="S50" s="29"/>
    </row>
    <row r="51" spans="1:19" ht="13" hidden="1">
      <c r="A51" s="22" t="s">
        <v>2716</v>
      </c>
      <c r="B51" s="58" t="s">
        <v>2328</v>
      </c>
      <c r="C51" s="31" t="str">
        <f>VLOOKUP($A51,FA_Codes!$D$2:$G$249,4,FALSE)</f>
        <v>Area 3</v>
      </c>
      <c r="D51" s="800">
        <f>SUMIF(O_CWP_NOW!$A:$A,$A51,O_CWP_NOW!D:D)+SUMIF(O_CWP_FUT!$A:$A,$A51,O_CWP_FUT!D:D)</f>
        <v>0</v>
      </c>
      <c r="E51" s="800">
        <f>SUMIF(O_CWP_NOW!$A:$A,$A51,O_CWP_NOW!E:E)+SUMIF(O_CWP_FUT!$A:$A,$A51,O_CWP_FUT!E:E)</f>
        <v>0</v>
      </c>
      <c r="F51" s="800">
        <f>SUMIF(O_CWP_NOW!$A:$A,$A51,O_CWP_NOW!F:F)+SUMIF(O_CWP_FUT!$A:$A,$A51,O_CWP_FUT!F:F)</f>
        <v>0</v>
      </c>
      <c r="G51" s="800">
        <f>SUMIF(O_CWP_NOW!$A:$A,$A51,O_CWP_NOW!G:G)+SUMIF(O_CWP_FUT!$A:$A,$A51,O_CWP_FUT!G:G)</f>
        <v>0</v>
      </c>
      <c r="H51" s="800">
        <f>SUMIF(O_CWP_NOW!$A:$A,$A51,O_CWP_NOW!H:H)+SUMIF(O_CWP_FUT!$A:$A,$A51,O_CWP_FUT!H:H)</f>
        <v>0</v>
      </c>
      <c r="I51" s="800">
        <f>SUMIF(O_CWP_NOW!$A:$A,$A51,O_CWP_NOW!I:I)+SUMIF(O_CWP_FUT!$A:$A,$A51,O_CWP_FUT!I:I)</f>
        <v>0</v>
      </c>
      <c r="J51" s="800">
        <f>SUMIF(O_CWP_NOW!$A:$A,$A51,O_CWP_NOW!J:J)+SUMIF(O_CWP_FUT!$A:$A,$A51,O_CWP_FUT!J:J)</f>
        <v>0</v>
      </c>
      <c r="K51" s="800">
        <f>SUMIF(O_CWP_NOW!$A:$A,$A51,O_CWP_NOW!K:K)+SUMIF(O_CWP_FUT!$A:$A,$A51,O_CWP_FUT!K:K)</f>
        <v>0</v>
      </c>
      <c r="L51" s="800">
        <f>SUMIF(O_CWP_NOW!$A:$A,$A51,O_CWP_NOW!L:L)+SUMIF(O_CWP_FUT!$A:$A,$A51,O_CWP_FUT!L:L)</f>
        <v>0</v>
      </c>
      <c r="M51" s="800">
        <f>SUMIF(O_CWP_NOW!$A:$A,$A51,O_CWP_NOW!M:M)+SUMIF(O_CWP_FUT!$A:$A,$A51,O_CWP_FUT!M:M)</f>
        <v>0</v>
      </c>
      <c r="N51" s="800">
        <f>SUMIF(O_CWP_NOW!$A:$A,$A51,O_CWP_NOW!N:N)+SUMIF(O_CWP_FUT!$A:$A,$A51,O_CWP_FUT!N:N)</f>
        <v>0</v>
      </c>
      <c r="O51" s="800">
        <f t="shared" si="3"/>
        <v>0</v>
      </c>
      <c r="P51" s="40"/>
      <c r="R51" s="29"/>
      <c r="S51" s="29"/>
    </row>
    <row r="52" spans="1:19" ht="13" hidden="1">
      <c r="A52" s="22" t="s">
        <v>2717</v>
      </c>
      <c r="B52" s="58" t="s">
        <v>2328</v>
      </c>
      <c r="C52" s="31" t="str">
        <f>VLOOKUP($A52,FA_Codes!$D$2:$G$249,4,FALSE)</f>
        <v>Area 4</v>
      </c>
      <c r="D52" s="800">
        <f>SUMIF(O_CWP_NOW!$A:$A,$A52,O_CWP_NOW!D:D)+SUMIF(O_CWP_FUT!$A:$A,$A52,O_CWP_FUT!D:D)</f>
        <v>0</v>
      </c>
      <c r="E52" s="800">
        <f>SUMIF(O_CWP_NOW!$A:$A,$A52,O_CWP_NOW!E:E)+SUMIF(O_CWP_FUT!$A:$A,$A52,O_CWP_FUT!E:E)</f>
        <v>0</v>
      </c>
      <c r="F52" s="800">
        <f>SUMIF(O_CWP_NOW!$A:$A,$A52,O_CWP_NOW!F:F)+SUMIF(O_CWP_FUT!$A:$A,$A52,O_CWP_FUT!F:F)</f>
        <v>0</v>
      </c>
      <c r="G52" s="800">
        <f>SUMIF(O_CWP_NOW!$A:$A,$A52,O_CWP_NOW!G:G)+SUMIF(O_CWP_FUT!$A:$A,$A52,O_CWP_FUT!G:G)</f>
        <v>0</v>
      </c>
      <c r="H52" s="800">
        <f>SUMIF(O_CWP_NOW!$A:$A,$A52,O_CWP_NOW!H:H)+SUMIF(O_CWP_FUT!$A:$A,$A52,O_CWP_FUT!H:H)</f>
        <v>0</v>
      </c>
      <c r="I52" s="800">
        <f>SUMIF(O_CWP_NOW!$A:$A,$A52,O_CWP_NOW!I:I)+SUMIF(O_CWP_FUT!$A:$A,$A52,O_CWP_FUT!I:I)</f>
        <v>0</v>
      </c>
      <c r="J52" s="800">
        <f>SUMIF(O_CWP_NOW!$A:$A,$A52,O_CWP_NOW!J:J)+SUMIF(O_CWP_FUT!$A:$A,$A52,O_CWP_FUT!J:J)</f>
        <v>0</v>
      </c>
      <c r="K52" s="800">
        <f>SUMIF(O_CWP_NOW!$A:$A,$A52,O_CWP_NOW!K:K)+SUMIF(O_CWP_FUT!$A:$A,$A52,O_CWP_FUT!K:K)</f>
        <v>0</v>
      </c>
      <c r="L52" s="800">
        <f>SUMIF(O_CWP_NOW!$A:$A,$A52,O_CWP_NOW!L:L)+SUMIF(O_CWP_FUT!$A:$A,$A52,O_CWP_FUT!L:L)</f>
        <v>0</v>
      </c>
      <c r="M52" s="800">
        <f>SUMIF(O_CWP_NOW!$A:$A,$A52,O_CWP_NOW!M:M)+SUMIF(O_CWP_FUT!$A:$A,$A52,O_CWP_FUT!M:M)</f>
        <v>0</v>
      </c>
      <c r="N52" s="800">
        <f>SUMIF(O_CWP_NOW!$A:$A,$A52,O_CWP_NOW!N:N)+SUMIF(O_CWP_FUT!$A:$A,$A52,O_CWP_FUT!N:N)</f>
        <v>0</v>
      </c>
      <c r="O52" s="800">
        <f t="shared" si="3"/>
        <v>0</v>
      </c>
      <c r="P52" s="40"/>
      <c r="R52" s="29"/>
      <c r="S52" s="29"/>
    </row>
    <row r="53" spans="1:19" ht="13" hidden="1">
      <c r="A53" s="22" t="s">
        <v>2718</v>
      </c>
      <c r="B53" s="58" t="s">
        <v>2328</v>
      </c>
      <c r="C53" s="31" t="str">
        <f>VLOOKUP($A53,FA_Codes!$D$2:$G$249,4,FALSE)</f>
        <v>Warkworth</v>
      </c>
      <c r="D53" s="800">
        <f>SUMIF(O_CWP_NOW!$A:$A,$A53,O_CWP_NOW!D:D)+SUMIF(O_CWP_FUT!$A:$A,$A53,O_CWP_FUT!D:D)</f>
        <v>0</v>
      </c>
      <c r="E53" s="800">
        <f>SUMIF(O_CWP_NOW!$A:$A,$A53,O_CWP_NOW!E:E)+SUMIF(O_CWP_FUT!$A:$A,$A53,O_CWP_FUT!E:E)</f>
        <v>0</v>
      </c>
      <c r="F53" s="800">
        <f>SUMIF(O_CWP_NOW!$A:$A,$A53,O_CWP_NOW!F:F)+SUMIF(O_CWP_FUT!$A:$A,$A53,O_CWP_FUT!F:F)</f>
        <v>0</v>
      </c>
      <c r="G53" s="800">
        <f>SUMIF(O_CWP_NOW!$A:$A,$A53,O_CWP_NOW!G:G)+SUMIF(O_CWP_FUT!$A:$A,$A53,O_CWP_FUT!G:G)</f>
        <v>0</v>
      </c>
      <c r="H53" s="800">
        <f>SUMIF(O_CWP_NOW!$A:$A,$A53,O_CWP_NOW!H:H)+SUMIF(O_CWP_FUT!$A:$A,$A53,O_CWP_FUT!H:H)</f>
        <v>0</v>
      </c>
      <c r="I53" s="800">
        <f>SUMIF(O_CWP_NOW!$A:$A,$A53,O_CWP_NOW!I:I)+SUMIF(O_CWP_FUT!$A:$A,$A53,O_CWP_FUT!I:I)</f>
        <v>0</v>
      </c>
      <c r="J53" s="800">
        <f>SUMIF(O_CWP_NOW!$A:$A,$A53,O_CWP_NOW!J:J)+SUMIF(O_CWP_FUT!$A:$A,$A53,O_CWP_FUT!J:J)</f>
        <v>0</v>
      </c>
      <c r="K53" s="800">
        <f>SUMIF(O_CWP_NOW!$A:$A,$A53,O_CWP_NOW!K:K)+SUMIF(O_CWP_FUT!$A:$A,$A53,O_CWP_FUT!K:K)</f>
        <v>0</v>
      </c>
      <c r="L53" s="800">
        <f>SUMIF(O_CWP_NOW!$A:$A,$A53,O_CWP_NOW!L:L)+SUMIF(O_CWP_FUT!$A:$A,$A53,O_CWP_FUT!L:L)</f>
        <v>0</v>
      </c>
      <c r="M53" s="800">
        <f>SUMIF(O_CWP_NOW!$A:$A,$A53,O_CWP_NOW!M:M)+SUMIF(O_CWP_FUT!$A:$A,$A53,O_CWP_FUT!M:M)</f>
        <v>0</v>
      </c>
      <c r="N53" s="800">
        <f>SUMIF(O_CWP_NOW!$A:$A,$A53,O_CWP_NOW!N:N)+SUMIF(O_CWP_FUT!$A:$A,$A53,O_CWP_FUT!N:N)</f>
        <v>0</v>
      </c>
      <c r="O53" s="800">
        <f t="shared" si="3"/>
        <v>0</v>
      </c>
      <c r="P53" s="40"/>
      <c r="R53" s="29"/>
      <c r="S53" s="29"/>
    </row>
    <row r="54" spans="1:19" ht="13" hidden="1">
      <c r="A54" s="22" t="s">
        <v>2719</v>
      </c>
      <c r="B54" s="58" t="s">
        <v>2328</v>
      </c>
      <c r="C54" s="31" t="str">
        <f>VLOOKUP($A54,FA_Codes!$D$2:$G$249,4,FALSE)</f>
        <v>Dairy Flat</v>
      </c>
      <c r="D54" s="800">
        <f>SUMIF(O_CWP_NOW!$A:$A,$A54,O_CWP_NOW!D:D)+SUMIF(O_CWP_FUT!$A:$A,$A54,O_CWP_FUT!D:D)</f>
        <v>0</v>
      </c>
      <c r="E54" s="800">
        <f>SUMIF(O_CWP_NOW!$A:$A,$A54,O_CWP_NOW!E:E)+SUMIF(O_CWP_FUT!$A:$A,$A54,O_CWP_FUT!E:E)</f>
        <v>0</v>
      </c>
      <c r="F54" s="800">
        <f>SUMIF(O_CWP_NOW!$A:$A,$A54,O_CWP_NOW!F:F)+SUMIF(O_CWP_FUT!$A:$A,$A54,O_CWP_FUT!F:F)</f>
        <v>0</v>
      </c>
      <c r="G54" s="800">
        <f>SUMIF(O_CWP_NOW!$A:$A,$A54,O_CWP_NOW!G:G)+SUMIF(O_CWP_FUT!$A:$A,$A54,O_CWP_FUT!G:G)</f>
        <v>0</v>
      </c>
      <c r="H54" s="800">
        <f>SUMIF(O_CWP_NOW!$A:$A,$A54,O_CWP_NOW!H:H)+SUMIF(O_CWP_FUT!$A:$A,$A54,O_CWP_FUT!H:H)</f>
        <v>0</v>
      </c>
      <c r="I54" s="800">
        <f>SUMIF(O_CWP_NOW!$A:$A,$A54,O_CWP_NOW!I:I)+SUMIF(O_CWP_FUT!$A:$A,$A54,O_CWP_FUT!I:I)</f>
        <v>0</v>
      </c>
      <c r="J54" s="800">
        <f>SUMIF(O_CWP_NOW!$A:$A,$A54,O_CWP_NOW!J:J)+SUMIF(O_CWP_FUT!$A:$A,$A54,O_CWP_FUT!J:J)</f>
        <v>0</v>
      </c>
      <c r="K54" s="800">
        <f>SUMIF(O_CWP_NOW!$A:$A,$A54,O_CWP_NOW!K:K)+SUMIF(O_CWP_FUT!$A:$A,$A54,O_CWP_FUT!K:K)</f>
        <v>0</v>
      </c>
      <c r="L54" s="800">
        <f>SUMIF(O_CWP_NOW!$A:$A,$A54,O_CWP_NOW!L:L)+SUMIF(O_CWP_FUT!$A:$A,$A54,O_CWP_FUT!L:L)</f>
        <v>0</v>
      </c>
      <c r="M54" s="800">
        <f>SUMIF(O_CWP_NOW!$A:$A,$A54,O_CWP_NOW!M:M)+SUMIF(O_CWP_FUT!$A:$A,$A54,O_CWP_FUT!M:M)</f>
        <v>0</v>
      </c>
      <c r="N54" s="800">
        <f>SUMIF(O_CWP_NOW!$A:$A,$A54,O_CWP_NOW!N:N)+SUMIF(O_CWP_FUT!$A:$A,$A54,O_CWP_FUT!N:N)</f>
        <v>0</v>
      </c>
      <c r="O54" s="800">
        <f t="shared" si="3"/>
        <v>0</v>
      </c>
      <c r="P54" s="40"/>
      <c r="R54" s="29"/>
      <c r="S54" s="29"/>
    </row>
    <row r="55" spans="1:19" ht="13" hidden="1">
      <c r="A55" s="22" t="s">
        <v>2720</v>
      </c>
      <c r="B55" s="58" t="s">
        <v>2328</v>
      </c>
      <c r="C55" s="31" t="str">
        <f>VLOOKUP($A55,FA_Codes!$D$2:$G$249,4,FALSE)</f>
        <v>Northwest</v>
      </c>
      <c r="D55" s="800">
        <f>SUMIF(O_CWP_NOW!$A:$A,$A55,O_CWP_NOW!D:D)+SUMIF(O_CWP_FUT!$A:$A,$A55,O_CWP_FUT!D:D)</f>
        <v>0</v>
      </c>
      <c r="E55" s="800">
        <f>SUMIF(O_CWP_NOW!$A:$A,$A55,O_CWP_NOW!E:E)+SUMIF(O_CWP_FUT!$A:$A,$A55,O_CWP_FUT!E:E)</f>
        <v>0</v>
      </c>
      <c r="F55" s="800">
        <f>SUMIF(O_CWP_NOW!$A:$A,$A55,O_CWP_NOW!F:F)+SUMIF(O_CWP_FUT!$A:$A,$A55,O_CWP_FUT!F:F)</f>
        <v>0</v>
      </c>
      <c r="G55" s="800">
        <f>SUMIF(O_CWP_NOW!$A:$A,$A55,O_CWP_NOW!G:G)+SUMIF(O_CWP_FUT!$A:$A,$A55,O_CWP_FUT!G:G)</f>
        <v>0</v>
      </c>
      <c r="H55" s="800">
        <f>SUMIF(O_CWP_NOW!$A:$A,$A55,O_CWP_NOW!H:H)+SUMIF(O_CWP_FUT!$A:$A,$A55,O_CWP_FUT!H:H)</f>
        <v>0</v>
      </c>
      <c r="I55" s="800">
        <f>SUMIF(O_CWP_NOW!$A:$A,$A55,O_CWP_NOW!I:I)+SUMIF(O_CWP_FUT!$A:$A,$A55,O_CWP_FUT!I:I)</f>
        <v>0</v>
      </c>
      <c r="J55" s="800">
        <f>SUMIF(O_CWP_NOW!$A:$A,$A55,O_CWP_NOW!J:J)+SUMIF(O_CWP_FUT!$A:$A,$A55,O_CWP_FUT!J:J)</f>
        <v>0</v>
      </c>
      <c r="K55" s="800">
        <f>SUMIF(O_CWP_NOW!$A:$A,$A55,O_CWP_NOW!K:K)+SUMIF(O_CWP_FUT!$A:$A,$A55,O_CWP_FUT!K:K)</f>
        <v>0</v>
      </c>
      <c r="L55" s="800">
        <f>SUMIF(O_CWP_NOW!$A:$A,$A55,O_CWP_NOW!L:L)+SUMIF(O_CWP_FUT!$A:$A,$A55,O_CWP_FUT!L:L)</f>
        <v>0</v>
      </c>
      <c r="M55" s="800">
        <f>SUMIF(O_CWP_NOW!$A:$A,$A55,O_CWP_NOW!M:M)+SUMIF(O_CWP_FUT!$A:$A,$A55,O_CWP_FUT!M:M)</f>
        <v>0</v>
      </c>
      <c r="N55" s="800">
        <f>SUMIF(O_CWP_NOW!$A:$A,$A55,O_CWP_NOW!N:N)+SUMIF(O_CWP_FUT!$A:$A,$A55,O_CWP_FUT!N:N)</f>
        <v>0</v>
      </c>
      <c r="O55" s="800">
        <f t="shared" si="3"/>
        <v>0</v>
      </c>
      <c r="P55" s="40"/>
      <c r="R55" s="29"/>
      <c r="S55" s="29"/>
    </row>
    <row r="56" spans="1:19" ht="13" hidden="1">
      <c r="A56" s="22" t="s">
        <v>2721</v>
      </c>
      <c r="B56" s="58" t="s">
        <v>2328</v>
      </c>
      <c r="C56" s="31" t="str">
        <f>VLOOKUP($A56,FA_Codes!$D$2:$G$249,4,FALSE)</f>
        <v>Area 8</v>
      </c>
      <c r="D56" s="800">
        <f>SUMIF(O_CWP_NOW!$A:$A,$A56,O_CWP_NOW!D:D)+SUMIF(O_CWP_FUT!$A:$A,$A56,O_CWP_FUT!D:D)</f>
        <v>0</v>
      </c>
      <c r="E56" s="800">
        <f>SUMIF(O_CWP_NOW!$A:$A,$A56,O_CWP_NOW!E:E)+SUMIF(O_CWP_FUT!$A:$A,$A56,O_CWP_FUT!E:E)</f>
        <v>0</v>
      </c>
      <c r="F56" s="800">
        <f>SUMIF(O_CWP_NOW!$A:$A,$A56,O_CWP_NOW!F:F)+SUMIF(O_CWP_FUT!$A:$A,$A56,O_CWP_FUT!F:F)</f>
        <v>0</v>
      </c>
      <c r="G56" s="800">
        <f>SUMIF(O_CWP_NOW!$A:$A,$A56,O_CWP_NOW!G:G)+SUMIF(O_CWP_FUT!$A:$A,$A56,O_CWP_FUT!G:G)</f>
        <v>0</v>
      </c>
      <c r="H56" s="800">
        <f>SUMIF(O_CWP_NOW!$A:$A,$A56,O_CWP_NOW!H:H)+SUMIF(O_CWP_FUT!$A:$A,$A56,O_CWP_FUT!H:H)</f>
        <v>0</v>
      </c>
      <c r="I56" s="800">
        <f>SUMIF(O_CWP_NOW!$A:$A,$A56,O_CWP_NOW!I:I)+SUMIF(O_CWP_FUT!$A:$A,$A56,O_CWP_FUT!I:I)</f>
        <v>0</v>
      </c>
      <c r="J56" s="800">
        <f>SUMIF(O_CWP_NOW!$A:$A,$A56,O_CWP_NOW!J:J)+SUMIF(O_CWP_FUT!$A:$A,$A56,O_CWP_FUT!J:J)</f>
        <v>0</v>
      </c>
      <c r="K56" s="800">
        <f>SUMIF(O_CWP_NOW!$A:$A,$A56,O_CWP_NOW!K:K)+SUMIF(O_CWP_FUT!$A:$A,$A56,O_CWP_FUT!K:K)</f>
        <v>0</v>
      </c>
      <c r="L56" s="800">
        <f>SUMIF(O_CWP_NOW!$A:$A,$A56,O_CWP_NOW!L:L)+SUMIF(O_CWP_FUT!$A:$A,$A56,O_CWP_FUT!L:L)</f>
        <v>0</v>
      </c>
      <c r="M56" s="800">
        <f>SUMIF(O_CWP_NOW!$A:$A,$A56,O_CWP_NOW!M:M)+SUMIF(O_CWP_FUT!$A:$A,$A56,O_CWP_FUT!M:M)</f>
        <v>0</v>
      </c>
      <c r="N56" s="800">
        <f>SUMIF(O_CWP_NOW!$A:$A,$A56,O_CWP_NOW!N:N)+SUMIF(O_CWP_FUT!$A:$A,$A56,O_CWP_FUT!N:N)</f>
        <v>0</v>
      </c>
      <c r="O56" s="800">
        <f t="shared" si="3"/>
        <v>0</v>
      </c>
      <c r="P56" s="40"/>
      <c r="R56" s="29"/>
      <c r="S56" s="29"/>
    </row>
    <row r="57" spans="1:19" ht="13" hidden="1">
      <c r="A57" s="22" t="s">
        <v>2722</v>
      </c>
      <c r="B57" s="58" t="s">
        <v>2328</v>
      </c>
      <c r="C57" s="31" t="str">
        <f>VLOOKUP($A57,FA_Codes!$D$2:$G$249,4,FALSE)</f>
        <v>Area 9</v>
      </c>
      <c r="D57" s="800">
        <f>SUMIF(O_CWP_NOW!$A:$A,$A57,O_CWP_NOW!D:D)+SUMIF(O_CWP_FUT!$A:$A,$A57,O_CWP_FUT!D:D)</f>
        <v>0</v>
      </c>
      <c r="E57" s="800">
        <f>SUMIF(O_CWP_NOW!$A:$A,$A57,O_CWP_NOW!E:E)+SUMIF(O_CWP_FUT!$A:$A,$A57,O_CWP_FUT!E:E)</f>
        <v>0</v>
      </c>
      <c r="F57" s="800">
        <f>SUMIF(O_CWP_NOW!$A:$A,$A57,O_CWP_NOW!F:F)+SUMIF(O_CWP_FUT!$A:$A,$A57,O_CWP_FUT!F:F)</f>
        <v>0</v>
      </c>
      <c r="G57" s="800">
        <f>SUMIF(O_CWP_NOW!$A:$A,$A57,O_CWP_NOW!G:G)+SUMIF(O_CWP_FUT!$A:$A,$A57,O_CWP_FUT!G:G)</f>
        <v>0</v>
      </c>
      <c r="H57" s="800">
        <f>SUMIF(O_CWP_NOW!$A:$A,$A57,O_CWP_NOW!H:H)+SUMIF(O_CWP_FUT!$A:$A,$A57,O_CWP_FUT!H:H)</f>
        <v>0</v>
      </c>
      <c r="I57" s="800">
        <f>SUMIF(O_CWP_NOW!$A:$A,$A57,O_CWP_NOW!I:I)+SUMIF(O_CWP_FUT!$A:$A,$A57,O_CWP_FUT!I:I)</f>
        <v>0</v>
      </c>
      <c r="J57" s="800">
        <f>SUMIF(O_CWP_NOW!$A:$A,$A57,O_CWP_NOW!J:J)+SUMIF(O_CWP_FUT!$A:$A,$A57,O_CWP_FUT!J:J)</f>
        <v>0</v>
      </c>
      <c r="K57" s="800">
        <f>SUMIF(O_CWP_NOW!$A:$A,$A57,O_CWP_NOW!K:K)+SUMIF(O_CWP_FUT!$A:$A,$A57,O_CWP_FUT!K:K)</f>
        <v>0</v>
      </c>
      <c r="L57" s="800">
        <f>SUMIF(O_CWP_NOW!$A:$A,$A57,O_CWP_NOW!L:L)+SUMIF(O_CWP_FUT!$A:$A,$A57,O_CWP_FUT!L:L)</f>
        <v>0</v>
      </c>
      <c r="M57" s="800">
        <f>SUMIF(O_CWP_NOW!$A:$A,$A57,O_CWP_NOW!M:M)+SUMIF(O_CWP_FUT!$A:$A,$A57,O_CWP_FUT!M:M)</f>
        <v>0</v>
      </c>
      <c r="N57" s="800">
        <f>SUMIF(O_CWP_NOW!$A:$A,$A57,O_CWP_NOW!N:N)+SUMIF(O_CWP_FUT!$A:$A,$A57,O_CWP_FUT!N:N)</f>
        <v>0</v>
      </c>
      <c r="O57" s="800">
        <f t="shared" si="3"/>
        <v>0</v>
      </c>
      <c r="P57" s="40"/>
      <c r="R57" s="29"/>
      <c r="S57" s="29"/>
    </row>
    <row r="58" spans="1:19" ht="13" hidden="1">
      <c r="A58" s="22" t="s">
        <v>2723</v>
      </c>
      <c r="B58" s="58" t="s">
        <v>2328</v>
      </c>
      <c r="C58" s="31" t="str">
        <f>VLOOKUP($A58,FA_Codes!$D$2:$G$249,4,FALSE)</f>
        <v>Flatbush</v>
      </c>
      <c r="D58" s="800">
        <f>SUMIF(O_CWP_NOW!$A:$A,$A58,O_CWP_NOW!D:D)+SUMIF(O_CWP_FUT!$A:$A,$A58,O_CWP_FUT!D:D)</f>
        <v>0</v>
      </c>
      <c r="E58" s="800">
        <f>SUMIF(O_CWP_NOW!$A:$A,$A58,O_CWP_NOW!E:E)+SUMIF(O_CWP_FUT!$A:$A,$A58,O_CWP_FUT!E:E)</f>
        <v>0</v>
      </c>
      <c r="F58" s="800">
        <f>SUMIF(O_CWP_NOW!$A:$A,$A58,O_CWP_NOW!F:F)+SUMIF(O_CWP_FUT!$A:$A,$A58,O_CWP_FUT!F:F)</f>
        <v>0</v>
      </c>
      <c r="G58" s="800">
        <f>SUMIF(O_CWP_NOW!$A:$A,$A58,O_CWP_NOW!G:G)+SUMIF(O_CWP_FUT!$A:$A,$A58,O_CWP_FUT!G:G)</f>
        <v>0</v>
      </c>
      <c r="H58" s="800">
        <f>SUMIF(O_CWP_NOW!$A:$A,$A58,O_CWP_NOW!H:H)+SUMIF(O_CWP_FUT!$A:$A,$A58,O_CWP_FUT!H:H)</f>
        <v>0</v>
      </c>
      <c r="I58" s="800">
        <f>SUMIF(O_CWP_NOW!$A:$A,$A58,O_CWP_NOW!I:I)+SUMIF(O_CWP_FUT!$A:$A,$A58,O_CWP_FUT!I:I)</f>
        <v>0</v>
      </c>
      <c r="J58" s="800">
        <f>SUMIF(O_CWP_NOW!$A:$A,$A58,O_CWP_NOW!J:J)+SUMIF(O_CWP_FUT!$A:$A,$A58,O_CWP_FUT!J:J)</f>
        <v>0</v>
      </c>
      <c r="K58" s="800">
        <f>SUMIF(O_CWP_NOW!$A:$A,$A58,O_CWP_NOW!K:K)+SUMIF(O_CWP_FUT!$A:$A,$A58,O_CWP_FUT!K:K)</f>
        <v>0</v>
      </c>
      <c r="L58" s="800">
        <f>SUMIF(O_CWP_NOW!$A:$A,$A58,O_CWP_NOW!L:L)+SUMIF(O_CWP_FUT!$A:$A,$A58,O_CWP_FUT!L:L)</f>
        <v>0</v>
      </c>
      <c r="M58" s="800">
        <f>SUMIF(O_CWP_NOW!$A:$A,$A58,O_CWP_NOW!M:M)+SUMIF(O_CWP_FUT!$A:$A,$A58,O_CWP_FUT!M:M)</f>
        <v>0</v>
      </c>
      <c r="N58" s="800">
        <f>SUMIF(O_CWP_NOW!$A:$A,$A58,O_CWP_NOW!N:N)+SUMIF(O_CWP_FUT!$A:$A,$A58,O_CWP_FUT!N:N)</f>
        <v>0</v>
      </c>
      <c r="O58" s="800">
        <f t="shared" si="3"/>
        <v>0</v>
      </c>
      <c r="P58" s="40"/>
      <c r="R58" s="29"/>
      <c r="S58" s="29"/>
    </row>
    <row r="59" spans="1:19" ht="13" hidden="1">
      <c r="A59" s="22" t="s">
        <v>2724</v>
      </c>
      <c r="B59" s="58" t="s">
        <v>2328</v>
      </c>
      <c r="C59" s="31" t="str">
        <f>VLOOKUP($A59,FA_Codes!$D$2:$G$249,4,FALSE)</f>
        <v>Takanini</v>
      </c>
      <c r="D59" s="800">
        <f>SUMIF(O_CWP_NOW!$A:$A,$A59,O_CWP_NOW!D:D)+SUMIF(O_CWP_FUT!$A:$A,$A59,O_CWP_FUT!D:D)</f>
        <v>0</v>
      </c>
      <c r="E59" s="800">
        <f>SUMIF(O_CWP_NOW!$A:$A,$A59,O_CWP_NOW!E:E)+SUMIF(O_CWP_FUT!$A:$A,$A59,O_CWP_FUT!E:E)</f>
        <v>0</v>
      </c>
      <c r="F59" s="800">
        <f>SUMIF(O_CWP_NOW!$A:$A,$A59,O_CWP_NOW!F:F)+SUMIF(O_CWP_FUT!$A:$A,$A59,O_CWP_FUT!F:F)</f>
        <v>0</v>
      </c>
      <c r="G59" s="800">
        <f>SUMIF(O_CWP_NOW!$A:$A,$A59,O_CWP_NOW!G:G)+SUMIF(O_CWP_FUT!$A:$A,$A59,O_CWP_FUT!G:G)</f>
        <v>0</v>
      </c>
      <c r="H59" s="800">
        <f>SUMIF(O_CWP_NOW!$A:$A,$A59,O_CWP_NOW!H:H)+SUMIF(O_CWP_FUT!$A:$A,$A59,O_CWP_FUT!H:H)</f>
        <v>0</v>
      </c>
      <c r="I59" s="800">
        <f>SUMIF(O_CWP_NOW!$A:$A,$A59,O_CWP_NOW!I:I)+SUMIF(O_CWP_FUT!$A:$A,$A59,O_CWP_FUT!I:I)</f>
        <v>0</v>
      </c>
      <c r="J59" s="800">
        <f>SUMIF(O_CWP_NOW!$A:$A,$A59,O_CWP_NOW!J:J)+SUMIF(O_CWP_FUT!$A:$A,$A59,O_CWP_FUT!J:J)</f>
        <v>0</v>
      </c>
      <c r="K59" s="800">
        <f>SUMIF(O_CWP_NOW!$A:$A,$A59,O_CWP_NOW!K:K)+SUMIF(O_CWP_FUT!$A:$A,$A59,O_CWP_FUT!K:K)</f>
        <v>0</v>
      </c>
      <c r="L59" s="800">
        <f>SUMIF(O_CWP_NOW!$A:$A,$A59,O_CWP_NOW!L:L)+SUMIF(O_CWP_FUT!$A:$A,$A59,O_CWP_FUT!L:L)</f>
        <v>0</v>
      </c>
      <c r="M59" s="800">
        <f>SUMIF(O_CWP_NOW!$A:$A,$A59,O_CWP_NOW!M:M)+SUMIF(O_CWP_FUT!$A:$A,$A59,O_CWP_FUT!M:M)</f>
        <v>0</v>
      </c>
      <c r="N59" s="800">
        <f>SUMIF(O_CWP_NOW!$A:$A,$A59,O_CWP_NOW!N:N)+SUMIF(O_CWP_FUT!$A:$A,$A59,O_CWP_FUT!N:N)</f>
        <v>0</v>
      </c>
      <c r="O59" s="800">
        <f t="shared" si="3"/>
        <v>0</v>
      </c>
      <c r="P59" s="40"/>
      <c r="R59" s="29"/>
      <c r="S59" s="29"/>
    </row>
    <row r="60" spans="1:19" ht="13" hidden="1">
      <c r="A60" s="22" t="s">
        <v>2726</v>
      </c>
      <c r="B60" s="58" t="s">
        <v>2328</v>
      </c>
      <c r="C60" s="31" t="str">
        <f>VLOOKUP($A60,FA_Codes!$D$2:$G$249,4,FALSE)</f>
        <v>Hingaia</v>
      </c>
      <c r="D60" s="800">
        <f>SUMIF(O_CWP_NOW!$A:$A,$A60,O_CWP_NOW!D:D)+SUMIF(O_CWP_FUT!$A:$A,$A60,O_CWP_FUT!D:D)</f>
        <v>0</v>
      </c>
      <c r="E60" s="800">
        <f>SUMIF(O_CWP_NOW!$A:$A,$A60,O_CWP_NOW!E:E)+SUMIF(O_CWP_FUT!$A:$A,$A60,O_CWP_FUT!E:E)</f>
        <v>0</v>
      </c>
      <c r="F60" s="800">
        <f>SUMIF(O_CWP_NOW!$A:$A,$A60,O_CWP_NOW!F:F)+SUMIF(O_CWP_FUT!$A:$A,$A60,O_CWP_FUT!F:F)</f>
        <v>0</v>
      </c>
      <c r="G60" s="800">
        <f>SUMIF(O_CWP_NOW!$A:$A,$A60,O_CWP_NOW!G:G)+SUMIF(O_CWP_FUT!$A:$A,$A60,O_CWP_FUT!G:G)</f>
        <v>0</v>
      </c>
      <c r="H60" s="800">
        <f>SUMIF(O_CWP_NOW!$A:$A,$A60,O_CWP_NOW!H:H)+SUMIF(O_CWP_FUT!$A:$A,$A60,O_CWP_FUT!H:H)</f>
        <v>0</v>
      </c>
      <c r="I60" s="800">
        <f>SUMIF(O_CWP_NOW!$A:$A,$A60,O_CWP_NOW!I:I)+SUMIF(O_CWP_FUT!$A:$A,$A60,O_CWP_FUT!I:I)</f>
        <v>0</v>
      </c>
      <c r="J60" s="800">
        <f>SUMIF(O_CWP_NOW!$A:$A,$A60,O_CWP_NOW!J:J)+SUMIF(O_CWP_FUT!$A:$A,$A60,O_CWP_FUT!J:J)</f>
        <v>0</v>
      </c>
      <c r="K60" s="800">
        <f>SUMIF(O_CWP_NOW!$A:$A,$A60,O_CWP_NOW!K:K)+SUMIF(O_CWP_FUT!$A:$A,$A60,O_CWP_FUT!K:K)</f>
        <v>0</v>
      </c>
      <c r="L60" s="800">
        <f>SUMIF(O_CWP_NOW!$A:$A,$A60,O_CWP_NOW!L:L)+SUMIF(O_CWP_FUT!$A:$A,$A60,O_CWP_FUT!L:L)</f>
        <v>0</v>
      </c>
      <c r="M60" s="800">
        <f>SUMIF(O_CWP_NOW!$A:$A,$A60,O_CWP_NOW!M:M)+SUMIF(O_CWP_FUT!$A:$A,$A60,O_CWP_FUT!M:M)</f>
        <v>0</v>
      </c>
      <c r="N60" s="800">
        <f>SUMIF(O_CWP_NOW!$A:$A,$A60,O_CWP_NOW!N:N)+SUMIF(O_CWP_FUT!$A:$A,$A60,O_CWP_FUT!N:N)</f>
        <v>0</v>
      </c>
      <c r="O60" s="800">
        <f t="shared" si="3"/>
        <v>0</v>
      </c>
      <c r="P60" s="40"/>
      <c r="R60" s="29"/>
      <c r="S60" s="29"/>
    </row>
    <row r="61" spans="1:19" ht="13" hidden="1">
      <c r="A61" s="22" t="s">
        <v>2727</v>
      </c>
      <c r="B61" s="58" t="s">
        <v>2328</v>
      </c>
      <c r="C61" s="31" t="str">
        <f>VLOOKUP($A61,FA_Codes!$D$2:$G$249,4,FALSE)</f>
        <v>Paerata / Pukekohe</v>
      </c>
      <c r="D61" s="800">
        <f>SUMIF(O_CWP_NOW!$A:$A,$A61,O_CWP_NOW!D:D)+SUMIF(O_CWP_FUT!$A:$A,$A61,O_CWP_FUT!D:D)</f>
        <v>0</v>
      </c>
      <c r="E61" s="800">
        <f>SUMIF(O_CWP_NOW!$A:$A,$A61,O_CWP_NOW!E:E)+SUMIF(O_CWP_FUT!$A:$A,$A61,O_CWP_FUT!E:E)</f>
        <v>0</v>
      </c>
      <c r="F61" s="800">
        <f>SUMIF(O_CWP_NOW!$A:$A,$A61,O_CWP_NOW!F:F)+SUMIF(O_CWP_FUT!$A:$A,$A61,O_CWP_FUT!F:F)</f>
        <v>0</v>
      </c>
      <c r="G61" s="800">
        <f>SUMIF(O_CWP_NOW!$A:$A,$A61,O_CWP_NOW!G:G)+SUMIF(O_CWP_FUT!$A:$A,$A61,O_CWP_FUT!G:G)</f>
        <v>0</v>
      </c>
      <c r="H61" s="800">
        <f>SUMIF(O_CWP_NOW!$A:$A,$A61,O_CWP_NOW!H:H)+SUMIF(O_CWP_FUT!$A:$A,$A61,O_CWP_FUT!H:H)</f>
        <v>0</v>
      </c>
      <c r="I61" s="800">
        <f>SUMIF(O_CWP_NOW!$A:$A,$A61,O_CWP_NOW!I:I)+SUMIF(O_CWP_FUT!$A:$A,$A61,O_CWP_FUT!I:I)</f>
        <v>0</v>
      </c>
      <c r="J61" s="800">
        <f>SUMIF(O_CWP_NOW!$A:$A,$A61,O_CWP_NOW!J:J)+SUMIF(O_CWP_FUT!$A:$A,$A61,O_CWP_FUT!J:J)</f>
        <v>0</v>
      </c>
      <c r="K61" s="800">
        <f>SUMIF(O_CWP_NOW!$A:$A,$A61,O_CWP_NOW!K:K)+SUMIF(O_CWP_FUT!$A:$A,$A61,O_CWP_FUT!K:K)</f>
        <v>0</v>
      </c>
      <c r="L61" s="800">
        <f>SUMIF(O_CWP_NOW!$A:$A,$A61,O_CWP_NOW!L:L)+SUMIF(O_CWP_FUT!$A:$A,$A61,O_CWP_FUT!L:L)</f>
        <v>0</v>
      </c>
      <c r="M61" s="800">
        <f>SUMIF(O_CWP_NOW!$A:$A,$A61,O_CWP_NOW!M:M)+SUMIF(O_CWP_FUT!$A:$A,$A61,O_CWP_FUT!M:M)</f>
        <v>0</v>
      </c>
      <c r="N61" s="800">
        <f>SUMIF(O_CWP_NOW!$A:$A,$A61,O_CWP_NOW!N:N)+SUMIF(O_CWP_FUT!$A:$A,$A61,O_CWP_FUT!N:N)</f>
        <v>0</v>
      </c>
      <c r="O61" s="800">
        <f t="shared" si="3"/>
        <v>0</v>
      </c>
      <c r="P61" s="40"/>
      <c r="R61" s="29"/>
      <c r="S61" s="29"/>
    </row>
    <row r="62" spans="1:19" ht="13" hidden="1">
      <c r="A62" s="22" t="s">
        <v>2728</v>
      </c>
      <c r="B62" s="58" t="s">
        <v>2328</v>
      </c>
      <c r="C62" s="31" t="str">
        <f>VLOOKUP($A62,FA_Codes!$D$2:$G$249,4,FALSE)</f>
        <v>Hibiscus</v>
      </c>
      <c r="D62" s="800">
        <f>SUMIF(O_CWP_NOW!$A:$A,$A62,O_CWP_NOW!D:D)+SUMIF(O_CWP_FUT!$A:$A,$A62,O_CWP_FUT!D:D)</f>
        <v>0</v>
      </c>
      <c r="E62" s="800">
        <f>SUMIF(O_CWP_NOW!$A:$A,$A62,O_CWP_NOW!E:E)+SUMIF(O_CWP_FUT!$A:$A,$A62,O_CWP_FUT!E:E)</f>
        <v>0</v>
      </c>
      <c r="F62" s="800">
        <f>SUMIF(O_CWP_NOW!$A:$A,$A62,O_CWP_NOW!F:F)+SUMIF(O_CWP_FUT!$A:$A,$A62,O_CWP_FUT!F:F)</f>
        <v>0</v>
      </c>
      <c r="G62" s="800">
        <f>SUMIF(O_CWP_NOW!$A:$A,$A62,O_CWP_NOW!G:G)+SUMIF(O_CWP_FUT!$A:$A,$A62,O_CWP_FUT!G:G)</f>
        <v>0</v>
      </c>
      <c r="H62" s="800">
        <f>SUMIF(O_CWP_NOW!$A:$A,$A62,O_CWP_NOW!H:H)+SUMIF(O_CWP_FUT!$A:$A,$A62,O_CWP_FUT!H:H)</f>
        <v>0</v>
      </c>
      <c r="I62" s="800">
        <f>SUMIF(O_CWP_NOW!$A:$A,$A62,O_CWP_NOW!I:I)+SUMIF(O_CWP_FUT!$A:$A,$A62,O_CWP_FUT!I:I)</f>
        <v>0</v>
      </c>
      <c r="J62" s="800">
        <f>SUMIF(O_CWP_NOW!$A:$A,$A62,O_CWP_NOW!J:J)+SUMIF(O_CWP_FUT!$A:$A,$A62,O_CWP_FUT!J:J)</f>
        <v>0</v>
      </c>
      <c r="K62" s="800">
        <f>SUMIF(O_CWP_NOW!$A:$A,$A62,O_CWP_NOW!K:K)+SUMIF(O_CWP_FUT!$A:$A,$A62,O_CWP_FUT!K:K)</f>
        <v>0</v>
      </c>
      <c r="L62" s="800">
        <f>SUMIF(O_CWP_NOW!$A:$A,$A62,O_CWP_NOW!L:L)+SUMIF(O_CWP_FUT!$A:$A,$A62,O_CWP_FUT!L:L)</f>
        <v>0</v>
      </c>
      <c r="M62" s="800">
        <f>SUMIF(O_CWP_NOW!$A:$A,$A62,O_CWP_NOW!M:M)+SUMIF(O_CWP_FUT!$A:$A,$A62,O_CWP_FUT!M:M)</f>
        <v>0</v>
      </c>
      <c r="N62" s="800">
        <f>SUMIF(O_CWP_NOW!$A:$A,$A62,O_CWP_NOW!N:N)+SUMIF(O_CWP_FUT!$A:$A,$A62,O_CWP_FUT!N:N)</f>
        <v>0</v>
      </c>
      <c r="O62" s="800">
        <f t="shared" si="3"/>
        <v>0</v>
      </c>
      <c r="P62" s="40"/>
      <c r="R62" s="29"/>
      <c r="S62" s="29"/>
    </row>
    <row r="63" spans="1:19" ht="13" hidden="1">
      <c r="A63" s="22" t="s">
        <v>2729</v>
      </c>
      <c r="B63" s="58" t="s">
        <v>2328</v>
      </c>
      <c r="C63" s="31" t="str">
        <f>VLOOKUP($A63,FA_Codes!$D$2:$G$249,4,FALSE)</f>
        <v>North Shore</v>
      </c>
      <c r="D63" s="800">
        <f>SUMIF(O_CWP_NOW!$A:$A,$A63,O_CWP_NOW!D:D)+SUMIF(O_CWP_FUT!$A:$A,$A63,O_CWP_FUT!D:D)</f>
        <v>0</v>
      </c>
      <c r="E63" s="800">
        <f>SUMIF(O_CWP_NOW!$A:$A,$A63,O_CWP_NOW!E:E)+SUMIF(O_CWP_FUT!$A:$A,$A63,O_CWP_FUT!E:E)</f>
        <v>0</v>
      </c>
      <c r="F63" s="800">
        <f>SUMIF(O_CWP_NOW!$A:$A,$A63,O_CWP_NOW!F:F)+SUMIF(O_CWP_FUT!$A:$A,$A63,O_CWP_FUT!F:F)</f>
        <v>0</v>
      </c>
      <c r="G63" s="800">
        <f>SUMIF(O_CWP_NOW!$A:$A,$A63,O_CWP_NOW!G:G)+SUMIF(O_CWP_FUT!$A:$A,$A63,O_CWP_FUT!G:G)</f>
        <v>0</v>
      </c>
      <c r="H63" s="800">
        <f>SUMIF(O_CWP_NOW!$A:$A,$A63,O_CWP_NOW!H:H)+SUMIF(O_CWP_FUT!$A:$A,$A63,O_CWP_FUT!H:H)</f>
        <v>0</v>
      </c>
      <c r="I63" s="800">
        <f>SUMIF(O_CWP_NOW!$A:$A,$A63,O_CWP_NOW!I:I)+SUMIF(O_CWP_FUT!$A:$A,$A63,O_CWP_FUT!I:I)</f>
        <v>0</v>
      </c>
      <c r="J63" s="800">
        <f>SUMIF(O_CWP_NOW!$A:$A,$A63,O_CWP_NOW!J:J)+SUMIF(O_CWP_FUT!$A:$A,$A63,O_CWP_FUT!J:J)</f>
        <v>0</v>
      </c>
      <c r="K63" s="800">
        <f>SUMIF(O_CWP_NOW!$A:$A,$A63,O_CWP_NOW!K:K)+SUMIF(O_CWP_FUT!$A:$A,$A63,O_CWP_FUT!K:K)</f>
        <v>0</v>
      </c>
      <c r="L63" s="800">
        <f>SUMIF(O_CWP_NOW!$A:$A,$A63,O_CWP_NOW!L:L)+SUMIF(O_CWP_FUT!$A:$A,$A63,O_CWP_FUT!L:L)</f>
        <v>0</v>
      </c>
      <c r="M63" s="800">
        <f>SUMIF(O_CWP_NOW!$A:$A,$A63,O_CWP_NOW!M:M)+SUMIF(O_CWP_FUT!$A:$A,$A63,O_CWP_FUT!M:M)</f>
        <v>0</v>
      </c>
      <c r="N63" s="800">
        <f>SUMIF(O_CWP_NOW!$A:$A,$A63,O_CWP_NOW!N:N)+SUMIF(O_CWP_FUT!$A:$A,$A63,O_CWP_FUT!N:N)</f>
        <v>0</v>
      </c>
      <c r="O63" s="800">
        <f t="shared" si="3"/>
        <v>0</v>
      </c>
      <c r="P63" s="40"/>
      <c r="R63" s="29"/>
      <c r="S63" s="29"/>
    </row>
    <row r="64" spans="1:19" ht="13" hidden="1">
      <c r="A64" s="22" t="s">
        <v>2730</v>
      </c>
      <c r="B64" s="58" t="s">
        <v>2328</v>
      </c>
      <c r="C64" s="31" t="str">
        <f>VLOOKUP($A64,FA_Codes!$D$2:$G$249,4,FALSE)</f>
        <v>West</v>
      </c>
      <c r="D64" s="800">
        <f>SUMIF(O_CWP_NOW!$A:$A,$A64,O_CWP_NOW!D:D)+SUMIF(O_CWP_FUT!$A:$A,$A64,O_CWP_FUT!D:D)</f>
        <v>0</v>
      </c>
      <c r="E64" s="800">
        <f>SUMIF(O_CWP_NOW!$A:$A,$A64,O_CWP_NOW!E:E)+SUMIF(O_CWP_FUT!$A:$A,$A64,O_CWP_FUT!E:E)</f>
        <v>0</v>
      </c>
      <c r="F64" s="800">
        <f>SUMIF(O_CWP_NOW!$A:$A,$A64,O_CWP_NOW!F:F)+SUMIF(O_CWP_FUT!$A:$A,$A64,O_CWP_FUT!F:F)</f>
        <v>0</v>
      </c>
      <c r="G64" s="800">
        <f>SUMIF(O_CWP_NOW!$A:$A,$A64,O_CWP_NOW!G:G)+SUMIF(O_CWP_FUT!$A:$A,$A64,O_CWP_FUT!G:G)</f>
        <v>0</v>
      </c>
      <c r="H64" s="800">
        <f>SUMIF(O_CWP_NOW!$A:$A,$A64,O_CWP_NOW!H:H)+SUMIF(O_CWP_FUT!$A:$A,$A64,O_CWP_FUT!H:H)</f>
        <v>0</v>
      </c>
      <c r="I64" s="800">
        <f>SUMIF(O_CWP_NOW!$A:$A,$A64,O_CWP_NOW!I:I)+SUMIF(O_CWP_FUT!$A:$A,$A64,O_CWP_FUT!I:I)</f>
        <v>0</v>
      </c>
      <c r="J64" s="800">
        <f>SUMIF(O_CWP_NOW!$A:$A,$A64,O_CWP_NOW!J:J)+SUMIF(O_CWP_FUT!$A:$A,$A64,O_CWP_FUT!J:J)</f>
        <v>0</v>
      </c>
      <c r="K64" s="800">
        <f>SUMIF(O_CWP_NOW!$A:$A,$A64,O_CWP_NOW!K:K)+SUMIF(O_CWP_FUT!$A:$A,$A64,O_CWP_FUT!K:K)</f>
        <v>0</v>
      </c>
      <c r="L64" s="800">
        <f>SUMIF(O_CWP_NOW!$A:$A,$A64,O_CWP_NOW!L:L)+SUMIF(O_CWP_FUT!$A:$A,$A64,O_CWP_FUT!L:L)</f>
        <v>0</v>
      </c>
      <c r="M64" s="800">
        <f>SUMIF(O_CWP_NOW!$A:$A,$A64,O_CWP_NOW!M:M)+SUMIF(O_CWP_FUT!$A:$A,$A64,O_CWP_FUT!M:M)</f>
        <v>0</v>
      </c>
      <c r="N64" s="800">
        <f>SUMIF(O_CWP_NOW!$A:$A,$A64,O_CWP_NOW!N:N)+SUMIF(O_CWP_FUT!$A:$A,$A64,O_CWP_FUT!N:N)</f>
        <v>0</v>
      </c>
      <c r="O64" s="800">
        <f t="shared" si="3"/>
        <v>0</v>
      </c>
      <c r="P64" s="40"/>
      <c r="R64" s="29"/>
      <c r="S64" s="29"/>
    </row>
    <row r="65" spans="1:19" ht="13" hidden="1">
      <c r="A65" s="22" t="s">
        <v>2731</v>
      </c>
      <c r="B65" s="58" t="s">
        <v>2328</v>
      </c>
      <c r="C65" s="31" t="str">
        <f>VLOOKUP($A65,FA_Codes!$D$2:$G$249,4,FALSE)</f>
        <v>Central</v>
      </c>
      <c r="D65" s="800">
        <f>SUMIF(O_CWP_NOW!$A:$A,$A65,O_CWP_NOW!D:D)+SUMIF(O_CWP_FUT!$A:$A,$A65,O_CWP_FUT!D:D)</f>
        <v>0</v>
      </c>
      <c r="E65" s="800">
        <f>SUMIF(O_CWP_NOW!$A:$A,$A65,O_CWP_NOW!E:E)+SUMIF(O_CWP_FUT!$A:$A,$A65,O_CWP_FUT!E:E)</f>
        <v>0</v>
      </c>
      <c r="F65" s="800">
        <f>SUMIF(O_CWP_NOW!$A:$A,$A65,O_CWP_NOW!F:F)+SUMIF(O_CWP_FUT!$A:$A,$A65,O_CWP_FUT!F:F)</f>
        <v>0</v>
      </c>
      <c r="G65" s="800">
        <f>SUMIF(O_CWP_NOW!$A:$A,$A65,O_CWP_NOW!G:G)+SUMIF(O_CWP_FUT!$A:$A,$A65,O_CWP_FUT!G:G)</f>
        <v>0</v>
      </c>
      <c r="H65" s="800">
        <f>SUMIF(O_CWP_NOW!$A:$A,$A65,O_CWP_NOW!H:H)+SUMIF(O_CWP_FUT!$A:$A,$A65,O_CWP_FUT!H:H)</f>
        <v>0</v>
      </c>
      <c r="I65" s="800">
        <f>SUMIF(O_CWP_NOW!$A:$A,$A65,O_CWP_NOW!I:I)+SUMIF(O_CWP_FUT!$A:$A,$A65,O_CWP_FUT!I:I)</f>
        <v>0</v>
      </c>
      <c r="J65" s="800">
        <f>SUMIF(O_CWP_NOW!$A:$A,$A65,O_CWP_NOW!J:J)+SUMIF(O_CWP_FUT!$A:$A,$A65,O_CWP_FUT!J:J)</f>
        <v>0</v>
      </c>
      <c r="K65" s="800">
        <f>SUMIF(O_CWP_NOW!$A:$A,$A65,O_CWP_NOW!K:K)+SUMIF(O_CWP_FUT!$A:$A,$A65,O_CWP_FUT!K:K)</f>
        <v>0</v>
      </c>
      <c r="L65" s="800">
        <f>SUMIF(O_CWP_NOW!$A:$A,$A65,O_CWP_NOW!L:L)+SUMIF(O_CWP_FUT!$A:$A,$A65,O_CWP_FUT!L:L)</f>
        <v>0</v>
      </c>
      <c r="M65" s="800">
        <f>SUMIF(O_CWP_NOW!$A:$A,$A65,O_CWP_NOW!M:M)+SUMIF(O_CWP_FUT!$A:$A,$A65,O_CWP_FUT!M:M)</f>
        <v>0</v>
      </c>
      <c r="N65" s="800">
        <f>SUMIF(O_CWP_NOW!$A:$A,$A65,O_CWP_NOW!N:N)+SUMIF(O_CWP_FUT!$A:$A,$A65,O_CWP_FUT!N:N)</f>
        <v>0</v>
      </c>
      <c r="O65" s="800">
        <f t="shared" si="3"/>
        <v>0</v>
      </c>
      <c r="P65" s="40"/>
      <c r="R65" s="29"/>
      <c r="S65" s="29"/>
    </row>
    <row r="66" spans="1:19" ht="13" hidden="1">
      <c r="A66" s="22" t="s">
        <v>2732</v>
      </c>
      <c r="B66" s="58" t="s">
        <v>2328</v>
      </c>
      <c r="C66" s="31" t="str">
        <f>VLOOKUP($A66,FA_Codes!$D$2:$G$249,4,FALSE)</f>
        <v>South (West)</v>
      </c>
      <c r="D66" s="800">
        <f>SUMIF(O_CWP_NOW!$A:$A,$A66,O_CWP_NOW!D:D)+SUMIF(O_CWP_FUT!$A:$A,$A66,O_CWP_FUT!D:D)</f>
        <v>0</v>
      </c>
      <c r="E66" s="800">
        <f>SUMIF(O_CWP_NOW!$A:$A,$A66,O_CWP_NOW!E:E)+SUMIF(O_CWP_FUT!$A:$A,$A66,O_CWP_FUT!E:E)</f>
        <v>0</v>
      </c>
      <c r="F66" s="800">
        <f>SUMIF(O_CWP_NOW!$A:$A,$A66,O_CWP_NOW!F:F)+SUMIF(O_CWP_FUT!$A:$A,$A66,O_CWP_FUT!F:F)</f>
        <v>0</v>
      </c>
      <c r="G66" s="800">
        <f>SUMIF(O_CWP_NOW!$A:$A,$A66,O_CWP_NOW!G:G)+SUMIF(O_CWP_FUT!$A:$A,$A66,O_CWP_FUT!G:G)</f>
        <v>0</v>
      </c>
      <c r="H66" s="800">
        <f>SUMIF(O_CWP_NOW!$A:$A,$A66,O_CWP_NOW!H:H)+SUMIF(O_CWP_FUT!$A:$A,$A66,O_CWP_FUT!H:H)</f>
        <v>0</v>
      </c>
      <c r="I66" s="800">
        <f>SUMIF(O_CWP_NOW!$A:$A,$A66,O_CWP_NOW!I:I)+SUMIF(O_CWP_FUT!$A:$A,$A66,O_CWP_FUT!I:I)</f>
        <v>0</v>
      </c>
      <c r="J66" s="800">
        <f>SUMIF(O_CWP_NOW!$A:$A,$A66,O_CWP_NOW!J:J)+SUMIF(O_CWP_FUT!$A:$A,$A66,O_CWP_FUT!J:J)</f>
        <v>0</v>
      </c>
      <c r="K66" s="800">
        <f>SUMIF(O_CWP_NOW!$A:$A,$A66,O_CWP_NOW!K:K)+SUMIF(O_CWP_FUT!$A:$A,$A66,O_CWP_FUT!K:K)</f>
        <v>0</v>
      </c>
      <c r="L66" s="800">
        <f>SUMIF(O_CWP_NOW!$A:$A,$A66,O_CWP_NOW!L:L)+SUMIF(O_CWP_FUT!$A:$A,$A66,O_CWP_FUT!L:L)</f>
        <v>0</v>
      </c>
      <c r="M66" s="800">
        <f>SUMIF(O_CWP_NOW!$A:$A,$A66,O_CWP_NOW!M:M)+SUMIF(O_CWP_FUT!$A:$A,$A66,O_CWP_FUT!M:M)</f>
        <v>0</v>
      </c>
      <c r="N66" s="800">
        <f>SUMIF(O_CWP_NOW!$A:$A,$A66,O_CWP_NOW!N:N)+SUMIF(O_CWP_FUT!$A:$A,$A66,O_CWP_FUT!N:N)</f>
        <v>0</v>
      </c>
      <c r="O66" s="800">
        <f t="shared" ref="O66:O73" si="4">SUM(D66:N66)</f>
        <v>0</v>
      </c>
      <c r="P66" s="40"/>
      <c r="R66" s="29"/>
      <c r="S66" s="29"/>
    </row>
    <row r="67" spans="1:19" ht="13" hidden="1">
      <c r="A67" s="22" t="s">
        <v>2733</v>
      </c>
      <c r="B67" s="58" t="s">
        <v>2328</v>
      </c>
      <c r="C67" s="31" t="str">
        <f>VLOOKUP($A67,FA_Codes!$D$2:$G$249,4,FALSE)</f>
        <v>South (East)</v>
      </c>
      <c r="D67" s="800">
        <f>SUMIF(O_CWP_NOW!$A:$A,$A67,O_CWP_NOW!D:D)+SUMIF(O_CWP_FUT!$A:$A,$A67,O_CWP_FUT!D:D)</f>
        <v>0</v>
      </c>
      <c r="E67" s="800">
        <f>SUMIF(O_CWP_NOW!$A:$A,$A67,O_CWP_NOW!E:E)+SUMIF(O_CWP_FUT!$A:$A,$A67,O_CWP_FUT!E:E)</f>
        <v>0</v>
      </c>
      <c r="F67" s="800">
        <f>SUMIF(O_CWP_NOW!$A:$A,$A67,O_CWP_NOW!F:F)+SUMIF(O_CWP_FUT!$A:$A,$A67,O_CWP_FUT!F:F)</f>
        <v>0</v>
      </c>
      <c r="G67" s="800">
        <f>SUMIF(O_CWP_NOW!$A:$A,$A67,O_CWP_NOW!G:G)+SUMIF(O_CWP_FUT!$A:$A,$A67,O_CWP_FUT!G:G)</f>
        <v>0</v>
      </c>
      <c r="H67" s="800">
        <f>SUMIF(O_CWP_NOW!$A:$A,$A67,O_CWP_NOW!H:H)+SUMIF(O_CWP_FUT!$A:$A,$A67,O_CWP_FUT!H:H)</f>
        <v>0</v>
      </c>
      <c r="I67" s="800">
        <f>SUMIF(O_CWP_NOW!$A:$A,$A67,O_CWP_NOW!I:I)+SUMIF(O_CWP_FUT!$A:$A,$A67,O_CWP_FUT!I:I)</f>
        <v>0</v>
      </c>
      <c r="J67" s="800">
        <f>SUMIF(O_CWP_NOW!$A:$A,$A67,O_CWP_NOW!J:J)+SUMIF(O_CWP_FUT!$A:$A,$A67,O_CWP_FUT!J:J)</f>
        <v>0</v>
      </c>
      <c r="K67" s="800">
        <f>SUMIF(O_CWP_NOW!$A:$A,$A67,O_CWP_NOW!K:K)+SUMIF(O_CWP_FUT!$A:$A,$A67,O_CWP_FUT!K:K)</f>
        <v>0</v>
      </c>
      <c r="L67" s="800">
        <f>SUMIF(O_CWP_NOW!$A:$A,$A67,O_CWP_NOW!L:L)+SUMIF(O_CWP_FUT!$A:$A,$A67,O_CWP_FUT!L:L)</f>
        <v>0</v>
      </c>
      <c r="M67" s="800">
        <f>SUMIF(O_CWP_NOW!$A:$A,$A67,O_CWP_NOW!M:M)+SUMIF(O_CWP_FUT!$A:$A,$A67,O_CWP_FUT!M:M)</f>
        <v>0</v>
      </c>
      <c r="N67" s="800">
        <f>SUMIF(O_CWP_NOW!$A:$A,$A67,O_CWP_NOW!N:N)+SUMIF(O_CWP_FUT!$A:$A,$A67,O_CWP_FUT!N:N)</f>
        <v>0</v>
      </c>
      <c r="O67" s="800">
        <f t="shared" si="4"/>
        <v>0</v>
      </c>
      <c r="P67" s="40"/>
      <c r="R67" s="29"/>
      <c r="S67" s="29"/>
    </row>
    <row r="68" spans="1:19" ht="13" hidden="1">
      <c r="A68" s="22" t="s">
        <v>2734</v>
      </c>
      <c r="B68" s="58" t="s">
        <v>2328</v>
      </c>
      <c r="C68" s="31" t="str">
        <f>VLOOKUP($A68,FA_Codes!$D$2:$G$249,4,FALSE)</f>
        <v>Rural North Upper</v>
      </c>
      <c r="D68" s="800">
        <f>SUMIF(O_CWP_NOW!$A:$A,$A68,O_CWP_NOW!D:D)+SUMIF(O_CWP_FUT!$A:$A,$A68,O_CWP_FUT!D:D)</f>
        <v>0</v>
      </c>
      <c r="E68" s="800">
        <f>SUMIF(O_CWP_NOW!$A:$A,$A68,O_CWP_NOW!E:E)+SUMIF(O_CWP_FUT!$A:$A,$A68,O_CWP_FUT!E:E)</f>
        <v>0</v>
      </c>
      <c r="F68" s="800">
        <f>SUMIF(O_CWP_NOW!$A:$A,$A68,O_CWP_NOW!F:F)+SUMIF(O_CWP_FUT!$A:$A,$A68,O_CWP_FUT!F:F)</f>
        <v>0</v>
      </c>
      <c r="G68" s="800">
        <f>SUMIF(O_CWP_NOW!$A:$A,$A68,O_CWP_NOW!G:G)+SUMIF(O_CWP_FUT!$A:$A,$A68,O_CWP_FUT!G:G)</f>
        <v>0</v>
      </c>
      <c r="H68" s="800">
        <f>SUMIF(O_CWP_NOW!$A:$A,$A68,O_CWP_NOW!H:H)+SUMIF(O_CWP_FUT!$A:$A,$A68,O_CWP_FUT!H:H)</f>
        <v>0</v>
      </c>
      <c r="I68" s="800">
        <f>SUMIF(O_CWP_NOW!$A:$A,$A68,O_CWP_NOW!I:I)+SUMIF(O_CWP_FUT!$A:$A,$A68,O_CWP_FUT!I:I)</f>
        <v>0</v>
      </c>
      <c r="J68" s="800">
        <f>SUMIF(O_CWP_NOW!$A:$A,$A68,O_CWP_NOW!J:J)+SUMIF(O_CWP_FUT!$A:$A,$A68,O_CWP_FUT!J:J)</f>
        <v>0</v>
      </c>
      <c r="K68" s="800">
        <f>SUMIF(O_CWP_NOW!$A:$A,$A68,O_CWP_NOW!K:K)+SUMIF(O_CWP_FUT!$A:$A,$A68,O_CWP_FUT!K:K)</f>
        <v>0</v>
      </c>
      <c r="L68" s="800">
        <f>SUMIF(O_CWP_NOW!$A:$A,$A68,O_CWP_NOW!L:L)+SUMIF(O_CWP_FUT!$A:$A,$A68,O_CWP_FUT!L:L)</f>
        <v>0</v>
      </c>
      <c r="M68" s="800">
        <f>SUMIF(O_CWP_NOW!$A:$A,$A68,O_CWP_NOW!M:M)+SUMIF(O_CWP_FUT!$A:$A,$A68,O_CWP_FUT!M:M)</f>
        <v>0</v>
      </c>
      <c r="N68" s="800">
        <f>SUMIF(O_CWP_NOW!$A:$A,$A68,O_CWP_NOW!N:N)+SUMIF(O_CWP_FUT!$A:$A,$A68,O_CWP_FUT!N:N)</f>
        <v>0</v>
      </c>
      <c r="O68" s="800">
        <f t="shared" si="4"/>
        <v>0</v>
      </c>
      <c r="P68" s="40"/>
      <c r="R68" s="29"/>
      <c r="S68" s="29"/>
    </row>
    <row r="69" spans="1:19" ht="13" hidden="1">
      <c r="A69" s="22" t="s">
        <v>2735</v>
      </c>
      <c r="B69" s="58" t="s">
        <v>2328</v>
      </c>
      <c r="C69" s="31" t="str">
        <f>VLOOKUP($A69,FA_Codes!$D$2:$G$249,4,FALSE)</f>
        <v>Rural North Lower</v>
      </c>
      <c r="D69" s="800">
        <f>SUMIF(O_CWP_NOW!$A:$A,$A69,O_CWP_NOW!D:D)+SUMIF(O_CWP_FUT!$A:$A,$A69,O_CWP_FUT!D:D)</f>
        <v>0</v>
      </c>
      <c r="E69" s="800">
        <f>SUMIF(O_CWP_NOW!$A:$A,$A69,O_CWP_NOW!E:E)+SUMIF(O_CWP_FUT!$A:$A,$A69,O_CWP_FUT!E:E)</f>
        <v>0</v>
      </c>
      <c r="F69" s="800">
        <f>SUMIF(O_CWP_NOW!$A:$A,$A69,O_CWP_NOW!F:F)+SUMIF(O_CWP_FUT!$A:$A,$A69,O_CWP_FUT!F:F)</f>
        <v>0</v>
      </c>
      <c r="G69" s="800">
        <f>SUMIF(O_CWP_NOW!$A:$A,$A69,O_CWP_NOW!G:G)+SUMIF(O_CWP_FUT!$A:$A,$A69,O_CWP_FUT!G:G)</f>
        <v>0</v>
      </c>
      <c r="H69" s="800">
        <f>SUMIF(O_CWP_NOW!$A:$A,$A69,O_CWP_NOW!H:H)+SUMIF(O_CWP_FUT!$A:$A,$A69,O_CWP_FUT!H:H)</f>
        <v>0</v>
      </c>
      <c r="I69" s="800">
        <f>SUMIF(O_CWP_NOW!$A:$A,$A69,O_CWP_NOW!I:I)+SUMIF(O_CWP_FUT!$A:$A,$A69,O_CWP_FUT!I:I)</f>
        <v>0</v>
      </c>
      <c r="J69" s="800">
        <f>SUMIF(O_CWP_NOW!$A:$A,$A69,O_CWP_NOW!J:J)+SUMIF(O_CWP_FUT!$A:$A,$A69,O_CWP_FUT!J:J)</f>
        <v>0</v>
      </c>
      <c r="K69" s="800">
        <f>SUMIF(O_CWP_NOW!$A:$A,$A69,O_CWP_NOW!K:K)+SUMIF(O_CWP_FUT!$A:$A,$A69,O_CWP_FUT!K:K)</f>
        <v>0</v>
      </c>
      <c r="L69" s="800">
        <f>SUMIF(O_CWP_NOW!$A:$A,$A69,O_CWP_NOW!L:L)+SUMIF(O_CWP_FUT!$A:$A,$A69,O_CWP_FUT!L:L)</f>
        <v>0</v>
      </c>
      <c r="M69" s="800">
        <f>SUMIF(O_CWP_NOW!$A:$A,$A69,O_CWP_NOW!M:M)+SUMIF(O_CWP_FUT!$A:$A,$A69,O_CWP_FUT!M:M)</f>
        <v>0</v>
      </c>
      <c r="N69" s="800">
        <f>SUMIF(O_CWP_NOW!$A:$A,$A69,O_CWP_NOW!N:N)+SUMIF(O_CWP_FUT!$A:$A,$A69,O_CWP_FUT!N:N)</f>
        <v>0</v>
      </c>
      <c r="O69" s="800">
        <f t="shared" si="4"/>
        <v>0</v>
      </c>
      <c r="P69" s="40"/>
      <c r="R69" s="29"/>
      <c r="S69" s="29"/>
    </row>
    <row r="70" spans="1:19" ht="13" hidden="1">
      <c r="A70" s="22" t="s">
        <v>2736</v>
      </c>
      <c r="B70" s="58" t="s">
        <v>2328</v>
      </c>
      <c r="C70" s="31" t="str">
        <f>VLOOKUP($A70,FA_Codes!$D$2:$G$249,4,FALSE)</f>
        <v>Rural West</v>
      </c>
      <c r="D70" s="800">
        <f>SUMIF(O_CWP_NOW!$A:$A,$A70,O_CWP_NOW!D:D)+SUMIF(O_CWP_FUT!$A:$A,$A70,O_CWP_FUT!D:D)</f>
        <v>0</v>
      </c>
      <c r="E70" s="800">
        <f>SUMIF(O_CWP_NOW!$A:$A,$A70,O_CWP_NOW!E:E)+SUMIF(O_CWP_FUT!$A:$A,$A70,O_CWP_FUT!E:E)</f>
        <v>0</v>
      </c>
      <c r="F70" s="800">
        <f>SUMIF(O_CWP_NOW!$A:$A,$A70,O_CWP_NOW!F:F)+SUMIF(O_CWP_FUT!$A:$A,$A70,O_CWP_FUT!F:F)</f>
        <v>0</v>
      </c>
      <c r="G70" s="800">
        <f>SUMIF(O_CWP_NOW!$A:$A,$A70,O_CWP_NOW!G:G)+SUMIF(O_CWP_FUT!$A:$A,$A70,O_CWP_FUT!G:G)</f>
        <v>0</v>
      </c>
      <c r="H70" s="800">
        <f>SUMIF(O_CWP_NOW!$A:$A,$A70,O_CWP_NOW!H:H)+SUMIF(O_CWP_FUT!$A:$A,$A70,O_CWP_FUT!H:H)</f>
        <v>0</v>
      </c>
      <c r="I70" s="800">
        <f>SUMIF(O_CWP_NOW!$A:$A,$A70,O_CWP_NOW!I:I)+SUMIF(O_CWP_FUT!$A:$A,$A70,O_CWP_FUT!I:I)</f>
        <v>0</v>
      </c>
      <c r="J70" s="800">
        <f>SUMIF(O_CWP_NOW!$A:$A,$A70,O_CWP_NOW!J:J)+SUMIF(O_CWP_FUT!$A:$A,$A70,O_CWP_FUT!J:J)</f>
        <v>0</v>
      </c>
      <c r="K70" s="800">
        <f>SUMIF(O_CWP_NOW!$A:$A,$A70,O_CWP_NOW!K:K)+SUMIF(O_CWP_FUT!$A:$A,$A70,O_CWP_FUT!K:K)</f>
        <v>0</v>
      </c>
      <c r="L70" s="800">
        <f>SUMIF(O_CWP_NOW!$A:$A,$A70,O_CWP_NOW!L:L)+SUMIF(O_CWP_FUT!$A:$A,$A70,O_CWP_FUT!L:L)</f>
        <v>0</v>
      </c>
      <c r="M70" s="800">
        <f>SUMIF(O_CWP_NOW!$A:$A,$A70,O_CWP_NOW!M:M)+SUMIF(O_CWP_FUT!$A:$A,$A70,O_CWP_FUT!M:M)</f>
        <v>0</v>
      </c>
      <c r="N70" s="800">
        <f>SUMIF(O_CWP_NOW!$A:$A,$A70,O_CWP_NOW!N:N)+SUMIF(O_CWP_FUT!$A:$A,$A70,O_CWP_FUT!N:N)</f>
        <v>0</v>
      </c>
      <c r="O70" s="800">
        <f t="shared" si="4"/>
        <v>0</v>
      </c>
      <c r="P70" s="40"/>
      <c r="R70" s="29"/>
      <c r="S70" s="29"/>
    </row>
    <row r="71" spans="1:19" ht="13" hidden="1">
      <c r="A71" s="22" t="s">
        <v>2737</v>
      </c>
      <c r="B71" s="58" t="s">
        <v>2328</v>
      </c>
      <c r="C71" s="31" t="str">
        <f>VLOOKUP($A71,FA_Codes!$D$2:$G$249,4,FALSE)</f>
        <v>Rural South West</v>
      </c>
      <c r="D71" s="800">
        <f>SUMIF(O_CWP_NOW!$A:$A,$A71,O_CWP_NOW!D:D)+SUMIF(O_CWP_FUT!$A:$A,$A71,O_CWP_FUT!D:D)</f>
        <v>0</v>
      </c>
      <c r="E71" s="800">
        <f>SUMIF(O_CWP_NOW!$A:$A,$A71,O_CWP_NOW!E:E)+SUMIF(O_CWP_FUT!$A:$A,$A71,O_CWP_FUT!E:E)</f>
        <v>0</v>
      </c>
      <c r="F71" s="800">
        <f>SUMIF(O_CWP_NOW!$A:$A,$A71,O_CWP_NOW!F:F)+SUMIF(O_CWP_FUT!$A:$A,$A71,O_CWP_FUT!F:F)</f>
        <v>0</v>
      </c>
      <c r="G71" s="800">
        <f>SUMIF(O_CWP_NOW!$A:$A,$A71,O_CWP_NOW!G:G)+SUMIF(O_CWP_FUT!$A:$A,$A71,O_CWP_FUT!G:G)</f>
        <v>0</v>
      </c>
      <c r="H71" s="800">
        <f>SUMIF(O_CWP_NOW!$A:$A,$A71,O_CWP_NOW!H:H)+SUMIF(O_CWP_FUT!$A:$A,$A71,O_CWP_FUT!H:H)</f>
        <v>0</v>
      </c>
      <c r="I71" s="800">
        <f>SUMIF(O_CWP_NOW!$A:$A,$A71,O_CWP_NOW!I:I)+SUMIF(O_CWP_FUT!$A:$A,$A71,O_CWP_FUT!I:I)</f>
        <v>0</v>
      </c>
      <c r="J71" s="800">
        <f>SUMIF(O_CWP_NOW!$A:$A,$A71,O_CWP_NOW!J:J)+SUMIF(O_CWP_FUT!$A:$A,$A71,O_CWP_FUT!J:J)</f>
        <v>0</v>
      </c>
      <c r="K71" s="800">
        <f>SUMIF(O_CWP_NOW!$A:$A,$A71,O_CWP_NOW!K:K)+SUMIF(O_CWP_FUT!$A:$A,$A71,O_CWP_FUT!K:K)</f>
        <v>0</v>
      </c>
      <c r="L71" s="800">
        <f>SUMIF(O_CWP_NOW!$A:$A,$A71,O_CWP_NOW!L:L)+SUMIF(O_CWP_FUT!$A:$A,$A71,O_CWP_FUT!L:L)</f>
        <v>0</v>
      </c>
      <c r="M71" s="800">
        <f>SUMIF(O_CWP_NOW!$A:$A,$A71,O_CWP_NOW!M:M)+SUMIF(O_CWP_FUT!$A:$A,$A71,O_CWP_FUT!M:M)</f>
        <v>0</v>
      </c>
      <c r="N71" s="800">
        <f>SUMIF(O_CWP_NOW!$A:$A,$A71,O_CWP_NOW!N:N)+SUMIF(O_CWP_FUT!$A:$A,$A71,O_CWP_FUT!N:N)</f>
        <v>0</v>
      </c>
      <c r="O71" s="800">
        <f t="shared" si="4"/>
        <v>0</v>
      </c>
      <c r="P71" s="40"/>
      <c r="R71" s="29"/>
      <c r="S71" s="29"/>
    </row>
    <row r="72" spans="1:19" ht="13" hidden="1">
      <c r="A72" s="22" t="s">
        <v>2738</v>
      </c>
      <c r="B72" s="58" t="s">
        <v>2328</v>
      </c>
      <c r="C72" s="31" t="str">
        <f>VLOOKUP($A72,FA_Codes!$D$2:$G$249,4,FALSE)</f>
        <v>Rural South East</v>
      </c>
      <c r="D72" s="800">
        <f>SUMIF(O_CWP_NOW!$A:$A,$A72,O_CWP_NOW!D:D)+SUMIF(O_CWP_FUT!$A:$A,$A72,O_CWP_FUT!D:D)</f>
        <v>0</v>
      </c>
      <c r="E72" s="800">
        <f>SUMIF(O_CWP_NOW!$A:$A,$A72,O_CWP_NOW!E:E)+SUMIF(O_CWP_FUT!$A:$A,$A72,O_CWP_FUT!E:E)</f>
        <v>0</v>
      </c>
      <c r="F72" s="800">
        <f>SUMIF(O_CWP_NOW!$A:$A,$A72,O_CWP_NOW!F:F)+SUMIF(O_CWP_FUT!$A:$A,$A72,O_CWP_FUT!F:F)</f>
        <v>0</v>
      </c>
      <c r="G72" s="800">
        <f>SUMIF(O_CWP_NOW!$A:$A,$A72,O_CWP_NOW!G:G)+SUMIF(O_CWP_FUT!$A:$A,$A72,O_CWP_FUT!G:G)</f>
        <v>0</v>
      </c>
      <c r="H72" s="800">
        <f>SUMIF(O_CWP_NOW!$A:$A,$A72,O_CWP_NOW!H:H)+SUMIF(O_CWP_FUT!$A:$A,$A72,O_CWP_FUT!H:H)</f>
        <v>0</v>
      </c>
      <c r="I72" s="800">
        <f>SUMIF(O_CWP_NOW!$A:$A,$A72,O_CWP_NOW!I:I)+SUMIF(O_CWP_FUT!$A:$A,$A72,O_CWP_FUT!I:I)</f>
        <v>0</v>
      </c>
      <c r="J72" s="800">
        <f>SUMIF(O_CWP_NOW!$A:$A,$A72,O_CWP_NOW!J:J)+SUMIF(O_CWP_FUT!$A:$A,$A72,O_CWP_FUT!J:J)</f>
        <v>0</v>
      </c>
      <c r="K72" s="800">
        <f>SUMIF(O_CWP_NOW!$A:$A,$A72,O_CWP_NOW!K:K)+SUMIF(O_CWP_FUT!$A:$A,$A72,O_CWP_FUT!K:K)</f>
        <v>0</v>
      </c>
      <c r="L72" s="800">
        <f>SUMIF(O_CWP_NOW!$A:$A,$A72,O_CWP_NOW!L:L)+SUMIF(O_CWP_FUT!$A:$A,$A72,O_CWP_FUT!L:L)</f>
        <v>0</v>
      </c>
      <c r="M72" s="800">
        <f>SUMIF(O_CWP_NOW!$A:$A,$A72,O_CWP_NOW!M:M)+SUMIF(O_CWP_FUT!$A:$A,$A72,O_CWP_FUT!M:M)</f>
        <v>0</v>
      </c>
      <c r="N72" s="800">
        <f>SUMIF(O_CWP_NOW!$A:$A,$A72,O_CWP_NOW!N:N)+SUMIF(O_CWP_FUT!$A:$A,$A72,O_CWP_FUT!N:N)</f>
        <v>0</v>
      </c>
      <c r="O72" s="800">
        <f t="shared" si="4"/>
        <v>0</v>
      </c>
      <c r="P72" s="40"/>
      <c r="R72" s="29"/>
      <c r="S72" s="29"/>
    </row>
    <row r="73" spans="1:19" ht="13" hidden="1">
      <c r="A73" s="22" t="s">
        <v>2739</v>
      </c>
      <c r="B73" s="58" t="s">
        <v>2328</v>
      </c>
      <c r="C73" s="31" t="str">
        <f>VLOOKUP($A73,FA_Codes!$D$2:$G$249,4,FALSE)</f>
        <v>Rural Islands</v>
      </c>
      <c r="D73" s="800">
        <f>SUMIF(O_CWP_NOW!$A:$A,$A73,O_CWP_NOW!D:D)+SUMIF(O_CWP_FUT!$A:$A,$A73,O_CWP_FUT!D:D)</f>
        <v>0</v>
      </c>
      <c r="E73" s="800">
        <f>SUMIF(O_CWP_NOW!$A:$A,$A73,O_CWP_NOW!E:E)+SUMIF(O_CWP_FUT!$A:$A,$A73,O_CWP_FUT!E:E)</f>
        <v>0</v>
      </c>
      <c r="F73" s="800">
        <f>SUMIF(O_CWP_NOW!$A:$A,$A73,O_CWP_NOW!F:F)+SUMIF(O_CWP_FUT!$A:$A,$A73,O_CWP_FUT!F:F)</f>
        <v>0</v>
      </c>
      <c r="G73" s="800">
        <f>SUMIF(O_CWP_NOW!$A:$A,$A73,O_CWP_NOW!G:G)+SUMIF(O_CWP_FUT!$A:$A,$A73,O_CWP_FUT!G:G)</f>
        <v>0</v>
      </c>
      <c r="H73" s="800">
        <f>SUMIF(O_CWP_NOW!$A:$A,$A73,O_CWP_NOW!H:H)+SUMIF(O_CWP_FUT!$A:$A,$A73,O_CWP_FUT!H:H)</f>
        <v>0</v>
      </c>
      <c r="I73" s="800">
        <f>SUMIF(O_CWP_NOW!$A:$A,$A73,O_CWP_NOW!I:I)+SUMIF(O_CWP_FUT!$A:$A,$A73,O_CWP_FUT!I:I)</f>
        <v>0</v>
      </c>
      <c r="J73" s="800">
        <f>SUMIF(O_CWP_NOW!$A:$A,$A73,O_CWP_NOW!J:J)+SUMIF(O_CWP_FUT!$A:$A,$A73,O_CWP_FUT!J:J)</f>
        <v>0</v>
      </c>
      <c r="K73" s="800">
        <f>SUMIF(O_CWP_NOW!$A:$A,$A73,O_CWP_NOW!K:K)+SUMIF(O_CWP_FUT!$A:$A,$A73,O_CWP_FUT!K:K)</f>
        <v>0</v>
      </c>
      <c r="L73" s="800">
        <f>SUMIF(O_CWP_NOW!$A:$A,$A73,O_CWP_NOW!L:L)+SUMIF(O_CWP_FUT!$A:$A,$A73,O_CWP_FUT!L:L)</f>
        <v>0</v>
      </c>
      <c r="M73" s="800">
        <f>SUMIF(O_CWP_NOW!$A:$A,$A73,O_CWP_NOW!M:M)+SUMIF(O_CWP_FUT!$A:$A,$A73,O_CWP_FUT!M:M)</f>
        <v>0</v>
      </c>
      <c r="N73" s="800">
        <f>SUMIF(O_CWP_NOW!$A:$A,$A73,O_CWP_NOW!N:N)+SUMIF(O_CWP_FUT!$A:$A,$A73,O_CWP_FUT!N:N)</f>
        <v>0</v>
      </c>
      <c r="O73" s="800">
        <f t="shared" si="4"/>
        <v>0</v>
      </c>
      <c r="P73" s="40"/>
      <c r="R73" s="29"/>
      <c r="S73" s="29"/>
    </row>
    <row r="74" spans="1:19" ht="13" hidden="1">
      <c r="A74" s="22" t="s">
        <v>2740</v>
      </c>
      <c r="B74" s="58" t="s">
        <v>2328</v>
      </c>
      <c r="C74" s="31" t="str">
        <f>VLOOKUP($A74,FA_Codes!$D$2:$G$249,4,FALSE)</f>
        <v>Tamaki</v>
      </c>
      <c r="D74" s="800">
        <f>SUMIF(O_CWP_NOW!$A:$A,$A74,O_CWP_NOW!D:D)+SUMIF(O_CWP_FUT!$A:$A,$A74,O_CWP_FUT!D:D)</f>
        <v>0</v>
      </c>
      <c r="E74" s="800">
        <f>SUMIF(O_CWP_NOW!$A:$A,$A74,O_CWP_NOW!E:E)+SUMIF(O_CWP_FUT!$A:$A,$A74,O_CWP_FUT!E:E)</f>
        <v>0</v>
      </c>
      <c r="F74" s="800">
        <f>SUMIF(O_CWP_NOW!$A:$A,$A74,O_CWP_NOW!F:F)+SUMIF(O_CWP_FUT!$A:$A,$A74,O_CWP_FUT!F:F)</f>
        <v>0</v>
      </c>
      <c r="G74" s="800">
        <f>SUMIF(O_CWP_NOW!$A:$A,$A74,O_CWP_NOW!G:G)+SUMIF(O_CWP_FUT!$A:$A,$A74,O_CWP_FUT!G:G)</f>
        <v>0</v>
      </c>
      <c r="H74" s="800">
        <f>SUMIF(O_CWP_NOW!$A:$A,$A74,O_CWP_NOW!H:H)+SUMIF(O_CWP_FUT!$A:$A,$A74,O_CWP_FUT!H:H)</f>
        <v>0</v>
      </c>
      <c r="I74" s="800">
        <f>SUMIF(O_CWP_NOW!$A:$A,$A74,O_CWP_NOW!I:I)+SUMIF(O_CWP_FUT!$A:$A,$A74,O_CWP_FUT!I:I)</f>
        <v>0</v>
      </c>
      <c r="J74" s="800">
        <f>SUMIF(O_CWP_NOW!$A:$A,$A74,O_CWP_NOW!J:J)+SUMIF(O_CWP_FUT!$A:$A,$A74,O_CWP_FUT!J:J)</f>
        <v>0</v>
      </c>
      <c r="K74" s="800">
        <f>SUMIF(O_CWP_NOW!$A:$A,$A74,O_CWP_NOW!K:K)+SUMIF(O_CWP_FUT!$A:$A,$A74,O_CWP_FUT!K:K)</f>
        <v>0</v>
      </c>
      <c r="L74" s="800">
        <f>SUMIF(O_CWP_NOW!$A:$A,$A74,O_CWP_NOW!L:L)+SUMIF(O_CWP_FUT!$A:$A,$A74,O_CWP_FUT!L:L)</f>
        <v>0</v>
      </c>
      <c r="M74" s="800">
        <f>SUMIF(O_CWP_NOW!$A:$A,$A74,O_CWP_NOW!M:M)+SUMIF(O_CWP_FUT!$A:$A,$A74,O_CWP_FUT!M:M)</f>
        <v>0</v>
      </c>
      <c r="N74" s="800">
        <f>SUMIF(O_CWP_NOW!$A:$A,$A74,O_CWP_NOW!N:N)+SUMIF(O_CWP_FUT!$A:$A,$A74,O_CWP_FUT!N:N)</f>
        <v>0</v>
      </c>
      <c r="O74" s="800">
        <f t="shared" ref="O74:O83" si="5">SUM(D74:N74)</f>
        <v>0</v>
      </c>
      <c r="P74" s="40"/>
      <c r="R74" s="29"/>
      <c r="S74" s="29"/>
    </row>
    <row r="75" spans="1:19" ht="13" hidden="1">
      <c r="A75" s="22" t="s">
        <v>2742</v>
      </c>
      <c r="B75" s="58" t="s">
        <v>2328</v>
      </c>
      <c r="C75" s="31" t="str">
        <f>VLOOKUP($A75,FA_Codes!$D$2:$G$249,4,FALSE)</f>
        <v>Auranga</v>
      </c>
      <c r="D75" s="800">
        <f>SUMIF(O_CWP_NOW!$A:$A,$A75,O_CWP_NOW!D:D)+SUMIF(O_CWP_FUT!$A:$A,$A75,O_CWP_FUT!D:D)</f>
        <v>0</v>
      </c>
      <c r="E75" s="800">
        <f>SUMIF(O_CWP_NOW!$A:$A,$A75,O_CWP_NOW!E:E)+SUMIF(O_CWP_FUT!$A:$A,$A75,O_CWP_FUT!E:E)</f>
        <v>0</v>
      </c>
      <c r="F75" s="800">
        <f>SUMIF(O_CWP_NOW!$A:$A,$A75,O_CWP_NOW!F:F)+SUMIF(O_CWP_FUT!$A:$A,$A75,O_CWP_FUT!F:F)</f>
        <v>0</v>
      </c>
      <c r="G75" s="800">
        <f>SUMIF(O_CWP_NOW!$A:$A,$A75,O_CWP_NOW!G:G)+SUMIF(O_CWP_FUT!$A:$A,$A75,O_CWP_FUT!G:G)</f>
        <v>0</v>
      </c>
      <c r="H75" s="800">
        <f>SUMIF(O_CWP_NOW!$A:$A,$A75,O_CWP_NOW!H:H)+SUMIF(O_CWP_FUT!$A:$A,$A75,O_CWP_FUT!H:H)</f>
        <v>0</v>
      </c>
      <c r="I75" s="800">
        <f>SUMIF(O_CWP_NOW!$A:$A,$A75,O_CWP_NOW!I:I)+SUMIF(O_CWP_FUT!$A:$A,$A75,O_CWP_FUT!I:I)</f>
        <v>0</v>
      </c>
      <c r="J75" s="800">
        <f>SUMIF(O_CWP_NOW!$A:$A,$A75,O_CWP_NOW!J:J)+SUMIF(O_CWP_FUT!$A:$A,$A75,O_CWP_FUT!J:J)</f>
        <v>0</v>
      </c>
      <c r="K75" s="800">
        <f>SUMIF(O_CWP_NOW!$A:$A,$A75,O_CWP_NOW!K:K)+SUMIF(O_CWP_FUT!$A:$A,$A75,O_CWP_FUT!K:K)</f>
        <v>0</v>
      </c>
      <c r="L75" s="800">
        <f>SUMIF(O_CWP_NOW!$A:$A,$A75,O_CWP_NOW!L:L)+SUMIF(O_CWP_FUT!$A:$A,$A75,O_CWP_FUT!L:L)</f>
        <v>0</v>
      </c>
      <c r="M75" s="800">
        <f>SUMIF(O_CWP_NOW!$A:$A,$A75,O_CWP_NOW!M:M)+SUMIF(O_CWP_FUT!$A:$A,$A75,O_CWP_FUT!M:M)</f>
        <v>0</v>
      </c>
      <c r="N75" s="800">
        <f>SUMIF(O_CWP_NOW!$A:$A,$A75,O_CWP_NOW!N:N)+SUMIF(O_CWP_FUT!$A:$A,$A75,O_CWP_FUT!N:N)</f>
        <v>0</v>
      </c>
      <c r="O75" s="800">
        <f t="shared" si="5"/>
        <v>0</v>
      </c>
      <c r="P75" s="40"/>
      <c r="R75" s="29"/>
      <c r="S75" s="29"/>
    </row>
    <row r="76" spans="1:19" ht="13" hidden="1">
      <c r="A76" s="22" t="s">
        <v>2748</v>
      </c>
      <c r="B76" s="58" t="s">
        <v>2328</v>
      </c>
      <c r="C76" s="31" t="str">
        <f>VLOOKUP($A76,FA_Codes!$D$2:$G$249,4,FALSE)</f>
        <v>Area 35</v>
      </c>
      <c r="D76" s="800">
        <f>SUMIF(O_CWP_NOW!$A:$A,$A76,O_CWP_NOW!D:D)+SUMIF(O_CWP_FUT!$A:$A,$A76,O_CWP_FUT!D:D)</f>
        <v>0</v>
      </c>
      <c r="E76" s="800">
        <f>SUMIF(O_CWP_NOW!$A:$A,$A76,O_CWP_NOW!E:E)+SUMIF(O_CWP_FUT!$A:$A,$A76,O_CWP_FUT!E:E)</f>
        <v>0</v>
      </c>
      <c r="F76" s="800">
        <f>SUMIF(O_CWP_NOW!$A:$A,$A76,O_CWP_NOW!F:F)+SUMIF(O_CWP_FUT!$A:$A,$A76,O_CWP_FUT!F:F)</f>
        <v>0</v>
      </c>
      <c r="G76" s="800">
        <f>SUMIF(O_CWP_NOW!$A:$A,$A76,O_CWP_NOW!G:G)+SUMIF(O_CWP_FUT!$A:$A,$A76,O_CWP_FUT!G:G)</f>
        <v>0</v>
      </c>
      <c r="H76" s="800">
        <f>SUMIF(O_CWP_NOW!$A:$A,$A76,O_CWP_NOW!H:H)+SUMIF(O_CWP_FUT!$A:$A,$A76,O_CWP_FUT!H:H)</f>
        <v>0</v>
      </c>
      <c r="I76" s="800">
        <f>SUMIF(O_CWP_NOW!$A:$A,$A76,O_CWP_NOW!I:I)+SUMIF(O_CWP_FUT!$A:$A,$A76,O_CWP_FUT!I:I)</f>
        <v>0</v>
      </c>
      <c r="J76" s="800">
        <f>SUMIF(O_CWP_NOW!$A:$A,$A76,O_CWP_NOW!J:J)+SUMIF(O_CWP_FUT!$A:$A,$A76,O_CWP_FUT!J:J)</f>
        <v>0</v>
      </c>
      <c r="K76" s="800">
        <f>SUMIF(O_CWP_NOW!$A:$A,$A76,O_CWP_NOW!K:K)+SUMIF(O_CWP_FUT!$A:$A,$A76,O_CWP_FUT!K:K)</f>
        <v>0</v>
      </c>
      <c r="L76" s="800">
        <f>SUMIF(O_CWP_NOW!$A:$A,$A76,O_CWP_NOW!L:L)+SUMIF(O_CWP_FUT!$A:$A,$A76,O_CWP_FUT!L:L)</f>
        <v>0</v>
      </c>
      <c r="M76" s="800">
        <f>SUMIF(O_CWP_NOW!$A:$A,$A76,O_CWP_NOW!M:M)+SUMIF(O_CWP_FUT!$A:$A,$A76,O_CWP_FUT!M:M)</f>
        <v>0</v>
      </c>
      <c r="N76" s="800">
        <f>SUMIF(O_CWP_NOW!$A:$A,$A76,O_CWP_NOW!N:N)+SUMIF(O_CWP_FUT!$A:$A,$A76,O_CWP_FUT!N:N)</f>
        <v>0</v>
      </c>
      <c r="O76" s="800">
        <f t="shared" si="5"/>
        <v>0</v>
      </c>
      <c r="P76" s="40"/>
      <c r="R76" s="29"/>
      <c r="S76" s="29"/>
    </row>
    <row r="77" spans="1:19" ht="13" hidden="1">
      <c r="A77" s="22" t="s">
        <v>2749</v>
      </c>
      <c r="B77" s="58" t="s">
        <v>2328</v>
      </c>
      <c r="C77" s="58" t="s">
        <v>7013</v>
      </c>
      <c r="D77" s="800">
        <f>SUMIF(O_CWP_NOW!$A:$A,$A77,O_CWP_NOW!D:D)+SUMIF(O_CWP_FUT!$A:$A,$A77,O_CWP_FUT!D:D)</f>
        <v>0</v>
      </c>
      <c r="E77" s="800">
        <f>SUMIF(O_CWP_NOW!$A:$A,$A77,O_CWP_NOW!E:E)+SUMIF(O_CWP_FUT!$A:$A,$A77,O_CWP_FUT!E:E)</f>
        <v>0</v>
      </c>
      <c r="F77" s="800">
        <f>SUMIF(O_CWP_NOW!$A:$A,$A77,O_CWP_NOW!F:F)+SUMIF(O_CWP_FUT!$A:$A,$A77,O_CWP_FUT!F:F)</f>
        <v>0</v>
      </c>
      <c r="G77" s="800">
        <f>SUMIF(O_CWP_NOW!$A:$A,$A77,O_CWP_NOW!G:G)+SUMIF(O_CWP_FUT!$A:$A,$A77,O_CWP_FUT!G:G)</f>
        <v>0</v>
      </c>
      <c r="H77" s="800">
        <f>SUMIF(O_CWP_NOW!$A:$A,$A77,O_CWP_NOW!H:H)+SUMIF(O_CWP_FUT!$A:$A,$A77,O_CWP_FUT!H:H)</f>
        <v>0</v>
      </c>
      <c r="I77" s="800">
        <f>SUMIF(O_CWP_NOW!$A:$A,$A77,O_CWP_NOW!I:I)+SUMIF(O_CWP_FUT!$A:$A,$A77,O_CWP_FUT!I:I)</f>
        <v>0</v>
      </c>
      <c r="J77" s="800">
        <f>SUMIF(O_CWP_NOW!$A:$A,$A77,O_CWP_NOW!J:J)+SUMIF(O_CWP_FUT!$A:$A,$A77,O_CWP_FUT!J:J)</f>
        <v>0</v>
      </c>
      <c r="K77" s="800">
        <f>SUMIF(O_CWP_NOW!$A:$A,$A77,O_CWP_NOW!K:K)+SUMIF(O_CWP_FUT!$A:$A,$A77,O_CWP_FUT!K:K)</f>
        <v>0</v>
      </c>
      <c r="L77" s="800">
        <f>SUMIF(O_CWP_NOW!$A:$A,$A77,O_CWP_NOW!L:L)+SUMIF(O_CWP_FUT!$A:$A,$A77,O_CWP_FUT!L:L)</f>
        <v>0</v>
      </c>
      <c r="M77" s="800">
        <f>SUMIF(O_CWP_NOW!$A:$A,$A77,O_CWP_NOW!M:M)+SUMIF(O_CWP_FUT!$A:$A,$A77,O_CWP_FUT!M:M)</f>
        <v>0</v>
      </c>
      <c r="N77" s="800">
        <f>SUMIF(O_CWP_NOW!$A:$A,$A77,O_CWP_NOW!N:N)+SUMIF(O_CWP_FUT!$A:$A,$A77,O_CWP_FUT!N:N)</f>
        <v>0</v>
      </c>
      <c r="O77" s="800">
        <f t="shared" si="5"/>
        <v>0</v>
      </c>
      <c r="P77" s="40"/>
      <c r="R77" s="29"/>
      <c r="S77" s="29"/>
    </row>
    <row r="78" spans="1:19" ht="13" hidden="1">
      <c r="A78" s="22" t="s">
        <v>2750</v>
      </c>
      <c r="B78" s="58" t="s">
        <v>2328</v>
      </c>
      <c r="C78" s="58" t="s">
        <v>7013</v>
      </c>
      <c r="D78" s="800">
        <f>SUMIF(O_CWP_NOW!$A:$A,$A78,O_CWP_NOW!D:D)+SUMIF(O_CWP_FUT!$A:$A,$A78,O_CWP_FUT!D:D)</f>
        <v>0</v>
      </c>
      <c r="E78" s="800">
        <f>SUMIF(O_CWP_NOW!$A:$A,$A78,O_CWP_NOW!E:E)+SUMIF(O_CWP_FUT!$A:$A,$A78,O_CWP_FUT!E:E)</f>
        <v>0</v>
      </c>
      <c r="F78" s="800">
        <f>SUMIF(O_CWP_NOW!$A:$A,$A78,O_CWP_NOW!F:F)+SUMIF(O_CWP_FUT!$A:$A,$A78,O_CWP_FUT!F:F)</f>
        <v>0</v>
      </c>
      <c r="G78" s="800">
        <f>SUMIF(O_CWP_NOW!$A:$A,$A78,O_CWP_NOW!G:G)+SUMIF(O_CWP_FUT!$A:$A,$A78,O_CWP_FUT!G:G)</f>
        <v>0</v>
      </c>
      <c r="H78" s="800">
        <f>SUMIF(O_CWP_NOW!$A:$A,$A78,O_CWP_NOW!H:H)+SUMIF(O_CWP_FUT!$A:$A,$A78,O_CWP_FUT!H:H)</f>
        <v>0</v>
      </c>
      <c r="I78" s="800">
        <f>SUMIF(O_CWP_NOW!$A:$A,$A78,O_CWP_NOW!I:I)+SUMIF(O_CWP_FUT!$A:$A,$A78,O_CWP_FUT!I:I)</f>
        <v>0</v>
      </c>
      <c r="J78" s="800">
        <f>SUMIF(O_CWP_NOW!$A:$A,$A78,O_CWP_NOW!J:J)+SUMIF(O_CWP_FUT!$A:$A,$A78,O_CWP_FUT!J:J)</f>
        <v>0</v>
      </c>
      <c r="K78" s="800">
        <f>SUMIF(O_CWP_NOW!$A:$A,$A78,O_CWP_NOW!K:K)+SUMIF(O_CWP_FUT!$A:$A,$A78,O_CWP_FUT!K:K)</f>
        <v>0</v>
      </c>
      <c r="L78" s="800">
        <f>SUMIF(O_CWP_NOW!$A:$A,$A78,O_CWP_NOW!L:L)+SUMIF(O_CWP_FUT!$A:$A,$A78,O_CWP_FUT!L:L)</f>
        <v>0</v>
      </c>
      <c r="M78" s="800">
        <f>SUMIF(O_CWP_NOW!$A:$A,$A78,O_CWP_NOW!M:M)+SUMIF(O_CWP_FUT!$A:$A,$A78,O_CWP_FUT!M:M)</f>
        <v>0</v>
      </c>
      <c r="N78" s="800">
        <f>SUMIF(O_CWP_NOW!$A:$A,$A78,O_CWP_NOW!N:N)+SUMIF(O_CWP_FUT!$A:$A,$A78,O_CWP_FUT!N:N)</f>
        <v>0</v>
      </c>
      <c r="O78" s="800">
        <f t="shared" si="5"/>
        <v>0</v>
      </c>
      <c r="P78" s="40"/>
      <c r="R78" s="29"/>
      <c r="S78" s="29"/>
    </row>
    <row r="79" spans="1:19" ht="13" hidden="1">
      <c r="A79" s="22" t="s">
        <v>2751</v>
      </c>
      <c r="B79" s="58" t="s">
        <v>2328</v>
      </c>
      <c r="C79" s="58" t="s">
        <v>7013</v>
      </c>
      <c r="D79" s="800">
        <f>SUMIF(O_CWP_NOW!$A:$A,$A79,O_CWP_NOW!D:D)+SUMIF(O_CWP_FUT!$A:$A,$A79,O_CWP_FUT!D:D)</f>
        <v>0</v>
      </c>
      <c r="E79" s="800">
        <f>SUMIF(O_CWP_NOW!$A:$A,$A79,O_CWP_NOW!E:E)+SUMIF(O_CWP_FUT!$A:$A,$A79,O_CWP_FUT!E:E)</f>
        <v>0</v>
      </c>
      <c r="F79" s="800">
        <f>SUMIF(O_CWP_NOW!$A:$A,$A79,O_CWP_NOW!F:F)+SUMIF(O_CWP_FUT!$A:$A,$A79,O_CWP_FUT!F:F)</f>
        <v>0</v>
      </c>
      <c r="G79" s="800">
        <f>SUMIF(O_CWP_NOW!$A:$A,$A79,O_CWP_NOW!G:G)+SUMIF(O_CWP_FUT!$A:$A,$A79,O_CWP_FUT!G:G)</f>
        <v>0</v>
      </c>
      <c r="H79" s="800">
        <f>SUMIF(O_CWP_NOW!$A:$A,$A79,O_CWP_NOW!H:H)+SUMIF(O_CWP_FUT!$A:$A,$A79,O_CWP_FUT!H:H)</f>
        <v>0</v>
      </c>
      <c r="I79" s="800">
        <f>SUMIF(O_CWP_NOW!$A:$A,$A79,O_CWP_NOW!I:I)+SUMIF(O_CWP_FUT!$A:$A,$A79,O_CWP_FUT!I:I)</f>
        <v>0</v>
      </c>
      <c r="J79" s="800">
        <f>SUMIF(O_CWP_NOW!$A:$A,$A79,O_CWP_NOW!J:J)+SUMIF(O_CWP_FUT!$A:$A,$A79,O_CWP_FUT!J:J)</f>
        <v>0</v>
      </c>
      <c r="K79" s="800">
        <f>SUMIF(O_CWP_NOW!$A:$A,$A79,O_CWP_NOW!K:K)+SUMIF(O_CWP_FUT!$A:$A,$A79,O_CWP_FUT!K:K)</f>
        <v>0</v>
      </c>
      <c r="L79" s="800">
        <f>SUMIF(O_CWP_NOW!$A:$A,$A79,O_CWP_NOW!L:L)+SUMIF(O_CWP_FUT!$A:$A,$A79,O_CWP_FUT!L:L)</f>
        <v>0</v>
      </c>
      <c r="M79" s="800">
        <f>SUMIF(O_CWP_NOW!$A:$A,$A79,O_CWP_NOW!M:M)+SUMIF(O_CWP_FUT!$A:$A,$A79,O_CWP_FUT!M:M)</f>
        <v>0</v>
      </c>
      <c r="N79" s="800">
        <f>SUMIF(O_CWP_NOW!$A:$A,$A79,O_CWP_NOW!N:N)+SUMIF(O_CWP_FUT!$A:$A,$A79,O_CWP_FUT!N:N)</f>
        <v>0</v>
      </c>
      <c r="O79" s="800">
        <f t="shared" si="5"/>
        <v>0</v>
      </c>
      <c r="P79" s="40"/>
      <c r="R79" s="29"/>
      <c r="S79" s="29"/>
    </row>
    <row r="80" spans="1:19" ht="13" hidden="1">
      <c r="A80" s="22" t="s">
        <v>2752</v>
      </c>
      <c r="B80" s="58" t="s">
        <v>2328</v>
      </c>
      <c r="C80" s="58" t="s">
        <v>7013</v>
      </c>
      <c r="D80" s="800">
        <f>SUMIF(O_CWP_NOW!$A:$A,$A80,O_CWP_NOW!D:D)+SUMIF(O_CWP_FUT!$A:$A,$A80,O_CWP_FUT!D:D)</f>
        <v>0</v>
      </c>
      <c r="E80" s="800">
        <f>SUMIF(O_CWP_NOW!$A:$A,$A80,O_CWP_NOW!E:E)+SUMIF(O_CWP_FUT!$A:$A,$A80,O_CWP_FUT!E:E)</f>
        <v>0</v>
      </c>
      <c r="F80" s="800">
        <f>SUMIF(O_CWP_NOW!$A:$A,$A80,O_CWP_NOW!F:F)+SUMIF(O_CWP_FUT!$A:$A,$A80,O_CWP_FUT!F:F)</f>
        <v>0</v>
      </c>
      <c r="G80" s="800">
        <f>SUMIF(O_CWP_NOW!$A:$A,$A80,O_CWP_NOW!G:G)+SUMIF(O_CWP_FUT!$A:$A,$A80,O_CWP_FUT!G:G)</f>
        <v>0</v>
      </c>
      <c r="H80" s="800">
        <f>SUMIF(O_CWP_NOW!$A:$A,$A80,O_CWP_NOW!H:H)+SUMIF(O_CWP_FUT!$A:$A,$A80,O_CWP_FUT!H:H)</f>
        <v>0</v>
      </c>
      <c r="I80" s="800">
        <f>SUMIF(O_CWP_NOW!$A:$A,$A80,O_CWP_NOW!I:I)+SUMIF(O_CWP_FUT!$A:$A,$A80,O_CWP_FUT!I:I)</f>
        <v>0</v>
      </c>
      <c r="J80" s="800">
        <f>SUMIF(O_CWP_NOW!$A:$A,$A80,O_CWP_NOW!J:J)+SUMIF(O_CWP_FUT!$A:$A,$A80,O_CWP_FUT!J:J)</f>
        <v>0</v>
      </c>
      <c r="K80" s="800">
        <f>SUMIF(O_CWP_NOW!$A:$A,$A80,O_CWP_NOW!K:K)+SUMIF(O_CWP_FUT!$A:$A,$A80,O_CWP_FUT!K:K)</f>
        <v>0</v>
      </c>
      <c r="L80" s="800">
        <f>SUMIF(O_CWP_NOW!$A:$A,$A80,O_CWP_NOW!L:L)+SUMIF(O_CWP_FUT!$A:$A,$A80,O_CWP_FUT!L:L)</f>
        <v>0</v>
      </c>
      <c r="M80" s="800">
        <f>SUMIF(O_CWP_NOW!$A:$A,$A80,O_CWP_NOW!M:M)+SUMIF(O_CWP_FUT!$A:$A,$A80,O_CWP_FUT!M:M)</f>
        <v>0</v>
      </c>
      <c r="N80" s="800">
        <f>SUMIF(O_CWP_NOW!$A:$A,$A80,O_CWP_NOW!N:N)+SUMIF(O_CWP_FUT!$A:$A,$A80,O_CWP_FUT!N:N)</f>
        <v>0</v>
      </c>
      <c r="O80" s="800">
        <f t="shared" si="5"/>
        <v>0</v>
      </c>
      <c r="P80" s="40"/>
      <c r="R80" s="29"/>
      <c r="S80" s="29"/>
    </row>
    <row r="81" spans="1:19" ht="13" hidden="1">
      <c r="A81" s="22" t="s">
        <v>2753</v>
      </c>
      <c r="B81" s="58" t="s">
        <v>2328</v>
      </c>
      <c r="C81" s="58" t="s">
        <v>7013</v>
      </c>
      <c r="D81" s="800">
        <f>SUMIF(O_CWP_NOW!$A:$A,$A81,O_CWP_NOW!D:D)+SUMIF(O_CWP_FUT!$A:$A,$A81,O_CWP_FUT!D:D)</f>
        <v>0</v>
      </c>
      <c r="E81" s="800">
        <f>SUMIF(O_CWP_NOW!$A:$A,$A81,O_CWP_NOW!E:E)+SUMIF(O_CWP_FUT!$A:$A,$A81,O_CWP_FUT!E:E)</f>
        <v>0</v>
      </c>
      <c r="F81" s="800">
        <f>SUMIF(O_CWP_NOW!$A:$A,$A81,O_CWP_NOW!F:F)+SUMIF(O_CWP_FUT!$A:$A,$A81,O_CWP_FUT!F:F)</f>
        <v>0</v>
      </c>
      <c r="G81" s="800">
        <f>SUMIF(O_CWP_NOW!$A:$A,$A81,O_CWP_NOW!G:G)+SUMIF(O_CWP_FUT!$A:$A,$A81,O_CWP_FUT!G:G)</f>
        <v>0</v>
      </c>
      <c r="H81" s="800">
        <f>SUMIF(O_CWP_NOW!$A:$A,$A81,O_CWP_NOW!H:H)+SUMIF(O_CWP_FUT!$A:$A,$A81,O_CWP_FUT!H:H)</f>
        <v>0</v>
      </c>
      <c r="I81" s="800">
        <f>SUMIF(O_CWP_NOW!$A:$A,$A81,O_CWP_NOW!I:I)+SUMIF(O_CWP_FUT!$A:$A,$A81,O_CWP_FUT!I:I)</f>
        <v>0</v>
      </c>
      <c r="J81" s="800">
        <f>SUMIF(O_CWP_NOW!$A:$A,$A81,O_CWP_NOW!J:J)+SUMIF(O_CWP_FUT!$A:$A,$A81,O_CWP_FUT!J:J)</f>
        <v>0</v>
      </c>
      <c r="K81" s="800">
        <f>SUMIF(O_CWP_NOW!$A:$A,$A81,O_CWP_NOW!K:K)+SUMIF(O_CWP_FUT!$A:$A,$A81,O_CWP_FUT!K:K)</f>
        <v>0</v>
      </c>
      <c r="L81" s="800">
        <f>SUMIF(O_CWP_NOW!$A:$A,$A81,O_CWP_NOW!L:L)+SUMIF(O_CWP_FUT!$A:$A,$A81,O_CWP_FUT!L:L)</f>
        <v>0</v>
      </c>
      <c r="M81" s="800">
        <f>SUMIF(O_CWP_NOW!$A:$A,$A81,O_CWP_NOW!M:M)+SUMIF(O_CWP_FUT!$A:$A,$A81,O_CWP_FUT!M:M)</f>
        <v>0</v>
      </c>
      <c r="N81" s="800">
        <f>SUMIF(O_CWP_NOW!$A:$A,$A81,O_CWP_NOW!N:N)+SUMIF(O_CWP_FUT!$A:$A,$A81,O_CWP_FUT!N:N)</f>
        <v>0</v>
      </c>
      <c r="O81" s="800">
        <f t="shared" si="5"/>
        <v>0</v>
      </c>
      <c r="P81" s="40"/>
      <c r="R81" s="29"/>
      <c r="S81" s="29"/>
    </row>
    <row r="82" spans="1:19" ht="13" hidden="1">
      <c r="A82" s="22" t="s">
        <v>2754</v>
      </c>
      <c r="B82" s="58" t="s">
        <v>2328</v>
      </c>
      <c r="C82" s="58" t="s">
        <v>7013</v>
      </c>
      <c r="D82" s="800">
        <f>SUMIF(O_CWP_NOW!$A:$A,$A82,O_CWP_NOW!D:D)+SUMIF(O_CWP_FUT!$A:$A,$A82,O_CWP_FUT!D:D)</f>
        <v>0</v>
      </c>
      <c r="E82" s="800">
        <f>SUMIF(O_CWP_NOW!$A:$A,$A82,O_CWP_NOW!E:E)+SUMIF(O_CWP_FUT!$A:$A,$A82,O_CWP_FUT!E:E)</f>
        <v>0</v>
      </c>
      <c r="F82" s="800">
        <f>SUMIF(O_CWP_NOW!$A:$A,$A82,O_CWP_NOW!F:F)+SUMIF(O_CWP_FUT!$A:$A,$A82,O_CWP_FUT!F:F)</f>
        <v>0</v>
      </c>
      <c r="G82" s="800">
        <f>SUMIF(O_CWP_NOW!$A:$A,$A82,O_CWP_NOW!G:G)+SUMIF(O_CWP_FUT!$A:$A,$A82,O_CWP_FUT!G:G)</f>
        <v>0</v>
      </c>
      <c r="H82" s="800">
        <f>SUMIF(O_CWP_NOW!$A:$A,$A82,O_CWP_NOW!H:H)+SUMIF(O_CWP_FUT!$A:$A,$A82,O_CWP_FUT!H:H)</f>
        <v>0</v>
      </c>
      <c r="I82" s="800">
        <f>SUMIF(O_CWP_NOW!$A:$A,$A82,O_CWP_NOW!I:I)+SUMIF(O_CWP_FUT!$A:$A,$A82,O_CWP_FUT!I:I)</f>
        <v>0</v>
      </c>
      <c r="J82" s="800">
        <f>SUMIF(O_CWP_NOW!$A:$A,$A82,O_CWP_NOW!J:J)+SUMIF(O_CWP_FUT!$A:$A,$A82,O_CWP_FUT!J:J)</f>
        <v>0</v>
      </c>
      <c r="K82" s="800">
        <f>SUMIF(O_CWP_NOW!$A:$A,$A82,O_CWP_NOW!K:K)+SUMIF(O_CWP_FUT!$A:$A,$A82,O_CWP_FUT!K:K)</f>
        <v>0</v>
      </c>
      <c r="L82" s="800">
        <f>SUMIF(O_CWP_NOW!$A:$A,$A82,O_CWP_NOW!L:L)+SUMIF(O_CWP_FUT!$A:$A,$A82,O_CWP_FUT!L:L)</f>
        <v>0</v>
      </c>
      <c r="M82" s="800">
        <f>SUMIF(O_CWP_NOW!$A:$A,$A82,O_CWP_NOW!M:M)+SUMIF(O_CWP_FUT!$A:$A,$A82,O_CWP_FUT!M:M)</f>
        <v>0</v>
      </c>
      <c r="N82" s="800">
        <f>SUMIF(O_CWP_NOW!$A:$A,$A82,O_CWP_NOW!N:N)+SUMIF(O_CWP_FUT!$A:$A,$A82,O_CWP_FUT!N:N)</f>
        <v>0</v>
      </c>
      <c r="O82" s="800">
        <f t="shared" si="5"/>
        <v>0</v>
      </c>
      <c r="P82" s="40"/>
      <c r="R82" s="29"/>
      <c r="S82" s="29"/>
    </row>
    <row r="83" spans="1:19" ht="12.65" hidden="1" customHeight="1">
      <c r="A83" s="22" t="s">
        <v>2755</v>
      </c>
      <c r="B83" s="58" t="s">
        <v>2328</v>
      </c>
      <c r="C83" s="58" t="s">
        <v>7013</v>
      </c>
      <c r="D83" s="800">
        <f>SUMIF(O_CWP_NOW!$A:$A,$A83,O_CWP_NOW!D:D)+SUMIF(O_CWP_FUT!$A:$A,$A83,O_CWP_FUT!D:D)</f>
        <v>0</v>
      </c>
      <c r="E83" s="800">
        <f>SUMIF(O_CWP_NOW!$A:$A,$A83,O_CWP_NOW!E:E)+SUMIF(O_CWP_FUT!$A:$A,$A83,O_CWP_FUT!E:E)</f>
        <v>0</v>
      </c>
      <c r="F83" s="800">
        <f>SUMIF(O_CWP_NOW!$A:$A,$A83,O_CWP_NOW!F:F)+SUMIF(O_CWP_FUT!$A:$A,$A83,O_CWP_FUT!F:F)</f>
        <v>0</v>
      </c>
      <c r="G83" s="800">
        <f>SUMIF(O_CWP_NOW!$A:$A,$A83,O_CWP_NOW!G:G)+SUMIF(O_CWP_FUT!$A:$A,$A83,O_CWP_FUT!G:G)</f>
        <v>0</v>
      </c>
      <c r="H83" s="800">
        <f>SUMIF(O_CWP_NOW!$A:$A,$A83,O_CWP_NOW!H:H)+SUMIF(O_CWP_FUT!$A:$A,$A83,O_CWP_FUT!H:H)</f>
        <v>0</v>
      </c>
      <c r="I83" s="800">
        <f>SUMIF(O_CWP_NOW!$A:$A,$A83,O_CWP_NOW!I:I)+SUMIF(O_CWP_FUT!$A:$A,$A83,O_CWP_FUT!I:I)</f>
        <v>0</v>
      </c>
      <c r="J83" s="800">
        <f>SUMIF(O_CWP_NOW!$A:$A,$A83,O_CWP_NOW!J:J)+SUMIF(O_CWP_FUT!$A:$A,$A83,O_CWP_FUT!J:J)</f>
        <v>0</v>
      </c>
      <c r="K83" s="800">
        <f>SUMIF(O_CWP_NOW!$A:$A,$A83,O_CWP_NOW!K:K)+SUMIF(O_CWP_FUT!$A:$A,$A83,O_CWP_FUT!K:K)</f>
        <v>0</v>
      </c>
      <c r="L83" s="800">
        <f>SUMIF(O_CWP_NOW!$A:$A,$A83,O_CWP_NOW!L:L)+SUMIF(O_CWP_FUT!$A:$A,$A83,O_CWP_FUT!L:L)</f>
        <v>0</v>
      </c>
      <c r="M83" s="800">
        <f>SUMIF(O_CWP_NOW!$A:$A,$A83,O_CWP_NOW!M:M)+SUMIF(O_CWP_FUT!$A:$A,$A83,O_CWP_FUT!M:M)</f>
        <v>0</v>
      </c>
      <c r="N83" s="800">
        <f>SUMIF(O_CWP_NOW!$A:$A,$A83,O_CWP_NOW!N:N)+SUMIF(O_CWP_FUT!$A:$A,$A83,O_CWP_FUT!N:N)</f>
        <v>0</v>
      </c>
      <c r="O83" s="800">
        <f t="shared" si="5"/>
        <v>0</v>
      </c>
      <c r="P83" s="40"/>
      <c r="R83" s="29"/>
      <c r="S83" s="29"/>
    </row>
    <row r="84" spans="1:19" ht="13" hidden="1">
      <c r="A84" s="22" t="s">
        <v>5405</v>
      </c>
      <c r="B84" s="31" t="s">
        <v>963</v>
      </c>
      <c r="C84" s="31" t="str">
        <f>VLOOKUP($A84,FA_Codes!$D$2:$G$249,4,FALSE)</f>
        <v>Ararimu</v>
      </c>
      <c r="D84" s="800">
        <f>SUMIF(O_CWP_NOW!$A:$A,$A84,O_CWP_NOW!D:D)+SUMIF(O_CWP_FUT!$A:$A,$A84,O_CWP_FUT!D:D)</f>
        <v>0</v>
      </c>
      <c r="E84" s="800">
        <f>SUMIF(O_CWP_NOW!$A:$A,$A84,O_CWP_NOW!E:E)+SUMIF(O_CWP_FUT!$A:$A,$A84,O_CWP_FUT!E:E)</f>
        <v>0</v>
      </c>
      <c r="F84" s="800">
        <f>SUMIF(O_CWP_NOW!$A:$A,$A84,O_CWP_NOW!F:F)+SUMIF(O_CWP_FUT!$A:$A,$A84,O_CWP_FUT!F:F)</f>
        <v>0</v>
      </c>
      <c r="G84" s="800">
        <f>SUMIF(O_CWP_NOW!$A:$A,$A84,O_CWP_NOW!G:G)+SUMIF(O_CWP_FUT!$A:$A,$A84,O_CWP_FUT!G:G)</f>
        <v>0</v>
      </c>
      <c r="H84" s="800">
        <f>SUMIF(O_CWP_NOW!$A:$A,$A84,O_CWP_NOW!H:H)+SUMIF(O_CWP_FUT!$A:$A,$A84,O_CWP_FUT!H:H)</f>
        <v>0</v>
      </c>
      <c r="I84" s="800">
        <f>SUMIF(O_CWP_NOW!$A:$A,$A84,O_CWP_NOW!I:I)+SUMIF(O_CWP_FUT!$A:$A,$A84,O_CWP_FUT!I:I)</f>
        <v>0</v>
      </c>
      <c r="J84" s="800">
        <f>SUMIF(O_CWP_NOW!$A:$A,$A84,O_CWP_NOW!J:J)+SUMIF(O_CWP_FUT!$A:$A,$A84,O_CWP_FUT!J:J)</f>
        <v>0</v>
      </c>
      <c r="K84" s="800">
        <f>SUMIF(O_CWP_NOW!$A:$A,$A84,O_CWP_NOW!K:K)+SUMIF(O_CWP_FUT!$A:$A,$A84,O_CWP_FUT!K:K)</f>
        <v>0</v>
      </c>
      <c r="L84" s="800">
        <f>SUMIF(O_CWP_NOW!$A:$A,$A84,O_CWP_NOW!L:L)+SUMIF(O_CWP_FUT!$A:$A,$A84,O_CWP_FUT!L:L)</f>
        <v>0</v>
      </c>
      <c r="M84" s="800">
        <f>SUMIF(O_CWP_NOW!$A:$A,$A84,O_CWP_NOW!M:M)+SUMIF(O_CWP_FUT!$A:$A,$A84,O_CWP_FUT!M:M)</f>
        <v>0</v>
      </c>
      <c r="N84" s="800">
        <f>SUMIF(O_CWP_NOW!$A:$A,$A84,O_CWP_NOW!N:N)+SUMIF(O_CWP_FUT!$A:$A,$A84,O_CWP_FUT!N:N)</f>
        <v>0</v>
      </c>
      <c r="O84" s="800">
        <f>SUM(D84:N84)</f>
        <v>0</v>
      </c>
      <c r="P84" s="40"/>
      <c r="R84" s="29"/>
      <c r="S84" s="29"/>
    </row>
    <row r="85" spans="1:19" ht="13" hidden="1">
      <c r="A85" s="22" t="s">
        <v>5400</v>
      </c>
      <c r="B85" s="31" t="s">
        <v>963</v>
      </c>
      <c r="C85" s="31" t="str">
        <f>VLOOKUP($A85,FA_Codes!$D$2:$G$249,4,FALSE)</f>
        <v>City Centre GPA</v>
      </c>
      <c r="D85" s="800">
        <f>SUMIF(O_CWP_NOW!$A:$A,$A85,O_CWP_NOW!D:D)+SUMIF(O_CWP_FUT!$A:$A,$A85,O_CWP_FUT!D:D)</f>
        <v>0</v>
      </c>
      <c r="E85" s="800">
        <f>SUMIF(O_CWP_NOW!$A:$A,$A85,O_CWP_NOW!E:E)+SUMIF(O_CWP_FUT!$A:$A,$A85,O_CWP_FUT!E:E)</f>
        <v>0</v>
      </c>
      <c r="F85" s="800">
        <f>SUMIF(O_CWP_NOW!$A:$A,$A85,O_CWP_NOW!F:F)+SUMIF(O_CWP_FUT!$A:$A,$A85,O_CWP_FUT!F:F)</f>
        <v>0</v>
      </c>
      <c r="G85" s="800">
        <f>SUMIF(O_CWP_NOW!$A:$A,$A85,O_CWP_NOW!G:G)+SUMIF(O_CWP_FUT!$A:$A,$A85,O_CWP_FUT!G:G)</f>
        <v>0</v>
      </c>
      <c r="H85" s="800">
        <f>SUMIF(O_CWP_NOW!$A:$A,$A85,O_CWP_NOW!H:H)+SUMIF(O_CWP_FUT!$A:$A,$A85,O_CWP_FUT!H:H)</f>
        <v>0</v>
      </c>
      <c r="I85" s="800">
        <f>SUMIF(O_CWP_NOW!$A:$A,$A85,O_CWP_NOW!I:I)+SUMIF(O_CWP_FUT!$A:$A,$A85,O_CWP_FUT!I:I)</f>
        <v>0</v>
      </c>
      <c r="J85" s="800">
        <f>SUMIF(O_CWP_NOW!$A:$A,$A85,O_CWP_NOW!J:J)+SUMIF(O_CWP_FUT!$A:$A,$A85,O_CWP_FUT!J:J)</f>
        <v>0</v>
      </c>
      <c r="K85" s="800">
        <f>SUMIF(O_CWP_NOW!$A:$A,$A85,O_CWP_NOW!K:K)+SUMIF(O_CWP_FUT!$A:$A,$A85,O_CWP_FUT!K:K)</f>
        <v>0</v>
      </c>
      <c r="L85" s="800">
        <f>SUMIF(O_CWP_NOW!$A:$A,$A85,O_CWP_NOW!L:L)+SUMIF(O_CWP_FUT!$A:$A,$A85,O_CWP_FUT!L:L)</f>
        <v>0</v>
      </c>
      <c r="M85" s="800">
        <f>SUMIF(O_CWP_NOW!$A:$A,$A85,O_CWP_NOW!M:M)+SUMIF(O_CWP_FUT!$A:$A,$A85,O_CWP_FUT!M:M)</f>
        <v>0</v>
      </c>
      <c r="N85" s="800">
        <f>SUMIF(O_CWP_NOW!$A:$A,$A85,O_CWP_NOW!N:N)+SUMIF(O_CWP_FUT!$A:$A,$A85,O_CWP_FUT!N:N)</f>
        <v>0</v>
      </c>
      <c r="O85" s="800">
        <f t="shared" ref="O85:O105" si="6">SUM(D85:N85)</f>
        <v>0</v>
      </c>
      <c r="P85" s="40"/>
      <c r="R85" s="29"/>
      <c r="S85" s="29"/>
    </row>
    <row r="86" spans="1:19" ht="13" hidden="1">
      <c r="A86" s="22" t="s">
        <v>5395</v>
      </c>
      <c r="B86" s="31" t="s">
        <v>963</v>
      </c>
      <c r="C86" s="31" t="str">
        <f>VLOOKUP($A86,FA_Codes!$D$2:$G$249,4,FALSE)</f>
        <v>East Coast Bays</v>
      </c>
      <c r="D86" s="800">
        <f>SUMIF(O_CWP_NOW!$A:$A,$A86,O_CWP_NOW!D:D)+SUMIF(O_CWP_FUT!$A:$A,$A86,O_CWP_FUT!D:D)</f>
        <v>0</v>
      </c>
      <c r="E86" s="800">
        <f>SUMIF(O_CWP_NOW!$A:$A,$A86,O_CWP_NOW!E:E)+SUMIF(O_CWP_FUT!$A:$A,$A86,O_CWP_FUT!E:E)</f>
        <v>0</v>
      </c>
      <c r="F86" s="800">
        <f>SUMIF(O_CWP_NOW!$A:$A,$A86,O_CWP_NOW!F:F)+SUMIF(O_CWP_FUT!$A:$A,$A86,O_CWP_FUT!F:F)</f>
        <v>0</v>
      </c>
      <c r="G86" s="800">
        <f>SUMIF(O_CWP_NOW!$A:$A,$A86,O_CWP_NOW!G:G)+SUMIF(O_CWP_FUT!$A:$A,$A86,O_CWP_FUT!G:G)</f>
        <v>0</v>
      </c>
      <c r="H86" s="800">
        <f>SUMIF(O_CWP_NOW!$A:$A,$A86,O_CWP_NOW!H:H)+SUMIF(O_CWP_FUT!$A:$A,$A86,O_CWP_FUT!H:H)</f>
        <v>0</v>
      </c>
      <c r="I86" s="800">
        <f>SUMIF(O_CWP_NOW!$A:$A,$A86,O_CWP_NOW!I:I)+SUMIF(O_CWP_FUT!$A:$A,$A86,O_CWP_FUT!I:I)</f>
        <v>0</v>
      </c>
      <c r="J86" s="800">
        <f>SUMIF(O_CWP_NOW!$A:$A,$A86,O_CWP_NOW!J:J)+SUMIF(O_CWP_FUT!$A:$A,$A86,O_CWP_FUT!J:J)</f>
        <v>0</v>
      </c>
      <c r="K86" s="800">
        <f>SUMIF(O_CWP_NOW!$A:$A,$A86,O_CWP_NOW!K:K)+SUMIF(O_CWP_FUT!$A:$A,$A86,O_CWP_FUT!K:K)</f>
        <v>0</v>
      </c>
      <c r="L86" s="800">
        <f>SUMIF(O_CWP_NOW!$A:$A,$A86,O_CWP_NOW!L:L)+SUMIF(O_CWP_FUT!$A:$A,$A86,O_CWP_FUT!L:L)</f>
        <v>0</v>
      </c>
      <c r="M86" s="800">
        <f>SUMIF(O_CWP_NOW!$A:$A,$A86,O_CWP_NOW!M:M)+SUMIF(O_CWP_FUT!$A:$A,$A86,O_CWP_FUT!M:M)</f>
        <v>0</v>
      </c>
      <c r="N86" s="800">
        <f>SUMIF(O_CWP_NOW!$A:$A,$A86,O_CWP_NOW!N:N)+SUMIF(O_CWP_FUT!$A:$A,$A86,O_CWP_FUT!N:N)</f>
        <v>0</v>
      </c>
      <c r="O86" s="800">
        <f t="shared" si="6"/>
        <v>0</v>
      </c>
      <c r="P86" s="40"/>
      <c r="R86" s="29"/>
      <c r="S86" s="29"/>
    </row>
    <row r="87" spans="1:19" ht="13" hidden="1">
      <c r="A87" s="22" t="s">
        <v>5406</v>
      </c>
      <c r="B87" s="31" t="s">
        <v>963</v>
      </c>
      <c r="C87" s="31" t="str">
        <f>VLOOKUP($A87,FA_Codes!$D$2:$G$249,4,FALSE)</f>
        <v>Flat Bush GPA</v>
      </c>
      <c r="D87" s="800">
        <f>SUMIF(O_CWP_NOW!$A:$A,$A87,O_CWP_NOW!D:D)+SUMIF(O_CWP_FUT!$A:$A,$A87,O_CWP_FUT!D:D)</f>
        <v>0</v>
      </c>
      <c r="E87" s="800">
        <f>SUMIF(O_CWP_NOW!$A:$A,$A87,O_CWP_NOW!E:E)+SUMIF(O_CWP_FUT!$A:$A,$A87,O_CWP_FUT!E:E)</f>
        <v>0</v>
      </c>
      <c r="F87" s="800">
        <f>SUMIF(O_CWP_NOW!$A:$A,$A87,O_CWP_NOW!F:F)+SUMIF(O_CWP_FUT!$A:$A,$A87,O_CWP_FUT!F:F)</f>
        <v>0</v>
      </c>
      <c r="G87" s="800">
        <f>SUMIF(O_CWP_NOW!$A:$A,$A87,O_CWP_NOW!G:G)+SUMIF(O_CWP_FUT!$A:$A,$A87,O_CWP_FUT!G:G)</f>
        <v>0</v>
      </c>
      <c r="H87" s="800">
        <f>SUMIF(O_CWP_NOW!$A:$A,$A87,O_CWP_NOW!H:H)+SUMIF(O_CWP_FUT!$A:$A,$A87,O_CWP_FUT!H:H)</f>
        <v>0</v>
      </c>
      <c r="I87" s="800">
        <f>SUMIF(O_CWP_NOW!$A:$A,$A87,O_CWP_NOW!I:I)+SUMIF(O_CWP_FUT!$A:$A,$A87,O_CWP_FUT!I:I)</f>
        <v>0</v>
      </c>
      <c r="J87" s="800">
        <f>SUMIF(O_CWP_NOW!$A:$A,$A87,O_CWP_NOW!J:J)+SUMIF(O_CWP_FUT!$A:$A,$A87,O_CWP_FUT!J:J)</f>
        <v>0</v>
      </c>
      <c r="K87" s="800">
        <f>SUMIF(O_CWP_NOW!$A:$A,$A87,O_CWP_NOW!K:K)+SUMIF(O_CWP_FUT!$A:$A,$A87,O_CWP_FUT!K:K)</f>
        <v>0</v>
      </c>
      <c r="L87" s="800">
        <f>SUMIF(O_CWP_NOW!$A:$A,$A87,O_CWP_NOW!L:L)+SUMIF(O_CWP_FUT!$A:$A,$A87,O_CWP_FUT!L:L)</f>
        <v>0</v>
      </c>
      <c r="M87" s="800">
        <f>SUMIF(O_CWP_NOW!$A:$A,$A87,O_CWP_NOW!M:M)+SUMIF(O_CWP_FUT!$A:$A,$A87,O_CWP_FUT!M:M)</f>
        <v>0</v>
      </c>
      <c r="N87" s="800">
        <f>SUMIF(O_CWP_NOW!$A:$A,$A87,O_CWP_NOW!N:N)+SUMIF(O_CWP_FUT!$A:$A,$A87,O_CWP_FUT!N:N)</f>
        <v>0</v>
      </c>
      <c r="O87" s="800">
        <f t="shared" si="6"/>
        <v>0</v>
      </c>
      <c r="P87" s="40"/>
      <c r="R87" s="29"/>
      <c r="S87" s="29"/>
    </row>
    <row r="88" spans="1:19" ht="13" hidden="1">
      <c r="A88" s="22" t="s">
        <v>5408</v>
      </c>
      <c r="B88" s="31" t="s">
        <v>963</v>
      </c>
      <c r="C88" s="31" t="str">
        <f>VLOOKUP($A88,FA_Codes!$D$2:$G$249,4,FALSE)</f>
        <v>Metro Manukau GPA</v>
      </c>
      <c r="D88" s="800">
        <f>SUMIF(O_CWP_NOW!$A:$A,$A88,O_CWP_NOW!D:D)+SUMIF(O_CWP_FUT!$A:$A,$A88,O_CWP_FUT!D:D)</f>
        <v>0</v>
      </c>
      <c r="E88" s="800">
        <f>SUMIF(O_CWP_NOW!$A:$A,$A88,O_CWP_NOW!E:E)+SUMIF(O_CWP_FUT!$A:$A,$A88,O_CWP_FUT!E:E)</f>
        <v>0</v>
      </c>
      <c r="F88" s="800">
        <f>SUMIF(O_CWP_NOW!$A:$A,$A88,O_CWP_NOW!F:F)+SUMIF(O_CWP_FUT!$A:$A,$A88,O_CWP_FUT!F:F)</f>
        <v>0</v>
      </c>
      <c r="G88" s="800">
        <f>SUMIF(O_CWP_NOW!$A:$A,$A88,O_CWP_NOW!G:G)+SUMIF(O_CWP_FUT!$A:$A,$A88,O_CWP_FUT!G:G)</f>
        <v>0</v>
      </c>
      <c r="H88" s="800">
        <f>SUMIF(O_CWP_NOW!$A:$A,$A88,O_CWP_NOW!H:H)+SUMIF(O_CWP_FUT!$A:$A,$A88,O_CWP_FUT!H:H)</f>
        <v>0</v>
      </c>
      <c r="I88" s="800">
        <f>SUMIF(O_CWP_NOW!$A:$A,$A88,O_CWP_NOW!I:I)+SUMIF(O_CWP_FUT!$A:$A,$A88,O_CWP_FUT!I:I)</f>
        <v>0</v>
      </c>
      <c r="J88" s="800">
        <f>SUMIF(O_CWP_NOW!$A:$A,$A88,O_CWP_NOW!J:J)+SUMIF(O_CWP_FUT!$A:$A,$A88,O_CWP_FUT!J:J)</f>
        <v>0</v>
      </c>
      <c r="K88" s="800">
        <f>SUMIF(O_CWP_NOW!$A:$A,$A88,O_CWP_NOW!K:K)+SUMIF(O_CWP_FUT!$A:$A,$A88,O_CWP_FUT!K:K)</f>
        <v>0</v>
      </c>
      <c r="L88" s="800">
        <f>SUMIF(O_CWP_NOW!$A:$A,$A88,O_CWP_NOW!L:L)+SUMIF(O_CWP_FUT!$A:$A,$A88,O_CWP_FUT!L:L)</f>
        <v>0</v>
      </c>
      <c r="M88" s="800">
        <f>SUMIF(O_CWP_NOW!$A:$A,$A88,O_CWP_NOW!M:M)+SUMIF(O_CWP_FUT!$A:$A,$A88,O_CWP_FUT!M:M)</f>
        <v>0</v>
      </c>
      <c r="N88" s="800">
        <f>SUMIF(O_CWP_NOW!$A:$A,$A88,O_CWP_NOW!N:N)+SUMIF(O_CWP_FUT!$A:$A,$A88,O_CWP_FUT!N:N)</f>
        <v>0</v>
      </c>
      <c r="O88" s="800">
        <f t="shared" si="6"/>
        <v>0</v>
      </c>
      <c r="P88" s="40"/>
      <c r="R88" s="29"/>
      <c r="S88" s="29"/>
    </row>
    <row r="89" spans="1:19" ht="13" hidden="1">
      <c r="A89" s="22" t="s">
        <v>5409</v>
      </c>
      <c r="B89" s="31" t="s">
        <v>963</v>
      </c>
      <c r="C89" s="31" t="str">
        <f>VLOOKUP($A89,FA_Codes!$D$2:$G$249,4,FALSE)</f>
        <v>Manurewa / Papakura GPA</v>
      </c>
      <c r="D89" s="800">
        <f>SUMIF(O_CWP_NOW!$A:$A,$A89,O_CWP_NOW!D:D)+SUMIF(O_CWP_FUT!$A:$A,$A89,O_CWP_FUT!D:D)</f>
        <v>0</v>
      </c>
      <c r="E89" s="800">
        <f>SUMIF(O_CWP_NOW!$A:$A,$A89,O_CWP_NOW!E:E)+SUMIF(O_CWP_FUT!$A:$A,$A89,O_CWP_FUT!E:E)</f>
        <v>0</v>
      </c>
      <c r="F89" s="800">
        <f>SUMIF(O_CWP_NOW!$A:$A,$A89,O_CWP_NOW!F:F)+SUMIF(O_CWP_FUT!$A:$A,$A89,O_CWP_FUT!F:F)</f>
        <v>0</v>
      </c>
      <c r="G89" s="800">
        <f>SUMIF(O_CWP_NOW!$A:$A,$A89,O_CWP_NOW!G:G)+SUMIF(O_CWP_FUT!$A:$A,$A89,O_CWP_FUT!G:G)</f>
        <v>0</v>
      </c>
      <c r="H89" s="800">
        <f>SUMIF(O_CWP_NOW!$A:$A,$A89,O_CWP_NOW!H:H)+SUMIF(O_CWP_FUT!$A:$A,$A89,O_CWP_FUT!H:H)</f>
        <v>0</v>
      </c>
      <c r="I89" s="800">
        <f>SUMIF(O_CWP_NOW!$A:$A,$A89,O_CWP_NOW!I:I)+SUMIF(O_CWP_FUT!$A:$A,$A89,O_CWP_FUT!I:I)</f>
        <v>0</v>
      </c>
      <c r="J89" s="800">
        <f>SUMIF(O_CWP_NOW!$A:$A,$A89,O_CWP_NOW!J:J)+SUMIF(O_CWP_FUT!$A:$A,$A89,O_CWP_FUT!J:J)</f>
        <v>0</v>
      </c>
      <c r="K89" s="800">
        <f>SUMIF(O_CWP_NOW!$A:$A,$A89,O_CWP_NOW!K:K)+SUMIF(O_CWP_FUT!$A:$A,$A89,O_CWP_FUT!K:K)</f>
        <v>0</v>
      </c>
      <c r="L89" s="800">
        <f>SUMIF(O_CWP_NOW!$A:$A,$A89,O_CWP_NOW!L:L)+SUMIF(O_CWP_FUT!$A:$A,$A89,O_CWP_FUT!L:L)</f>
        <v>0</v>
      </c>
      <c r="M89" s="800">
        <f>SUMIF(O_CWP_NOW!$A:$A,$A89,O_CWP_NOW!M:M)+SUMIF(O_CWP_FUT!$A:$A,$A89,O_CWP_FUT!M:M)</f>
        <v>0</v>
      </c>
      <c r="N89" s="800">
        <f>SUMIF(O_CWP_NOW!$A:$A,$A89,O_CWP_NOW!N:N)+SUMIF(O_CWP_FUT!$A:$A,$A89,O_CWP_FUT!N:N)</f>
        <v>0</v>
      </c>
      <c r="O89" s="800">
        <f t="shared" si="6"/>
        <v>0</v>
      </c>
      <c r="P89" s="40"/>
      <c r="R89" s="29"/>
      <c r="S89" s="29"/>
    </row>
    <row r="90" spans="1:19" ht="13" hidden="1">
      <c r="A90" s="22" t="s">
        <v>5421</v>
      </c>
      <c r="B90" s="31" t="s">
        <v>963</v>
      </c>
      <c r="C90" s="31" t="str">
        <f>VLOOKUP($A90,FA_Codes!$D$2:$G$249,4,FALSE)</f>
        <v>Greater Takapuna GPA</v>
      </c>
      <c r="D90" s="800">
        <f>SUMIF(O_CWP_NOW!$A:$A,$A90,O_CWP_NOW!D:D)+SUMIF(O_CWP_FUT!$A:$A,$A90,O_CWP_FUT!D:D)</f>
        <v>0</v>
      </c>
      <c r="E90" s="800">
        <f>SUMIF(O_CWP_NOW!$A:$A,$A90,O_CWP_NOW!E:E)+SUMIF(O_CWP_FUT!$A:$A,$A90,O_CWP_FUT!E:E)</f>
        <v>0</v>
      </c>
      <c r="F90" s="800">
        <f>SUMIF(O_CWP_NOW!$A:$A,$A90,O_CWP_NOW!F:F)+SUMIF(O_CWP_FUT!$A:$A,$A90,O_CWP_FUT!F:F)</f>
        <v>0</v>
      </c>
      <c r="G90" s="800">
        <f>SUMIF(O_CWP_NOW!$A:$A,$A90,O_CWP_NOW!G:G)+SUMIF(O_CWP_FUT!$A:$A,$A90,O_CWP_FUT!G:G)</f>
        <v>0</v>
      </c>
      <c r="H90" s="800">
        <f>SUMIF(O_CWP_NOW!$A:$A,$A90,O_CWP_NOW!H:H)+SUMIF(O_CWP_FUT!$A:$A,$A90,O_CWP_FUT!H:H)</f>
        <v>0</v>
      </c>
      <c r="I90" s="800">
        <f>SUMIF(O_CWP_NOW!$A:$A,$A90,O_CWP_NOW!I:I)+SUMIF(O_CWP_FUT!$A:$A,$A90,O_CWP_FUT!I:I)</f>
        <v>0</v>
      </c>
      <c r="J90" s="800">
        <f>SUMIF(O_CWP_NOW!$A:$A,$A90,O_CWP_NOW!J:J)+SUMIF(O_CWP_FUT!$A:$A,$A90,O_CWP_FUT!J:J)</f>
        <v>0</v>
      </c>
      <c r="K90" s="800">
        <f>SUMIF(O_CWP_NOW!$A:$A,$A90,O_CWP_NOW!K:K)+SUMIF(O_CWP_FUT!$A:$A,$A90,O_CWP_FUT!K:K)</f>
        <v>0</v>
      </c>
      <c r="L90" s="800">
        <f>SUMIF(O_CWP_NOW!$A:$A,$A90,O_CWP_NOW!L:L)+SUMIF(O_CWP_FUT!$A:$A,$A90,O_CWP_FUT!L:L)</f>
        <v>0</v>
      </c>
      <c r="M90" s="800">
        <f>SUMIF(O_CWP_NOW!$A:$A,$A90,O_CWP_NOW!M:M)+SUMIF(O_CWP_FUT!$A:$A,$A90,O_CWP_FUT!M:M)</f>
        <v>0</v>
      </c>
      <c r="N90" s="800">
        <f>SUMIF(O_CWP_NOW!$A:$A,$A90,O_CWP_NOW!N:N)+SUMIF(O_CWP_FUT!$A:$A,$A90,O_CWP_FUT!N:N)</f>
        <v>0</v>
      </c>
      <c r="O90" s="800">
        <f t="shared" si="6"/>
        <v>0</v>
      </c>
      <c r="P90" s="597"/>
      <c r="R90" s="29"/>
      <c r="S90" s="29"/>
    </row>
    <row r="91" spans="1:19" ht="13" hidden="1">
      <c r="A91" s="22" t="s">
        <v>5422</v>
      </c>
      <c r="B91" s="31" t="s">
        <v>963</v>
      </c>
      <c r="C91" s="31" t="str">
        <f>VLOOKUP($A91,FA_Codes!$D$2:$G$249,4,FALSE)</f>
        <v>Greater Tamaki GPA</v>
      </c>
      <c r="D91" s="800">
        <f>SUMIF(O_CWP_NOW!$A:$A,$A91,O_CWP_NOW!D:D)+SUMIF(O_CWP_FUT!$A:$A,$A91,O_CWP_FUT!D:D)</f>
        <v>0</v>
      </c>
      <c r="E91" s="800">
        <f>SUMIF(O_CWP_NOW!$A:$A,$A91,O_CWP_NOW!E:E)+SUMIF(O_CWP_FUT!$A:$A,$A91,O_CWP_FUT!E:E)</f>
        <v>0</v>
      </c>
      <c r="F91" s="800">
        <f>SUMIF(O_CWP_NOW!$A:$A,$A91,O_CWP_NOW!F:F)+SUMIF(O_CWP_FUT!$A:$A,$A91,O_CWP_FUT!F:F)</f>
        <v>0</v>
      </c>
      <c r="G91" s="800">
        <f>SUMIF(O_CWP_NOW!$A:$A,$A91,O_CWP_NOW!G:G)+SUMIF(O_CWP_FUT!$A:$A,$A91,O_CWP_FUT!G:G)</f>
        <v>0</v>
      </c>
      <c r="H91" s="800">
        <f>SUMIF(O_CWP_NOW!$A:$A,$A91,O_CWP_NOW!H:H)+SUMIF(O_CWP_FUT!$A:$A,$A91,O_CWP_FUT!H:H)</f>
        <v>0</v>
      </c>
      <c r="I91" s="800">
        <f>SUMIF(O_CWP_NOW!$A:$A,$A91,O_CWP_NOW!I:I)+SUMIF(O_CWP_FUT!$A:$A,$A91,O_CWP_FUT!I:I)</f>
        <v>0</v>
      </c>
      <c r="J91" s="800">
        <f>SUMIF(O_CWP_NOW!$A:$A,$A91,O_CWP_NOW!J:J)+SUMIF(O_CWP_FUT!$A:$A,$A91,O_CWP_FUT!J:J)</f>
        <v>0</v>
      </c>
      <c r="K91" s="800">
        <f>SUMIF(O_CWP_NOW!$A:$A,$A91,O_CWP_NOW!K:K)+SUMIF(O_CWP_FUT!$A:$A,$A91,O_CWP_FUT!K:K)</f>
        <v>0</v>
      </c>
      <c r="L91" s="800">
        <f>SUMIF(O_CWP_NOW!$A:$A,$A91,O_CWP_NOW!L:L)+SUMIF(O_CWP_FUT!$A:$A,$A91,O_CWP_FUT!L:L)</f>
        <v>0</v>
      </c>
      <c r="M91" s="800">
        <f>SUMIF(O_CWP_NOW!$A:$A,$A91,O_CWP_NOW!M:M)+SUMIF(O_CWP_FUT!$A:$A,$A91,O_CWP_FUT!M:M)</f>
        <v>0</v>
      </c>
      <c r="N91" s="800">
        <f>SUMIF(O_CWP_NOW!$A:$A,$A91,O_CWP_NOW!N:N)+SUMIF(O_CWP_FUT!$A:$A,$A91,O_CWP_FUT!N:N)</f>
        <v>0</v>
      </c>
      <c r="O91" s="800">
        <f t="shared" si="6"/>
        <v>0</v>
      </c>
      <c r="P91" s="40"/>
      <c r="R91" s="29"/>
      <c r="S91" s="29"/>
    </row>
    <row r="92" spans="1:19" ht="13" hidden="1">
      <c r="A92" s="22" t="s">
        <v>5411</v>
      </c>
      <c r="B92" s="31" t="s">
        <v>963</v>
      </c>
      <c r="C92" s="31" t="str">
        <f>VLOOKUP($A92,FA_Codes!$D$2:$G$249,4,FALSE)</f>
        <v>Helensville</v>
      </c>
      <c r="D92" s="800">
        <f>SUMIF(O_CWP_NOW!$A:$A,$A92,O_CWP_NOW!D:D)+SUMIF(O_CWP_FUT!$A:$A,$A92,O_CWP_FUT!D:D)</f>
        <v>0</v>
      </c>
      <c r="E92" s="800">
        <f>SUMIF(O_CWP_NOW!$A:$A,$A92,O_CWP_NOW!E:E)+SUMIF(O_CWP_FUT!$A:$A,$A92,O_CWP_FUT!E:E)</f>
        <v>0</v>
      </c>
      <c r="F92" s="800">
        <f>SUMIF(O_CWP_NOW!$A:$A,$A92,O_CWP_NOW!F:F)+SUMIF(O_CWP_FUT!$A:$A,$A92,O_CWP_FUT!F:F)</f>
        <v>0</v>
      </c>
      <c r="G92" s="800">
        <f>SUMIF(O_CWP_NOW!$A:$A,$A92,O_CWP_NOW!G:G)+SUMIF(O_CWP_FUT!$A:$A,$A92,O_CWP_FUT!G:G)</f>
        <v>0</v>
      </c>
      <c r="H92" s="800">
        <f>SUMIF(O_CWP_NOW!$A:$A,$A92,O_CWP_NOW!H:H)+SUMIF(O_CWP_FUT!$A:$A,$A92,O_CWP_FUT!H:H)</f>
        <v>0</v>
      </c>
      <c r="I92" s="800">
        <f>SUMIF(O_CWP_NOW!$A:$A,$A92,O_CWP_NOW!I:I)+SUMIF(O_CWP_FUT!$A:$A,$A92,O_CWP_FUT!I:I)</f>
        <v>0</v>
      </c>
      <c r="J92" s="800">
        <f>SUMIF(O_CWP_NOW!$A:$A,$A92,O_CWP_NOW!J:J)+SUMIF(O_CWP_FUT!$A:$A,$A92,O_CWP_FUT!J:J)</f>
        <v>0</v>
      </c>
      <c r="K92" s="800">
        <f>SUMIF(O_CWP_NOW!$A:$A,$A92,O_CWP_NOW!K:K)+SUMIF(O_CWP_FUT!$A:$A,$A92,O_CWP_FUT!K:K)</f>
        <v>0</v>
      </c>
      <c r="L92" s="800">
        <f>SUMIF(O_CWP_NOW!$A:$A,$A92,O_CWP_NOW!L:L)+SUMIF(O_CWP_FUT!$A:$A,$A92,O_CWP_FUT!L:L)</f>
        <v>0</v>
      </c>
      <c r="M92" s="800">
        <f>SUMIF(O_CWP_NOW!$A:$A,$A92,O_CWP_NOW!M:M)+SUMIF(O_CWP_FUT!$A:$A,$A92,O_CWP_FUT!M:M)</f>
        <v>0</v>
      </c>
      <c r="N92" s="800">
        <f>SUMIF(O_CWP_NOW!$A:$A,$A92,O_CWP_NOW!N:N)+SUMIF(O_CWP_FUT!$A:$A,$A92,O_CWP_FUT!N:N)</f>
        <v>0</v>
      </c>
      <c r="O92" s="800">
        <f t="shared" si="6"/>
        <v>0</v>
      </c>
      <c r="P92" s="40"/>
      <c r="R92" s="29"/>
      <c r="S92" s="29"/>
    </row>
    <row r="93" spans="1:19" ht="13" hidden="1">
      <c r="A93" s="22" t="s">
        <v>5414</v>
      </c>
      <c r="B93" s="31" t="s">
        <v>963</v>
      </c>
      <c r="C93" s="31" t="str">
        <f>VLOOKUP($A93,FA_Codes!$D$2:$G$249,4,FALSE)</f>
        <v>Hibiscus Coast</v>
      </c>
      <c r="D93" s="800">
        <f>SUMIF(O_CWP_NOW!$A:$A,$A93,O_CWP_NOW!D:D)+SUMIF(O_CWP_FUT!$A:$A,$A93,O_CWP_FUT!D:D)</f>
        <v>0</v>
      </c>
      <c r="E93" s="800">
        <f>SUMIF(O_CWP_NOW!$A:$A,$A93,O_CWP_NOW!E:E)+SUMIF(O_CWP_FUT!$A:$A,$A93,O_CWP_FUT!E:E)</f>
        <v>0</v>
      </c>
      <c r="F93" s="800">
        <f>SUMIF(O_CWP_NOW!$A:$A,$A93,O_CWP_NOW!F:F)+SUMIF(O_CWP_FUT!$A:$A,$A93,O_CWP_FUT!F:F)</f>
        <v>0</v>
      </c>
      <c r="G93" s="800">
        <f>SUMIF(O_CWP_NOW!$A:$A,$A93,O_CWP_NOW!G:G)+SUMIF(O_CWP_FUT!$A:$A,$A93,O_CWP_FUT!G:G)</f>
        <v>0</v>
      </c>
      <c r="H93" s="800">
        <f>SUMIF(O_CWP_NOW!$A:$A,$A93,O_CWP_NOW!H:H)+SUMIF(O_CWP_FUT!$A:$A,$A93,O_CWP_FUT!H:H)</f>
        <v>0</v>
      </c>
      <c r="I93" s="800">
        <f>SUMIF(O_CWP_NOW!$A:$A,$A93,O_CWP_NOW!I:I)+SUMIF(O_CWP_FUT!$A:$A,$A93,O_CWP_FUT!I:I)</f>
        <v>0</v>
      </c>
      <c r="J93" s="800">
        <f>SUMIF(O_CWP_NOW!$A:$A,$A93,O_CWP_NOW!J:J)+SUMIF(O_CWP_FUT!$A:$A,$A93,O_CWP_FUT!J:J)</f>
        <v>0</v>
      </c>
      <c r="K93" s="800">
        <f>SUMIF(O_CWP_NOW!$A:$A,$A93,O_CWP_NOW!K:K)+SUMIF(O_CWP_FUT!$A:$A,$A93,O_CWP_FUT!K:K)</f>
        <v>0</v>
      </c>
      <c r="L93" s="800">
        <f>SUMIF(O_CWP_NOW!$A:$A,$A93,O_CWP_NOW!L:L)+SUMIF(O_CWP_FUT!$A:$A,$A93,O_CWP_FUT!L:L)</f>
        <v>0</v>
      </c>
      <c r="M93" s="800">
        <f>SUMIF(O_CWP_NOW!$A:$A,$A93,O_CWP_NOW!M:M)+SUMIF(O_CWP_FUT!$A:$A,$A93,O_CWP_FUT!M:M)</f>
        <v>0</v>
      </c>
      <c r="N93" s="800">
        <f>SUMIF(O_CWP_NOW!$A:$A,$A93,O_CWP_NOW!N:N)+SUMIF(O_CWP_FUT!$A:$A,$A93,O_CWP_FUT!N:N)</f>
        <v>0</v>
      </c>
      <c r="O93" s="800">
        <f t="shared" si="6"/>
        <v>0</v>
      </c>
      <c r="P93" s="40"/>
      <c r="R93" s="29"/>
      <c r="S93" s="29"/>
    </row>
    <row r="94" spans="1:19" ht="13" hidden="1">
      <c r="A94" s="22" t="s">
        <v>5403</v>
      </c>
      <c r="B94" s="31" t="s">
        <v>963</v>
      </c>
      <c r="C94" s="31" t="str">
        <f>VLOOKUP($A94,FA_Codes!$D$2:$G$249,4,FALSE)</f>
        <v>Inner West Triangle GPA</v>
      </c>
      <c r="D94" s="800">
        <f>SUMIF(O_CWP_NOW!$A:$A,$A94,O_CWP_NOW!D:D)+SUMIF(O_CWP_FUT!$A:$A,$A94,O_CWP_FUT!D:D)</f>
        <v>0</v>
      </c>
      <c r="E94" s="800">
        <f>SUMIF(O_CWP_NOW!$A:$A,$A94,O_CWP_NOW!E:E)+SUMIF(O_CWP_FUT!$A:$A,$A94,O_CWP_FUT!E:E)</f>
        <v>0</v>
      </c>
      <c r="F94" s="800">
        <f>SUMIF(O_CWP_NOW!$A:$A,$A94,O_CWP_NOW!F:F)+SUMIF(O_CWP_FUT!$A:$A,$A94,O_CWP_FUT!F:F)</f>
        <v>0</v>
      </c>
      <c r="G94" s="800">
        <f>SUMIF(O_CWP_NOW!$A:$A,$A94,O_CWP_NOW!G:G)+SUMIF(O_CWP_FUT!$A:$A,$A94,O_CWP_FUT!G:G)</f>
        <v>0</v>
      </c>
      <c r="H94" s="800">
        <f>SUMIF(O_CWP_NOW!$A:$A,$A94,O_CWP_NOW!H:H)+SUMIF(O_CWP_FUT!$A:$A,$A94,O_CWP_FUT!H:H)</f>
        <v>0</v>
      </c>
      <c r="I94" s="800">
        <f>SUMIF(O_CWP_NOW!$A:$A,$A94,O_CWP_NOW!I:I)+SUMIF(O_CWP_FUT!$A:$A,$A94,O_CWP_FUT!I:I)</f>
        <v>0</v>
      </c>
      <c r="J94" s="800">
        <f>SUMIF(O_CWP_NOW!$A:$A,$A94,O_CWP_NOW!J:J)+SUMIF(O_CWP_FUT!$A:$A,$A94,O_CWP_FUT!J:J)</f>
        <v>0</v>
      </c>
      <c r="K94" s="800">
        <f>SUMIF(O_CWP_NOW!$A:$A,$A94,O_CWP_NOW!K:K)+SUMIF(O_CWP_FUT!$A:$A,$A94,O_CWP_FUT!K:K)</f>
        <v>0</v>
      </c>
      <c r="L94" s="800">
        <f>SUMIF(O_CWP_NOW!$A:$A,$A94,O_CWP_NOW!L:L)+SUMIF(O_CWP_FUT!$A:$A,$A94,O_CWP_FUT!L:L)</f>
        <v>0</v>
      </c>
      <c r="M94" s="800">
        <f>SUMIF(O_CWP_NOW!$A:$A,$A94,O_CWP_NOW!M:M)+SUMIF(O_CWP_FUT!$A:$A,$A94,O_CWP_FUT!M:M)</f>
        <v>0</v>
      </c>
      <c r="N94" s="800">
        <f>SUMIF(O_CWP_NOW!$A:$A,$A94,O_CWP_NOW!N:N)+SUMIF(O_CWP_FUT!$A:$A,$A94,O_CWP_FUT!N:N)</f>
        <v>0</v>
      </c>
      <c r="O94" s="800">
        <f t="shared" si="6"/>
        <v>0</v>
      </c>
      <c r="P94" s="597"/>
      <c r="R94" s="29"/>
      <c r="S94" s="29"/>
    </row>
    <row r="95" spans="1:19" ht="13" hidden="1">
      <c r="A95" s="22" t="s">
        <v>5415</v>
      </c>
      <c r="B95" s="31" t="s">
        <v>963</v>
      </c>
      <c r="C95" s="31" t="str">
        <f>VLOOKUP($A95,FA_Codes!$D$2:$G$249,4,FALSE)</f>
        <v>Kumeu / Huapai</v>
      </c>
      <c r="D95" s="800">
        <f>SUMIF(O_CWP_NOW!$A:$A,$A95,O_CWP_NOW!D:D)+SUMIF(O_CWP_FUT!$A:$A,$A95,O_CWP_FUT!D:D)</f>
        <v>0</v>
      </c>
      <c r="E95" s="800">
        <f>SUMIF(O_CWP_NOW!$A:$A,$A95,O_CWP_NOW!E:E)+SUMIF(O_CWP_FUT!$A:$A,$A95,O_CWP_FUT!E:E)</f>
        <v>0</v>
      </c>
      <c r="F95" s="800">
        <f>SUMIF(O_CWP_NOW!$A:$A,$A95,O_CWP_NOW!F:F)+SUMIF(O_CWP_FUT!$A:$A,$A95,O_CWP_FUT!F:F)</f>
        <v>0</v>
      </c>
      <c r="G95" s="800">
        <f>SUMIF(O_CWP_NOW!$A:$A,$A95,O_CWP_NOW!G:G)+SUMIF(O_CWP_FUT!$A:$A,$A95,O_CWP_FUT!G:G)</f>
        <v>0</v>
      </c>
      <c r="H95" s="800">
        <f>SUMIF(O_CWP_NOW!$A:$A,$A95,O_CWP_NOW!H:H)+SUMIF(O_CWP_FUT!$A:$A,$A95,O_CWP_FUT!H:H)</f>
        <v>0</v>
      </c>
      <c r="I95" s="800">
        <f>SUMIF(O_CWP_NOW!$A:$A,$A95,O_CWP_NOW!I:I)+SUMIF(O_CWP_FUT!$A:$A,$A95,O_CWP_FUT!I:I)</f>
        <v>0</v>
      </c>
      <c r="J95" s="800">
        <f>SUMIF(O_CWP_NOW!$A:$A,$A95,O_CWP_NOW!J:J)+SUMIF(O_CWP_FUT!$A:$A,$A95,O_CWP_FUT!J:J)</f>
        <v>0</v>
      </c>
      <c r="K95" s="800">
        <f>SUMIF(O_CWP_NOW!$A:$A,$A95,O_CWP_NOW!K:K)+SUMIF(O_CWP_FUT!$A:$A,$A95,O_CWP_FUT!K:K)</f>
        <v>0</v>
      </c>
      <c r="L95" s="800">
        <f>SUMIF(O_CWP_NOW!$A:$A,$A95,O_CWP_NOW!L:L)+SUMIF(O_CWP_FUT!$A:$A,$A95,O_CWP_FUT!L:L)</f>
        <v>0</v>
      </c>
      <c r="M95" s="800">
        <f>SUMIF(O_CWP_NOW!$A:$A,$A95,O_CWP_NOW!M:M)+SUMIF(O_CWP_FUT!$A:$A,$A95,O_CWP_FUT!M:M)</f>
        <v>0</v>
      </c>
      <c r="N95" s="800">
        <f>SUMIF(O_CWP_NOW!$A:$A,$A95,O_CWP_NOW!N:N)+SUMIF(O_CWP_FUT!$A:$A,$A95,O_CWP_FUT!N:N)</f>
        <v>0</v>
      </c>
      <c r="O95" s="800">
        <f t="shared" si="6"/>
        <v>0</v>
      </c>
      <c r="P95" s="40"/>
      <c r="R95" s="29"/>
      <c r="S95" s="29"/>
    </row>
    <row r="96" spans="1:19" ht="13" hidden="1">
      <c r="A96" s="22" t="s">
        <v>5407</v>
      </c>
      <c r="B96" s="31" t="s">
        <v>963</v>
      </c>
      <c r="C96" s="31" t="str">
        <f>VLOOKUP($A96,FA_Codes!$D$2:$G$249,4,FALSE)</f>
        <v>Mahurangi</v>
      </c>
      <c r="D96" s="800">
        <f>SUMIF(O_CWP_NOW!$A:$A,$A96,O_CWP_NOW!D:D)+SUMIF(O_CWP_FUT!$A:$A,$A96,O_CWP_FUT!D:D)</f>
        <v>0</v>
      </c>
      <c r="E96" s="800">
        <f>SUMIF(O_CWP_NOW!$A:$A,$A96,O_CWP_NOW!E:E)+SUMIF(O_CWP_FUT!$A:$A,$A96,O_CWP_FUT!E:E)</f>
        <v>0</v>
      </c>
      <c r="F96" s="800">
        <f>SUMIF(O_CWP_NOW!$A:$A,$A96,O_CWP_NOW!F:F)+SUMIF(O_CWP_FUT!$A:$A,$A96,O_CWP_FUT!F:F)</f>
        <v>0</v>
      </c>
      <c r="G96" s="800">
        <f>SUMIF(O_CWP_NOW!$A:$A,$A96,O_CWP_NOW!G:G)+SUMIF(O_CWP_FUT!$A:$A,$A96,O_CWP_FUT!G:G)</f>
        <v>0</v>
      </c>
      <c r="H96" s="800">
        <f>SUMIF(O_CWP_NOW!$A:$A,$A96,O_CWP_NOW!H:H)+SUMIF(O_CWP_FUT!$A:$A,$A96,O_CWP_FUT!H:H)</f>
        <v>0</v>
      </c>
      <c r="I96" s="800">
        <f>SUMIF(O_CWP_NOW!$A:$A,$A96,O_CWP_NOW!I:I)+SUMIF(O_CWP_FUT!$A:$A,$A96,O_CWP_FUT!I:I)</f>
        <v>0</v>
      </c>
      <c r="J96" s="800">
        <f>SUMIF(O_CWP_NOW!$A:$A,$A96,O_CWP_NOW!J:J)+SUMIF(O_CWP_FUT!$A:$A,$A96,O_CWP_FUT!J:J)</f>
        <v>0</v>
      </c>
      <c r="K96" s="800">
        <f>SUMIF(O_CWP_NOW!$A:$A,$A96,O_CWP_NOW!K:K)+SUMIF(O_CWP_FUT!$A:$A,$A96,O_CWP_FUT!K:K)</f>
        <v>0</v>
      </c>
      <c r="L96" s="800">
        <f>SUMIF(O_CWP_NOW!$A:$A,$A96,O_CWP_NOW!L:L)+SUMIF(O_CWP_FUT!$A:$A,$A96,O_CWP_FUT!L:L)</f>
        <v>0</v>
      </c>
      <c r="M96" s="800">
        <f>SUMIF(O_CWP_NOW!$A:$A,$A96,O_CWP_NOW!M:M)+SUMIF(O_CWP_FUT!$A:$A,$A96,O_CWP_FUT!M:M)</f>
        <v>0</v>
      </c>
      <c r="N96" s="800">
        <f>SUMIF(O_CWP_NOW!$A:$A,$A96,O_CWP_NOW!N:N)+SUMIF(O_CWP_FUT!$A:$A,$A96,O_CWP_FUT!N:N)</f>
        <v>0</v>
      </c>
      <c r="O96" s="800">
        <f t="shared" si="6"/>
        <v>0</v>
      </c>
      <c r="P96" s="40"/>
      <c r="R96" s="29"/>
      <c r="S96" s="29"/>
    </row>
    <row r="97" spans="1:19" ht="13" hidden="1">
      <c r="A97" s="22" t="s">
        <v>5416</v>
      </c>
      <c r="B97" s="31" t="s">
        <v>963</v>
      </c>
      <c r="C97" s="31" t="str">
        <f>VLOOKUP($A97,FA_Codes!$D$2:$G$249,4,FALSE)</f>
        <v>Manukau Central</v>
      </c>
      <c r="D97" s="800">
        <f>SUMIF(O_CWP_NOW!$A:$A,$A97,O_CWP_NOW!D:D)+SUMIF(O_CWP_FUT!$A:$A,$A97,O_CWP_FUT!D:D)</f>
        <v>0</v>
      </c>
      <c r="E97" s="800">
        <f>SUMIF(O_CWP_NOW!$A:$A,$A97,O_CWP_NOW!E:E)+SUMIF(O_CWP_FUT!$A:$A,$A97,O_CWP_FUT!E:E)</f>
        <v>0</v>
      </c>
      <c r="F97" s="800">
        <f>SUMIF(O_CWP_NOW!$A:$A,$A97,O_CWP_NOW!F:F)+SUMIF(O_CWP_FUT!$A:$A,$A97,O_CWP_FUT!F:F)</f>
        <v>0</v>
      </c>
      <c r="G97" s="800">
        <f>SUMIF(O_CWP_NOW!$A:$A,$A97,O_CWP_NOW!G:G)+SUMIF(O_CWP_FUT!$A:$A,$A97,O_CWP_FUT!G:G)</f>
        <v>0</v>
      </c>
      <c r="H97" s="800">
        <f>SUMIF(O_CWP_NOW!$A:$A,$A97,O_CWP_NOW!H:H)+SUMIF(O_CWP_FUT!$A:$A,$A97,O_CWP_FUT!H:H)</f>
        <v>0</v>
      </c>
      <c r="I97" s="800">
        <f>SUMIF(O_CWP_NOW!$A:$A,$A97,O_CWP_NOW!I:I)+SUMIF(O_CWP_FUT!$A:$A,$A97,O_CWP_FUT!I:I)</f>
        <v>0</v>
      </c>
      <c r="J97" s="800">
        <f>SUMIF(O_CWP_NOW!$A:$A,$A97,O_CWP_NOW!J:J)+SUMIF(O_CWP_FUT!$A:$A,$A97,O_CWP_FUT!J:J)</f>
        <v>0</v>
      </c>
      <c r="K97" s="800">
        <f>SUMIF(O_CWP_NOW!$A:$A,$A97,O_CWP_NOW!K:K)+SUMIF(O_CWP_FUT!$A:$A,$A97,O_CWP_FUT!K:K)</f>
        <v>0</v>
      </c>
      <c r="L97" s="800">
        <f>SUMIF(O_CWP_NOW!$A:$A,$A97,O_CWP_NOW!L:L)+SUMIF(O_CWP_FUT!$A:$A,$A97,O_CWP_FUT!L:L)</f>
        <v>0</v>
      </c>
      <c r="M97" s="800">
        <f>SUMIF(O_CWP_NOW!$A:$A,$A97,O_CWP_NOW!M:M)+SUMIF(O_CWP_FUT!$A:$A,$A97,O_CWP_FUT!M:M)</f>
        <v>0</v>
      </c>
      <c r="N97" s="800">
        <f>SUMIF(O_CWP_NOW!$A:$A,$A97,O_CWP_NOW!N:N)+SUMIF(O_CWP_FUT!$A:$A,$A97,O_CWP_FUT!N:N)</f>
        <v>0</v>
      </c>
      <c r="O97" s="800">
        <f t="shared" si="6"/>
        <v>0</v>
      </c>
      <c r="P97" s="40"/>
      <c r="R97" s="29"/>
      <c r="S97" s="29"/>
    </row>
    <row r="98" spans="1:19" ht="13" hidden="1">
      <c r="A98" s="22" t="s">
        <v>5412</v>
      </c>
      <c r="B98" s="31" t="s">
        <v>963</v>
      </c>
      <c r="C98" s="31" t="str">
        <f>VLOOKUP($A98,FA_Codes!$D$2:$G$249,4,FALSE)</f>
        <v>Manukau North</v>
      </c>
      <c r="D98" s="800">
        <f>SUMIF(O_CWP_NOW!$A:$A,$A98,O_CWP_NOW!D:D)+SUMIF(O_CWP_FUT!$A:$A,$A98,O_CWP_FUT!D:D)</f>
        <v>0</v>
      </c>
      <c r="E98" s="800">
        <f>SUMIF(O_CWP_NOW!$A:$A,$A98,O_CWP_NOW!E:E)+SUMIF(O_CWP_FUT!$A:$A,$A98,O_CWP_FUT!E:E)</f>
        <v>0</v>
      </c>
      <c r="F98" s="800">
        <f>SUMIF(O_CWP_NOW!$A:$A,$A98,O_CWP_NOW!F:F)+SUMIF(O_CWP_FUT!$A:$A,$A98,O_CWP_FUT!F:F)</f>
        <v>0</v>
      </c>
      <c r="G98" s="800">
        <f>SUMIF(O_CWP_NOW!$A:$A,$A98,O_CWP_NOW!G:G)+SUMIF(O_CWP_FUT!$A:$A,$A98,O_CWP_FUT!G:G)</f>
        <v>0</v>
      </c>
      <c r="H98" s="800">
        <f>SUMIF(O_CWP_NOW!$A:$A,$A98,O_CWP_NOW!H:H)+SUMIF(O_CWP_FUT!$A:$A,$A98,O_CWP_FUT!H:H)</f>
        <v>0</v>
      </c>
      <c r="I98" s="800">
        <f>SUMIF(O_CWP_NOW!$A:$A,$A98,O_CWP_NOW!I:I)+SUMIF(O_CWP_FUT!$A:$A,$A98,O_CWP_FUT!I:I)</f>
        <v>0</v>
      </c>
      <c r="J98" s="800">
        <f>SUMIF(O_CWP_NOW!$A:$A,$A98,O_CWP_NOW!J:J)+SUMIF(O_CWP_FUT!$A:$A,$A98,O_CWP_FUT!J:J)</f>
        <v>0</v>
      </c>
      <c r="K98" s="800">
        <f>SUMIF(O_CWP_NOW!$A:$A,$A98,O_CWP_NOW!K:K)+SUMIF(O_CWP_FUT!$A:$A,$A98,O_CWP_FUT!K:K)</f>
        <v>0</v>
      </c>
      <c r="L98" s="800">
        <f>SUMIF(O_CWP_NOW!$A:$A,$A98,O_CWP_NOW!L:L)+SUMIF(O_CWP_FUT!$A:$A,$A98,O_CWP_FUT!L:L)</f>
        <v>0</v>
      </c>
      <c r="M98" s="800">
        <f>SUMIF(O_CWP_NOW!$A:$A,$A98,O_CWP_NOW!M:M)+SUMIF(O_CWP_FUT!$A:$A,$A98,O_CWP_FUT!M:M)</f>
        <v>0</v>
      </c>
      <c r="N98" s="800">
        <f>SUMIF(O_CWP_NOW!$A:$A,$A98,O_CWP_NOW!N:N)+SUMIF(O_CWP_FUT!$A:$A,$A98,O_CWP_FUT!N:N)</f>
        <v>0</v>
      </c>
      <c r="O98" s="800">
        <f t="shared" si="6"/>
        <v>0</v>
      </c>
      <c r="P98" s="40"/>
      <c r="R98" s="29"/>
      <c r="S98" s="29"/>
    </row>
    <row r="99" spans="1:19" ht="13" hidden="1">
      <c r="A99" s="22" t="s">
        <v>5398</v>
      </c>
      <c r="B99" s="31" t="s">
        <v>963</v>
      </c>
      <c r="C99" s="31" t="str">
        <f>VLOOKUP($A99,FA_Codes!$D$2:$G$249,4,FALSE)</f>
        <v>Manukau South</v>
      </c>
      <c r="D99" s="800">
        <f>SUMIF(O_CWP_NOW!$A:$A,$A99,O_CWP_NOW!D:D)+SUMIF(O_CWP_FUT!$A:$A,$A99,O_CWP_FUT!D:D)</f>
        <v>0</v>
      </c>
      <c r="E99" s="800">
        <f>SUMIF(O_CWP_NOW!$A:$A,$A99,O_CWP_NOW!E:E)+SUMIF(O_CWP_FUT!$A:$A,$A99,O_CWP_FUT!E:E)</f>
        <v>0</v>
      </c>
      <c r="F99" s="800">
        <f>SUMIF(O_CWP_NOW!$A:$A,$A99,O_CWP_NOW!F:F)+SUMIF(O_CWP_FUT!$A:$A,$A99,O_CWP_FUT!F:F)</f>
        <v>0</v>
      </c>
      <c r="G99" s="800">
        <f>SUMIF(O_CWP_NOW!$A:$A,$A99,O_CWP_NOW!G:G)+SUMIF(O_CWP_FUT!$A:$A,$A99,O_CWP_FUT!G:G)</f>
        <v>0</v>
      </c>
      <c r="H99" s="800">
        <f>SUMIF(O_CWP_NOW!$A:$A,$A99,O_CWP_NOW!H:H)+SUMIF(O_CWP_FUT!$A:$A,$A99,O_CWP_FUT!H:H)</f>
        <v>0</v>
      </c>
      <c r="I99" s="800">
        <f>SUMIF(O_CWP_NOW!$A:$A,$A99,O_CWP_NOW!I:I)+SUMIF(O_CWP_FUT!$A:$A,$A99,O_CWP_FUT!I:I)</f>
        <v>0</v>
      </c>
      <c r="J99" s="800">
        <f>SUMIF(O_CWP_NOW!$A:$A,$A99,O_CWP_NOW!J:J)+SUMIF(O_CWP_FUT!$A:$A,$A99,O_CWP_FUT!J:J)</f>
        <v>0</v>
      </c>
      <c r="K99" s="800">
        <f>SUMIF(O_CWP_NOW!$A:$A,$A99,O_CWP_NOW!K:K)+SUMIF(O_CWP_FUT!$A:$A,$A99,O_CWP_FUT!K:K)</f>
        <v>0</v>
      </c>
      <c r="L99" s="800">
        <f>SUMIF(O_CWP_NOW!$A:$A,$A99,O_CWP_NOW!L:L)+SUMIF(O_CWP_FUT!$A:$A,$A99,O_CWP_FUT!L:L)</f>
        <v>0</v>
      </c>
      <c r="M99" s="800">
        <f>SUMIF(O_CWP_NOW!$A:$A,$A99,O_CWP_NOW!M:M)+SUMIF(O_CWP_FUT!$A:$A,$A99,O_CWP_FUT!M:M)</f>
        <v>0</v>
      </c>
      <c r="N99" s="800">
        <f>SUMIF(O_CWP_NOW!$A:$A,$A99,O_CWP_NOW!N:N)+SUMIF(O_CWP_FUT!$A:$A,$A99,O_CWP_FUT!N:N)</f>
        <v>0</v>
      </c>
      <c r="O99" s="800">
        <f t="shared" si="6"/>
        <v>0</v>
      </c>
      <c r="P99" s="40"/>
      <c r="R99" s="29"/>
      <c r="S99" s="29"/>
    </row>
    <row r="100" spans="1:19" ht="13" hidden="1">
      <c r="A100" s="22" t="s">
        <v>5399</v>
      </c>
      <c r="B100" s="31" t="s">
        <v>963</v>
      </c>
      <c r="C100" s="31" t="str">
        <f>VLOOKUP($A100,FA_Codes!$D$2:$G$249,4,FALSE)</f>
        <v>Manukau West</v>
      </c>
      <c r="D100" s="800">
        <f>SUMIF(O_CWP_NOW!$A:$A,$A100,O_CWP_NOW!D:D)+SUMIF(O_CWP_FUT!$A:$A,$A100,O_CWP_FUT!D:D)</f>
        <v>0</v>
      </c>
      <c r="E100" s="800">
        <f>SUMIF(O_CWP_NOW!$A:$A,$A100,O_CWP_NOW!E:E)+SUMIF(O_CWP_FUT!$A:$A,$A100,O_CWP_FUT!E:E)</f>
        <v>0</v>
      </c>
      <c r="F100" s="800">
        <f>SUMIF(O_CWP_NOW!$A:$A,$A100,O_CWP_NOW!F:F)+SUMIF(O_CWP_FUT!$A:$A,$A100,O_CWP_FUT!F:F)</f>
        <v>0</v>
      </c>
      <c r="G100" s="800">
        <f>SUMIF(O_CWP_NOW!$A:$A,$A100,O_CWP_NOW!G:G)+SUMIF(O_CWP_FUT!$A:$A,$A100,O_CWP_FUT!G:G)</f>
        <v>0</v>
      </c>
      <c r="H100" s="800">
        <f>SUMIF(O_CWP_NOW!$A:$A,$A100,O_CWP_NOW!H:H)+SUMIF(O_CWP_FUT!$A:$A,$A100,O_CWP_FUT!H:H)</f>
        <v>0</v>
      </c>
      <c r="I100" s="800">
        <f>SUMIF(O_CWP_NOW!$A:$A,$A100,O_CWP_NOW!I:I)+SUMIF(O_CWP_FUT!$A:$A,$A100,O_CWP_FUT!I:I)</f>
        <v>0</v>
      </c>
      <c r="J100" s="800">
        <f>SUMIF(O_CWP_NOW!$A:$A,$A100,O_CWP_NOW!J:J)+SUMIF(O_CWP_FUT!$A:$A,$A100,O_CWP_FUT!J:J)</f>
        <v>0</v>
      </c>
      <c r="K100" s="800">
        <f>SUMIF(O_CWP_NOW!$A:$A,$A100,O_CWP_NOW!K:K)+SUMIF(O_CWP_FUT!$A:$A,$A100,O_CWP_FUT!K:K)</f>
        <v>0</v>
      </c>
      <c r="L100" s="800">
        <f>SUMIF(O_CWP_NOW!$A:$A,$A100,O_CWP_NOW!L:L)+SUMIF(O_CWP_FUT!$A:$A,$A100,O_CWP_FUT!L:L)</f>
        <v>0</v>
      </c>
      <c r="M100" s="800">
        <f>SUMIF(O_CWP_NOW!$A:$A,$A100,O_CWP_NOW!M:M)+SUMIF(O_CWP_FUT!$A:$A,$A100,O_CWP_FUT!M:M)</f>
        <v>0</v>
      </c>
      <c r="N100" s="800">
        <f>SUMIF(O_CWP_NOW!$A:$A,$A100,O_CWP_NOW!N:N)+SUMIF(O_CWP_FUT!$A:$A,$A100,O_CWP_FUT!N:N)</f>
        <v>0</v>
      </c>
      <c r="O100" s="800">
        <f t="shared" si="6"/>
        <v>0</v>
      </c>
      <c r="P100" s="40"/>
      <c r="R100" s="29"/>
      <c r="S100" s="29"/>
    </row>
    <row r="101" spans="1:19" ht="13" hidden="1">
      <c r="A101" s="22" t="s">
        <v>5402</v>
      </c>
      <c r="B101" s="31" t="s">
        <v>963</v>
      </c>
      <c r="C101" s="31" t="str">
        <f>VLOOKUP($A101,FA_Codes!$D$2:$G$249,4,FALSE)</f>
        <v>NORSGA GPA</v>
      </c>
      <c r="D101" s="800">
        <f>SUMIF(O_CWP_NOW!$A:$A,$A101,O_CWP_NOW!D:D)+SUMIF(O_CWP_FUT!$A:$A,$A101,O_CWP_FUT!D:D)</f>
        <v>0</v>
      </c>
      <c r="E101" s="800">
        <f>SUMIF(O_CWP_NOW!$A:$A,$A101,O_CWP_NOW!E:E)+SUMIF(O_CWP_FUT!$A:$A,$A101,O_CWP_FUT!E:E)</f>
        <v>0</v>
      </c>
      <c r="F101" s="800">
        <f>SUMIF(O_CWP_NOW!$A:$A,$A101,O_CWP_NOW!F:F)+SUMIF(O_CWP_FUT!$A:$A,$A101,O_CWP_FUT!F:F)</f>
        <v>0</v>
      </c>
      <c r="G101" s="800">
        <f>SUMIF(O_CWP_NOW!$A:$A,$A101,O_CWP_NOW!G:G)+SUMIF(O_CWP_FUT!$A:$A,$A101,O_CWP_FUT!G:G)</f>
        <v>0</v>
      </c>
      <c r="H101" s="800">
        <f>SUMIF(O_CWP_NOW!$A:$A,$A101,O_CWP_NOW!H:H)+SUMIF(O_CWP_FUT!$A:$A,$A101,O_CWP_FUT!H:H)</f>
        <v>0</v>
      </c>
      <c r="I101" s="800">
        <f>SUMIF(O_CWP_NOW!$A:$A,$A101,O_CWP_NOW!I:I)+SUMIF(O_CWP_FUT!$A:$A,$A101,O_CWP_FUT!I:I)</f>
        <v>0</v>
      </c>
      <c r="J101" s="800">
        <f>SUMIF(O_CWP_NOW!$A:$A,$A101,O_CWP_NOW!J:J)+SUMIF(O_CWP_FUT!$A:$A,$A101,O_CWP_FUT!J:J)</f>
        <v>0</v>
      </c>
      <c r="K101" s="800">
        <f>SUMIF(O_CWP_NOW!$A:$A,$A101,O_CWP_NOW!K:K)+SUMIF(O_CWP_FUT!$A:$A,$A101,O_CWP_FUT!K:K)</f>
        <v>0</v>
      </c>
      <c r="L101" s="800">
        <f>SUMIF(O_CWP_NOW!$A:$A,$A101,O_CWP_NOW!L:L)+SUMIF(O_CWP_FUT!$A:$A,$A101,O_CWP_FUT!L:L)</f>
        <v>0</v>
      </c>
      <c r="M101" s="800">
        <f>SUMIF(O_CWP_NOW!$A:$A,$A101,O_CWP_NOW!M:M)+SUMIF(O_CWP_FUT!$A:$A,$A101,O_CWP_FUT!M:M)</f>
        <v>0</v>
      </c>
      <c r="N101" s="800">
        <f>SUMIF(O_CWP_NOW!$A:$A,$A101,O_CWP_NOW!N:N)+SUMIF(O_CWP_FUT!$A:$A,$A101,O_CWP_FUT!N:N)</f>
        <v>0</v>
      </c>
      <c r="O101" s="800">
        <f t="shared" si="6"/>
        <v>0</v>
      </c>
      <c r="P101" s="597"/>
      <c r="R101" s="29"/>
      <c r="S101" s="29"/>
    </row>
    <row r="102" spans="1:19" ht="13" hidden="1">
      <c r="A102" s="22" t="s">
        <v>5417</v>
      </c>
      <c r="B102" s="31" t="s">
        <v>963</v>
      </c>
      <c r="C102" s="31" t="str">
        <f>VLOOKUP($A102,FA_Codes!$D$2:$G$249,4,FALSE)</f>
        <v>Otahuhu GPA</v>
      </c>
      <c r="D102" s="800">
        <f>SUMIF(O_CWP_NOW!$A:$A,$A102,O_CWP_NOW!D:D)+SUMIF(O_CWP_FUT!$A:$A,$A102,O_CWP_FUT!D:D)</f>
        <v>0</v>
      </c>
      <c r="E102" s="800">
        <f>SUMIF(O_CWP_NOW!$A:$A,$A102,O_CWP_NOW!E:E)+SUMIF(O_CWP_FUT!$A:$A,$A102,O_CWP_FUT!E:E)</f>
        <v>0</v>
      </c>
      <c r="F102" s="800">
        <f>SUMIF(O_CWP_NOW!$A:$A,$A102,O_CWP_NOW!F:F)+SUMIF(O_CWP_FUT!$A:$A,$A102,O_CWP_FUT!F:F)</f>
        <v>0</v>
      </c>
      <c r="G102" s="800">
        <f>SUMIF(O_CWP_NOW!$A:$A,$A102,O_CWP_NOW!G:G)+SUMIF(O_CWP_FUT!$A:$A,$A102,O_CWP_FUT!G:G)</f>
        <v>0</v>
      </c>
      <c r="H102" s="800">
        <f>SUMIF(O_CWP_NOW!$A:$A,$A102,O_CWP_NOW!H:H)+SUMIF(O_CWP_FUT!$A:$A,$A102,O_CWP_FUT!H:H)</f>
        <v>0</v>
      </c>
      <c r="I102" s="800">
        <f>SUMIF(O_CWP_NOW!$A:$A,$A102,O_CWP_NOW!I:I)+SUMIF(O_CWP_FUT!$A:$A,$A102,O_CWP_FUT!I:I)</f>
        <v>0</v>
      </c>
      <c r="J102" s="800">
        <f>SUMIF(O_CWP_NOW!$A:$A,$A102,O_CWP_NOW!J:J)+SUMIF(O_CWP_FUT!$A:$A,$A102,O_CWP_FUT!J:J)</f>
        <v>0</v>
      </c>
      <c r="K102" s="800">
        <f>SUMIF(O_CWP_NOW!$A:$A,$A102,O_CWP_NOW!K:K)+SUMIF(O_CWP_FUT!$A:$A,$A102,O_CWP_FUT!K:K)</f>
        <v>0</v>
      </c>
      <c r="L102" s="800">
        <f>SUMIF(O_CWP_NOW!$A:$A,$A102,O_CWP_NOW!L:L)+SUMIF(O_CWP_FUT!$A:$A,$A102,O_CWP_FUT!L:L)</f>
        <v>0</v>
      </c>
      <c r="M102" s="800">
        <f>SUMIF(O_CWP_NOW!$A:$A,$A102,O_CWP_NOW!M:M)+SUMIF(O_CWP_FUT!$A:$A,$A102,O_CWP_FUT!M:M)</f>
        <v>0</v>
      </c>
      <c r="N102" s="800">
        <f>SUMIF(O_CWP_NOW!$A:$A,$A102,O_CWP_NOW!N:N)+SUMIF(O_CWP_FUT!$A:$A,$A102,O_CWP_FUT!N:N)</f>
        <v>0</v>
      </c>
      <c r="O102" s="800">
        <f t="shared" si="6"/>
        <v>0</v>
      </c>
      <c r="P102" s="597"/>
      <c r="R102" s="29"/>
      <c r="S102" s="29"/>
    </row>
    <row r="103" spans="1:19" ht="13" hidden="1">
      <c r="A103" s="22" t="s">
        <v>5427</v>
      </c>
      <c r="B103" s="31" t="s">
        <v>963</v>
      </c>
      <c r="C103" s="31" t="str">
        <f>VLOOKUP($A103,FA_Codes!$D$2:$G$249,4,FALSE)</f>
        <v>Other Auckland</v>
      </c>
      <c r="D103" s="800">
        <f>SUMIF(O_CWP_NOW!$A:$A,$A103,O_CWP_NOW!D:D)+SUMIF(O_CWP_FUT!$A:$A,$A103,O_CWP_FUT!D:D)</f>
        <v>0</v>
      </c>
      <c r="E103" s="800">
        <f>SUMIF(O_CWP_NOW!$A:$A,$A103,O_CWP_NOW!E:E)+SUMIF(O_CWP_FUT!$A:$A,$A103,O_CWP_FUT!E:E)</f>
        <v>0</v>
      </c>
      <c r="F103" s="800">
        <f>SUMIF(O_CWP_NOW!$A:$A,$A103,O_CWP_NOW!F:F)+SUMIF(O_CWP_FUT!$A:$A,$A103,O_CWP_FUT!F:F)</f>
        <v>0</v>
      </c>
      <c r="G103" s="800">
        <f>SUMIF(O_CWP_NOW!$A:$A,$A103,O_CWP_NOW!G:G)+SUMIF(O_CWP_FUT!$A:$A,$A103,O_CWP_FUT!G:G)</f>
        <v>0</v>
      </c>
      <c r="H103" s="800">
        <f>SUMIF(O_CWP_NOW!$A:$A,$A103,O_CWP_NOW!H:H)+SUMIF(O_CWP_FUT!$A:$A,$A103,O_CWP_FUT!H:H)</f>
        <v>0</v>
      </c>
      <c r="I103" s="800">
        <f>SUMIF(O_CWP_NOW!$A:$A,$A103,O_CWP_NOW!I:I)+SUMIF(O_CWP_FUT!$A:$A,$A103,O_CWP_FUT!I:I)</f>
        <v>0</v>
      </c>
      <c r="J103" s="800">
        <f>SUMIF(O_CWP_NOW!$A:$A,$A103,O_CWP_NOW!J:J)+SUMIF(O_CWP_FUT!$A:$A,$A103,O_CWP_FUT!J:J)</f>
        <v>0</v>
      </c>
      <c r="K103" s="800">
        <f>SUMIF(O_CWP_NOW!$A:$A,$A103,O_CWP_NOW!K:K)+SUMIF(O_CWP_FUT!$A:$A,$A103,O_CWP_FUT!K:K)</f>
        <v>0</v>
      </c>
      <c r="L103" s="800">
        <f>SUMIF(O_CWP_NOW!$A:$A,$A103,O_CWP_NOW!L:L)+SUMIF(O_CWP_FUT!$A:$A,$A103,O_CWP_FUT!L:L)</f>
        <v>0</v>
      </c>
      <c r="M103" s="800">
        <f>SUMIF(O_CWP_NOW!$A:$A,$A103,O_CWP_NOW!M:M)+SUMIF(O_CWP_FUT!$A:$A,$A103,O_CWP_FUT!M:M)</f>
        <v>0</v>
      </c>
      <c r="N103" s="800">
        <f>SUMIF(O_CWP_NOW!$A:$A,$A103,O_CWP_NOW!N:N)+SUMIF(O_CWP_FUT!$A:$A,$A103,O_CWP_FUT!N:N)</f>
        <v>0</v>
      </c>
      <c r="O103" s="800">
        <f t="shared" si="6"/>
        <v>0</v>
      </c>
      <c r="P103" s="40"/>
      <c r="R103" s="29"/>
      <c r="S103" s="29"/>
    </row>
    <row r="104" spans="1:19" ht="13" hidden="1">
      <c r="A104" s="22" t="s">
        <v>5396</v>
      </c>
      <c r="B104" s="31" t="s">
        <v>963</v>
      </c>
      <c r="C104" s="31" t="str">
        <f>VLOOKUP($A104,FA_Codes!$D$2:$G$249,4,FALSE)</f>
        <v>Pukekohe GPA</v>
      </c>
      <c r="D104" s="800">
        <f>SUMIF(O_CWP_NOW!$A:$A,$A104,O_CWP_NOW!D:D)+SUMIF(O_CWP_FUT!$A:$A,$A104,O_CWP_FUT!D:D)</f>
        <v>0</v>
      </c>
      <c r="E104" s="800">
        <f>SUMIF(O_CWP_NOW!$A:$A,$A104,O_CWP_NOW!E:E)+SUMIF(O_CWP_FUT!$A:$A,$A104,O_CWP_FUT!E:E)</f>
        <v>0</v>
      </c>
      <c r="F104" s="800">
        <f>SUMIF(O_CWP_NOW!$A:$A,$A104,O_CWP_NOW!F:F)+SUMIF(O_CWP_FUT!$A:$A,$A104,O_CWP_FUT!F:F)</f>
        <v>0</v>
      </c>
      <c r="G104" s="800">
        <f>SUMIF(O_CWP_NOW!$A:$A,$A104,O_CWP_NOW!G:G)+SUMIF(O_CWP_FUT!$A:$A,$A104,O_CWP_FUT!G:G)</f>
        <v>0</v>
      </c>
      <c r="H104" s="800">
        <f>SUMIF(O_CWP_NOW!$A:$A,$A104,O_CWP_NOW!H:H)+SUMIF(O_CWP_FUT!$A:$A,$A104,O_CWP_FUT!H:H)</f>
        <v>0</v>
      </c>
      <c r="I104" s="800">
        <f>SUMIF(O_CWP_NOW!$A:$A,$A104,O_CWP_NOW!I:I)+SUMIF(O_CWP_FUT!$A:$A,$A104,O_CWP_FUT!I:I)</f>
        <v>0</v>
      </c>
      <c r="J104" s="800">
        <f>SUMIF(O_CWP_NOW!$A:$A,$A104,O_CWP_NOW!J:J)+SUMIF(O_CWP_FUT!$A:$A,$A104,O_CWP_FUT!J:J)</f>
        <v>0</v>
      </c>
      <c r="K104" s="800">
        <f>SUMIF(O_CWP_NOW!$A:$A,$A104,O_CWP_NOW!K:K)+SUMIF(O_CWP_FUT!$A:$A,$A104,O_CWP_FUT!K:K)</f>
        <v>0</v>
      </c>
      <c r="L104" s="800">
        <f>SUMIF(O_CWP_NOW!$A:$A,$A104,O_CWP_NOW!L:L)+SUMIF(O_CWP_FUT!$A:$A,$A104,O_CWP_FUT!L:L)</f>
        <v>0</v>
      </c>
      <c r="M104" s="800">
        <f>SUMIF(O_CWP_NOW!$A:$A,$A104,O_CWP_NOW!M:M)+SUMIF(O_CWP_FUT!$A:$A,$A104,O_CWP_FUT!M:M)</f>
        <v>0</v>
      </c>
      <c r="N104" s="800">
        <f>SUMIF(O_CWP_NOW!$A:$A,$A104,O_CWP_NOW!N:N)+SUMIF(O_CWP_FUT!$A:$A,$A104,O_CWP_FUT!N:N)</f>
        <v>0</v>
      </c>
      <c r="O104" s="800">
        <f t="shared" si="6"/>
        <v>0</v>
      </c>
      <c r="P104" s="597"/>
      <c r="R104" s="29"/>
      <c r="S104" s="29"/>
    </row>
    <row r="105" spans="1:19" ht="13" hidden="1">
      <c r="A105" s="22" t="s">
        <v>5413</v>
      </c>
      <c r="B105" s="31" t="s">
        <v>963</v>
      </c>
      <c r="C105" s="31" t="str">
        <f>VLOOKUP($A105,FA_Codes!$D$2:$G$249,4,FALSE)</f>
        <v>Tamaki East</v>
      </c>
      <c r="D105" s="800">
        <f>SUMIF(O_CWP_NOW!$A:$A,$A105,O_CWP_NOW!D:D)+SUMIF(O_CWP_FUT!$A:$A,$A105,O_CWP_FUT!D:D)</f>
        <v>0</v>
      </c>
      <c r="E105" s="800">
        <f>SUMIF(O_CWP_NOW!$A:$A,$A105,O_CWP_NOW!E:E)+SUMIF(O_CWP_FUT!$A:$A,$A105,O_CWP_FUT!E:E)</f>
        <v>0</v>
      </c>
      <c r="F105" s="800">
        <f>SUMIF(O_CWP_NOW!$A:$A,$A105,O_CWP_NOW!F:F)+SUMIF(O_CWP_FUT!$A:$A,$A105,O_CWP_FUT!F:F)</f>
        <v>0</v>
      </c>
      <c r="G105" s="800">
        <f>SUMIF(O_CWP_NOW!$A:$A,$A105,O_CWP_NOW!G:G)+SUMIF(O_CWP_FUT!$A:$A,$A105,O_CWP_FUT!G:G)</f>
        <v>0</v>
      </c>
      <c r="H105" s="800">
        <f>SUMIF(O_CWP_NOW!$A:$A,$A105,O_CWP_NOW!H:H)+SUMIF(O_CWP_FUT!$A:$A,$A105,O_CWP_FUT!H:H)</f>
        <v>0</v>
      </c>
      <c r="I105" s="800">
        <f>SUMIF(O_CWP_NOW!$A:$A,$A105,O_CWP_NOW!I:I)+SUMIF(O_CWP_FUT!$A:$A,$A105,O_CWP_FUT!I:I)</f>
        <v>0</v>
      </c>
      <c r="J105" s="800">
        <f>SUMIF(O_CWP_NOW!$A:$A,$A105,O_CWP_NOW!J:J)+SUMIF(O_CWP_FUT!$A:$A,$A105,O_CWP_FUT!J:J)</f>
        <v>0</v>
      </c>
      <c r="K105" s="800">
        <f>SUMIF(O_CWP_NOW!$A:$A,$A105,O_CWP_NOW!K:K)+SUMIF(O_CWP_FUT!$A:$A,$A105,O_CWP_FUT!K:K)</f>
        <v>0</v>
      </c>
      <c r="L105" s="800">
        <f>SUMIF(O_CWP_NOW!$A:$A,$A105,O_CWP_NOW!L:L)+SUMIF(O_CWP_FUT!$A:$A,$A105,O_CWP_FUT!L:L)</f>
        <v>0</v>
      </c>
      <c r="M105" s="800">
        <f>SUMIF(O_CWP_NOW!$A:$A,$A105,O_CWP_NOW!M:M)+SUMIF(O_CWP_FUT!$A:$A,$A105,O_CWP_FUT!M:M)</f>
        <v>0</v>
      </c>
      <c r="N105" s="800">
        <f>SUMIF(O_CWP_NOW!$A:$A,$A105,O_CWP_NOW!N:N)+SUMIF(O_CWP_FUT!$A:$A,$A105,O_CWP_FUT!N:N)</f>
        <v>0</v>
      </c>
      <c r="O105" s="800">
        <f t="shared" si="6"/>
        <v>0</v>
      </c>
      <c r="P105" s="40"/>
      <c r="R105" s="29"/>
      <c r="S105" s="29"/>
    </row>
    <row r="106" spans="1:19" ht="13" hidden="1">
      <c r="A106" s="22" t="s">
        <v>5418</v>
      </c>
      <c r="B106" s="31" t="s">
        <v>963</v>
      </c>
      <c r="C106" s="31" t="str">
        <f>VLOOKUP($A106,FA_Codes!$D$2:$G$249,4,FALSE)</f>
        <v>Tamaki West 1</v>
      </c>
      <c r="D106" s="800">
        <f>SUMIF(O_CWP_NOW!$A:$A,$A106,O_CWP_NOW!D:D)+SUMIF(O_CWP_FUT!$A:$A,$A106,O_CWP_FUT!D:D)</f>
        <v>0</v>
      </c>
      <c r="E106" s="800">
        <f>SUMIF(O_CWP_NOW!$A:$A,$A106,O_CWP_NOW!E:E)+SUMIF(O_CWP_FUT!$A:$A,$A106,O_CWP_FUT!E:E)</f>
        <v>0</v>
      </c>
      <c r="F106" s="800">
        <f>SUMIF(O_CWP_NOW!$A:$A,$A106,O_CWP_NOW!F:F)+SUMIF(O_CWP_FUT!$A:$A,$A106,O_CWP_FUT!F:F)</f>
        <v>0</v>
      </c>
      <c r="G106" s="800">
        <f>SUMIF(O_CWP_NOW!$A:$A,$A106,O_CWP_NOW!G:G)+SUMIF(O_CWP_FUT!$A:$A,$A106,O_CWP_FUT!G:G)</f>
        <v>0</v>
      </c>
      <c r="H106" s="800">
        <f>SUMIF(O_CWP_NOW!$A:$A,$A106,O_CWP_NOW!H:H)+SUMIF(O_CWP_FUT!$A:$A,$A106,O_CWP_FUT!H:H)</f>
        <v>0</v>
      </c>
      <c r="I106" s="800">
        <f>SUMIF(O_CWP_NOW!$A:$A,$A106,O_CWP_NOW!I:I)+SUMIF(O_CWP_FUT!$A:$A,$A106,O_CWP_FUT!I:I)</f>
        <v>0</v>
      </c>
      <c r="J106" s="800">
        <f>SUMIF(O_CWP_NOW!$A:$A,$A106,O_CWP_NOW!J:J)+SUMIF(O_CWP_FUT!$A:$A,$A106,O_CWP_FUT!J:J)</f>
        <v>0</v>
      </c>
      <c r="K106" s="800">
        <f>SUMIF(O_CWP_NOW!$A:$A,$A106,O_CWP_NOW!K:K)+SUMIF(O_CWP_FUT!$A:$A,$A106,O_CWP_FUT!K:K)</f>
        <v>0</v>
      </c>
      <c r="L106" s="800">
        <f>SUMIF(O_CWP_NOW!$A:$A,$A106,O_CWP_NOW!L:L)+SUMIF(O_CWP_FUT!$A:$A,$A106,O_CWP_FUT!L:L)</f>
        <v>0</v>
      </c>
      <c r="M106" s="800">
        <f>SUMIF(O_CWP_NOW!$A:$A,$A106,O_CWP_NOW!M:M)+SUMIF(O_CWP_FUT!$A:$A,$A106,O_CWP_FUT!M:M)</f>
        <v>0</v>
      </c>
      <c r="N106" s="800">
        <f>SUMIF(O_CWP_NOW!$A:$A,$A106,O_CWP_NOW!N:N)+SUMIF(O_CWP_FUT!$A:$A,$A106,O_CWP_FUT!N:N)</f>
        <v>0</v>
      </c>
      <c r="O106" s="800">
        <f t="shared" ref="O106:O119" si="7">SUM(D106:N106)</f>
        <v>0</v>
      </c>
      <c r="P106" s="40"/>
      <c r="R106" s="29"/>
      <c r="S106" s="29"/>
    </row>
    <row r="107" spans="1:19" ht="13" hidden="1">
      <c r="A107" s="22" t="s">
        <v>5410</v>
      </c>
      <c r="B107" s="31" t="s">
        <v>963</v>
      </c>
      <c r="C107" s="31" t="str">
        <f>VLOOKUP($A107,FA_Codes!$D$2:$G$249,4,FALSE)</f>
        <v>Wairoa</v>
      </c>
      <c r="D107" s="800">
        <f>SUMIF(O_CWP_NOW!$A:$A,$A107,O_CWP_NOW!D:D)+SUMIF(O_CWP_FUT!$A:$A,$A107,O_CWP_FUT!D:D)</f>
        <v>0</v>
      </c>
      <c r="E107" s="800">
        <f>SUMIF(O_CWP_NOW!$A:$A,$A107,O_CWP_NOW!E:E)+SUMIF(O_CWP_FUT!$A:$A,$A107,O_CWP_FUT!E:E)</f>
        <v>0</v>
      </c>
      <c r="F107" s="800">
        <f>SUMIF(O_CWP_NOW!$A:$A,$A107,O_CWP_NOW!F:F)+SUMIF(O_CWP_FUT!$A:$A,$A107,O_CWP_FUT!F:F)</f>
        <v>0</v>
      </c>
      <c r="G107" s="800">
        <f>SUMIF(O_CWP_NOW!$A:$A,$A107,O_CWP_NOW!G:G)+SUMIF(O_CWP_FUT!$A:$A,$A107,O_CWP_FUT!G:G)</f>
        <v>0</v>
      </c>
      <c r="H107" s="800">
        <f>SUMIF(O_CWP_NOW!$A:$A,$A107,O_CWP_NOW!H:H)+SUMIF(O_CWP_FUT!$A:$A,$A107,O_CWP_FUT!H:H)</f>
        <v>0</v>
      </c>
      <c r="I107" s="800">
        <f>SUMIF(O_CWP_NOW!$A:$A,$A107,O_CWP_NOW!I:I)+SUMIF(O_CWP_FUT!$A:$A,$A107,O_CWP_FUT!I:I)</f>
        <v>0</v>
      </c>
      <c r="J107" s="800">
        <f>SUMIF(O_CWP_NOW!$A:$A,$A107,O_CWP_NOW!J:J)+SUMIF(O_CWP_FUT!$A:$A,$A107,O_CWP_FUT!J:J)</f>
        <v>0</v>
      </c>
      <c r="K107" s="800">
        <f>SUMIF(O_CWP_NOW!$A:$A,$A107,O_CWP_NOW!K:K)+SUMIF(O_CWP_FUT!$A:$A,$A107,O_CWP_FUT!K:K)</f>
        <v>0</v>
      </c>
      <c r="L107" s="800">
        <f>SUMIF(O_CWP_NOW!$A:$A,$A107,O_CWP_NOW!L:L)+SUMIF(O_CWP_FUT!$A:$A,$A107,O_CWP_FUT!L:L)</f>
        <v>0</v>
      </c>
      <c r="M107" s="800">
        <f>SUMIF(O_CWP_NOW!$A:$A,$A107,O_CWP_NOW!M:M)+SUMIF(O_CWP_FUT!$A:$A,$A107,O_CWP_FUT!M:M)</f>
        <v>0</v>
      </c>
      <c r="N107" s="800">
        <f>SUMIF(O_CWP_NOW!$A:$A,$A107,O_CWP_NOW!N:N)+SUMIF(O_CWP_FUT!$A:$A,$A107,O_CWP_FUT!N:N)</f>
        <v>0</v>
      </c>
      <c r="O107" s="800">
        <f t="shared" si="7"/>
        <v>0</v>
      </c>
      <c r="P107" s="40"/>
      <c r="R107" s="29"/>
      <c r="S107" s="29"/>
    </row>
    <row r="108" spans="1:19" ht="13" hidden="1">
      <c r="A108" s="22" t="s">
        <v>5404</v>
      </c>
      <c r="B108" s="31" t="s">
        <v>963</v>
      </c>
      <c r="C108" s="31" t="str">
        <f>VLOOKUP($A108,FA_Codes!$D$2:$G$249,4,FALSE)</f>
        <v>Waitakere Ranges</v>
      </c>
      <c r="D108" s="800">
        <f>SUMIF(O_CWP_NOW!$A:$A,$A108,O_CWP_NOW!D:D)+SUMIF(O_CWP_FUT!$A:$A,$A108,O_CWP_FUT!D:D)</f>
        <v>0</v>
      </c>
      <c r="E108" s="800">
        <f>SUMIF(O_CWP_NOW!$A:$A,$A108,O_CWP_NOW!E:E)+SUMIF(O_CWP_FUT!$A:$A,$A108,O_CWP_FUT!E:E)</f>
        <v>0</v>
      </c>
      <c r="F108" s="800">
        <f>SUMIF(O_CWP_NOW!$A:$A,$A108,O_CWP_NOW!F:F)+SUMIF(O_CWP_FUT!$A:$A,$A108,O_CWP_FUT!F:F)</f>
        <v>0</v>
      </c>
      <c r="G108" s="800">
        <f>SUMIF(O_CWP_NOW!$A:$A,$A108,O_CWP_NOW!G:G)+SUMIF(O_CWP_FUT!$A:$A,$A108,O_CWP_FUT!G:G)</f>
        <v>0</v>
      </c>
      <c r="H108" s="800">
        <f>SUMIF(O_CWP_NOW!$A:$A,$A108,O_CWP_NOW!H:H)+SUMIF(O_CWP_FUT!$A:$A,$A108,O_CWP_FUT!H:H)</f>
        <v>0</v>
      </c>
      <c r="I108" s="800">
        <f>SUMIF(O_CWP_NOW!$A:$A,$A108,O_CWP_NOW!I:I)+SUMIF(O_CWP_FUT!$A:$A,$A108,O_CWP_FUT!I:I)</f>
        <v>0</v>
      </c>
      <c r="J108" s="800">
        <f>SUMIF(O_CWP_NOW!$A:$A,$A108,O_CWP_NOW!J:J)+SUMIF(O_CWP_FUT!$A:$A,$A108,O_CWP_FUT!J:J)</f>
        <v>0</v>
      </c>
      <c r="K108" s="800">
        <f>SUMIF(O_CWP_NOW!$A:$A,$A108,O_CWP_NOW!K:K)+SUMIF(O_CWP_FUT!$A:$A,$A108,O_CWP_FUT!K:K)</f>
        <v>0</v>
      </c>
      <c r="L108" s="800">
        <f>SUMIF(O_CWP_NOW!$A:$A,$A108,O_CWP_NOW!L:L)+SUMIF(O_CWP_FUT!$A:$A,$A108,O_CWP_FUT!L:L)</f>
        <v>0</v>
      </c>
      <c r="M108" s="800">
        <f>SUMIF(O_CWP_NOW!$A:$A,$A108,O_CWP_NOW!M:M)+SUMIF(O_CWP_FUT!$A:$A,$A108,O_CWP_FUT!M:M)</f>
        <v>0</v>
      </c>
      <c r="N108" s="800">
        <f>SUMIF(O_CWP_NOW!$A:$A,$A108,O_CWP_NOW!N:N)+SUMIF(O_CWP_FUT!$A:$A,$A108,O_CWP_FUT!N:N)</f>
        <v>0</v>
      </c>
      <c r="O108" s="800">
        <f t="shared" si="7"/>
        <v>0</v>
      </c>
      <c r="P108" s="40"/>
      <c r="R108" s="29"/>
      <c r="S108" s="29"/>
    </row>
    <row r="109" spans="1:19" ht="13" hidden="1">
      <c r="A109" s="22" t="s">
        <v>5401</v>
      </c>
      <c r="B109" s="31" t="s">
        <v>963</v>
      </c>
      <c r="C109" s="31" t="str">
        <f>VLOOKUP($A109,FA_Codes!$D$2:$G$249,4,FALSE)</f>
        <v>Waitemata Central 1</v>
      </c>
      <c r="D109" s="800">
        <f>SUMIF(O_CWP_NOW!$A:$A,$A109,O_CWP_NOW!D:D)+SUMIF(O_CWP_FUT!$A:$A,$A109,O_CWP_FUT!D:D)</f>
        <v>0</v>
      </c>
      <c r="E109" s="800">
        <f>SUMIF(O_CWP_NOW!$A:$A,$A109,O_CWP_NOW!E:E)+SUMIF(O_CWP_FUT!$A:$A,$A109,O_CWP_FUT!E:E)</f>
        <v>0</v>
      </c>
      <c r="F109" s="800">
        <f>SUMIF(O_CWP_NOW!$A:$A,$A109,O_CWP_NOW!F:F)+SUMIF(O_CWP_FUT!$A:$A,$A109,O_CWP_FUT!F:F)</f>
        <v>0</v>
      </c>
      <c r="G109" s="800">
        <f>SUMIF(O_CWP_NOW!$A:$A,$A109,O_CWP_NOW!G:G)+SUMIF(O_CWP_FUT!$A:$A,$A109,O_CWP_FUT!G:G)</f>
        <v>0</v>
      </c>
      <c r="H109" s="800">
        <f>SUMIF(O_CWP_NOW!$A:$A,$A109,O_CWP_NOW!H:H)+SUMIF(O_CWP_FUT!$A:$A,$A109,O_CWP_FUT!H:H)</f>
        <v>0</v>
      </c>
      <c r="I109" s="800">
        <f>SUMIF(O_CWP_NOW!$A:$A,$A109,O_CWP_NOW!I:I)+SUMIF(O_CWP_FUT!$A:$A,$A109,O_CWP_FUT!I:I)</f>
        <v>0</v>
      </c>
      <c r="J109" s="800">
        <f>SUMIF(O_CWP_NOW!$A:$A,$A109,O_CWP_NOW!J:J)+SUMIF(O_CWP_FUT!$A:$A,$A109,O_CWP_FUT!J:J)</f>
        <v>0</v>
      </c>
      <c r="K109" s="800">
        <f>SUMIF(O_CWP_NOW!$A:$A,$A109,O_CWP_NOW!K:K)+SUMIF(O_CWP_FUT!$A:$A,$A109,O_CWP_FUT!K:K)</f>
        <v>0</v>
      </c>
      <c r="L109" s="800">
        <f>SUMIF(O_CWP_NOW!$A:$A,$A109,O_CWP_NOW!L:L)+SUMIF(O_CWP_FUT!$A:$A,$A109,O_CWP_FUT!L:L)</f>
        <v>0</v>
      </c>
      <c r="M109" s="800">
        <f>SUMIF(O_CWP_NOW!$A:$A,$A109,O_CWP_NOW!M:M)+SUMIF(O_CWP_FUT!$A:$A,$A109,O_CWP_FUT!M:M)</f>
        <v>0</v>
      </c>
      <c r="N109" s="800">
        <f>SUMIF(O_CWP_NOW!$A:$A,$A109,O_CWP_NOW!N:N)+SUMIF(O_CWP_FUT!$A:$A,$A109,O_CWP_FUT!N:N)</f>
        <v>0</v>
      </c>
      <c r="O109" s="800">
        <f t="shared" si="7"/>
        <v>0</v>
      </c>
      <c r="P109" s="40"/>
      <c r="R109" s="29"/>
      <c r="S109" s="29"/>
    </row>
    <row r="110" spans="1:19" ht="13" hidden="1">
      <c r="A110" s="22" t="s">
        <v>5394</v>
      </c>
      <c r="B110" s="31" t="s">
        <v>963</v>
      </c>
      <c r="C110" s="31" t="str">
        <f>VLOOKUP($A110,FA_Codes!$D$2:$G$249,4,FALSE)</f>
        <v>Waitemata North</v>
      </c>
      <c r="D110" s="800">
        <f>SUMIF(O_CWP_NOW!$A:$A,$A110,O_CWP_NOW!D:D)+SUMIF(O_CWP_FUT!$A:$A,$A110,O_CWP_FUT!D:D)</f>
        <v>0</v>
      </c>
      <c r="E110" s="800">
        <f>SUMIF(O_CWP_NOW!$A:$A,$A110,O_CWP_NOW!E:E)+SUMIF(O_CWP_FUT!$A:$A,$A110,O_CWP_FUT!E:E)</f>
        <v>0</v>
      </c>
      <c r="F110" s="800">
        <f>SUMIF(O_CWP_NOW!$A:$A,$A110,O_CWP_NOW!F:F)+SUMIF(O_CWP_FUT!$A:$A,$A110,O_CWP_FUT!F:F)</f>
        <v>0</v>
      </c>
      <c r="G110" s="800">
        <f>SUMIF(O_CWP_NOW!$A:$A,$A110,O_CWP_NOW!G:G)+SUMIF(O_CWP_FUT!$A:$A,$A110,O_CWP_FUT!G:G)</f>
        <v>0</v>
      </c>
      <c r="H110" s="800">
        <f>SUMIF(O_CWP_NOW!$A:$A,$A110,O_CWP_NOW!H:H)+SUMIF(O_CWP_FUT!$A:$A,$A110,O_CWP_FUT!H:H)</f>
        <v>0</v>
      </c>
      <c r="I110" s="800">
        <f>SUMIF(O_CWP_NOW!$A:$A,$A110,O_CWP_NOW!I:I)+SUMIF(O_CWP_FUT!$A:$A,$A110,O_CWP_FUT!I:I)</f>
        <v>0</v>
      </c>
      <c r="J110" s="800">
        <f>SUMIF(O_CWP_NOW!$A:$A,$A110,O_CWP_NOW!J:J)+SUMIF(O_CWP_FUT!$A:$A,$A110,O_CWP_FUT!J:J)</f>
        <v>0</v>
      </c>
      <c r="K110" s="800">
        <f>SUMIF(O_CWP_NOW!$A:$A,$A110,O_CWP_NOW!K:K)+SUMIF(O_CWP_FUT!$A:$A,$A110,O_CWP_FUT!K:K)</f>
        <v>0</v>
      </c>
      <c r="L110" s="800">
        <f>SUMIF(O_CWP_NOW!$A:$A,$A110,O_CWP_NOW!L:L)+SUMIF(O_CWP_FUT!$A:$A,$A110,O_CWP_FUT!L:L)</f>
        <v>0</v>
      </c>
      <c r="M110" s="800">
        <f>SUMIF(O_CWP_NOW!$A:$A,$A110,O_CWP_NOW!M:M)+SUMIF(O_CWP_FUT!$A:$A,$A110,O_CWP_FUT!M:M)</f>
        <v>0</v>
      </c>
      <c r="N110" s="800">
        <f>SUMIF(O_CWP_NOW!$A:$A,$A110,O_CWP_NOW!N:N)+SUMIF(O_CWP_FUT!$A:$A,$A110,O_CWP_FUT!N:N)</f>
        <v>0</v>
      </c>
      <c r="O110" s="800">
        <f t="shared" si="7"/>
        <v>0</v>
      </c>
      <c r="P110" s="40"/>
      <c r="R110" s="29"/>
      <c r="S110" s="29"/>
    </row>
    <row r="111" spans="1:19" ht="13" hidden="1">
      <c r="A111" s="22" t="s">
        <v>5428</v>
      </c>
      <c r="B111" s="31" t="s">
        <v>963</v>
      </c>
      <c r="C111" s="31" t="str">
        <f>VLOOKUP($A111,FA_Codes!$D$2:$G$249,4,FALSE)</f>
        <v>Area 28</v>
      </c>
      <c r="D111" s="800">
        <f>SUMIF(O_CWP_NOW!$A:$A,$A111,O_CWP_NOW!D:D)+SUMIF(O_CWP_FUT!$A:$A,$A111,O_CWP_FUT!D:D)</f>
        <v>0</v>
      </c>
      <c r="E111" s="800">
        <f>SUMIF(O_CWP_NOW!$A:$A,$A111,O_CWP_NOW!E:E)+SUMIF(O_CWP_FUT!$A:$A,$A111,O_CWP_FUT!E:E)</f>
        <v>0</v>
      </c>
      <c r="F111" s="800">
        <f>SUMIF(O_CWP_NOW!$A:$A,$A111,O_CWP_NOW!F:F)+SUMIF(O_CWP_FUT!$A:$A,$A111,O_CWP_FUT!F:F)</f>
        <v>0</v>
      </c>
      <c r="G111" s="800">
        <f>SUMIF(O_CWP_NOW!$A:$A,$A111,O_CWP_NOW!G:G)+SUMIF(O_CWP_FUT!$A:$A,$A111,O_CWP_FUT!G:G)</f>
        <v>0</v>
      </c>
      <c r="H111" s="800">
        <f>SUMIF(O_CWP_NOW!$A:$A,$A111,O_CWP_NOW!H:H)+SUMIF(O_CWP_FUT!$A:$A,$A111,O_CWP_FUT!H:H)</f>
        <v>0</v>
      </c>
      <c r="I111" s="800">
        <f>SUMIF(O_CWP_NOW!$A:$A,$A111,O_CWP_NOW!I:I)+SUMIF(O_CWP_FUT!$A:$A,$A111,O_CWP_FUT!I:I)</f>
        <v>0</v>
      </c>
      <c r="J111" s="800">
        <f>SUMIF(O_CWP_NOW!$A:$A,$A111,O_CWP_NOW!J:J)+SUMIF(O_CWP_FUT!$A:$A,$A111,O_CWP_FUT!J:J)</f>
        <v>0</v>
      </c>
      <c r="K111" s="800">
        <f>SUMIF(O_CWP_NOW!$A:$A,$A111,O_CWP_NOW!K:K)+SUMIF(O_CWP_FUT!$A:$A,$A111,O_CWP_FUT!K:K)</f>
        <v>0</v>
      </c>
      <c r="L111" s="800">
        <f>SUMIF(O_CWP_NOW!$A:$A,$A111,O_CWP_NOW!L:L)+SUMIF(O_CWP_FUT!$A:$A,$A111,O_CWP_FUT!L:L)</f>
        <v>0</v>
      </c>
      <c r="M111" s="800">
        <f>SUMIF(O_CWP_NOW!$A:$A,$A111,O_CWP_NOW!M:M)+SUMIF(O_CWP_FUT!$A:$A,$A111,O_CWP_FUT!M:M)</f>
        <v>0</v>
      </c>
      <c r="N111" s="800">
        <f>SUMIF(O_CWP_NOW!$A:$A,$A111,O_CWP_NOW!N:N)+SUMIF(O_CWP_FUT!$A:$A,$A111,O_CWP_FUT!N:N)</f>
        <v>0</v>
      </c>
      <c r="O111" s="800">
        <f t="shared" si="7"/>
        <v>0</v>
      </c>
      <c r="P111" s="40"/>
      <c r="R111" s="29"/>
      <c r="S111" s="29"/>
    </row>
    <row r="112" spans="1:19" ht="13" hidden="1">
      <c r="A112" s="22" t="s">
        <v>5393</v>
      </c>
      <c r="B112" s="31" t="s">
        <v>963</v>
      </c>
      <c r="C112" s="31" t="str">
        <f>VLOOKUP($A112,FA_Codes!$D$2:$G$249,4,FALSE)</f>
        <v>Waitemata West</v>
      </c>
      <c r="D112" s="800">
        <f>SUMIF(O_CWP_NOW!$A:$A,$A112,O_CWP_NOW!D:D)+SUMIF(O_CWP_FUT!$A:$A,$A112,O_CWP_FUT!D:D)</f>
        <v>0</v>
      </c>
      <c r="E112" s="800">
        <f>SUMIF(O_CWP_NOW!$A:$A,$A112,O_CWP_NOW!E:E)+SUMIF(O_CWP_FUT!$A:$A,$A112,O_CWP_FUT!E:E)</f>
        <v>0</v>
      </c>
      <c r="F112" s="800">
        <f>SUMIF(O_CWP_NOW!$A:$A,$A112,O_CWP_NOW!F:F)+SUMIF(O_CWP_FUT!$A:$A,$A112,O_CWP_FUT!F:F)</f>
        <v>0</v>
      </c>
      <c r="G112" s="800">
        <f>SUMIF(O_CWP_NOW!$A:$A,$A112,O_CWP_NOW!G:G)+SUMIF(O_CWP_FUT!$A:$A,$A112,O_CWP_FUT!G:G)</f>
        <v>0</v>
      </c>
      <c r="H112" s="800">
        <f>SUMIF(O_CWP_NOW!$A:$A,$A112,O_CWP_NOW!H:H)+SUMIF(O_CWP_FUT!$A:$A,$A112,O_CWP_FUT!H:H)</f>
        <v>0</v>
      </c>
      <c r="I112" s="800">
        <f>SUMIF(O_CWP_NOW!$A:$A,$A112,O_CWP_NOW!I:I)+SUMIF(O_CWP_FUT!$A:$A,$A112,O_CWP_FUT!I:I)</f>
        <v>0</v>
      </c>
      <c r="J112" s="800">
        <f>SUMIF(O_CWP_NOW!$A:$A,$A112,O_CWP_NOW!J:J)+SUMIF(O_CWP_FUT!$A:$A,$A112,O_CWP_FUT!J:J)</f>
        <v>0</v>
      </c>
      <c r="K112" s="800">
        <f>SUMIF(O_CWP_NOW!$A:$A,$A112,O_CWP_NOW!K:K)+SUMIF(O_CWP_FUT!$A:$A,$A112,O_CWP_FUT!K:K)</f>
        <v>0</v>
      </c>
      <c r="L112" s="800">
        <f>SUMIF(O_CWP_NOW!$A:$A,$A112,O_CWP_NOW!L:L)+SUMIF(O_CWP_FUT!$A:$A,$A112,O_CWP_FUT!L:L)</f>
        <v>0</v>
      </c>
      <c r="M112" s="800">
        <f>SUMIF(O_CWP_NOW!$A:$A,$A112,O_CWP_NOW!M:M)+SUMIF(O_CWP_FUT!$A:$A,$A112,O_CWP_FUT!M:M)</f>
        <v>0</v>
      </c>
      <c r="N112" s="800">
        <f>SUMIF(O_CWP_NOW!$A:$A,$A112,O_CWP_NOW!N:N)+SUMIF(O_CWP_FUT!$A:$A,$A112,O_CWP_FUT!N:N)</f>
        <v>0</v>
      </c>
      <c r="O112" s="800">
        <f t="shared" si="7"/>
        <v>0</v>
      </c>
      <c r="P112" s="40"/>
      <c r="R112" s="29"/>
      <c r="S112" s="29"/>
    </row>
    <row r="113" spans="1:19" ht="13" hidden="1">
      <c r="A113" s="22" t="s">
        <v>5397</v>
      </c>
      <c r="B113" s="31" t="s">
        <v>963</v>
      </c>
      <c r="C113" s="31" t="str">
        <f>VLOOKUP($A113,FA_Codes!$D$2:$G$249,4,FALSE)</f>
        <v>Waiuku</v>
      </c>
      <c r="D113" s="800">
        <f>SUMIF(O_CWP_NOW!$A:$A,$A113,O_CWP_NOW!D:D)+SUMIF(O_CWP_FUT!$A:$A,$A113,O_CWP_FUT!D:D)</f>
        <v>0</v>
      </c>
      <c r="E113" s="800">
        <f>SUMIF(O_CWP_NOW!$A:$A,$A113,O_CWP_NOW!E:E)+SUMIF(O_CWP_FUT!$A:$A,$A113,O_CWP_FUT!E:E)</f>
        <v>0</v>
      </c>
      <c r="F113" s="800">
        <f>SUMIF(O_CWP_NOW!$A:$A,$A113,O_CWP_NOW!F:F)+SUMIF(O_CWP_FUT!$A:$A,$A113,O_CWP_FUT!F:F)</f>
        <v>0</v>
      </c>
      <c r="G113" s="800">
        <f>SUMIF(O_CWP_NOW!$A:$A,$A113,O_CWP_NOW!G:G)+SUMIF(O_CWP_FUT!$A:$A,$A113,O_CWP_FUT!G:G)</f>
        <v>0</v>
      </c>
      <c r="H113" s="800">
        <f>SUMIF(O_CWP_NOW!$A:$A,$A113,O_CWP_NOW!H:H)+SUMIF(O_CWP_FUT!$A:$A,$A113,O_CWP_FUT!H:H)</f>
        <v>0</v>
      </c>
      <c r="I113" s="800">
        <f>SUMIF(O_CWP_NOW!$A:$A,$A113,O_CWP_NOW!I:I)+SUMIF(O_CWP_FUT!$A:$A,$A113,O_CWP_FUT!I:I)</f>
        <v>0</v>
      </c>
      <c r="J113" s="800">
        <f>SUMIF(O_CWP_NOW!$A:$A,$A113,O_CWP_NOW!J:J)+SUMIF(O_CWP_FUT!$A:$A,$A113,O_CWP_FUT!J:J)</f>
        <v>0</v>
      </c>
      <c r="K113" s="800">
        <f>SUMIF(O_CWP_NOW!$A:$A,$A113,O_CWP_NOW!K:K)+SUMIF(O_CWP_FUT!$A:$A,$A113,O_CWP_FUT!K:K)</f>
        <v>0</v>
      </c>
      <c r="L113" s="800">
        <f>SUMIF(O_CWP_NOW!$A:$A,$A113,O_CWP_NOW!L:L)+SUMIF(O_CWP_FUT!$A:$A,$A113,O_CWP_FUT!L:L)</f>
        <v>0</v>
      </c>
      <c r="M113" s="800">
        <f>SUMIF(O_CWP_NOW!$A:$A,$A113,O_CWP_NOW!M:M)+SUMIF(O_CWP_FUT!$A:$A,$A113,O_CWP_FUT!M:M)</f>
        <v>0</v>
      </c>
      <c r="N113" s="800">
        <f>SUMIF(O_CWP_NOW!$A:$A,$A113,O_CWP_NOW!N:N)+SUMIF(O_CWP_FUT!$A:$A,$A113,O_CWP_FUT!N:N)</f>
        <v>0</v>
      </c>
      <c r="O113" s="800">
        <f t="shared" si="7"/>
        <v>0</v>
      </c>
      <c r="P113" s="40"/>
      <c r="R113" s="29"/>
      <c r="S113" s="29"/>
    </row>
    <row r="114" spans="1:19" ht="13" hidden="1">
      <c r="A114" s="22" t="s">
        <v>5429</v>
      </c>
      <c r="B114" s="31" t="s">
        <v>963</v>
      </c>
      <c r="C114" s="31" t="str">
        <f>VLOOKUP($A114,FA_Codes!$D$2:$G$249,4,FALSE)</f>
        <v>Warkworth</v>
      </c>
      <c r="D114" s="800">
        <f>SUMIF(O_CWP_NOW!$A:$A,$A114,O_CWP_NOW!D:D)+SUMIF(O_CWP_FUT!$A:$A,$A114,O_CWP_FUT!D:D)</f>
        <v>0</v>
      </c>
      <c r="E114" s="800">
        <f>SUMIF(O_CWP_NOW!$A:$A,$A114,O_CWP_NOW!E:E)+SUMIF(O_CWP_FUT!$A:$A,$A114,O_CWP_FUT!E:E)</f>
        <v>0</v>
      </c>
      <c r="F114" s="800">
        <f>SUMIF(O_CWP_NOW!$A:$A,$A114,O_CWP_NOW!F:F)+SUMIF(O_CWP_FUT!$A:$A,$A114,O_CWP_FUT!F:F)</f>
        <v>0</v>
      </c>
      <c r="G114" s="800">
        <f>SUMIF(O_CWP_NOW!$A:$A,$A114,O_CWP_NOW!G:G)+SUMIF(O_CWP_FUT!$A:$A,$A114,O_CWP_FUT!G:G)</f>
        <v>0</v>
      </c>
      <c r="H114" s="800">
        <f>SUMIF(O_CWP_NOW!$A:$A,$A114,O_CWP_NOW!H:H)+SUMIF(O_CWP_FUT!$A:$A,$A114,O_CWP_FUT!H:H)</f>
        <v>0</v>
      </c>
      <c r="I114" s="800">
        <f>SUMIF(O_CWP_NOW!$A:$A,$A114,O_CWP_NOW!I:I)+SUMIF(O_CWP_FUT!$A:$A,$A114,O_CWP_FUT!I:I)</f>
        <v>0</v>
      </c>
      <c r="J114" s="800">
        <f>SUMIF(O_CWP_NOW!$A:$A,$A114,O_CWP_NOW!J:J)+SUMIF(O_CWP_FUT!$A:$A,$A114,O_CWP_FUT!J:J)</f>
        <v>0</v>
      </c>
      <c r="K114" s="800">
        <f>SUMIF(O_CWP_NOW!$A:$A,$A114,O_CWP_NOW!K:K)+SUMIF(O_CWP_FUT!$A:$A,$A114,O_CWP_FUT!K:K)</f>
        <v>0</v>
      </c>
      <c r="L114" s="800">
        <f>SUMIF(O_CWP_NOW!$A:$A,$A114,O_CWP_NOW!L:L)+SUMIF(O_CWP_FUT!$A:$A,$A114,O_CWP_FUT!L:L)</f>
        <v>0</v>
      </c>
      <c r="M114" s="800">
        <f>SUMIF(O_CWP_NOW!$A:$A,$A114,O_CWP_NOW!M:M)+SUMIF(O_CWP_FUT!$A:$A,$A114,O_CWP_FUT!M:M)</f>
        <v>0</v>
      </c>
      <c r="N114" s="800">
        <f>SUMIF(O_CWP_NOW!$A:$A,$A114,O_CWP_NOW!N:N)+SUMIF(O_CWP_FUT!$A:$A,$A114,O_CWP_FUT!N:N)</f>
        <v>0</v>
      </c>
      <c r="O114" s="800">
        <f t="shared" si="7"/>
        <v>0</v>
      </c>
      <c r="P114" s="40"/>
      <c r="R114" s="29"/>
      <c r="S114" s="29"/>
    </row>
    <row r="115" spans="1:19" ht="13" hidden="1">
      <c r="A115" s="22" t="s">
        <v>5419</v>
      </c>
      <c r="B115" s="31" t="s">
        <v>963</v>
      </c>
      <c r="C115" s="31" t="str">
        <f>VLOOKUP($A115,FA_Codes!$D$2:$G$249,4,FALSE)</f>
        <v>Urban Auckland Non GPA</v>
      </c>
      <c r="D115" s="800">
        <f>SUMIF(O_CWP_NOW!$A:$A,$A115,O_CWP_NOW!D:D)+SUMIF(O_CWP_FUT!$A:$A,$A115,O_CWP_FUT!D:D)</f>
        <v>0</v>
      </c>
      <c r="E115" s="800">
        <f>SUMIF(O_CWP_NOW!$A:$A,$A115,O_CWP_NOW!E:E)+SUMIF(O_CWP_FUT!$A:$A,$A115,O_CWP_FUT!E:E)</f>
        <v>0</v>
      </c>
      <c r="F115" s="800">
        <f>SUMIF(O_CWP_NOW!$A:$A,$A115,O_CWP_NOW!F:F)+SUMIF(O_CWP_FUT!$A:$A,$A115,O_CWP_FUT!F:F)</f>
        <v>0</v>
      </c>
      <c r="G115" s="800">
        <f>SUMIF(O_CWP_NOW!$A:$A,$A115,O_CWP_NOW!G:G)+SUMIF(O_CWP_FUT!$A:$A,$A115,O_CWP_FUT!G:G)</f>
        <v>0</v>
      </c>
      <c r="H115" s="800">
        <f>SUMIF(O_CWP_NOW!$A:$A,$A115,O_CWP_NOW!H:H)+SUMIF(O_CWP_FUT!$A:$A,$A115,O_CWP_FUT!H:H)</f>
        <v>0</v>
      </c>
      <c r="I115" s="800">
        <f>SUMIF(O_CWP_NOW!$A:$A,$A115,O_CWP_NOW!I:I)+SUMIF(O_CWP_FUT!$A:$A,$A115,O_CWP_FUT!I:I)</f>
        <v>0</v>
      </c>
      <c r="J115" s="800">
        <f>SUMIF(O_CWP_NOW!$A:$A,$A115,O_CWP_NOW!J:J)+SUMIF(O_CWP_FUT!$A:$A,$A115,O_CWP_FUT!J:J)</f>
        <v>0</v>
      </c>
      <c r="K115" s="800">
        <f>SUMIF(O_CWP_NOW!$A:$A,$A115,O_CWP_NOW!K:K)+SUMIF(O_CWP_FUT!$A:$A,$A115,O_CWP_FUT!K:K)</f>
        <v>0</v>
      </c>
      <c r="L115" s="800">
        <f>SUMIF(O_CWP_NOW!$A:$A,$A115,O_CWP_NOW!L:L)+SUMIF(O_CWP_FUT!$A:$A,$A115,O_CWP_FUT!L:L)</f>
        <v>0</v>
      </c>
      <c r="M115" s="800">
        <f>SUMIF(O_CWP_NOW!$A:$A,$A115,O_CWP_NOW!M:M)+SUMIF(O_CWP_FUT!$A:$A,$A115,O_CWP_FUT!M:M)</f>
        <v>0</v>
      </c>
      <c r="N115" s="800">
        <f>SUMIF(O_CWP_NOW!$A:$A,$A115,O_CWP_NOW!N:N)+SUMIF(O_CWP_FUT!$A:$A,$A115,O_CWP_FUT!N:N)</f>
        <v>0</v>
      </c>
      <c r="O115" s="800">
        <f t="shared" si="7"/>
        <v>0</v>
      </c>
      <c r="P115" s="597"/>
      <c r="R115" s="29"/>
      <c r="S115" s="29"/>
    </row>
    <row r="116" spans="1:19" ht="13" hidden="1">
      <c r="A116" s="22" t="s">
        <v>5420</v>
      </c>
      <c r="B116" s="31" t="s">
        <v>963</v>
      </c>
      <c r="C116" s="31" t="str">
        <f>VLOOKUP($A116,FA_Codes!$D$2:$G$249,4,FALSE)</f>
        <v>Urban Auckland</v>
      </c>
      <c r="D116" s="800">
        <f>SUMIF(O_CWP_NOW!$A:$A,$A116,O_CWP_NOW!D:D)+SUMIF(O_CWP_FUT!$A:$A,$A116,O_CWP_FUT!D:D)</f>
        <v>0</v>
      </c>
      <c r="E116" s="800">
        <f>SUMIF(O_CWP_NOW!$A:$A,$A116,O_CWP_NOW!E:E)+SUMIF(O_CWP_FUT!$A:$A,$A116,O_CWP_FUT!E:E)</f>
        <v>0</v>
      </c>
      <c r="F116" s="800">
        <f>SUMIF(O_CWP_NOW!$A:$A,$A116,O_CWP_NOW!F:F)+SUMIF(O_CWP_FUT!$A:$A,$A116,O_CWP_FUT!F:F)</f>
        <v>0</v>
      </c>
      <c r="G116" s="800">
        <f>SUMIF(O_CWP_NOW!$A:$A,$A116,O_CWP_NOW!G:G)+SUMIF(O_CWP_FUT!$A:$A,$A116,O_CWP_FUT!G:G)</f>
        <v>0</v>
      </c>
      <c r="H116" s="800">
        <f>SUMIF(O_CWP_NOW!$A:$A,$A116,O_CWP_NOW!H:H)+SUMIF(O_CWP_FUT!$A:$A,$A116,O_CWP_FUT!H:H)</f>
        <v>0</v>
      </c>
      <c r="I116" s="800">
        <f>SUMIF(O_CWP_NOW!$A:$A,$A116,O_CWP_NOW!I:I)+SUMIF(O_CWP_FUT!$A:$A,$A116,O_CWP_FUT!I:I)</f>
        <v>0</v>
      </c>
      <c r="J116" s="800">
        <f>SUMIF(O_CWP_NOW!$A:$A,$A116,O_CWP_NOW!J:J)+SUMIF(O_CWP_FUT!$A:$A,$A116,O_CWP_FUT!J:J)</f>
        <v>0</v>
      </c>
      <c r="K116" s="800">
        <f>SUMIF(O_CWP_NOW!$A:$A,$A116,O_CWP_NOW!K:K)+SUMIF(O_CWP_FUT!$A:$A,$A116,O_CWP_FUT!K:K)</f>
        <v>0</v>
      </c>
      <c r="L116" s="800">
        <f>SUMIF(O_CWP_NOW!$A:$A,$A116,O_CWP_NOW!L:L)+SUMIF(O_CWP_FUT!$A:$A,$A116,O_CWP_FUT!L:L)</f>
        <v>0</v>
      </c>
      <c r="M116" s="800">
        <f>SUMIF(O_CWP_NOW!$A:$A,$A116,O_CWP_NOW!M:M)+SUMIF(O_CWP_FUT!$A:$A,$A116,O_CWP_FUT!M:M)</f>
        <v>0</v>
      </c>
      <c r="N116" s="800">
        <f>SUMIF(O_CWP_NOW!$A:$A,$A116,O_CWP_NOW!N:N)+SUMIF(O_CWP_FUT!$A:$A,$A116,O_CWP_FUT!N:N)</f>
        <v>0</v>
      </c>
      <c r="O116" s="800">
        <f t="shared" si="7"/>
        <v>0</v>
      </c>
      <c r="P116" s="597"/>
      <c r="R116" s="29"/>
      <c r="S116" s="29"/>
    </row>
    <row r="117" spans="1:19" ht="13" hidden="1">
      <c r="A117" s="22" t="s">
        <v>5424</v>
      </c>
      <c r="B117" s="31" t="s">
        <v>963</v>
      </c>
      <c r="C117" s="31" t="str">
        <f>VLOOKUP($A117,FA_Codes!$D$2:$G$249,4,FALSE)</f>
        <v>Waitemata Central 2</v>
      </c>
      <c r="D117" s="800">
        <f>SUMIF(O_CWP_NOW!$A:$A,$A117,O_CWP_NOW!D:D)+SUMIF(O_CWP_FUT!$A:$A,$A117,O_CWP_FUT!D:D)</f>
        <v>0</v>
      </c>
      <c r="E117" s="800">
        <f>SUMIF(O_CWP_NOW!$A:$A,$A117,O_CWP_NOW!E:E)+SUMIF(O_CWP_FUT!$A:$A,$A117,O_CWP_FUT!E:E)</f>
        <v>0</v>
      </c>
      <c r="F117" s="800">
        <f>SUMIF(O_CWP_NOW!$A:$A,$A117,O_CWP_NOW!F:F)+SUMIF(O_CWP_FUT!$A:$A,$A117,O_CWP_FUT!F:F)</f>
        <v>0</v>
      </c>
      <c r="G117" s="800">
        <f>SUMIF(O_CWP_NOW!$A:$A,$A117,O_CWP_NOW!G:G)+SUMIF(O_CWP_FUT!$A:$A,$A117,O_CWP_FUT!G:G)</f>
        <v>0</v>
      </c>
      <c r="H117" s="800">
        <f>SUMIF(O_CWP_NOW!$A:$A,$A117,O_CWP_NOW!H:H)+SUMIF(O_CWP_FUT!$A:$A,$A117,O_CWP_FUT!H:H)</f>
        <v>0</v>
      </c>
      <c r="I117" s="800">
        <f>SUMIF(O_CWP_NOW!$A:$A,$A117,O_CWP_NOW!I:I)+SUMIF(O_CWP_FUT!$A:$A,$A117,O_CWP_FUT!I:I)</f>
        <v>0</v>
      </c>
      <c r="J117" s="800">
        <f>SUMIF(O_CWP_NOW!$A:$A,$A117,O_CWP_NOW!J:J)+SUMIF(O_CWP_FUT!$A:$A,$A117,O_CWP_FUT!J:J)</f>
        <v>0</v>
      </c>
      <c r="K117" s="800">
        <f>SUMIF(O_CWP_NOW!$A:$A,$A117,O_CWP_NOW!K:K)+SUMIF(O_CWP_FUT!$A:$A,$A117,O_CWP_FUT!K:K)</f>
        <v>0</v>
      </c>
      <c r="L117" s="800">
        <f>SUMIF(O_CWP_NOW!$A:$A,$A117,O_CWP_NOW!L:L)+SUMIF(O_CWP_FUT!$A:$A,$A117,O_CWP_FUT!L:L)</f>
        <v>0</v>
      </c>
      <c r="M117" s="800">
        <f>SUMIF(O_CWP_NOW!$A:$A,$A117,O_CWP_NOW!M:M)+SUMIF(O_CWP_FUT!$A:$A,$A117,O_CWP_FUT!M:M)</f>
        <v>0</v>
      </c>
      <c r="N117" s="800">
        <f>SUMIF(O_CWP_NOW!$A:$A,$A117,O_CWP_NOW!N:N)+SUMIF(O_CWP_FUT!$A:$A,$A117,O_CWP_FUT!N:N)</f>
        <v>0</v>
      </c>
      <c r="O117" s="800">
        <f t="shared" si="7"/>
        <v>0</v>
      </c>
      <c r="P117" s="40"/>
      <c r="R117" s="29"/>
      <c r="S117" s="29"/>
    </row>
    <row r="118" spans="1:19" ht="13" hidden="1">
      <c r="A118" s="22" t="s">
        <v>5430</v>
      </c>
      <c r="B118" s="31" t="s">
        <v>963</v>
      </c>
      <c r="C118" s="31" t="str">
        <f>VLOOKUP($A118,FA_Codes!$D$2:$G$249,4,FALSE)</f>
        <v>Tamaki West 2</v>
      </c>
      <c r="D118" s="800">
        <f>SUMIF(O_CWP_NOW!$A:$A,$A118,O_CWP_NOW!D:D)+SUMIF(O_CWP_FUT!$A:$A,$A118,O_CWP_FUT!D:D)</f>
        <v>0</v>
      </c>
      <c r="E118" s="800">
        <f>SUMIF(O_CWP_NOW!$A:$A,$A118,O_CWP_NOW!E:E)+SUMIF(O_CWP_FUT!$A:$A,$A118,O_CWP_FUT!E:E)</f>
        <v>0</v>
      </c>
      <c r="F118" s="800">
        <f>SUMIF(O_CWP_NOW!$A:$A,$A118,O_CWP_NOW!F:F)+SUMIF(O_CWP_FUT!$A:$A,$A118,O_CWP_FUT!F:F)</f>
        <v>0</v>
      </c>
      <c r="G118" s="800">
        <f>SUMIF(O_CWP_NOW!$A:$A,$A118,O_CWP_NOW!G:G)+SUMIF(O_CWP_FUT!$A:$A,$A118,O_CWP_FUT!G:G)</f>
        <v>0</v>
      </c>
      <c r="H118" s="800">
        <f>SUMIF(O_CWP_NOW!$A:$A,$A118,O_CWP_NOW!H:H)+SUMIF(O_CWP_FUT!$A:$A,$A118,O_CWP_FUT!H:H)</f>
        <v>0</v>
      </c>
      <c r="I118" s="800">
        <f>SUMIF(O_CWP_NOW!$A:$A,$A118,O_CWP_NOW!I:I)+SUMIF(O_CWP_FUT!$A:$A,$A118,O_CWP_FUT!I:I)</f>
        <v>0</v>
      </c>
      <c r="J118" s="800">
        <f>SUMIF(O_CWP_NOW!$A:$A,$A118,O_CWP_NOW!J:J)+SUMIF(O_CWP_FUT!$A:$A,$A118,O_CWP_FUT!J:J)</f>
        <v>0</v>
      </c>
      <c r="K118" s="800">
        <f>SUMIF(O_CWP_NOW!$A:$A,$A118,O_CWP_NOW!K:K)+SUMIF(O_CWP_FUT!$A:$A,$A118,O_CWP_FUT!K:K)</f>
        <v>0</v>
      </c>
      <c r="L118" s="800">
        <f>SUMIF(O_CWP_NOW!$A:$A,$A118,O_CWP_NOW!L:L)+SUMIF(O_CWP_FUT!$A:$A,$A118,O_CWP_FUT!L:L)</f>
        <v>0</v>
      </c>
      <c r="M118" s="800">
        <f>SUMIF(O_CWP_NOW!$A:$A,$A118,O_CWP_NOW!M:M)+SUMIF(O_CWP_FUT!$A:$A,$A118,O_CWP_FUT!M:M)</f>
        <v>0</v>
      </c>
      <c r="N118" s="800">
        <f>SUMIF(O_CWP_NOW!$A:$A,$A118,O_CWP_NOW!N:N)+SUMIF(O_CWP_FUT!$A:$A,$A118,O_CWP_FUT!N:N)</f>
        <v>0</v>
      </c>
      <c r="O118" s="800">
        <f t="shared" si="7"/>
        <v>0</v>
      </c>
      <c r="P118" s="40"/>
      <c r="R118" s="29"/>
      <c r="S118" s="29"/>
    </row>
    <row r="119" spans="1:19" ht="13" hidden="1">
      <c r="A119" s="22" t="s">
        <v>5431</v>
      </c>
      <c r="B119" s="31" t="s">
        <v>963</v>
      </c>
      <c r="C119" s="31" t="str">
        <f>VLOOKUP($A119,FA_Codes!$D$2:$G$249,4,FALSE)</f>
        <v>Tamaki West 3</v>
      </c>
      <c r="D119" s="800">
        <f>SUMIF(O_CWP_NOW!$A:$A,$A119,O_CWP_NOW!D:D)+SUMIF(O_CWP_FUT!$A:$A,$A119,O_CWP_FUT!D:D)</f>
        <v>0</v>
      </c>
      <c r="E119" s="800">
        <f>SUMIF(O_CWP_NOW!$A:$A,$A119,O_CWP_NOW!E:E)+SUMIF(O_CWP_FUT!$A:$A,$A119,O_CWP_FUT!E:E)</f>
        <v>0</v>
      </c>
      <c r="F119" s="800">
        <f>SUMIF(O_CWP_NOW!$A:$A,$A119,O_CWP_NOW!F:F)+SUMIF(O_CWP_FUT!$A:$A,$A119,O_CWP_FUT!F:F)</f>
        <v>0</v>
      </c>
      <c r="G119" s="800">
        <f>SUMIF(O_CWP_NOW!$A:$A,$A119,O_CWP_NOW!G:G)+SUMIF(O_CWP_FUT!$A:$A,$A119,O_CWP_FUT!G:G)</f>
        <v>0</v>
      </c>
      <c r="H119" s="800">
        <f>SUMIF(O_CWP_NOW!$A:$A,$A119,O_CWP_NOW!H:H)+SUMIF(O_CWP_FUT!$A:$A,$A119,O_CWP_FUT!H:H)</f>
        <v>0</v>
      </c>
      <c r="I119" s="800">
        <f>SUMIF(O_CWP_NOW!$A:$A,$A119,O_CWP_NOW!I:I)+SUMIF(O_CWP_FUT!$A:$A,$A119,O_CWP_FUT!I:I)</f>
        <v>0</v>
      </c>
      <c r="J119" s="800">
        <f>SUMIF(O_CWP_NOW!$A:$A,$A119,O_CWP_NOW!J:J)+SUMIF(O_CWP_FUT!$A:$A,$A119,O_CWP_FUT!J:J)</f>
        <v>0</v>
      </c>
      <c r="K119" s="800">
        <f>SUMIF(O_CWP_NOW!$A:$A,$A119,O_CWP_NOW!K:K)+SUMIF(O_CWP_FUT!$A:$A,$A119,O_CWP_FUT!K:K)</f>
        <v>0</v>
      </c>
      <c r="L119" s="800">
        <f>SUMIF(O_CWP_NOW!$A:$A,$A119,O_CWP_NOW!L:L)+SUMIF(O_CWP_FUT!$A:$A,$A119,O_CWP_FUT!L:L)</f>
        <v>0</v>
      </c>
      <c r="M119" s="800">
        <f>SUMIF(O_CWP_NOW!$A:$A,$A119,O_CWP_NOW!M:M)+SUMIF(O_CWP_FUT!$A:$A,$A119,O_CWP_FUT!M:M)</f>
        <v>0</v>
      </c>
      <c r="N119" s="800">
        <f>SUMIF(O_CWP_NOW!$A:$A,$A119,O_CWP_NOW!N:N)+SUMIF(O_CWP_FUT!$A:$A,$A119,O_CWP_FUT!N:N)</f>
        <v>0</v>
      </c>
      <c r="O119" s="800">
        <f t="shared" si="7"/>
        <v>0</v>
      </c>
      <c r="P119" s="40"/>
      <c r="R119" s="29"/>
      <c r="S119" s="29"/>
    </row>
    <row r="120" spans="1:19" ht="13" hidden="1">
      <c r="A120" s="22" t="s">
        <v>5426</v>
      </c>
      <c r="B120" s="31" t="s">
        <v>963</v>
      </c>
      <c r="C120" s="31" t="str">
        <f>VLOOKUP($A120,FA_Codes!$D$2:$G$249,4,FALSE)</f>
        <v>Whenuapai / Redhills</v>
      </c>
      <c r="D120" s="800">
        <f>SUMIF(O_CWP_NOW!$A:$A,$A120,O_CWP_NOW!D:D)+SUMIF(O_CWP_FUT!$A:$A,$A120,O_CWP_FUT!D:D)</f>
        <v>0</v>
      </c>
      <c r="E120" s="800">
        <f>SUMIF(O_CWP_NOW!$A:$A,$A120,O_CWP_NOW!E:E)+SUMIF(O_CWP_FUT!$A:$A,$A120,O_CWP_FUT!E:E)</f>
        <v>0</v>
      </c>
      <c r="F120" s="800">
        <f>SUMIF(O_CWP_NOW!$A:$A,$A120,O_CWP_NOW!F:F)+SUMIF(O_CWP_FUT!$A:$A,$A120,O_CWP_FUT!F:F)</f>
        <v>0</v>
      </c>
      <c r="G120" s="800">
        <f>SUMIF(O_CWP_NOW!$A:$A,$A120,O_CWP_NOW!G:G)+SUMIF(O_CWP_FUT!$A:$A,$A120,O_CWP_FUT!G:G)</f>
        <v>0</v>
      </c>
      <c r="H120" s="800">
        <f>SUMIF(O_CWP_NOW!$A:$A,$A120,O_CWP_NOW!H:H)+SUMIF(O_CWP_FUT!$A:$A,$A120,O_CWP_FUT!H:H)</f>
        <v>0</v>
      </c>
      <c r="I120" s="800">
        <f>SUMIF(O_CWP_NOW!$A:$A,$A120,O_CWP_NOW!I:I)+SUMIF(O_CWP_FUT!$A:$A,$A120,O_CWP_FUT!I:I)</f>
        <v>0</v>
      </c>
      <c r="J120" s="800">
        <f>SUMIF(O_CWP_NOW!$A:$A,$A120,O_CWP_NOW!J:J)+SUMIF(O_CWP_FUT!$A:$A,$A120,O_CWP_FUT!J:J)</f>
        <v>0</v>
      </c>
      <c r="K120" s="800">
        <f>SUMIF(O_CWP_NOW!$A:$A,$A120,O_CWP_NOW!K:K)+SUMIF(O_CWP_FUT!$A:$A,$A120,O_CWP_FUT!K:K)</f>
        <v>0</v>
      </c>
      <c r="L120" s="800">
        <f>SUMIF(O_CWP_NOW!$A:$A,$A120,O_CWP_NOW!L:L)+SUMIF(O_CWP_FUT!$A:$A,$A120,O_CWP_FUT!L:L)</f>
        <v>0</v>
      </c>
      <c r="M120" s="800">
        <f>SUMIF(O_CWP_NOW!$A:$A,$A120,O_CWP_NOW!M:M)+SUMIF(O_CWP_FUT!$A:$A,$A120,O_CWP_FUT!M:M)</f>
        <v>0</v>
      </c>
      <c r="N120" s="800">
        <f>SUMIF(O_CWP_NOW!$A:$A,$A120,O_CWP_NOW!N:N)+SUMIF(O_CWP_FUT!$A:$A,$A120,O_CWP_FUT!N:N)</f>
        <v>0</v>
      </c>
      <c r="O120" s="800">
        <f t="shared" ref="O120:O131" si="8">SUM(D120:N120)</f>
        <v>0</v>
      </c>
      <c r="P120" s="40"/>
      <c r="R120" s="29"/>
      <c r="S120" s="29"/>
    </row>
    <row r="121" spans="1:19" ht="13" hidden="1">
      <c r="A121" s="22" t="s">
        <v>5432</v>
      </c>
      <c r="B121" s="31" t="s">
        <v>963</v>
      </c>
      <c r="C121" s="31" t="str">
        <f>VLOOKUP($A121,FA_Codes!$D$2:$G$249,4,FALSE)</f>
        <v>Dairy Flat / Wainui / Silverdale</v>
      </c>
      <c r="D121" s="800">
        <f>SUMIF(O_CWP_NOW!$A:$A,$A121,O_CWP_NOW!D:D)+SUMIF(O_CWP_FUT!$A:$A,$A121,O_CWP_FUT!D:D)</f>
        <v>0</v>
      </c>
      <c r="E121" s="800">
        <f>SUMIF(O_CWP_NOW!$A:$A,$A121,O_CWP_NOW!E:E)+SUMIF(O_CWP_FUT!$A:$A,$A121,O_CWP_FUT!E:E)</f>
        <v>0</v>
      </c>
      <c r="F121" s="800">
        <f>SUMIF(O_CWP_NOW!$A:$A,$A121,O_CWP_NOW!F:F)+SUMIF(O_CWP_FUT!$A:$A,$A121,O_CWP_FUT!F:F)</f>
        <v>0</v>
      </c>
      <c r="G121" s="800">
        <f>SUMIF(O_CWP_NOW!$A:$A,$A121,O_CWP_NOW!G:G)+SUMIF(O_CWP_FUT!$A:$A,$A121,O_CWP_FUT!G:G)</f>
        <v>0</v>
      </c>
      <c r="H121" s="800">
        <f>SUMIF(O_CWP_NOW!$A:$A,$A121,O_CWP_NOW!H:H)+SUMIF(O_CWP_FUT!$A:$A,$A121,O_CWP_FUT!H:H)</f>
        <v>0</v>
      </c>
      <c r="I121" s="800">
        <f>SUMIF(O_CWP_NOW!$A:$A,$A121,O_CWP_NOW!I:I)+SUMIF(O_CWP_FUT!$A:$A,$A121,O_CWP_FUT!I:I)</f>
        <v>0</v>
      </c>
      <c r="J121" s="800">
        <f>SUMIF(O_CWP_NOW!$A:$A,$A121,O_CWP_NOW!J:J)+SUMIF(O_CWP_FUT!$A:$A,$A121,O_CWP_FUT!J:J)</f>
        <v>0</v>
      </c>
      <c r="K121" s="800">
        <f>SUMIF(O_CWP_NOW!$A:$A,$A121,O_CWP_NOW!K:K)+SUMIF(O_CWP_FUT!$A:$A,$A121,O_CWP_FUT!K:K)</f>
        <v>0</v>
      </c>
      <c r="L121" s="800">
        <f>SUMIF(O_CWP_NOW!$A:$A,$A121,O_CWP_NOW!L:L)+SUMIF(O_CWP_FUT!$A:$A,$A121,O_CWP_FUT!L:L)</f>
        <v>0</v>
      </c>
      <c r="M121" s="800">
        <f>SUMIF(O_CWP_NOW!$A:$A,$A121,O_CWP_NOW!M:M)+SUMIF(O_CWP_FUT!$A:$A,$A121,O_CWP_FUT!M:M)</f>
        <v>0</v>
      </c>
      <c r="N121" s="800">
        <f>SUMIF(O_CWP_NOW!$A:$A,$A121,O_CWP_NOW!N:N)+SUMIF(O_CWP_FUT!$A:$A,$A121,O_CWP_FUT!N:N)</f>
        <v>0</v>
      </c>
      <c r="O121" s="800">
        <f t="shared" si="8"/>
        <v>0</v>
      </c>
      <c r="P121" s="40"/>
      <c r="R121" s="29"/>
      <c r="S121" s="29"/>
    </row>
    <row r="122" spans="1:19" ht="13" hidden="1">
      <c r="A122" s="22" t="s">
        <v>5425</v>
      </c>
      <c r="B122" s="31" t="s">
        <v>963</v>
      </c>
      <c r="C122" s="31" t="str">
        <f>VLOOKUP($A122,FA_Codes!$D$2:$G$249,4,FALSE)</f>
        <v>Hauraki Gulf Islands</v>
      </c>
      <c r="D122" s="800">
        <f>SUMIF(O_CWP_NOW!$A:$A,$A122,O_CWP_NOW!D:D)+SUMIF(O_CWP_FUT!$A:$A,$A122,O_CWP_FUT!D:D)</f>
        <v>0</v>
      </c>
      <c r="E122" s="800">
        <f>SUMIF(O_CWP_NOW!$A:$A,$A122,O_CWP_NOW!E:E)+SUMIF(O_CWP_FUT!$A:$A,$A122,O_CWP_FUT!E:E)</f>
        <v>0</v>
      </c>
      <c r="F122" s="800">
        <f>SUMIF(O_CWP_NOW!$A:$A,$A122,O_CWP_NOW!F:F)+SUMIF(O_CWP_FUT!$A:$A,$A122,O_CWP_FUT!F:F)</f>
        <v>0</v>
      </c>
      <c r="G122" s="800">
        <f>SUMIF(O_CWP_NOW!$A:$A,$A122,O_CWP_NOW!G:G)+SUMIF(O_CWP_FUT!$A:$A,$A122,O_CWP_FUT!G:G)</f>
        <v>0</v>
      </c>
      <c r="H122" s="800">
        <f>SUMIF(O_CWP_NOW!$A:$A,$A122,O_CWP_NOW!H:H)+SUMIF(O_CWP_FUT!$A:$A,$A122,O_CWP_FUT!H:H)</f>
        <v>0</v>
      </c>
      <c r="I122" s="800">
        <f>SUMIF(O_CWP_NOW!$A:$A,$A122,O_CWP_NOW!I:I)+SUMIF(O_CWP_FUT!$A:$A,$A122,O_CWP_FUT!I:I)</f>
        <v>0</v>
      </c>
      <c r="J122" s="800">
        <f>SUMIF(O_CWP_NOW!$A:$A,$A122,O_CWP_NOW!J:J)+SUMIF(O_CWP_FUT!$A:$A,$A122,O_CWP_FUT!J:J)</f>
        <v>0</v>
      </c>
      <c r="K122" s="800">
        <f>SUMIF(O_CWP_NOW!$A:$A,$A122,O_CWP_NOW!K:K)+SUMIF(O_CWP_FUT!$A:$A,$A122,O_CWP_FUT!K:K)</f>
        <v>0</v>
      </c>
      <c r="L122" s="800">
        <f>SUMIF(O_CWP_NOW!$A:$A,$A122,O_CWP_NOW!L:L)+SUMIF(O_CWP_FUT!$A:$A,$A122,O_CWP_FUT!L:L)</f>
        <v>0</v>
      </c>
      <c r="M122" s="800">
        <f>SUMIF(O_CWP_NOW!$A:$A,$A122,O_CWP_NOW!M:M)+SUMIF(O_CWP_FUT!$A:$A,$A122,O_CWP_FUT!M:M)</f>
        <v>0</v>
      </c>
      <c r="N122" s="800">
        <f>SUMIF(O_CWP_NOW!$A:$A,$A122,O_CWP_NOW!N:N)+SUMIF(O_CWP_FUT!$A:$A,$A122,O_CWP_FUT!N:N)</f>
        <v>0</v>
      </c>
      <c r="O122" s="800">
        <f t="shared" si="8"/>
        <v>0</v>
      </c>
      <c r="P122" s="40"/>
      <c r="R122" s="29"/>
      <c r="S122" s="29"/>
    </row>
    <row r="123" spans="1:19" ht="13" hidden="1">
      <c r="A123" s="22" t="s">
        <v>5423</v>
      </c>
      <c r="B123" s="31" t="s">
        <v>963</v>
      </c>
      <c r="C123" s="31" t="str">
        <f>VLOOKUP($A123,FA_Codes!$D$2:$G$249,4,FALSE)</f>
        <v>Omaha / Matakana</v>
      </c>
      <c r="D123" s="800">
        <f>SUMIF(O_CWP_NOW!$A:$A,$A123,O_CWP_NOW!D:D)+SUMIF(O_CWP_FUT!$A:$A,$A123,O_CWP_FUT!D:D)</f>
        <v>0</v>
      </c>
      <c r="E123" s="800">
        <f>SUMIF(O_CWP_NOW!$A:$A,$A123,O_CWP_NOW!E:E)+SUMIF(O_CWP_FUT!$A:$A,$A123,O_CWP_FUT!E:E)</f>
        <v>0</v>
      </c>
      <c r="F123" s="800">
        <f>SUMIF(O_CWP_NOW!$A:$A,$A123,O_CWP_NOW!F:F)+SUMIF(O_CWP_FUT!$A:$A,$A123,O_CWP_FUT!F:F)</f>
        <v>0</v>
      </c>
      <c r="G123" s="800">
        <f>SUMIF(O_CWP_NOW!$A:$A,$A123,O_CWP_NOW!G:G)+SUMIF(O_CWP_FUT!$A:$A,$A123,O_CWP_FUT!G:G)</f>
        <v>0</v>
      </c>
      <c r="H123" s="800">
        <f>SUMIF(O_CWP_NOW!$A:$A,$A123,O_CWP_NOW!H:H)+SUMIF(O_CWP_FUT!$A:$A,$A123,O_CWP_FUT!H:H)</f>
        <v>0</v>
      </c>
      <c r="I123" s="800">
        <f>SUMIF(O_CWP_NOW!$A:$A,$A123,O_CWP_NOW!I:I)+SUMIF(O_CWP_FUT!$A:$A,$A123,O_CWP_FUT!I:I)</f>
        <v>0</v>
      </c>
      <c r="J123" s="800">
        <f>SUMIF(O_CWP_NOW!$A:$A,$A123,O_CWP_NOW!J:J)+SUMIF(O_CWP_FUT!$A:$A,$A123,O_CWP_FUT!J:J)</f>
        <v>0</v>
      </c>
      <c r="K123" s="800">
        <f>SUMIF(O_CWP_NOW!$A:$A,$A123,O_CWP_NOW!K:K)+SUMIF(O_CWP_FUT!$A:$A,$A123,O_CWP_FUT!K:K)</f>
        <v>0</v>
      </c>
      <c r="L123" s="800">
        <f>SUMIF(O_CWP_NOW!$A:$A,$A123,O_CWP_NOW!L:L)+SUMIF(O_CWP_FUT!$A:$A,$A123,O_CWP_FUT!L:L)</f>
        <v>0</v>
      </c>
      <c r="M123" s="800">
        <f>SUMIF(O_CWP_NOW!$A:$A,$A123,O_CWP_NOW!M:M)+SUMIF(O_CWP_FUT!$A:$A,$A123,O_CWP_FUT!M:M)</f>
        <v>0</v>
      </c>
      <c r="N123" s="800">
        <f>SUMIF(O_CWP_NOW!$A:$A,$A123,O_CWP_NOW!N:N)+SUMIF(O_CWP_FUT!$A:$A,$A123,O_CWP_FUT!N:N)</f>
        <v>0</v>
      </c>
      <c r="O123" s="800">
        <f t="shared" si="8"/>
        <v>0</v>
      </c>
      <c r="P123" s="40"/>
      <c r="R123" s="29"/>
      <c r="S123" s="29"/>
    </row>
    <row r="124" spans="1:19" ht="13" hidden="1">
      <c r="A124" s="22" t="s">
        <v>5435</v>
      </c>
      <c r="B124" s="31" t="s">
        <v>963</v>
      </c>
      <c r="C124" s="31" t="str">
        <f>VLOOKUP($A124,FA_Codes!$D$2:$G$249,4,FALSE)</f>
        <v>Oakley</v>
      </c>
      <c r="D124" s="800">
        <f>SUMIF(O_CWP_NOW!$A:$A,$A124,O_CWP_NOW!D:D)+SUMIF(O_CWP_FUT!$A:$A,$A124,O_CWP_FUT!D:D)</f>
        <v>0</v>
      </c>
      <c r="E124" s="800">
        <f>SUMIF(O_CWP_NOW!$A:$A,$A124,O_CWP_NOW!E:E)+SUMIF(O_CWP_FUT!$A:$A,$A124,O_CWP_FUT!E:E)</f>
        <v>0</v>
      </c>
      <c r="F124" s="800">
        <f>SUMIF(O_CWP_NOW!$A:$A,$A124,O_CWP_NOW!F:F)+SUMIF(O_CWP_FUT!$A:$A,$A124,O_CWP_FUT!F:F)</f>
        <v>0</v>
      </c>
      <c r="G124" s="800">
        <f>SUMIF(O_CWP_NOW!$A:$A,$A124,O_CWP_NOW!G:G)+SUMIF(O_CWP_FUT!$A:$A,$A124,O_CWP_FUT!G:G)</f>
        <v>0</v>
      </c>
      <c r="H124" s="800">
        <f>SUMIF(O_CWP_NOW!$A:$A,$A124,O_CWP_NOW!H:H)+SUMIF(O_CWP_FUT!$A:$A,$A124,O_CWP_FUT!H:H)</f>
        <v>0</v>
      </c>
      <c r="I124" s="800">
        <f>SUMIF(O_CWP_NOW!$A:$A,$A124,O_CWP_NOW!I:I)+SUMIF(O_CWP_FUT!$A:$A,$A124,O_CWP_FUT!I:I)</f>
        <v>0</v>
      </c>
      <c r="J124" s="800">
        <f>SUMIF(O_CWP_NOW!$A:$A,$A124,O_CWP_NOW!J:J)+SUMIF(O_CWP_FUT!$A:$A,$A124,O_CWP_FUT!J:J)</f>
        <v>0</v>
      </c>
      <c r="K124" s="800">
        <f>SUMIF(O_CWP_NOW!$A:$A,$A124,O_CWP_NOW!K:K)+SUMIF(O_CWP_FUT!$A:$A,$A124,O_CWP_FUT!K:K)</f>
        <v>0</v>
      </c>
      <c r="L124" s="800">
        <f>SUMIF(O_CWP_NOW!$A:$A,$A124,O_CWP_NOW!L:L)+SUMIF(O_CWP_FUT!$A:$A,$A124,O_CWP_FUT!L:L)</f>
        <v>0</v>
      </c>
      <c r="M124" s="800">
        <f>SUMIF(O_CWP_NOW!$A:$A,$A124,O_CWP_NOW!M:M)+SUMIF(O_CWP_FUT!$A:$A,$A124,O_CWP_FUT!M:M)</f>
        <v>0</v>
      </c>
      <c r="N124" s="800">
        <f>SUMIF(O_CWP_NOW!$A:$A,$A124,O_CWP_NOW!N:N)+SUMIF(O_CWP_FUT!$A:$A,$A124,O_CWP_FUT!N:N)</f>
        <v>0</v>
      </c>
      <c r="O124" s="800">
        <f t="shared" si="8"/>
        <v>0</v>
      </c>
      <c r="P124" s="40"/>
      <c r="R124" s="29"/>
      <c r="S124" s="29"/>
    </row>
    <row r="125" spans="1:19" ht="13" hidden="1">
      <c r="A125" s="22" t="s">
        <v>5436</v>
      </c>
      <c r="B125" s="31" t="s">
        <v>963</v>
      </c>
      <c r="C125" s="31" t="str">
        <f>VLOOKUP($A125,FA_Codes!$D$2:$G$249,4,FALSE)</f>
        <v>Area 44</v>
      </c>
      <c r="D125" s="800">
        <f>SUMIF(O_CWP_NOW!$A:$A,$A125,O_CWP_NOW!D:D)+SUMIF(O_CWP_FUT!$A:$A,$A125,O_CWP_FUT!D:D)</f>
        <v>0</v>
      </c>
      <c r="E125" s="800">
        <f>SUMIF(O_CWP_NOW!$A:$A,$A125,O_CWP_NOW!E:E)+SUMIF(O_CWP_FUT!$A:$A,$A125,O_CWP_FUT!E:E)</f>
        <v>0</v>
      </c>
      <c r="F125" s="800">
        <f>SUMIF(O_CWP_NOW!$A:$A,$A125,O_CWP_NOW!F:F)+SUMIF(O_CWP_FUT!$A:$A,$A125,O_CWP_FUT!F:F)</f>
        <v>0</v>
      </c>
      <c r="G125" s="800">
        <f>SUMIF(O_CWP_NOW!$A:$A,$A125,O_CWP_NOW!G:G)+SUMIF(O_CWP_FUT!$A:$A,$A125,O_CWP_FUT!G:G)</f>
        <v>0</v>
      </c>
      <c r="H125" s="800">
        <f>SUMIF(O_CWP_NOW!$A:$A,$A125,O_CWP_NOW!H:H)+SUMIF(O_CWP_FUT!$A:$A,$A125,O_CWP_FUT!H:H)</f>
        <v>0</v>
      </c>
      <c r="I125" s="800">
        <f>SUMIF(O_CWP_NOW!$A:$A,$A125,O_CWP_NOW!I:I)+SUMIF(O_CWP_FUT!$A:$A,$A125,O_CWP_FUT!I:I)</f>
        <v>0</v>
      </c>
      <c r="J125" s="800">
        <f>SUMIF(O_CWP_NOW!$A:$A,$A125,O_CWP_NOW!J:J)+SUMIF(O_CWP_FUT!$A:$A,$A125,O_CWP_FUT!J:J)</f>
        <v>0</v>
      </c>
      <c r="K125" s="800">
        <f>SUMIF(O_CWP_NOW!$A:$A,$A125,O_CWP_NOW!K:K)+SUMIF(O_CWP_FUT!$A:$A,$A125,O_CWP_FUT!K:K)</f>
        <v>0</v>
      </c>
      <c r="L125" s="800">
        <f>SUMIF(O_CWP_NOW!$A:$A,$A125,O_CWP_NOW!L:L)+SUMIF(O_CWP_FUT!$A:$A,$A125,O_CWP_FUT!L:L)</f>
        <v>0</v>
      </c>
      <c r="M125" s="800">
        <f>SUMIF(O_CWP_NOW!$A:$A,$A125,O_CWP_NOW!M:M)+SUMIF(O_CWP_FUT!$A:$A,$A125,O_CWP_FUT!M:M)</f>
        <v>0</v>
      </c>
      <c r="N125" s="800">
        <f>SUMIF(O_CWP_NOW!$A:$A,$A125,O_CWP_NOW!N:N)+SUMIF(O_CWP_FUT!$A:$A,$A125,O_CWP_FUT!N:N)</f>
        <v>0</v>
      </c>
      <c r="O125" s="800">
        <f t="shared" si="8"/>
        <v>0</v>
      </c>
      <c r="P125" s="40"/>
      <c r="R125" s="29"/>
      <c r="S125" s="29"/>
    </row>
    <row r="126" spans="1:19" ht="13" hidden="1">
      <c r="A126" s="22" t="s">
        <v>5437</v>
      </c>
      <c r="B126" s="31" t="s">
        <v>963</v>
      </c>
      <c r="C126" s="31" t="str">
        <f>VLOOKUP($A126,FA_Codes!$D$2:$G$249,4,FALSE)</f>
        <v>Area 45</v>
      </c>
      <c r="D126" s="800">
        <f>SUMIF(O_CWP_NOW!$A:$A,$A126,O_CWP_NOW!D:D)+SUMIF(O_CWP_FUT!$A:$A,$A126,O_CWP_FUT!D:D)</f>
        <v>0</v>
      </c>
      <c r="E126" s="800">
        <f>SUMIF(O_CWP_NOW!$A:$A,$A126,O_CWP_NOW!E:E)+SUMIF(O_CWP_FUT!$A:$A,$A126,O_CWP_FUT!E:E)</f>
        <v>0</v>
      </c>
      <c r="F126" s="800">
        <f>SUMIF(O_CWP_NOW!$A:$A,$A126,O_CWP_NOW!F:F)+SUMIF(O_CWP_FUT!$A:$A,$A126,O_CWP_FUT!F:F)</f>
        <v>0</v>
      </c>
      <c r="G126" s="800">
        <f>SUMIF(O_CWP_NOW!$A:$A,$A126,O_CWP_NOW!G:G)+SUMIF(O_CWP_FUT!$A:$A,$A126,O_CWP_FUT!G:G)</f>
        <v>0</v>
      </c>
      <c r="H126" s="800">
        <f>SUMIF(O_CWP_NOW!$A:$A,$A126,O_CWP_NOW!H:H)+SUMIF(O_CWP_FUT!$A:$A,$A126,O_CWP_FUT!H:H)</f>
        <v>0</v>
      </c>
      <c r="I126" s="800">
        <f>SUMIF(O_CWP_NOW!$A:$A,$A126,O_CWP_NOW!I:I)+SUMIF(O_CWP_FUT!$A:$A,$A126,O_CWP_FUT!I:I)</f>
        <v>0</v>
      </c>
      <c r="J126" s="800">
        <f>SUMIF(O_CWP_NOW!$A:$A,$A126,O_CWP_NOW!J:J)+SUMIF(O_CWP_FUT!$A:$A,$A126,O_CWP_FUT!J:J)</f>
        <v>0</v>
      </c>
      <c r="K126" s="800">
        <f>SUMIF(O_CWP_NOW!$A:$A,$A126,O_CWP_NOW!K:K)+SUMIF(O_CWP_FUT!$A:$A,$A126,O_CWP_FUT!K:K)</f>
        <v>0</v>
      </c>
      <c r="L126" s="800">
        <f>SUMIF(O_CWP_NOW!$A:$A,$A126,O_CWP_NOW!L:L)+SUMIF(O_CWP_FUT!$A:$A,$A126,O_CWP_FUT!L:L)</f>
        <v>0</v>
      </c>
      <c r="M126" s="800">
        <f>SUMIF(O_CWP_NOW!$A:$A,$A126,O_CWP_NOW!M:M)+SUMIF(O_CWP_FUT!$A:$A,$A126,O_CWP_FUT!M:M)</f>
        <v>0</v>
      </c>
      <c r="N126" s="800">
        <f>SUMIF(O_CWP_NOW!$A:$A,$A126,O_CWP_NOW!N:N)+SUMIF(O_CWP_FUT!$A:$A,$A126,O_CWP_FUT!N:N)</f>
        <v>0</v>
      </c>
      <c r="O126" s="800">
        <f t="shared" si="8"/>
        <v>0</v>
      </c>
      <c r="P126" s="40"/>
      <c r="R126" s="29"/>
      <c r="S126" s="29"/>
    </row>
    <row r="127" spans="1:19" ht="13" hidden="1">
      <c r="A127" s="22" t="s">
        <v>5438</v>
      </c>
      <c r="B127" s="31" t="s">
        <v>963</v>
      </c>
      <c r="C127" s="58" t="s">
        <v>7013</v>
      </c>
      <c r="D127" s="800">
        <f>SUMIF(O_CWP_NOW!$A:$A,$A127,O_CWP_NOW!D:D)+SUMIF(O_CWP_FUT!$A:$A,$A127,O_CWP_FUT!D:D)</f>
        <v>0</v>
      </c>
      <c r="E127" s="800">
        <f>SUMIF(O_CWP_NOW!$A:$A,$A127,O_CWP_NOW!E:E)+SUMIF(O_CWP_FUT!$A:$A,$A127,O_CWP_FUT!E:E)</f>
        <v>0</v>
      </c>
      <c r="F127" s="800">
        <f>SUMIF(O_CWP_NOW!$A:$A,$A127,O_CWP_NOW!F:F)+SUMIF(O_CWP_FUT!$A:$A,$A127,O_CWP_FUT!F:F)</f>
        <v>0</v>
      </c>
      <c r="G127" s="800">
        <f>SUMIF(O_CWP_NOW!$A:$A,$A127,O_CWP_NOW!G:G)+SUMIF(O_CWP_FUT!$A:$A,$A127,O_CWP_FUT!G:G)</f>
        <v>0</v>
      </c>
      <c r="H127" s="800">
        <f>SUMIF(O_CWP_NOW!$A:$A,$A127,O_CWP_NOW!H:H)+SUMIF(O_CWP_FUT!$A:$A,$A127,O_CWP_FUT!H:H)</f>
        <v>0</v>
      </c>
      <c r="I127" s="800">
        <f>SUMIF(O_CWP_NOW!$A:$A,$A127,O_CWP_NOW!I:I)+SUMIF(O_CWP_FUT!$A:$A,$A127,O_CWP_FUT!I:I)</f>
        <v>0</v>
      </c>
      <c r="J127" s="800">
        <f>SUMIF(O_CWP_NOW!$A:$A,$A127,O_CWP_NOW!J:J)+SUMIF(O_CWP_FUT!$A:$A,$A127,O_CWP_FUT!J:J)</f>
        <v>0</v>
      </c>
      <c r="K127" s="800">
        <f>SUMIF(O_CWP_NOW!$A:$A,$A127,O_CWP_NOW!K:K)+SUMIF(O_CWP_FUT!$A:$A,$A127,O_CWP_FUT!K:K)</f>
        <v>0</v>
      </c>
      <c r="L127" s="800">
        <f>SUMIF(O_CWP_NOW!$A:$A,$A127,O_CWP_NOW!L:L)+SUMIF(O_CWP_FUT!$A:$A,$A127,O_CWP_FUT!L:L)</f>
        <v>0</v>
      </c>
      <c r="M127" s="800">
        <f>SUMIF(O_CWP_NOW!$A:$A,$A127,O_CWP_NOW!M:M)+SUMIF(O_CWP_FUT!$A:$A,$A127,O_CWP_FUT!M:M)</f>
        <v>0</v>
      </c>
      <c r="N127" s="800">
        <f>SUMIF(O_CWP_NOW!$A:$A,$A127,O_CWP_NOW!N:N)+SUMIF(O_CWP_FUT!$A:$A,$A127,O_CWP_FUT!N:N)</f>
        <v>0</v>
      </c>
      <c r="O127" s="800">
        <f t="shared" si="8"/>
        <v>0</v>
      </c>
      <c r="P127" s="40"/>
      <c r="R127" s="29"/>
      <c r="S127" s="29"/>
    </row>
    <row r="128" spans="1:19" ht="13" hidden="1">
      <c r="A128" s="22" t="s">
        <v>5439</v>
      </c>
      <c r="B128" s="31" t="s">
        <v>963</v>
      </c>
      <c r="C128" s="58" t="s">
        <v>7013</v>
      </c>
      <c r="D128" s="800">
        <f>SUMIF(O_CWP_NOW!$A:$A,$A128,O_CWP_NOW!D:D)+SUMIF(O_CWP_FUT!$A:$A,$A128,O_CWP_FUT!D:D)</f>
        <v>0</v>
      </c>
      <c r="E128" s="800">
        <f>SUMIF(O_CWP_NOW!$A:$A,$A128,O_CWP_NOW!E:E)+SUMIF(O_CWP_FUT!$A:$A,$A128,O_CWP_FUT!E:E)</f>
        <v>0</v>
      </c>
      <c r="F128" s="800">
        <f>SUMIF(O_CWP_NOW!$A:$A,$A128,O_CWP_NOW!F:F)+SUMIF(O_CWP_FUT!$A:$A,$A128,O_CWP_FUT!F:F)</f>
        <v>0</v>
      </c>
      <c r="G128" s="800">
        <f>SUMIF(O_CWP_NOW!$A:$A,$A128,O_CWP_NOW!G:G)+SUMIF(O_CWP_FUT!$A:$A,$A128,O_CWP_FUT!G:G)</f>
        <v>0</v>
      </c>
      <c r="H128" s="800">
        <f>SUMIF(O_CWP_NOW!$A:$A,$A128,O_CWP_NOW!H:H)+SUMIF(O_CWP_FUT!$A:$A,$A128,O_CWP_FUT!H:H)</f>
        <v>0</v>
      </c>
      <c r="I128" s="800">
        <f>SUMIF(O_CWP_NOW!$A:$A,$A128,O_CWP_NOW!I:I)+SUMIF(O_CWP_FUT!$A:$A,$A128,O_CWP_FUT!I:I)</f>
        <v>0</v>
      </c>
      <c r="J128" s="800">
        <f>SUMIF(O_CWP_NOW!$A:$A,$A128,O_CWP_NOW!J:J)+SUMIF(O_CWP_FUT!$A:$A,$A128,O_CWP_FUT!J:J)</f>
        <v>0</v>
      </c>
      <c r="K128" s="800">
        <f>SUMIF(O_CWP_NOW!$A:$A,$A128,O_CWP_NOW!K:K)+SUMIF(O_CWP_FUT!$A:$A,$A128,O_CWP_FUT!K:K)</f>
        <v>0</v>
      </c>
      <c r="L128" s="800">
        <f>SUMIF(O_CWP_NOW!$A:$A,$A128,O_CWP_NOW!L:L)+SUMIF(O_CWP_FUT!$A:$A,$A128,O_CWP_FUT!L:L)</f>
        <v>0</v>
      </c>
      <c r="M128" s="800">
        <f>SUMIF(O_CWP_NOW!$A:$A,$A128,O_CWP_NOW!M:M)+SUMIF(O_CWP_FUT!$A:$A,$A128,O_CWP_FUT!M:M)</f>
        <v>0</v>
      </c>
      <c r="N128" s="800">
        <f>SUMIF(O_CWP_NOW!$A:$A,$A128,O_CWP_NOW!N:N)+SUMIF(O_CWP_FUT!$A:$A,$A128,O_CWP_FUT!N:N)</f>
        <v>0</v>
      </c>
      <c r="O128" s="800">
        <f t="shared" si="8"/>
        <v>0</v>
      </c>
      <c r="P128" s="40"/>
      <c r="R128" s="29"/>
      <c r="S128" s="29"/>
    </row>
    <row r="129" spans="1:35" ht="13" hidden="1">
      <c r="A129" s="22" t="s">
        <v>5440</v>
      </c>
      <c r="B129" s="31" t="s">
        <v>963</v>
      </c>
      <c r="C129" s="58" t="s">
        <v>7013</v>
      </c>
      <c r="D129" s="800">
        <f>SUMIF(O_CWP_NOW!$A:$A,$A129,O_CWP_NOW!D:D)+SUMIF(O_CWP_FUT!$A:$A,$A129,O_CWP_FUT!D:D)</f>
        <v>0</v>
      </c>
      <c r="E129" s="800">
        <f>SUMIF(O_CWP_NOW!$A:$A,$A129,O_CWP_NOW!E:E)+SUMIF(O_CWP_FUT!$A:$A,$A129,O_CWP_FUT!E:E)</f>
        <v>0</v>
      </c>
      <c r="F129" s="800">
        <f>SUMIF(O_CWP_NOW!$A:$A,$A129,O_CWP_NOW!F:F)+SUMIF(O_CWP_FUT!$A:$A,$A129,O_CWP_FUT!F:F)</f>
        <v>0</v>
      </c>
      <c r="G129" s="800">
        <f>SUMIF(O_CWP_NOW!$A:$A,$A129,O_CWP_NOW!G:G)+SUMIF(O_CWP_FUT!$A:$A,$A129,O_CWP_FUT!G:G)</f>
        <v>0</v>
      </c>
      <c r="H129" s="800">
        <f>SUMIF(O_CWP_NOW!$A:$A,$A129,O_CWP_NOW!H:H)+SUMIF(O_CWP_FUT!$A:$A,$A129,O_CWP_FUT!H:H)</f>
        <v>0</v>
      </c>
      <c r="I129" s="800">
        <f>SUMIF(O_CWP_NOW!$A:$A,$A129,O_CWP_NOW!I:I)+SUMIF(O_CWP_FUT!$A:$A,$A129,O_CWP_FUT!I:I)</f>
        <v>0</v>
      </c>
      <c r="J129" s="800">
        <f>SUMIF(O_CWP_NOW!$A:$A,$A129,O_CWP_NOW!J:J)+SUMIF(O_CWP_FUT!$A:$A,$A129,O_CWP_FUT!J:J)</f>
        <v>0</v>
      </c>
      <c r="K129" s="800">
        <f>SUMIF(O_CWP_NOW!$A:$A,$A129,O_CWP_NOW!K:K)+SUMIF(O_CWP_FUT!$A:$A,$A129,O_CWP_FUT!K:K)</f>
        <v>0</v>
      </c>
      <c r="L129" s="800">
        <f>SUMIF(O_CWP_NOW!$A:$A,$A129,O_CWP_NOW!L:L)+SUMIF(O_CWP_FUT!$A:$A,$A129,O_CWP_FUT!L:L)</f>
        <v>0</v>
      </c>
      <c r="M129" s="800">
        <f>SUMIF(O_CWP_NOW!$A:$A,$A129,O_CWP_NOW!M:M)+SUMIF(O_CWP_FUT!$A:$A,$A129,O_CWP_FUT!M:M)</f>
        <v>0</v>
      </c>
      <c r="N129" s="800">
        <f>SUMIF(O_CWP_NOW!$A:$A,$A129,O_CWP_NOW!N:N)+SUMIF(O_CWP_FUT!$A:$A,$A129,O_CWP_FUT!N:N)</f>
        <v>0</v>
      </c>
      <c r="O129" s="800">
        <f t="shared" si="8"/>
        <v>0</v>
      </c>
      <c r="P129" s="40"/>
      <c r="R129" s="29"/>
      <c r="S129" s="29"/>
    </row>
    <row r="130" spans="1:35" ht="13" hidden="1">
      <c r="A130" s="22" t="s">
        <v>5441</v>
      </c>
      <c r="B130" s="31" t="s">
        <v>963</v>
      </c>
      <c r="C130" s="58" t="s">
        <v>7013</v>
      </c>
      <c r="D130" s="800">
        <f>SUMIF(O_CWP_NOW!$A:$A,$A130,O_CWP_NOW!D:D)+SUMIF(O_CWP_FUT!$A:$A,$A130,O_CWP_FUT!D:D)</f>
        <v>0</v>
      </c>
      <c r="E130" s="800">
        <f>SUMIF(O_CWP_NOW!$A:$A,$A130,O_CWP_NOW!E:E)+SUMIF(O_CWP_FUT!$A:$A,$A130,O_CWP_FUT!E:E)</f>
        <v>0</v>
      </c>
      <c r="F130" s="800">
        <f>SUMIF(O_CWP_NOW!$A:$A,$A130,O_CWP_NOW!F:F)+SUMIF(O_CWP_FUT!$A:$A,$A130,O_CWP_FUT!F:F)</f>
        <v>0</v>
      </c>
      <c r="G130" s="800">
        <f>SUMIF(O_CWP_NOW!$A:$A,$A130,O_CWP_NOW!G:G)+SUMIF(O_CWP_FUT!$A:$A,$A130,O_CWP_FUT!G:G)</f>
        <v>0</v>
      </c>
      <c r="H130" s="800">
        <f>SUMIF(O_CWP_NOW!$A:$A,$A130,O_CWP_NOW!H:H)+SUMIF(O_CWP_FUT!$A:$A,$A130,O_CWP_FUT!H:H)</f>
        <v>0</v>
      </c>
      <c r="I130" s="800">
        <f>SUMIF(O_CWP_NOW!$A:$A,$A130,O_CWP_NOW!I:I)+SUMIF(O_CWP_FUT!$A:$A,$A130,O_CWP_FUT!I:I)</f>
        <v>0</v>
      </c>
      <c r="J130" s="800">
        <f>SUMIF(O_CWP_NOW!$A:$A,$A130,O_CWP_NOW!J:J)+SUMIF(O_CWP_FUT!$A:$A,$A130,O_CWP_FUT!J:J)</f>
        <v>0</v>
      </c>
      <c r="K130" s="800">
        <f>SUMIF(O_CWP_NOW!$A:$A,$A130,O_CWP_NOW!K:K)+SUMIF(O_CWP_FUT!$A:$A,$A130,O_CWP_FUT!K:K)</f>
        <v>0</v>
      </c>
      <c r="L130" s="800">
        <f>SUMIF(O_CWP_NOW!$A:$A,$A130,O_CWP_NOW!L:L)+SUMIF(O_CWP_FUT!$A:$A,$A130,O_CWP_FUT!L:L)</f>
        <v>0</v>
      </c>
      <c r="M130" s="800">
        <f>SUMIF(O_CWP_NOW!$A:$A,$A130,O_CWP_NOW!M:M)+SUMIF(O_CWP_FUT!$A:$A,$A130,O_CWP_FUT!M:M)</f>
        <v>0</v>
      </c>
      <c r="N130" s="800">
        <f>SUMIF(O_CWP_NOW!$A:$A,$A130,O_CWP_NOW!N:N)+SUMIF(O_CWP_FUT!$A:$A,$A130,O_CWP_FUT!N:N)</f>
        <v>0</v>
      </c>
      <c r="O130" s="800">
        <f t="shared" si="8"/>
        <v>0</v>
      </c>
      <c r="P130" s="40"/>
      <c r="R130" s="29"/>
      <c r="S130" s="29"/>
    </row>
    <row r="131" spans="1:35" ht="13" hidden="1">
      <c r="A131" s="22" t="s">
        <v>5442</v>
      </c>
      <c r="B131" s="31" t="s">
        <v>963</v>
      </c>
      <c r="C131" s="58" t="s">
        <v>7013</v>
      </c>
      <c r="D131" s="800">
        <f>SUMIF(O_CWP_NOW!$A:$A,$A131,O_CWP_NOW!D:D)+SUMIF(O_CWP_FUT!$A:$A,$A131,O_CWP_FUT!D:D)</f>
        <v>0</v>
      </c>
      <c r="E131" s="800">
        <f>SUMIF(O_CWP_NOW!$A:$A,$A131,O_CWP_NOW!E:E)+SUMIF(O_CWP_FUT!$A:$A,$A131,O_CWP_FUT!E:E)</f>
        <v>0</v>
      </c>
      <c r="F131" s="800">
        <f>SUMIF(O_CWP_NOW!$A:$A,$A131,O_CWP_NOW!F:F)+SUMIF(O_CWP_FUT!$A:$A,$A131,O_CWP_FUT!F:F)</f>
        <v>0</v>
      </c>
      <c r="G131" s="800">
        <f>SUMIF(O_CWP_NOW!$A:$A,$A131,O_CWP_NOW!G:G)+SUMIF(O_CWP_FUT!$A:$A,$A131,O_CWP_FUT!G:G)</f>
        <v>0</v>
      </c>
      <c r="H131" s="800">
        <f>SUMIF(O_CWP_NOW!$A:$A,$A131,O_CWP_NOW!H:H)+SUMIF(O_CWP_FUT!$A:$A,$A131,O_CWP_FUT!H:H)</f>
        <v>0</v>
      </c>
      <c r="I131" s="800">
        <f>SUMIF(O_CWP_NOW!$A:$A,$A131,O_CWP_NOW!I:I)+SUMIF(O_CWP_FUT!$A:$A,$A131,O_CWP_FUT!I:I)</f>
        <v>0</v>
      </c>
      <c r="J131" s="800">
        <f>SUMIF(O_CWP_NOW!$A:$A,$A131,O_CWP_NOW!J:J)+SUMIF(O_CWP_FUT!$A:$A,$A131,O_CWP_FUT!J:J)</f>
        <v>0</v>
      </c>
      <c r="K131" s="800">
        <f>SUMIF(O_CWP_NOW!$A:$A,$A131,O_CWP_NOW!K:K)+SUMIF(O_CWP_FUT!$A:$A,$A131,O_CWP_FUT!K:K)</f>
        <v>0</v>
      </c>
      <c r="L131" s="800">
        <f>SUMIF(O_CWP_NOW!$A:$A,$A131,O_CWP_NOW!L:L)+SUMIF(O_CWP_FUT!$A:$A,$A131,O_CWP_FUT!L:L)</f>
        <v>0</v>
      </c>
      <c r="M131" s="800">
        <f>SUMIF(O_CWP_NOW!$A:$A,$A131,O_CWP_NOW!M:M)+SUMIF(O_CWP_FUT!$A:$A,$A131,O_CWP_FUT!M:M)</f>
        <v>0</v>
      </c>
      <c r="N131" s="800">
        <f>SUMIF(O_CWP_NOW!$A:$A,$A131,O_CWP_NOW!N:N)+SUMIF(O_CWP_FUT!$A:$A,$A131,O_CWP_FUT!N:N)</f>
        <v>0</v>
      </c>
      <c r="O131" s="800">
        <f t="shared" si="8"/>
        <v>0</v>
      </c>
      <c r="P131" s="40"/>
      <c r="R131" s="29"/>
      <c r="S131" s="29"/>
    </row>
    <row r="132" spans="1:35" ht="13" hidden="1">
      <c r="A132" s="22" t="s">
        <v>2778</v>
      </c>
      <c r="B132" s="31" t="s">
        <v>896</v>
      </c>
      <c r="C132" s="31" t="str">
        <f>VLOOKUP($A132,FA_Codes!$D$2:$G$249,4,FALSE)</f>
        <v>Auckland wide</v>
      </c>
      <c r="D132" s="800">
        <f>SUMIF(O_CWP_NOW!$A:$A,$A132,O_CWP_NOW!D:D)+SUMIF(O_CWP_FUT!$A:$A,$A132,O_CWP_FUT!D:D)</f>
        <v>0</v>
      </c>
      <c r="E132" s="800">
        <f>SUMIF(O_CWP_NOW!$A:$A,$A132,O_CWP_NOW!E:E)+SUMIF(O_CWP_FUT!$A:$A,$A132,O_CWP_FUT!E:E)</f>
        <v>0</v>
      </c>
      <c r="F132" s="800">
        <f>SUMIF(O_CWP_NOW!$A:$A,$A132,O_CWP_NOW!F:F)+SUMIF(O_CWP_FUT!$A:$A,$A132,O_CWP_FUT!F:F)</f>
        <v>0</v>
      </c>
      <c r="G132" s="800">
        <f>SUMIF(O_CWP_NOW!$A:$A,$A132,O_CWP_NOW!G:G)+SUMIF(O_CWP_FUT!$A:$A,$A132,O_CWP_FUT!G:G)</f>
        <v>0</v>
      </c>
      <c r="H132" s="800">
        <f>SUMIF(O_CWP_NOW!$A:$A,$A132,O_CWP_NOW!H:H)+SUMIF(O_CWP_FUT!$A:$A,$A132,O_CWP_FUT!H:H)</f>
        <v>0</v>
      </c>
      <c r="I132" s="800">
        <f>SUMIF(O_CWP_NOW!$A:$A,$A132,O_CWP_NOW!I:I)+SUMIF(O_CWP_FUT!$A:$A,$A132,O_CWP_FUT!I:I)</f>
        <v>0</v>
      </c>
      <c r="J132" s="800">
        <f>SUMIF(O_CWP_NOW!$A:$A,$A132,O_CWP_NOW!J:J)+SUMIF(O_CWP_FUT!$A:$A,$A132,O_CWP_FUT!J:J)</f>
        <v>0</v>
      </c>
      <c r="K132" s="800">
        <f>SUMIF(O_CWP_NOW!$A:$A,$A132,O_CWP_NOW!K:K)+SUMIF(O_CWP_FUT!$A:$A,$A132,O_CWP_FUT!K:K)</f>
        <v>0</v>
      </c>
      <c r="L132" s="800">
        <f>SUMIF(O_CWP_NOW!$A:$A,$A132,O_CWP_NOW!L:L)+SUMIF(O_CWP_FUT!$A:$A,$A132,O_CWP_FUT!L:L)</f>
        <v>5960.1032023519274</v>
      </c>
      <c r="M132" s="800">
        <f>SUMIF(O_CWP_NOW!$A:$A,$A132,O_CWP_NOW!M:M)+SUMIF(O_CWP_FUT!$A:$A,$A132,O_CWP_FUT!M:M)</f>
        <v>71790.226637157932</v>
      </c>
      <c r="N132" s="800">
        <f>SUMIF(O_CWP_NOW!$A:$A,$A132,O_CWP_NOW!N:N)+SUMIF(O_CWP_FUT!$A:$A,$A132,O_CWP_FUT!N:N)</f>
        <v>308208.0221507384</v>
      </c>
      <c r="O132" s="800">
        <f t="shared" ref="O132:O137" si="9">SUM(D132:N132)</f>
        <v>385958.35199024825</v>
      </c>
      <c r="P132" s="40"/>
      <c r="R132" s="29"/>
      <c r="S132" s="29"/>
      <c r="W132" s="29"/>
      <c r="X132" s="29"/>
      <c r="Y132" s="29"/>
      <c r="Z132" s="29"/>
      <c r="AA132" s="29"/>
      <c r="AB132" s="29"/>
      <c r="AC132" s="29"/>
      <c r="AD132" s="29"/>
      <c r="AE132" s="29"/>
      <c r="AF132" s="29"/>
      <c r="AG132" s="29"/>
      <c r="AH132" s="29"/>
      <c r="AI132" s="29"/>
    </row>
    <row r="133" spans="1:35" ht="13" hidden="1">
      <c r="A133" s="22" t="s">
        <v>2779</v>
      </c>
      <c r="B133" s="31" t="s">
        <v>896</v>
      </c>
      <c r="C133" s="31" t="str">
        <f>VLOOKUP($A133,FA_Codes!$D$2:$G$249,4,FALSE)</f>
        <v>North</v>
      </c>
      <c r="D133" s="800">
        <f>SUMIF(O_CWP_NOW!$A:$A,$A133,O_CWP_NOW!D:D)+SUMIF(O_CWP_FUT!$A:$A,$A133,O_CWP_FUT!D:D)</f>
        <v>0</v>
      </c>
      <c r="E133" s="800">
        <f>SUMIF(O_CWP_NOW!$A:$A,$A133,O_CWP_NOW!E:E)+SUMIF(O_CWP_FUT!$A:$A,$A133,O_CWP_FUT!E:E)</f>
        <v>0</v>
      </c>
      <c r="F133" s="800">
        <f>SUMIF(O_CWP_NOW!$A:$A,$A133,O_CWP_NOW!F:F)+SUMIF(O_CWP_FUT!$A:$A,$A133,O_CWP_FUT!F:F)</f>
        <v>0</v>
      </c>
      <c r="G133" s="800">
        <f>SUMIF(O_CWP_NOW!$A:$A,$A133,O_CWP_NOW!G:G)+SUMIF(O_CWP_FUT!$A:$A,$A133,O_CWP_FUT!G:G)</f>
        <v>0</v>
      </c>
      <c r="H133" s="800">
        <f>SUMIF(O_CWP_NOW!$A:$A,$A133,O_CWP_NOW!H:H)+SUMIF(O_CWP_FUT!$A:$A,$A133,O_CWP_FUT!H:H)</f>
        <v>0</v>
      </c>
      <c r="I133" s="800">
        <f>SUMIF(O_CWP_NOW!$A:$A,$A133,O_CWP_NOW!I:I)+SUMIF(O_CWP_FUT!$A:$A,$A133,O_CWP_FUT!I:I)</f>
        <v>0</v>
      </c>
      <c r="J133" s="800">
        <f>SUMIF(O_CWP_NOW!$A:$A,$A133,O_CWP_NOW!J:J)+SUMIF(O_CWP_FUT!$A:$A,$A133,O_CWP_FUT!J:J)</f>
        <v>0</v>
      </c>
      <c r="K133" s="800">
        <f>SUMIF(O_CWP_NOW!$A:$A,$A133,O_CWP_NOW!K:K)+SUMIF(O_CWP_FUT!$A:$A,$A133,O_CWP_FUT!K:K)</f>
        <v>0</v>
      </c>
      <c r="L133" s="800">
        <f>SUMIF(O_CWP_NOW!$A:$A,$A133,O_CWP_NOW!L:L)+SUMIF(O_CWP_FUT!$A:$A,$A133,O_CWP_FUT!L:L)</f>
        <v>0</v>
      </c>
      <c r="M133" s="800">
        <f>SUMIF(O_CWP_NOW!$A:$A,$A133,O_CWP_NOW!M:M)+SUMIF(O_CWP_FUT!$A:$A,$A133,O_CWP_FUT!M:M)</f>
        <v>0</v>
      </c>
      <c r="N133" s="800">
        <f>SUMIF(O_CWP_NOW!$A:$A,$A133,O_CWP_NOW!N:N)+SUMIF(O_CWP_FUT!$A:$A,$A133,O_CWP_FUT!N:N)</f>
        <v>0</v>
      </c>
      <c r="O133" s="800">
        <f t="shared" si="9"/>
        <v>0</v>
      </c>
      <c r="P133" s="40"/>
      <c r="R133" s="29"/>
      <c r="S133" s="29"/>
      <c r="W133" s="29"/>
      <c r="X133" s="29"/>
      <c r="Y133" s="29"/>
      <c r="Z133" s="29"/>
      <c r="AA133" s="29"/>
      <c r="AB133" s="29"/>
      <c r="AC133" s="29"/>
      <c r="AD133" s="29"/>
      <c r="AE133" s="29"/>
      <c r="AF133" s="29"/>
      <c r="AG133" s="29"/>
      <c r="AH133" s="29"/>
    </row>
    <row r="134" spans="1:35" ht="13" hidden="1">
      <c r="A134" s="22" t="s">
        <v>2780</v>
      </c>
      <c r="B134" s="31" t="s">
        <v>896</v>
      </c>
      <c r="C134" s="31" t="str">
        <f>VLOOKUP($A134,FA_Codes!$D$2:$G$249,4,FALSE)</f>
        <v>Central</v>
      </c>
      <c r="D134" s="800">
        <f>SUMIF(O_CWP_NOW!$A:$A,$A134,O_CWP_NOW!D:D)+SUMIF(O_CWP_FUT!$A:$A,$A134,O_CWP_FUT!D:D)</f>
        <v>0</v>
      </c>
      <c r="E134" s="800">
        <f>SUMIF(O_CWP_NOW!$A:$A,$A134,O_CWP_NOW!E:E)+SUMIF(O_CWP_FUT!$A:$A,$A134,O_CWP_FUT!E:E)</f>
        <v>0</v>
      </c>
      <c r="F134" s="800">
        <f>SUMIF(O_CWP_NOW!$A:$A,$A134,O_CWP_NOW!F:F)+SUMIF(O_CWP_FUT!$A:$A,$A134,O_CWP_FUT!F:F)</f>
        <v>0</v>
      </c>
      <c r="G134" s="800">
        <f>SUMIF(O_CWP_NOW!$A:$A,$A134,O_CWP_NOW!G:G)+SUMIF(O_CWP_FUT!$A:$A,$A134,O_CWP_FUT!G:G)</f>
        <v>0</v>
      </c>
      <c r="H134" s="800">
        <f>SUMIF(O_CWP_NOW!$A:$A,$A134,O_CWP_NOW!H:H)+SUMIF(O_CWP_FUT!$A:$A,$A134,O_CWP_FUT!H:H)</f>
        <v>0</v>
      </c>
      <c r="I134" s="800">
        <f>SUMIF(O_CWP_NOW!$A:$A,$A134,O_CWP_NOW!I:I)+SUMIF(O_CWP_FUT!$A:$A,$A134,O_CWP_FUT!I:I)</f>
        <v>0</v>
      </c>
      <c r="J134" s="800">
        <f>SUMIF(O_CWP_NOW!$A:$A,$A134,O_CWP_NOW!J:J)+SUMIF(O_CWP_FUT!$A:$A,$A134,O_CWP_FUT!J:J)</f>
        <v>0</v>
      </c>
      <c r="K134" s="800">
        <f>SUMIF(O_CWP_NOW!$A:$A,$A134,O_CWP_NOW!K:K)+SUMIF(O_CWP_FUT!$A:$A,$A134,O_CWP_FUT!K:K)</f>
        <v>0</v>
      </c>
      <c r="L134" s="800">
        <f>SUMIF(O_CWP_NOW!$A:$A,$A134,O_CWP_NOW!L:L)+SUMIF(O_CWP_FUT!$A:$A,$A134,O_CWP_FUT!L:L)</f>
        <v>0</v>
      </c>
      <c r="M134" s="800">
        <f>SUMIF(O_CWP_NOW!$A:$A,$A134,O_CWP_NOW!M:M)+SUMIF(O_CWP_FUT!$A:$A,$A134,O_CWP_FUT!M:M)</f>
        <v>0</v>
      </c>
      <c r="N134" s="800">
        <f>SUMIF(O_CWP_NOW!$A:$A,$A134,O_CWP_NOW!N:N)+SUMIF(O_CWP_FUT!$A:$A,$A134,O_CWP_FUT!N:N)</f>
        <v>0</v>
      </c>
      <c r="O134" s="800">
        <f t="shared" si="9"/>
        <v>0</v>
      </c>
      <c r="P134" s="40"/>
      <c r="R134" s="29"/>
      <c r="S134" s="29"/>
      <c r="W134" s="29"/>
      <c r="X134" s="29"/>
      <c r="Y134" s="29"/>
      <c r="Z134" s="29"/>
      <c r="AA134" s="29"/>
      <c r="AB134" s="29"/>
      <c r="AC134" s="29"/>
      <c r="AD134" s="29"/>
      <c r="AE134" s="29"/>
      <c r="AF134" s="29"/>
      <c r="AG134" s="29"/>
      <c r="AH134" s="29"/>
    </row>
    <row r="135" spans="1:35" ht="13" hidden="1">
      <c r="A135" s="22" t="s">
        <v>2781</v>
      </c>
      <c r="B135" s="31" t="s">
        <v>896</v>
      </c>
      <c r="C135" s="31" t="str">
        <f>VLOOKUP($A135,FA_Codes!$D$2:$G$249,4,FALSE)</f>
        <v>West</v>
      </c>
      <c r="D135" s="800">
        <f>SUMIF(O_CWP_NOW!$A:$A,$A135,O_CWP_NOW!D:D)+SUMIF(O_CWP_FUT!$A:$A,$A135,O_CWP_FUT!D:D)</f>
        <v>0</v>
      </c>
      <c r="E135" s="800">
        <f>SUMIF(O_CWP_NOW!$A:$A,$A135,O_CWP_NOW!E:E)+SUMIF(O_CWP_FUT!$A:$A,$A135,O_CWP_FUT!E:E)</f>
        <v>0</v>
      </c>
      <c r="F135" s="800">
        <f>SUMIF(O_CWP_NOW!$A:$A,$A135,O_CWP_NOW!F:F)+SUMIF(O_CWP_FUT!$A:$A,$A135,O_CWP_FUT!F:F)</f>
        <v>0</v>
      </c>
      <c r="G135" s="800">
        <f>SUMIF(O_CWP_NOW!$A:$A,$A135,O_CWP_NOW!G:G)+SUMIF(O_CWP_FUT!$A:$A,$A135,O_CWP_FUT!G:G)</f>
        <v>0</v>
      </c>
      <c r="H135" s="800">
        <f>SUMIF(O_CWP_NOW!$A:$A,$A135,O_CWP_NOW!H:H)+SUMIF(O_CWP_FUT!$A:$A,$A135,O_CWP_FUT!H:H)</f>
        <v>0</v>
      </c>
      <c r="I135" s="800">
        <f>SUMIF(O_CWP_NOW!$A:$A,$A135,O_CWP_NOW!I:I)+SUMIF(O_CWP_FUT!$A:$A,$A135,O_CWP_FUT!I:I)</f>
        <v>0</v>
      </c>
      <c r="J135" s="800">
        <f>SUMIF(O_CWP_NOW!$A:$A,$A135,O_CWP_NOW!J:J)+SUMIF(O_CWP_FUT!$A:$A,$A135,O_CWP_FUT!J:J)</f>
        <v>0</v>
      </c>
      <c r="K135" s="800">
        <f>SUMIF(O_CWP_NOW!$A:$A,$A135,O_CWP_NOW!K:K)+SUMIF(O_CWP_FUT!$A:$A,$A135,O_CWP_FUT!K:K)</f>
        <v>0</v>
      </c>
      <c r="L135" s="800">
        <f>SUMIF(O_CWP_NOW!$A:$A,$A135,O_CWP_NOW!L:L)+SUMIF(O_CWP_FUT!$A:$A,$A135,O_CWP_FUT!L:L)</f>
        <v>0</v>
      </c>
      <c r="M135" s="800">
        <f>SUMIF(O_CWP_NOW!$A:$A,$A135,O_CWP_NOW!M:M)+SUMIF(O_CWP_FUT!$A:$A,$A135,O_CWP_FUT!M:M)</f>
        <v>0</v>
      </c>
      <c r="N135" s="800">
        <f>SUMIF(O_CWP_NOW!$A:$A,$A135,O_CWP_NOW!N:N)+SUMIF(O_CWP_FUT!$A:$A,$A135,O_CWP_FUT!N:N)</f>
        <v>0</v>
      </c>
      <c r="O135" s="800">
        <f t="shared" si="9"/>
        <v>0</v>
      </c>
      <c r="P135" s="40"/>
      <c r="R135" s="29"/>
      <c r="S135" s="29"/>
      <c r="W135" s="29"/>
      <c r="X135" s="29"/>
      <c r="Y135" s="29"/>
      <c r="Z135" s="29"/>
      <c r="AA135" s="29"/>
      <c r="AB135" s="29"/>
      <c r="AC135" s="29"/>
      <c r="AD135" s="29"/>
      <c r="AE135" s="29"/>
      <c r="AF135" s="29"/>
      <c r="AG135" s="29"/>
      <c r="AH135" s="29"/>
    </row>
    <row r="136" spans="1:35" ht="13" hidden="1">
      <c r="A136" s="22" t="s">
        <v>2782</v>
      </c>
      <c r="B136" s="31" t="s">
        <v>896</v>
      </c>
      <c r="C136" s="31" t="str">
        <f>VLOOKUP($A136,FA_Codes!$D$2:$G$249,4,FALSE)</f>
        <v>South</v>
      </c>
      <c r="D136" s="800">
        <f>SUMIF(O_CWP_NOW!$A:$A,$A136,O_CWP_NOW!D:D)+SUMIF(O_CWP_FUT!$A:$A,$A136,O_CWP_FUT!D:D)</f>
        <v>0</v>
      </c>
      <c r="E136" s="800">
        <f>SUMIF(O_CWP_NOW!$A:$A,$A136,O_CWP_NOW!E:E)+SUMIF(O_CWP_FUT!$A:$A,$A136,O_CWP_FUT!E:E)</f>
        <v>0</v>
      </c>
      <c r="F136" s="800">
        <f>SUMIF(O_CWP_NOW!$A:$A,$A136,O_CWP_NOW!F:F)+SUMIF(O_CWP_FUT!$A:$A,$A136,O_CWP_FUT!F:F)</f>
        <v>0</v>
      </c>
      <c r="G136" s="800">
        <f>SUMIF(O_CWP_NOW!$A:$A,$A136,O_CWP_NOW!G:G)+SUMIF(O_CWP_FUT!$A:$A,$A136,O_CWP_FUT!G:G)</f>
        <v>0</v>
      </c>
      <c r="H136" s="800">
        <f>SUMIF(O_CWP_NOW!$A:$A,$A136,O_CWP_NOW!H:H)+SUMIF(O_CWP_FUT!$A:$A,$A136,O_CWP_FUT!H:H)</f>
        <v>0</v>
      </c>
      <c r="I136" s="800">
        <f>SUMIF(O_CWP_NOW!$A:$A,$A136,O_CWP_NOW!I:I)+SUMIF(O_CWP_FUT!$A:$A,$A136,O_CWP_FUT!I:I)</f>
        <v>0</v>
      </c>
      <c r="J136" s="800">
        <f>SUMIF(O_CWP_NOW!$A:$A,$A136,O_CWP_NOW!J:J)+SUMIF(O_CWP_FUT!$A:$A,$A136,O_CWP_FUT!J:J)</f>
        <v>0</v>
      </c>
      <c r="K136" s="800">
        <f>SUMIF(O_CWP_NOW!$A:$A,$A136,O_CWP_NOW!K:K)+SUMIF(O_CWP_FUT!$A:$A,$A136,O_CWP_FUT!K:K)</f>
        <v>0</v>
      </c>
      <c r="L136" s="800">
        <f>SUMIF(O_CWP_NOW!$A:$A,$A136,O_CWP_NOW!L:L)+SUMIF(O_CWP_FUT!$A:$A,$A136,O_CWP_FUT!L:L)</f>
        <v>0</v>
      </c>
      <c r="M136" s="800">
        <f>SUMIF(O_CWP_NOW!$A:$A,$A136,O_CWP_NOW!M:M)+SUMIF(O_CWP_FUT!$A:$A,$A136,O_CWP_FUT!M:M)</f>
        <v>0</v>
      </c>
      <c r="N136" s="800">
        <f>SUMIF(O_CWP_NOW!$A:$A,$A136,O_CWP_NOW!N:N)+SUMIF(O_CWP_FUT!$A:$A,$A136,O_CWP_FUT!N:N)</f>
        <v>0</v>
      </c>
      <c r="O136" s="800">
        <f t="shared" si="9"/>
        <v>0</v>
      </c>
      <c r="P136" s="40"/>
      <c r="R136" s="29"/>
      <c r="S136" s="29"/>
      <c r="W136" s="29"/>
      <c r="X136" s="29"/>
      <c r="Y136" s="29"/>
      <c r="Z136" s="29"/>
      <c r="AA136" s="29"/>
      <c r="AB136" s="29"/>
      <c r="AC136" s="29"/>
      <c r="AD136" s="29"/>
      <c r="AE136" s="29"/>
      <c r="AF136" s="29"/>
      <c r="AG136" s="29"/>
      <c r="AH136" s="29"/>
    </row>
    <row r="137" spans="1:35" ht="13" hidden="1">
      <c r="A137" s="22" t="s">
        <v>2784</v>
      </c>
      <c r="B137" s="31" t="s">
        <v>896</v>
      </c>
      <c r="C137" s="31" t="str">
        <f>VLOOKUP($A137,FA_Codes!$D$2:$G$249,4,FALSE)</f>
        <v>Hauraki Gulf Islands</v>
      </c>
      <c r="D137" s="800">
        <f>SUMIF(O_CWP_NOW!$A:$A,$A137,O_CWP_NOW!D:D)+SUMIF(O_CWP_FUT!$A:$A,$A137,O_CWP_FUT!D:D)</f>
        <v>0</v>
      </c>
      <c r="E137" s="800">
        <f>SUMIF(O_CWP_NOW!$A:$A,$A137,O_CWP_NOW!E:E)+SUMIF(O_CWP_FUT!$A:$A,$A137,O_CWP_FUT!E:E)</f>
        <v>0</v>
      </c>
      <c r="F137" s="800">
        <f>SUMIF(O_CWP_NOW!$A:$A,$A137,O_CWP_NOW!F:F)+SUMIF(O_CWP_FUT!$A:$A,$A137,O_CWP_FUT!F:F)</f>
        <v>0</v>
      </c>
      <c r="G137" s="800">
        <f>SUMIF(O_CWP_NOW!$A:$A,$A137,O_CWP_NOW!G:G)+SUMIF(O_CWP_FUT!$A:$A,$A137,O_CWP_FUT!G:G)</f>
        <v>0</v>
      </c>
      <c r="H137" s="800">
        <f>SUMIF(O_CWP_NOW!$A:$A,$A137,O_CWP_NOW!H:H)+SUMIF(O_CWP_FUT!$A:$A,$A137,O_CWP_FUT!H:H)</f>
        <v>0</v>
      </c>
      <c r="I137" s="800">
        <f>SUMIF(O_CWP_NOW!$A:$A,$A137,O_CWP_NOW!I:I)+SUMIF(O_CWP_FUT!$A:$A,$A137,O_CWP_FUT!I:I)</f>
        <v>0</v>
      </c>
      <c r="J137" s="800">
        <f>SUMIF(O_CWP_NOW!$A:$A,$A137,O_CWP_NOW!J:J)+SUMIF(O_CWP_FUT!$A:$A,$A137,O_CWP_FUT!J:J)</f>
        <v>0</v>
      </c>
      <c r="K137" s="800">
        <f>SUMIF(O_CWP_NOW!$A:$A,$A137,O_CWP_NOW!K:K)+SUMIF(O_CWP_FUT!$A:$A,$A137,O_CWP_FUT!K:K)</f>
        <v>0</v>
      </c>
      <c r="L137" s="800">
        <f>SUMIF(O_CWP_NOW!$A:$A,$A137,O_CWP_NOW!L:L)+SUMIF(O_CWP_FUT!$A:$A,$A137,O_CWP_FUT!L:L)</f>
        <v>0</v>
      </c>
      <c r="M137" s="800">
        <f>SUMIF(O_CWP_NOW!$A:$A,$A137,O_CWP_NOW!M:M)+SUMIF(O_CWP_FUT!$A:$A,$A137,O_CWP_FUT!M:M)</f>
        <v>0</v>
      </c>
      <c r="N137" s="800">
        <f>SUMIF(O_CWP_NOW!$A:$A,$A137,O_CWP_NOW!N:N)+SUMIF(O_CWP_FUT!$A:$A,$A137,O_CWP_FUT!N:N)</f>
        <v>0</v>
      </c>
      <c r="O137" s="800">
        <f t="shared" si="9"/>
        <v>0</v>
      </c>
      <c r="P137" s="40"/>
      <c r="R137" s="29"/>
      <c r="S137" s="29"/>
      <c r="W137" s="29"/>
      <c r="X137" s="29"/>
      <c r="Y137" s="29"/>
      <c r="Z137" s="29"/>
      <c r="AA137" s="29"/>
      <c r="AB137" s="29"/>
      <c r="AC137" s="29"/>
      <c r="AD137" s="29"/>
      <c r="AE137" s="29"/>
      <c r="AF137" s="29"/>
      <c r="AG137" s="29"/>
      <c r="AH137" s="29"/>
    </row>
    <row r="138" spans="1:35" ht="13" hidden="1">
      <c r="A138" s="22" t="s">
        <v>2785</v>
      </c>
      <c r="B138" s="31" t="s">
        <v>896</v>
      </c>
      <c r="C138" s="31" t="str">
        <f>VLOOKUP($A138,FA_Codes!$D$2:$G$249,4,FALSE)</f>
        <v>Auckland Wide Less Parallel</v>
      </c>
      <c r="D138" s="800">
        <f>SUMIF(O_CWP_NOW!$A:$A,$A138,O_CWP_NOW!D:D)+SUMIF(O_CWP_FUT!$A:$A,$A138,O_CWP_FUT!D:D)</f>
        <v>0</v>
      </c>
      <c r="E138" s="800">
        <f>SUMIF(O_CWP_NOW!$A:$A,$A138,O_CWP_NOW!E:E)+SUMIF(O_CWP_FUT!$A:$A,$A138,O_CWP_FUT!E:E)</f>
        <v>0</v>
      </c>
      <c r="F138" s="800">
        <f>SUMIF(O_CWP_NOW!$A:$A,$A138,O_CWP_NOW!F:F)+SUMIF(O_CWP_FUT!$A:$A,$A138,O_CWP_FUT!F:F)</f>
        <v>0</v>
      </c>
      <c r="G138" s="800">
        <f>SUMIF(O_CWP_NOW!$A:$A,$A138,O_CWP_NOW!G:G)+SUMIF(O_CWP_FUT!$A:$A,$A138,O_CWP_FUT!G:G)</f>
        <v>0</v>
      </c>
      <c r="H138" s="800">
        <f>SUMIF(O_CWP_NOW!$A:$A,$A138,O_CWP_NOW!H:H)+SUMIF(O_CWP_FUT!$A:$A,$A138,O_CWP_FUT!H:H)</f>
        <v>0</v>
      </c>
      <c r="I138" s="800">
        <f>SUMIF(O_CWP_NOW!$A:$A,$A138,O_CWP_NOW!I:I)+SUMIF(O_CWP_FUT!$A:$A,$A138,O_CWP_FUT!I:I)</f>
        <v>0</v>
      </c>
      <c r="J138" s="800">
        <f>SUMIF(O_CWP_NOW!$A:$A,$A138,O_CWP_NOW!J:J)+SUMIF(O_CWP_FUT!$A:$A,$A138,O_CWP_FUT!J:J)</f>
        <v>0</v>
      </c>
      <c r="K138" s="800">
        <f>SUMIF(O_CWP_NOW!$A:$A,$A138,O_CWP_NOW!K:K)+SUMIF(O_CWP_FUT!$A:$A,$A138,O_CWP_FUT!K:K)</f>
        <v>0</v>
      </c>
      <c r="L138" s="800">
        <f>SUMIF(O_CWP_NOW!$A:$A,$A138,O_CWP_NOW!L:L)+SUMIF(O_CWP_FUT!$A:$A,$A138,O_CWP_FUT!L:L)</f>
        <v>0</v>
      </c>
      <c r="M138" s="800">
        <f>SUMIF(O_CWP_NOW!$A:$A,$A138,O_CWP_NOW!M:M)+SUMIF(O_CWP_FUT!$A:$A,$A138,O_CWP_FUT!M:M)</f>
        <v>0</v>
      </c>
      <c r="N138" s="800">
        <f>SUMIF(O_CWP_NOW!$A:$A,$A138,O_CWP_NOW!N:N)+SUMIF(O_CWP_FUT!$A:$A,$A138,O_CWP_FUT!N:N)</f>
        <v>0</v>
      </c>
      <c r="O138" s="800">
        <f t="shared" ref="O138:O160" si="10">SUM(D138:N138)</f>
        <v>0</v>
      </c>
      <c r="P138" s="40"/>
      <c r="R138" s="29"/>
      <c r="S138" s="29"/>
      <c r="W138" s="29"/>
      <c r="X138" s="29"/>
      <c r="Y138" s="29"/>
      <c r="Z138" s="29"/>
      <c r="AA138" s="29"/>
      <c r="AB138" s="29"/>
      <c r="AC138" s="29"/>
      <c r="AD138" s="29"/>
      <c r="AE138" s="29"/>
      <c r="AF138" s="29"/>
      <c r="AG138" s="29"/>
      <c r="AH138" s="29"/>
    </row>
    <row r="139" spans="1:35" ht="13" hidden="1">
      <c r="A139" s="22" t="s">
        <v>2786</v>
      </c>
      <c r="B139" s="31" t="s">
        <v>896</v>
      </c>
      <c r="C139" s="31" t="str">
        <f>VLOOKUP($A139,FA_Codes!$D$2:$G$249,4,FALSE)</f>
        <v>NorthWest</v>
      </c>
      <c r="D139" s="800">
        <f>SUMIF(O_CWP_NOW!$A:$A,$A139,O_CWP_NOW!D:D)+SUMIF(O_CWP_FUT!$A:$A,$A139,O_CWP_FUT!D:D)</f>
        <v>0</v>
      </c>
      <c r="E139" s="800">
        <f>SUMIF(O_CWP_NOW!$A:$A,$A139,O_CWP_NOW!E:E)+SUMIF(O_CWP_FUT!$A:$A,$A139,O_CWP_FUT!E:E)</f>
        <v>0</v>
      </c>
      <c r="F139" s="800">
        <f>SUMIF(O_CWP_NOW!$A:$A,$A139,O_CWP_NOW!F:F)+SUMIF(O_CWP_FUT!$A:$A,$A139,O_CWP_FUT!F:F)</f>
        <v>0</v>
      </c>
      <c r="G139" s="800">
        <f>SUMIF(O_CWP_NOW!$A:$A,$A139,O_CWP_NOW!G:G)+SUMIF(O_CWP_FUT!$A:$A,$A139,O_CWP_FUT!G:G)</f>
        <v>0</v>
      </c>
      <c r="H139" s="800">
        <f>SUMIF(O_CWP_NOW!$A:$A,$A139,O_CWP_NOW!H:H)+SUMIF(O_CWP_FUT!$A:$A,$A139,O_CWP_FUT!H:H)</f>
        <v>0</v>
      </c>
      <c r="I139" s="800">
        <f>SUMIF(O_CWP_NOW!$A:$A,$A139,O_CWP_NOW!I:I)+SUMIF(O_CWP_FUT!$A:$A,$A139,O_CWP_FUT!I:I)</f>
        <v>0</v>
      </c>
      <c r="J139" s="800">
        <f>SUMIF(O_CWP_NOW!$A:$A,$A139,O_CWP_NOW!J:J)+SUMIF(O_CWP_FUT!$A:$A,$A139,O_CWP_FUT!J:J)</f>
        <v>0</v>
      </c>
      <c r="K139" s="800">
        <f>SUMIF(O_CWP_NOW!$A:$A,$A139,O_CWP_NOW!K:K)+SUMIF(O_CWP_FUT!$A:$A,$A139,O_CWP_FUT!K:K)</f>
        <v>0</v>
      </c>
      <c r="L139" s="800">
        <f>SUMIF(O_CWP_NOW!$A:$A,$A139,O_CWP_NOW!L:L)+SUMIF(O_CWP_FUT!$A:$A,$A139,O_CWP_FUT!L:L)</f>
        <v>0</v>
      </c>
      <c r="M139" s="800">
        <f>SUMIF(O_CWP_NOW!$A:$A,$A139,O_CWP_NOW!M:M)+SUMIF(O_CWP_FUT!$A:$A,$A139,O_CWP_FUT!M:M)</f>
        <v>0</v>
      </c>
      <c r="N139" s="800">
        <f>SUMIF(O_CWP_NOW!$A:$A,$A139,O_CWP_NOW!N:N)+SUMIF(O_CWP_FUT!$A:$A,$A139,O_CWP_FUT!N:N)</f>
        <v>0</v>
      </c>
      <c r="O139" s="800">
        <f t="shared" si="10"/>
        <v>0</v>
      </c>
      <c r="P139" s="40"/>
      <c r="R139" s="29"/>
      <c r="S139" s="29"/>
      <c r="W139" s="29"/>
      <c r="X139" s="29"/>
      <c r="Y139" s="29"/>
      <c r="Z139" s="29"/>
      <c r="AA139" s="29"/>
      <c r="AB139" s="29"/>
      <c r="AC139" s="29"/>
      <c r="AD139" s="29"/>
      <c r="AE139" s="29"/>
      <c r="AF139" s="29"/>
      <c r="AG139" s="29"/>
      <c r="AH139" s="29"/>
    </row>
    <row r="140" spans="1:35" ht="13" hidden="1">
      <c r="A140" s="22" t="s">
        <v>2787</v>
      </c>
      <c r="B140" s="31" t="s">
        <v>896</v>
      </c>
      <c r="C140" s="31" t="str">
        <f>VLOOKUP($A140,FA_Codes!$D$2:$G$249,4,FALSE)</f>
        <v>Dairyflat / Wainui / Silverdale</v>
      </c>
      <c r="D140" s="800">
        <f>SUMIF(O_CWP_NOW!$A:$A,$A140,O_CWP_NOW!D:D)+SUMIF(O_CWP_FUT!$A:$A,$A140,O_CWP_FUT!D:D)</f>
        <v>0</v>
      </c>
      <c r="E140" s="800">
        <f>SUMIF(O_CWP_NOW!$A:$A,$A140,O_CWP_NOW!E:E)+SUMIF(O_CWP_FUT!$A:$A,$A140,O_CWP_FUT!E:E)</f>
        <v>0</v>
      </c>
      <c r="F140" s="800">
        <f>SUMIF(O_CWP_NOW!$A:$A,$A140,O_CWP_NOW!F:F)+SUMIF(O_CWP_FUT!$A:$A,$A140,O_CWP_FUT!F:F)</f>
        <v>0</v>
      </c>
      <c r="G140" s="800">
        <f>SUMIF(O_CWP_NOW!$A:$A,$A140,O_CWP_NOW!G:G)+SUMIF(O_CWP_FUT!$A:$A,$A140,O_CWP_FUT!G:G)</f>
        <v>0</v>
      </c>
      <c r="H140" s="800">
        <f>SUMIF(O_CWP_NOW!$A:$A,$A140,O_CWP_NOW!H:H)+SUMIF(O_CWP_FUT!$A:$A,$A140,O_CWP_FUT!H:H)</f>
        <v>0</v>
      </c>
      <c r="I140" s="800">
        <f>SUMIF(O_CWP_NOW!$A:$A,$A140,O_CWP_NOW!I:I)+SUMIF(O_CWP_FUT!$A:$A,$A140,O_CWP_FUT!I:I)</f>
        <v>0</v>
      </c>
      <c r="J140" s="800">
        <f>SUMIF(O_CWP_NOW!$A:$A,$A140,O_CWP_NOW!J:J)+SUMIF(O_CWP_FUT!$A:$A,$A140,O_CWP_FUT!J:J)</f>
        <v>0</v>
      </c>
      <c r="K140" s="800">
        <f>SUMIF(O_CWP_NOW!$A:$A,$A140,O_CWP_NOW!K:K)+SUMIF(O_CWP_FUT!$A:$A,$A140,O_CWP_FUT!K:K)</f>
        <v>0</v>
      </c>
      <c r="L140" s="800">
        <f>SUMIF(O_CWP_NOW!$A:$A,$A140,O_CWP_NOW!L:L)+SUMIF(O_CWP_FUT!$A:$A,$A140,O_CWP_FUT!L:L)</f>
        <v>0</v>
      </c>
      <c r="M140" s="800">
        <f>SUMIF(O_CWP_NOW!$A:$A,$A140,O_CWP_NOW!M:M)+SUMIF(O_CWP_FUT!$A:$A,$A140,O_CWP_FUT!M:M)</f>
        <v>0</v>
      </c>
      <c r="N140" s="800">
        <f>SUMIF(O_CWP_NOW!$A:$A,$A140,O_CWP_NOW!N:N)+SUMIF(O_CWP_FUT!$A:$A,$A140,O_CWP_FUT!N:N)</f>
        <v>0</v>
      </c>
      <c r="O140" s="800">
        <f t="shared" si="10"/>
        <v>0</v>
      </c>
      <c r="P140" s="40"/>
      <c r="R140" s="29"/>
      <c r="S140" s="29"/>
      <c r="W140" s="29"/>
      <c r="X140" s="29"/>
      <c r="Y140" s="29"/>
      <c r="Z140" s="29"/>
      <c r="AA140" s="29"/>
      <c r="AB140" s="29"/>
      <c r="AC140" s="29"/>
      <c r="AD140" s="29"/>
      <c r="AE140" s="29"/>
      <c r="AF140" s="29"/>
      <c r="AG140" s="29"/>
      <c r="AH140" s="29"/>
    </row>
    <row r="141" spans="1:35" ht="13" hidden="1">
      <c r="A141" s="22" t="s">
        <v>2788</v>
      </c>
      <c r="B141" s="31" t="s">
        <v>896</v>
      </c>
      <c r="C141" s="31" t="str">
        <f>VLOOKUP($A141,FA_Codes!$D$2:$G$249,4,FALSE)</f>
        <v>Tamaki AHP</v>
      </c>
      <c r="D141" s="800">
        <f>SUMIF(O_CWP_NOW!$A:$A,$A141,O_CWP_NOW!D:D)+SUMIF(O_CWP_FUT!$A:$A,$A141,O_CWP_FUT!D:D)</f>
        <v>0</v>
      </c>
      <c r="E141" s="800">
        <f>SUMIF(O_CWP_NOW!$A:$A,$A141,O_CWP_NOW!E:E)+SUMIF(O_CWP_FUT!$A:$A,$A141,O_CWP_FUT!E:E)</f>
        <v>0</v>
      </c>
      <c r="F141" s="800">
        <f>SUMIF(O_CWP_NOW!$A:$A,$A141,O_CWP_NOW!F:F)+SUMIF(O_CWP_FUT!$A:$A,$A141,O_CWP_FUT!F:F)</f>
        <v>0</v>
      </c>
      <c r="G141" s="800">
        <f>SUMIF(O_CWP_NOW!$A:$A,$A141,O_CWP_NOW!G:G)+SUMIF(O_CWP_FUT!$A:$A,$A141,O_CWP_FUT!G:G)</f>
        <v>0</v>
      </c>
      <c r="H141" s="800">
        <f>SUMIF(O_CWP_NOW!$A:$A,$A141,O_CWP_NOW!H:H)+SUMIF(O_CWP_FUT!$A:$A,$A141,O_CWP_FUT!H:H)</f>
        <v>0</v>
      </c>
      <c r="I141" s="800">
        <f>SUMIF(O_CWP_NOW!$A:$A,$A141,O_CWP_NOW!I:I)+SUMIF(O_CWP_FUT!$A:$A,$A141,O_CWP_FUT!I:I)</f>
        <v>0</v>
      </c>
      <c r="J141" s="800">
        <f>SUMIF(O_CWP_NOW!$A:$A,$A141,O_CWP_NOW!J:J)+SUMIF(O_CWP_FUT!$A:$A,$A141,O_CWP_FUT!J:J)</f>
        <v>0</v>
      </c>
      <c r="K141" s="800">
        <f>SUMIF(O_CWP_NOW!$A:$A,$A141,O_CWP_NOW!K:K)+SUMIF(O_CWP_FUT!$A:$A,$A141,O_CWP_FUT!K:K)</f>
        <v>0</v>
      </c>
      <c r="L141" s="800">
        <f>SUMIF(O_CWP_NOW!$A:$A,$A141,O_CWP_NOW!L:L)+SUMIF(O_CWP_FUT!$A:$A,$A141,O_CWP_FUT!L:L)</f>
        <v>0</v>
      </c>
      <c r="M141" s="800">
        <f>SUMIF(O_CWP_NOW!$A:$A,$A141,O_CWP_NOW!M:M)+SUMIF(O_CWP_FUT!$A:$A,$A141,O_CWP_FUT!M:M)</f>
        <v>0</v>
      </c>
      <c r="N141" s="800">
        <f>SUMIF(O_CWP_NOW!$A:$A,$A141,O_CWP_NOW!N:N)+SUMIF(O_CWP_FUT!$A:$A,$A141,O_CWP_FUT!N:N)</f>
        <v>0</v>
      </c>
      <c r="O141" s="800">
        <f t="shared" si="10"/>
        <v>0</v>
      </c>
      <c r="P141" s="40"/>
      <c r="R141" s="29"/>
      <c r="S141" s="29"/>
      <c r="W141" s="29"/>
      <c r="X141" s="29"/>
      <c r="Y141" s="29"/>
      <c r="Z141" s="29"/>
      <c r="AA141" s="29"/>
      <c r="AB141" s="29"/>
      <c r="AC141" s="29"/>
      <c r="AD141" s="29"/>
      <c r="AE141" s="29"/>
      <c r="AF141" s="29"/>
      <c r="AG141" s="29"/>
      <c r="AH141" s="29"/>
    </row>
    <row r="142" spans="1:35" ht="13" hidden="1">
      <c r="A142" s="22" t="s">
        <v>2789</v>
      </c>
      <c r="B142" s="31" t="s">
        <v>896</v>
      </c>
      <c r="C142" s="31" t="str">
        <f>VLOOKUP($A142,FA_Codes!$D$2:$G$249,4,FALSE)</f>
        <v>Albany</v>
      </c>
      <c r="D142" s="800">
        <f>SUMIF(O_CWP_NOW!$A:$A,$A142,O_CWP_NOW!D:D)+SUMIF(O_CWP_FUT!$A:$A,$A142,O_CWP_FUT!D:D)</f>
        <v>0</v>
      </c>
      <c r="E142" s="800">
        <f>SUMIF(O_CWP_NOW!$A:$A,$A142,O_CWP_NOW!E:E)+SUMIF(O_CWP_FUT!$A:$A,$A142,O_CWP_FUT!E:E)</f>
        <v>0</v>
      </c>
      <c r="F142" s="800">
        <f>SUMIF(O_CWP_NOW!$A:$A,$A142,O_CWP_NOW!F:F)+SUMIF(O_CWP_FUT!$A:$A,$A142,O_CWP_FUT!F:F)</f>
        <v>0</v>
      </c>
      <c r="G142" s="800">
        <f>SUMIF(O_CWP_NOW!$A:$A,$A142,O_CWP_NOW!G:G)+SUMIF(O_CWP_FUT!$A:$A,$A142,O_CWP_FUT!G:G)</f>
        <v>0</v>
      </c>
      <c r="H142" s="800">
        <f>SUMIF(O_CWP_NOW!$A:$A,$A142,O_CWP_NOW!H:H)+SUMIF(O_CWP_FUT!$A:$A,$A142,O_CWP_FUT!H:H)</f>
        <v>0</v>
      </c>
      <c r="I142" s="800">
        <f>SUMIF(O_CWP_NOW!$A:$A,$A142,O_CWP_NOW!I:I)+SUMIF(O_CWP_FUT!$A:$A,$A142,O_CWP_FUT!I:I)</f>
        <v>0</v>
      </c>
      <c r="J142" s="800">
        <f>SUMIF(O_CWP_NOW!$A:$A,$A142,O_CWP_NOW!J:J)+SUMIF(O_CWP_FUT!$A:$A,$A142,O_CWP_FUT!J:J)</f>
        <v>0</v>
      </c>
      <c r="K142" s="800">
        <f>SUMIF(O_CWP_NOW!$A:$A,$A142,O_CWP_NOW!K:K)+SUMIF(O_CWP_FUT!$A:$A,$A142,O_CWP_FUT!K:K)</f>
        <v>0</v>
      </c>
      <c r="L142" s="800">
        <f>SUMIF(O_CWP_NOW!$A:$A,$A142,O_CWP_NOW!L:L)+SUMIF(O_CWP_FUT!$A:$A,$A142,O_CWP_FUT!L:L)</f>
        <v>0</v>
      </c>
      <c r="M142" s="800">
        <f>SUMIF(O_CWP_NOW!$A:$A,$A142,O_CWP_NOW!M:M)+SUMIF(O_CWP_FUT!$A:$A,$A142,O_CWP_FUT!M:M)</f>
        <v>0</v>
      </c>
      <c r="N142" s="800">
        <f>SUMIF(O_CWP_NOW!$A:$A,$A142,O_CWP_NOW!N:N)+SUMIF(O_CWP_FUT!$A:$A,$A142,O_CWP_FUT!N:N)</f>
        <v>0</v>
      </c>
      <c r="O142" s="800">
        <f t="shared" si="10"/>
        <v>0</v>
      </c>
      <c r="P142" s="40"/>
      <c r="R142" s="29"/>
      <c r="S142" s="29"/>
      <c r="W142" s="29"/>
      <c r="X142" s="29"/>
      <c r="Y142" s="29"/>
      <c r="Z142" s="29"/>
      <c r="AA142" s="29"/>
      <c r="AB142" s="29"/>
      <c r="AC142" s="29"/>
      <c r="AD142" s="29"/>
      <c r="AE142" s="29"/>
      <c r="AF142" s="29"/>
      <c r="AG142" s="29"/>
      <c r="AH142" s="29"/>
    </row>
    <row r="143" spans="1:35" ht="13" hidden="1">
      <c r="A143" s="22" t="s">
        <v>2790</v>
      </c>
      <c r="B143" s="31" t="s">
        <v>896</v>
      </c>
      <c r="C143" s="31" t="str">
        <f>VLOOKUP($A143,FA_Codes!$D$2:$G$249,4,FALSE)</f>
        <v>Rural North</v>
      </c>
      <c r="D143" s="800">
        <f>SUMIF(O_CWP_NOW!$A:$A,$A143,O_CWP_NOW!D:D)+SUMIF(O_CWP_FUT!$A:$A,$A143,O_CWP_FUT!D:D)</f>
        <v>0</v>
      </c>
      <c r="E143" s="800">
        <f>SUMIF(O_CWP_NOW!$A:$A,$A143,O_CWP_NOW!E:E)+SUMIF(O_CWP_FUT!$A:$A,$A143,O_CWP_FUT!E:E)</f>
        <v>0</v>
      </c>
      <c r="F143" s="800">
        <f>SUMIF(O_CWP_NOW!$A:$A,$A143,O_CWP_NOW!F:F)+SUMIF(O_CWP_FUT!$A:$A,$A143,O_CWP_FUT!F:F)</f>
        <v>0</v>
      </c>
      <c r="G143" s="800">
        <f>SUMIF(O_CWP_NOW!$A:$A,$A143,O_CWP_NOW!G:G)+SUMIF(O_CWP_FUT!$A:$A,$A143,O_CWP_FUT!G:G)</f>
        <v>0</v>
      </c>
      <c r="H143" s="800">
        <f>SUMIF(O_CWP_NOW!$A:$A,$A143,O_CWP_NOW!H:H)+SUMIF(O_CWP_FUT!$A:$A,$A143,O_CWP_FUT!H:H)</f>
        <v>0</v>
      </c>
      <c r="I143" s="800">
        <f>SUMIF(O_CWP_NOW!$A:$A,$A143,O_CWP_NOW!I:I)+SUMIF(O_CWP_FUT!$A:$A,$A143,O_CWP_FUT!I:I)</f>
        <v>0</v>
      </c>
      <c r="J143" s="800">
        <f>SUMIF(O_CWP_NOW!$A:$A,$A143,O_CWP_NOW!J:J)+SUMIF(O_CWP_FUT!$A:$A,$A143,O_CWP_FUT!J:J)</f>
        <v>0</v>
      </c>
      <c r="K143" s="800">
        <f>SUMIF(O_CWP_NOW!$A:$A,$A143,O_CWP_NOW!K:K)+SUMIF(O_CWP_FUT!$A:$A,$A143,O_CWP_FUT!K:K)</f>
        <v>0</v>
      </c>
      <c r="L143" s="800">
        <f>SUMIF(O_CWP_NOW!$A:$A,$A143,O_CWP_NOW!L:L)+SUMIF(O_CWP_FUT!$A:$A,$A143,O_CWP_FUT!L:L)</f>
        <v>0</v>
      </c>
      <c r="M143" s="800">
        <f>SUMIF(O_CWP_NOW!$A:$A,$A143,O_CWP_NOW!M:M)+SUMIF(O_CWP_FUT!$A:$A,$A143,O_CWP_FUT!M:M)</f>
        <v>0</v>
      </c>
      <c r="N143" s="800">
        <f>SUMIF(O_CWP_NOW!$A:$A,$A143,O_CWP_NOW!N:N)+SUMIF(O_CWP_FUT!$A:$A,$A143,O_CWP_FUT!N:N)</f>
        <v>0</v>
      </c>
      <c r="O143" s="800">
        <f t="shared" si="10"/>
        <v>0</v>
      </c>
      <c r="P143" s="40"/>
      <c r="R143" s="29"/>
      <c r="S143" s="29"/>
      <c r="W143" s="29"/>
      <c r="X143" s="29"/>
      <c r="Y143" s="29"/>
      <c r="Z143" s="29"/>
      <c r="AA143" s="29"/>
      <c r="AB143" s="29"/>
      <c r="AC143" s="29"/>
      <c r="AD143" s="29"/>
      <c r="AE143" s="29"/>
      <c r="AF143" s="29"/>
      <c r="AG143" s="29"/>
      <c r="AH143" s="29"/>
    </row>
    <row r="144" spans="1:35" ht="13" hidden="1">
      <c r="A144" s="22" t="s">
        <v>2791</v>
      </c>
      <c r="B144" s="31" t="s">
        <v>896</v>
      </c>
      <c r="C144" s="31" t="str">
        <f>VLOOKUP($A144,FA_Codes!$D$2:$G$249,4,FALSE)</f>
        <v>Rural West</v>
      </c>
      <c r="D144" s="800">
        <f>SUMIF(O_CWP_NOW!$A:$A,$A144,O_CWP_NOW!D:D)+SUMIF(O_CWP_FUT!$A:$A,$A144,O_CWP_FUT!D:D)</f>
        <v>0</v>
      </c>
      <c r="E144" s="800">
        <f>SUMIF(O_CWP_NOW!$A:$A,$A144,O_CWP_NOW!E:E)+SUMIF(O_CWP_FUT!$A:$A,$A144,O_CWP_FUT!E:E)</f>
        <v>0</v>
      </c>
      <c r="F144" s="800">
        <f>SUMIF(O_CWP_NOW!$A:$A,$A144,O_CWP_NOW!F:F)+SUMIF(O_CWP_FUT!$A:$A,$A144,O_CWP_FUT!F:F)</f>
        <v>0</v>
      </c>
      <c r="G144" s="800">
        <f>SUMIF(O_CWP_NOW!$A:$A,$A144,O_CWP_NOW!G:G)+SUMIF(O_CWP_FUT!$A:$A,$A144,O_CWP_FUT!G:G)</f>
        <v>0</v>
      </c>
      <c r="H144" s="800">
        <f>SUMIF(O_CWP_NOW!$A:$A,$A144,O_CWP_NOW!H:H)+SUMIF(O_CWP_FUT!$A:$A,$A144,O_CWP_FUT!H:H)</f>
        <v>0</v>
      </c>
      <c r="I144" s="800">
        <f>SUMIF(O_CWP_NOW!$A:$A,$A144,O_CWP_NOW!I:I)+SUMIF(O_CWP_FUT!$A:$A,$A144,O_CWP_FUT!I:I)</f>
        <v>0</v>
      </c>
      <c r="J144" s="800">
        <f>SUMIF(O_CWP_NOW!$A:$A,$A144,O_CWP_NOW!J:J)+SUMIF(O_CWP_FUT!$A:$A,$A144,O_CWP_FUT!J:J)</f>
        <v>0</v>
      </c>
      <c r="K144" s="800">
        <f>SUMIF(O_CWP_NOW!$A:$A,$A144,O_CWP_NOW!K:K)+SUMIF(O_CWP_FUT!$A:$A,$A144,O_CWP_FUT!K:K)</f>
        <v>0</v>
      </c>
      <c r="L144" s="800">
        <f>SUMIF(O_CWP_NOW!$A:$A,$A144,O_CWP_NOW!L:L)+SUMIF(O_CWP_FUT!$A:$A,$A144,O_CWP_FUT!L:L)</f>
        <v>0</v>
      </c>
      <c r="M144" s="800">
        <f>SUMIF(O_CWP_NOW!$A:$A,$A144,O_CWP_NOW!M:M)+SUMIF(O_CWP_FUT!$A:$A,$A144,O_CWP_FUT!M:M)</f>
        <v>0</v>
      </c>
      <c r="N144" s="800">
        <f>SUMIF(O_CWP_NOW!$A:$A,$A144,O_CWP_NOW!N:N)+SUMIF(O_CWP_FUT!$A:$A,$A144,O_CWP_FUT!N:N)</f>
        <v>0</v>
      </c>
      <c r="O144" s="800">
        <f t="shared" si="10"/>
        <v>0</v>
      </c>
      <c r="P144" s="40"/>
      <c r="R144" s="29"/>
      <c r="S144" s="29"/>
      <c r="W144" s="29"/>
      <c r="X144" s="29"/>
      <c r="Y144" s="29"/>
      <c r="Z144" s="29"/>
      <c r="AA144" s="29"/>
      <c r="AB144" s="29"/>
      <c r="AC144" s="29"/>
      <c r="AD144" s="29"/>
      <c r="AE144" s="29"/>
      <c r="AF144" s="29"/>
      <c r="AG144" s="29"/>
      <c r="AH144" s="29"/>
    </row>
    <row r="145" spans="1:34" ht="13" hidden="1">
      <c r="A145" s="22" t="s">
        <v>2792</v>
      </c>
      <c r="B145" s="31" t="s">
        <v>896</v>
      </c>
      <c r="C145" s="31" t="str">
        <f>VLOOKUP($A145,FA_Codes!$D$2:$G$249,4,FALSE)</f>
        <v>Rural South</v>
      </c>
      <c r="D145" s="800">
        <f>SUMIF(O_CWP_NOW!$A:$A,$A145,O_CWP_NOW!D:D)+SUMIF(O_CWP_FUT!$A:$A,$A145,O_CWP_FUT!D:D)</f>
        <v>0</v>
      </c>
      <c r="E145" s="800">
        <f>SUMIF(O_CWP_NOW!$A:$A,$A145,O_CWP_NOW!E:E)+SUMIF(O_CWP_FUT!$A:$A,$A145,O_CWP_FUT!E:E)</f>
        <v>0</v>
      </c>
      <c r="F145" s="800">
        <f>SUMIF(O_CWP_NOW!$A:$A,$A145,O_CWP_NOW!F:F)+SUMIF(O_CWP_FUT!$A:$A,$A145,O_CWP_FUT!F:F)</f>
        <v>0</v>
      </c>
      <c r="G145" s="800">
        <f>SUMIF(O_CWP_NOW!$A:$A,$A145,O_CWP_NOW!G:G)+SUMIF(O_CWP_FUT!$A:$A,$A145,O_CWP_FUT!G:G)</f>
        <v>0</v>
      </c>
      <c r="H145" s="800">
        <f>SUMIF(O_CWP_NOW!$A:$A,$A145,O_CWP_NOW!H:H)+SUMIF(O_CWP_FUT!$A:$A,$A145,O_CWP_FUT!H:H)</f>
        <v>0</v>
      </c>
      <c r="I145" s="800">
        <f>SUMIF(O_CWP_NOW!$A:$A,$A145,O_CWP_NOW!I:I)+SUMIF(O_CWP_FUT!$A:$A,$A145,O_CWP_FUT!I:I)</f>
        <v>0</v>
      </c>
      <c r="J145" s="800">
        <f>SUMIF(O_CWP_NOW!$A:$A,$A145,O_CWP_NOW!J:J)+SUMIF(O_CWP_FUT!$A:$A,$A145,O_CWP_FUT!J:J)</f>
        <v>0</v>
      </c>
      <c r="K145" s="800">
        <f>SUMIF(O_CWP_NOW!$A:$A,$A145,O_CWP_NOW!K:K)+SUMIF(O_CWP_FUT!$A:$A,$A145,O_CWP_FUT!K:K)</f>
        <v>0</v>
      </c>
      <c r="L145" s="800">
        <f>SUMIF(O_CWP_NOW!$A:$A,$A145,O_CWP_NOW!L:L)+SUMIF(O_CWP_FUT!$A:$A,$A145,O_CWP_FUT!L:L)</f>
        <v>0</v>
      </c>
      <c r="M145" s="800">
        <f>SUMIF(O_CWP_NOW!$A:$A,$A145,O_CWP_NOW!M:M)+SUMIF(O_CWP_FUT!$A:$A,$A145,O_CWP_FUT!M:M)</f>
        <v>0</v>
      </c>
      <c r="N145" s="800">
        <f>SUMIF(O_CWP_NOW!$A:$A,$A145,O_CWP_NOW!N:N)+SUMIF(O_CWP_FUT!$A:$A,$A145,O_CWP_FUT!N:N)</f>
        <v>0</v>
      </c>
      <c r="O145" s="800">
        <f t="shared" si="10"/>
        <v>0</v>
      </c>
      <c r="P145" s="40"/>
      <c r="R145" s="29"/>
      <c r="S145" s="29"/>
      <c r="W145" s="29"/>
      <c r="X145" s="29"/>
      <c r="Y145" s="29"/>
      <c r="Z145" s="29"/>
      <c r="AA145" s="29"/>
      <c r="AB145" s="29"/>
      <c r="AC145" s="29"/>
      <c r="AD145" s="29"/>
      <c r="AE145" s="29"/>
      <c r="AF145" s="29"/>
      <c r="AG145" s="29"/>
      <c r="AH145" s="29"/>
    </row>
    <row r="146" spans="1:34" ht="13" hidden="1">
      <c r="A146" s="22" t="s">
        <v>2793</v>
      </c>
      <c r="B146" s="31" t="s">
        <v>896</v>
      </c>
      <c r="C146" s="31" t="str">
        <f>VLOOKUP($A146,FA_Codes!$D$2:$G$249,4,FALSE)</f>
        <v>Area 16</v>
      </c>
      <c r="D146" s="800">
        <f>SUMIF(O_CWP_NOW!$A:$A,$A146,O_CWP_NOW!D:D)+SUMIF(O_CWP_FUT!$A:$A,$A146,O_CWP_FUT!D:D)</f>
        <v>0</v>
      </c>
      <c r="E146" s="800">
        <f>SUMIF(O_CWP_NOW!$A:$A,$A146,O_CWP_NOW!E:E)+SUMIF(O_CWP_FUT!$A:$A,$A146,O_CWP_FUT!E:E)</f>
        <v>0</v>
      </c>
      <c r="F146" s="800">
        <f>SUMIF(O_CWP_NOW!$A:$A,$A146,O_CWP_NOW!F:F)+SUMIF(O_CWP_FUT!$A:$A,$A146,O_CWP_FUT!F:F)</f>
        <v>0</v>
      </c>
      <c r="G146" s="800">
        <f>SUMIF(O_CWP_NOW!$A:$A,$A146,O_CWP_NOW!G:G)+SUMIF(O_CWP_FUT!$A:$A,$A146,O_CWP_FUT!G:G)</f>
        <v>0</v>
      </c>
      <c r="H146" s="800">
        <f>SUMIF(O_CWP_NOW!$A:$A,$A146,O_CWP_NOW!H:H)+SUMIF(O_CWP_FUT!$A:$A,$A146,O_CWP_FUT!H:H)</f>
        <v>0</v>
      </c>
      <c r="I146" s="800">
        <f>SUMIF(O_CWP_NOW!$A:$A,$A146,O_CWP_NOW!I:I)+SUMIF(O_CWP_FUT!$A:$A,$A146,O_CWP_FUT!I:I)</f>
        <v>0</v>
      </c>
      <c r="J146" s="800">
        <f>SUMIF(O_CWP_NOW!$A:$A,$A146,O_CWP_NOW!J:J)+SUMIF(O_CWP_FUT!$A:$A,$A146,O_CWP_FUT!J:J)</f>
        <v>0</v>
      </c>
      <c r="K146" s="800">
        <f>SUMIF(O_CWP_NOW!$A:$A,$A146,O_CWP_NOW!K:K)+SUMIF(O_CWP_FUT!$A:$A,$A146,O_CWP_FUT!K:K)</f>
        <v>0</v>
      </c>
      <c r="L146" s="800">
        <f>SUMIF(O_CWP_NOW!$A:$A,$A146,O_CWP_NOW!L:L)+SUMIF(O_CWP_FUT!$A:$A,$A146,O_CWP_FUT!L:L)</f>
        <v>0</v>
      </c>
      <c r="M146" s="800">
        <f>SUMIF(O_CWP_NOW!$A:$A,$A146,O_CWP_NOW!M:M)+SUMIF(O_CWP_FUT!$A:$A,$A146,O_CWP_FUT!M:M)</f>
        <v>0</v>
      </c>
      <c r="N146" s="800">
        <f>SUMIF(O_CWP_NOW!$A:$A,$A146,O_CWP_NOW!N:N)+SUMIF(O_CWP_FUT!$A:$A,$A146,O_CWP_FUT!N:N)</f>
        <v>0</v>
      </c>
      <c r="O146" s="800">
        <f t="shared" si="10"/>
        <v>0</v>
      </c>
      <c r="P146" s="40"/>
      <c r="R146" s="29"/>
      <c r="S146" s="29"/>
      <c r="W146" s="29"/>
      <c r="X146" s="29"/>
      <c r="Y146" s="29"/>
      <c r="Z146" s="29"/>
      <c r="AA146" s="29"/>
      <c r="AB146" s="29"/>
      <c r="AC146" s="29"/>
      <c r="AD146" s="29"/>
      <c r="AE146" s="29"/>
      <c r="AF146" s="29"/>
      <c r="AG146" s="29"/>
      <c r="AH146" s="29"/>
    </row>
    <row r="147" spans="1:34" ht="13" hidden="1">
      <c r="A147" s="22" t="s">
        <v>2794</v>
      </c>
      <c r="B147" s="31" t="s">
        <v>896</v>
      </c>
      <c r="C147" s="31" t="str">
        <f>VLOOKUP($A147,FA_Codes!$D$2:$G$249,4,FALSE)</f>
        <v>Mt Roskill AHP</v>
      </c>
      <c r="D147" s="800">
        <f>SUMIF(O_CWP_NOW!$A:$A,$A147,O_CWP_NOW!D:D)+SUMIF(O_CWP_FUT!$A:$A,$A147,O_CWP_FUT!D:D)</f>
        <v>0</v>
      </c>
      <c r="E147" s="800">
        <f>SUMIF(O_CWP_NOW!$A:$A,$A147,O_CWP_NOW!E:E)+SUMIF(O_CWP_FUT!$A:$A,$A147,O_CWP_FUT!E:E)</f>
        <v>0</v>
      </c>
      <c r="F147" s="800">
        <f>SUMIF(O_CWP_NOW!$A:$A,$A147,O_CWP_NOW!F:F)+SUMIF(O_CWP_FUT!$A:$A,$A147,O_CWP_FUT!F:F)</f>
        <v>0</v>
      </c>
      <c r="G147" s="800">
        <f>SUMIF(O_CWP_NOW!$A:$A,$A147,O_CWP_NOW!G:G)+SUMIF(O_CWP_FUT!$A:$A,$A147,O_CWP_FUT!G:G)</f>
        <v>0</v>
      </c>
      <c r="H147" s="800">
        <f>SUMIF(O_CWP_NOW!$A:$A,$A147,O_CWP_NOW!H:H)+SUMIF(O_CWP_FUT!$A:$A,$A147,O_CWP_FUT!H:H)</f>
        <v>0</v>
      </c>
      <c r="I147" s="800">
        <f>SUMIF(O_CWP_NOW!$A:$A,$A147,O_CWP_NOW!I:I)+SUMIF(O_CWP_FUT!$A:$A,$A147,O_CWP_FUT!I:I)</f>
        <v>0</v>
      </c>
      <c r="J147" s="800">
        <f>SUMIF(O_CWP_NOW!$A:$A,$A147,O_CWP_NOW!J:J)+SUMIF(O_CWP_FUT!$A:$A,$A147,O_CWP_FUT!J:J)</f>
        <v>0</v>
      </c>
      <c r="K147" s="800">
        <f>SUMIF(O_CWP_NOW!$A:$A,$A147,O_CWP_NOW!K:K)+SUMIF(O_CWP_FUT!$A:$A,$A147,O_CWP_FUT!K:K)</f>
        <v>0</v>
      </c>
      <c r="L147" s="800">
        <f>SUMIF(O_CWP_NOW!$A:$A,$A147,O_CWP_NOW!L:L)+SUMIF(O_CWP_FUT!$A:$A,$A147,O_CWP_FUT!L:L)</f>
        <v>0</v>
      </c>
      <c r="M147" s="800">
        <f>SUMIF(O_CWP_NOW!$A:$A,$A147,O_CWP_NOW!M:M)+SUMIF(O_CWP_FUT!$A:$A,$A147,O_CWP_FUT!M:M)</f>
        <v>0</v>
      </c>
      <c r="N147" s="800">
        <f>SUMIF(O_CWP_NOW!$A:$A,$A147,O_CWP_NOW!N:N)+SUMIF(O_CWP_FUT!$A:$A,$A147,O_CWP_FUT!N:N)</f>
        <v>0</v>
      </c>
      <c r="O147" s="800">
        <f t="shared" si="10"/>
        <v>0</v>
      </c>
      <c r="P147" s="40"/>
      <c r="R147" s="29"/>
      <c r="S147" s="29"/>
      <c r="W147" s="29"/>
      <c r="X147" s="29"/>
      <c r="Y147" s="29"/>
      <c r="Z147" s="29"/>
      <c r="AA147" s="29"/>
      <c r="AB147" s="29"/>
      <c r="AC147" s="29"/>
      <c r="AD147" s="29"/>
      <c r="AE147" s="29"/>
      <c r="AF147" s="29"/>
      <c r="AG147" s="29"/>
      <c r="AH147" s="29"/>
    </row>
    <row r="148" spans="1:34" ht="13" hidden="1">
      <c r="A148" s="22" t="s">
        <v>2795</v>
      </c>
      <c r="B148" s="31" t="s">
        <v>896</v>
      </c>
      <c r="C148" s="31" t="str">
        <f>VLOOKUP($A148,FA_Codes!$D$2:$G$249,4,FALSE)</f>
        <v>Mangere AHP</v>
      </c>
      <c r="D148" s="800">
        <f>SUMIF(O_CWP_NOW!$A:$A,$A148,O_CWP_NOW!D:D)+SUMIF(O_CWP_FUT!$A:$A,$A148,O_CWP_FUT!D:D)</f>
        <v>0</v>
      </c>
      <c r="E148" s="800">
        <f>SUMIF(O_CWP_NOW!$A:$A,$A148,O_CWP_NOW!E:E)+SUMIF(O_CWP_FUT!$A:$A,$A148,O_CWP_FUT!E:E)</f>
        <v>0</v>
      </c>
      <c r="F148" s="800">
        <f>SUMIF(O_CWP_NOW!$A:$A,$A148,O_CWP_NOW!F:F)+SUMIF(O_CWP_FUT!$A:$A,$A148,O_CWP_FUT!F:F)</f>
        <v>0</v>
      </c>
      <c r="G148" s="800">
        <f>SUMIF(O_CWP_NOW!$A:$A,$A148,O_CWP_NOW!G:G)+SUMIF(O_CWP_FUT!$A:$A,$A148,O_CWP_FUT!G:G)</f>
        <v>0</v>
      </c>
      <c r="H148" s="800">
        <f>SUMIF(O_CWP_NOW!$A:$A,$A148,O_CWP_NOW!H:H)+SUMIF(O_CWP_FUT!$A:$A,$A148,O_CWP_FUT!H:H)</f>
        <v>0</v>
      </c>
      <c r="I148" s="800">
        <f>SUMIF(O_CWP_NOW!$A:$A,$A148,O_CWP_NOW!I:I)+SUMIF(O_CWP_FUT!$A:$A,$A148,O_CWP_FUT!I:I)</f>
        <v>0</v>
      </c>
      <c r="J148" s="800">
        <f>SUMIF(O_CWP_NOW!$A:$A,$A148,O_CWP_NOW!J:J)+SUMIF(O_CWP_FUT!$A:$A,$A148,O_CWP_FUT!J:J)</f>
        <v>0</v>
      </c>
      <c r="K148" s="800">
        <f>SUMIF(O_CWP_NOW!$A:$A,$A148,O_CWP_NOW!K:K)+SUMIF(O_CWP_FUT!$A:$A,$A148,O_CWP_FUT!K:K)</f>
        <v>0</v>
      </c>
      <c r="L148" s="800">
        <f>SUMIF(O_CWP_NOW!$A:$A,$A148,O_CWP_NOW!L:L)+SUMIF(O_CWP_FUT!$A:$A,$A148,O_CWP_FUT!L:L)</f>
        <v>0</v>
      </c>
      <c r="M148" s="800">
        <f>SUMIF(O_CWP_NOW!$A:$A,$A148,O_CWP_NOW!M:M)+SUMIF(O_CWP_FUT!$A:$A,$A148,O_CWP_FUT!M:M)</f>
        <v>0</v>
      </c>
      <c r="N148" s="800">
        <f>SUMIF(O_CWP_NOW!$A:$A,$A148,O_CWP_NOW!N:N)+SUMIF(O_CWP_FUT!$A:$A,$A148,O_CWP_FUT!N:N)</f>
        <v>0</v>
      </c>
      <c r="O148" s="800">
        <f t="shared" si="10"/>
        <v>0</v>
      </c>
      <c r="P148" s="40"/>
      <c r="R148" s="29"/>
      <c r="S148" s="29"/>
      <c r="W148" s="29"/>
      <c r="X148" s="29"/>
      <c r="Y148" s="29"/>
      <c r="Z148" s="29"/>
      <c r="AA148" s="29"/>
      <c r="AB148" s="29"/>
      <c r="AC148" s="29"/>
      <c r="AD148" s="29"/>
      <c r="AE148" s="29"/>
      <c r="AF148" s="29"/>
      <c r="AG148" s="29"/>
      <c r="AH148" s="29"/>
    </row>
    <row r="149" spans="1:34" ht="13" hidden="1">
      <c r="A149" s="22" t="s">
        <v>2798</v>
      </c>
      <c r="B149" s="31" t="s">
        <v>896</v>
      </c>
      <c r="C149" s="31" t="str">
        <f>VLOOKUP($A149,FA_Codes!$D$2:$G$249,4,FALSE)</f>
        <v>Northwest  - Redhills</v>
      </c>
      <c r="D149" s="800">
        <f>SUMIF(O_CWP_NOW!$A:$A,$A149,O_CWP_NOW!D:D)+SUMIF(O_CWP_FUT!$A:$A,$A149,O_CWP_FUT!D:D)</f>
        <v>0</v>
      </c>
      <c r="E149" s="800">
        <f>SUMIF(O_CWP_NOW!$A:$A,$A149,O_CWP_NOW!E:E)+SUMIF(O_CWP_FUT!$A:$A,$A149,O_CWP_FUT!E:E)</f>
        <v>0</v>
      </c>
      <c r="F149" s="800">
        <f>SUMIF(O_CWP_NOW!$A:$A,$A149,O_CWP_NOW!F:F)+SUMIF(O_CWP_FUT!$A:$A,$A149,O_CWP_FUT!F:F)</f>
        <v>0</v>
      </c>
      <c r="G149" s="800">
        <f>SUMIF(O_CWP_NOW!$A:$A,$A149,O_CWP_NOW!G:G)+SUMIF(O_CWP_FUT!$A:$A,$A149,O_CWP_FUT!G:G)</f>
        <v>0</v>
      </c>
      <c r="H149" s="800">
        <f>SUMIF(O_CWP_NOW!$A:$A,$A149,O_CWP_NOW!H:H)+SUMIF(O_CWP_FUT!$A:$A,$A149,O_CWP_FUT!H:H)</f>
        <v>0</v>
      </c>
      <c r="I149" s="800">
        <f>SUMIF(O_CWP_NOW!$A:$A,$A149,O_CWP_NOW!I:I)+SUMIF(O_CWP_FUT!$A:$A,$A149,O_CWP_FUT!I:I)</f>
        <v>0</v>
      </c>
      <c r="J149" s="800">
        <f>SUMIF(O_CWP_NOW!$A:$A,$A149,O_CWP_NOW!J:J)+SUMIF(O_CWP_FUT!$A:$A,$A149,O_CWP_FUT!J:J)</f>
        <v>0</v>
      </c>
      <c r="K149" s="800">
        <f>SUMIF(O_CWP_NOW!$A:$A,$A149,O_CWP_NOW!K:K)+SUMIF(O_CWP_FUT!$A:$A,$A149,O_CWP_FUT!K:K)</f>
        <v>0</v>
      </c>
      <c r="L149" s="800">
        <f>SUMIF(O_CWP_NOW!$A:$A,$A149,O_CWP_NOW!L:L)+SUMIF(O_CWP_FUT!$A:$A,$A149,O_CWP_FUT!L:L)</f>
        <v>0</v>
      </c>
      <c r="M149" s="800">
        <f>SUMIF(O_CWP_NOW!$A:$A,$A149,O_CWP_NOW!M:M)+SUMIF(O_CWP_FUT!$A:$A,$A149,O_CWP_FUT!M:M)</f>
        <v>0</v>
      </c>
      <c r="N149" s="800">
        <f>SUMIF(O_CWP_NOW!$A:$A,$A149,O_CWP_NOW!N:N)+SUMIF(O_CWP_FUT!$A:$A,$A149,O_CWP_FUT!N:N)</f>
        <v>0</v>
      </c>
      <c r="O149" s="800">
        <f t="shared" si="10"/>
        <v>0</v>
      </c>
      <c r="P149" s="40"/>
      <c r="R149" s="29"/>
      <c r="S149" s="29"/>
      <c r="W149" s="29"/>
      <c r="X149" s="29"/>
      <c r="Y149" s="29"/>
      <c r="Z149" s="29"/>
      <c r="AA149" s="29"/>
      <c r="AB149" s="29"/>
      <c r="AC149" s="29"/>
      <c r="AD149" s="29"/>
      <c r="AE149" s="29"/>
      <c r="AF149" s="29"/>
      <c r="AG149" s="29"/>
      <c r="AH149" s="29"/>
    </row>
    <row r="150" spans="1:34" ht="13" hidden="1">
      <c r="A150" s="22" t="s">
        <v>2799</v>
      </c>
      <c r="B150" s="31" t="s">
        <v>896</v>
      </c>
      <c r="C150" s="31" t="str">
        <f>VLOOKUP($A150,FA_Codes!$D$2:$G$249,4,FALSE)</f>
        <v>Northwest  - Whenuapai</v>
      </c>
      <c r="D150" s="800">
        <f>SUMIF(O_CWP_NOW!$A:$A,$A150,O_CWP_NOW!D:D)+SUMIF(O_CWP_FUT!$A:$A,$A150,O_CWP_FUT!D:D)</f>
        <v>0</v>
      </c>
      <c r="E150" s="800">
        <f>SUMIF(O_CWP_NOW!$A:$A,$A150,O_CWP_NOW!E:E)+SUMIF(O_CWP_FUT!$A:$A,$A150,O_CWP_FUT!E:E)</f>
        <v>0</v>
      </c>
      <c r="F150" s="800">
        <f>SUMIF(O_CWP_NOW!$A:$A,$A150,O_CWP_NOW!F:F)+SUMIF(O_CWP_FUT!$A:$A,$A150,O_CWP_FUT!F:F)</f>
        <v>0</v>
      </c>
      <c r="G150" s="800">
        <f>SUMIF(O_CWP_NOW!$A:$A,$A150,O_CWP_NOW!G:G)+SUMIF(O_CWP_FUT!$A:$A,$A150,O_CWP_FUT!G:G)</f>
        <v>0</v>
      </c>
      <c r="H150" s="800">
        <f>SUMIF(O_CWP_NOW!$A:$A,$A150,O_CWP_NOW!H:H)+SUMIF(O_CWP_FUT!$A:$A,$A150,O_CWP_FUT!H:H)</f>
        <v>0</v>
      </c>
      <c r="I150" s="800">
        <f>SUMIF(O_CWP_NOW!$A:$A,$A150,O_CWP_NOW!I:I)+SUMIF(O_CWP_FUT!$A:$A,$A150,O_CWP_FUT!I:I)</f>
        <v>0</v>
      </c>
      <c r="J150" s="800">
        <f>SUMIF(O_CWP_NOW!$A:$A,$A150,O_CWP_NOW!J:J)+SUMIF(O_CWP_FUT!$A:$A,$A150,O_CWP_FUT!J:J)</f>
        <v>0</v>
      </c>
      <c r="K150" s="800">
        <f>SUMIF(O_CWP_NOW!$A:$A,$A150,O_CWP_NOW!K:K)+SUMIF(O_CWP_FUT!$A:$A,$A150,O_CWP_FUT!K:K)</f>
        <v>0</v>
      </c>
      <c r="L150" s="800">
        <f>SUMIF(O_CWP_NOW!$A:$A,$A150,O_CWP_NOW!L:L)+SUMIF(O_CWP_FUT!$A:$A,$A150,O_CWP_FUT!L:L)</f>
        <v>0</v>
      </c>
      <c r="M150" s="800">
        <f>SUMIF(O_CWP_NOW!$A:$A,$A150,O_CWP_NOW!M:M)+SUMIF(O_CWP_FUT!$A:$A,$A150,O_CWP_FUT!M:M)</f>
        <v>0</v>
      </c>
      <c r="N150" s="800">
        <f>SUMIF(O_CWP_NOW!$A:$A,$A150,O_CWP_NOW!N:N)+SUMIF(O_CWP_FUT!$A:$A,$A150,O_CWP_FUT!N:N)</f>
        <v>0</v>
      </c>
      <c r="O150" s="800">
        <f t="shared" si="10"/>
        <v>0</v>
      </c>
      <c r="P150" s="40"/>
      <c r="R150" s="29"/>
      <c r="S150" s="29"/>
      <c r="W150" s="29"/>
      <c r="X150" s="29"/>
      <c r="Y150" s="29"/>
      <c r="Z150" s="29"/>
      <c r="AA150" s="29"/>
      <c r="AB150" s="29"/>
      <c r="AC150" s="29"/>
      <c r="AD150" s="29"/>
      <c r="AE150" s="29"/>
      <c r="AF150" s="29"/>
      <c r="AG150" s="29"/>
      <c r="AH150" s="29"/>
    </row>
    <row r="151" spans="1:34" ht="13">
      <c r="A151" s="22" t="s">
        <v>2800</v>
      </c>
      <c r="B151" s="31" t="s">
        <v>896</v>
      </c>
      <c r="C151" s="31" t="str">
        <f>VLOOKUP($A151,FA_Codes!$D$2:$G$249,4,FALSE)</f>
        <v>Drury East IPA</v>
      </c>
      <c r="D151" s="800">
        <f>SUMIF(O_CWP_NOW!$A:$A,$A151,O_CWP_NOW!D:D)+SUMIF(O_CWP_FUT!$A:$A,$A151,O_CWP_FUT!D:D)</f>
        <v>0</v>
      </c>
      <c r="E151" s="800">
        <f>SUMIF(O_CWP_NOW!$A:$A,$A151,O_CWP_NOW!E:E)+SUMIF(O_CWP_FUT!$A:$A,$A151,O_CWP_FUT!E:E)</f>
        <v>0</v>
      </c>
      <c r="F151" s="800">
        <f>SUMIF(O_CWP_NOW!$A:$A,$A151,O_CWP_NOW!F:F)+SUMIF(O_CWP_FUT!$A:$A,$A151,O_CWP_FUT!F:F)</f>
        <v>440455.43568436807</v>
      </c>
      <c r="G151" s="800">
        <f>SUMIF(O_CWP_NOW!$A:$A,$A151,O_CWP_NOW!G:G)+SUMIF(O_CWP_FUT!$A:$A,$A151,O_CWP_FUT!G:G)</f>
        <v>146773.91845351382</v>
      </c>
      <c r="H151" s="800">
        <f>SUMIF(O_CWP_NOW!$A:$A,$A151,O_CWP_NOW!H:H)+SUMIF(O_CWP_FUT!$A:$A,$A151,O_CWP_FUT!H:H)</f>
        <v>0</v>
      </c>
      <c r="I151" s="800">
        <f>SUMIF(O_CWP_NOW!$A:$A,$A151,O_CWP_NOW!I:I)+SUMIF(O_CWP_FUT!$A:$A,$A151,O_CWP_FUT!I:I)</f>
        <v>0</v>
      </c>
      <c r="J151" s="800">
        <f>SUMIF(O_CWP_NOW!$A:$A,$A151,O_CWP_NOW!J:J)+SUMIF(O_CWP_FUT!$A:$A,$A151,O_CWP_FUT!J:J)</f>
        <v>1575033.0253720044</v>
      </c>
      <c r="K151" s="800">
        <f>SUMIF(O_CWP_NOW!$A:$A,$A151,O_CWP_NOW!K:K)+SUMIF(O_CWP_FUT!$A:$A,$A151,O_CWP_FUT!K:K)</f>
        <v>270287.97827974666</v>
      </c>
      <c r="L151" s="800">
        <f>SUMIF(O_CWP_NOW!$A:$A,$A151,O_CWP_NOW!L:L)+SUMIF(O_CWP_FUT!$A:$A,$A151,O_CWP_FUT!L:L)</f>
        <v>9292666.6949457489</v>
      </c>
      <c r="M151" s="800">
        <f>SUMIF(O_CWP_NOW!$A:$A,$A151,O_CWP_NOW!M:M)+SUMIF(O_CWP_FUT!$A:$A,$A151,O_CWP_FUT!M:M)</f>
        <v>6995226.3991982164</v>
      </c>
      <c r="N151" s="800">
        <f>SUMIF(O_CWP_NOW!$A:$A,$A151,O_CWP_NOW!N:N)+SUMIF(O_CWP_FUT!$A:$A,$A151,O_CWP_FUT!N:N)</f>
        <v>44844747.202676311</v>
      </c>
      <c r="O151" s="800">
        <f t="shared" si="10"/>
        <v>63565190.654609904</v>
      </c>
      <c r="P151" s="40"/>
      <c r="R151" s="29"/>
      <c r="S151" s="29"/>
      <c r="W151" s="29"/>
      <c r="X151" s="29"/>
      <c r="Y151" s="29"/>
      <c r="Z151" s="29"/>
      <c r="AA151" s="29"/>
      <c r="AB151" s="29"/>
      <c r="AC151" s="29"/>
      <c r="AD151" s="29"/>
      <c r="AE151" s="29"/>
      <c r="AF151" s="29"/>
      <c r="AG151" s="29"/>
      <c r="AH151" s="29"/>
    </row>
    <row r="152" spans="1:34" ht="13">
      <c r="A152" s="22" t="s">
        <v>2801</v>
      </c>
      <c r="B152" s="31" t="s">
        <v>896</v>
      </c>
      <c r="C152" s="31" t="str">
        <f>VLOOKUP($A152,FA_Codes!$D$2:$G$249,4,FALSE)</f>
        <v>Drury West 1 IPA</v>
      </c>
      <c r="D152" s="800">
        <f>SUMIF(O_CWP_NOW!$A:$A,$A152,O_CWP_NOW!D:D)+SUMIF(O_CWP_FUT!$A:$A,$A152,O_CWP_FUT!D:D)</f>
        <v>0</v>
      </c>
      <c r="E152" s="800">
        <f>SUMIF(O_CWP_NOW!$A:$A,$A152,O_CWP_NOW!E:E)+SUMIF(O_CWP_FUT!$A:$A,$A152,O_CWP_FUT!E:E)</f>
        <v>0</v>
      </c>
      <c r="F152" s="800">
        <f>SUMIF(O_CWP_NOW!$A:$A,$A152,O_CWP_NOW!F:F)+SUMIF(O_CWP_FUT!$A:$A,$A152,O_CWP_FUT!F:F)</f>
        <v>15616.493071739998</v>
      </c>
      <c r="G152" s="800">
        <f>SUMIF(O_CWP_NOW!$A:$A,$A152,O_CWP_NOW!G:G)+SUMIF(O_CWP_FUT!$A:$A,$A152,O_CWP_FUT!G:G)</f>
        <v>0</v>
      </c>
      <c r="H152" s="800">
        <f>SUMIF(O_CWP_NOW!$A:$A,$A152,O_CWP_NOW!H:H)+SUMIF(O_CWP_FUT!$A:$A,$A152,O_CWP_FUT!H:H)</f>
        <v>596405.53015487536</v>
      </c>
      <c r="I152" s="800">
        <f>SUMIF(O_CWP_NOW!$A:$A,$A152,O_CWP_NOW!I:I)+SUMIF(O_CWP_FUT!$A:$A,$A152,O_CWP_FUT!I:I)</f>
        <v>565220.2848092753</v>
      </c>
      <c r="J152" s="800">
        <f>SUMIF(O_CWP_NOW!$A:$A,$A152,O_CWP_NOW!J:J)+SUMIF(O_CWP_FUT!$A:$A,$A152,O_CWP_FUT!J:J)</f>
        <v>5658142.3069039527</v>
      </c>
      <c r="K152" s="800">
        <f>SUMIF(O_CWP_NOW!$A:$A,$A152,O_CWP_NOW!K:K)+SUMIF(O_CWP_FUT!$A:$A,$A152,O_CWP_FUT!K:K)</f>
        <v>0</v>
      </c>
      <c r="L152" s="800">
        <f>SUMIF(O_CWP_NOW!$A:$A,$A152,O_CWP_NOW!L:L)+SUMIF(O_CWP_FUT!$A:$A,$A152,O_CWP_FUT!L:L)</f>
        <v>390995.46576108126</v>
      </c>
      <c r="M152" s="800">
        <f>SUMIF(O_CWP_NOW!$A:$A,$A152,O_CWP_NOW!M:M)+SUMIF(O_CWP_FUT!$A:$A,$A152,O_CWP_FUT!M:M)</f>
        <v>1899035.6184261101</v>
      </c>
      <c r="N152" s="800">
        <f>SUMIF(O_CWP_NOW!$A:$A,$A152,O_CWP_NOW!N:N)+SUMIF(O_CWP_FUT!$A:$A,$A152,O_CWP_FUT!N:N)</f>
        <v>16082475.284481268</v>
      </c>
      <c r="O152" s="800">
        <f t="shared" si="10"/>
        <v>25207890.983608305</v>
      </c>
      <c r="P152" s="40"/>
      <c r="R152" s="29"/>
      <c r="S152" s="29"/>
      <c r="W152" s="29"/>
      <c r="X152" s="29"/>
      <c r="Y152" s="29"/>
      <c r="Z152" s="29"/>
      <c r="AA152" s="29"/>
      <c r="AB152" s="29"/>
      <c r="AC152" s="29"/>
      <c r="AD152" s="29"/>
      <c r="AE152" s="29"/>
      <c r="AF152" s="29"/>
      <c r="AG152" s="29"/>
      <c r="AH152" s="29"/>
    </row>
    <row r="153" spans="1:34" ht="13">
      <c r="A153" s="22" t="s">
        <v>2802</v>
      </c>
      <c r="B153" s="31" t="s">
        <v>896</v>
      </c>
      <c r="C153" s="31" t="str">
        <f>VLOOKUP($A153,FA_Codes!$D$2:$G$249,4,FALSE)</f>
        <v>Drury West 2 IPA</v>
      </c>
      <c r="D153" s="800">
        <f>SUMIF(O_CWP_NOW!$A:$A,$A153,O_CWP_NOW!D:D)+SUMIF(O_CWP_FUT!$A:$A,$A153,O_CWP_FUT!D:D)</f>
        <v>0</v>
      </c>
      <c r="E153" s="800">
        <f>SUMIF(O_CWP_NOW!$A:$A,$A153,O_CWP_NOW!E:E)+SUMIF(O_CWP_FUT!$A:$A,$A153,O_CWP_FUT!E:E)</f>
        <v>0</v>
      </c>
      <c r="F153" s="800">
        <f>SUMIF(O_CWP_NOW!$A:$A,$A153,O_CWP_NOW!F:F)+SUMIF(O_CWP_FUT!$A:$A,$A153,O_CWP_FUT!F:F)</f>
        <v>15954.872447521679</v>
      </c>
      <c r="G153" s="800">
        <f>SUMIF(O_CWP_NOW!$A:$A,$A153,O_CWP_NOW!G:G)+SUMIF(O_CWP_FUT!$A:$A,$A153,O_CWP_FUT!G:G)</f>
        <v>0</v>
      </c>
      <c r="H153" s="800">
        <f>SUMIF(O_CWP_NOW!$A:$A,$A153,O_CWP_NOW!H:H)+SUMIF(O_CWP_FUT!$A:$A,$A153,O_CWP_FUT!H:H)</f>
        <v>67703.165684470427</v>
      </c>
      <c r="I153" s="800">
        <f>SUMIF(O_CWP_NOW!$A:$A,$A153,O_CWP_NOW!I:I)+SUMIF(O_CWP_FUT!$A:$A,$A153,O_CWP_FUT!I:I)</f>
        <v>64163.057946039924</v>
      </c>
      <c r="J153" s="800">
        <f>SUMIF(O_CWP_NOW!$A:$A,$A153,O_CWP_NOW!J:J)+SUMIF(O_CWP_FUT!$A:$A,$A153,O_CWP_FUT!J:J)</f>
        <v>642766.41634910076</v>
      </c>
      <c r="K153" s="800">
        <f>SUMIF(O_CWP_NOW!$A:$A,$A153,O_CWP_NOW!K:K)+SUMIF(O_CWP_FUT!$A:$A,$A153,O_CWP_FUT!K:K)</f>
        <v>0</v>
      </c>
      <c r="L153" s="800">
        <f>SUMIF(O_CWP_NOW!$A:$A,$A153,O_CWP_NOW!L:L)+SUMIF(O_CWP_FUT!$A:$A,$A153,O_CWP_FUT!L:L)</f>
        <v>269737.54459595447</v>
      </c>
      <c r="M153" s="800">
        <f>SUMIF(O_CWP_NOW!$A:$A,$A153,O_CWP_NOW!M:M)+SUMIF(O_CWP_FUT!$A:$A,$A153,O_CWP_FUT!M:M)</f>
        <v>440401.19342062809</v>
      </c>
      <c r="N153" s="800">
        <f>SUMIF(O_CWP_NOW!$A:$A,$A153,O_CWP_NOW!N:N)+SUMIF(O_CWP_FUT!$A:$A,$A153,O_CWP_FUT!N:N)</f>
        <v>6339642.6603734903</v>
      </c>
      <c r="O153" s="800">
        <f t="shared" si="10"/>
        <v>7840368.9108172059</v>
      </c>
      <c r="P153" s="40"/>
      <c r="R153" s="29"/>
      <c r="S153" s="29"/>
      <c r="W153" s="29"/>
      <c r="X153" s="29"/>
      <c r="Y153" s="29"/>
      <c r="Z153" s="29"/>
      <c r="AA153" s="29"/>
      <c r="AB153" s="29"/>
      <c r="AC153" s="29"/>
      <c r="AD153" s="29"/>
      <c r="AE153" s="29"/>
      <c r="AF153" s="29"/>
      <c r="AG153" s="29"/>
      <c r="AH153" s="29"/>
    </row>
    <row r="154" spans="1:34" ht="13">
      <c r="A154" s="22" t="s">
        <v>2803</v>
      </c>
      <c r="B154" s="31" t="s">
        <v>896</v>
      </c>
      <c r="C154" s="31" t="str">
        <f>VLOOKUP($A154,FA_Codes!$D$2:$G$249,4,FALSE)</f>
        <v>Opaheke IPA</v>
      </c>
      <c r="D154" s="800">
        <f>SUMIF(O_CWP_NOW!$A:$A,$A154,O_CWP_NOW!D:D)+SUMIF(O_CWP_FUT!$A:$A,$A154,O_CWP_FUT!D:D)</f>
        <v>0</v>
      </c>
      <c r="E154" s="800">
        <f>SUMIF(O_CWP_NOW!$A:$A,$A154,O_CWP_NOW!E:E)+SUMIF(O_CWP_FUT!$A:$A,$A154,O_CWP_FUT!E:E)</f>
        <v>0</v>
      </c>
      <c r="F154" s="800">
        <f>SUMIF(O_CWP_NOW!$A:$A,$A154,O_CWP_NOW!F:F)+SUMIF(O_CWP_FUT!$A:$A,$A154,O_CWP_FUT!F:F)</f>
        <v>90311.129558219342</v>
      </c>
      <c r="G154" s="800">
        <f>SUMIF(O_CWP_NOW!$A:$A,$A154,O_CWP_NOW!G:G)+SUMIF(O_CWP_FUT!$A:$A,$A154,O_CWP_FUT!G:G)</f>
        <v>590.54139416203407</v>
      </c>
      <c r="H154" s="800">
        <f>SUMIF(O_CWP_NOW!$A:$A,$A154,O_CWP_NOW!H:H)+SUMIF(O_CWP_FUT!$A:$A,$A154,O_CWP_FUT!H:H)</f>
        <v>0</v>
      </c>
      <c r="I154" s="800">
        <f>SUMIF(O_CWP_NOW!$A:$A,$A154,O_CWP_NOW!I:I)+SUMIF(O_CWP_FUT!$A:$A,$A154,O_CWP_FUT!I:I)</f>
        <v>0</v>
      </c>
      <c r="J154" s="800">
        <f>SUMIF(O_CWP_NOW!$A:$A,$A154,O_CWP_NOW!J:J)+SUMIF(O_CWP_FUT!$A:$A,$A154,O_CWP_FUT!J:J)</f>
        <v>72009.065582035066</v>
      </c>
      <c r="K154" s="800">
        <f>SUMIF(O_CWP_NOW!$A:$A,$A154,O_CWP_NOW!K:K)+SUMIF(O_CWP_FUT!$A:$A,$A154,O_CWP_FUT!K:K)</f>
        <v>17813.55127162813</v>
      </c>
      <c r="L154" s="800">
        <f>SUMIF(O_CWP_NOW!$A:$A,$A154,O_CWP_NOW!L:L)+SUMIF(O_CWP_FUT!$A:$A,$A154,O_CWP_FUT!L:L)</f>
        <v>1515152.0615531909</v>
      </c>
      <c r="M154" s="800">
        <f>SUMIF(O_CWP_NOW!$A:$A,$A154,O_CWP_NOW!M:M)+SUMIF(O_CWP_FUT!$A:$A,$A154,O_CWP_FUT!M:M)</f>
        <v>1594871.9041736342</v>
      </c>
      <c r="N154" s="800">
        <f>SUMIF(O_CWP_NOW!$A:$A,$A154,O_CWP_NOW!N:N)+SUMIF(O_CWP_FUT!$A:$A,$A154,O_CWP_FUT!N:N)</f>
        <v>6688593.7202854808</v>
      </c>
      <c r="O154" s="800">
        <f t="shared" si="10"/>
        <v>9979341.9738183506</v>
      </c>
      <c r="P154" s="40"/>
      <c r="R154" s="29"/>
      <c r="S154" s="29"/>
      <c r="W154" s="29"/>
      <c r="X154" s="29"/>
      <c r="Y154" s="29"/>
      <c r="Z154" s="29"/>
      <c r="AA154" s="29"/>
      <c r="AB154" s="29"/>
      <c r="AC154" s="29"/>
      <c r="AD154" s="29"/>
      <c r="AE154" s="29"/>
      <c r="AF154" s="29"/>
      <c r="AG154" s="29"/>
      <c r="AH154" s="29"/>
    </row>
    <row r="155" spans="1:34" ht="13">
      <c r="A155" s="22" t="s">
        <v>2804</v>
      </c>
      <c r="B155" s="31" t="s">
        <v>896</v>
      </c>
      <c r="C155" s="31" t="str">
        <f>VLOOKUP($A155,FA_Codes!$D$2:$G$249,4,FALSE)</f>
        <v>Southern Growth Area 3</v>
      </c>
      <c r="D155" s="800">
        <f>SUMIF(O_CWP_NOW!$A:$A,$A155,O_CWP_NOW!D:D)+SUMIF(O_CWP_FUT!$A:$A,$A155,O_CWP_FUT!D:D)</f>
        <v>0</v>
      </c>
      <c r="E155" s="800">
        <f>SUMIF(O_CWP_NOW!$A:$A,$A155,O_CWP_NOW!E:E)+SUMIF(O_CWP_FUT!$A:$A,$A155,O_CWP_FUT!E:E)</f>
        <v>0</v>
      </c>
      <c r="F155" s="800">
        <f>SUMIF(O_CWP_NOW!$A:$A,$A155,O_CWP_NOW!F:F)+SUMIF(O_CWP_FUT!$A:$A,$A155,O_CWP_FUT!F:F)</f>
        <v>0</v>
      </c>
      <c r="G155" s="800">
        <f>SUMIF(O_CWP_NOW!$A:$A,$A155,O_CWP_NOW!G:G)+SUMIF(O_CWP_FUT!$A:$A,$A155,O_CWP_FUT!G:G)</f>
        <v>0</v>
      </c>
      <c r="H155" s="800">
        <f>SUMIF(O_CWP_NOW!$A:$A,$A155,O_CWP_NOW!H:H)+SUMIF(O_CWP_FUT!$A:$A,$A155,O_CWP_FUT!H:H)</f>
        <v>0</v>
      </c>
      <c r="I155" s="800">
        <f>SUMIF(O_CWP_NOW!$A:$A,$A155,O_CWP_NOW!I:I)+SUMIF(O_CWP_FUT!$A:$A,$A155,O_CWP_FUT!I:I)</f>
        <v>0</v>
      </c>
      <c r="J155" s="800">
        <f>SUMIF(O_CWP_NOW!$A:$A,$A155,O_CWP_NOW!J:J)+SUMIF(O_CWP_FUT!$A:$A,$A155,O_CWP_FUT!J:J)</f>
        <v>0</v>
      </c>
      <c r="K155" s="800">
        <f>SUMIF(O_CWP_NOW!$A:$A,$A155,O_CWP_NOW!K:K)+SUMIF(O_CWP_FUT!$A:$A,$A155,O_CWP_FUT!K:K)</f>
        <v>0</v>
      </c>
      <c r="L155" s="800">
        <f>SUMIF(O_CWP_NOW!$A:$A,$A155,O_CWP_NOW!L:L)+SUMIF(O_CWP_FUT!$A:$A,$A155,O_CWP_FUT!L:L)</f>
        <v>0</v>
      </c>
      <c r="M155" s="800">
        <f>SUMIF(O_CWP_NOW!$A:$A,$A155,O_CWP_NOW!M:M)+SUMIF(O_CWP_FUT!$A:$A,$A155,O_CWP_FUT!M:M)</f>
        <v>6557.6351909335335</v>
      </c>
      <c r="N155" s="800">
        <f>SUMIF(O_CWP_NOW!$A:$A,$A155,O_CWP_NOW!N:N)+SUMIF(O_CWP_FUT!$A:$A,$A155,O_CWP_FUT!N:N)</f>
        <v>65180.679134184247</v>
      </c>
      <c r="O155" s="800">
        <f t="shared" si="10"/>
        <v>71738.314325117783</v>
      </c>
      <c r="P155" s="40"/>
      <c r="R155" s="29"/>
      <c r="S155" s="29"/>
      <c r="W155" s="29"/>
      <c r="X155" s="29"/>
      <c r="Y155" s="29"/>
      <c r="Z155" s="29"/>
      <c r="AA155" s="29"/>
      <c r="AB155" s="29"/>
      <c r="AC155" s="29"/>
      <c r="AD155" s="29"/>
      <c r="AE155" s="29"/>
      <c r="AF155" s="29"/>
      <c r="AG155" s="29"/>
      <c r="AH155" s="29"/>
    </row>
    <row r="156" spans="1:34" ht="13">
      <c r="A156" s="22" t="s">
        <v>2805</v>
      </c>
      <c r="B156" s="31" t="s">
        <v>896</v>
      </c>
      <c r="C156" s="31" t="str">
        <f>VLOOKUP($A156,FA_Codes!$D$2:$G$249,4,FALSE)</f>
        <v>Southern Growth Area 2</v>
      </c>
      <c r="D156" s="800">
        <f>SUMIF(O_CWP_NOW!$A:$A,$A156,O_CWP_NOW!D:D)+SUMIF(O_CWP_FUT!$A:$A,$A156,O_CWP_FUT!D:D)</f>
        <v>0</v>
      </c>
      <c r="E156" s="800">
        <f>SUMIF(O_CWP_NOW!$A:$A,$A156,O_CWP_NOW!E:E)+SUMIF(O_CWP_FUT!$A:$A,$A156,O_CWP_FUT!E:E)</f>
        <v>0</v>
      </c>
      <c r="F156" s="800">
        <f>SUMIF(O_CWP_NOW!$A:$A,$A156,O_CWP_NOW!F:F)+SUMIF(O_CWP_FUT!$A:$A,$A156,O_CWP_FUT!F:F)</f>
        <v>20814.142833680242</v>
      </c>
      <c r="G156" s="800">
        <f>SUMIF(O_CWP_NOW!$A:$A,$A156,O_CWP_NOW!G:G)+SUMIF(O_CWP_FUT!$A:$A,$A156,O_CWP_FUT!G:G)</f>
        <v>0</v>
      </c>
      <c r="H156" s="800">
        <f>SUMIF(O_CWP_NOW!$A:$A,$A156,O_CWP_NOW!H:H)+SUMIF(O_CWP_FUT!$A:$A,$A156,O_CWP_FUT!H:H)</f>
        <v>0</v>
      </c>
      <c r="I156" s="800">
        <f>SUMIF(O_CWP_NOW!$A:$A,$A156,O_CWP_NOW!I:I)+SUMIF(O_CWP_FUT!$A:$A,$A156,O_CWP_FUT!I:I)</f>
        <v>0</v>
      </c>
      <c r="J156" s="800">
        <f>SUMIF(O_CWP_NOW!$A:$A,$A156,O_CWP_NOW!J:J)+SUMIF(O_CWP_FUT!$A:$A,$A156,O_CWP_FUT!J:J)</f>
        <v>677.45595337353768</v>
      </c>
      <c r="K156" s="800">
        <f>SUMIF(O_CWP_NOW!$A:$A,$A156,O_CWP_NOW!K:K)+SUMIF(O_CWP_FUT!$A:$A,$A156,O_CWP_FUT!K:K)</f>
        <v>0</v>
      </c>
      <c r="L156" s="800">
        <f>SUMIF(O_CWP_NOW!$A:$A,$A156,O_CWP_NOW!L:L)+SUMIF(O_CWP_FUT!$A:$A,$A156,O_CWP_FUT!L:L)</f>
        <v>421771.33962914185</v>
      </c>
      <c r="M156" s="800">
        <f>SUMIF(O_CWP_NOW!$A:$A,$A156,O_CWP_NOW!M:M)+SUMIF(O_CWP_FUT!$A:$A,$A156,O_CWP_FUT!M:M)</f>
        <v>208292.1553342641</v>
      </c>
      <c r="N156" s="800">
        <f>SUMIF(O_CWP_NOW!$A:$A,$A156,O_CWP_NOW!N:N)+SUMIF(O_CWP_FUT!$A:$A,$A156,O_CWP_FUT!N:N)</f>
        <v>2695026.7159416592</v>
      </c>
      <c r="O156" s="800">
        <f t="shared" si="10"/>
        <v>3346581.8096921188</v>
      </c>
      <c r="P156" s="40"/>
      <c r="R156" s="29"/>
      <c r="S156" s="29"/>
      <c r="W156" s="29"/>
      <c r="X156" s="29"/>
      <c r="Y156" s="29"/>
      <c r="Z156" s="29"/>
      <c r="AA156" s="29"/>
      <c r="AB156" s="29"/>
      <c r="AC156" s="29"/>
      <c r="AD156" s="29"/>
      <c r="AE156" s="29"/>
      <c r="AF156" s="29"/>
      <c r="AG156" s="29"/>
      <c r="AH156" s="29"/>
    </row>
    <row r="157" spans="1:34" ht="13">
      <c r="A157" s="22" t="s">
        <v>2806</v>
      </c>
      <c r="B157" s="31" t="s">
        <v>896</v>
      </c>
      <c r="C157" s="31" t="str">
        <f>VLOOKUP($A157,FA_Codes!$D$2:$G$249,4,FALSE)</f>
        <v>Southern Growth Area 1</v>
      </c>
      <c r="D157" s="800">
        <f>SUMIF(O_CWP_NOW!$A:$A,$A157,O_CWP_NOW!D:D)+SUMIF(O_CWP_FUT!$A:$A,$A157,O_CWP_FUT!D:D)</f>
        <v>0</v>
      </c>
      <c r="E157" s="800">
        <f>SUMIF(O_CWP_NOW!$A:$A,$A157,O_CWP_NOW!E:E)+SUMIF(O_CWP_FUT!$A:$A,$A157,O_CWP_FUT!E:E)</f>
        <v>0</v>
      </c>
      <c r="F157" s="800">
        <f>SUMIF(O_CWP_NOW!$A:$A,$A157,O_CWP_NOW!F:F)+SUMIF(O_CWP_FUT!$A:$A,$A157,O_CWP_FUT!F:F)</f>
        <v>12393.325918687979</v>
      </c>
      <c r="G157" s="800">
        <f>SUMIF(O_CWP_NOW!$A:$A,$A157,O_CWP_NOW!G:G)+SUMIF(O_CWP_FUT!$A:$A,$A157,O_CWP_FUT!G:G)</f>
        <v>1436.8379117121663</v>
      </c>
      <c r="H157" s="800">
        <f>SUMIF(O_CWP_NOW!$A:$A,$A157,O_CWP_NOW!H:H)+SUMIF(O_CWP_FUT!$A:$A,$A157,O_CWP_FUT!H:H)</f>
        <v>0</v>
      </c>
      <c r="I157" s="800">
        <f>SUMIF(O_CWP_NOW!$A:$A,$A157,O_CWP_NOW!I:I)+SUMIF(O_CWP_FUT!$A:$A,$A157,O_CWP_FUT!I:I)</f>
        <v>0</v>
      </c>
      <c r="J157" s="800">
        <f>SUMIF(O_CWP_NOW!$A:$A,$A157,O_CWP_NOW!J:J)+SUMIF(O_CWP_FUT!$A:$A,$A157,O_CWP_FUT!J:J)</f>
        <v>16455.053110045228</v>
      </c>
      <c r="K157" s="800">
        <f>SUMIF(O_CWP_NOW!$A:$A,$A157,O_CWP_NOW!K:K)+SUMIF(O_CWP_FUT!$A:$A,$A157,O_CWP_FUT!K:K)</f>
        <v>2851.9630494961812</v>
      </c>
      <c r="L157" s="800">
        <f>SUMIF(O_CWP_NOW!$A:$A,$A157,O_CWP_NOW!L:L)+SUMIF(O_CWP_FUT!$A:$A,$A157,O_CWP_FUT!L:L)</f>
        <v>193104.50483588441</v>
      </c>
      <c r="M157" s="800">
        <f>SUMIF(O_CWP_NOW!$A:$A,$A157,O_CWP_NOW!M:M)+SUMIF(O_CWP_FUT!$A:$A,$A157,O_CWP_FUT!M:M)</f>
        <v>199800.52166008265</v>
      </c>
      <c r="N157" s="800">
        <f>SUMIF(O_CWP_NOW!$A:$A,$A157,O_CWP_NOW!N:N)+SUMIF(O_CWP_FUT!$A:$A,$A157,O_CWP_FUT!N:N)</f>
        <v>690848.12838664651</v>
      </c>
      <c r="O157" s="800">
        <f t="shared" si="10"/>
        <v>1116890.334872555</v>
      </c>
      <c r="P157" s="40"/>
      <c r="R157" s="29"/>
      <c r="S157" s="29"/>
      <c r="W157" s="29"/>
      <c r="X157" s="29"/>
      <c r="Y157" s="29"/>
      <c r="Z157" s="29"/>
      <c r="AA157" s="29"/>
      <c r="AB157" s="29"/>
      <c r="AC157" s="29"/>
      <c r="AD157" s="29"/>
      <c r="AE157" s="29"/>
      <c r="AF157" s="29"/>
      <c r="AG157" s="29"/>
      <c r="AH157" s="29"/>
    </row>
    <row r="158" spans="1:34" ht="13" hidden="1">
      <c r="A158" s="22" t="s">
        <v>2807</v>
      </c>
      <c r="B158" s="31" t="s">
        <v>896</v>
      </c>
      <c r="C158" s="31" t="str">
        <f>VLOOKUP($A158,FA_Codes!$D$2:$G$249,4,FALSE)</f>
        <v>Area 30</v>
      </c>
      <c r="D158" s="800">
        <f>SUMIF(O_CWP_NOW!$A:$A,$A158,O_CWP_NOW!D:D)+SUMIF(O_CWP_FUT!$A:$A,$A158,O_CWP_FUT!D:D)</f>
        <v>0</v>
      </c>
      <c r="E158" s="800">
        <f>SUMIF(O_CWP_NOW!$A:$A,$A158,O_CWP_NOW!E:E)+SUMIF(O_CWP_FUT!$A:$A,$A158,O_CWP_FUT!E:E)</f>
        <v>0</v>
      </c>
      <c r="F158" s="800">
        <f>SUMIF(O_CWP_NOW!$A:$A,$A158,O_CWP_NOW!F:F)+SUMIF(O_CWP_FUT!$A:$A,$A158,O_CWP_FUT!F:F)</f>
        <v>0</v>
      </c>
      <c r="G158" s="800">
        <f>SUMIF(O_CWP_NOW!$A:$A,$A158,O_CWP_NOW!G:G)+SUMIF(O_CWP_FUT!$A:$A,$A158,O_CWP_FUT!G:G)</f>
        <v>0</v>
      </c>
      <c r="H158" s="800">
        <f>SUMIF(O_CWP_NOW!$A:$A,$A158,O_CWP_NOW!H:H)+SUMIF(O_CWP_FUT!$A:$A,$A158,O_CWP_FUT!H:H)</f>
        <v>0</v>
      </c>
      <c r="I158" s="800">
        <f>SUMIF(O_CWP_NOW!$A:$A,$A158,O_CWP_NOW!I:I)+SUMIF(O_CWP_FUT!$A:$A,$A158,O_CWP_FUT!I:I)</f>
        <v>0</v>
      </c>
      <c r="J158" s="800">
        <f>SUMIF(O_CWP_NOW!$A:$A,$A158,O_CWP_NOW!J:J)+SUMIF(O_CWP_FUT!$A:$A,$A158,O_CWP_FUT!J:J)</f>
        <v>0</v>
      </c>
      <c r="K158" s="800">
        <f>SUMIF(O_CWP_NOW!$A:$A,$A158,O_CWP_NOW!K:K)+SUMIF(O_CWP_FUT!$A:$A,$A158,O_CWP_FUT!K:K)</f>
        <v>0</v>
      </c>
      <c r="L158" s="800">
        <f>SUMIF(O_CWP_NOW!$A:$A,$A158,O_CWP_NOW!L:L)+SUMIF(O_CWP_FUT!$A:$A,$A158,O_CWP_FUT!L:L)</f>
        <v>0</v>
      </c>
      <c r="M158" s="800">
        <f>SUMIF(O_CWP_NOW!$A:$A,$A158,O_CWP_NOW!M:M)+SUMIF(O_CWP_FUT!$A:$A,$A158,O_CWP_FUT!M:M)</f>
        <v>0</v>
      </c>
      <c r="N158" s="800">
        <f>SUMIF(O_CWP_NOW!$A:$A,$A158,O_CWP_NOW!N:N)+SUMIF(O_CWP_FUT!$A:$A,$A158,O_CWP_FUT!N:N)</f>
        <v>0</v>
      </c>
      <c r="O158" s="800">
        <f t="shared" si="10"/>
        <v>0</v>
      </c>
      <c r="P158" s="40"/>
      <c r="R158" s="29"/>
      <c r="S158" s="29"/>
      <c r="W158" s="29"/>
      <c r="X158" s="29"/>
      <c r="Y158" s="29"/>
      <c r="Z158" s="29"/>
      <c r="AA158" s="29"/>
      <c r="AB158" s="29"/>
      <c r="AC158" s="29"/>
      <c r="AD158" s="29"/>
      <c r="AE158" s="29"/>
      <c r="AF158" s="29"/>
      <c r="AG158" s="29"/>
      <c r="AH158" s="29"/>
    </row>
    <row r="159" spans="1:34" ht="13" hidden="1">
      <c r="A159" s="22" t="s">
        <v>2808</v>
      </c>
      <c r="B159" s="31" t="s">
        <v>896</v>
      </c>
      <c r="C159" s="31" t="str">
        <f>VLOOKUP($A159,FA_Codes!$D$2:$G$249,4,FALSE)</f>
        <v>Area 31</v>
      </c>
      <c r="D159" s="800">
        <f>SUMIF(O_CWP_NOW!$A:$A,$A159,O_CWP_NOW!D:D)+SUMIF(O_CWP_FUT!$A:$A,$A159,O_CWP_FUT!D:D)</f>
        <v>0</v>
      </c>
      <c r="E159" s="800">
        <f>SUMIF(O_CWP_NOW!$A:$A,$A159,O_CWP_NOW!E:E)+SUMIF(O_CWP_FUT!$A:$A,$A159,O_CWP_FUT!E:E)</f>
        <v>0</v>
      </c>
      <c r="F159" s="800">
        <f>SUMIF(O_CWP_NOW!$A:$A,$A159,O_CWP_NOW!F:F)+SUMIF(O_CWP_FUT!$A:$A,$A159,O_CWP_FUT!F:F)</f>
        <v>0</v>
      </c>
      <c r="G159" s="800">
        <f>SUMIF(O_CWP_NOW!$A:$A,$A159,O_CWP_NOW!G:G)+SUMIF(O_CWP_FUT!$A:$A,$A159,O_CWP_FUT!G:G)</f>
        <v>0</v>
      </c>
      <c r="H159" s="800">
        <f>SUMIF(O_CWP_NOW!$A:$A,$A159,O_CWP_NOW!H:H)+SUMIF(O_CWP_FUT!$A:$A,$A159,O_CWP_FUT!H:H)</f>
        <v>0</v>
      </c>
      <c r="I159" s="800">
        <f>SUMIF(O_CWP_NOW!$A:$A,$A159,O_CWP_NOW!I:I)+SUMIF(O_CWP_FUT!$A:$A,$A159,O_CWP_FUT!I:I)</f>
        <v>0</v>
      </c>
      <c r="J159" s="800">
        <f>SUMIF(O_CWP_NOW!$A:$A,$A159,O_CWP_NOW!J:J)+SUMIF(O_CWP_FUT!$A:$A,$A159,O_CWP_FUT!J:J)</f>
        <v>0</v>
      </c>
      <c r="K159" s="800">
        <f>SUMIF(O_CWP_NOW!$A:$A,$A159,O_CWP_NOW!K:K)+SUMIF(O_CWP_FUT!$A:$A,$A159,O_CWP_FUT!K:K)</f>
        <v>0</v>
      </c>
      <c r="L159" s="800">
        <f>SUMIF(O_CWP_NOW!$A:$A,$A159,O_CWP_NOW!L:L)+SUMIF(O_CWP_FUT!$A:$A,$A159,O_CWP_FUT!L:L)</f>
        <v>0</v>
      </c>
      <c r="M159" s="800">
        <f>SUMIF(O_CWP_NOW!$A:$A,$A159,O_CWP_NOW!M:M)+SUMIF(O_CWP_FUT!$A:$A,$A159,O_CWP_FUT!M:M)</f>
        <v>0</v>
      </c>
      <c r="N159" s="800">
        <f>SUMIF(O_CWP_NOW!$A:$A,$A159,O_CWP_NOW!N:N)+SUMIF(O_CWP_FUT!$A:$A,$A159,O_CWP_FUT!N:N)</f>
        <v>0</v>
      </c>
      <c r="O159" s="800">
        <f t="shared" si="10"/>
        <v>0</v>
      </c>
      <c r="P159" s="40"/>
      <c r="R159" s="29"/>
      <c r="S159" s="29"/>
      <c r="W159" s="29"/>
      <c r="X159" s="29"/>
      <c r="Y159" s="29"/>
      <c r="Z159" s="29"/>
      <c r="AA159" s="29"/>
      <c r="AB159" s="29"/>
      <c r="AC159" s="29"/>
      <c r="AD159" s="29"/>
      <c r="AE159" s="29"/>
      <c r="AF159" s="29"/>
      <c r="AG159" s="29"/>
      <c r="AH159" s="29"/>
    </row>
    <row r="160" spans="1:34" ht="13" hidden="1">
      <c r="A160" s="22" t="s">
        <v>2809</v>
      </c>
      <c r="B160" s="31" t="s">
        <v>896</v>
      </c>
      <c r="C160" s="58" t="s">
        <v>7013</v>
      </c>
      <c r="D160" s="800">
        <f>SUMIF(O_CWP_NOW!$A:$A,$A160,O_CWP_NOW!D:D)+SUMIF(O_CWP_FUT!$A:$A,$A160,O_CWP_FUT!D:D)</f>
        <v>0</v>
      </c>
      <c r="E160" s="800">
        <f>SUMIF(O_CWP_NOW!$A:$A,$A160,O_CWP_NOW!E:E)+SUMIF(O_CWP_FUT!$A:$A,$A160,O_CWP_FUT!E:E)</f>
        <v>0</v>
      </c>
      <c r="F160" s="800">
        <f>SUMIF(O_CWP_NOW!$A:$A,$A160,O_CWP_NOW!F:F)+SUMIF(O_CWP_FUT!$A:$A,$A160,O_CWP_FUT!F:F)</f>
        <v>0</v>
      </c>
      <c r="G160" s="800">
        <f>SUMIF(O_CWP_NOW!$A:$A,$A160,O_CWP_NOW!G:G)+SUMIF(O_CWP_FUT!$A:$A,$A160,O_CWP_FUT!G:G)</f>
        <v>0</v>
      </c>
      <c r="H160" s="800">
        <f>SUMIF(O_CWP_NOW!$A:$A,$A160,O_CWP_NOW!H:H)+SUMIF(O_CWP_FUT!$A:$A,$A160,O_CWP_FUT!H:H)</f>
        <v>0</v>
      </c>
      <c r="I160" s="800">
        <f>SUMIF(O_CWP_NOW!$A:$A,$A160,O_CWP_NOW!I:I)+SUMIF(O_CWP_FUT!$A:$A,$A160,O_CWP_FUT!I:I)</f>
        <v>0</v>
      </c>
      <c r="J160" s="800">
        <f>SUMIF(O_CWP_NOW!$A:$A,$A160,O_CWP_NOW!J:J)+SUMIF(O_CWP_FUT!$A:$A,$A160,O_CWP_FUT!J:J)</f>
        <v>0</v>
      </c>
      <c r="K160" s="800">
        <f>SUMIF(O_CWP_NOW!$A:$A,$A160,O_CWP_NOW!K:K)+SUMIF(O_CWP_FUT!$A:$A,$A160,O_CWP_FUT!K:K)</f>
        <v>0</v>
      </c>
      <c r="L160" s="800">
        <f>SUMIF(O_CWP_NOW!$A:$A,$A160,O_CWP_NOW!L:L)+SUMIF(O_CWP_FUT!$A:$A,$A160,O_CWP_FUT!L:L)</f>
        <v>0</v>
      </c>
      <c r="M160" s="800">
        <f>SUMIF(O_CWP_NOW!$A:$A,$A160,O_CWP_NOW!M:M)+SUMIF(O_CWP_FUT!$A:$A,$A160,O_CWP_FUT!M:M)</f>
        <v>0</v>
      </c>
      <c r="N160" s="800">
        <f>SUMIF(O_CWP_NOW!$A:$A,$A160,O_CWP_NOW!N:N)+SUMIF(O_CWP_FUT!$A:$A,$A160,O_CWP_FUT!N:N)</f>
        <v>0</v>
      </c>
      <c r="O160" s="800">
        <f t="shared" si="10"/>
        <v>0</v>
      </c>
      <c r="P160" s="40"/>
      <c r="R160" s="29"/>
      <c r="S160" s="29"/>
      <c r="W160" s="29"/>
      <c r="X160" s="29"/>
      <c r="Y160" s="29"/>
      <c r="Z160" s="29"/>
      <c r="AA160" s="29"/>
      <c r="AB160" s="29"/>
      <c r="AC160" s="29"/>
      <c r="AD160" s="29"/>
      <c r="AE160" s="29"/>
      <c r="AF160" s="29"/>
      <c r="AG160" s="29"/>
      <c r="AH160" s="29"/>
    </row>
    <row r="161" spans="1:34" ht="13" hidden="1">
      <c r="A161" s="35" t="s">
        <v>2810</v>
      </c>
      <c r="B161" s="31" t="s">
        <v>1055</v>
      </c>
      <c r="C161" s="31" t="str">
        <f>VLOOKUP($A161,FA_Codes!$D$2:$G$249,4,FALSE)</f>
        <v>Auckland wide</v>
      </c>
      <c r="D161" s="800">
        <f>SUMIF(O_CWP_NOW!$A:$A,$A161,O_CWP_NOW!D:D)+SUMIF(O_CWP_FUT!$A:$A,$A161,O_CWP_FUT!D:D)</f>
        <v>0</v>
      </c>
      <c r="E161" s="800">
        <f>SUMIF(O_CWP_NOW!$A:$A,$A161,O_CWP_NOW!E:E)+SUMIF(O_CWP_FUT!$A:$A,$A161,O_CWP_FUT!E:E)</f>
        <v>0</v>
      </c>
      <c r="F161" s="800">
        <f>SUMIF(O_CWP_NOW!$A:$A,$A161,O_CWP_NOW!F:F)+SUMIF(O_CWP_FUT!$A:$A,$A161,O_CWP_FUT!F:F)</f>
        <v>0</v>
      </c>
      <c r="G161" s="800">
        <f>SUMIF(O_CWP_NOW!$A:$A,$A161,O_CWP_NOW!G:G)+SUMIF(O_CWP_FUT!$A:$A,$A161,O_CWP_FUT!G:G)</f>
        <v>0</v>
      </c>
      <c r="H161" s="800">
        <f>SUMIF(O_CWP_NOW!$A:$A,$A161,O_CWP_NOW!H:H)+SUMIF(O_CWP_FUT!$A:$A,$A161,O_CWP_FUT!H:H)</f>
        <v>0</v>
      </c>
      <c r="I161" s="800">
        <f>SUMIF(O_CWP_NOW!$A:$A,$A161,O_CWP_NOW!I:I)+SUMIF(O_CWP_FUT!$A:$A,$A161,O_CWP_FUT!I:I)</f>
        <v>0</v>
      </c>
      <c r="J161" s="800">
        <f>SUMIF(O_CWP_NOW!$A:$A,$A161,O_CWP_NOW!J:J)+SUMIF(O_CWP_FUT!$A:$A,$A161,O_CWP_FUT!J:J)</f>
        <v>0</v>
      </c>
      <c r="K161" s="800">
        <f>SUMIF(O_CWP_NOW!$A:$A,$A161,O_CWP_NOW!K:K)+SUMIF(O_CWP_FUT!$A:$A,$A161,O_CWP_FUT!K:K)</f>
        <v>0</v>
      </c>
      <c r="L161" s="800">
        <f>SUMIF(O_CWP_NOW!$A:$A,$A161,O_CWP_NOW!L:L)+SUMIF(O_CWP_FUT!$A:$A,$A161,O_CWP_FUT!L:L)</f>
        <v>0</v>
      </c>
      <c r="M161" s="800">
        <f>SUMIF(O_CWP_NOW!$A:$A,$A161,O_CWP_NOW!M:M)+SUMIF(O_CWP_FUT!$A:$A,$A161,O_CWP_FUT!M:M)</f>
        <v>0</v>
      </c>
      <c r="N161" s="800">
        <f>SUMIF(O_CWP_NOW!$A:$A,$A161,O_CWP_NOW!N:N)+SUMIF(O_CWP_FUT!$A:$A,$A161,O_CWP_FUT!N:N)</f>
        <v>0</v>
      </c>
      <c r="O161" s="800">
        <f>SUM(D161:N161)</f>
        <v>0</v>
      </c>
      <c r="P161" s="40"/>
      <c r="R161" s="29"/>
      <c r="S161" s="29"/>
    </row>
    <row r="162" spans="1:34" ht="13" hidden="1">
      <c r="A162" s="22" t="s">
        <v>2811</v>
      </c>
      <c r="B162" s="31" t="s">
        <v>1055</v>
      </c>
      <c r="C162" s="31" t="str">
        <f>VLOOKUP($A162,FA_Codes!$D$2:$G$249,4,FALSE)</f>
        <v>North</v>
      </c>
      <c r="D162" s="800">
        <f>SUMIF(O_CWP_NOW!$A:$A,$A162,O_CWP_NOW!D:D)+SUMIF(O_CWP_FUT!$A:$A,$A162,O_CWP_FUT!D:D)</f>
        <v>0</v>
      </c>
      <c r="E162" s="800">
        <f>SUMIF(O_CWP_NOW!$A:$A,$A162,O_CWP_NOW!E:E)+SUMIF(O_CWP_FUT!$A:$A,$A162,O_CWP_FUT!E:E)</f>
        <v>0</v>
      </c>
      <c r="F162" s="800">
        <f>SUMIF(O_CWP_NOW!$A:$A,$A162,O_CWP_NOW!F:F)+SUMIF(O_CWP_FUT!$A:$A,$A162,O_CWP_FUT!F:F)</f>
        <v>0</v>
      </c>
      <c r="G162" s="800">
        <f>SUMIF(O_CWP_NOW!$A:$A,$A162,O_CWP_NOW!G:G)+SUMIF(O_CWP_FUT!$A:$A,$A162,O_CWP_FUT!G:G)</f>
        <v>0</v>
      </c>
      <c r="H162" s="800">
        <f>SUMIF(O_CWP_NOW!$A:$A,$A162,O_CWP_NOW!H:H)+SUMIF(O_CWP_FUT!$A:$A,$A162,O_CWP_FUT!H:H)</f>
        <v>0</v>
      </c>
      <c r="I162" s="800">
        <f>SUMIF(O_CWP_NOW!$A:$A,$A162,O_CWP_NOW!I:I)+SUMIF(O_CWP_FUT!$A:$A,$A162,O_CWP_FUT!I:I)</f>
        <v>0</v>
      </c>
      <c r="J162" s="800">
        <f>SUMIF(O_CWP_NOW!$A:$A,$A162,O_CWP_NOW!J:J)+SUMIF(O_CWP_FUT!$A:$A,$A162,O_CWP_FUT!J:J)</f>
        <v>0</v>
      </c>
      <c r="K162" s="800">
        <f>SUMIF(O_CWP_NOW!$A:$A,$A162,O_CWP_NOW!K:K)+SUMIF(O_CWP_FUT!$A:$A,$A162,O_CWP_FUT!K:K)</f>
        <v>0</v>
      </c>
      <c r="L162" s="800">
        <f>SUMIF(O_CWP_NOW!$A:$A,$A162,O_CWP_NOW!L:L)+SUMIF(O_CWP_FUT!$A:$A,$A162,O_CWP_FUT!L:L)</f>
        <v>0</v>
      </c>
      <c r="M162" s="800">
        <f>SUMIF(O_CWP_NOW!$A:$A,$A162,O_CWP_NOW!M:M)+SUMIF(O_CWP_FUT!$A:$A,$A162,O_CWP_FUT!M:M)</f>
        <v>0</v>
      </c>
      <c r="N162" s="800">
        <f>SUMIF(O_CWP_NOW!$A:$A,$A162,O_CWP_NOW!N:N)+SUMIF(O_CWP_FUT!$A:$A,$A162,O_CWP_FUT!N:N)</f>
        <v>0</v>
      </c>
      <c r="O162" s="800">
        <f t="shared" ref="O162:O166" si="11">SUM(D162:N162)</f>
        <v>0</v>
      </c>
      <c r="P162" s="40"/>
      <c r="R162" s="29"/>
      <c r="S162" s="29"/>
    </row>
    <row r="163" spans="1:34" ht="13" hidden="1">
      <c r="A163" s="22" t="s">
        <v>2812</v>
      </c>
      <c r="B163" s="31" t="s">
        <v>1055</v>
      </c>
      <c r="C163" s="31" t="str">
        <f>VLOOKUP($A163,FA_Codes!$D$2:$G$249,4,FALSE)</f>
        <v>Central</v>
      </c>
      <c r="D163" s="800">
        <f>SUMIF(O_CWP_NOW!$A:$A,$A163,O_CWP_NOW!D:D)+SUMIF(O_CWP_FUT!$A:$A,$A163,O_CWP_FUT!D:D)</f>
        <v>0</v>
      </c>
      <c r="E163" s="800">
        <f>SUMIF(O_CWP_NOW!$A:$A,$A163,O_CWP_NOW!E:E)+SUMIF(O_CWP_FUT!$A:$A,$A163,O_CWP_FUT!E:E)</f>
        <v>0</v>
      </c>
      <c r="F163" s="800">
        <f>SUMIF(O_CWP_NOW!$A:$A,$A163,O_CWP_NOW!F:F)+SUMIF(O_CWP_FUT!$A:$A,$A163,O_CWP_FUT!F:F)</f>
        <v>0</v>
      </c>
      <c r="G163" s="800">
        <f>SUMIF(O_CWP_NOW!$A:$A,$A163,O_CWP_NOW!G:G)+SUMIF(O_CWP_FUT!$A:$A,$A163,O_CWP_FUT!G:G)</f>
        <v>0</v>
      </c>
      <c r="H163" s="800">
        <f>SUMIF(O_CWP_NOW!$A:$A,$A163,O_CWP_NOW!H:H)+SUMIF(O_CWP_FUT!$A:$A,$A163,O_CWP_FUT!H:H)</f>
        <v>0</v>
      </c>
      <c r="I163" s="800">
        <f>SUMIF(O_CWP_NOW!$A:$A,$A163,O_CWP_NOW!I:I)+SUMIF(O_CWP_FUT!$A:$A,$A163,O_CWP_FUT!I:I)</f>
        <v>0</v>
      </c>
      <c r="J163" s="800">
        <f>SUMIF(O_CWP_NOW!$A:$A,$A163,O_CWP_NOW!J:J)+SUMIF(O_CWP_FUT!$A:$A,$A163,O_CWP_FUT!J:J)</f>
        <v>0</v>
      </c>
      <c r="K163" s="800">
        <f>SUMIF(O_CWP_NOW!$A:$A,$A163,O_CWP_NOW!K:K)+SUMIF(O_CWP_FUT!$A:$A,$A163,O_CWP_FUT!K:K)</f>
        <v>0</v>
      </c>
      <c r="L163" s="800">
        <f>SUMIF(O_CWP_NOW!$A:$A,$A163,O_CWP_NOW!L:L)+SUMIF(O_CWP_FUT!$A:$A,$A163,O_CWP_FUT!L:L)</f>
        <v>0</v>
      </c>
      <c r="M163" s="800">
        <f>SUMIF(O_CWP_NOW!$A:$A,$A163,O_CWP_NOW!M:M)+SUMIF(O_CWP_FUT!$A:$A,$A163,O_CWP_FUT!M:M)</f>
        <v>0</v>
      </c>
      <c r="N163" s="800">
        <f>SUMIF(O_CWP_NOW!$A:$A,$A163,O_CWP_NOW!N:N)+SUMIF(O_CWP_FUT!$A:$A,$A163,O_CWP_FUT!N:N)</f>
        <v>0</v>
      </c>
      <c r="O163" s="800">
        <f t="shared" si="11"/>
        <v>0</v>
      </c>
      <c r="P163" s="40"/>
      <c r="R163" s="29"/>
      <c r="S163" s="29"/>
    </row>
    <row r="164" spans="1:34" ht="13" hidden="1">
      <c r="A164" s="35" t="s">
        <v>2813</v>
      </c>
      <c r="B164" s="31" t="s">
        <v>1055</v>
      </c>
      <c r="C164" s="31" t="str">
        <f>VLOOKUP($A164,FA_Codes!$D$2:$G$249,4,FALSE)</f>
        <v>West</v>
      </c>
      <c r="D164" s="800">
        <f>SUMIF(O_CWP_NOW!$A:$A,$A164,O_CWP_NOW!D:D)+SUMIF(O_CWP_FUT!$A:$A,$A164,O_CWP_FUT!D:D)</f>
        <v>0</v>
      </c>
      <c r="E164" s="800">
        <f>SUMIF(O_CWP_NOW!$A:$A,$A164,O_CWP_NOW!E:E)+SUMIF(O_CWP_FUT!$A:$A,$A164,O_CWP_FUT!E:E)</f>
        <v>0</v>
      </c>
      <c r="F164" s="800">
        <f>SUMIF(O_CWP_NOW!$A:$A,$A164,O_CWP_NOW!F:F)+SUMIF(O_CWP_FUT!$A:$A,$A164,O_CWP_FUT!F:F)</f>
        <v>0</v>
      </c>
      <c r="G164" s="800">
        <f>SUMIF(O_CWP_NOW!$A:$A,$A164,O_CWP_NOW!G:G)+SUMIF(O_CWP_FUT!$A:$A,$A164,O_CWP_FUT!G:G)</f>
        <v>0</v>
      </c>
      <c r="H164" s="800">
        <f>SUMIF(O_CWP_NOW!$A:$A,$A164,O_CWP_NOW!H:H)+SUMIF(O_CWP_FUT!$A:$A,$A164,O_CWP_FUT!H:H)</f>
        <v>0</v>
      </c>
      <c r="I164" s="800">
        <f>SUMIF(O_CWP_NOW!$A:$A,$A164,O_CWP_NOW!I:I)+SUMIF(O_CWP_FUT!$A:$A,$A164,O_CWP_FUT!I:I)</f>
        <v>0</v>
      </c>
      <c r="J164" s="800">
        <f>SUMIF(O_CWP_NOW!$A:$A,$A164,O_CWP_NOW!J:J)+SUMIF(O_CWP_FUT!$A:$A,$A164,O_CWP_FUT!J:J)</f>
        <v>0</v>
      </c>
      <c r="K164" s="800">
        <f>SUMIF(O_CWP_NOW!$A:$A,$A164,O_CWP_NOW!K:K)+SUMIF(O_CWP_FUT!$A:$A,$A164,O_CWP_FUT!K:K)</f>
        <v>0</v>
      </c>
      <c r="L164" s="800">
        <f>SUMIF(O_CWP_NOW!$A:$A,$A164,O_CWP_NOW!L:L)+SUMIF(O_CWP_FUT!$A:$A,$A164,O_CWP_FUT!L:L)</f>
        <v>0</v>
      </c>
      <c r="M164" s="800">
        <f>SUMIF(O_CWP_NOW!$A:$A,$A164,O_CWP_NOW!M:M)+SUMIF(O_CWP_FUT!$A:$A,$A164,O_CWP_FUT!M:M)</f>
        <v>0</v>
      </c>
      <c r="N164" s="800">
        <f>SUMIF(O_CWP_NOW!$A:$A,$A164,O_CWP_NOW!N:N)+SUMIF(O_CWP_FUT!$A:$A,$A164,O_CWP_FUT!N:N)</f>
        <v>0</v>
      </c>
      <c r="O164" s="800">
        <f t="shared" si="11"/>
        <v>0</v>
      </c>
      <c r="P164" s="40"/>
      <c r="R164" s="29"/>
      <c r="S164" s="29"/>
    </row>
    <row r="165" spans="1:34" ht="13" hidden="1">
      <c r="A165" s="35" t="s">
        <v>2814</v>
      </c>
      <c r="B165" s="31" t="s">
        <v>1055</v>
      </c>
      <c r="C165" s="31" t="str">
        <f>VLOOKUP($A165,FA_Codes!$D$2:$G$249,4,FALSE)</f>
        <v>South</v>
      </c>
      <c r="D165" s="800">
        <f>SUMIF(O_CWP_NOW!$A:$A,$A165,O_CWP_NOW!D:D)+SUMIF(O_CWP_FUT!$A:$A,$A165,O_CWP_FUT!D:D)</f>
        <v>0</v>
      </c>
      <c r="E165" s="800">
        <f>SUMIF(O_CWP_NOW!$A:$A,$A165,O_CWP_NOW!E:E)+SUMIF(O_CWP_FUT!$A:$A,$A165,O_CWP_FUT!E:E)</f>
        <v>0</v>
      </c>
      <c r="F165" s="800">
        <f>SUMIF(O_CWP_NOW!$A:$A,$A165,O_CWP_NOW!F:F)+SUMIF(O_CWP_FUT!$A:$A,$A165,O_CWP_FUT!F:F)</f>
        <v>0</v>
      </c>
      <c r="G165" s="800">
        <f>SUMIF(O_CWP_NOW!$A:$A,$A165,O_CWP_NOW!G:G)+SUMIF(O_CWP_FUT!$A:$A,$A165,O_CWP_FUT!G:G)</f>
        <v>0</v>
      </c>
      <c r="H165" s="800">
        <f>SUMIF(O_CWP_NOW!$A:$A,$A165,O_CWP_NOW!H:H)+SUMIF(O_CWP_FUT!$A:$A,$A165,O_CWP_FUT!H:H)</f>
        <v>0</v>
      </c>
      <c r="I165" s="800">
        <f>SUMIF(O_CWP_NOW!$A:$A,$A165,O_CWP_NOW!I:I)+SUMIF(O_CWP_FUT!$A:$A,$A165,O_CWP_FUT!I:I)</f>
        <v>0</v>
      </c>
      <c r="J165" s="800">
        <f>SUMIF(O_CWP_NOW!$A:$A,$A165,O_CWP_NOW!J:J)+SUMIF(O_CWP_FUT!$A:$A,$A165,O_CWP_FUT!J:J)</f>
        <v>0</v>
      </c>
      <c r="K165" s="800">
        <f>SUMIF(O_CWP_NOW!$A:$A,$A165,O_CWP_NOW!K:K)+SUMIF(O_CWP_FUT!$A:$A,$A165,O_CWP_FUT!K:K)</f>
        <v>0</v>
      </c>
      <c r="L165" s="800">
        <f>SUMIF(O_CWP_NOW!$A:$A,$A165,O_CWP_NOW!L:L)+SUMIF(O_CWP_FUT!$A:$A,$A165,O_CWP_FUT!L:L)</f>
        <v>0</v>
      </c>
      <c r="M165" s="800">
        <f>SUMIF(O_CWP_NOW!$A:$A,$A165,O_CWP_NOW!M:M)+SUMIF(O_CWP_FUT!$A:$A,$A165,O_CWP_FUT!M:M)</f>
        <v>0</v>
      </c>
      <c r="N165" s="800">
        <f>SUMIF(O_CWP_NOW!$A:$A,$A165,O_CWP_NOW!N:N)+SUMIF(O_CWP_FUT!$A:$A,$A165,O_CWP_FUT!N:N)</f>
        <v>0</v>
      </c>
      <c r="O165" s="800">
        <f t="shared" si="11"/>
        <v>0</v>
      </c>
      <c r="P165" s="40"/>
      <c r="R165" s="29"/>
      <c r="S165" s="29"/>
    </row>
    <row r="166" spans="1:34" ht="13" hidden="1">
      <c r="A166" s="35" t="s">
        <v>2816</v>
      </c>
      <c r="B166" s="31" t="s">
        <v>1055</v>
      </c>
      <c r="C166" s="31" t="str">
        <f>VLOOKUP($A166,FA_Codes!$D$2:$G$249,4,FALSE)</f>
        <v>HGI</v>
      </c>
      <c r="D166" s="800">
        <f>SUMIF(O_CWP_NOW!$A:$A,$A166,O_CWP_NOW!D:D)+SUMIF(O_CWP_FUT!$A:$A,$A166,O_CWP_FUT!D:D)</f>
        <v>0</v>
      </c>
      <c r="E166" s="800">
        <f>SUMIF(O_CWP_NOW!$A:$A,$A166,O_CWP_NOW!E:E)+SUMIF(O_CWP_FUT!$A:$A,$A166,O_CWP_FUT!E:E)</f>
        <v>0</v>
      </c>
      <c r="F166" s="800">
        <f>SUMIF(O_CWP_NOW!$A:$A,$A166,O_CWP_NOW!F:F)+SUMIF(O_CWP_FUT!$A:$A,$A166,O_CWP_FUT!F:F)</f>
        <v>0</v>
      </c>
      <c r="G166" s="800">
        <f>SUMIF(O_CWP_NOW!$A:$A,$A166,O_CWP_NOW!G:G)+SUMIF(O_CWP_FUT!$A:$A,$A166,O_CWP_FUT!G:G)</f>
        <v>0</v>
      </c>
      <c r="H166" s="800">
        <f>SUMIF(O_CWP_NOW!$A:$A,$A166,O_CWP_NOW!H:H)+SUMIF(O_CWP_FUT!$A:$A,$A166,O_CWP_FUT!H:H)</f>
        <v>0</v>
      </c>
      <c r="I166" s="800">
        <f>SUMIF(O_CWP_NOW!$A:$A,$A166,O_CWP_NOW!I:I)+SUMIF(O_CWP_FUT!$A:$A,$A166,O_CWP_FUT!I:I)</f>
        <v>0</v>
      </c>
      <c r="J166" s="800">
        <f>SUMIF(O_CWP_NOW!$A:$A,$A166,O_CWP_NOW!J:J)+SUMIF(O_CWP_FUT!$A:$A,$A166,O_CWP_FUT!J:J)</f>
        <v>0</v>
      </c>
      <c r="K166" s="800">
        <f>SUMIF(O_CWP_NOW!$A:$A,$A166,O_CWP_NOW!K:K)+SUMIF(O_CWP_FUT!$A:$A,$A166,O_CWP_FUT!K:K)</f>
        <v>0</v>
      </c>
      <c r="L166" s="800">
        <f>SUMIF(O_CWP_NOW!$A:$A,$A166,O_CWP_NOW!L:L)+SUMIF(O_CWP_FUT!$A:$A,$A166,O_CWP_FUT!L:L)</f>
        <v>0</v>
      </c>
      <c r="M166" s="800">
        <f>SUMIF(O_CWP_NOW!$A:$A,$A166,O_CWP_NOW!M:M)+SUMIF(O_CWP_FUT!$A:$A,$A166,O_CWP_FUT!M:M)</f>
        <v>0</v>
      </c>
      <c r="N166" s="800">
        <f>SUMIF(O_CWP_NOW!$A:$A,$A166,O_CWP_NOW!N:N)+SUMIF(O_CWP_FUT!$A:$A,$A166,O_CWP_FUT!N:N)</f>
        <v>0</v>
      </c>
      <c r="O166" s="800">
        <f t="shared" si="11"/>
        <v>0</v>
      </c>
      <c r="P166" s="40"/>
      <c r="R166" s="29"/>
      <c r="S166" s="29"/>
    </row>
    <row r="167" spans="1:34" ht="13" hidden="1">
      <c r="A167" s="35" t="s">
        <v>2817</v>
      </c>
      <c r="B167" s="31" t="s">
        <v>1055</v>
      </c>
      <c r="C167" s="31" t="str">
        <f>VLOOKUP($A167,FA_Codes!$D$2:$G$249,4,FALSE)</f>
        <v>Auckland Wide Less Parallel</v>
      </c>
      <c r="D167" s="800">
        <f>SUMIF(O_CWP_NOW!$A:$A,$A167,O_CWP_NOW!D:D)+SUMIF(O_CWP_FUT!$A:$A,$A167,O_CWP_FUT!D:D)</f>
        <v>0</v>
      </c>
      <c r="E167" s="800">
        <f>SUMIF(O_CWP_NOW!$A:$A,$A167,O_CWP_NOW!E:E)+SUMIF(O_CWP_FUT!$A:$A,$A167,O_CWP_FUT!E:E)</f>
        <v>0</v>
      </c>
      <c r="F167" s="800">
        <f>SUMIF(O_CWP_NOW!$A:$A,$A167,O_CWP_NOW!F:F)+SUMIF(O_CWP_FUT!$A:$A,$A167,O_CWP_FUT!F:F)</f>
        <v>0</v>
      </c>
      <c r="G167" s="800">
        <f>SUMIF(O_CWP_NOW!$A:$A,$A167,O_CWP_NOW!G:G)+SUMIF(O_CWP_FUT!$A:$A,$A167,O_CWP_FUT!G:G)</f>
        <v>0</v>
      </c>
      <c r="H167" s="800">
        <f>SUMIF(O_CWP_NOW!$A:$A,$A167,O_CWP_NOW!H:H)+SUMIF(O_CWP_FUT!$A:$A,$A167,O_CWP_FUT!H:H)</f>
        <v>0</v>
      </c>
      <c r="I167" s="800">
        <f>SUMIF(O_CWP_NOW!$A:$A,$A167,O_CWP_NOW!I:I)+SUMIF(O_CWP_FUT!$A:$A,$A167,O_CWP_FUT!I:I)</f>
        <v>0</v>
      </c>
      <c r="J167" s="800">
        <f>SUMIF(O_CWP_NOW!$A:$A,$A167,O_CWP_NOW!J:J)+SUMIF(O_CWP_FUT!$A:$A,$A167,O_CWP_FUT!J:J)</f>
        <v>0</v>
      </c>
      <c r="K167" s="800">
        <f>SUMIF(O_CWP_NOW!$A:$A,$A167,O_CWP_NOW!K:K)+SUMIF(O_CWP_FUT!$A:$A,$A167,O_CWP_FUT!K:K)</f>
        <v>0</v>
      </c>
      <c r="L167" s="800">
        <f>SUMIF(O_CWP_NOW!$A:$A,$A167,O_CWP_NOW!L:L)+SUMIF(O_CWP_FUT!$A:$A,$A167,O_CWP_FUT!L:L)</f>
        <v>0</v>
      </c>
      <c r="M167" s="800">
        <f>SUMIF(O_CWP_NOW!$A:$A,$A167,O_CWP_NOW!M:M)+SUMIF(O_CWP_FUT!$A:$A,$A167,O_CWP_FUT!M:M)</f>
        <v>0</v>
      </c>
      <c r="N167" s="800">
        <f>SUMIF(O_CWP_NOW!$A:$A,$A167,O_CWP_NOW!N:N)+SUMIF(O_CWP_FUT!$A:$A,$A167,O_CWP_FUT!N:N)</f>
        <v>0</v>
      </c>
      <c r="O167" s="800">
        <f t="shared" ref="O167:O182" si="12">SUM(D167:N167)</f>
        <v>0</v>
      </c>
      <c r="P167" s="40"/>
      <c r="R167" s="29"/>
      <c r="S167" s="29"/>
      <c r="W167" s="29"/>
      <c r="X167" s="29"/>
      <c r="Y167" s="29"/>
      <c r="Z167" s="29"/>
      <c r="AA167" s="29"/>
      <c r="AB167" s="29"/>
      <c r="AC167" s="29"/>
      <c r="AD167" s="29"/>
      <c r="AE167" s="29"/>
      <c r="AF167" s="29"/>
      <c r="AG167" s="29"/>
      <c r="AH167" s="29"/>
    </row>
    <row r="168" spans="1:34" ht="13" hidden="1">
      <c r="A168" s="35" t="s">
        <v>2818</v>
      </c>
      <c r="B168" s="31" t="s">
        <v>1055</v>
      </c>
      <c r="C168" s="31" t="str">
        <f>VLOOKUP($A168,FA_Codes!$D$2:$G$249,4,FALSE)</f>
        <v>NorthWest</v>
      </c>
      <c r="D168" s="800">
        <f>SUMIF(O_CWP_NOW!$A:$A,$A168,O_CWP_NOW!D:D)+SUMIF(O_CWP_FUT!$A:$A,$A168,O_CWP_FUT!D:D)</f>
        <v>0</v>
      </c>
      <c r="E168" s="800">
        <f>SUMIF(O_CWP_NOW!$A:$A,$A168,O_CWP_NOW!E:E)+SUMIF(O_CWP_FUT!$A:$A,$A168,O_CWP_FUT!E:E)</f>
        <v>0</v>
      </c>
      <c r="F168" s="800">
        <f>SUMIF(O_CWP_NOW!$A:$A,$A168,O_CWP_NOW!F:F)+SUMIF(O_CWP_FUT!$A:$A,$A168,O_CWP_FUT!F:F)</f>
        <v>0</v>
      </c>
      <c r="G168" s="800">
        <f>SUMIF(O_CWP_NOW!$A:$A,$A168,O_CWP_NOW!G:G)+SUMIF(O_CWP_FUT!$A:$A,$A168,O_CWP_FUT!G:G)</f>
        <v>0</v>
      </c>
      <c r="H168" s="800">
        <f>SUMIF(O_CWP_NOW!$A:$A,$A168,O_CWP_NOW!H:H)+SUMIF(O_CWP_FUT!$A:$A,$A168,O_CWP_FUT!H:H)</f>
        <v>0</v>
      </c>
      <c r="I168" s="800">
        <f>SUMIF(O_CWP_NOW!$A:$A,$A168,O_CWP_NOW!I:I)+SUMIF(O_CWP_FUT!$A:$A,$A168,O_CWP_FUT!I:I)</f>
        <v>0</v>
      </c>
      <c r="J168" s="800">
        <f>SUMIF(O_CWP_NOW!$A:$A,$A168,O_CWP_NOW!J:J)+SUMIF(O_CWP_FUT!$A:$A,$A168,O_CWP_FUT!J:J)</f>
        <v>0</v>
      </c>
      <c r="K168" s="800">
        <f>SUMIF(O_CWP_NOW!$A:$A,$A168,O_CWP_NOW!K:K)+SUMIF(O_CWP_FUT!$A:$A,$A168,O_CWP_FUT!K:K)</f>
        <v>0</v>
      </c>
      <c r="L168" s="800">
        <f>SUMIF(O_CWP_NOW!$A:$A,$A168,O_CWP_NOW!L:L)+SUMIF(O_CWP_FUT!$A:$A,$A168,O_CWP_FUT!L:L)</f>
        <v>0</v>
      </c>
      <c r="M168" s="800">
        <f>SUMIF(O_CWP_NOW!$A:$A,$A168,O_CWP_NOW!M:M)+SUMIF(O_CWP_FUT!$A:$A,$A168,O_CWP_FUT!M:M)</f>
        <v>0</v>
      </c>
      <c r="N168" s="800">
        <f>SUMIF(O_CWP_NOW!$A:$A,$A168,O_CWP_NOW!N:N)+SUMIF(O_CWP_FUT!$A:$A,$A168,O_CWP_FUT!N:N)</f>
        <v>0</v>
      </c>
      <c r="O168" s="800">
        <f t="shared" si="12"/>
        <v>0</v>
      </c>
      <c r="P168" s="40"/>
      <c r="R168" s="29"/>
      <c r="S168" s="29"/>
      <c r="W168" s="29"/>
      <c r="X168" s="29"/>
      <c r="Y168" s="29"/>
      <c r="Z168" s="29"/>
      <c r="AA168" s="29"/>
      <c r="AB168" s="29"/>
      <c r="AC168" s="29"/>
      <c r="AD168" s="29"/>
      <c r="AE168" s="29"/>
      <c r="AF168" s="29"/>
      <c r="AG168" s="29"/>
      <c r="AH168" s="29"/>
    </row>
    <row r="169" spans="1:34" ht="13" hidden="1">
      <c r="A169" s="35" t="s">
        <v>2819</v>
      </c>
      <c r="B169" s="31" t="s">
        <v>1055</v>
      </c>
      <c r="C169" s="31" t="str">
        <f>VLOOKUP($A169,FA_Codes!$D$2:$G$249,4,FALSE)</f>
        <v>Dairyflat / Wainui / Silverdale</v>
      </c>
      <c r="D169" s="800">
        <f>SUMIF(O_CWP_NOW!$A:$A,$A169,O_CWP_NOW!D:D)+SUMIF(O_CWP_FUT!$A:$A,$A169,O_CWP_FUT!D:D)</f>
        <v>0</v>
      </c>
      <c r="E169" s="800">
        <f>SUMIF(O_CWP_NOW!$A:$A,$A169,O_CWP_NOW!E:E)+SUMIF(O_CWP_FUT!$A:$A,$A169,O_CWP_FUT!E:E)</f>
        <v>0</v>
      </c>
      <c r="F169" s="800">
        <f>SUMIF(O_CWP_NOW!$A:$A,$A169,O_CWP_NOW!F:F)+SUMIF(O_CWP_FUT!$A:$A,$A169,O_CWP_FUT!F:F)</f>
        <v>0</v>
      </c>
      <c r="G169" s="800">
        <f>SUMIF(O_CWP_NOW!$A:$A,$A169,O_CWP_NOW!G:G)+SUMIF(O_CWP_FUT!$A:$A,$A169,O_CWP_FUT!G:G)</f>
        <v>0</v>
      </c>
      <c r="H169" s="800">
        <f>SUMIF(O_CWP_NOW!$A:$A,$A169,O_CWP_NOW!H:H)+SUMIF(O_CWP_FUT!$A:$A,$A169,O_CWP_FUT!H:H)</f>
        <v>0</v>
      </c>
      <c r="I169" s="800">
        <f>SUMIF(O_CWP_NOW!$A:$A,$A169,O_CWP_NOW!I:I)+SUMIF(O_CWP_FUT!$A:$A,$A169,O_CWP_FUT!I:I)</f>
        <v>0</v>
      </c>
      <c r="J169" s="800">
        <f>SUMIF(O_CWP_NOW!$A:$A,$A169,O_CWP_NOW!J:J)+SUMIF(O_CWP_FUT!$A:$A,$A169,O_CWP_FUT!J:J)</f>
        <v>0</v>
      </c>
      <c r="K169" s="800">
        <f>SUMIF(O_CWP_NOW!$A:$A,$A169,O_CWP_NOW!K:K)+SUMIF(O_CWP_FUT!$A:$A,$A169,O_CWP_FUT!K:K)</f>
        <v>0</v>
      </c>
      <c r="L169" s="800">
        <f>SUMIF(O_CWP_NOW!$A:$A,$A169,O_CWP_NOW!L:L)+SUMIF(O_CWP_FUT!$A:$A,$A169,O_CWP_FUT!L:L)</f>
        <v>0</v>
      </c>
      <c r="M169" s="800">
        <f>SUMIF(O_CWP_NOW!$A:$A,$A169,O_CWP_NOW!M:M)+SUMIF(O_CWP_FUT!$A:$A,$A169,O_CWP_FUT!M:M)</f>
        <v>0</v>
      </c>
      <c r="N169" s="800">
        <f>SUMIF(O_CWP_NOW!$A:$A,$A169,O_CWP_NOW!N:N)+SUMIF(O_CWP_FUT!$A:$A,$A169,O_CWP_FUT!N:N)</f>
        <v>0</v>
      </c>
      <c r="O169" s="800">
        <f t="shared" si="12"/>
        <v>0</v>
      </c>
      <c r="P169" s="40"/>
      <c r="R169" s="29"/>
      <c r="S169" s="29"/>
      <c r="W169" s="29"/>
      <c r="X169" s="29"/>
      <c r="Y169" s="29"/>
      <c r="Z169" s="29"/>
      <c r="AA169" s="29"/>
      <c r="AB169" s="29"/>
      <c r="AC169" s="29"/>
      <c r="AD169" s="29"/>
      <c r="AE169" s="29"/>
      <c r="AF169" s="29"/>
      <c r="AG169" s="29"/>
      <c r="AH169" s="29"/>
    </row>
    <row r="170" spans="1:34" ht="13" hidden="1">
      <c r="A170" s="35" t="s">
        <v>2820</v>
      </c>
      <c r="B170" s="31" t="s">
        <v>1055</v>
      </c>
      <c r="C170" s="31" t="str">
        <f>VLOOKUP($A170,FA_Codes!$D$2:$G$249,4,FALSE)</f>
        <v>Tamaki AHP</v>
      </c>
      <c r="D170" s="800">
        <f>SUMIF(O_CWP_NOW!$A:$A,$A170,O_CWP_NOW!D:D)+SUMIF(O_CWP_FUT!$A:$A,$A170,O_CWP_FUT!D:D)</f>
        <v>0</v>
      </c>
      <c r="E170" s="800">
        <f>SUMIF(O_CWP_NOW!$A:$A,$A170,O_CWP_NOW!E:E)+SUMIF(O_CWP_FUT!$A:$A,$A170,O_CWP_FUT!E:E)</f>
        <v>0</v>
      </c>
      <c r="F170" s="800">
        <f>SUMIF(O_CWP_NOW!$A:$A,$A170,O_CWP_NOW!F:F)+SUMIF(O_CWP_FUT!$A:$A,$A170,O_CWP_FUT!F:F)</f>
        <v>0</v>
      </c>
      <c r="G170" s="800">
        <f>SUMIF(O_CWP_NOW!$A:$A,$A170,O_CWP_NOW!G:G)+SUMIF(O_CWP_FUT!$A:$A,$A170,O_CWP_FUT!G:G)</f>
        <v>0</v>
      </c>
      <c r="H170" s="800">
        <f>SUMIF(O_CWP_NOW!$A:$A,$A170,O_CWP_NOW!H:H)+SUMIF(O_CWP_FUT!$A:$A,$A170,O_CWP_FUT!H:H)</f>
        <v>0</v>
      </c>
      <c r="I170" s="800">
        <f>SUMIF(O_CWP_NOW!$A:$A,$A170,O_CWP_NOW!I:I)+SUMIF(O_CWP_FUT!$A:$A,$A170,O_CWP_FUT!I:I)</f>
        <v>0</v>
      </c>
      <c r="J170" s="800">
        <f>SUMIF(O_CWP_NOW!$A:$A,$A170,O_CWP_NOW!J:J)+SUMIF(O_CWP_FUT!$A:$A,$A170,O_CWP_FUT!J:J)</f>
        <v>0</v>
      </c>
      <c r="K170" s="800">
        <f>SUMIF(O_CWP_NOW!$A:$A,$A170,O_CWP_NOW!K:K)+SUMIF(O_CWP_FUT!$A:$A,$A170,O_CWP_FUT!K:K)</f>
        <v>0</v>
      </c>
      <c r="L170" s="800">
        <f>SUMIF(O_CWP_NOW!$A:$A,$A170,O_CWP_NOW!L:L)+SUMIF(O_CWP_FUT!$A:$A,$A170,O_CWP_FUT!L:L)</f>
        <v>0</v>
      </c>
      <c r="M170" s="800">
        <f>SUMIF(O_CWP_NOW!$A:$A,$A170,O_CWP_NOW!M:M)+SUMIF(O_CWP_FUT!$A:$A,$A170,O_CWP_FUT!M:M)</f>
        <v>0</v>
      </c>
      <c r="N170" s="800">
        <f>SUMIF(O_CWP_NOW!$A:$A,$A170,O_CWP_NOW!N:N)+SUMIF(O_CWP_FUT!$A:$A,$A170,O_CWP_FUT!N:N)</f>
        <v>0</v>
      </c>
      <c r="O170" s="800">
        <f t="shared" si="12"/>
        <v>0</v>
      </c>
      <c r="P170" s="40"/>
      <c r="R170" s="29"/>
      <c r="S170" s="29"/>
      <c r="W170" s="29"/>
      <c r="X170" s="29"/>
      <c r="Y170" s="29"/>
      <c r="Z170" s="29"/>
      <c r="AA170" s="29"/>
      <c r="AB170" s="29"/>
      <c r="AC170" s="29"/>
      <c r="AD170" s="29"/>
      <c r="AE170" s="29"/>
      <c r="AF170" s="29"/>
      <c r="AG170" s="29"/>
      <c r="AH170" s="29"/>
    </row>
    <row r="171" spans="1:34" ht="13" hidden="1">
      <c r="A171" s="35" t="s">
        <v>2821</v>
      </c>
      <c r="B171" s="31" t="s">
        <v>1055</v>
      </c>
      <c r="C171" s="31" t="str">
        <f>VLOOKUP($A171,FA_Codes!$D$2:$G$249,4,FALSE)</f>
        <v>Albany</v>
      </c>
      <c r="D171" s="800">
        <f>SUMIF(O_CWP_NOW!$A:$A,$A171,O_CWP_NOW!D:D)+SUMIF(O_CWP_FUT!$A:$A,$A171,O_CWP_FUT!D:D)</f>
        <v>0</v>
      </c>
      <c r="E171" s="800">
        <f>SUMIF(O_CWP_NOW!$A:$A,$A171,O_CWP_NOW!E:E)+SUMIF(O_CWP_FUT!$A:$A,$A171,O_CWP_FUT!E:E)</f>
        <v>0</v>
      </c>
      <c r="F171" s="800">
        <f>SUMIF(O_CWP_NOW!$A:$A,$A171,O_CWP_NOW!F:F)+SUMIF(O_CWP_FUT!$A:$A,$A171,O_CWP_FUT!F:F)</f>
        <v>0</v>
      </c>
      <c r="G171" s="800">
        <f>SUMIF(O_CWP_NOW!$A:$A,$A171,O_CWP_NOW!G:G)+SUMIF(O_CWP_FUT!$A:$A,$A171,O_CWP_FUT!G:G)</f>
        <v>0</v>
      </c>
      <c r="H171" s="800">
        <f>SUMIF(O_CWP_NOW!$A:$A,$A171,O_CWP_NOW!H:H)+SUMIF(O_CWP_FUT!$A:$A,$A171,O_CWP_FUT!H:H)</f>
        <v>0</v>
      </c>
      <c r="I171" s="800">
        <f>SUMIF(O_CWP_NOW!$A:$A,$A171,O_CWP_NOW!I:I)+SUMIF(O_CWP_FUT!$A:$A,$A171,O_CWP_FUT!I:I)</f>
        <v>0</v>
      </c>
      <c r="J171" s="800">
        <f>SUMIF(O_CWP_NOW!$A:$A,$A171,O_CWP_NOW!J:J)+SUMIF(O_CWP_FUT!$A:$A,$A171,O_CWP_FUT!J:J)</f>
        <v>0</v>
      </c>
      <c r="K171" s="800">
        <f>SUMIF(O_CWP_NOW!$A:$A,$A171,O_CWP_NOW!K:K)+SUMIF(O_CWP_FUT!$A:$A,$A171,O_CWP_FUT!K:K)</f>
        <v>0</v>
      </c>
      <c r="L171" s="800">
        <f>SUMIF(O_CWP_NOW!$A:$A,$A171,O_CWP_NOW!L:L)+SUMIF(O_CWP_FUT!$A:$A,$A171,O_CWP_FUT!L:L)</f>
        <v>0</v>
      </c>
      <c r="M171" s="800">
        <f>SUMIF(O_CWP_NOW!$A:$A,$A171,O_CWP_NOW!M:M)+SUMIF(O_CWP_FUT!$A:$A,$A171,O_CWP_FUT!M:M)</f>
        <v>0</v>
      </c>
      <c r="N171" s="800">
        <f>SUMIF(O_CWP_NOW!$A:$A,$A171,O_CWP_NOW!N:N)+SUMIF(O_CWP_FUT!$A:$A,$A171,O_CWP_FUT!N:N)</f>
        <v>0</v>
      </c>
      <c r="O171" s="800">
        <f t="shared" si="12"/>
        <v>0</v>
      </c>
      <c r="P171" s="40"/>
      <c r="R171" s="29"/>
      <c r="S171" s="29"/>
      <c r="W171" s="29"/>
      <c r="X171" s="29"/>
      <c r="Y171" s="29"/>
      <c r="Z171" s="29"/>
      <c r="AA171" s="29"/>
      <c r="AB171" s="29"/>
      <c r="AC171" s="29"/>
      <c r="AD171" s="29"/>
      <c r="AE171" s="29"/>
      <c r="AF171" s="29"/>
      <c r="AG171" s="29"/>
      <c r="AH171" s="29"/>
    </row>
    <row r="172" spans="1:34" ht="13" hidden="1">
      <c r="A172" s="35" t="s">
        <v>2822</v>
      </c>
      <c r="B172" s="31" t="s">
        <v>1055</v>
      </c>
      <c r="C172" s="31" t="str">
        <f>VLOOKUP($A172,FA_Codes!$D$2:$G$249,4,FALSE)</f>
        <v>Rural North</v>
      </c>
      <c r="D172" s="800">
        <f>SUMIF(O_CWP_NOW!$A:$A,$A172,O_CWP_NOW!D:D)+SUMIF(O_CWP_FUT!$A:$A,$A172,O_CWP_FUT!D:D)</f>
        <v>0</v>
      </c>
      <c r="E172" s="800">
        <f>SUMIF(O_CWP_NOW!$A:$A,$A172,O_CWP_NOW!E:E)+SUMIF(O_CWP_FUT!$A:$A,$A172,O_CWP_FUT!E:E)</f>
        <v>0</v>
      </c>
      <c r="F172" s="800">
        <f>SUMIF(O_CWP_NOW!$A:$A,$A172,O_CWP_NOW!F:F)+SUMIF(O_CWP_FUT!$A:$A,$A172,O_CWP_FUT!F:F)</f>
        <v>0</v>
      </c>
      <c r="G172" s="800">
        <f>SUMIF(O_CWP_NOW!$A:$A,$A172,O_CWP_NOW!G:G)+SUMIF(O_CWP_FUT!$A:$A,$A172,O_CWP_FUT!G:G)</f>
        <v>0</v>
      </c>
      <c r="H172" s="800">
        <f>SUMIF(O_CWP_NOW!$A:$A,$A172,O_CWP_NOW!H:H)+SUMIF(O_CWP_FUT!$A:$A,$A172,O_CWP_FUT!H:H)</f>
        <v>0</v>
      </c>
      <c r="I172" s="800">
        <f>SUMIF(O_CWP_NOW!$A:$A,$A172,O_CWP_NOW!I:I)+SUMIF(O_CWP_FUT!$A:$A,$A172,O_CWP_FUT!I:I)</f>
        <v>0</v>
      </c>
      <c r="J172" s="800">
        <f>SUMIF(O_CWP_NOW!$A:$A,$A172,O_CWP_NOW!J:J)+SUMIF(O_CWP_FUT!$A:$A,$A172,O_CWP_FUT!J:J)</f>
        <v>0</v>
      </c>
      <c r="K172" s="800">
        <f>SUMIF(O_CWP_NOW!$A:$A,$A172,O_CWP_NOW!K:K)+SUMIF(O_CWP_FUT!$A:$A,$A172,O_CWP_FUT!K:K)</f>
        <v>0</v>
      </c>
      <c r="L172" s="800">
        <f>SUMIF(O_CWP_NOW!$A:$A,$A172,O_CWP_NOW!L:L)+SUMIF(O_CWP_FUT!$A:$A,$A172,O_CWP_FUT!L:L)</f>
        <v>0</v>
      </c>
      <c r="M172" s="800">
        <f>SUMIF(O_CWP_NOW!$A:$A,$A172,O_CWP_NOW!M:M)+SUMIF(O_CWP_FUT!$A:$A,$A172,O_CWP_FUT!M:M)</f>
        <v>0</v>
      </c>
      <c r="N172" s="800">
        <f>SUMIF(O_CWP_NOW!$A:$A,$A172,O_CWP_NOW!N:N)+SUMIF(O_CWP_FUT!$A:$A,$A172,O_CWP_FUT!N:N)</f>
        <v>0</v>
      </c>
      <c r="O172" s="800">
        <f t="shared" si="12"/>
        <v>0</v>
      </c>
      <c r="P172" s="40"/>
      <c r="R172" s="29"/>
      <c r="S172" s="29"/>
      <c r="W172" s="29"/>
      <c r="X172" s="29"/>
      <c r="Y172" s="29"/>
      <c r="Z172" s="29"/>
      <c r="AA172" s="29"/>
      <c r="AB172" s="29"/>
      <c r="AC172" s="29"/>
      <c r="AD172" s="29"/>
      <c r="AE172" s="29"/>
      <c r="AF172" s="29"/>
      <c r="AG172" s="29"/>
      <c r="AH172" s="29"/>
    </row>
    <row r="173" spans="1:34" ht="13" hidden="1">
      <c r="A173" s="35" t="s">
        <v>2823</v>
      </c>
      <c r="B173" s="31" t="s">
        <v>1055</v>
      </c>
      <c r="C173" s="31" t="str">
        <f>VLOOKUP($A173,FA_Codes!$D$2:$G$249,4,FALSE)</f>
        <v>Rural West</v>
      </c>
      <c r="D173" s="800">
        <f>SUMIF(O_CWP_NOW!$A:$A,$A173,O_CWP_NOW!D:D)+SUMIF(O_CWP_FUT!$A:$A,$A173,O_CWP_FUT!D:D)</f>
        <v>0</v>
      </c>
      <c r="E173" s="800">
        <f>SUMIF(O_CWP_NOW!$A:$A,$A173,O_CWP_NOW!E:E)+SUMIF(O_CWP_FUT!$A:$A,$A173,O_CWP_FUT!E:E)</f>
        <v>0</v>
      </c>
      <c r="F173" s="800">
        <f>SUMIF(O_CWP_NOW!$A:$A,$A173,O_CWP_NOW!F:F)+SUMIF(O_CWP_FUT!$A:$A,$A173,O_CWP_FUT!F:F)</f>
        <v>0</v>
      </c>
      <c r="G173" s="800">
        <f>SUMIF(O_CWP_NOW!$A:$A,$A173,O_CWP_NOW!G:G)+SUMIF(O_CWP_FUT!$A:$A,$A173,O_CWP_FUT!G:G)</f>
        <v>0</v>
      </c>
      <c r="H173" s="800">
        <f>SUMIF(O_CWP_NOW!$A:$A,$A173,O_CWP_NOW!H:H)+SUMIF(O_CWP_FUT!$A:$A,$A173,O_CWP_FUT!H:H)</f>
        <v>0</v>
      </c>
      <c r="I173" s="800">
        <f>SUMIF(O_CWP_NOW!$A:$A,$A173,O_CWP_NOW!I:I)+SUMIF(O_CWP_FUT!$A:$A,$A173,O_CWP_FUT!I:I)</f>
        <v>0</v>
      </c>
      <c r="J173" s="800">
        <f>SUMIF(O_CWP_NOW!$A:$A,$A173,O_CWP_NOW!J:J)+SUMIF(O_CWP_FUT!$A:$A,$A173,O_CWP_FUT!J:J)</f>
        <v>0</v>
      </c>
      <c r="K173" s="800">
        <f>SUMIF(O_CWP_NOW!$A:$A,$A173,O_CWP_NOW!K:K)+SUMIF(O_CWP_FUT!$A:$A,$A173,O_CWP_FUT!K:K)</f>
        <v>0</v>
      </c>
      <c r="L173" s="800">
        <f>SUMIF(O_CWP_NOW!$A:$A,$A173,O_CWP_NOW!L:L)+SUMIF(O_CWP_FUT!$A:$A,$A173,O_CWP_FUT!L:L)</f>
        <v>0</v>
      </c>
      <c r="M173" s="800">
        <f>SUMIF(O_CWP_NOW!$A:$A,$A173,O_CWP_NOW!M:M)+SUMIF(O_CWP_FUT!$A:$A,$A173,O_CWP_FUT!M:M)</f>
        <v>0</v>
      </c>
      <c r="N173" s="800">
        <f>SUMIF(O_CWP_NOW!$A:$A,$A173,O_CWP_NOW!N:N)+SUMIF(O_CWP_FUT!$A:$A,$A173,O_CWP_FUT!N:N)</f>
        <v>0</v>
      </c>
      <c r="O173" s="800">
        <f t="shared" si="12"/>
        <v>0</v>
      </c>
      <c r="P173" s="40"/>
      <c r="R173" s="29"/>
      <c r="S173" s="29"/>
      <c r="W173" s="29"/>
      <c r="X173" s="29"/>
      <c r="Y173" s="29"/>
      <c r="Z173" s="29"/>
      <c r="AA173" s="29"/>
      <c r="AB173" s="29"/>
      <c r="AC173" s="29"/>
      <c r="AD173" s="29"/>
      <c r="AE173" s="29"/>
      <c r="AF173" s="29"/>
      <c r="AG173" s="29"/>
      <c r="AH173" s="29"/>
    </row>
    <row r="174" spans="1:34" ht="13" hidden="1">
      <c r="A174" s="35" t="s">
        <v>2824</v>
      </c>
      <c r="B174" s="31" t="s">
        <v>1055</v>
      </c>
      <c r="C174" s="31" t="str">
        <f>VLOOKUP($A174,FA_Codes!$D$2:$G$249,4,FALSE)</f>
        <v>Rural South</v>
      </c>
      <c r="D174" s="800">
        <f>SUMIF(O_CWP_NOW!$A:$A,$A174,O_CWP_NOW!D:D)+SUMIF(O_CWP_FUT!$A:$A,$A174,O_CWP_FUT!D:D)</f>
        <v>0</v>
      </c>
      <c r="E174" s="800">
        <f>SUMIF(O_CWP_NOW!$A:$A,$A174,O_CWP_NOW!E:E)+SUMIF(O_CWP_FUT!$A:$A,$A174,O_CWP_FUT!E:E)</f>
        <v>0</v>
      </c>
      <c r="F174" s="800">
        <f>SUMIF(O_CWP_NOW!$A:$A,$A174,O_CWP_NOW!F:F)+SUMIF(O_CWP_FUT!$A:$A,$A174,O_CWP_FUT!F:F)</f>
        <v>0</v>
      </c>
      <c r="G174" s="800">
        <f>SUMIF(O_CWP_NOW!$A:$A,$A174,O_CWP_NOW!G:G)+SUMIF(O_CWP_FUT!$A:$A,$A174,O_CWP_FUT!G:G)</f>
        <v>0</v>
      </c>
      <c r="H174" s="800">
        <f>SUMIF(O_CWP_NOW!$A:$A,$A174,O_CWP_NOW!H:H)+SUMIF(O_CWP_FUT!$A:$A,$A174,O_CWP_FUT!H:H)</f>
        <v>0</v>
      </c>
      <c r="I174" s="800">
        <f>SUMIF(O_CWP_NOW!$A:$A,$A174,O_CWP_NOW!I:I)+SUMIF(O_CWP_FUT!$A:$A,$A174,O_CWP_FUT!I:I)</f>
        <v>0</v>
      </c>
      <c r="J174" s="800">
        <f>SUMIF(O_CWP_NOW!$A:$A,$A174,O_CWP_NOW!J:J)+SUMIF(O_CWP_FUT!$A:$A,$A174,O_CWP_FUT!J:J)</f>
        <v>0</v>
      </c>
      <c r="K174" s="800">
        <f>SUMIF(O_CWP_NOW!$A:$A,$A174,O_CWP_NOW!K:K)+SUMIF(O_CWP_FUT!$A:$A,$A174,O_CWP_FUT!K:K)</f>
        <v>0</v>
      </c>
      <c r="L174" s="800">
        <f>SUMIF(O_CWP_NOW!$A:$A,$A174,O_CWP_NOW!L:L)+SUMIF(O_CWP_FUT!$A:$A,$A174,O_CWP_FUT!L:L)</f>
        <v>0</v>
      </c>
      <c r="M174" s="800">
        <f>SUMIF(O_CWP_NOW!$A:$A,$A174,O_CWP_NOW!M:M)+SUMIF(O_CWP_FUT!$A:$A,$A174,O_CWP_FUT!M:M)</f>
        <v>0</v>
      </c>
      <c r="N174" s="800">
        <f>SUMIF(O_CWP_NOW!$A:$A,$A174,O_CWP_NOW!N:N)+SUMIF(O_CWP_FUT!$A:$A,$A174,O_CWP_FUT!N:N)</f>
        <v>0</v>
      </c>
      <c r="O174" s="800">
        <f t="shared" si="12"/>
        <v>0</v>
      </c>
      <c r="P174" s="40"/>
      <c r="R174" s="29"/>
      <c r="S174" s="29"/>
      <c r="W174" s="29"/>
      <c r="X174" s="29"/>
      <c r="Y174" s="29"/>
      <c r="Z174" s="29"/>
      <c r="AA174" s="29"/>
      <c r="AB174" s="29"/>
      <c r="AC174" s="29"/>
      <c r="AD174" s="29"/>
      <c r="AE174" s="29"/>
      <c r="AF174" s="29"/>
      <c r="AG174" s="29"/>
      <c r="AH174" s="29"/>
    </row>
    <row r="175" spans="1:34" ht="13" hidden="1">
      <c r="A175" s="35" t="s">
        <v>2825</v>
      </c>
      <c r="B175" s="31" t="s">
        <v>1055</v>
      </c>
      <c r="C175" s="31" t="str">
        <f>VLOOKUP($A175,FA_Codes!$D$2:$G$249,4,FALSE)</f>
        <v>Area 16</v>
      </c>
      <c r="D175" s="800">
        <f>SUMIF(O_CWP_NOW!$A:$A,$A175,O_CWP_NOW!D:D)+SUMIF(O_CWP_FUT!$A:$A,$A175,O_CWP_FUT!D:D)</f>
        <v>0</v>
      </c>
      <c r="E175" s="800">
        <f>SUMIF(O_CWP_NOW!$A:$A,$A175,O_CWP_NOW!E:E)+SUMIF(O_CWP_FUT!$A:$A,$A175,O_CWP_FUT!E:E)</f>
        <v>0</v>
      </c>
      <c r="F175" s="800">
        <f>SUMIF(O_CWP_NOW!$A:$A,$A175,O_CWP_NOW!F:F)+SUMIF(O_CWP_FUT!$A:$A,$A175,O_CWP_FUT!F:F)</f>
        <v>0</v>
      </c>
      <c r="G175" s="800">
        <f>SUMIF(O_CWP_NOW!$A:$A,$A175,O_CWP_NOW!G:G)+SUMIF(O_CWP_FUT!$A:$A,$A175,O_CWP_FUT!G:G)</f>
        <v>0</v>
      </c>
      <c r="H175" s="800">
        <f>SUMIF(O_CWP_NOW!$A:$A,$A175,O_CWP_NOW!H:H)+SUMIF(O_CWP_FUT!$A:$A,$A175,O_CWP_FUT!H:H)</f>
        <v>0</v>
      </c>
      <c r="I175" s="800">
        <f>SUMIF(O_CWP_NOW!$A:$A,$A175,O_CWP_NOW!I:I)+SUMIF(O_CWP_FUT!$A:$A,$A175,O_CWP_FUT!I:I)</f>
        <v>0</v>
      </c>
      <c r="J175" s="800">
        <f>SUMIF(O_CWP_NOW!$A:$A,$A175,O_CWP_NOW!J:J)+SUMIF(O_CWP_FUT!$A:$A,$A175,O_CWP_FUT!J:J)</f>
        <v>0</v>
      </c>
      <c r="K175" s="800">
        <f>SUMIF(O_CWP_NOW!$A:$A,$A175,O_CWP_NOW!K:K)+SUMIF(O_CWP_FUT!$A:$A,$A175,O_CWP_FUT!K:K)</f>
        <v>0</v>
      </c>
      <c r="L175" s="800">
        <f>SUMIF(O_CWP_NOW!$A:$A,$A175,O_CWP_NOW!L:L)+SUMIF(O_CWP_FUT!$A:$A,$A175,O_CWP_FUT!L:L)</f>
        <v>0</v>
      </c>
      <c r="M175" s="800">
        <f>SUMIF(O_CWP_NOW!$A:$A,$A175,O_CWP_NOW!M:M)+SUMIF(O_CWP_FUT!$A:$A,$A175,O_CWP_FUT!M:M)</f>
        <v>0</v>
      </c>
      <c r="N175" s="800">
        <f>SUMIF(O_CWP_NOW!$A:$A,$A175,O_CWP_NOW!N:N)+SUMIF(O_CWP_FUT!$A:$A,$A175,O_CWP_FUT!N:N)</f>
        <v>0</v>
      </c>
      <c r="O175" s="800">
        <f t="shared" si="12"/>
        <v>0</v>
      </c>
      <c r="P175" s="40"/>
      <c r="R175" s="29"/>
      <c r="S175" s="29"/>
      <c r="W175" s="29"/>
      <c r="X175" s="29"/>
      <c r="Y175" s="29"/>
      <c r="Z175" s="29"/>
      <c r="AA175" s="29"/>
      <c r="AB175" s="29"/>
      <c r="AC175" s="29"/>
      <c r="AD175" s="29"/>
      <c r="AE175" s="29"/>
      <c r="AF175" s="29"/>
      <c r="AG175" s="29"/>
      <c r="AH175" s="29"/>
    </row>
    <row r="176" spans="1:34" ht="13" hidden="1">
      <c r="A176" s="35" t="s">
        <v>2826</v>
      </c>
      <c r="B176" s="31" t="s">
        <v>1055</v>
      </c>
      <c r="C176" s="31" t="str">
        <f>VLOOKUP($A176,FA_Codes!$D$2:$G$249,4,FALSE)</f>
        <v>Mt Roskill AHP</v>
      </c>
      <c r="D176" s="800">
        <f>SUMIF(O_CWP_NOW!$A:$A,$A176,O_CWP_NOW!D:D)+SUMIF(O_CWP_FUT!$A:$A,$A176,O_CWP_FUT!D:D)</f>
        <v>0</v>
      </c>
      <c r="E176" s="800">
        <f>SUMIF(O_CWP_NOW!$A:$A,$A176,O_CWP_NOW!E:E)+SUMIF(O_CWP_FUT!$A:$A,$A176,O_CWP_FUT!E:E)</f>
        <v>0</v>
      </c>
      <c r="F176" s="800">
        <f>SUMIF(O_CWP_NOW!$A:$A,$A176,O_CWP_NOW!F:F)+SUMIF(O_CWP_FUT!$A:$A,$A176,O_CWP_FUT!F:F)</f>
        <v>0</v>
      </c>
      <c r="G176" s="800">
        <f>SUMIF(O_CWP_NOW!$A:$A,$A176,O_CWP_NOW!G:G)+SUMIF(O_CWP_FUT!$A:$A,$A176,O_CWP_FUT!G:G)</f>
        <v>0</v>
      </c>
      <c r="H176" s="800">
        <f>SUMIF(O_CWP_NOW!$A:$A,$A176,O_CWP_NOW!H:H)+SUMIF(O_CWP_FUT!$A:$A,$A176,O_CWP_FUT!H:H)</f>
        <v>0</v>
      </c>
      <c r="I176" s="800">
        <f>SUMIF(O_CWP_NOW!$A:$A,$A176,O_CWP_NOW!I:I)+SUMIF(O_CWP_FUT!$A:$A,$A176,O_CWP_FUT!I:I)</f>
        <v>0</v>
      </c>
      <c r="J176" s="800">
        <f>SUMIF(O_CWP_NOW!$A:$A,$A176,O_CWP_NOW!J:J)+SUMIF(O_CWP_FUT!$A:$A,$A176,O_CWP_FUT!J:J)</f>
        <v>0</v>
      </c>
      <c r="K176" s="800">
        <f>SUMIF(O_CWP_NOW!$A:$A,$A176,O_CWP_NOW!K:K)+SUMIF(O_CWP_FUT!$A:$A,$A176,O_CWP_FUT!K:K)</f>
        <v>0</v>
      </c>
      <c r="L176" s="800">
        <f>SUMIF(O_CWP_NOW!$A:$A,$A176,O_CWP_NOW!L:L)+SUMIF(O_CWP_FUT!$A:$A,$A176,O_CWP_FUT!L:L)</f>
        <v>0</v>
      </c>
      <c r="M176" s="800">
        <f>SUMIF(O_CWP_NOW!$A:$A,$A176,O_CWP_NOW!M:M)+SUMIF(O_CWP_FUT!$A:$A,$A176,O_CWP_FUT!M:M)</f>
        <v>0</v>
      </c>
      <c r="N176" s="800">
        <f>SUMIF(O_CWP_NOW!$A:$A,$A176,O_CWP_NOW!N:N)+SUMIF(O_CWP_FUT!$A:$A,$A176,O_CWP_FUT!N:N)</f>
        <v>0</v>
      </c>
      <c r="O176" s="800">
        <f t="shared" si="12"/>
        <v>0</v>
      </c>
      <c r="P176" s="40"/>
      <c r="R176" s="29"/>
      <c r="S176" s="29"/>
      <c r="W176" s="29"/>
      <c r="X176" s="29"/>
      <c r="Y176" s="29"/>
      <c r="Z176" s="29"/>
      <c r="AA176" s="29"/>
      <c r="AB176" s="29"/>
      <c r="AC176" s="29"/>
      <c r="AD176" s="29"/>
      <c r="AE176" s="29"/>
      <c r="AF176" s="29"/>
      <c r="AG176" s="29"/>
      <c r="AH176" s="29"/>
    </row>
    <row r="177" spans="1:34" ht="13" hidden="1">
      <c r="A177" s="35" t="s">
        <v>2827</v>
      </c>
      <c r="B177" s="31" t="s">
        <v>1055</v>
      </c>
      <c r="C177" s="31" t="str">
        <f>VLOOKUP($A177,FA_Codes!$D$2:$G$249,4,FALSE)</f>
        <v>Mangere AHP</v>
      </c>
      <c r="D177" s="800">
        <f>SUMIF(O_CWP_NOW!$A:$A,$A177,O_CWP_NOW!D:D)+SUMIF(O_CWP_FUT!$A:$A,$A177,O_CWP_FUT!D:D)</f>
        <v>0</v>
      </c>
      <c r="E177" s="800">
        <f>SUMIF(O_CWP_NOW!$A:$A,$A177,O_CWP_NOW!E:E)+SUMIF(O_CWP_FUT!$A:$A,$A177,O_CWP_FUT!E:E)</f>
        <v>0</v>
      </c>
      <c r="F177" s="800">
        <f>SUMIF(O_CWP_NOW!$A:$A,$A177,O_CWP_NOW!F:F)+SUMIF(O_CWP_FUT!$A:$A,$A177,O_CWP_FUT!F:F)</f>
        <v>0</v>
      </c>
      <c r="G177" s="800">
        <f>SUMIF(O_CWP_NOW!$A:$A,$A177,O_CWP_NOW!G:G)+SUMIF(O_CWP_FUT!$A:$A,$A177,O_CWP_FUT!G:G)</f>
        <v>0</v>
      </c>
      <c r="H177" s="800">
        <f>SUMIF(O_CWP_NOW!$A:$A,$A177,O_CWP_NOW!H:H)+SUMIF(O_CWP_FUT!$A:$A,$A177,O_CWP_FUT!H:H)</f>
        <v>0</v>
      </c>
      <c r="I177" s="800">
        <f>SUMIF(O_CWP_NOW!$A:$A,$A177,O_CWP_NOW!I:I)+SUMIF(O_CWP_FUT!$A:$A,$A177,O_CWP_FUT!I:I)</f>
        <v>0</v>
      </c>
      <c r="J177" s="800">
        <f>SUMIF(O_CWP_NOW!$A:$A,$A177,O_CWP_NOW!J:J)+SUMIF(O_CWP_FUT!$A:$A,$A177,O_CWP_FUT!J:J)</f>
        <v>0</v>
      </c>
      <c r="K177" s="800">
        <f>SUMIF(O_CWP_NOW!$A:$A,$A177,O_CWP_NOW!K:K)+SUMIF(O_CWP_FUT!$A:$A,$A177,O_CWP_FUT!K:K)</f>
        <v>0</v>
      </c>
      <c r="L177" s="800">
        <f>SUMIF(O_CWP_NOW!$A:$A,$A177,O_CWP_NOW!L:L)+SUMIF(O_CWP_FUT!$A:$A,$A177,O_CWP_FUT!L:L)</f>
        <v>0</v>
      </c>
      <c r="M177" s="800">
        <f>SUMIF(O_CWP_NOW!$A:$A,$A177,O_CWP_NOW!M:M)+SUMIF(O_CWP_FUT!$A:$A,$A177,O_CWP_FUT!M:M)</f>
        <v>0</v>
      </c>
      <c r="N177" s="800">
        <f>SUMIF(O_CWP_NOW!$A:$A,$A177,O_CWP_NOW!N:N)+SUMIF(O_CWP_FUT!$A:$A,$A177,O_CWP_FUT!N:N)</f>
        <v>0</v>
      </c>
      <c r="O177" s="800">
        <f t="shared" si="12"/>
        <v>0</v>
      </c>
      <c r="P177" s="40"/>
      <c r="R177" s="29"/>
      <c r="S177" s="29"/>
      <c r="W177" s="29"/>
      <c r="X177" s="29"/>
      <c r="Y177" s="29"/>
      <c r="Z177" s="29"/>
      <c r="AA177" s="29"/>
      <c r="AB177" s="29"/>
      <c r="AC177" s="29"/>
      <c r="AD177" s="29"/>
      <c r="AE177" s="29"/>
      <c r="AF177" s="29"/>
      <c r="AG177" s="29"/>
      <c r="AH177" s="29"/>
    </row>
    <row r="178" spans="1:34" ht="13" hidden="1">
      <c r="A178" s="35" t="s">
        <v>2830</v>
      </c>
      <c r="B178" s="31" t="s">
        <v>1055</v>
      </c>
      <c r="C178" s="31" t="str">
        <f>VLOOKUP($A178,FA_Codes!$D$2:$G$249,4,FALSE)</f>
        <v>Northwest  - Redhills</v>
      </c>
      <c r="D178" s="800">
        <f>SUMIF(O_CWP_NOW!$A:$A,$A178,O_CWP_NOW!D:D)+SUMIF(O_CWP_FUT!$A:$A,$A178,O_CWP_FUT!D:D)</f>
        <v>0</v>
      </c>
      <c r="E178" s="800">
        <f>SUMIF(O_CWP_NOW!$A:$A,$A178,O_CWP_NOW!E:E)+SUMIF(O_CWP_FUT!$A:$A,$A178,O_CWP_FUT!E:E)</f>
        <v>0</v>
      </c>
      <c r="F178" s="800">
        <f>SUMIF(O_CWP_NOW!$A:$A,$A178,O_CWP_NOW!F:F)+SUMIF(O_CWP_FUT!$A:$A,$A178,O_CWP_FUT!F:F)</f>
        <v>0</v>
      </c>
      <c r="G178" s="800">
        <f>SUMIF(O_CWP_NOW!$A:$A,$A178,O_CWP_NOW!G:G)+SUMIF(O_CWP_FUT!$A:$A,$A178,O_CWP_FUT!G:G)</f>
        <v>0</v>
      </c>
      <c r="H178" s="800">
        <f>SUMIF(O_CWP_NOW!$A:$A,$A178,O_CWP_NOW!H:H)+SUMIF(O_CWP_FUT!$A:$A,$A178,O_CWP_FUT!H:H)</f>
        <v>0</v>
      </c>
      <c r="I178" s="800">
        <f>SUMIF(O_CWP_NOW!$A:$A,$A178,O_CWP_NOW!I:I)+SUMIF(O_CWP_FUT!$A:$A,$A178,O_CWP_FUT!I:I)</f>
        <v>0</v>
      </c>
      <c r="J178" s="800">
        <f>SUMIF(O_CWP_NOW!$A:$A,$A178,O_CWP_NOW!J:J)+SUMIF(O_CWP_FUT!$A:$A,$A178,O_CWP_FUT!J:J)</f>
        <v>0</v>
      </c>
      <c r="K178" s="800">
        <f>SUMIF(O_CWP_NOW!$A:$A,$A178,O_CWP_NOW!K:K)+SUMIF(O_CWP_FUT!$A:$A,$A178,O_CWP_FUT!K:K)</f>
        <v>0</v>
      </c>
      <c r="L178" s="800">
        <f>SUMIF(O_CWP_NOW!$A:$A,$A178,O_CWP_NOW!L:L)+SUMIF(O_CWP_FUT!$A:$A,$A178,O_CWP_FUT!L:L)</f>
        <v>0</v>
      </c>
      <c r="M178" s="800">
        <f>SUMIF(O_CWP_NOW!$A:$A,$A178,O_CWP_NOW!M:M)+SUMIF(O_CWP_FUT!$A:$A,$A178,O_CWP_FUT!M:M)</f>
        <v>0</v>
      </c>
      <c r="N178" s="800">
        <f>SUMIF(O_CWP_NOW!$A:$A,$A178,O_CWP_NOW!N:N)+SUMIF(O_CWP_FUT!$A:$A,$A178,O_CWP_FUT!N:N)</f>
        <v>0</v>
      </c>
      <c r="O178" s="800">
        <f t="shared" si="12"/>
        <v>0</v>
      </c>
      <c r="P178" s="40"/>
      <c r="R178" s="29"/>
      <c r="S178" s="29"/>
      <c r="W178" s="29"/>
      <c r="X178" s="29"/>
      <c r="Y178" s="29"/>
      <c r="Z178" s="29"/>
      <c r="AA178" s="29"/>
      <c r="AB178" s="29"/>
      <c r="AC178" s="29"/>
      <c r="AD178" s="29"/>
      <c r="AE178" s="29"/>
      <c r="AF178" s="29"/>
      <c r="AG178" s="29"/>
      <c r="AH178" s="29"/>
    </row>
    <row r="179" spans="1:34" ht="13" hidden="1">
      <c r="A179" s="35" t="s">
        <v>2831</v>
      </c>
      <c r="B179" s="31" t="s">
        <v>1055</v>
      </c>
      <c r="C179" s="31" t="str">
        <f>VLOOKUP($A179,FA_Codes!$D$2:$G$249,4,FALSE)</f>
        <v>Northwest  - Whenuapai</v>
      </c>
      <c r="D179" s="800">
        <f>SUMIF(O_CWP_NOW!$A:$A,$A179,O_CWP_NOW!D:D)+SUMIF(O_CWP_FUT!$A:$A,$A179,O_CWP_FUT!D:D)</f>
        <v>0</v>
      </c>
      <c r="E179" s="800">
        <f>SUMIF(O_CWP_NOW!$A:$A,$A179,O_CWP_NOW!E:E)+SUMIF(O_CWP_FUT!$A:$A,$A179,O_CWP_FUT!E:E)</f>
        <v>0</v>
      </c>
      <c r="F179" s="800">
        <f>SUMIF(O_CWP_NOW!$A:$A,$A179,O_CWP_NOW!F:F)+SUMIF(O_CWP_FUT!$A:$A,$A179,O_CWP_FUT!F:F)</f>
        <v>0</v>
      </c>
      <c r="G179" s="800">
        <f>SUMIF(O_CWP_NOW!$A:$A,$A179,O_CWP_NOW!G:G)+SUMIF(O_CWP_FUT!$A:$A,$A179,O_CWP_FUT!G:G)</f>
        <v>0</v>
      </c>
      <c r="H179" s="800">
        <f>SUMIF(O_CWP_NOW!$A:$A,$A179,O_CWP_NOW!H:H)+SUMIF(O_CWP_FUT!$A:$A,$A179,O_CWP_FUT!H:H)</f>
        <v>0</v>
      </c>
      <c r="I179" s="800">
        <f>SUMIF(O_CWP_NOW!$A:$A,$A179,O_CWP_NOW!I:I)+SUMIF(O_CWP_FUT!$A:$A,$A179,O_CWP_FUT!I:I)</f>
        <v>0</v>
      </c>
      <c r="J179" s="800">
        <f>SUMIF(O_CWP_NOW!$A:$A,$A179,O_CWP_NOW!J:J)+SUMIF(O_CWP_FUT!$A:$A,$A179,O_CWP_FUT!J:J)</f>
        <v>0</v>
      </c>
      <c r="K179" s="800">
        <f>SUMIF(O_CWP_NOW!$A:$A,$A179,O_CWP_NOW!K:K)+SUMIF(O_CWP_FUT!$A:$A,$A179,O_CWP_FUT!K:K)</f>
        <v>0</v>
      </c>
      <c r="L179" s="800">
        <f>SUMIF(O_CWP_NOW!$A:$A,$A179,O_CWP_NOW!L:L)+SUMIF(O_CWP_FUT!$A:$A,$A179,O_CWP_FUT!L:L)</f>
        <v>0</v>
      </c>
      <c r="M179" s="800">
        <f>SUMIF(O_CWP_NOW!$A:$A,$A179,O_CWP_NOW!M:M)+SUMIF(O_CWP_FUT!$A:$A,$A179,O_CWP_FUT!M:M)</f>
        <v>0</v>
      </c>
      <c r="N179" s="800">
        <f>SUMIF(O_CWP_NOW!$A:$A,$A179,O_CWP_NOW!N:N)+SUMIF(O_CWP_FUT!$A:$A,$A179,O_CWP_FUT!N:N)</f>
        <v>0</v>
      </c>
      <c r="O179" s="800">
        <f t="shared" si="12"/>
        <v>0</v>
      </c>
      <c r="P179" s="40"/>
      <c r="R179" s="29"/>
      <c r="S179" s="29"/>
      <c r="W179" s="29"/>
      <c r="X179" s="29"/>
      <c r="Y179" s="29"/>
      <c r="Z179" s="29"/>
      <c r="AA179" s="29"/>
      <c r="AB179" s="29"/>
      <c r="AC179" s="29"/>
      <c r="AD179" s="29"/>
      <c r="AE179" s="29"/>
      <c r="AF179" s="29"/>
      <c r="AG179" s="29"/>
      <c r="AH179" s="29"/>
    </row>
    <row r="180" spans="1:34" ht="13" hidden="1">
      <c r="A180" s="35" t="s">
        <v>2839</v>
      </c>
      <c r="B180" s="31" t="s">
        <v>1055</v>
      </c>
      <c r="C180" s="58" t="s">
        <v>7013</v>
      </c>
      <c r="D180" s="800">
        <f>SUMIF(O_CWP_NOW!$A:$A,$A180,O_CWP_NOW!D:D)+SUMIF(O_CWP_FUT!$A:$A,$A180,O_CWP_FUT!D:D)</f>
        <v>0</v>
      </c>
      <c r="E180" s="800">
        <f>SUMIF(O_CWP_NOW!$A:$A,$A180,O_CWP_NOW!E:E)+SUMIF(O_CWP_FUT!$A:$A,$A180,O_CWP_FUT!E:E)</f>
        <v>0</v>
      </c>
      <c r="F180" s="800">
        <f>SUMIF(O_CWP_NOW!$A:$A,$A180,O_CWP_NOW!F:F)+SUMIF(O_CWP_FUT!$A:$A,$A180,O_CWP_FUT!F:F)</f>
        <v>0</v>
      </c>
      <c r="G180" s="800">
        <f>SUMIF(O_CWP_NOW!$A:$A,$A180,O_CWP_NOW!G:G)+SUMIF(O_CWP_FUT!$A:$A,$A180,O_CWP_FUT!G:G)</f>
        <v>0</v>
      </c>
      <c r="H180" s="800">
        <f>SUMIF(O_CWP_NOW!$A:$A,$A180,O_CWP_NOW!H:H)+SUMIF(O_CWP_FUT!$A:$A,$A180,O_CWP_FUT!H:H)</f>
        <v>0</v>
      </c>
      <c r="I180" s="800">
        <f>SUMIF(O_CWP_NOW!$A:$A,$A180,O_CWP_NOW!I:I)+SUMIF(O_CWP_FUT!$A:$A,$A180,O_CWP_FUT!I:I)</f>
        <v>0</v>
      </c>
      <c r="J180" s="800">
        <f>SUMIF(O_CWP_NOW!$A:$A,$A180,O_CWP_NOW!J:J)+SUMIF(O_CWP_FUT!$A:$A,$A180,O_CWP_FUT!J:J)</f>
        <v>0</v>
      </c>
      <c r="K180" s="800">
        <f>SUMIF(O_CWP_NOW!$A:$A,$A180,O_CWP_NOW!K:K)+SUMIF(O_CWP_FUT!$A:$A,$A180,O_CWP_FUT!K:K)</f>
        <v>0</v>
      </c>
      <c r="L180" s="800">
        <f>SUMIF(O_CWP_NOW!$A:$A,$A180,O_CWP_NOW!L:L)+SUMIF(O_CWP_FUT!$A:$A,$A180,O_CWP_FUT!L:L)</f>
        <v>0</v>
      </c>
      <c r="M180" s="800">
        <f>SUMIF(O_CWP_NOW!$A:$A,$A180,O_CWP_NOW!M:M)+SUMIF(O_CWP_FUT!$A:$A,$A180,O_CWP_FUT!M:M)</f>
        <v>0</v>
      </c>
      <c r="N180" s="800">
        <f>SUMIF(O_CWP_NOW!$A:$A,$A180,O_CWP_NOW!N:N)+SUMIF(O_CWP_FUT!$A:$A,$A180,O_CWP_FUT!N:N)</f>
        <v>0</v>
      </c>
      <c r="O180" s="800">
        <f t="shared" si="12"/>
        <v>0</v>
      </c>
      <c r="P180" s="40"/>
      <c r="R180" s="29"/>
      <c r="S180" s="29"/>
      <c r="W180" s="29"/>
      <c r="X180" s="29"/>
      <c r="Y180" s="29"/>
      <c r="Z180" s="29"/>
      <c r="AA180" s="29"/>
      <c r="AB180" s="29"/>
      <c r="AC180" s="29"/>
      <c r="AD180" s="29"/>
      <c r="AE180" s="29"/>
      <c r="AF180" s="29"/>
      <c r="AG180" s="29"/>
      <c r="AH180" s="29"/>
    </row>
    <row r="181" spans="1:34" ht="13" hidden="1">
      <c r="A181" s="35" t="s">
        <v>2840</v>
      </c>
      <c r="B181" s="31" t="s">
        <v>1055</v>
      </c>
      <c r="C181" s="58" t="s">
        <v>7013</v>
      </c>
      <c r="D181" s="800">
        <f>SUMIF(O_CWP_NOW!$A:$A,$A181,O_CWP_NOW!D:D)+SUMIF(O_CWP_FUT!$A:$A,$A181,O_CWP_FUT!D:D)</f>
        <v>0</v>
      </c>
      <c r="E181" s="800">
        <f>SUMIF(O_CWP_NOW!$A:$A,$A181,O_CWP_NOW!E:E)+SUMIF(O_CWP_FUT!$A:$A,$A181,O_CWP_FUT!E:E)</f>
        <v>0</v>
      </c>
      <c r="F181" s="800">
        <f>SUMIF(O_CWP_NOW!$A:$A,$A181,O_CWP_NOW!F:F)+SUMIF(O_CWP_FUT!$A:$A,$A181,O_CWP_FUT!F:F)</f>
        <v>0</v>
      </c>
      <c r="G181" s="800">
        <f>SUMIF(O_CWP_NOW!$A:$A,$A181,O_CWP_NOW!G:G)+SUMIF(O_CWP_FUT!$A:$A,$A181,O_CWP_FUT!G:G)</f>
        <v>0</v>
      </c>
      <c r="H181" s="800">
        <f>SUMIF(O_CWP_NOW!$A:$A,$A181,O_CWP_NOW!H:H)+SUMIF(O_CWP_FUT!$A:$A,$A181,O_CWP_FUT!H:H)</f>
        <v>0</v>
      </c>
      <c r="I181" s="800">
        <f>SUMIF(O_CWP_NOW!$A:$A,$A181,O_CWP_NOW!I:I)+SUMIF(O_CWP_FUT!$A:$A,$A181,O_CWP_FUT!I:I)</f>
        <v>0</v>
      </c>
      <c r="J181" s="800">
        <f>SUMIF(O_CWP_NOW!$A:$A,$A181,O_CWP_NOW!J:J)+SUMIF(O_CWP_FUT!$A:$A,$A181,O_CWP_FUT!J:J)</f>
        <v>0</v>
      </c>
      <c r="K181" s="800">
        <f>SUMIF(O_CWP_NOW!$A:$A,$A181,O_CWP_NOW!K:K)+SUMIF(O_CWP_FUT!$A:$A,$A181,O_CWP_FUT!K:K)</f>
        <v>0</v>
      </c>
      <c r="L181" s="800">
        <f>SUMIF(O_CWP_NOW!$A:$A,$A181,O_CWP_NOW!L:L)+SUMIF(O_CWP_FUT!$A:$A,$A181,O_CWP_FUT!L:L)</f>
        <v>0</v>
      </c>
      <c r="M181" s="800">
        <f>SUMIF(O_CWP_NOW!$A:$A,$A181,O_CWP_NOW!M:M)+SUMIF(O_CWP_FUT!$A:$A,$A181,O_CWP_FUT!M:M)</f>
        <v>0</v>
      </c>
      <c r="N181" s="800">
        <f>SUMIF(O_CWP_NOW!$A:$A,$A181,O_CWP_NOW!N:N)+SUMIF(O_CWP_FUT!$A:$A,$A181,O_CWP_FUT!N:N)</f>
        <v>0</v>
      </c>
      <c r="O181" s="800">
        <f t="shared" si="12"/>
        <v>0</v>
      </c>
      <c r="P181" s="40"/>
      <c r="R181" s="29"/>
      <c r="S181" s="29"/>
      <c r="W181" s="29"/>
      <c r="X181" s="29"/>
      <c r="Y181" s="29"/>
      <c r="Z181" s="29"/>
      <c r="AA181" s="29"/>
      <c r="AB181" s="29"/>
      <c r="AC181" s="29"/>
      <c r="AD181" s="29"/>
      <c r="AE181" s="29"/>
      <c r="AF181" s="29"/>
      <c r="AG181" s="29"/>
      <c r="AH181" s="29"/>
    </row>
    <row r="182" spans="1:34" ht="13" hidden="1">
      <c r="A182" s="35" t="s">
        <v>2841</v>
      </c>
      <c r="B182" s="31" t="s">
        <v>1055</v>
      </c>
      <c r="C182" s="58" t="s">
        <v>7013</v>
      </c>
      <c r="D182" s="800">
        <f>SUMIF(O_CWP_NOW!$A:$A,$A182,O_CWP_NOW!D:D)+SUMIF(O_CWP_FUT!$A:$A,$A182,O_CWP_FUT!D:D)</f>
        <v>0</v>
      </c>
      <c r="E182" s="800">
        <f>SUMIF(O_CWP_NOW!$A:$A,$A182,O_CWP_NOW!E:E)+SUMIF(O_CWP_FUT!$A:$A,$A182,O_CWP_FUT!E:E)</f>
        <v>0</v>
      </c>
      <c r="F182" s="800">
        <f>SUMIF(O_CWP_NOW!$A:$A,$A182,O_CWP_NOW!F:F)+SUMIF(O_CWP_FUT!$A:$A,$A182,O_CWP_FUT!F:F)</f>
        <v>0</v>
      </c>
      <c r="G182" s="800">
        <f>SUMIF(O_CWP_NOW!$A:$A,$A182,O_CWP_NOW!G:G)+SUMIF(O_CWP_FUT!$A:$A,$A182,O_CWP_FUT!G:G)</f>
        <v>0</v>
      </c>
      <c r="H182" s="800">
        <f>SUMIF(O_CWP_NOW!$A:$A,$A182,O_CWP_NOW!H:H)+SUMIF(O_CWP_FUT!$A:$A,$A182,O_CWP_FUT!H:H)</f>
        <v>0</v>
      </c>
      <c r="I182" s="800">
        <f>SUMIF(O_CWP_NOW!$A:$A,$A182,O_CWP_NOW!I:I)+SUMIF(O_CWP_FUT!$A:$A,$A182,O_CWP_FUT!I:I)</f>
        <v>0</v>
      </c>
      <c r="J182" s="800">
        <f>SUMIF(O_CWP_NOW!$A:$A,$A182,O_CWP_NOW!J:J)+SUMIF(O_CWP_FUT!$A:$A,$A182,O_CWP_FUT!J:J)</f>
        <v>0</v>
      </c>
      <c r="K182" s="800">
        <f>SUMIF(O_CWP_NOW!$A:$A,$A182,O_CWP_NOW!K:K)+SUMIF(O_CWP_FUT!$A:$A,$A182,O_CWP_FUT!K:K)</f>
        <v>0</v>
      </c>
      <c r="L182" s="800">
        <f>SUMIF(O_CWP_NOW!$A:$A,$A182,O_CWP_NOW!L:L)+SUMIF(O_CWP_FUT!$A:$A,$A182,O_CWP_FUT!L:L)</f>
        <v>0</v>
      </c>
      <c r="M182" s="800">
        <f>SUMIF(O_CWP_NOW!$A:$A,$A182,O_CWP_NOW!M:M)+SUMIF(O_CWP_FUT!$A:$A,$A182,O_CWP_FUT!M:M)</f>
        <v>0</v>
      </c>
      <c r="N182" s="800">
        <f>SUMIF(O_CWP_NOW!$A:$A,$A182,O_CWP_NOW!N:N)+SUMIF(O_CWP_FUT!$A:$A,$A182,O_CWP_FUT!N:N)</f>
        <v>0</v>
      </c>
      <c r="O182" s="800">
        <f t="shared" si="12"/>
        <v>0</v>
      </c>
      <c r="P182" s="40"/>
      <c r="R182" s="29"/>
      <c r="S182" s="29"/>
      <c r="W182" s="29"/>
      <c r="X182" s="29"/>
      <c r="Y182" s="29"/>
      <c r="Z182" s="29"/>
      <c r="AA182" s="29"/>
      <c r="AB182" s="29"/>
      <c r="AC182" s="29"/>
      <c r="AD182" s="29"/>
      <c r="AE182" s="29"/>
      <c r="AF182" s="29"/>
      <c r="AG182" s="29"/>
      <c r="AH182" s="29"/>
    </row>
    <row r="183" spans="1:34" ht="13" hidden="1">
      <c r="A183" s="22" t="s">
        <v>2842</v>
      </c>
      <c r="B183" s="31" t="s">
        <v>1205</v>
      </c>
      <c r="C183" s="31" t="str">
        <f>VLOOKUP($A183,FA_Codes!$D$2:$G$249,4,FALSE)</f>
        <v>Auckland wide</v>
      </c>
      <c r="D183" s="800">
        <f>SUMIF(O_CWP_NOW!$A:$A,$A183,O_CWP_NOW!D:D)+SUMIF(O_CWP_FUT!$A:$A,$A183,O_CWP_FUT!D:D)</f>
        <v>0</v>
      </c>
      <c r="E183" s="800">
        <f>SUMIF(O_CWP_NOW!$A:$A,$A183,O_CWP_NOW!E:E)+SUMIF(O_CWP_FUT!$A:$A,$A183,O_CWP_FUT!E:E)</f>
        <v>0</v>
      </c>
      <c r="F183" s="800">
        <f>SUMIF(O_CWP_NOW!$A:$A,$A183,O_CWP_NOW!F:F)+SUMIF(O_CWP_FUT!$A:$A,$A183,O_CWP_FUT!F:F)</f>
        <v>0</v>
      </c>
      <c r="G183" s="800">
        <f>SUMIF(O_CWP_NOW!$A:$A,$A183,O_CWP_NOW!G:G)+SUMIF(O_CWP_FUT!$A:$A,$A183,O_CWP_FUT!G:G)</f>
        <v>0</v>
      </c>
      <c r="H183" s="800">
        <f>SUMIF(O_CWP_NOW!$A:$A,$A183,O_CWP_NOW!H:H)+SUMIF(O_CWP_FUT!$A:$A,$A183,O_CWP_FUT!H:H)</f>
        <v>0</v>
      </c>
      <c r="I183" s="800">
        <f>SUMIF(O_CWP_NOW!$A:$A,$A183,O_CWP_NOW!I:I)+SUMIF(O_CWP_FUT!$A:$A,$A183,O_CWP_FUT!I:I)</f>
        <v>0</v>
      </c>
      <c r="J183" s="800">
        <f>SUMIF(O_CWP_NOW!$A:$A,$A183,O_CWP_NOW!J:J)+SUMIF(O_CWP_FUT!$A:$A,$A183,O_CWP_FUT!J:J)</f>
        <v>0</v>
      </c>
      <c r="K183" s="800">
        <f>SUMIF(O_CWP_NOW!$A:$A,$A183,O_CWP_NOW!K:K)+SUMIF(O_CWP_FUT!$A:$A,$A183,O_CWP_FUT!K:K)</f>
        <v>0</v>
      </c>
      <c r="L183" s="800">
        <f>SUMIF(O_CWP_NOW!$A:$A,$A183,O_CWP_NOW!L:L)+SUMIF(O_CWP_FUT!$A:$A,$A183,O_CWP_FUT!L:L)</f>
        <v>0</v>
      </c>
      <c r="M183" s="800">
        <f>SUMIF(O_CWP_NOW!$A:$A,$A183,O_CWP_NOW!M:M)+SUMIF(O_CWP_FUT!$A:$A,$A183,O_CWP_FUT!M:M)</f>
        <v>0</v>
      </c>
      <c r="N183" s="800">
        <f>SUMIF(O_CWP_NOW!$A:$A,$A183,O_CWP_NOW!N:N)+SUMIF(O_CWP_FUT!$A:$A,$A183,O_CWP_FUT!N:N)</f>
        <v>0</v>
      </c>
      <c r="O183" s="800">
        <f>SUM(D183:N183)</f>
        <v>0</v>
      </c>
      <c r="P183" s="40"/>
      <c r="R183" s="29"/>
      <c r="S183" s="29"/>
    </row>
    <row r="184" spans="1:34" ht="13" hidden="1">
      <c r="A184" s="22" t="s">
        <v>2843</v>
      </c>
      <c r="B184" s="31" t="s">
        <v>1205</v>
      </c>
      <c r="C184" s="58" t="s">
        <v>7013</v>
      </c>
      <c r="D184" s="800">
        <f>SUMIF(O_CWP_NOW!$A:$A,$A184,O_CWP_NOW!D:D)+SUMIF(O_CWP_FUT!$A:$A,$A184,O_CWP_FUT!D:D)</f>
        <v>0</v>
      </c>
      <c r="E184" s="800">
        <f>SUMIF(O_CWP_NOW!$A:$A,$A184,O_CWP_NOW!E:E)+SUMIF(O_CWP_FUT!$A:$A,$A184,O_CWP_FUT!E:E)</f>
        <v>0</v>
      </c>
      <c r="F184" s="800">
        <f>SUMIF(O_CWP_NOW!$A:$A,$A184,O_CWP_NOW!F:F)+SUMIF(O_CWP_FUT!$A:$A,$A184,O_CWP_FUT!F:F)</f>
        <v>0</v>
      </c>
      <c r="G184" s="800">
        <f>SUMIF(O_CWP_NOW!$A:$A,$A184,O_CWP_NOW!G:G)+SUMIF(O_CWP_FUT!$A:$A,$A184,O_CWP_FUT!G:G)</f>
        <v>0</v>
      </c>
      <c r="H184" s="800">
        <f>SUMIF(O_CWP_NOW!$A:$A,$A184,O_CWP_NOW!H:H)+SUMIF(O_CWP_FUT!$A:$A,$A184,O_CWP_FUT!H:H)</f>
        <v>0</v>
      </c>
      <c r="I184" s="800">
        <f>SUMIF(O_CWP_NOW!$A:$A,$A184,O_CWP_NOW!I:I)+SUMIF(O_CWP_FUT!$A:$A,$A184,O_CWP_FUT!I:I)</f>
        <v>0</v>
      </c>
      <c r="J184" s="800">
        <f>SUMIF(O_CWP_NOW!$A:$A,$A184,O_CWP_NOW!J:J)+SUMIF(O_CWP_FUT!$A:$A,$A184,O_CWP_FUT!J:J)</f>
        <v>0</v>
      </c>
      <c r="K184" s="800">
        <f>SUMIF(O_CWP_NOW!$A:$A,$A184,O_CWP_NOW!K:K)+SUMIF(O_CWP_FUT!$A:$A,$A184,O_CWP_FUT!K:K)</f>
        <v>0</v>
      </c>
      <c r="L184" s="800">
        <f>SUMIF(O_CWP_NOW!$A:$A,$A184,O_CWP_NOW!L:L)+SUMIF(O_CWP_FUT!$A:$A,$A184,O_CWP_FUT!L:L)</f>
        <v>0</v>
      </c>
      <c r="M184" s="800">
        <f>SUMIF(O_CWP_NOW!$A:$A,$A184,O_CWP_NOW!M:M)+SUMIF(O_CWP_FUT!$A:$A,$A184,O_CWP_FUT!M:M)</f>
        <v>0</v>
      </c>
      <c r="N184" s="800">
        <f>SUMIF(O_CWP_NOW!$A:$A,$A184,O_CWP_NOW!N:N)+SUMIF(O_CWP_FUT!$A:$A,$A184,O_CWP_FUT!N:N)</f>
        <v>0</v>
      </c>
      <c r="O184" s="800">
        <f t="shared" ref="O184:O199" si="13">SUM(D184:N184)</f>
        <v>0</v>
      </c>
      <c r="P184" s="40"/>
      <c r="R184" s="29"/>
      <c r="S184" s="29"/>
    </row>
    <row r="185" spans="1:34" ht="13" hidden="1">
      <c r="A185" s="22" t="s">
        <v>2844</v>
      </c>
      <c r="B185" s="31" t="s">
        <v>1205</v>
      </c>
      <c r="C185" s="58" t="s">
        <v>7013</v>
      </c>
      <c r="D185" s="800">
        <f>SUMIF(O_CWP_NOW!$A:$A,$A185,O_CWP_NOW!D:D)+SUMIF(O_CWP_FUT!$A:$A,$A185,O_CWP_FUT!D:D)</f>
        <v>0</v>
      </c>
      <c r="E185" s="800">
        <f>SUMIF(O_CWP_NOW!$A:$A,$A185,O_CWP_NOW!E:E)+SUMIF(O_CWP_FUT!$A:$A,$A185,O_CWP_FUT!E:E)</f>
        <v>0</v>
      </c>
      <c r="F185" s="800">
        <f>SUMIF(O_CWP_NOW!$A:$A,$A185,O_CWP_NOW!F:F)+SUMIF(O_CWP_FUT!$A:$A,$A185,O_CWP_FUT!F:F)</f>
        <v>0</v>
      </c>
      <c r="G185" s="800">
        <f>SUMIF(O_CWP_NOW!$A:$A,$A185,O_CWP_NOW!G:G)+SUMIF(O_CWP_FUT!$A:$A,$A185,O_CWP_FUT!G:G)</f>
        <v>0</v>
      </c>
      <c r="H185" s="800">
        <f>SUMIF(O_CWP_NOW!$A:$A,$A185,O_CWP_NOW!H:H)+SUMIF(O_CWP_FUT!$A:$A,$A185,O_CWP_FUT!H:H)</f>
        <v>0</v>
      </c>
      <c r="I185" s="800">
        <f>SUMIF(O_CWP_NOW!$A:$A,$A185,O_CWP_NOW!I:I)+SUMIF(O_CWP_FUT!$A:$A,$A185,O_CWP_FUT!I:I)</f>
        <v>0</v>
      </c>
      <c r="J185" s="800">
        <f>SUMIF(O_CWP_NOW!$A:$A,$A185,O_CWP_NOW!J:J)+SUMIF(O_CWP_FUT!$A:$A,$A185,O_CWP_FUT!J:J)</f>
        <v>0</v>
      </c>
      <c r="K185" s="800">
        <f>SUMIF(O_CWP_NOW!$A:$A,$A185,O_CWP_NOW!K:K)+SUMIF(O_CWP_FUT!$A:$A,$A185,O_CWP_FUT!K:K)</f>
        <v>0</v>
      </c>
      <c r="L185" s="800">
        <f>SUMIF(O_CWP_NOW!$A:$A,$A185,O_CWP_NOW!L:L)+SUMIF(O_CWP_FUT!$A:$A,$A185,O_CWP_FUT!L:L)</f>
        <v>0</v>
      </c>
      <c r="M185" s="800">
        <f>SUMIF(O_CWP_NOW!$A:$A,$A185,O_CWP_NOW!M:M)+SUMIF(O_CWP_FUT!$A:$A,$A185,O_CWP_FUT!M:M)</f>
        <v>0</v>
      </c>
      <c r="N185" s="800">
        <f>SUMIF(O_CWP_NOW!$A:$A,$A185,O_CWP_NOW!N:N)+SUMIF(O_CWP_FUT!$A:$A,$A185,O_CWP_FUT!N:N)</f>
        <v>0</v>
      </c>
      <c r="O185" s="800">
        <f t="shared" si="13"/>
        <v>0</v>
      </c>
      <c r="P185" s="40"/>
      <c r="R185" s="29"/>
      <c r="S185" s="29"/>
    </row>
    <row r="186" spans="1:34" ht="13" hidden="1">
      <c r="A186" s="22" t="s">
        <v>2845</v>
      </c>
      <c r="B186" s="31" t="s">
        <v>1205</v>
      </c>
      <c r="C186" s="58" t="s">
        <v>7013</v>
      </c>
      <c r="D186" s="800">
        <f>SUMIF(O_CWP_NOW!$A:$A,$A186,O_CWP_NOW!D:D)+SUMIF(O_CWP_FUT!$A:$A,$A186,O_CWP_FUT!D:D)</f>
        <v>0</v>
      </c>
      <c r="E186" s="800">
        <f>SUMIF(O_CWP_NOW!$A:$A,$A186,O_CWP_NOW!E:E)+SUMIF(O_CWP_FUT!$A:$A,$A186,O_CWP_FUT!E:E)</f>
        <v>0</v>
      </c>
      <c r="F186" s="800">
        <f>SUMIF(O_CWP_NOW!$A:$A,$A186,O_CWP_NOW!F:F)+SUMIF(O_CWP_FUT!$A:$A,$A186,O_CWP_FUT!F:F)</f>
        <v>0</v>
      </c>
      <c r="G186" s="800">
        <f>SUMIF(O_CWP_NOW!$A:$A,$A186,O_CWP_NOW!G:G)+SUMIF(O_CWP_FUT!$A:$A,$A186,O_CWP_FUT!G:G)</f>
        <v>0</v>
      </c>
      <c r="H186" s="800">
        <f>SUMIF(O_CWP_NOW!$A:$A,$A186,O_CWP_NOW!H:H)+SUMIF(O_CWP_FUT!$A:$A,$A186,O_CWP_FUT!H:H)</f>
        <v>0</v>
      </c>
      <c r="I186" s="800">
        <f>SUMIF(O_CWP_NOW!$A:$A,$A186,O_CWP_NOW!I:I)+SUMIF(O_CWP_FUT!$A:$A,$A186,O_CWP_FUT!I:I)</f>
        <v>0</v>
      </c>
      <c r="J186" s="800">
        <f>SUMIF(O_CWP_NOW!$A:$A,$A186,O_CWP_NOW!J:J)+SUMIF(O_CWP_FUT!$A:$A,$A186,O_CWP_FUT!J:J)</f>
        <v>0</v>
      </c>
      <c r="K186" s="800">
        <f>SUMIF(O_CWP_NOW!$A:$A,$A186,O_CWP_NOW!K:K)+SUMIF(O_CWP_FUT!$A:$A,$A186,O_CWP_FUT!K:K)</f>
        <v>0</v>
      </c>
      <c r="L186" s="800">
        <f>SUMIF(O_CWP_NOW!$A:$A,$A186,O_CWP_NOW!L:L)+SUMIF(O_CWP_FUT!$A:$A,$A186,O_CWP_FUT!L:L)</f>
        <v>0</v>
      </c>
      <c r="M186" s="800">
        <f>SUMIF(O_CWP_NOW!$A:$A,$A186,O_CWP_NOW!M:M)+SUMIF(O_CWP_FUT!$A:$A,$A186,O_CWP_FUT!M:M)</f>
        <v>0</v>
      </c>
      <c r="N186" s="800">
        <f>SUMIF(O_CWP_NOW!$A:$A,$A186,O_CWP_NOW!N:N)+SUMIF(O_CWP_FUT!$A:$A,$A186,O_CWP_FUT!N:N)</f>
        <v>0</v>
      </c>
      <c r="O186" s="800">
        <f t="shared" si="13"/>
        <v>0</v>
      </c>
      <c r="P186" s="40"/>
      <c r="R186" s="29"/>
      <c r="S186" s="29"/>
    </row>
    <row r="187" spans="1:34" ht="13" hidden="1">
      <c r="A187" s="22" t="s">
        <v>2846</v>
      </c>
      <c r="B187" s="31" t="s">
        <v>1205</v>
      </c>
      <c r="C187" s="31" t="str">
        <f>VLOOKUP($A187,FA_Codes!$D$2:$G$249,4,FALSE)</f>
        <v>Warkworth</v>
      </c>
      <c r="D187" s="800">
        <f>SUMIF(O_CWP_NOW!$A:$A,$A187,O_CWP_NOW!D:D)+SUMIF(O_CWP_FUT!$A:$A,$A187,O_CWP_FUT!D:D)</f>
        <v>0</v>
      </c>
      <c r="E187" s="800">
        <f>SUMIF(O_CWP_NOW!$A:$A,$A187,O_CWP_NOW!E:E)+SUMIF(O_CWP_FUT!$A:$A,$A187,O_CWP_FUT!E:E)</f>
        <v>0</v>
      </c>
      <c r="F187" s="800">
        <f>SUMIF(O_CWP_NOW!$A:$A,$A187,O_CWP_NOW!F:F)+SUMIF(O_CWP_FUT!$A:$A,$A187,O_CWP_FUT!F:F)</f>
        <v>0</v>
      </c>
      <c r="G187" s="800">
        <f>SUMIF(O_CWP_NOW!$A:$A,$A187,O_CWP_NOW!G:G)+SUMIF(O_CWP_FUT!$A:$A,$A187,O_CWP_FUT!G:G)</f>
        <v>0</v>
      </c>
      <c r="H187" s="800">
        <f>SUMIF(O_CWP_NOW!$A:$A,$A187,O_CWP_NOW!H:H)+SUMIF(O_CWP_FUT!$A:$A,$A187,O_CWP_FUT!H:H)</f>
        <v>0</v>
      </c>
      <c r="I187" s="800">
        <f>SUMIF(O_CWP_NOW!$A:$A,$A187,O_CWP_NOW!I:I)+SUMIF(O_CWP_FUT!$A:$A,$A187,O_CWP_FUT!I:I)</f>
        <v>0</v>
      </c>
      <c r="J187" s="800">
        <f>SUMIF(O_CWP_NOW!$A:$A,$A187,O_CWP_NOW!J:J)+SUMIF(O_CWP_FUT!$A:$A,$A187,O_CWP_FUT!J:J)</f>
        <v>0</v>
      </c>
      <c r="K187" s="800">
        <f>SUMIF(O_CWP_NOW!$A:$A,$A187,O_CWP_NOW!K:K)+SUMIF(O_CWP_FUT!$A:$A,$A187,O_CWP_FUT!K:K)</f>
        <v>0</v>
      </c>
      <c r="L187" s="800">
        <f>SUMIF(O_CWP_NOW!$A:$A,$A187,O_CWP_NOW!L:L)+SUMIF(O_CWP_FUT!$A:$A,$A187,O_CWP_FUT!L:L)</f>
        <v>0</v>
      </c>
      <c r="M187" s="800">
        <f>SUMIF(O_CWP_NOW!$A:$A,$A187,O_CWP_NOW!M:M)+SUMIF(O_CWP_FUT!$A:$A,$A187,O_CWP_FUT!M:M)</f>
        <v>0</v>
      </c>
      <c r="N187" s="800">
        <f>SUMIF(O_CWP_NOW!$A:$A,$A187,O_CWP_NOW!N:N)+SUMIF(O_CWP_FUT!$A:$A,$A187,O_CWP_FUT!N:N)</f>
        <v>0</v>
      </c>
      <c r="O187" s="800">
        <f t="shared" si="13"/>
        <v>0</v>
      </c>
      <c r="P187" s="40"/>
      <c r="R187" s="29"/>
      <c r="S187" s="29"/>
    </row>
    <row r="188" spans="1:34" ht="13" hidden="1">
      <c r="A188" s="22" t="s">
        <v>2847</v>
      </c>
      <c r="B188" s="31" t="s">
        <v>1205</v>
      </c>
      <c r="C188" s="31" t="str">
        <f>VLOOKUP($A188,FA_Codes!$D$2:$G$249,4,FALSE)</f>
        <v>Dairy Flat</v>
      </c>
      <c r="D188" s="800">
        <f>SUMIF(O_CWP_NOW!$A:$A,$A188,O_CWP_NOW!D:D)+SUMIF(O_CWP_FUT!$A:$A,$A188,O_CWP_FUT!D:D)</f>
        <v>0</v>
      </c>
      <c r="E188" s="800">
        <f>SUMIF(O_CWP_NOW!$A:$A,$A188,O_CWP_NOW!E:E)+SUMIF(O_CWP_FUT!$A:$A,$A188,O_CWP_FUT!E:E)</f>
        <v>0</v>
      </c>
      <c r="F188" s="800">
        <f>SUMIF(O_CWP_NOW!$A:$A,$A188,O_CWP_NOW!F:F)+SUMIF(O_CWP_FUT!$A:$A,$A188,O_CWP_FUT!F:F)</f>
        <v>0</v>
      </c>
      <c r="G188" s="800">
        <f>SUMIF(O_CWP_NOW!$A:$A,$A188,O_CWP_NOW!G:G)+SUMIF(O_CWP_FUT!$A:$A,$A188,O_CWP_FUT!G:G)</f>
        <v>0</v>
      </c>
      <c r="H188" s="800">
        <f>SUMIF(O_CWP_NOW!$A:$A,$A188,O_CWP_NOW!H:H)+SUMIF(O_CWP_FUT!$A:$A,$A188,O_CWP_FUT!H:H)</f>
        <v>0</v>
      </c>
      <c r="I188" s="800">
        <f>SUMIF(O_CWP_NOW!$A:$A,$A188,O_CWP_NOW!I:I)+SUMIF(O_CWP_FUT!$A:$A,$A188,O_CWP_FUT!I:I)</f>
        <v>0</v>
      </c>
      <c r="J188" s="800">
        <f>SUMIF(O_CWP_NOW!$A:$A,$A188,O_CWP_NOW!J:J)+SUMIF(O_CWP_FUT!$A:$A,$A188,O_CWP_FUT!J:J)</f>
        <v>0</v>
      </c>
      <c r="K188" s="800">
        <f>SUMIF(O_CWP_NOW!$A:$A,$A188,O_CWP_NOW!K:K)+SUMIF(O_CWP_FUT!$A:$A,$A188,O_CWP_FUT!K:K)</f>
        <v>0</v>
      </c>
      <c r="L188" s="800">
        <f>SUMIF(O_CWP_NOW!$A:$A,$A188,O_CWP_NOW!L:L)+SUMIF(O_CWP_FUT!$A:$A,$A188,O_CWP_FUT!L:L)</f>
        <v>0</v>
      </c>
      <c r="M188" s="800">
        <f>SUMIF(O_CWP_NOW!$A:$A,$A188,O_CWP_NOW!M:M)+SUMIF(O_CWP_FUT!$A:$A,$A188,O_CWP_FUT!M:M)</f>
        <v>0</v>
      </c>
      <c r="N188" s="800">
        <f>SUMIF(O_CWP_NOW!$A:$A,$A188,O_CWP_NOW!N:N)+SUMIF(O_CWP_FUT!$A:$A,$A188,O_CWP_FUT!N:N)</f>
        <v>0</v>
      </c>
      <c r="O188" s="800">
        <f t="shared" si="13"/>
        <v>0</v>
      </c>
      <c r="P188" s="40"/>
      <c r="R188" s="29"/>
      <c r="S188" s="29"/>
    </row>
    <row r="189" spans="1:34" ht="13" hidden="1">
      <c r="A189" s="22" t="s">
        <v>2848</v>
      </c>
      <c r="B189" s="31" t="s">
        <v>1205</v>
      </c>
      <c r="C189" s="31" t="str">
        <f>VLOOKUP($A189,FA_Codes!$D$2:$G$249,4,FALSE)</f>
        <v>Northwest</v>
      </c>
      <c r="D189" s="800">
        <f>SUMIF(O_CWP_NOW!$A:$A,$A189,O_CWP_NOW!D:D)+SUMIF(O_CWP_FUT!$A:$A,$A189,O_CWP_FUT!D:D)</f>
        <v>0</v>
      </c>
      <c r="E189" s="800">
        <f>SUMIF(O_CWP_NOW!$A:$A,$A189,O_CWP_NOW!E:E)+SUMIF(O_CWP_FUT!$A:$A,$A189,O_CWP_FUT!E:E)</f>
        <v>0</v>
      </c>
      <c r="F189" s="800">
        <f>SUMIF(O_CWP_NOW!$A:$A,$A189,O_CWP_NOW!F:F)+SUMIF(O_CWP_FUT!$A:$A,$A189,O_CWP_FUT!F:F)</f>
        <v>0</v>
      </c>
      <c r="G189" s="800">
        <f>SUMIF(O_CWP_NOW!$A:$A,$A189,O_CWP_NOW!G:G)+SUMIF(O_CWP_FUT!$A:$A,$A189,O_CWP_FUT!G:G)</f>
        <v>0</v>
      </c>
      <c r="H189" s="800">
        <f>SUMIF(O_CWP_NOW!$A:$A,$A189,O_CWP_NOW!H:H)+SUMIF(O_CWP_FUT!$A:$A,$A189,O_CWP_FUT!H:H)</f>
        <v>0</v>
      </c>
      <c r="I189" s="800">
        <f>SUMIF(O_CWP_NOW!$A:$A,$A189,O_CWP_NOW!I:I)+SUMIF(O_CWP_FUT!$A:$A,$A189,O_CWP_FUT!I:I)</f>
        <v>0</v>
      </c>
      <c r="J189" s="800">
        <f>SUMIF(O_CWP_NOW!$A:$A,$A189,O_CWP_NOW!J:J)+SUMIF(O_CWP_FUT!$A:$A,$A189,O_CWP_FUT!J:J)</f>
        <v>0</v>
      </c>
      <c r="K189" s="800">
        <f>SUMIF(O_CWP_NOW!$A:$A,$A189,O_CWP_NOW!K:K)+SUMIF(O_CWP_FUT!$A:$A,$A189,O_CWP_FUT!K:K)</f>
        <v>0</v>
      </c>
      <c r="L189" s="800">
        <f>SUMIF(O_CWP_NOW!$A:$A,$A189,O_CWP_NOW!L:L)+SUMIF(O_CWP_FUT!$A:$A,$A189,O_CWP_FUT!L:L)</f>
        <v>0</v>
      </c>
      <c r="M189" s="800">
        <f>SUMIF(O_CWP_NOW!$A:$A,$A189,O_CWP_NOW!M:M)+SUMIF(O_CWP_FUT!$A:$A,$A189,O_CWP_FUT!M:M)</f>
        <v>0</v>
      </c>
      <c r="N189" s="800">
        <f>SUMIF(O_CWP_NOW!$A:$A,$A189,O_CWP_NOW!N:N)+SUMIF(O_CWP_FUT!$A:$A,$A189,O_CWP_FUT!N:N)</f>
        <v>0</v>
      </c>
      <c r="O189" s="800">
        <f t="shared" si="13"/>
        <v>0</v>
      </c>
      <c r="P189" s="40"/>
      <c r="R189" s="29"/>
      <c r="S189" s="29"/>
    </row>
    <row r="190" spans="1:34" ht="13" hidden="1">
      <c r="A190" s="22" t="s">
        <v>2849</v>
      </c>
      <c r="B190" s="31" t="s">
        <v>1205</v>
      </c>
      <c r="C190" s="58" t="s">
        <v>7013</v>
      </c>
      <c r="D190" s="800">
        <f>SUMIF(O_CWP_NOW!$A:$A,$A190,O_CWP_NOW!D:D)+SUMIF(O_CWP_FUT!$A:$A,$A190,O_CWP_FUT!D:D)</f>
        <v>0</v>
      </c>
      <c r="E190" s="800">
        <f>SUMIF(O_CWP_NOW!$A:$A,$A190,O_CWP_NOW!E:E)+SUMIF(O_CWP_FUT!$A:$A,$A190,O_CWP_FUT!E:E)</f>
        <v>0</v>
      </c>
      <c r="F190" s="800">
        <f>SUMIF(O_CWP_NOW!$A:$A,$A190,O_CWP_NOW!F:F)+SUMIF(O_CWP_FUT!$A:$A,$A190,O_CWP_FUT!F:F)</f>
        <v>0</v>
      </c>
      <c r="G190" s="800">
        <f>SUMIF(O_CWP_NOW!$A:$A,$A190,O_CWP_NOW!G:G)+SUMIF(O_CWP_FUT!$A:$A,$A190,O_CWP_FUT!G:G)</f>
        <v>0</v>
      </c>
      <c r="H190" s="800">
        <f>SUMIF(O_CWP_NOW!$A:$A,$A190,O_CWP_NOW!H:H)+SUMIF(O_CWP_FUT!$A:$A,$A190,O_CWP_FUT!H:H)</f>
        <v>0</v>
      </c>
      <c r="I190" s="800">
        <f>SUMIF(O_CWP_NOW!$A:$A,$A190,O_CWP_NOW!I:I)+SUMIF(O_CWP_FUT!$A:$A,$A190,O_CWP_FUT!I:I)</f>
        <v>0</v>
      </c>
      <c r="J190" s="800">
        <f>SUMIF(O_CWP_NOW!$A:$A,$A190,O_CWP_NOW!J:J)+SUMIF(O_CWP_FUT!$A:$A,$A190,O_CWP_FUT!J:J)</f>
        <v>0</v>
      </c>
      <c r="K190" s="800">
        <f>SUMIF(O_CWP_NOW!$A:$A,$A190,O_CWP_NOW!K:K)+SUMIF(O_CWP_FUT!$A:$A,$A190,O_CWP_FUT!K:K)</f>
        <v>0</v>
      </c>
      <c r="L190" s="800">
        <f>SUMIF(O_CWP_NOW!$A:$A,$A190,O_CWP_NOW!L:L)+SUMIF(O_CWP_FUT!$A:$A,$A190,O_CWP_FUT!L:L)</f>
        <v>0</v>
      </c>
      <c r="M190" s="800">
        <f>SUMIF(O_CWP_NOW!$A:$A,$A190,O_CWP_NOW!M:M)+SUMIF(O_CWP_FUT!$A:$A,$A190,O_CWP_FUT!M:M)</f>
        <v>0</v>
      </c>
      <c r="N190" s="800">
        <f>SUMIF(O_CWP_NOW!$A:$A,$A190,O_CWP_NOW!N:N)+SUMIF(O_CWP_FUT!$A:$A,$A190,O_CWP_FUT!N:N)</f>
        <v>0</v>
      </c>
      <c r="O190" s="800">
        <f t="shared" si="13"/>
        <v>0</v>
      </c>
      <c r="P190" s="40"/>
      <c r="R190" s="29"/>
      <c r="S190" s="29"/>
    </row>
    <row r="191" spans="1:34" ht="13" hidden="1">
      <c r="A191" s="22" t="s">
        <v>2850</v>
      </c>
      <c r="B191" s="31" t="s">
        <v>1205</v>
      </c>
      <c r="C191" s="58" t="s">
        <v>7013</v>
      </c>
      <c r="D191" s="800">
        <f>SUMIF(O_CWP_NOW!$A:$A,$A191,O_CWP_NOW!D:D)+SUMIF(O_CWP_FUT!$A:$A,$A191,O_CWP_FUT!D:D)</f>
        <v>0</v>
      </c>
      <c r="E191" s="800">
        <f>SUMIF(O_CWP_NOW!$A:$A,$A191,O_CWP_NOW!E:E)+SUMIF(O_CWP_FUT!$A:$A,$A191,O_CWP_FUT!E:E)</f>
        <v>0</v>
      </c>
      <c r="F191" s="800">
        <f>SUMIF(O_CWP_NOW!$A:$A,$A191,O_CWP_NOW!F:F)+SUMIF(O_CWP_FUT!$A:$A,$A191,O_CWP_FUT!F:F)</f>
        <v>0</v>
      </c>
      <c r="G191" s="800">
        <f>SUMIF(O_CWP_NOW!$A:$A,$A191,O_CWP_NOW!G:G)+SUMIF(O_CWP_FUT!$A:$A,$A191,O_CWP_FUT!G:G)</f>
        <v>0</v>
      </c>
      <c r="H191" s="800">
        <f>SUMIF(O_CWP_NOW!$A:$A,$A191,O_CWP_NOW!H:H)+SUMIF(O_CWP_FUT!$A:$A,$A191,O_CWP_FUT!H:H)</f>
        <v>0</v>
      </c>
      <c r="I191" s="800">
        <f>SUMIF(O_CWP_NOW!$A:$A,$A191,O_CWP_NOW!I:I)+SUMIF(O_CWP_FUT!$A:$A,$A191,O_CWP_FUT!I:I)</f>
        <v>0</v>
      </c>
      <c r="J191" s="800">
        <f>SUMIF(O_CWP_NOW!$A:$A,$A191,O_CWP_NOW!J:J)+SUMIF(O_CWP_FUT!$A:$A,$A191,O_CWP_FUT!J:J)</f>
        <v>0</v>
      </c>
      <c r="K191" s="800">
        <f>SUMIF(O_CWP_NOW!$A:$A,$A191,O_CWP_NOW!K:K)+SUMIF(O_CWP_FUT!$A:$A,$A191,O_CWP_FUT!K:K)</f>
        <v>0</v>
      </c>
      <c r="L191" s="800">
        <f>SUMIF(O_CWP_NOW!$A:$A,$A191,O_CWP_NOW!L:L)+SUMIF(O_CWP_FUT!$A:$A,$A191,O_CWP_FUT!L:L)</f>
        <v>0</v>
      </c>
      <c r="M191" s="800">
        <f>SUMIF(O_CWP_NOW!$A:$A,$A191,O_CWP_NOW!M:M)+SUMIF(O_CWP_FUT!$A:$A,$A191,O_CWP_FUT!M:M)</f>
        <v>0</v>
      </c>
      <c r="N191" s="800">
        <f>SUMIF(O_CWP_NOW!$A:$A,$A191,O_CWP_NOW!N:N)+SUMIF(O_CWP_FUT!$A:$A,$A191,O_CWP_FUT!N:N)</f>
        <v>0</v>
      </c>
      <c r="O191" s="800">
        <f t="shared" si="13"/>
        <v>0</v>
      </c>
      <c r="P191" s="40"/>
      <c r="R191" s="29"/>
      <c r="S191" s="29"/>
    </row>
    <row r="192" spans="1:34" ht="13" hidden="1">
      <c r="A192" s="22" t="s">
        <v>2851</v>
      </c>
      <c r="B192" s="31" t="s">
        <v>1205</v>
      </c>
      <c r="C192" s="31" t="str">
        <f>VLOOKUP($A192,FA_Codes!$D$2:$G$249,4,FALSE)</f>
        <v>Flatbush</v>
      </c>
      <c r="D192" s="800">
        <f>SUMIF(O_CWP_NOW!$A:$A,$A192,O_CWP_NOW!D:D)+SUMIF(O_CWP_FUT!$A:$A,$A192,O_CWP_FUT!D:D)</f>
        <v>0</v>
      </c>
      <c r="E192" s="800">
        <f>SUMIF(O_CWP_NOW!$A:$A,$A192,O_CWP_NOW!E:E)+SUMIF(O_CWP_FUT!$A:$A,$A192,O_CWP_FUT!E:E)</f>
        <v>0</v>
      </c>
      <c r="F192" s="800">
        <f>SUMIF(O_CWP_NOW!$A:$A,$A192,O_CWP_NOW!F:F)+SUMIF(O_CWP_FUT!$A:$A,$A192,O_CWP_FUT!F:F)</f>
        <v>0</v>
      </c>
      <c r="G192" s="800">
        <f>SUMIF(O_CWP_NOW!$A:$A,$A192,O_CWP_NOW!G:G)+SUMIF(O_CWP_FUT!$A:$A,$A192,O_CWP_FUT!G:G)</f>
        <v>0</v>
      </c>
      <c r="H192" s="800">
        <f>SUMIF(O_CWP_NOW!$A:$A,$A192,O_CWP_NOW!H:H)+SUMIF(O_CWP_FUT!$A:$A,$A192,O_CWP_FUT!H:H)</f>
        <v>0</v>
      </c>
      <c r="I192" s="800">
        <f>SUMIF(O_CWP_NOW!$A:$A,$A192,O_CWP_NOW!I:I)+SUMIF(O_CWP_FUT!$A:$A,$A192,O_CWP_FUT!I:I)</f>
        <v>0</v>
      </c>
      <c r="J192" s="800">
        <f>SUMIF(O_CWP_NOW!$A:$A,$A192,O_CWP_NOW!J:J)+SUMIF(O_CWP_FUT!$A:$A,$A192,O_CWP_FUT!J:J)</f>
        <v>0</v>
      </c>
      <c r="K192" s="800">
        <f>SUMIF(O_CWP_NOW!$A:$A,$A192,O_CWP_NOW!K:K)+SUMIF(O_CWP_FUT!$A:$A,$A192,O_CWP_FUT!K:K)</f>
        <v>0</v>
      </c>
      <c r="L192" s="800">
        <f>SUMIF(O_CWP_NOW!$A:$A,$A192,O_CWP_NOW!L:L)+SUMIF(O_CWP_FUT!$A:$A,$A192,O_CWP_FUT!L:L)</f>
        <v>0</v>
      </c>
      <c r="M192" s="800">
        <f>SUMIF(O_CWP_NOW!$A:$A,$A192,O_CWP_NOW!M:M)+SUMIF(O_CWP_FUT!$A:$A,$A192,O_CWP_FUT!M:M)</f>
        <v>0</v>
      </c>
      <c r="N192" s="800">
        <f>SUMIF(O_CWP_NOW!$A:$A,$A192,O_CWP_NOW!N:N)+SUMIF(O_CWP_FUT!$A:$A,$A192,O_CWP_FUT!N:N)</f>
        <v>0</v>
      </c>
      <c r="O192" s="800">
        <f t="shared" si="13"/>
        <v>0</v>
      </c>
      <c r="P192" s="40"/>
      <c r="R192" s="29"/>
      <c r="S192" s="29"/>
    </row>
    <row r="193" spans="1:19" ht="13" hidden="1">
      <c r="A193" s="22" t="s">
        <v>2852</v>
      </c>
      <c r="B193" s="31" t="s">
        <v>1205</v>
      </c>
      <c r="C193" s="31" t="str">
        <f>VLOOKUP($A193,FA_Codes!$D$2:$G$249,4,FALSE)</f>
        <v>Takanini</v>
      </c>
      <c r="D193" s="800">
        <f>SUMIF(O_CWP_NOW!$A:$A,$A193,O_CWP_NOW!D:D)+SUMIF(O_CWP_FUT!$A:$A,$A193,O_CWP_FUT!D:D)</f>
        <v>0</v>
      </c>
      <c r="E193" s="800">
        <f>SUMIF(O_CWP_NOW!$A:$A,$A193,O_CWP_NOW!E:E)+SUMIF(O_CWP_FUT!$A:$A,$A193,O_CWP_FUT!E:E)</f>
        <v>0</v>
      </c>
      <c r="F193" s="800">
        <f>SUMIF(O_CWP_NOW!$A:$A,$A193,O_CWP_NOW!F:F)+SUMIF(O_CWP_FUT!$A:$A,$A193,O_CWP_FUT!F:F)</f>
        <v>0</v>
      </c>
      <c r="G193" s="800">
        <f>SUMIF(O_CWP_NOW!$A:$A,$A193,O_CWP_NOW!G:G)+SUMIF(O_CWP_FUT!$A:$A,$A193,O_CWP_FUT!G:G)</f>
        <v>0</v>
      </c>
      <c r="H193" s="800">
        <f>SUMIF(O_CWP_NOW!$A:$A,$A193,O_CWP_NOW!H:H)+SUMIF(O_CWP_FUT!$A:$A,$A193,O_CWP_FUT!H:H)</f>
        <v>0</v>
      </c>
      <c r="I193" s="800">
        <f>SUMIF(O_CWP_NOW!$A:$A,$A193,O_CWP_NOW!I:I)+SUMIF(O_CWP_FUT!$A:$A,$A193,O_CWP_FUT!I:I)</f>
        <v>0</v>
      </c>
      <c r="J193" s="800">
        <f>SUMIF(O_CWP_NOW!$A:$A,$A193,O_CWP_NOW!J:J)+SUMIF(O_CWP_FUT!$A:$A,$A193,O_CWP_FUT!J:J)</f>
        <v>0</v>
      </c>
      <c r="K193" s="800">
        <f>SUMIF(O_CWP_NOW!$A:$A,$A193,O_CWP_NOW!K:K)+SUMIF(O_CWP_FUT!$A:$A,$A193,O_CWP_FUT!K:K)</f>
        <v>0</v>
      </c>
      <c r="L193" s="800">
        <f>SUMIF(O_CWP_NOW!$A:$A,$A193,O_CWP_NOW!L:L)+SUMIF(O_CWP_FUT!$A:$A,$A193,O_CWP_FUT!L:L)</f>
        <v>0</v>
      </c>
      <c r="M193" s="800">
        <f>SUMIF(O_CWP_NOW!$A:$A,$A193,O_CWP_NOW!M:M)+SUMIF(O_CWP_FUT!$A:$A,$A193,O_CWP_FUT!M:M)</f>
        <v>0</v>
      </c>
      <c r="N193" s="800">
        <f>SUMIF(O_CWP_NOW!$A:$A,$A193,O_CWP_NOW!N:N)+SUMIF(O_CWP_FUT!$A:$A,$A193,O_CWP_FUT!N:N)</f>
        <v>0</v>
      </c>
      <c r="O193" s="800">
        <f t="shared" si="13"/>
        <v>0</v>
      </c>
      <c r="P193" s="40"/>
      <c r="R193" s="29"/>
      <c r="S193" s="29"/>
    </row>
    <row r="194" spans="1:19" ht="13" hidden="1">
      <c r="A194" s="22" t="s">
        <v>2854</v>
      </c>
      <c r="B194" s="31" t="s">
        <v>1205</v>
      </c>
      <c r="C194" s="31" t="str">
        <f>VLOOKUP($A194,FA_Codes!$D$2:$G$249,4,FALSE)</f>
        <v>Hingaia</v>
      </c>
      <c r="D194" s="800">
        <f>SUMIF(O_CWP_NOW!$A:$A,$A194,O_CWP_NOW!D:D)+SUMIF(O_CWP_FUT!$A:$A,$A194,O_CWP_FUT!D:D)</f>
        <v>0</v>
      </c>
      <c r="E194" s="800">
        <f>SUMIF(O_CWP_NOW!$A:$A,$A194,O_CWP_NOW!E:E)+SUMIF(O_CWP_FUT!$A:$A,$A194,O_CWP_FUT!E:E)</f>
        <v>0</v>
      </c>
      <c r="F194" s="800">
        <f>SUMIF(O_CWP_NOW!$A:$A,$A194,O_CWP_NOW!F:F)+SUMIF(O_CWP_FUT!$A:$A,$A194,O_CWP_FUT!F:F)</f>
        <v>0</v>
      </c>
      <c r="G194" s="800">
        <f>SUMIF(O_CWP_NOW!$A:$A,$A194,O_CWP_NOW!G:G)+SUMIF(O_CWP_FUT!$A:$A,$A194,O_CWP_FUT!G:G)</f>
        <v>0</v>
      </c>
      <c r="H194" s="800">
        <f>SUMIF(O_CWP_NOW!$A:$A,$A194,O_CWP_NOW!H:H)+SUMIF(O_CWP_FUT!$A:$A,$A194,O_CWP_FUT!H:H)</f>
        <v>0</v>
      </c>
      <c r="I194" s="800">
        <f>SUMIF(O_CWP_NOW!$A:$A,$A194,O_CWP_NOW!I:I)+SUMIF(O_CWP_FUT!$A:$A,$A194,O_CWP_FUT!I:I)</f>
        <v>0</v>
      </c>
      <c r="J194" s="800">
        <f>SUMIF(O_CWP_NOW!$A:$A,$A194,O_CWP_NOW!J:J)+SUMIF(O_CWP_FUT!$A:$A,$A194,O_CWP_FUT!J:J)</f>
        <v>0</v>
      </c>
      <c r="K194" s="800">
        <f>SUMIF(O_CWP_NOW!$A:$A,$A194,O_CWP_NOW!K:K)+SUMIF(O_CWP_FUT!$A:$A,$A194,O_CWP_FUT!K:K)</f>
        <v>0</v>
      </c>
      <c r="L194" s="800">
        <f>SUMIF(O_CWP_NOW!$A:$A,$A194,O_CWP_NOW!L:L)+SUMIF(O_CWP_FUT!$A:$A,$A194,O_CWP_FUT!L:L)</f>
        <v>0</v>
      </c>
      <c r="M194" s="800">
        <f>SUMIF(O_CWP_NOW!$A:$A,$A194,O_CWP_NOW!M:M)+SUMIF(O_CWP_FUT!$A:$A,$A194,O_CWP_FUT!M:M)</f>
        <v>0</v>
      </c>
      <c r="N194" s="800">
        <f>SUMIF(O_CWP_NOW!$A:$A,$A194,O_CWP_NOW!N:N)+SUMIF(O_CWP_FUT!$A:$A,$A194,O_CWP_FUT!N:N)</f>
        <v>0</v>
      </c>
      <c r="O194" s="800">
        <f t="shared" si="13"/>
        <v>0</v>
      </c>
      <c r="P194" s="40"/>
      <c r="R194" s="29"/>
      <c r="S194" s="29"/>
    </row>
    <row r="195" spans="1:19" ht="13" hidden="1">
      <c r="A195" s="22" t="s">
        <v>2855</v>
      </c>
      <c r="B195" s="31" t="s">
        <v>1205</v>
      </c>
      <c r="C195" s="31" t="str">
        <f>VLOOKUP($A195,FA_Codes!$D$2:$G$249,4,FALSE)</f>
        <v>Paerata / Pukekohe</v>
      </c>
      <c r="D195" s="800">
        <f>SUMIF(O_CWP_NOW!$A:$A,$A195,O_CWP_NOW!D:D)+SUMIF(O_CWP_FUT!$A:$A,$A195,O_CWP_FUT!D:D)</f>
        <v>0</v>
      </c>
      <c r="E195" s="800">
        <f>SUMIF(O_CWP_NOW!$A:$A,$A195,O_CWP_NOW!E:E)+SUMIF(O_CWP_FUT!$A:$A,$A195,O_CWP_FUT!E:E)</f>
        <v>0</v>
      </c>
      <c r="F195" s="800">
        <f>SUMIF(O_CWP_NOW!$A:$A,$A195,O_CWP_NOW!F:F)+SUMIF(O_CWP_FUT!$A:$A,$A195,O_CWP_FUT!F:F)</f>
        <v>0</v>
      </c>
      <c r="G195" s="800">
        <f>SUMIF(O_CWP_NOW!$A:$A,$A195,O_CWP_NOW!G:G)+SUMIF(O_CWP_FUT!$A:$A,$A195,O_CWP_FUT!G:G)</f>
        <v>0</v>
      </c>
      <c r="H195" s="800">
        <f>SUMIF(O_CWP_NOW!$A:$A,$A195,O_CWP_NOW!H:H)+SUMIF(O_CWP_FUT!$A:$A,$A195,O_CWP_FUT!H:H)</f>
        <v>0</v>
      </c>
      <c r="I195" s="800">
        <f>SUMIF(O_CWP_NOW!$A:$A,$A195,O_CWP_NOW!I:I)+SUMIF(O_CWP_FUT!$A:$A,$A195,O_CWP_FUT!I:I)</f>
        <v>0</v>
      </c>
      <c r="J195" s="800">
        <f>SUMIF(O_CWP_NOW!$A:$A,$A195,O_CWP_NOW!J:J)+SUMIF(O_CWP_FUT!$A:$A,$A195,O_CWP_FUT!J:J)</f>
        <v>0</v>
      </c>
      <c r="K195" s="800">
        <f>SUMIF(O_CWP_NOW!$A:$A,$A195,O_CWP_NOW!K:K)+SUMIF(O_CWP_FUT!$A:$A,$A195,O_CWP_FUT!K:K)</f>
        <v>0</v>
      </c>
      <c r="L195" s="800">
        <f>SUMIF(O_CWP_NOW!$A:$A,$A195,O_CWP_NOW!L:L)+SUMIF(O_CWP_FUT!$A:$A,$A195,O_CWP_FUT!L:L)</f>
        <v>0</v>
      </c>
      <c r="M195" s="800">
        <f>SUMIF(O_CWP_NOW!$A:$A,$A195,O_CWP_NOW!M:M)+SUMIF(O_CWP_FUT!$A:$A,$A195,O_CWP_FUT!M:M)</f>
        <v>0</v>
      </c>
      <c r="N195" s="800">
        <f>SUMIF(O_CWP_NOW!$A:$A,$A195,O_CWP_NOW!N:N)+SUMIF(O_CWP_FUT!$A:$A,$A195,O_CWP_FUT!N:N)</f>
        <v>0</v>
      </c>
      <c r="O195" s="800">
        <f t="shared" si="13"/>
        <v>0</v>
      </c>
      <c r="P195" s="40"/>
      <c r="R195" s="29"/>
      <c r="S195" s="29"/>
    </row>
    <row r="196" spans="1:19" ht="13" hidden="1">
      <c r="A196" s="22" t="s">
        <v>2856</v>
      </c>
      <c r="B196" s="31" t="s">
        <v>1205</v>
      </c>
      <c r="C196" s="31" t="str">
        <f>VLOOKUP($A196,FA_Codes!$D$2:$G$249,4,FALSE)</f>
        <v>Hibiscus</v>
      </c>
      <c r="D196" s="800">
        <f>SUMIF(O_CWP_NOW!$A:$A,$A196,O_CWP_NOW!D:D)+SUMIF(O_CWP_FUT!$A:$A,$A196,O_CWP_FUT!D:D)</f>
        <v>0</v>
      </c>
      <c r="E196" s="800">
        <f>SUMIF(O_CWP_NOW!$A:$A,$A196,O_CWP_NOW!E:E)+SUMIF(O_CWP_FUT!$A:$A,$A196,O_CWP_FUT!E:E)</f>
        <v>0</v>
      </c>
      <c r="F196" s="800">
        <f>SUMIF(O_CWP_NOW!$A:$A,$A196,O_CWP_NOW!F:F)+SUMIF(O_CWP_FUT!$A:$A,$A196,O_CWP_FUT!F:F)</f>
        <v>0</v>
      </c>
      <c r="G196" s="800">
        <f>SUMIF(O_CWP_NOW!$A:$A,$A196,O_CWP_NOW!G:G)+SUMIF(O_CWP_FUT!$A:$A,$A196,O_CWP_FUT!G:G)</f>
        <v>0</v>
      </c>
      <c r="H196" s="800">
        <f>SUMIF(O_CWP_NOW!$A:$A,$A196,O_CWP_NOW!H:H)+SUMIF(O_CWP_FUT!$A:$A,$A196,O_CWP_FUT!H:H)</f>
        <v>0</v>
      </c>
      <c r="I196" s="800">
        <f>SUMIF(O_CWP_NOW!$A:$A,$A196,O_CWP_NOW!I:I)+SUMIF(O_CWP_FUT!$A:$A,$A196,O_CWP_FUT!I:I)</f>
        <v>0</v>
      </c>
      <c r="J196" s="800">
        <f>SUMIF(O_CWP_NOW!$A:$A,$A196,O_CWP_NOW!J:J)+SUMIF(O_CWP_FUT!$A:$A,$A196,O_CWP_FUT!J:J)</f>
        <v>0</v>
      </c>
      <c r="K196" s="800">
        <f>SUMIF(O_CWP_NOW!$A:$A,$A196,O_CWP_NOW!K:K)+SUMIF(O_CWP_FUT!$A:$A,$A196,O_CWP_FUT!K:K)</f>
        <v>0</v>
      </c>
      <c r="L196" s="800">
        <f>SUMIF(O_CWP_NOW!$A:$A,$A196,O_CWP_NOW!L:L)+SUMIF(O_CWP_FUT!$A:$A,$A196,O_CWP_FUT!L:L)</f>
        <v>0</v>
      </c>
      <c r="M196" s="800">
        <f>SUMIF(O_CWP_NOW!$A:$A,$A196,O_CWP_NOW!M:M)+SUMIF(O_CWP_FUT!$A:$A,$A196,O_CWP_FUT!M:M)</f>
        <v>0</v>
      </c>
      <c r="N196" s="800">
        <f>SUMIF(O_CWP_NOW!$A:$A,$A196,O_CWP_NOW!N:N)+SUMIF(O_CWP_FUT!$A:$A,$A196,O_CWP_FUT!N:N)</f>
        <v>0</v>
      </c>
      <c r="O196" s="800">
        <f t="shared" si="13"/>
        <v>0</v>
      </c>
      <c r="P196" s="40"/>
      <c r="R196" s="29"/>
      <c r="S196" s="29"/>
    </row>
    <row r="197" spans="1:19" ht="13" hidden="1">
      <c r="A197" s="22" t="s">
        <v>2857</v>
      </c>
      <c r="B197" s="31" t="s">
        <v>1205</v>
      </c>
      <c r="C197" s="31" t="str">
        <f>VLOOKUP($A197,FA_Codes!$D$2:$G$249,4,FALSE)</f>
        <v>North Shore</v>
      </c>
      <c r="D197" s="800">
        <f>SUMIF(O_CWP_NOW!$A:$A,$A197,O_CWP_NOW!D:D)+SUMIF(O_CWP_FUT!$A:$A,$A197,O_CWP_FUT!D:D)</f>
        <v>0</v>
      </c>
      <c r="E197" s="800">
        <f>SUMIF(O_CWP_NOW!$A:$A,$A197,O_CWP_NOW!E:E)+SUMIF(O_CWP_FUT!$A:$A,$A197,O_CWP_FUT!E:E)</f>
        <v>0</v>
      </c>
      <c r="F197" s="800">
        <f>SUMIF(O_CWP_NOW!$A:$A,$A197,O_CWP_NOW!F:F)+SUMIF(O_CWP_FUT!$A:$A,$A197,O_CWP_FUT!F:F)</f>
        <v>0</v>
      </c>
      <c r="G197" s="800">
        <f>SUMIF(O_CWP_NOW!$A:$A,$A197,O_CWP_NOW!G:G)+SUMIF(O_CWP_FUT!$A:$A,$A197,O_CWP_FUT!G:G)</f>
        <v>0</v>
      </c>
      <c r="H197" s="800">
        <f>SUMIF(O_CWP_NOW!$A:$A,$A197,O_CWP_NOW!H:H)+SUMIF(O_CWP_FUT!$A:$A,$A197,O_CWP_FUT!H:H)</f>
        <v>0</v>
      </c>
      <c r="I197" s="800">
        <f>SUMIF(O_CWP_NOW!$A:$A,$A197,O_CWP_NOW!I:I)+SUMIF(O_CWP_FUT!$A:$A,$A197,O_CWP_FUT!I:I)</f>
        <v>0</v>
      </c>
      <c r="J197" s="800">
        <f>SUMIF(O_CWP_NOW!$A:$A,$A197,O_CWP_NOW!J:J)+SUMIF(O_CWP_FUT!$A:$A,$A197,O_CWP_FUT!J:J)</f>
        <v>0</v>
      </c>
      <c r="K197" s="800">
        <f>SUMIF(O_CWP_NOW!$A:$A,$A197,O_CWP_NOW!K:K)+SUMIF(O_CWP_FUT!$A:$A,$A197,O_CWP_FUT!K:K)</f>
        <v>0</v>
      </c>
      <c r="L197" s="800">
        <f>SUMIF(O_CWP_NOW!$A:$A,$A197,O_CWP_NOW!L:L)+SUMIF(O_CWP_FUT!$A:$A,$A197,O_CWP_FUT!L:L)</f>
        <v>0</v>
      </c>
      <c r="M197" s="800">
        <f>SUMIF(O_CWP_NOW!$A:$A,$A197,O_CWP_NOW!M:M)+SUMIF(O_CWP_FUT!$A:$A,$A197,O_CWP_FUT!M:M)</f>
        <v>0</v>
      </c>
      <c r="N197" s="800">
        <f>SUMIF(O_CWP_NOW!$A:$A,$A197,O_CWP_NOW!N:N)+SUMIF(O_CWP_FUT!$A:$A,$A197,O_CWP_FUT!N:N)</f>
        <v>0</v>
      </c>
      <c r="O197" s="800">
        <f t="shared" si="13"/>
        <v>0</v>
      </c>
      <c r="P197" s="40"/>
      <c r="R197" s="29"/>
      <c r="S197" s="29"/>
    </row>
    <row r="198" spans="1:19" ht="13" hidden="1">
      <c r="A198" s="22" t="s">
        <v>2858</v>
      </c>
      <c r="B198" s="31" t="s">
        <v>1205</v>
      </c>
      <c r="C198" s="31" t="str">
        <f>VLOOKUP($A198,FA_Codes!$D$2:$G$249,4,FALSE)</f>
        <v>West</v>
      </c>
      <c r="D198" s="800">
        <f>SUMIF(O_CWP_NOW!$A:$A,$A198,O_CWP_NOW!D:D)+SUMIF(O_CWP_FUT!$A:$A,$A198,O_CWP_FUT!D:D)</f>
        <v>0</v>
      </c>
      <c r="E198" s="800">
        <f>SUMIF(O_CWP_NOW!$A:$A,$A198,O_CWP_NOW!E:E)+SUMIF(O_CWP_FUT!$A:$A,$A198,O_CWP_FUT!E:E)</f>
        <v>0</v>
      </c>
      <c r="F198" s="800">
        <f>SUMIF(O_CWP_NOW!$A:$A,$A198,O_CWP_NOW!F:F)+SUMIF(O_CWP_FUT!$A:$A,$A198,O_CWP_FUT!F:F)</f>
        <v>0</v>
      </c>
      <c r="G198" s="800">
        <f>SUMIF(O_CWP_NOW!$A:$A,$A198,O_CWP_NOW!G:G)+SUMIF(O_CWP_FUT!$A:$A,$A198,O_CWP_FUT!G:G)</f>
        <v>0</v>
      </c>
      <c r="H198" s="800">
        <f>SUMIF(O_CWP_NOW!$A:$A,$A198,O_CWP_NOW!H:H)+SUMIF(O_CWP_FUT!$A:$A,$A198,O_CWP_FUT!H:H)</f>
        <v>0</v>
      </c>
      <c r="I198" s="800">
        <f>SUMIF(O_CWP_NOW!$A:$A,$A198,O_CWP_NOW!I:I)+SUMIF(O_CWP_FUT!$A:$A,$A198,O_CWP_FUT!I:I)</f>
        <v>0</v>
      </c>
      <c r="J198" s="800">
        <f>SUMIF(O_CWP_NOW!$A:$A,$A198,O_CWP_NOW!J:J)+SUMIF(O_CWP_FUT!$A:$A,$A198,O_CWP_FUT!J:J)</f>
        <v>0</v>
      </c>
      <c r="K198" s="800">
        <f>SUMIF(O_CWP_NOW!$A:$A,$A198,O_CWP_NOW!K:K)+SUMIF(O_CWP_FUT!$A:$A,$A198,O_CWP_FUT!K:K)</f>
        <v>0</v>
      </c>
      <c r="L198" s="800">
        <f>SUMIF(O_CWP_NOW!$A:$A,$A198,O_CWP_NOW!L:L)+SUMIF(O_CWP_FUT!$A:$A,$A198,O_CWP_FUT!L:L)</f>
        <v>0</v>
      </c>
      <c r="M198" s="800">
        <f>SUMIF(O_CWP_NOW!$A:$A,$A198,O_CWP_NOW!M:M)+SUMIF(O_CWP_FUT!$A:$A,$A198,O_CWP_FUT!M:M)</f>
        <v>0</v>
      </c>
      <c r="N198" s="800">
        <f>SUMIF(O_CWP_NOW!$A:$A,$A198,O_CWP_NOW!N:N)+SUMIF(O_CWP_FUT!$A:$A,$A198,O_CWP_FUT!N:N)</f>
        <v>0</v>
      </c>
      <c r="O198" s="800">
        <f t="shared" si="13"/>
        <v>0</v>
      </c>
      <c r="P198" s="40"/>
      <c r="R198" s="29"/>
      <c r="S198" s="29"/>
    </row>
    <row r="199" spans="1:19" ht="13" hidden="1">
      <c r="A199" s="22" t="s">
        <v>2859</v>
      </c>
      <c r="B199" s="31" t="s">
        <v>1205</v>
      </c>
      <c r="C199" s="31" t="str">
        <f>VLOOKUP($A199,FA_Codes!$D$2:$G$249,4,FALSE)</f>
        <v>Central</v>
      </c>
      <c r="D199" s="800">
        <f>SUMIF(O_CWP_NOW!$A:$A,$A199,O_CWP_NOW!D:D)+SUMIF(O_CWP_FUT!$A:$A,$A199,O_CWP_FUT!D:D)</f>
        <v>0</v>
      </c>
      <c r="E199" s="800">
        <f>SUMIF(O_CWP_NOW!$A:$A,$A199,O_CWP_NOW!E:E)+SUMIF(O_CWP_FUT!$A:$A,$A199,O_CWP_FUT!E:E)</f>
        <v>0</v>
      </c>
      <c r="F199" s="800">
        <f>SUMIF(O_CWP_NOW!$A:$A,$A199,O_CWP_NOW!F:F)+SUMIF(O_CWP_FUT!$A:$A,$A199,O_CWP_FUT!F:F)</f>
        <v>0</v>
      </c>
      <c r="G199" s="800">
        <f>SUMIF(O_CWP_NOW!$A:$A,$A199,O_CWP_NOW!G:G)+SUMIF(O_CWP_FUT!$A:$A,$A199,O_CWP_FUT!G:G)</f>
        <v>0</v>
      </c>
      <c r="H199" s="800">
        <f>SUMIF(O_CWP_NOW!$A:$A,$A199,O_CWP_NOW!H:H)+SUMIF(O_CWP_FUT!$A:$A,$A199,O_CWP_FUT!H:H)</f>
        <v>0</v>
      </c>
      <c r="I199" s="800">
        <f>SUMIF(O_CWP_NOW!$A:$A,$A199,O_CWP_NOW!I:I)+SUMIF(O_CWP_FUT!$A:$A,$A199,O_CWP_FUT!I:I)</f>
        <v>0</v>
      </c>
      <c r="J199" s="800">
        <f>SUMIF(O_CWP_NOW!$A:$A,$A199,O_CWP_NOW!J:J)+SUMIF(O_CWP_FUT!$A:$A,$A199,O_CWP_FUT!J:J)</f>
        <v>0</v>
      </c>
      <c r="K199" s="800">
        <f>SUMIF(O_CWP_NOW!$A:$A,$A199,O_CWP_NOW!K:K)+SUMIF(O_CWP_FUT!$A:$A,$A199,O_CWP_FUT!K:K)</f>
        <v>0</v>
      </c>
      <c r="L199" s="800">
        <f>SUMIF(O_CWP_NOW!$A:$A,$A199,O_CWP_NOW!L:L)+SUMIF(O_CWP_FUT!$A:$A,$A199,O_CWP_FUT!L:L)</f>
        <v>0</v>
      </c>
      <c r="M199" s="800">
        <f>SUMIF(O_CWP_NOW!$A:$A,$A199,O_CWP_NOW!M:M)+SUMIF(O_CWP_FUT!$A:$A,$A199,O_CWP_FUT!M:M)</f>
        <v>0</v>
      </c>
      <c r="N199" s="800">
        <f>SUMIF(O_CWP_NOW!$A:$A,$A199,O_CWP_NOW!N:N)+SUMIF(O_CWP_FUT!$A:$A,$A199,O_CWP_FUT!N:N)</f>
        <v>0</v>
      </c>
      <c r="O199" s="800">
        <f t="shared" si="13"/>
        <v>0</v>
      </c>
      <c r="P199" s="40"/>
      <c r="R199" s="29"/>
      <c r="S199" s="29"/>
    </row>
    <row r="200" spans="1:19" ht="13" hidden="1">
      <c r="A200" s="22" t="s">
        <v>2860</v>
      </c>
      <c r="B200" s="31" t="s">
        <v>1205</v>
      </c>
      <c r="C200" s="31" t="str">
        <f>VLOOKUP($A200,FA_Codes!$D$2:$G$249,4,FALSE)</f>
        <v>South (West)</v>
      </c>
      <c r="D200" s="800">
        <f>SUMIF(O_CWP_NOW!$A:$A,$A200,O_CWP_NOW!D:D)+SUMIF(O_CWP_FUT!$A:$A,$A200,O_CWP_FUT!D:D)</f>
        <v>0</v>
      </c>
      <c r="E200" s="800">
        <f>SUMIF(O_CWP_NOW!$A:$A,$A200,O_CWP_NOW!E:E)+SUMIF(O_CWP_FUT!$A:$A,$A200,O_CWP_FUT!E:E)</f>
        <v>0</v>
      </c>
      <c r="F200" s="800">
        <f>SUMIF(O_CWP_NOW!$A:$A,$A200,O_CWP_NOW!F:F)+SUMIF(O_CWP_FUT!$A:$A,$A200,O_CWP_FUT!F:F)</f>
        <v>0</v>
      </c>
      <c r="G200" s="800">
        <f>SUMIF(O_CWP_NOW!$A:$A,$A200,O_CWP_NOW!G:G)+SUMIF(O_CWP_FUT!$A:$A,$A200,O_CWP_FUT!G:G)</f>
        <v>0</v>
      </c>
      <c r="H200" s="800">
        <f>SUMIF(O_CWP_NOW!$A:$A,$A200,O_CWP_NOW!H:H)+SUMIF(O_CWP_FUT!$A:$A,$A200,O_CWP_FUT!H:H)</f>
        <v>0</v>
      </c>
      <c r="I200" s="800">
        <f>SUMIF(O_CWP_NOW!$A:$A,$A200,O_CWP_NOW!I:I)+SUMIF(O_CWP_FUT!$A:$A,$A200,O_CWP_FUT!I:I)</f>
        <v>0</v>
      </c>
      <c r="J200" s="800">
        <f>SUMIF(O_CWP_NOW!$A:$A,$A200,O_CWP_NOW!J:J)+SUMIF(O_CWP_FUT!$A:$A,$A200,O_CWP_FUT!J:J)</f>
        <v>0</v>
      </c>
      <c r="K200" s="800">
        <f>SUMIF(O_CWP_NOW!$A:$A,$A200,O_CWP_NOW!K:K)+SUMIF(O_CWP_FUT!$A:$A,$A200,O_CWP_FUT!K:K)</f>
        <v>0</v>
      </c>
      <c r="L200" s="800">
        <f>SUMIF(O_CWP_NOW!$A:$A,$A200,O_CWP_NOW!L:L)+SUMIF(O_CWP_FUT!$A:$A,$A200,O_CWP_FUT!L:L)</f>
        <v>0</v>
      </c>
      <c r="M200" s="800">
        <f>SUMIF(O_CWP_NOW!$A:$A,$A200,O_CWP_NOW!M:M)+SUMIF(O_CWP_FUT!$A:$A,$A200,O_CWP_FUT!M:M)</f>
        <v>0</v>
      </c>
      <c r="N200" s="800">
        <f>SUMIF(O_CWP_NOW!$A:$A,$A200,O_CWP_NOW!N:N)+SUMIF(O_CWP_FUT!$A:$A,$A200,O_CWP_FUT!N:N)</f>
        <v>0</v>
      </c>
      <c r="O200" s="800">
        <f t="shared" ref="O200:O207" si="14">SUM(D200:N200)</f>
        <v>0</v>
      </c>
      <c r="P200" s="40"/>
      <c r="R200" s="29"/>
      <c r="S200" s="29"/>
    </row>
    <row r="201" spans="1:19" ht="13" hidden="1">
      <c r="A201" s="22" t="s">
        <v>2861</v>
      </c>
      <c r="B201" s="31" t="s">
        <v>1205</v>
      </c>
      <c r="C201" s="31" t="str">
        <f>VLOOKUP($A201,FA_Codes!$D$2:$G$249,4,FALSE)</f>
        <v>South (East)</v>
      </c>
      <c r="D201" s="800">
        <f>SUMIF(O_CWP_NOW!$A:$A,$A201,O_CWP_NOW!D:D)+SUMIF(O_CWP_FUT!$A:$A,$A201,O_CWP_FUT!D:D)</f>
        <v>0</v>
      </c>
      <c r="E201" s="800">
        <f>SUMIF(O_CWP_NOW!$A:$A,$A201,O_CWP_NOW!E:E)+SUMIF(O_CWP_FUT!$A:$A,$A201,O_CWP_FUT!E:E)</f>
        <v>0</v>
      </c>
      <c r="F201" s="800">
        <f>SUMIF(O_CWP_NOW!$A:$A,$A201,O_CWP_NOW!F:F)+SUMIF(O_CWP_FUT!$A:$A,$A201,O_CWP_FUT!F:F)</f>
        <v>0</v>
      </c>
      <c r="G201" s="800">
        <f>SUMIF(O_CWP_NOW!$A:$A,$A201,O_CWP_NOW!G:G)+SUMIF(O_CWP_FUT!$A:$A,$A201,O_CWP_FUT!G:G)</f>
        <v>0</v>
      </c>
      <c r="H201" s="800">
        <f>SUMIF(O_CWP_NOW!$A:$A,$A201,O_CWP_NOW!H:H)+SUMIF(O_CWP_FUT!$A:$A,$A201,O_CWP_FUT!H:H)</f>
        <v>0</v>
      </c>
      <c r="I201" s="800">
        <f>SUMIF(O_CWP_NOW!$A:$A,$A201,O_CWP_NOW!I:I)+SUMIF(O_CWP_FUT!$A:$A,$A201,O_CWP_FUT!I:I)</f>
        <v>0</v>
      </c>
      <c r="J201" s="800">
        <f>SUMIF(O_CWP_NOW!$A:$A,$A201,O_CWP_NOW!J:J)+SUMIF(O_CWP_FUT!$A:$A,$A201,O_CWP_FUT!J:J)</f>
        <v>0</v>
      </c>
      <c r="K201" s="800">
        <f>SUMIF(O_CWP_NOW!$A:$A,$A201,O_CWP_NOW!K:K)+SUMIF(O_CWP_FUT!$A:$A,$A201,O_CWP_FUT!K:K)</f>
        <v>0</v>
      </c>
      <c r="L201" s="800">
        <f>SUMIF(O_CWP_NOW!$A:$A,$A201,O_CWP_NOW!L:L)+SUMIF(O_CWP_FUT!$A:$A,$A201,O_CWP_FUT!L:L)</f>
        <v>0</v>
      </c>
      <c r="M201" s="800">
        <f>SUMIF(O_CWP_NOW!$A:$A,$A201,O_CWP_NOW!M:M)+SUMIF(O_CWP_FUT!$A:$A,$A201,O_CWP_FUT!M:M)</f>
        <v>0</v>
      </c>
      <c r="N201" s="800">
        <f>SUMIF(O_CWP_NOW!$A:$A,$A201,O_CWP_NOW!N:N)+SUMIF(O_CWP_FUT!$A:$A,$A201,O_CWP_FUT!N:N)</f>
        <v>0</v>
      </c>
      <c r="O201" s="800">
        <f t="shared" si="14"/>
        <v>0</v>
      </c>
      <c r="P201" s="40"/>
      <c r="R201" s="29"/>
      <c r="S201" s="29"/>
    </row>
    <row r="202" spans="1:19" ht="13" hidden="1">
      <c r="A202" s="22" t="s">
        <v>2862</v>
      </c>
      <c r="B202" s="31" t="s">
        <v>1205</v>
      </c>
      <c r="C202" s="31" t="str">
        <f>VLOOKUP($A202,FA_Codes!$D$2:$G$249,4,FALSE)</f>
        <v>Rural North Upper</v>
      </c>
      <c r="D202" s="800">
        <f>SUMIF(O_CWP_NOW!$A:$A,$A202,O_CWP_NOW!D:D)+SUMIF(O_CWP_FUT!$A:$A,$A202,O_CWP_FUT!D:D)</f>
        <v>0</v>
      </c>
      <c r="E202" s="800">
        <f>SUMIF(O_CWP_NOW!$A:$A,$A202,O_CWP_NOW!E:E)+SUMIF(O_CWP_FUT!$A:$A,$A202,O_CWP_FUT!E:E)</f>
        <v>0</v>
      </c>
      <c r="F202" s="800">
        <f>SUMIF(O_CWP_NOW!$A:$A,$A202,O_CWP_NOW!F:F)+SUMIF(O_CWP_FUT!$A:$A,$A202,O_CWP_FUT!F:F)</f>
        <v>0</v>
      </c>
      <c r="G202" s="800">
        <f>SUMIF(O_CWP_NOW!$A:$A,$A202,O_CWP_NOW!G:G)+SUMIF(O_CWP_FUT!$A:$A,$A202,O_CWP_FUT!G:G)</f>
        <v>0</v>
      </c>
      <c r="H202" s="800">
        <f>SUMIF(O_CWP_NOW!$A:$A,$A202,O_CWP_NOW!H:H)+SUMIF(O_CWP_FUT!$A:$A,$A202,O_CWP_FUT!H:H)</f>
        <v>0</v>
      </c>
      <c r="I202" s="800">
        <f>SUMIF(O_CWP_NOW!$A:$A,$A202,O_CWP_NOW!I:I)+SUMIF(O_CWP_FUT!$A:$A,$A202,O_CWP_FUT!I:I)</f>
        <v>0</v>
      </c>
      <c r="J202" s="800">
        <f>SUMIF(O_CWP_NOW!$A:$A,$A202,O_CWP_NOW!J:J)+SUMIF(O_CWP_FUT!$A:$A,$A202,O_CWP_FUT!J:J)</f>
        <v>0</v>
      </c>
      <c r="K202" s="800">
        <f>SUMIF(O_CWP_NOW!$A:$A,$A202,O_CWP_NOW!K:K)+SUMIF(O_CWP_FUT!$A:$A,$A202,O_CWP_FUT!K:K)</f>
        <v>0</v>
      </c>
      <c r="L202" s="800">
        <f>SUMIF(O_CWP_NOW!$A:$A,$A202,O_CWP_NOW!L:L)+SUMIF(O_CWP_FUT!$A:$A,$A202,O_CWP_FUT!L:L)</f>
        <v>0</v>
      </c>
      <c r="M202" s="800">
        <f>SUMIF(O_CWP_NOW!$A:$A,$A202,O_CWP_NOW!M:M)+SUMIF(O_CWP_FUT!$A:$A,$A202,O_CWP_FUT!M:M)</f>
        <v>0</v>
      </c>
      <c r="N202" s="800">
        <f>SUMIF(O_CWP_NOW!$A:$A,$A202,O_CWP_NOW!N:N)+SUMIF(O_CWP_FUT!$A:$A,$A202,O_CWP_FUT!N:N)</f>
        <v>0</v>
      </c>
      <c r="O202" s="800">
        <f t="shared" si="14"/>
        <v>0</v>
      </c>
      <c r="P202" s="40"/>
      <c r="R202" s="29"/>
      <c r="S202" s="29"/>
    </row>
    <row r="203" spans="1:19" ht="13" hidden="1">
      <c r="A203" s="22" t="s">
        <v>2863</v>
      </c>
      <c r="B203" s="31" t="s">
        <v>1205</v>
      </c>
      <c r="C203" s="31" t="str">
        <f>VLOOKUP($A203,FA_Codes!$D$2:$G$249,4,FALSE)</f>
        <v>Rural North Lower</v>
      </c>
      <c r="D203" s="800">
        <f>SUMIF(O_CWP_NOW!$A:$A,$A203,O_CWP_NOW!D:D)+SUMIF(O_CWP_FUT!$A:$A,$A203,O_CWP_FUT!D:D)</f>
        <v>0</v>
      </c>
      <c r="E203" s="800">
        <f>SUMIF(O_CWP_NOW!$A:$A,$A203,O_CWP_NOW!E:E)+SUMIF(O_CWP_FUT!$A:$A,$A203,O_CWP_FUT!E:E)</f>
        <v>0</v>
      </c>
      <c r="F203" s="800">
        <f>SUMIF(O_CWP_NOW!$A:$A,$A203,O_CWP_NOW!F:F)+SUMIF(O_CWP_FUT!$A:$A,$A203,O_CWP_FUT!F:F)</f>
        <v>0</v>
      </c>
      <c r="G203" s="800">
        <f>SUMIF(O_CWP_NOW!$A:$A,$A203,O_CWP_NOW!G:G)+SUMIF(O_CWP_FUT!$A:$A,$A203,O_CWP_FUT!G:G)</f>
        <v>0</v>
      </c>
      <c r="H203" s="800">
        <f>SUMIF(O_CWP_NOW!$A:$A,$A203,O_CWP_NOW!H:H)+SUMIF(O_CWP_FUT!$A:$A,$A203,O_CWP_FUT!H:H)</f>
        <v>0</v>
      </c>
      <c r="I203" s="800">
        <f>SUMIF(O_CWP_NOW!$A:$A,$A203,O_CWP_NOW!I:I)+SUMIF(O_CWP_FUT!$A:$A,$A203,O_CWP_FUT!I:I)</f>
        <v>0</v>
      </c>
      <c r="J203" s="800">
        <f>SUMIF(O_CWP_NOW!$A:$A,$A203,O_CWP_NOW!J:J)+SUMIF(O_CWP_FUT!$A:$A,$A203,O_CWP_FUT!J:J)</f>
        <v>0</v>
      </c>
      <c r="K203" s="800">
        <f>SUMIF(O_CWP_NOW!$A:$A,$A203,O_CWP_NOW!K:K)+SUMIF(O_CWP_FUT!$A:$A,$A203,O_CWP_FUT!K:K)</f>
        <v>0</v>
      </c>
      <c r="L203" s="800">
        <f>SUMIF(O_CWP_NOW!$A:$A,$A203,O_CWP_NOW!L:L)+SUMIF(O_CWP_FUT!$A:$A,$A203,O_CWP_FUT!L:L)</f>
        <v>0</v>
      </c>
      <c r="M203" s="800">
        <f>SUMIF(O_CWP_NOW!$A:$A,$A203,O_CWP_NOW!M:M)+SUMIF(O_CWP_FUT!$A:$A,$A203,O_CWP_FUT!M:M)</f>
        <v>0</v>
      </c>
      <c r="N203" s="800">
        <f>SUMIF(O_CWP_NOW!$A:$A,$A203,O_CWP_NOW!N:N)+SUMIF(O_CWP_FUT!$A:$A,$A203,O_CWP_FUT!N:N)</f>
        <v>0</v>
      </c>
      <c r="O203" s="800">
        <f t="shared" si="14"/>
        <v>0</v>
      </c>
      <c r="P203" s="40"/>
      <c r="R203" s="29"/>
      <c r="S203" s="29"/>
    </row>
    <row r="204" spans="1:19" ht="13" hidden="1">
      <c r="A204" s="22" t="s">
        <v>2864</v>
      </c>
      <c r="B204" s="31" t="s">
        <v>1205</v>
      </c>
      <c r="C204" s="31" t="str">
        <f>VLOOKUP($A204,FA_Codes!$D$2:$G$249,4,FALSE)</f>
        <v>Rural West</v>
      </c>
      <c r="D204" s="800">
        <f>SUMIF(O_CWP_NOW!$A:$A,$A204,O_CWP_NOW!D:D)+SUMIF(O_CWP_FUT!$A:$A,$A204,O_CWP_FUT!D:D)</f>
        <v>0</v>
      </c>
      <c r="E204" s="800">
        <f>SUMIF(O_CWP_NOW!$A:$A,$A204,O_CWP_NOW!E:E)+SUMIF(O_CWP_FUT!$A:$A,$A204,O_CWP_FUT!E:E)</f>
        <v>0</v>
      </c>
      <c r="F204" s="800">
        <f>SUMIF(O_CWP_NOW!$A:$A,$A204,O_CWP_NOW!F:F)+SUMIF(O_CWP_FUT!$A:$A,$A204,O_CWP_FUT!F:F)</f>
        <v>0</v>
      </c>
      <c r="G204" s="800">
        <f>SUMIF(O_CWP_NOW!$A:$A,$A204,O_CWP_NOW!G:G)+SUMIF(O_CWP_FUT!$A:$A,$A204,O_CWP_FUT!G:G)</f>
        <v>0</v>
      </c>
      <c r="H204" s="800">
        <f>SUMIF(O_CWP_NOW!$A:$A,$A204,O_CWP_NOW!H:H)+SUMIF(O_CWP_FUT!$A:$A,$A204,O_CWP_FUT!H:H)</f>
        <v>0</v>
      </c>
      <c r="I204" s="800">
        <f>SUMIF(O_CWP_NOW!$A:$A,$A204,O_CWP_NOW!I:I)+SUMIF(O_CWP_FUT!$A:$A,$A204,O_CWP_FUT!I:I)</f>
        <v>0</v>
      </c>
      <c r="J204" s="800">
        <f>SUMIF(O_CWP_NOW!$A:$A,$A204,O_CWP_NOW!J:J)+SUMIF(O_CWP_FUT!$A:$A,$A204,O_CWP_FUT!J:J)</f>
        <v>0</v>
      </c>
      <c r="K204" s="800">
        <f>SUMIF(O_CWP_NOW!$A:$A,$A204,O_CWP_NOW!K:K)+SUMIF(O_CWP_FUT!$A:$A,$A204,O_CWP_FUT!K:K)</f>
        <v>0</v>
      </c>
      <c r="L204" s="800">
        <f>SUMIF(O_CWP_NOW!$A:$A,$A204,O_CWP_NOW!L:L)+SUMIF(O_CWP_FUT!$A:$A,$A204,O_CWP_FUT!L:L)</f>
        <v>0</v>
      </c>
      <c r="M204" s="800">
        <f>SUMIF(O_CWP_NOW!$A:$A,$A204,O_CWP_NOW!M:M)+SUMIF(O_CWP_FUT!$A:$A,$A204,O_CWP_FUT!M:M)</f>
        <v>0</v>
      </c>
      <c r="N204" s="800">
        <f>SUMIF(O_CWP_NOW!$A:$A,$A204,O_CWP_NOW!N:N)+SUMIF(O_CWP_FUT!$A:$A,$A204,O_CWP_FUT!N:N)</f>
        <v>0</v>
      </c>
      <c r="O204" s="800">
        <f t="shared" si="14"/>
        <v>0</v>
      </c>
      <c r="P204" s="40"/>
      <c r="R204" s="29"/>
      <c r="S204" s="29"/>
    </row>
    <row r="205" spans="1:19" ht="13" hidden="1">
      <c r="A205" s="22" t="s">
        <v>2865</v>
      </c>
      <c r="B205" s="31" t="s">
        <v>1205</v>
      </c>
      <c r="C205" s="31" t="str">
        <f>VLOOKUP($A205,FA_Codes!$D$2:$G$249,4,FALSE)</f>
        <v>Rural South West</v>
      </c>
      <c r="D205" s="800">
        <f>SUMIF(O_CWP_NOW!$A:$A,$A205,O_CWP_NOW!D:D)+SUMIF(O_CWP_FUT!$A:$A,$A205,O_CWP_FUT!D:D)</f>
        <v>0</v>
      </c>
      <c r="E205" s="800">
        <f>SUMIF(O_CWP_NOW!$A:$A,$A205,O_CWP_NOW!E:E)+SUMIF(O_CWP_FUT!$A:$A,$A205,O_CWP_FUT!E:E)</f>
        <v>0</v>
      </c>
      <c r="F205" s="800">
        <f>SUMIF(O_CWP_NOW!$A:$A,$A205,O_CWP_NOW!F:F)+SUMIF(O_CWP_FUT!$A:$A,$A205,O_CWP_FUT!F:F)</f>
        <v>0</v>
      </c>
      <c r="G205" s="800">
        <f>SUMIF(O_CWP_NOW!$A:$A,$A205,O_CWP_NOW!G:G)+SUMIF(O_CWP_FUT!$A:$A,$A205,O_CWP_FUT!G:G)</f>
        <v>0</v>
      </c>
      <c r="H205" s="800">
        <f>SUMIF(O_CWP_NOW!$A:$A,$A205,O_CWP_NOW!H:H)+SUMIF(O_CWP_FUT!$A:$A,$A205,O_CWP_FUT!H:H)</f>
        <v>0</v>
      </c>
      <c r="I205" s="800">
        <f>SUMIF(O_CWP_NOW!$A:$A,$A205,O_CWP_NOW!I:I)+SUMIF(O_CWP_FUT!$A:$A,$A205,O_CWP_FUT!I:I)</f>
        <v>0</v>
      </c>
      <c r="J205" s="800">
        <f>SUMIF(O_CWP_NOW!$A:$A,$A205,O_CWP_NOW!J:J)+SUMIF(O_CWP_FUT!$A:$A,$A205,O_CWP_FUT!J:J)</f>
        <v>0</v>
      </c>
      <c r="K205" s="800">
        <f>SUMIF(O_CWP_NOW!$A:$A,$A205,O_CWP_NOW!K:K)+SUMIF(O_CWP_FUT!$A:$A,$A205,O_CWP_FUT!K:K)</f>
        <v>0</v>
      </c>
      <c r="L205" s="800">
        <f>SUMIF(O_CWP_NOW!$A:$A,$A205,O_CWP_NOW!L:L)+SUMIF(O_CWP_FUT!$A:$A,$A205,O_CWP_FUT!L:L)</f>
        <v>0</v>
      </c>
      <c r="M205" s="800">
        <f>SUMIF(O_CWP_NOW!$A:$A,$A205,O_CWP_NOW!M:M)+SUMIF(O_CWP_FUT!$A:$A,$A205,O_CWP_FUT!M:M)</f>
        <v>0</v>
      </c>
      <c r="N205" s="800">
        <f>SUMIF(O_CWP_NOW!$A:$A,$A205,O_CWP_NOW!N:N)+SUMIF(O_CWP_FUT!$A:$A,$A205,O_CWP_FUT!N:N)</f>
        <v>0</v>
      </c>
      <c r="O205" s="800">
        <f t="shared" si="14"/>
        <v>0</v>
      </c>
      <c r="P205" s="40"/>
      <c r="R205" s="29"/>
      <c r="S205" s="29"/>
    </row>
    <row r="206" spans="1:19" ht="13" hidden="1">
      <c r="A206" s="22" t="s">
        <v>2866</v>
      </c>
      <c r="B206" s="31" t="s">
        <v>1205</v>
      </c>
      <c r="C206" s="31" t="str">
        <f>VLOOKUP($A206,FA_Codes!$D$2:$G$249,4,FALSE)</f>
        <v>Rural South East</v>
      </c>
      <c r="D206" s="800">
        <f>SUMIF(O_CWP_NOW!$A:$A,$A206,O_CWP_NOW!D:D)+SUMIF(O_CWP_FUT!$A:$A,$A206,O_CWP_FUT!D:D)</f>
        <v>0</v>
      </c>
      <c r="E206" s="800">
        <f>SUMIF(O_CWP_NOW!$A:$A,$A206,O_CWP_NOW!E:E)+SUMIF(O_CWP_FUT!$A:$A,$A206,O_CWP_FUT!E:E)</f>
        <v>0</v>
      </c>
      <c r="F206" s="800">
        <f>SUMIF(O_CWP_NOW!$A:$A,$A206,O_CWP_NOW!F:F)+SUMIF(O_CWP_FUT!$A:$A,$A206,O_CWP_FUT!F:F)</f>
        <v>0</v>
      </c>
      <c r="G206" s="800">
        <f>SUMIF(O_CWP_NOW!$A:$A,$A206,O_CWP_NOW!G:G)+SUMIF(O_CWP_FUT!$A:$A,$A206,O_CWP_FUT!G:G)</f>
        <v>0</v>
      </c>
      <c r="H206" s="800">
        <f>SUMIF(O_CWP_NOW!$A:$A,$A206,O_CWP_NOW!H:H)+SUMIF(O_CWP_FUT!$A:$A,$A206,O_CWP_FUT!H:H)</f>
        <v>0</v>
      </c>
      <c r="I206" s="800">
        <f>SUMIF(O_CWP_NOW!$A:$A,$A206,O_CWP_NOW!I:I)+SUMIF(O_CWP_FUT!$A:$A,$A206,O_CWP_FUT!I:I)</f>
        <v>0</v>
      </c>
      <c r="J206" s="800">
        <f>SUMIF(O_CWP_NOW!$A:$A,$A206,O_CWP_NOW!J:J)+SUMIF(O_CWP_FUT!$A:$A,$A206,O_CWP_FUT!J:J)</f>
        <v>0</v>
      </c>
      <c r="K206" s="800">
        <f>SUMIF(O_CWP_NOW!$A:$A,$A206,O_CWP_NOW!K:K)+SUMIF(O_CWP_FUT!$A:$A,$A206,O_CWP_FUT!K:K)</f>
        <v>0</v>
      </c>
      <c r="L206" s="800">
        <f>SUMIF(O_CWP_NOW!$A:$A,$A206,O_CWP_NOW!L:L)+SUMIF(O_CWP_FUT!$A:$A,$A206,O_CWP_FUT!L:L)</f>
        <v>0</v>
      </c>
      <c r="M206" s="800">
        <f>SUMIF(O_CWP_NOW!$A:$A,$A206,O_CWP_NOW!M:M)+SUMIF(O_CWP_FUT!$A:$A,$A206,O_CWP_FUT!M:M)</f>
        <v>0</v>
      </c>
      <c r="N206" s="800">
        <f>SUMIF(O_CWP_NOW!$A:$A,$A206,O_CWP_NOW!N:N)+SUMIF(O_CWP_FUT!$A:$A,$A206,O_CWP_FUT!N:N)</f>
        <v>0</v>
      </c>
      <c r="O206" s="800">
        <f t="shared" si="14"/>
        <v>0</v>
      </c>
      <c r="P206" s="40"/>
      <c r="R206" s="29"/>
      <c r="S206" s="29"/>
    </row>
    <row r="207" spans="1:19" ht="13" hidden="1">
      <c r="A207" s="22" t="s">
        <v>2867</v>
      </c>
      <c r="B207" s="31" t="s">
        <v>1205</v>
      </c>
      <c r="C207" s="31" t="str">
        <f>VLOOKUP($A207,FA_Codes!$D$2:$G$249,4,FALSE)</f>
        <v>Rural Islands</v>
      </c>
      <c r="D207" s="800">
        <f>SUMIF(O_CWP_NOW!$A:$A,$A207,O_CWP_NOW!D:D)+SUMIF(O_CWP_FUT!$A:$A,$A207,O_CWP_FUT!D:D)</f>
        <v>0</v>
      </c>
      <c r="E207" s="800">
        <f>SUMIF(O_CWP_NOW!$A:$A,$A207,O_CWP_NOW!E:E)+SUMIF(O_CWP_FUT!$A:$A,$A207,O_CWP_FUT!E:E)</f>
        <v>0</v>
      </c>
      <c r="F207" s="800">
        <f>SUMIF(O_CWP_NOW!$A:$A,$A207,O_CWP_NOW!F:F)+SUMIF(O_CWP_FUT!$A:$A,$A207,O_CWP_FUT!F:F)</f>
        <v>0</v>
      </c>
      <c r="G207" s="800">
        <f>SUMIF(O_CWP_NOW!$A:$A,$A207,O_CWP_NOW!G:G)+SUMIF(O_CWP_FUT!$A:$A,$A207,O_CWP_FUT!G:G)</f>
        <v>0</v>
      </c>
      <c r="H207" s="800">
        <f>SUMIF(O_CWP_NOW!$A:$A,$A207,O_CWP_NOW!H:H)+SUMIF(O_CWP_FUT!$A:$A,$A207,O_CWP_FUT!H:H)</f>
        <v>0</v>
      </c>
      <c r="I207" s="800">
        <f>SUMIF(O_CWP_NOW!$A:$A,$A207,O_CWP_NOW!I:I)+SUMIF(O_CWP_FUT!$A:$A,$A207,O_CWP_FUT!I:I)</f>
        <v>0</v>
      </c>
      <c r="J207" s="800">
        <f>SUMIF(O_CWP_NOW!$A:$A,$A207,O_CWP_NOW!J:J)+SUMIF(O_CWP_FUT!$A:$A,$A207,O_CWP_FUT!J:J)</f>
        <v>0</v>
      </c>
      <c r="K207" s="800">
        <f>SUMIF(O_CWP_NOW!$A:$A,$A207,O_CWP_NOW!K:K)+SUMIF(O_CWP_FUT!$A:$A,$A207,O_CWP_FUT!K:K)</f>
        <v>0</v>
      </c>
      <c r="L207" s="800">
        <f>SUMIF(O_CWP_NOW!$A:$A,$A207,O_CWP_NOW!L:L)+SUMIF(O_CWP_FUT!$A:$A,$A207,O_CWP_FUT!L:L)</f>
        <v>0</v>
      </c>
      <c r="M207" s="800">
        <f>SUMIF(O_CWP_NOW!$A:$A,$A207,O_CWP_NOW!M:M)+SUMIF(O_CWP_FUT!$A:$A,$A207,O_CWP_FUT!M:M)</f>
        <v>0</v>
      </c>
      <c r="N207" s="800">
        <f>SUMIF(O_CWP_NOW!$A:$A,$A207,O_CWP_NOW!N:N)+SUMIF(O_CWP_FUT!$A:$A,$A207,O_CWP_FUT!N:N)</f>
        <v>0</v>
      </c>
      <c r="O207" s="800">
        <f t="shared" si="14"/>
        <v>0</v>
      </c>
      <c r="P207" s="40"/>
      <c r="R207" s="29"/>
      <c r="S207" s="29"/>
    </row>
    <row r="208" spans="1:19" ht="13" hidden="1">
      <c r="A208" s="22" t="s">
        <v>2868</v>
      </c>
      <c r="B208" s="31" t="s">
        <v>1205</v>
      </c>
      <c r="C208" s="31" t="str">
        <f>VLOOKUP($A208,FA_Codes!$D$2:$G$249,4,FALSE)</f>
        <v>Tamaki</v>
      </c>
      <c r="D208" s="800">
        <f>SUMIF(O_CWP_NOW!$A:$A,$A208,O_CWP_NOW!D:D)+SUMIF(O_CWP_FUT!$A:$A,$A208,O_CWP_FUT!D:D)</f>
        <v>0</v>
      </c>
      <c r="E208" s="800">
        <f>SUMIF(O_CWP_NOW!$A:$A,$A208,O_CWP_NOW!E:E)+SUMIF(O_CWP_FUT!$A:$A,$A208,O_CWP_FUT!E:E)</f>
        <v>0</v>
      </c>
      <c r="F208" s="800">
        <f>SUMIF(O_CWP_NOW!$A:$A,$A208,O_CWP_NOW!F:F)+SUMIF(O_CWP_FUT!$A:$A,$A208,O_CWP_FUT!F:F)</f>
        <v>0</v>
      </c>
      <c r="G208" s="800">
        <f>SUMIF(O_CWP_NOW!$A:$A,$A208,O_CWP_NOW!G:G)+SUMIF(O_CWP_FUT!$A:$A,$A208,O_CWP_FUT!G:G)</f>
        <v>0</v>
      </c>
      <c r="H208" s="800">
        <f>SUMIF(O_CWP_NOW!$A:$A,$A208,O_CWP_NOW!H:H)+SUMIF(O_CWP_FUT!$A:$A,$A208,O_CWP_FUT!H:H)</f>
        <v>0</v>
      </c>
      <c r="I208" s="800">
        <f>SUMIF(O_CWP_NOW!$A:$A,$A208,O_CWP_NOW!I:I)+SUMIF(O_CWP_FUT!$A:$A,$A208,O_CWP_FUT!I:I)</f>
        <v>0</v>
      </c>
      <c r="J208" s="800">
        <f>SUMIF(O_CWP_NOW!$A:$A,$A208,O_CWP_NOW!J:J)+SUMIF(O_CWP_FUT!$A:$A,$A208,O_CWP_FUT!J:J)</f>
        <v>0</v>
      </c>
      <c r="K208" s="800">
        <f>SUMIF(O_CWP_NOW!$A:$A,$A208,O_CWP_NOW!K:K)+SUMIF(O_CWP_FUT!$A:$A,$A208,O_CWP_FUT!K:K)</f>
        <v>0</v>
      </c>
      <c r="L208" s="800">
        <f>SUMIF(O_CWP_NOW!$A:$A,$A208,O_CWP_NOW!L:L)+SUMIF(O_CWP_FUT!$A:$A,$A208,O_CWP_FUT!L:L)</f>
        <v>0</v>
      </c>
      <c r="M208" s="800">
        <f>SUMIF(O_CWP_NOW!$A:$A,$A208,O_CWP_NOW!M:M)+SUMIF(O_CWP_FUT!$A:$A,$A208,O_CWP_FUT!M:M)</f>
        <v>0</v>
      </c>
      <c r="N208" s="800">
        <f>SUMIF(O_CWP_NOW!$A:$A,$A208,O_CWP_NOW!N:N)+SUMIF(O_CWP_FUT!$A:$A,$A208,O_CWP_FUT!N:N)</f>
        <v>0</v>
      </c>
      <c r="O208" s="800">
        <f t="shared" ref="O208:O218" si="15">SUM(D208:N208)</f>
        <v>0</v>
      </c>
      <c r="P208" s="40"/>
      <c r="R208" s="29"/>
      <c r="S208" s="29"/>
    </row>
    <row r="209" spans="1:19" ht="13" hidden="1">
      <c r="A209" s="22" t="s">
        <v>2870</v>
      </c>
      <c r="B209" s="31" t="s">
        <v>1205</v>
      </c>
      <c r="C209" s="31" t="str">
        <f>VLOOKUP($A209,FA_Codes!$D$2:$G$249,4,FALSE)</f>
        <v>Auranga</v>
      </c>
      <c r="D209" s="800">
        <f>SUMIF(O_CWP_NOW!$A:$A,$A209,O_CWP_NOW!D:D)+SUMIF(O_CWP_FUT!$A:$A,$A209,O_CWP_FUT!D:D)</f>
        <v>0</v>
      </c>
      <c r="E209" s="800">
        <f>SUMIF(O_CWP_NOW!$A:$A,$A209,O_CWP_NOW!E:E)+SUMIF(O_CWP_FUT!$A:$A,$A209,O_CWP_FUT!E:E)</f>
        <v>0</v>
      </c>
      <c r="F209" s="800">
        <f>SUMIF(O_CWP_NOW!$A:$A,$A209,O_CWP_NOW!F:F)+SUMIF(O_CWP_FUT!$A:$A,$A209,O_CWP_FUT!F:F)</f>
        <v>0</v>
      </c>
      <c r="G209" s="800">
        <f>SUMIF(O_CWP_NOW!$A:$A,$A209,O_CWP_NOW!G:G)+SUMIF(O_CWP_FUT!$A:$A,$A209,O_CWP_FUT!G:G)</f>
        <v>0</v>
      </c>
      <c r="H209" s="800">
        <f>SUMIF(O_CWP_NOW!$A:$A,$A209,O_CWP_NOW!H:H)+SUMIF(O_CWP_FUT!$A:$A,$A209,O_CWP_FUT!H:H)</f>
        <v>0</v>
      </c>
      <c r="I209" s="800">
        <f>SUMIF(O_CWP_NOW!$A:$A,$A209,O_CWP_NOW!I:I)+SUMIF(O_CWP_FUT!$A:$A,$A209,O_CWP_FUT!I:I)</f>
        <v>0</v>
      </c>
      <c r="J209" s="800">
        <f>SUMIF(O_CWP_NOW!$A:$A,$A209,O_CWP_NOW!J:J)+SUMIF(O_CWP_FUT!$A:$A,$A209,O_CWP_FUT!J:J)</f>
        <v>0</v>
      </c>
      <c r="K209" s="800">
        <f>SUMIF(O_CWP_NOW!$A:$A,$A209,O_CWP_NOW!K:K)+SUMIF(O_CWP_FUT!$A:$A,$A209,O_CWP_FUT!K:K)</f>
        <v>0</v>
      </c>
      <c r="L209" s="800">
        <f>SUMIF(O_CWP_NOW!$A:$A,$A209,O_CWP_NOW!L:L)+SUMIF(O_CWP_FUT!$A:$A,$A209,O_CWP_FUT!L:L)</f>
        <v>0</v>
      </c>
      <c r="M209" s="800">
        <f>SUMIF(O_CWP_NOW!$A:$A,$A209,O_CWP_NOW!M:M)+SUMIF(O_CWP_FUT!$A:$A,$A209,O_CWP_FUT!M:M)</f>
        <v>0</v>
      </c>
      <c r="N209" s="800">
        <f>SUMIF(O_CWP_NOW!$A:$A,$A209,O_CWP_NOW!N:N)+SUMIF(O_CWP_FUT!$A:$A,$A209,O_CWP_FUT!N:N)</f>
        <v>0</v>
      </c>
      <c r="O209" s="800">
        <f t="shared" si="15"/>
        <v>0</v>
      </c>
      <c r="P209" s="40"/>
      <c r="R209" s="29"/>
      <c r="S209" s="29"/>
    </row>
    <row r="210" spans="1:19" ht="13" hidden="1">
      <c r="A210" s="22" t="s">
        <v>2876</v>
      </c>
      <c r="B210" s="31" t="s">
        <v>1205</v>
      </c>
      <c r="C210" s="31" t="str">
        <f>VLOOKUP($A210,FA_Codes!$D$2:$G$249,4,FALSE)</f>
        <v>Area 35</v>
      </c>
      <c r="D210" s="800">
        <f>SUMIF(O_CWP_NOW!$A:$A,$A210,O_CWP_NOW!D:D)+SUMIF(O_CWP_FUT!$A:$A,$A210,O_CWP_FUT!D:D)</f>
        <v>0</v>
      </c>
      <c r="E210" s="800">
        <f>SUMIF(O_CWP_NOW!$A:$A,$A210,O_CWP_NOW!E:E)+SUMIF(O_CWP_FUT!$A:$A,$A210,O_CWP_FUT!E:E)</f>
        <v>0</v>
      </c>
      <c r="F210" s="800">
        <f>SUMIF(O_CWP_NOW!$A:$A,$A210,O_CWP_NOW!F:F)+SUMIF(O_CWP_FUT!$A:$A,$A210,O_CWP_FUT!F:F)</f>
        <v>0</v>
      </c>
      <c r="G210" s="800">
        <f>SUMIF(O_CWP_NOW!$A:$A,$A210,O_CWP_NOW!G:G)+SUMIF(O_CWP_FUT!$A:$A,$A210,O_CWP_FUT!G:G)</f>
        <v>0</v>
      </c>
      <c r="H210" s="800">
        <f>SUMIF(O_CWP_NOW!$A:$A,$A210,O_CWP_NOW!H:H)+SUMIF(O_CWP_FUT!$A:$A,$A210,O_CWP_FUT!H:H)</f>
        <v>0</v>
      </c>
      <c r="I210" s="800">
        <f>SUMIF(O_CWP_NOW!$A:$A,$A210,O_CWP_NOW!I:I)+SUMIF(O_CWP_FUT!$A:$A,$A210,O_CWP_FUT!I:I)</f>
        <v>0</v>
      </c>
      <c r="J210" s="800">
        <f>SUMIF(O_CWP_NOW!$A:$A,$A210,O_CWP_NOW!J:J)+SUMIF(O_CWP_FUT!$A:$A,$A210,O_CWP_FUT!J:J)</f>
        <v>0</v>
      </c>
      <c r="K210" s="800">
        <f>SUMIF(O_CWP_NOW!$A:$A,$A210,O_CWP_NOW!K:K)+SUMIF(O_CWP_FUT!$A:$A,$A210,O_CWP_FUT!K:K)</f>
        <v>0</v>
      </c>
      <c r="L210" s="800">
        <f>SUMIF(O_CWP_NOW!$A:$A,$A210,O_CWP_NOW!L:L)+SUMIF(O_CWP_FUT!$A:$A,$A210,O_CWP_FUT!L:L)</f>
        <v>0</v>
      </c>
      <c r="M210" s="800">
        <f>SUMIF(O_CWP_NOW!$A:$A,$A210,O_CWP_NOW!M:M)+SUMIF(O_CWP_FUT!$A:$A,$A210,O_CWP_FUT!M:M)</f>
        <v>0</v>
      </c>
      <c r="N210" s="800">
        <f>SUMIF(O_CWP_NOW!$A:$A,$A210,O_CWP_NOW!N:N)+SUMIF(O_CWP_FUT!$A:$A,$A210,O_CWP_FUT!N:N)</f>
        <v>0</v>
      </c>
      <c r="O210" s="800">
        <f t="shared" si="15"/>
        <v>0</v>
      </c>
      <c r="P210" s="40"/>
      <c r="R210" s="29"/>
      <c r="S210" s="29"/>
    </row>
    <row r="211" spans="1:19" ht="13" hidden="1">
      <c r="A211" s="22" t="s">
        <v>2877</v>
      </c>
      <c r="B211" s="31" t="s">
        <v>1205</v>
      </c>
      <c r="C211" s="58" t="s">
        <v>7013</v>
      </c>
      <c r="D211" s="800">
        <f>SUMIF(O_CWP_NOW!$A:$A,$A211,O_CWP_NOW!D:D)+SUMIF(O_CWP_FUT!$A:$A,$A211,O_CWP_FUT!D:D)</f>
        <v>0</v>
      </c>
      <c r="E211" s="800">
        <f>SUMIF(O_CWP_NOW!$A:$A,$A211,O_CWP_NOW!E:E)+SUMIF(O_CWP_FUT!$A:$A,$A211,O_CWP_FUT!E:E)</f>
        <v>0</v>
      </c>
      <c r="F211" s="800">
        <f>SUMIF(O_CWP_NOW!$A:$A,$A211,O_CWP_NOW!F:F)+SUMIF(O_CWP_FUT!$A:$A,$A211,O_CWP_FUT!F:F)</f>
        <v>0</v>
      </c>
      <c r="G211" s="800">
        <f>SUMIF(O_CWP_NOW!$A:$A,$A211,O_CWP_NOW!G:G)+SUMIF(O_CWP_FUT!$A:$A,$A211,O_CWP_FUT!G:G)</f>
        <v>0</v>
      </c>
      <c r="H211" s="800">
        <f>SUMIF(O_CWP_NOW!$A:$A,$A211,O_CWP_NOW!H:H)+SUMIF(O_CWP_FUT!$A:$A,$A211,O_CWP_FUT!H:H)</f>
        <v>0</v>
      </c>
      <c r="I211" s="800">
        <f>SUMIF(O_CWP_NOW!$A:$A,$A211,O_CWP_NOW!I:I)+SUMIF(O_CWP_FUT!$A:$A,$A211,O_CWP_FUT!I:I)</f>
        <v>0</v>
      </c>
      <c r="J211" s="800">
        <f>SUMIF(O_CWP_NOW!$A:$A,$A211,O_CWP_NOW!J:J)+SUMIF(O_CWP_FUT!$A:$A,$A211,O_CWP_FUT!J:J)</f>
        <v>0</v>
      </c>
      <c r="K211" s="800">
        <f>SUMIF(O_CWP_NOW!$A:$A,$A211,O_CWP_NOW!K:K)+SUMIF(O_CWP_FUT!$A:$A,$A211,O_CWP_FUT!K:K)</f>
        <v>0</v>
      </c>
      <c r="L211" s="800">
        <f>SUMIF(O_CWP_NOW!$A:$A,$A211,O_CWP_NOW!L:L)+SUMIF(O_CWP_FUT!$A:$A,$A211,O_CWP_FUT!L:L)</f>
        <v>0</v>
      </c>
      <c r="M211" s="800">
        <f>SUMIF(O_CWP_NOW!$A:$A,$A211,O_CWP_NOW!M:M)+SUMIF(O_CWP_FUT!$A:$A,$A211,O_CWP_FUT!M:M)</f>
        <v>0</v>
      </c>
      <c r="N211" s="800">
        <f>SUMIF(O_CWP_NOW!$A:$A,$A211,O_CWP_NOW!N:N)+SUMIF(O_CWP_FUT!$A:$A,$A211,O_CWP_FUT!N:N)</f>
        <v>0</v>
      </c>
      <c r="O211" s="800">
        <f t="shared" si="15"/>
        <v>0</v>
      </c>
      <c r="P211" s="40"/>
      <c r="R211" s="29"/>
      <c r="S211" s="29"/>
    </row>
    <row r="212" spans="1:19" ht="13" hidden="1">
      <c r="A212" s="22" t="s">
        <v>2878</v>
      </c>
      <c r="B212" s="31" t="s">
        <v>1205</v>
      </c>
      <c r="C212" s="58" t="s">
        <v>7013</v>
      </c>
      <c r="D212" s="800">
        <f>SUMIF(O_CWP_NOW!$A:$A,$A212,O_CWP_NOW!D:D)+SUMIF(O_CWP_FUT!$A:$A,$A212,O_CWP_FUT!D:D)</f>
        <v>0</v>
      </c>
      <c r="E212" s="800">
        <f>SUMIF(O_CWP_NOW!$A:$A,$A212,O_CWP_NOW!E:E)+SUMIF(O_CWP_FUT!$A:$A,$A212,O_CWP_FUT!E:E)</f>
        <v>0</v>
      </c>
      <c r="F212" s="800">
        <f>SUMIF(O_CWP_NOW!$A:$A,$A212,O_CWP_NOW!F:F)+SUMIF(O_CWP_FUT!$A:$A,$A212,O_CWP_FUT!F:F)</f>
        <v>0</v>
      </c>
      <c r="G212" s="800">
        <f>SUMIF(O_CWP_NOW!$A:$A,$A212,O_CWP_NOW!G:G)+SUMIF(O_CWP_FUT!$A:$A,$A212,O_CWP_FUT!G:G)</f>
        <v>0</v>
      </c>
      <c r="H212" s="800">
        <f>SUMIF(O_CWP_NOW!$A:$A,$A212,O_CWP_NOW!H:H)+SUMIF(O_CWP_FUT!$A:$A,$A212,O_CWP_FUT!H:H)</f>
        <v>0</v>
      </c>
      <c r="I212" s="800">
        <f>SUMIF(O_CWP_NOW!$A:$A,$A212,O_CWP_NOW!I:I)+SUMIF(O_CWP_FUT!$A:$A,$A212,O_CWP_FUT!I:I)</f>
        <v>0</v>
      </c>
      <c r="J212" s="800">
        <f>SUMIF(O_CWP_NOW!$A:$A,$A212,O_CWP_NOW!J:J)+SUMIF(O_CWP_FUT!$A:$A,$A212,O_CWP_FUT!J:J)</f>
        <v>0</v>
      </c>
      <c r="K212" s="800">
        <f>SUMIF(O_CWP_NOW!$A:$A,$A212,O_CWP_NOW!K:K)+SUMIF(O_CWP_FUT!$A:$A,$A212,O_CWP_FUT!K:K)</f>
        <v>0</v>
      </c>
      <c r="L212" s="800">
        <f>SUMIF(O_CWP_NOW!$A:$A,$A212,O_CWP_NOW!L:L)+SUMIF(O_CWP_FUT!$A:$A,$A212,O_CWP_FUT!L:L)</f>
        <v>0</v>
      </c>
      <c r="M212" s="800">
        <f>SUMIF(O_CWP_NOW!$A:$A,$A212,O_CWP_NOW!M:M)+SUMIF(O_CWP_FUT!$A:$A,$A212,O_CWP_FUT!M:M)</f>
        <v>0</v>
      </c>
      <c r="N212" s="800">
        <f>SUMIF(O_CWP_NOW!$A:$A,$A212,O_CWP_NOW!N:N)+SUMIF(O_CWP_FUT!$A:$A,$A212,O_CWP_FUT!N:N)</f>
        <v>0</v>
      </c>
      <c r="O212" s="800">
        <f t="shared" si="15"/>
        <v>0</v>
      </c>
      <c r="P212" s="40"/>
      <c r="R212" s="29"/>
      <c r="S212" s="29"/>
    </row>
    <row r="213" spans="1:19" ht="13" hidden="1">
      <c r="A213" s="22" t="s">
        <v>2879</v>
      </c>
      <c r="B213" s="31" t="s">
        <v>1205</v>
      </c>
      <c r="C213" s="58" t="s">
        <v>7013</v>
      </c>
      <c r="D213" s="800">
        <f>SUMIF(O_CWP_NOW!$A:$A,$A213,O_CWP_NOW!D:D)+SUMIF(O_CWP_FUT!$A:$A,$A213,O_CWP_FUT!D:D)</f>
        <v>0</v>
      </c>
      <c r="E213" s="800">
        <f>SUMIF(O_CWP_NOW!$A:$A,$A213,O_CWP_NOW!E:E)+SUMIF(O_CWP_FUT!$A:$A,$A213,O_CWP_FUT!E:E)</f>
        <v>0</v>
      </c>
      <c r="F213" s="800">
        <f>SUMIF(O_CWP_NOW!$A:$A,$A213,O_CWP_NOW!F:F)+SUMIF(O_CWP_FUT!$A:$A,$A213,O_CWP_FUT!F:F)</f>
        <v>0</v>
      </c>
      <c r="G213" s="800">
        <f>SUMIF(O_CWP_NOW!$A:$A,$A213,O_CWP_NOW!G:G)+SUMIF(O_CWP_FUT!$A:$A,$A213,O_CWP_FUT!G:G)</f>
        <v>0</v>
      </c>
      <c r="H213" s="800">
        <f>SUMIF(O_CWP_NOW!$A:$A,$A213,O_CWP_NOW!H:H)+SUMIF(O_CWP_FUT!$A:$A,$A213,O_CWP_FUT!H:H)</f>
        <v>0</v>
      </c>
      <c r="I213" s="800">
        <f>SUMIF(O_CWP_NOW!$A:$A,$A213,O_CWP_NOW!I:I)+SUMIF(O_CWP_FUT!$A:$A,$A213,O_CWP_FUT!I:I)</f>
        <v>0</v>
      </c>
      <c r="J213" s="800">
        <f>SUMIF(O_CWP_NOW!$A:$A,$A213,O_CWP_NOW!J:J)+SUMIF(O_CWP_FUT!$A:$A,$A213,O_CWP_FUT!J:J)</f>
        <v>0</v>
      </c>
      <c r="K213" s="800">
        <f>SUMIF(O_CWP_NOW!$A:$A,$A213,O_CWP_NOW!K:K)+SUMIF(O_CWP_FUT!$A:$A,$A213,O_CWP_FUT!K:K)</f>
        <v>0</v>
      </c>
      <c r="L213" s="800">
        <f>SUMIF(O_CWP_NOW!$A:$A,$A213,O_CWP_NOW!L:L)+SUMIF(O_CWP_FUT!$A:$A,$A213,O_CWP_FUT!L:L)</f>
        <v>0</v>
      </c>
      <c r="M213" s="800">
        <f>SUMIF(O_CWP_NOW!$A:$A,$A213,O_CWP_NOW!M:M)+SUMIF(O_CWP_FUT!$A:$A,$A213,O_CWP_FUT!M:M)</f>
        <v>0</v>
      </c>
      <c r="N213" s="800">
        <f>SUMIF(O_CWP_NOW!$A:$A,$A213,O_CWP_NOW!N:N)+SUMIF(O_CWP_FUT!$A:$A,$A213,O_CWP_FUT!N:N)</f>
        <v>0</v>
      </c>
      <c r="O213" s="800">
        <f t="shared" si="15"/>
        <v>0</v>
      </c>
      <c r="P213" s="40"/>
      <c r="R213" s="29"/>
      <c r="S213" s="29"/>
    </row>
    <row r="214" spans="1:19" ht="13" hidden="1">
      <c r="A214" s="22" t="s">
        <v>2880</v>
      </c>
      <c r="B214" s="31" t="s">
        <v>1205</v>
      </c>
      <c r="C214" s="58" t="s">
        <v>7013</v>
      </c>
      <c r="D214" s="800">
        <f>SUMIF(O_CWP_NOW!$A:$A,$A214,O_CWP_NOW!D:D)+SUMIF(O_CWP_FUT!$A:$A,$A214,O_CWP_FUT!D:D)</f>
        <v>0</v>
      </c>
      <c r="E214" s="800">
        <f>SUMIF(O_CWP_NOW!$A:$A,$A214,O_CWP_NOW!E:E)+SUMIF(O_CWP_FUT!$A:$A,$A214,O_CWP_FUT!E:E)</f>
        <v>0</v>
      </c>
      <c r="F214" s="800">
        <f>SUMIF(O_CWP_NOW!$A:$A,$A214,O_CWP_NOW!F:F)+SUMIF(O_CWP_FUT!$A:$A,$A214,O_CWP_FUT!F:F)</f>
        <v>0</v>
      </c>
      <c r="G214" s="800">
        <f>SUMIF(O_CWP_NOW!$A:$A,$A214,O_CWP_NOW!G:G)+SUMIF(O_CWP_FUT!$A:$A,$A214,O_CWP_FUT!G:G)</f>
        <v>0</v>
      </c>
      <c r="H214" s="800">
        <f>SUMIF(O_CWP_NOW!$A:$A,$A214,O_CWP_NOW!H:H)+SUMIF(O_CWP_FUT!$A:$A,$A214,O_CWP_FUT!H:H)</f>
        <v>0</v>
      </c>
      <c r="I214" s="800">
        <f>SUMIF(O_CWP_NOW!$A:$A,$A214,O_CWP_NOW!I:I)+SUMIF(O_CWP_FUT!$A:$A,$A214,O_CWP_FUT!I:I)</f>
        <v>0</v>
      </c>
      <c r="J214" s="800">
        <f>SUMIF(O_CWP_NOW!$A:$A,$A214,O_CWP_NOW!J:J)+SUMIF(O_CWP_FUT!$A:$A,$A214,O_CWP_FUT!J:J)</f>
        <v>0</v>
      </c>
      <c r="K214" s="800">
        <f>SUMIF(O_CWP_NOW!$A:$A,$A214,O_CWP_NOW!K:K)+SUMIF(O_CWP_FUT!$A:$A,$A214,O_CWP_FUT!K:K)</f>
        <v>0</v>
      </c>
      <c r="L214" s="800">
        <f>SUMIF(O_CWP_NOW!$A:$A,$A214,O_CWP_NOW!L:L)+SUMIF(O_CWP_FUT!$A:$A,$A214,O_CWP_FUT!L:L)</f>
        <v>0</v>
      </c>
      <c r="M214" s="800">
        <f>SUMIF(O_CWP_NOW!$A:$A,$A214,O_CWP_NOW!M:M)+SUMIF(O_CWP_FUT!$A:$A,$A214,O_CWP_FUT!M:M)</f>
        <v>0</v>
      </c>
      <c r="N214" s="800">
        <f>SUMIF(O_CWP_NOW!$A:$A,$A214,O_CWP_NOW!N:N)+SUMIF(O_CWP_FUT!$A:$A,$A214,O_CWP_FUT!N:N)</f>
        <v>0</v>
      </c>
      <c r="O214" s="800">
        <f t="shared" si="15"/>
        <v>0</v>
      </c>
      <c r="P214" s="40"/>
      <c r="R214" s="29"/>
      <c r="S214" s="29"/>
    </row>
    <row r="215" spans="1:19" ht="13" hidden="1">
      <c r="A215" s="22" t="s">
        <v>2881</v>
      </c>
      <c r="B215" s="31" t="s">
        <v>1205</v>
      </c>
      <c r="C215" s="58" t="s">
        <v>7013</v>
      </c>
      <c r="D215" s="800">
        <f>SUMIF(O_CWP_NOW!$A:$A,$A215,O_CWP_NOW!D:D)+SUMIF(O_CWP_FUT!$A:$A,$A215,O_CWP_FUT!D:D)</f>
        <v>0</v>
      </c>
      <c r="E215" s="800">
        <f>SUMIF(O_CWP_NOW!$A:$A,$A215,O_CWP_NOW!E:E)+SUMIF(O_CWP_FUT!$A:$A,$A215,O_CWP_FUT!E:E)</f>
        <v>0</v>
      </c>
      <c r="F215" s="800">
        <f>SUMIF(O_CWP_NOW!$A:$A,$A215,O_CWP_NOW!F:F)+SUMIF(O_CWP_FUT!$A:$A,$A215,O_CWP_FUT!F:F)</f>
        <v>0</v>
      </c>
      <c r="G215" s="800">
        <f>SUMIF(O_CWP_NOW!$A:$A,$A215,O_CWP_NOW!G:G)+SUMIF(O_CWP_FUT!$A:$A,$A215,O_CWP_FUT!G:G)</f>
        <v>0</v>
      </c>
      <c r="H215" s="800">
        <f>SUMIF(O_CWP_NOW!$A:$A,$A215,O_CWP_NOW!H:H)+SUMIF(O_CWP_FUT!$A:$A,$A215,O_CWP_FUT!H:H)</f>
        <v>0</v>
      </c>
      <c r="I215" s="800">
        <f>SUMIF(O_CWP_NOW!$A:$A,$A215,O_CWP_NOW!I:I)+SUMIF(O_CWP_FUT!$A:$A,$A215,O_CWP_FUT!I:I)</f>
        <v>0</v>
      </c>
      <c r="J215" s="800">
        <f>SUMIF(O_CWP_NOW!$A:$A,$A215,O_CWP_NOW!J:J)+SUMIF(O_CWP_FUT!$A:$A,$A215,O_CWP_FUT!J:J)</f>
        <v>0</v>
      </c>
      <c r="K215" s="800">
        <f>SUMIF(O_CWP_NOW!$A:$A,$A215,O_CWP_NOW!K:K)+SUMIF(O_CWP_FUT!$A:$A,$A215,O_CWP_FUT!K:K)</f>
        <v>0</v>
      </c>
      <c r="L215" s="800">
        <f>SUMIF(O_CWP_NOW!$A:$A,$A215,O_CWP_NOW!L:L)+SUMIF(O_CWP_FUT!$A:$A,$A215,O_CWP_FUT!L:L)</f>
        <v>0</v>
      </c>
      <c r="M215" s="800">
        <f>SUMIF(O_CWP_NOW!$A:$A,$A215,O_CWP_NOW!M:M)+SUMIF(O_CWP_FUT!$A:$A,$A215,O_CWP_FUT!M:M)</f>
        <v>0</v>
      </c>
      <c r="N215" s="800">
        <f>SUMIF(O_CWP_NOW!$A:$A,$A215,O_CWP_NOW!N:N)+SUMIF(O_CWP_FUT!$A:$A,$A215,O_CWP_FUT!N:N)</f>
        <v>0</v>
      </c>
      <c r="O215" s="800">
        <f t="shared" si="15"/>
        <v>0</v>
      </c>
      <c r="P215" s="40"/>
      <c r="R215" s="29"/>
      <c r="S215" s="29"/>
    </row>
    <row r="216" spans="1:19" ht="13" hidden="1">
      <c r="A216" s="22" t="s">
        <v>2882</v>
      </c>
      <c r="B216" s="31" t="s">
        <v>1205</v>
      </c>
      <c r="C216" s="58" t="s">
        <v>7013</v>
      </c>
      <c r="D216" s="800">
        <f>SUMIF(O_CWP_NOW!$A:$A,$A216,O_CWP_NOW!D:D)+SUMIF(O_CWP_FUT!$A:$A,$A216,O_CWP_FUT!D:D)</f>
        <v>0</v>
      </c>
      <c r="E216" s="800">
        <f>SUMIF(O_CWP_NOW!$A:$A,$A216,O_CWP_NOW!E:E)+SUMIF(O_CWP_FUT!$A:$A,$A216,O_CWP_FUT!E:E)</f>
        <v>0</v>
      </c>
      <c r="F216" s="800">
        <f>SUMIF(O_CWP_NOW!$A:$A,$A216,O_CWP_NOW!F:F)+SUMIF(O_CWP_FUT!$A:$A,$A216,O_CWP_FUT!F:F)</f>
        <v>0</v>
      </c>
      <c r="G216" s="800">
        <f>SUMIF(O_CWP_NOW!$A:$A,$A216,O_CWP_NOW!G:G)+SUMIF(O_CWP_FUT!$A:$A,$A216,O_CWP_FUT!G:G)</f>
        <v>0</v>
      </c>
      <c r="H216" s="800">
        <f>SUMIF(O_CWP_NOW!$A:$A,$A216,O_CWP_NOW!H:H)+SUMIF(O_CWP_FUT!$A:$A,$A216,O_CWP_FUT!H:H)</f>
        <v>0</v>
      </c>
      <c r="I216" s="800">
        <f>SUMIF(O_CWP_NOW!$A:$A,$A216,O_CWP_NOW!I:I)+SUMIF(O_CWP_FUT!$A:$A,$A216,O_CWP_FUT!I:I)</f>
        <v>0</v>
      </c>
      <c r="J216" s="800">
        <f>SUMIF(O_CWP_NOW!$A:$A,$A216,O_CWP_NOW!J:J)+SUMIF(O_CWP_FUT!$A:$A,$A216,O_CWP_FUT!J:J)</f>
        <v>0</v>
      </c>
      <c r="K216" s="800">
        <f>SUMIF(O_CWP_NOW!$A:$A,$A216,O_CWP_NOW!K:K)+SUMIF(O_CWP_FUT!$A:$A,$A216,O_CWP_FUT!K:K)</f>
        <v>0</v>
      </c>
      <c r="L216" s="800">
        <f>SUMIF(O_CWP_NOW!$A:$A,$A216,O_CWP_NOW!L:L)+SUMIF(O_CWP_FUT!$A:$A,$A216,O_CWP_FUT!L:L)</f>
        <v>0</v>
      </c>
      <c r="M216" s="800">
        <f>SUMIF(O_CWP_NOW!$A:$A,$A216,O_CWP_NOW!M:M)+SUMIF(O_CWP_FUT!$A:$A,$A216,O_CWP_FUT!M:M)</f>
        <v>0</v>
      </c>
      <c r="N216" s="800">
        <f>SUMIF(O_CWP_NOW!$A:$A,$A216,O_CWP_NOW!N:N)+SUMIF(O_CWP_FUT!$A:$A,$A216,O_CWP_FUT!N:N)</f>
        <v>0</v>
      </c>
      <c r="O216" s="800">
        <f t="shared" si="15"/>
        <v>0</v>
      </c>
      <c r="P216" s="40"/>
      <c r="R216" s="29"/>
      <c r="S216" s="29"/>
    </row>
    <row r="217" spans="1:19" ht="13" hidden="1">
      <c r="A217" s="22" t="s">
        <v>2883</v>
      </c>
      <c r="B217" s="31" t="s">
        <v>1205</v>
      </c>
      <c r="C217" s="58" t="s">
        <v>7013</v>
      </c>
      <c r="D217" s="800">
        <f>SUMIF(O_CWP_NOW!$A:$A,$A217,O_CWP_NOW!D:D)+SUMIF(O_CWP_FUT!$A:$A,$A217,O_CWP_FUT!D:D)</f>
        <v>0</v>
      </c>
      <c r="E217" s="800">
        <f>SUMIF(O_CWP_NOW!$A:$A,$A217,O_CWP_NOW!E:E)+SUMIF(O_CWP_FUT!$A:$A,$A217,O_CWP_FUT!E:E)</f>
        <v>0</v>
      </c>
      <c r="F217" s="800">
        <f>SUMIF(O_CWP_NOW!$A:$A,$A217,O_CWP_NOW!F:F)+SUMIF(O_CWP_FUT!$A:$A,$A217,O_CWP_FUT!F:F)</f>
        <v>0</v>
      </c>
      <c r="G217" s="800">
        <f>SUMIF(O_CWP_NOW!$A:$A,$A217,O_CWP_NOW!G:G)+SUMIF(O_CWP_FUT!$A:$A,$A217,O_CWP_FUT!G:G)</f>
        <v>0</v>
      </c>
      <c r="H217" s="800">
        <f>SUMIF(O_CWP_NOW!$A:$A,$A217,O_CWP_NOW!H:H)+SUMIF(O_CWP_FUT!$A:$A,$A217,O_CWP_FUT!H:H)</f>
        <v>0</v>
      </c>
      <c r="I217" s="800">
        <f>SUMIF(O_CWP_NOW!$A:$A,$A217,O_CWP_NOW!I:I)+SUMIF(O_CWP_FUT!$A:$A,$A217,O_CWP_FUT!I:I)</f>
        <v>0</v>
      </c>
      <c r="J217" s="800">
        <f>SUMIF(O_CWP_NOW!$A:$A,$A217,O_CWP_NOW!J:J)+SUMIF(O_CWP_FUT!$A:$A,$A217,O_CWP_FUT!J:J)</f>
        <v>0</v>
      </c>
      <c r="K217" s="800">
        <f>SUMIF(O_CWP_NOW!$A:$A,$A217,O_CWP_NOW!K:K)+SUMIF(O_CWP_FUT!$A:$A,$A217,O_CWP_FUT!K:K)</f>
        <v>0</v>
      </c>
      <c r="L217" s="800">
        <f>SUMIF(O_CWP_NOW!$A:$A,$A217,O_CWP_NOW!L:L)+SUMIF(O_CWP_FUT!$A:$A,$A217,O_CWP_FUT!L:L)</f>
        <v>0</v>
      </c>
      <c r="M217" s="800">
        <f>SUMIF(O_CWP_NOW!$A:$A,$A217,O_CWP_NOW!M:M)+SUMIF(O_CWP_FUT!$A:$A,$A217,O_CWP_FUT!M:M)</f>
        <v>0</v>
      </c>
      <c r="N217" s="800">
        <f>SUMIF(O_CWP_NOW!$A:$A,$A217,O_CWP_NOW!N:N)+SUMIF(O_CWP_FUT!$A:$A,$A217,O_CWP_FUT!N:N)</f>
        <v>0</v>
      </c>
      <c r="O217" s="800">
        <f t="shared" si="15"/>
        <v>0</v>
      </c>
      <c r="P217" s="40"/>
      <c r="R217" s="29"/>
      <c r="S217" s="29"/>
    </row>
    <row r="218" spans="1:19" ht="13" hidden="1">
      <c r="A218" s="22" t="s">
        <v>2884</v>
      </c>
      <c r="B218" s="31" t="s">
        <v>1205</v>
      </c>
      <c r="C218" s="58" t="s">
        <v>7013</v>
      </c>
      <c r="D218" s="800">
        <f>SUMIF(O_CWP_NOW!$A:$A,$A218,O_CWP_NOW!D:D)+SUMIF(O_CWP_FUT!$A:$A,$A218,O_CWP_FUT!D:D)</f>
        <v>0</v>
      </c>
      <c r="E218" s="800">
        <f>SUMIF(O_CWP_NOW!$A:$A,$A218,O_CWP_NOW!E:E)+SUMIF(O_CWP_FUT!$A:$A,$A218,O_CWP_FUT!E:E)</f>
        <v>0</v>
      </c>
      <c r="F218" s="800">
        <f>SUMIF(O_CWP_NOW!$A:$A,$A218,O_CWP_NOW!F:F)+SUMIF(O_CWP_FUT!$A:$A,$A218,O_CWP_FUT!F:F)</f>
        <v>0</v>
      </c>
      <c r="G218" s="800">
        <f>SUMIF(O_CWP_NOW!$A:$A,$A218,O_CWP_NOW!G:G)+SUMIF(O_CWP_FUT!$A:$A,$A218,O_CWP_FUT!G:G)</f>
        <v>0</v>
      </c>
      <c r="H218" s="800">
        <f>SUMIF(O_CWP_NOW!$A:$A,$A218,O_CWP_NOW!H:H)+SUMIF(O_CWP_FUT!$A:$A,$A218,O_CWP_FUT!H:H)</f>
        <v>0</v>
      </c>
      <c r="I218" s="800">
        <f>SUMIF(O_CWP_NOW!$A:$A,$A218,O_CWP_NOW!I:I)+SUMIF(O_CWP_FUT!$A:$A,$A218,O_CWP_FUT!I:I)</f>
        <v>0</v>
      </c>
      <c r="J218" s="800">
        <f>SUMIF(O_CWP_NOW!$A:$A,$A218,O_CWP_NOW!J:J)+SUMIF(O_CWP_FUT!$A:$A,$A218,O_CWP_FUT!J:J)</f>
        <v>0</v>
      </c>
      <c r="K218" s="800">
        <f>SUMIF(O_CWP_NOW!$A:$A,$A218,O_CWP_NOW!K:K)+SUMIF(O_CWP_FUT!$A:$A,$A218,O_CWP_FUT!K:K)</f>
        <v>0</v>
      </c>
      <c r="L218" s="800">
        <f>SUMIF(O_CWP_NOW!$A:$A,$A218,O_CWP_NOW!L:L)+SUMIF(O_CWP_FUT!$A:$A,$A218,O_CWP_FUT!L:L)</f>
        <v>0</v>
      </c>
      <c r="M218" s="800">
        <f>SUMIF(O_CWP_NOW!$A:$A,$A218,O_CWP_NOW!M:M)+SUMIF(O_CWP_FUT!$A:$A,$A218,O_CWP_FUT!M:M)</f>
        <v>0</v>
      </c>
      <c r="N218" s="800">
        <f>SUMIF(O_CWP_NOW!$A:$A,$A218,O_CWP_NOW!N:N)+SUMIF(O_CWP_FUT!$A:$A,$A218,O_CWP_FUT!N:N)</f>
        <v>0</v>
      </c>
      <c r="O218" s="800">
        <f t="shared" si="15"/>
        <v>0</v>
      </c>
      <c r="P218" s="40"/>
      <c r="R218" s="29"/>
      <c r="S218" s="29"/>
    </row>
    <row r="219" spans="1:19" ht="13" hidden="1">
      <c r="A219" s="22"/>
      <c r="B219" s="34" t="s">
        <v>90</v>
      </c>
      <c r="C219" s="34"/>
      <c r="D219" s="800">
        <f t="shared" ref="D219:N219" si="16">SUM(D11:D218)</f>
        <v>0</v>
      </c>
      <c r="E219" s="800">
        <f t="shared" si="16"/>
        <v>1239743.0042527243</v>
      </c>
      <c r="F219" s="800">
        <f t="shared" si="16"/>
        <v>7117479.4264135351</v>
      </c>
      <c r="G219" s="800">
        <f t="shared" si="16"/>
        <v>8550589.4090669602</v>
      </c>
      <c r="H219" s="800">
        <f t="shared" si="16"/>
        <v>9694405.3782094251</v>
      </c>
      <c r="I219" s="800">
        <f t="shared" si="16"/>
        <v>14277362.259654852</v>
      </c>
      <c r="J219" s="800">
        <f t="shared" si="16"/>
        <v>22749419.867447101</v>
      </c>
      <c r="K219" s="800">
        <f t="shared" si="16"/>
        <v>12481993.077948343</v>
      </c>
      <c r="L219" s="800">
        <f t="shared" si="16"/>
        <v>27681744.341433708</v>
      </c>
      <c r="M219" s="800">
        <f t="shared" si="16"/>
        <v>31189837.050670721</v>
      </c>
      <c r="N219" s="800">
        <f t="shared" si="16"/>
        <v>98882663.573958874</v>
      </c>
      <c r="O219" s="800">
        <f>SUM(D219:N219)</f>
        <v>233865237.38905624</v>
      </c>
      <c r="P219" s="740"/>
      <c r="R219" s="29"/>
      <c r="S219" s="29"/>
    </row>
    <row r="220" spans="1:19" ht="13">
      <c r="A220" s="22"/>
      <c r="B220" s="22"/>
      <c r="C220" s="22"/>
      <c r="D220" s="40"/>
      <c r="E220" s="40"/>
      <c r="F220" s="40"/>
      <c r="G220" s="40"/>
      <c r="H220" s="40"/>
      <c r="I220" s="40"/>
      <c r="J220" s="40"/>
      <c r="K220" s="40"/>
      <c r="L220" s="40"/>
      <c r="M220" s="40"/>
      <c r="N220" s="40"/>
      <c r="O220" s="40"/>
      <c r="P220" s="22"/>
    </row>
    <row r="221" spans="1:19" ht="13">
      <c r="A221" s="22"/>
      <c r="B221" s="22" t="s">
        <v>6998</v>
      </c>
      <c r="C221" s="22"/>
      <c r="D221" s="803"/>
      <c r="E221" s="803">
        <f>+E219-Planned_capex_starting_position!AL153-Planned_capex_starting_position!AZ153</f>
        <v>0</v>
      </c>
      <c r="F221" s="803">
        <f>+F219-Planned_capex_starting_position!AM153-Planned_capex_starting_position!BA153</f>
        <v>0</v>
      </c>
      <c r="G221" s="803">
        <f>+G219-Planned_capex_starting_position!AN153-Planned_capex_starting_position!BB153</f>
        <v>0</v>
      </c>
      <c r="H221" s="803">
        <f>+H219-Planned_capex_starting_position!AO153-Planned_capex_starting_position!BC153</f>
        <v>0</v>
      </c>
      <c r="I221" s="803">
        <f>+I219-Planned_capex_starting_position!AP153-Planned_capex_starting_position!BD153</f>
        <v>0</v>
      </c>
      <c r="J221" s="803">
        <f>+J219-Planned_capex_starting_position!AQ153-Planned_capex_starting_position!BE153</f>
        <v>0</v>
      </c>
      <c r="K221" s="803">
        <f>+K219-Planned_capex_starting_position!AR153-Planned_capex_starting_position!BF153</f>
        <v>0</v>
      </c>
      <c r="L221" s="803">
        <f>+L219-Planned_capex_starting_position!AS153-Planned_capex_starting_position!BG153</f>
        <v>0</v>
      </c>
      <c r="M221" s="803">
        <f>+M219-Planned_capex_starting_position!AT153-Planned_capex_starting_position!BH153</f>
        <v>0</v>
      </c>
      <c r="N221" s="803">
        <f>+N219-Planned_capex_starting_position!AU153-Planned_capex_starting_position!BI153</f>
        <v>0</v>
      </c>
      <c r="O221" s="803">
        <f>+O219-Planned_capex_starting_position!AV153-Planned_capex_starting_position!BJ153</f>
        <v>0</v>
      </c>
      <c r="P221" s="22"/>
    </row>
    <row r="222" spans="1:19" ht="13">
      <c r="A222" s="22"/>
      <c r="B222" s="22"/>
      <c r="C222" s="22"/>
      <c r="D222" s="22"/>
      <c r="E222" s="22"/>
      <c r="F222" s="22"/>
      <c r="G222" s="22"/>
      <c r="H222" s="22"/>
      <c r="I222" s="22"/>
      <c r="J222" s="22"/>
      <c r="K222" s="22"/>
      <c r="L222" s="22"/>
      <c r="M222" s="22"/>
      <c r="N222" s="22"/>
      <c r="O222" s="22"/>
      <c r="P222" s="22"/>
    </row>
    <row r="223" spans="1:19" ht="13">
      <c r="A223" s="22"/>
      <c r="B223" s="22"/>
      <c r="C223" s="22"/>
      <c r="D223" s="22"/>
      <c r="E223" s="22"/>
      <c r="F223" s="22"/>
      <c r="G223" s="22"/>
      <c r="H223" s="22"/>
      <c r="I223" s="22"/>
      <c r="J223" s="22"/>
      <c r="K223" s="22"/>
      <c r="L223" s="22"/>
      <c r="M223" s="22"/>
      <c r="N223" s="22"/>
      <c r="O223" s="22"/>
      <c r="P223" s="22"/>
    </row>
    <row r="224" spans="1:19" ht="13">
      <c r="A224" s="22"/>
      <c r="B224" s="22"/>
      <c r="C224" s="22"/>
      <c r="D224" s="22"/>
      <c r="E224" s="22"/>
      <c r="F224" s="22"/>
      <c r="G224" s="22"/>
      <c r="H224" s="22"/>
      <c r="I224" s="22"/>
      <c r="J224" s="22"/>
      <c r="K224" s="22"/>
      <c r="L224" s="22"/>
      <c r="M224" s="22"/>
      <c r="N224" s="22"/>
      <c r="O224" s="22"/>
      <c r="P224" s="22"/>
    </row>
    <row r="225" spans="1:16" ht="13">
      <c r="A225" s="22"/>
      <c r="B225" s="22"/>
      <c r="C225" s="22"/>
      <c r="D225" s="22"/>
      <c r="E225" s="22"/>
      <c r="F225" s="22"/>
      <c r="G225" s="22"/>
      <c r="H225" s="22"/>
      <c r="I225" s="22"/>
      <c r="J225" s="22"/>
      <c r="K225" s="22"/>
      <c r="L225" s="22"/>
      <c r="M225" s="22"/>
      <c r="N225" s="22"/>
      <c r="O225" s="22"/>
      <c r="P225" s="22"/>
    </row>
    <row r="226" spans="1:16" ht="13">
      <c r="A226" s="22"/>
      <c r="B226" s="22"/>
      <c r="C226" s="22"/>
      <c r="D226" s="22"/>
      <c r="E226" s="22"/>
      <c r="F226" s="22"/>
      <c r="G226" s="22"/>
      <c r="H226" s="22"/>
      <c r="I226" s="22"/>
      <c r="J226" s="22"/>
      <c r="K226" s="22"/>
      <c r="L226" s="22"/>
      <c r="M226" s="22"/>
      <c r="N226" s="22"/>
      <c r="O226" s="22"/>
      <c r="P226" s="22"/>
    </row>
    <row r="227" spans="1:16" ht="13">
      <c r="A227" s="22"/>
      <c r="B227" s="22"/>
      <c r="C227" s="22"/>
      <c r="D227" s="22"/>
      <c r="E227" s="22"/>
      <c r="F227" s="22"/>
      <c r="G227" s="22"/>
      <c r="H227" s="22"/>
      <c r="I227" s="22"/>
      <c r="J227" s="22"/>
      <c r="K227" s="22"/>
      <c r="L227" s="22"/>
      <c r="M227" s="22"/>
      <c r="N227" s="22"/>
      <c r="O227" s="22"/>
      <c r="P227" s="22"/>
    </row>
    <row r="228" spans="1:16">
      <c r="B228" s="28"/>
      <c r="C228" s="28"/>
    </row>
    <row r="230" spans="1:16">
      <c r="D230" s="207"/>
      <c r="E230" s="207"/>
      <c r="F230" s="207"/>
      <c r="G230" s="207"/>
      <c r="H230" s="207"/>
      <c r="I230" s="207"/>
      <c r="J230" s="207"/>
      <c r="K230" s="207"/>
      <c r="L230" s="207"/>
      <c r="M230" s="207"/>
      <c r="N230" s="207"/>
      <c r="O230" s="207"/>
    </row>
  </sheetData>
  <autoFilter ref="A10:AI219" xr:uid="{00000000-0001-0000-0100-000000000000}">
    <filterColumn colId="2">
      <filters>
        <filter val="Drury / Opaheke"/>
        <filter val="Drury East IPA"/>
        <filter val="Drury IPA (civic park)"/>
        <filter val="Drury IPA (Community spaces)"/>
        <filter val="Drury South"/>
        <filter val="Drury West"/>
        <filter val="Drury West 1 IPA"/>
        <filter val="Drury West 2 IPA"/>
        <filter val="Opaheke / Drury"/>
        <filter val="Opaheke IPA"/>
        <filter val="Southern Growth Area"/>
        <filter val="Southern Growth Area 1"/>
        <filter val="Southern Growth Area 2"/>
        <filter val="Southern Growth Area 3"/>
      </filters>
    </filterColumn>
  </autoFilter>
  <pageMargins left="0.59055118110236227" right="0.19685039370078741" top="0.78740157480314965" bottom="0.78740157480314965" header="0.51181102362204722" footer="0.51181102362204722"/>
  <pageSetup paperSize="8" scale="85" fitToHeight="5" orientation="landscape" r:id="rId1"/>
  <headerFooter>
    <oddHeader>&amp;L&amp;"Calibri,Regular"&amp;24Auckland Council Development Contributions Cost Allocation Model</oddHeader>
    <oddFooter>&amp;L&amp;F&amp;C&amp;A&amp;RPage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65911"/>
    <pageSetUpPr fitToPage="1"/>
  </sheetPr>
  <dimension ref="A1:AJ31"/>
  <sheetViews>
    <sheetView topLeftCell="B2" zoomScale="130" zoomScaleNormal="130" workbookViewId="0">
      <selection activeCell="C24" sqref="C24"/>
    </sheetView>
  </sheetViews>
  <sheetFormatPr defaultRowHeight="12.5"/>
  <cols>
    <col min="1" max="1" width="11.453125" hidden="1" customWidth="1"/>
    <col min="2" max="2" width="27.54296875" customWidth="1"/>
    <col min="3" max="3" width="29.453125" customWidth="1"/>
    <col min="4" max="15" width="16.453125" customWidth="1"/>
    <col min="16" max="16" width="12.54296875" customWidth="1"/>
  </cols>
  <sheetData>
    <row r="1" spans="1:36" ht="13">
      <c r="A1" s="22" t="s">
        <v>2207</v>
      </c>
      <c r="B1" s="22"/>
      <c r="C1" s="22"/>
      <c r="D1" s="22"/>
      <c r="E1" s="22"/>
      <c r="F1" s="22"/>
      <c r="G1" s="22"/>
      <c r="H1" s="22"/>
      <c r="I1" s="22"/>
      <c r="J1" s="22"/>
      <c r="K1" s="22"/>
      <c r="L1" s="22"/>
      <c r="M1" s="22"/>
      <c r="N1" s="22"/>
      <c r="O1" s="22"/>
      <c r="P1" s="22"/>
    </row>
    <row r="2" spans="1:36" ht="13">
      <c r="A2" s="22" t="s">
        <v>5557</v>
      </c>
      <c r="B2" s="22"/>
      <c r="C2" s="22"/>
      <c r="D2" s="22"/>
      <c r="E2" s="22"/>
      <c r="F2" s="22"/>
      <c r="G2" s="22"/>
      <c r="H2" s="22"/>
      <c r="I2" s="22"/>
      <c r="J2" s="22"/>
      <c r="K2" s="22"/>
      <c r="L2" s="22"/>
      <c r="M2" s="22"/>
      <c r="N2" s="22"/>
      <c r="O2" s="22"/>
      <c r="P2" s="22"/>
    </row>
    <row r="3" spans="1:36" ht="13">
      <c r="A3" s="22"/>
      <c r="B3" s="22"/>
      <c r="C3" s="22"/>
      <c r="D3" s="22"/>
      <c r="E3" s="22"/>
      <c r="F3" s="22"/>
      <c r="G3" s="22"/>
      <c r="H3" s="22"/>
      <c r="I3" s="22"/>
      <c r="J3" s="22"/>
      <c r="K3" s="22"/>
      <c r="L3" s="22"/>
      <c r="M3" s="22"/>
      <c r="N3" s="22"/>
      <c r="O3" s="22"/>
      <c r="P3" s="22"/>
    </row>
    <row r="4" spans="1:36" ht="13">
      <c r="A4" s="22"/>
      <c r="B4" s="22"/>
      <c r="C4" s="22"/>
      <c r="D4" s="22"/>
      <c r="E4" s="22"/>
      <c r="F4" s="22"/>
      <c r="G4" s="22"/>
      <c r="H4" s="22"/>
      <c r="I4" s="22"/>
      <c r="J4" s="22"/>
      <c r="K4" s="22"/>
      <c r="L4" s="22"/>
      <c r="M4" s="22"/>
      <c r="N4" s="22"/>
      <c r="O4" s="22"/>
      <c r="P4" s="22"/>
    </row>
    <row r="5" spans="1:36" ht="13">
      <c r="A5" s="22"/>
      <c r="B5" s="22"/>
      <c r="C5" s="22"/>
      <c r="D5" s="22"/>
      <c r="E5" s="22"/>
      <c r="F5" s="22"/>
      <c r="G5" s="22"/>
      <c r="H5" s="22"/>
      <c r="I5" s="22"/>
      <c r="J5" s="22"/>
      <c r="K5" s="22"/>
      <c r="L5" s="22"/>
      <c r="M5" s="22"/>
      <c r="N5" s="22"/>
      <c r="O5" s="22"/>
      <c r="P5" s="22"/>
    </row>
    <row r="6" spans="1:36" ht="18.5">
      <c r="A6" s="22"/>
      <c r="B6" s="30" t="s">
        <v>1199</v>
      </c>
      <c r="C6" s="31"/>
      <c r="D6" s="31"/>
      <c r="E6" s="31"/>
      <c r="F6" s="32"/>
      <c r="G6" s="31"/>
      <c r="H6" s="31"/>
      <c r="I6" s="31"/>
      <c r="J6" s="31"/>
      <c r="K6" s="31"/>
      <c r="L6" s="31"/>
      <c r="M6" s="31"/>
      <c r="N6" s="31"/>
      <c r="O6" s="31"/>
      <c r="P6" s="22"/>
    </row>
    <row r="7" spans="1:36" ht="13">
      <c r="A7" s="22"/>
      <c r="B7" s="31"/>
      <c r="C7" s="31"/>
      <c r="D7" s="31"/>
      <c r="E7" s="31"/>
      <c r="F7" s="31"/>
      <c r="G7" s="31"/>
      <c r="H7" s="31"/>
      <c r="I7" s="31"/>
      <c r="J7" s="31"/>
      <c r="K7" s="31"/>
      <c r="L7" s="31"/>
      <c r="M7" s="31"/>
      <c r="N7" s="31"/>
      <c r="O7" s="31"/>
      <c r="P7" s="22"/>
    </row>
    <row r="8" spans="1:36" ht="13">
      <c r="A8" s="22"/>
      <c r="B8" s="31"/>
      <c r="C8" s="32"/>
      <c r="D8" s="31"/>
      <c r="E8" s="31"/>
      <c r="F8" s="31"/>
      <c r="G8" s="31"/>
      <c r="H8" s="31"/>
      <c r="I8" s="31"/>
      <c r="J8" s="31"/>
      <c r="K8" s="31"/>
      <c r="L8" s="31"/>
      <c r="M8" s="31"/>
      <c r="N8" s="31"/>
      <c r="O8" s="31"/>
      <c r="P8" s="22"/>
    </row>
    <row r="9" spans="1:36" ht="13">
      <c r="A9" s="22"/>
      <c r="B9" s="31"/>
      <c r="C9" s="31"/>
      <c r="D9" s="54" t="s">
        <v>1200</v>
      </c>
      <c r="E9" s="55" t="s">
        <v>1201</v>
      </c>
      <c r="F9" s="56"/>
      <c r="G9" s="56"/>
      <c r="H9" s="56"/>
      <c r="I9" s="56"/>
      <c r="J9" s="56"/>
      <c r="K9" s="56"/>
      <c r="L9" s="56"/>
      <c r="M9" s="56"/>
      <c r="N9" s="56"/>
      <c r="O9" s="57"/>
      <c r="P9" s="22"/>
    </row>
    <row r="10" spans="1:36" ht="13">
      <c r="A10" s="22"/>
      <c r="B10" s="50" t="s">
        <v>894</v>
      </c>
      <c r="C10" s="50" t="s">
        <v>1202</v>
      </c>
      <c r="D10" s="50" t="s">
        <v>1203</v>
      </c>
      <c r="E10" s="50" t="s">
        <v>1204</v>
      </c>
      <c r="F10" s="50" t="s">
        <v>2276</v>
      </c>
      <c r="G10" s="50" t="s">
        <v>2277</v>
      </c>
      <c r="H10" s="50" t="s">
        <v>2278</v>
      </c>
      <c r="I10" s="50" t="s">
        <v>2914</v>
      </c>
      <c r="J10" s="50" t="s">
        <v>2915</v>
      </c>
      <c r="K10" s="50" t="s">
        <v>2916</v>
      </c>
      <c r="L10" s="50" t="s">
        <v>6673</v>
      </c>
      <c r="M10" s="50" t="s">
        <v>6674</v>
      </c>
      <c r="N10" s="50" t="s">
        <v>6675</v>
      </c>
      <c r="O10" s="50" t="s">
        <v>891</v>
      </c>
      <c r="P10" s="60"/>
    </row>
    <row r="11" spans="1:36" ht="13">
      <c r="A11" s="22" t="s">
        <v>2682</v>
      </c>
      <c r="B11" s="58" t="s">
        <v>7015</v>
      </c>
      <c r="C11" s="31" t="str">
        <f>VLOOKUP($A11,FA_Codes!$D$2:$G$249,4,FALSE)</f>
        <v>Drury IPA</v>
      </c>
      <c r="D11" s="800">
        <v>0</v>
      </c>
      <c r="E11" s="800">
        <f>SUMIF(Planned_capex_starting_position!$AF:$AF,$A11,Planned_capex_starting_position!AL:AL)</f>
        <v>178247.01412852676</v>
      </c>
      <c r="F11" s="800">
        <f>SUMIF(Planned_capex_starting_position!$AF:$AF,$A11,Planned_capex_starting_position!AM:AM)</f>
        <v>937706.65585547523</v>
      </c>
      <c r="G11" s="800">
        <f>SUMIF(Planned_capex_starting_position!$AF:$AF,$A11,Planned_capex_starting_position!AN:AN)</f>
        <v>1207987.1707635312</v>
      </c>
      <c r="H11" s="800">
        <f>SUMIF(Planned_capex_starting_position!$AF:$AF,$A11,Planned_capex_starting_position!AO:AO)</f>
        <v>1298352.4930616044</v>
      </c>
      <c r="I11" s="800">
        <f>SUMIF(Planned_capex_starting_position!$AF:$AF,$A11,Planned_capex_starting_position!AP:AP)</f>
        <v>1962270.7952224216</v>
      </c>
      <c r="J11" s="800">
        <f>SUMIF(Planned_capex_starting_position!$AF:$AF,$A11,Planned_capex_starting_position!AQ:AQ)</f>
        <v>2125653.329626319</v>
      </c>
      <c r="K11" s="800">
        <f>SUMIF(Planned_capex_starting_position!$AF:$AF,$A11,Planned_capex_starting_position!AR:AR)</f>
        <v>1752795.8599134679</v>
      </c>
      <c r="L11" s="800">
        <f>SUMIF(Planned_capex_starting_position!$AF:$AF,$A11,Planned_capex_starting_position!AS:AS)</f>
        <v>2241828.3486497118</v>
      </c>
      <c r="M11" s="800">
        <f>SUMIF(Planned_capex_starting_position!$AF:$AF,$A11,Planned_capex_starting_position!AT:AT)</f>
        <v>2843034.1930948128</v>
      </c>
      <c r="N11" s="800">
        <f>SUMIF(Planned_capex_starting_position!$AF:$AF,$A11,Planned_capex_starting_position!AU:AU)</f>
        <v>3043471.3437943258</v>
      </c>
      <c r="O11" s="800">
        <f t="shared" ref="O11" si="0">SUM(D11,E11:N11)</f>
        <v>17591347.204110198</v>
      </c>
      <c r="P11" s="41"/>
      <c r="Q11" s="125"/>
      <c r="R11" s="125"/>
      <c r="T11" s="29"/>
      <c r="U11" s="29"/>
    </row>
    <row r="12" spans="1:36" ht="13">
      <c r="A12" s="22" t="s">
        <v>2778</v>
      </c>
      <c r="B12" s="31" t="s">
        <v>896</v>
      </c>
      <c r="C12" s="31" t="str">
        <f>VLOOKUP($A12,FA_Codes!$D$2:$G$249,4,FALSE)</f>
        <v>Auckland wide</v>
      </c>
      <c r="D12" s="800">
        <v>0</v>
      </c>
      <c r="E12" s="800">
        <f>SUMIF(Planned_capex_starting_position!$AF:$AF,$A12,Planned_capex_starting_position!AL:AL)</f>
        <v>0</v>
      </c>
      <c r="F12" s="800">
        <f>SUMIF(Planned_capex_starting_position!$AF:$AF,$A12,Planned_capex_starting_position!AM:AM)</f>
        <v>0</v>
      </c>
      <c r="G12" s="800">
        <f>SUMIF(Planned_capex_starting_position!$AF:$AF,$A12,Planned_capex_starting_position!AN:AN)</f>
        <v>0</v>
      </c>
      <c r="H12" s="800">
        <f>SUMIF(Planned_capex_starting_position!$AF:$AF,$A12,Planned_capex_starting_position!AO:AO)</f>
        <v>0</v>
      </c>
      <c r="I12" s="800">
        <f>SUMIF(Planned_capex_starting_position!$AF:$AF,$A12,Planned_capex_starting_position!AP:AP)</f>
        <v>0</v>
      </c>
      <c r="J12" s="800">
        <f>SUMIF(Planned_capex_starting_position!$AF:$AF,$A12,Planned_capex_starting_position!AQ:AQ)</f>
        <v>0</v>
      </c>
      <c r="K12" s="800">
        <f>SUMIF(Planned_capex_starting_position!$AF:$AF,$A12,Planned_capex_starting_position!AR:AR)</f>
        <v>0</v>
      </c>
      <c r="L12" s="800">
        <f>SUMIF(Planned_capex_starting_position!$AF:$AF,$A12,Planned_capex_starting_position!AS:AS)</f>
        <v>1792.0660216095014</v>
      </c>
      <c r="M12" s="800">
        <f>SUMIF(Planned_capex_starting_position!$AF:$AF,$A12,Planned_capex_starting_position!AT:AT)</f>
        <v>21585.670830217863</v>
      </c>
      <c r="N12" s="800">
        <f>SUMIF(Planned_capex_starting_position!$AF:$AF,$A12,Planned_capex_starting_position!AU:AU)</f>
        <v>92671.067149617695</v>
      </c>
      <c r="O12" s="800">
        <f t="shared" ref="O12:O19" si="1">SUM(D12,E12:N12)</f>
        <v>116048.80400144507</v>
      </c>
      <c r="P12" s="41"/>
      <c r="Q12" s="125"/>
      <c r="R12" s="125"/>
    </row>
    <row r="13" spans="1:36" ht="13">
      <c r="A13" s="22" t="s">
        <v>2800</v>
      </c>
      <c r="B13" s="31" t="s">
        <v>896</v>
      </c>
      <c r="C13" s="31" t="str">
        <f>VLOOKUP($A13,FA_Codes!$D$2:$G$249,4,FALSE)</f>
        <v>Drury East IPA</v>
      </c>
      <c r="D13" s="800">
        <v>0</v>
      </c>
      <c r="E13" s="800">
        <f>SUMIF(Planned_capex_starting_position!$AF:$AF,$A13,Planned_capex_starting_position!AL:AL)</f>
        <v>0</v>
      </c>
      <c r="F13" s="800">
        <f>SUMIF(Planned_capex_starting_position!$AF:$AF,$A13,Planned_capex_starting_position!AM:AM)</f>
        <v>34647.895263964303</v>
      </c>
      <c r="G13" s="800">
        <f>SUMIF(Planned_capex_starting_position!$AF:$AF,$A13,Planned_capex_starting_position!AN:AN)</f>
        <v>11545.793154209599</v>
      </c>
      <c r="H13" s="800">
        <f>SUMIF(Planned_capex_starting_position!$AF:$AF,$A13,Planned_capex_starting_position!AO:AO)</f>
        <v>0</v>
      </c>
      <c r="I13" s="800">
        <f>SUMIF(Planned_capex_starting_position!$AF:$AF,$A13,Planned_capex_starting_position!AP:AP)</f>
        <v>0</v>
      </c>
      <c r="J13" s="800">
        <f>SUMIF(Planned_capex_starting_position!$AF:$AF,$A13,Planned_capex_starting_position!AQ:AQ)</f>
        <v>123898.07203896155</v>
      </c>
      <c r="K13" s="800">
        <f>SUMIF(Planned_capex_starting_position!$AF:$AF,$A13,Planned_capex_starting_position!AR:AR)</f>
        <v>21261.87760174731</v>
      </c>
      <c r="L13" s="800">
        <f>SUMIF(Planned_capex_starting_position!$AF:$AF,$A13,Planned_capex_starting_position!AS:AS)</f>
        <v>730996.41027051664</v>
      </c>
      <c r="M13" s="800">
        <f>SUMIF(Planned_capex_starting_position!$AF:$AF,$A13,Planned_capex_starting_position!AT:AT)</f>
        <v>550271.04217830778</v>
      </c>
      <c r="N13" s="800">
        <f>SUMIF(Planned_capex_starting_position!$AF:$AF,$A13,Planned_capex_starting_position!AU:AU)</f>
        <v>3527657.9157277704</v>
      </c>
      <c r="O13" s="800">
        <f t="shared" si="1"/>
        <v>5000279.0062354775</v>
      </c>
      <c r="P13" s="41"/>
      <c r="T13" s="29"/>
      <c r="U13" s="29"/>
      <c r="Y13" s="29"/>
      <c r="Z13" s="29"/>
      <c r="AA13" s="29"/>
      <c r="AB13" s="29"/>
      <c r="AC13" s="29"/>
      <c r="AD13" s="29"/>
      <c r="AE13" s="29"/>
      <c r="AF13" s="29"/>
      <c r="AG13" s="29"/>
      <c r="AH13" s="29"/>
      <c r="AI13" s="29"/>
      <c r="AJ13" s="29"/>
    </row>
    <row r="14" spans="1:36" ht="13">
      <c r="A14" s="22" t="s">
        <v>2801</v>
      </c>
      <c r="B14" s="31" t="s">
        <v>896</v>
      </c>
      <c r="C14" s="31" t="str">
        <f>VLOOKUP($A14,FA_Codes!$D$2:$G$249,4,FALSE)</f>
        <v>Drury West 1 IPA</v>
      </c>
      <c r="D14" s="800">
        <v>0</v>
      </c>
      <c r="E14" s="800">
        <f>SUMIF(Planned_capex_starting_position!$AF:$AF,$A14,Planned_capex_starting_position!AL:AL)</f>
        <v>0</v>
      </c>
      <c r="F14" s="800">
        <f>SUMIF(Planned_capex_starting_position!$AF:$AF,$A14,Planned_capex_starting_position!AM:AM)</f>
        <v>4968.5464079160092</v>
      </c>
      <c r="G14" s="800">
        <f>SUMIF(Planned_capex_starting_position!$AF:$AF,$A14,Planned_capex_starting_position!AN:AN)</f>
        <v>0</v>
      </c>
      <c r="H14" s="800">
        <f>SUMIF(Planned_capex_starting_position!$AF:$AF,$A14,Planned_capex_starting_position!AO:AO)</f>
        <v>189752.4969850404</v>
      </c>
      <c r="I14" s="800">
        <f>SUMIF(Planned_capex_starting_position!$AF:$AF,$A14,Planned_capex_starting_position!AP:AP)</f>
        <v>179830.59339054814</v>
      </c>
      <c r="J14" s="800">
        <f>SUMIF(Planned_capex_starting_position!$AF:$AF,$A14,Planned_capex_starting_position!AQ:AQ)</f>
        <v>1800195.6332512812</v>
      </c>
      <c r="K14" s="800">
        <f>SUMIF(Planned_capex_starting_position!$AF:$AF,$A14,Planned_capex_starting_position!AR:AR)</f>
        <v>0</v>
      </c>
      <c r="L14" s="800">
        <f>SUMIF(Planned_capex_starting_position!$AF:$AF,$A14,Planned_capex_starting_position!AS:AS)</f>
        <v>124399.19180281185</v>
      </c>
      <c r="M14" s="800">
        <f>SUMIF(Planned_capex_starting_position!$AF:$AF,$A14,Planned_capex_starting_position!AT:AT)</f>
        <v>604197.5337926686</v>
      </c>
      <c r="N14" s="800">
        <f>SUMIF(Planned_capex_starting_position!$AF:$AF,$A14,Planned_capex_starting_position!AU:AU)</f>
        <v>5116803.3974099001</v>
      </c>
      <c r="O14" s="800">
        <f t="shared" si="1"/>
        <v>8020147.3930401662</v>
      </c>
      <c r="P14" s="41"/>
      <c r="T14" s="29"/>
      <c r="U14" s="29"/>
      <c r="Y14" s="29"/>
      <c r="Z14" s="29"/>
      <c r="AA14" s="29"/>
      <c r="AB14" s="29"/>
      <c r="AC14" s="29"/>
      <c r="AD14" s="29"/>
      <c r="AE14" s="29"/>
      <c r="AF14" s="29"/>
      <c r="AG14" s="29"/>
      <c r="AH14" s="29"/>
      <c r="AI14" s="29"/>
      <c r="AJ14" s="29"/>
    </row>
    <row r="15" spans="1:36" ht="13">
      <c r="A15" s="22" t="s">
        <v>2802</v>
      </c>
      <c r="B15" s="31" t="s">
        <v>896</v>
      </c>
      <c r="C15" s="31" t="str">
        <f>VLOOKUP($A15,FA_Codes!$D$2:$G$249,4,FALSE)</f>
        <v>Drury West 2 IPA</v>
      </c>
      <c r="D15" s="800">
        <v>0</v>
      </c>
      <c r="E15" s="800">
        <f>SUMIF(Planned_capex_starting_position!$AF:$AF,$A15,Planned_capex_starting_position!AL:AL)</f>
        <v>0</v>
      </c>
      <c r="F15" s="800">
        <f>SUMIF(Planned_capex_starting_position!$AF:$AF,$A15,Planned_capex_starting_position!AM:AM)</f>
        <v>50.20412979081712</v>
      </c>
      <c r="G15" s="800">
        <f>SUMIF(Planned_capex_starting_position!$AF:$AF,$A15,Planned_capex_starting_position!AN:AN)</f>
        <v>0</v>
      </c>
      <c r="H15" s="800">
        <f>SUMIF(Planned_capex_starting_position!$AF:$AF,$A15,Planned_capex_starting_position!AO:AO)</f>
        <v>213.03702229222915</v>
      </c>
      <c r="I15" s="800">
        <f>SUMIF(Planned_capex_starting_position!$AF:$AF,$A15,Planned_capex_starting_position!AP:AP)</f>
        <v>201.89760209578327</v>
      </c>
      <c r="J15" s="800">
        <f>SUMIF(Planned_capex_starting_position!$AF:$AF,$A15,Planned_capex_starting_position!AQ:AQ)</f>
        <v>2022.5500829109528</v>
      </c>
      <c r="K15" s="800">
        <f>SUMIF(Planned_capex_starting_position!$AF:$AF,$A15,Planned_capex_starting_position!AR:AR)</f>
        <v>0</v>
      </c>
      <c r="L15" s="800">
        <f>SUMIF(Planned_capex_starting_position!$AF:$AF,$A15,Planned_capex_starting_position!AS:AS)</f>
        <v>848.76508683434372</v>
      </c>
      <c r="M15" s="800">
        <f>SUMIF(Planned_capex_starting_position!$AF:$AF,$A15,Planned_capex_starting_position!AT:AT)</f>
        <v>1385.7809736331906</v>
      </c>
      <c r="N15" s="800">
        <f>SUMIF(Planned_capex_starting_position!$AF:$AF,$A15,Planned_capex_starting_position!AU:AU)</f>
        <v>19948.529453661085</v>
      </c>
      <c r="O15" s="800">
        <f t="shared" si="1"/>
        <v>24670.7643512184</v>
      </c>
      <c r="P15" s="41"/>
      <c r="T15" s="29"/>
      <c r="U15" s="29"/>
      <c r="Y15" s="29"/>
      <c r="Z15" s="29"/>
      <c r="AA15" s="29"/>
      <c r="AB15" s="29"/>
      <c r="AC15" s="29"/>
      <c r="AD15" s="29"/>
      <c r="AE15" s="29"/>
      <c r="AF15" s="29"/>
      <c r="AG15" s="29"/>
      <c r="AH15" s="29"/>
      <c r="AI15" s="29"/>
      <c r="AJ15" s="29"/>
    </row>
    <row r="16" spans="1:36" ht="13">
      <c r="A16" s="22" t="s">
        <v>2803</v>
      </c>
      <c r="B16" s="31" t="s">
        <v>896</v>
      </c>
      <c r="C16" s="31" t="str">
        <f>VLOOKUP($A16,FA_Codes!$D$2:$G$249,4,FALSE)</f>
        <v>Opaheke IPA</v>
      </c>
      <c r="D16" s="800">
        <v>0</v>
      </c>
      <c r="E16" s="800">
        <f>SUMIF(Planned_capex_starting_position!$AF:$AF,$A16,Planned_capex_starting_position!AL:AL)</f>
        <v>0</v>
      </c>
      <c r="F16" s="800">
        <f>SUMIF(Planned_capex_starting_position!$AF:$AF,$A16,Planned_capex_starting_position!AM:AM)</f>
        <v>10698.689267700811</v>
      </c>
      <c r="G16" s="800">
        <f>SUMIF(Planned_capex_starting_position!$AF:$AF,$A16,Planned_capex_starting_position!AN:AN)</f>
        <v>69.958364010733561</v>
      </c>
      <c r="H16" s="800">
        <f>SUMIF(Planned_capex_starting_position!$AF:$AF,$A16,Planned_capex_starting_position!AO:AO)</f>
        <v>0</v>
      </c>
      <c r="I16" s="800">
        <f>SUMIF(Planned_capex_starting_position!$AF:$AF,$A16,Planned_capex_starting_position!AP:AP)</f>
        <v>0</v>
      </c>
      <c r="J16" s="800">
        <f>SUMIF(Planned_capex_starting_position!$AF:$AF,$A16,Planned_capex_starting_position!AQ:AQ)</f>
        <v>8530.5390474940305</v>
      </c>
      <c r="K16" s="800">
        <f>SUMIF(Planned_capex_starting_position!$AF:$AF,$A16,Planned_capex_starting_position!AR:AR)</f>
        <v>2110.278663789129</v>
      </c>
      <c r="L16" s="800">
        <f>SUMIF(Planned_capex_starting_position!$AF:$AF,$A16,Planned_capex_starting_position!AS:AS)</f>
        <v>179492.17531848012</v>
      </c>
      <c r="M16" s="800">
        <f>SUMIF(Planned_capex_starting_position!$AF:$AF,$A16,Planned_capex_starting_position!AT:AT)</f>
        <v>188936.16997161205</v>
      </c>
      <c r="N16" s="800">
        <f>SUMIF(Planned_capex_starting_position!$AF:$AF,$A16,Planned_capex_starting_position!AU:AU)</f>
        <v>792362.87045993039</v>
      </c>
      <c r="O16" s="800">
        <f t="shared" si="1"/>
        <v>1182200.6810930171</v>
      </c>
      <c r="P16" s="41"/>
      <c r="T16" s="29"/>
      <c r="U16" s="29"/>
      <c r="Y16" s="29"/>
      <c r="Z16" s="29"/>
      <c r="AA16" s="29"/>
      <c r="AB16" s="29"/>
      <c r="AC16" s="29"/>
      <c r="AD16" s="29"/>
      <c r="AE16" s="29"/>
      <c r="AF16" s="29"/>
      <c r="AG16" s="29"/>
      <c r="AH16" s="29"/>
      <c r="AI16" s="29"/>
      <c r="AJ16" s="29"/>
    </row>
    <row r="17" spans="1:36" ht="13">
      <c r="A17" s="22" t="s">
        <v>2804</v>
      </c>
      <c r="B17" s="31" t="s">
        <v>896</v>
      </c>
      <c r="C17" s="31" t="str">
        <f>VLOOKUP($A17,FA_Codes!$D$2:$G$249,4,FALSE)</f>
        <v>Southern Growth Area 3</v>
      </c>
      <c r="D17" s="800">
        <v>0</v>
      </c>
      <c r="E17" s="800">
        <f>SUMIF(Planned_capex_starting_position!$AF:$AF,$A17,Planned_capex_starting_position!AL:AL)</f>
        <v>0</v>
      </c>
      <c r="F17" s="800">
        <f>SUMIF(Planned_capex_starting_position!$AF:$AF,$A17,Planned_capex_starting_position!AM:AM)</f>
        <v>0</v>
      </c>
      <c r="G17" s="800">
        <f>SUMIF(Planned_capex_starting_position!$AF:$AF,$A17,Planned_capex_starting_position!AN:AN)</f>
        <v>0</v>
      </c>
      <c r="H17" s="800">
        <f>SUMIF(Planned_capex_starting_position!$AF:$AF,$A17,Planned_capex_starting_position!AO:AO)</f>
        <v>0</v>
      </c>
      <c r="I17" s="800">
        <f>SUMIF(Planned_capex_starting_position!$AF:$AF,$A17,Planned_capex_starting_position!AP:AP)</f>
        <v>0</v>
      </c>
      <c r="J17" s="800">
        <f>SUMIF(Planned_capex_starting_position!$AF:$AF,$A17,Planned_capex_starting_position!AQ:AQ)</f>
        <v>0</v>
      </c>
      <c r="K17" s="800">
        <f>SUMIF(Planned_capex_starting_position!$AF:$AF,$A17,Planned_capex_starting_position!AR:AR)</f>
        <v>0</v>
      </c>
      <c r="L17" s="800">
        <f>SUMIF(Planned_capex_starting_position!$AF:$AF,$A17,Planned_capex_starting_position!AS:AS)</f>
        <v>0</v>
      </c>
      <c r="M17" s="800">
        <f>SUMIF(Planned_capex_starting_position!$AF:$AF,$A17,Planned_capex_starting_position!AT:AT)</f>
        <v>3290.306094399727</v>
      </c>
      <c r="N17" s="800">
        <f>SUMIF(Planned_capex_starting_position!$AF:$AF,$A17,Planned_capex_starting_position!AU:AU)</f>
        <v>32704.531366556359</v>
      </c>
      <c r="O17" s="800">
        <f t="shared" si="1"/>
        <v>35994.837460956085</v>
      </c>
      <c r="P17" s="41"/>
      <c r="T17" s="29"/>
      <c r="U17" s="29"/>
      <c r="Y17" s="29"/>
      <c r="Z17" s="29"/>
      <c r="AA17" s="29"/>
      <c r="AB17" s="29"/>
      <c r="AC17" s="29"/>
      <c r="AD17" s="29"/>
      <c r="AE17" s="29"/>
      <c r="AF17" s="29"/>
      <c r="AG17" s="29"/>
      <c r="AH17" s="29"/>
      <c r="AI17" s="29"/>
      <c r="AJ17" s="29"/>
    </row>
    <row r="18" spans="1:36" ht="13">
      <c r="A18" s="22" t="s">
        <v>2805</v>
      </c>
      <c r="B18" s="31" t="s">
        <v>896</v>
      </c>
      <c r="C18" s="31" t="str">
        <f>VLOOKUP($A18,FA_Codes!$D$2:$G$249,4,FALSE)</f>
        <v>Southern Growth Area 2</v>
      </c>
      <c r="D18" s="800">
        <v>0</v>
      </c>
      <c r="E18" s="800">
        <f>SUMIF(Planned_capex_starting_position!$AF:$AF,$A18,Planned_capex_starting_position!AL:AL)</f>
        <v>0</v>
      </c>
      <c r="F18" s="800">
        <f>SUMIF(Planned_capex_starting_position!$AF:$AF,$A18,Planned_capex_starting_position!AM:AM)</f>
        <v>7246.6349597575809</v>
      </c>
      <c r="G18" s="800">
        <f>SUMIF(Planned_capex_starting_position!$AF:$AF,$A18,Planned_capex_starting_position!AN:AN)</f>
        <v>0</v>
      </c>
      <c r="H18" s="800">
        <f>SUMIF(Planned_capex_starting_position!$AF:$AF,$A18,Planned_capex_starting_position!AO:AO)</f>
        <v>0</v>
      </c>
      <c r="I18" s="800">
        <f>SUMIF(Planned_capex_starting_position!$AF:$AF,$A18,Planned_capex_starting_position!AP:AP)</f>
        <v>0</v>
      </c>
      <c r="J18" s="800">
        <f>SUMIF(Planned_capex_starting_position!$AF:$AF,$A18,Planned_capex_starting_position!AQ:AQ)</f>
        <v>235.86251111281285</v>
      </c>
      <c r="K18" s="800">
        <f>SUMIF(Planned_capex_starting_position!$AF:$AF,$A18,Planned_capex_starting_position!AR:AR)</f>
        <v>0</v>
      </c>
      <c r="L18" s="800">
        <f>SUMIF(Planned_capex_starting_position!$AF:$AF,$A18,Planned_capex_starting_position!AS:AS)</f>
        <v>146843.56493578976</v>
      </c>
      <c r="M18" s="800">
        <f>SUMIF(Planned_capex_starting_position!$AF:$AF,$A18,Planned_capex_starting_position!AT:AT)</f>
        <v>72518.826585838702</v>
      </c>
      <c r="N18" s="800">
        <f>SUMIF(Planned_capex_starting_position!$AF:$AF,$A18,Planned_capex_starting_position!AU:AU)</f>
        <v>938298.29905949207</v>
      </c>
      <c r="O18" s="800">
        <f t="shared" si="1"/>
        <v>1165143.1880519909</v>
      </c>
      <c r="P18" s="41"/>
      <c r="T18" s="29"/>
      <c r="U18" s="29"/>
      <c r="Y18" s="29"/>
      <c r="Z18" s="29"/>
      <c r="AA18" s="29"/>
      <c r="AB18" s="29"/>
      <c r="AC18" s="29"/>
      <c r="AD18" s="29"/>
      <c r="AE18" s="29"/>
      <c r="AF18" s="29"/>
      <c r="AG18" s="29"/>
      <c r="AH18" s="29"/>
      <c r="AI18" s="29"/>
      <c r="AJ18" s="29"/>
    </row>
    <row r="19" spans="1:36" ht="13">
      <c r="A19" s="22" t="s">
        <v>2806</v>
      </c>
      <c r="B19" s="31" t="s">
        <v>896</v>
      </c>
      <c r="C19" s="31" t="str">
        <f>VLOOKUP($A19,FA_Codes!$D$2:$G$249,4,FALSE)</f>
        <v>Southern Growth Area 1</v>
      </c>
      <c r="D19" s="800">
        <v>0</v>
      </c>
      <c r="E19" s="800">
        <f>SUMIF(Planned_capex_starting_position!$AF:$AF,$A19,Planned_capex_starting_position!AL:AL)</f>
        <v>0</v>
      </c>
      <c r="F19" s="800">
        <f>SUMIF(Planned_capex_starting_position!$AF:$AF,$A19,Planned_capex_starting_position!AM:AM)</f>
        <v>5031.7676604345506</v>
      </c>
      <c r="G19" s="800">
        <f>SUMIF(Planned_capex_starting_position!$AF:$AF,$A19,Planned_capex_starting_position!AN:AN)</f>
        <v>583.36515838235766</v>
      </c>
      <c r="H19" s="800">
        <f>SUMIF(Planned_capex_starting_position!$AF:$AF,$A19,Planned_capex_starting_position!AO:AO)</f>
        <v>0</v>
      </c>
      <c r="I19" s="800">
        <f>SUMIF(Planned_capex_starting_position!$AF:$AF,$A19,Planned_capex_starting_position!AP:AP)</f>
        <v>0</v>
      </c>
      <c r="J19" s="800">
        <f>SUMIF(Planned_capex_starting_position!$AF:$AF,$A19,Planned_capex_starting_position!AQ:AQ)</f>
        <v>6680.8542463171143</v>
      </c>
      <c r="K19" s="800">
        <f>SUMIF(Planned_capex_starting_position!$AF:$AF,$A19,Planned_capex_starting_position!AR:AR)</f>
        <v>1157.9147950567569</v>
      </c>
      <c r="L19" s="800">
        <f>SUMIF(Planned_capex_starting_position!$AF:$AF,$A19,Planned_capex_starting_position!AS:AS)</f>
        <v>78401.633983680076</v>
      </c>
      <c r="M19" s="800">
        <f>SUMIF(Planned_capex_starting_position!$AF:$AF,$A19,Planned_capex_starting_position!AT:AT)</f>
        <v>81120.25859912092</v>
      </c>
      <c r="N19" s="800">
        <f>SUMIF(Planned_capex_starting_position!$AF:$AF,$A19,Planned_capex_starting_position!AU:AU)</f>
        <v>280488.65118974214</v>
      </c>
      <c r="O19" s="800">
        <f t="shared" si="1"/>
        <v>453464.44563273393</v>
      </c>
      <c r="P19" s="41"/>
      <c r="T19" s="29"/>
      <c r="U19" s="29"/>
      <c r="Y19" s="29"/>
      <c r="Z19" s="29"/>
      <c r="AA19" s="29"/>
      <c r="AB19" s="29"/>
      <c r="AC19" s="29"/>
      <c r="AD19" s="29"/>
      <c r="AE19" s="29"/>
      <c r="AF19" s="29"/>
      <c r="AG19" s="29"/>
      <c r="AH19" s="29"/>
      <c r="AI19" s="29"/>
      <c r="AJ19" s="29"/>
    </row>
    <row r="20" spans="1:36" ht="13">
      <c r="A20" s="22"/>
      <c r="B20" s="31"/>
      <c r="C20" s="31"/>
      <c r="D20" s="33"/>
      <c r="E20" s="33"/>
      <c r="F20" s="33"/>
      <c r="G20" s="33"/>
      <c r="H20" s="33"/>
      <c r="I20" s="33"/>
      <c r="J20" s="33"/>
      <c r="K20" s="33"/>
      <c r="L20" s="33"/>
      <c r="M20" s="33"/>
      <c r="N20" s="33"/>
      <c r="O20" s="33"/>
      <c r="P20" s="41"/>
    </row>
    <row r="21" spans="1:36" ht="13">
      <c r="A21" s="22"/>
      <c r="B21" s="34" t="s">
        <v>90</v>
      </c>
      <c r="C21" s="34"/>
      <c r="D21" s="47">
        <f t="shared" ref="D21:O21" si="2">SUM(D11:D20)</f>
        <v>0</v>
      </c>
      <c r="E21" s="47">
        <f t="shared" si="2"/>
        <v>178247.01412852676</v>
      </c>
      <c r="F21" s="47">
        <f t="shared" si="2"/>
        <v>1000350.3935450392</v>
      </c>
      <c r="G21" s="47">
        <f t="shared" si="2"/>
        <v>1220186.287440134</v>
      </c>
      <c r="H21" s="47">
        <f t="shared" si="2"/>
        <v>1488318.027068937</v>
      </c>
      <c r="I21" s="47">
        <f t="shared" si="2"/>
        <v>2142303.2862150655</v>
      </c>
      <c r="J21" s="47">
        <f t="shared" si="2"/>
        <v>4067216.8408043967</v>
      </c>
      <c r="K21" s="47">
        <f t="shared" si="2"/>
        <v>1777325.9309740611</v>
      </c>
      <c r="L21" s="47">
        <f t="shared" si="2"/>
        <v>3504602.1560694342</v>
      </c>
      <c r="M21" s="47">
        <f t="shared" si="2"/>
        <v>4366339.7821206115</v>
      </c>
      <c r="N21" s="47">
        <f t="shared" si="2"/>
        <v>13844406.605610996</v>
      </c>
      <c r="O21" s="47">
        <f t="shared" si="2"/>
        <v>33589296.32397721</v>
      </c>
      <c r="P21" s="741"/>
    </row>
    <row r="22" spans="1:36" ht="13">
      <c r="A22" s="22"/>
      <c r="B22" s="22"/>
      <c r="C22" s="22"/>
      <c r="D22" s="22"/>
      <c r="E22" s="22"/>
      <c r="F22" s="22"/>
      <c r="G22" s="22"/>
      <c r="H22" s="22"/>
      <c r="I22" s="22"/>
      <c r="J22" s="22"/>
      <c r="K22" s="22"/>
      <c r="L22" s="22"/>
      <c r="M22" s="22"/>
      <c r="N22" s="22"/>
      <c r="O22" s="22"/>
      <c r="P22" s="22"/>
    </row>
    <row r="23" spans="1:36" ht="13">
      <c r="A23" s="22"/>
      <c r="B23" s="22" t="s">
        <v>6998</v>
      </c>
      <c r="C23" s="22"/>
      <c r="D23" s="803"/>
      <c r="E23" s="803">
        <f>+E21-Planned_capex_starting_position!AL153</f>
        <v>0</v>
      </c>
      <c r="F23" s="803">
        <f>+F21-Planned_capex_starting_position!AM153</f>
        <v>0</v>
      </c>
      <c r="G23" s="803">
        <f>+G21-Planned_capex_starting_position!AN153</f>
        <v>0</v>
      </c>
      <c r="H23" s="803">
        <f>+H21-Planned_capex_starting_position!AO153</f>
        <v>0</v>
      </c>
      <c r="I23" s="803">
        <f>+I21-Planned_capex_starting_position!AP153</f>
        <v>0</v>
      </c>
      <c r="J23" s="803">
        <f>+J21-Planned_capex_starting_position!AQ153</f>
        <v>0</v>
      </c>
      <c r="K23" s="803">
        <f>+K21-Planned_capex_starting_position!AR153</f>
        <v>0</v>
      </c>
      <c r="L23" s="803">
        <f>+L21-Planned_capex_starting_position!AS153</f>
        <v>0</v>
      </c>
      <c r="M23" s="803">
        <f>+M21-Planned_capex_starting_position!AT153</f>
        <v>0</v>
      </c>
      <c r="N23" s="803">
        <f>+N21-Planned_capex_starting_position!AU153</f>
        <v>0</v>
      </c>
      <c r="O23" s="803">
        <f>+O21-Planned_capex_starting_position!AV153</f>
        <v>0</v>
      </c>
      <c r="P23" s="22"/>
    </row>
    <row r="24" spans="1:36" ht="13">
      <c r="A24" s="22"/>
      <c r="B24" s="22"/>
      <c r="C24" s="22"/>
      <c r="D24" s="22"/>
      <c r="E24" s="22"/>
      <c r="F24" s="22"/>
      <c r="G24" s="22"/>
      <c r="H24" s="22"/>
      <c r="I24" s="22"/>
      <c r="J24" s="22"/>
      <c r="K24" s="22"/>
      <c r="L24" s="22"/>
      <c r="M24" s="22"/>
      <c r="N24" s="22"/>
      <c r="O24" s="22"/>
      <c r="P24" s="22"/>
    </row>
    <row r="25" spans="1:36" ht="13">
      <c r="C25" s="153"/>
    </row>
    <row r="26" spans="1:36" ht="13">
      <c r="C26" s="153"/>
      <c r="D26" s="29"/>
      <c r="E26" s="29"/>
      <c r="F26" s="29"/>
      <c r="G26" s="29"/>
      <c r="H26" s="29"/>
      <c r="I26" s="29"/>
      <c r="J26" s="29"/>
      <c r="K26" s="29"/>
      <c r="L26" s="29"/>
      <c r="M26" s="29"/>
      <c r="N26" s="29"/>
      <c r="O26" s="29"/>
    </row>
    <row r="27" spans="1:36" ht="13">
      <c r="C27" s="153"/>
    </row>
    <row r="28" spans="1:36" ht="13">
      <c r="C28" s="153"/>
    </row>
    <row r="29" spans="1:36" ht="13">
      <c r="C29" s="153"/>
    </row>
    <row r="30" spans="1:36" ht="13">
      <c r="C30" s="153"/>
    </row>
    <row r="31" spans="1:36">
      <c r="C31" s="28"/>
    </row>
  </sheetData>
  <autoFilter ref="A10:AJ19" xr:uid="{00000000-0001-0000-0200-000000000000}"/>
  <customSheetViews>
    <customSheetView guid="{A2EDE129-9A82-414C-9545-4AA6BCAEFA13}">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4CB5074A-E16B-4E31-B838-49EE3EE7DA0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BFB4608D-4945-446C-9A8C-C4729DADE1CC}">
      <selection activeCell="B29" sqref="B29"/>
      <pageMargins left="0.75" right="0.75" top="1" bottom="1" header="0.5" footer="0.5"/>
      <headerFooter alignWithMargins="0"/>
    </customSheetView>
    <customSheetView guid="{1DB52CAD-403B-4256-97F4-977FD85A83D4}" showRuler="0">
      <selection activeCell="B29" sqref="B29"/>
      <pageMargins left="0.75" right="0.75" top="1" bottom="1" header="0.5" footer="0.5"/>
      <headerFooter alignWithMargins="0"/>
    </customSheetView>
  </customSheetViews>
  <phoneticPr fontId="7" type="noConversion"/>
  <pageMargins left="0.39370078740157483" right="0.19685039370078741" top="0.78740157480314965" bottom="0.78740157480314965" header="0.51181102362204722" footer="0.51181102362204722"/>
  <pageSetup paperSize="8" scale="80" fitToHeight="5" orientation="landscape" r:id="rId2"/>
  <headerFooter>
    <oddHeader>&amp;L&amp;"Calibri,Regular"&amp;24Auckland Council Development Contributions Cost Allocation Model</oddHeader>
    <oddFooter>&amp;L&amp;F&amp;C&amp;A&amp;RPage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filterMode="1">
    <tabColor rgb="FFC65911"/>
    <pageSetUpPr fitToPage="1"/>
  </sheetPr>
  <dimension ref="A1:AJ230"/>
  <sheetViews>
    <sheetView topLeftCell="B3" zoomScale="130" zoomScaleNormal="130" workbookViewId="0">
      <selection activeCell="A5" sqref="A1:A1048576"/>
    </sheetView>
  </sheetViews>
  <sheetFormatPr defaultColWidth="9.453125" defaultRowHeight="13"/>
  <cols>
    <col min="1" max="1" width="0" style="31" hidden="1" customWidth="1"/>
    <col min="2" max="2" width="28.453125" style="31" customWidth="1"/>
    <col min="3" max="3" width="31.453125" customWidth="1"/>
    <col min="4" max="14" width="14.54296875" style="31" customWidth="1"/>
    <col min="15" max="15" width="20.453125" style="31" customWidth="1"/>
    <col min="16" max="16" width="13.54296875" style="31" customWidth="1"/>
    <col min="17" max="16384" width="9.453125" style="31"/>
  </cols>
  <sheetData>
    <row r="1" spans="1:26">
      <c r="A1" s="22" t="s">
        <v>2207</v>
      </c>
      <c r="B1" s="35"/>
      <c r="C1" s="22"/>
      <c r="D1" s="35"/>
      <c r="E1" s="35"/>
      <c r="F1" s="35"/>
      <c r="G1" s="35"/>
      <c r="H1" s="35"/>
      <c r="I1" s="35"/>
      <c r="J1" s="35"/>
      <c r="K1" s="35"/>
      <c r="L1" s="35"/>
      <c r="M1" s="35"/>
      <c r="N1" s="35"/>
      <c r="O1" s="35"/>
      <c r="P1" s="35"/>
    </row>
    <row r="2" spans="1:26">
      <c r="A2" s="22" t="s">
        <v>5557</v>
      </c>
      <c r="B2" s="35"/>
      <c r="C2" s="22"/>
      <c r="D2" s="35"/>
      <c r="E2" s="35"/>
      <c r="F2" s="35"/>
      <c r="G2" s="35"/>
      <c r="H2" s="35"/>
      <c r="I2" s="35"/>
      <c r="J2" s="35"/>
      <c r="K2" s="35"/>
      <c r="L2" s="35"/>
      <c r="M2" s="35"/>
      <c r="N2" s="35"/>
      <c r="O2" s="35"/>
      <c r="P2" s="35"/>
    </row>
    <row r="3" spans="1:26">
      <c r="A3" s="22"/>
      <c r="B3" s="35"/>
      <c r="C3" s="22"/>
      <c r="D3" s="35"/>
      <c r="E3" s="35"/>
      <c r="F3" s="35"/>
      <c r="G3" s="35"/>
      <c r="H3" s="35"/>
      <c r="I3" s="35"/>
      <c r="J3" s="35"/>
      <c r="K3" s="35"/>
      <c r="L3" s="35"/>
      <c r="M3" s="35"/>
      <c r="N3" s="35"/>
      <c r="O3" s="35"/>
      <c r="P3" s="35"/>
    </row>
    <row r="4" spans="1:26">
      <c r="A4" s="22"/>
      <c r="B4" s="35"/>
      <c r="C4" s="22"/>
      <c r="D4" s="35"/>
      <c r="E4" s="35"/>
      <c r="F4" s="35"/>
      <c r="G4" s="35"/>
      <c r="H4" s="35"/>
      <c r="I4" s="35"/>
      <c r="J4" s="35"/>
      <c r="K4" s="35"/>
      <c r="L4" s="35"/>
      <c r="M4" s="35"/>
      <c r="N4" s="35"/>
      <c r="O4" s="35"/>
      <c r="P4" s="35"/>
    </row>
    <row r="5" spans="1:26">
      <c r="A5" s="35"/>
      <c r="B5" s="35"/>
      <c r="C5" s="22"/>
      <c r="D5" s="35"/>
      <c r="E5" s="35"/>
      <c r="F5" s="35"/>
      <c r="G5" s="35"/>
      <c r="H5" s="35"/>
      <c r="I5" s="35"/>
      <c r="J5" s="35"/>
      <c r="K5" s="35"/>
      <c r="L5" s="35"/>
      <c r="M5" s="35"/>
      <c r="N5" s="35"/>
      <c r="O5" s="35"/>
      <c r="P5" s="35"/>
    </row>
    <row r="6" spans="1:26" ht="18.5">
      <c r="A6" s="35"/>
      <c r="B6" s="30" t="s">
        <v>1221</v>
      </c>
      <c r="C6" s="31"/>
      <c r="P6" s="35"/>
    </row>
    <row r="7" spans="1:26">
      <c r="A7" s="35"/>
      <c r="C7" s="31"/>
      <c r="P7" s="35"/>
    </row>
    <row r="8" spans="1:26">
      <c r="A8" s="35"/>
      <c r="C8" s="32"/>
      <c r="P8" s="35"/>
    </row>
    <row r="9" spans="1:26">
      <c r="A9" s="35"/>
      <c r="B9" s="36"/>
      <c r="C9" s="31"/>
      <c r="D9" s="54" t="s">
        <v>1200</v>
      </c>
      <c r="E9" s="55" t="s">
        <v>1201</v>
      </c>
      <c r="F9" s="56"/>
      <c r="G9" s="56"/>
      <c r="H9" s="56"/>
      <c r="I9" s="56"/>
      <c r="J9" s="56"/>
      <c r="K9" s="56"/>
      <c r="L9" s="56"/>
      <c r="M9" s="56"/>
      <c r="N9" s="56"/>
      <c r="O9" s="57"/>
      <c r="P9" s="35"/>
      <c r="Q9" s="36"/>
      <c r="R9" s="36"/>
      <c r="S9" s="36"/>
      <c r="T9" s="36"/>
      <c r="U9" s="36"/>
      <c r="V9" s="36"/>
      <c r="W9" s="36"/>
      <c r="X9" s="36"/>
      <c r="Y9" s="36"/>
      <c r="Z9" s="36"/>
    </row>
    <row r="10" spans="1:26" ht="25.5" customHeight="1">
      <c r="A10" s="35"/>
      <c r="B10" s="50" t="s">
        <v>894</v>
      </c>
      <c r="C10" s="50" t="s">
        <v>1202</v>
      </c>
      <c r="D10" s="50" t="s">
        <v>1203</v>
      </c>
      <c r="E10" s="50" t="s">
        <v>1204</v>
      </c>
      <c r="F10" s="50" t="s">
        <v>2276</v>
      </c>
      <c r="G10" s="50" t="s">
        <v>2277</v>
      </c>
      <c r="H10" s="50" t="s">
        <v>2278</v>
      </c>
      <c r="I10" s="50" t="s">
        <v>2914</v>
      </c>
      <c r="J10" s="50" t="s">
        <v>2915</v>
      </c>
      <c r="K10" s="50" t="s">
        <v>2916</v>
      </c>
      <c r="L10" s="50" t="s">
        <v>6673</v>
      </c>
      <c r="M10" s="50" t="s">
        <v>6674</v>
      </c>
      <c r="N10" s="50" t="s">
        <v>6675</v>
      </c>
      <c r="O10" s="50" t="s">
        <v>891</v>
      </c>
      <c r="P10" s="42"/>
      <c r="Q10" s="36"/>
      <c r="R10" s="36"/>
      <c r="S10" s="36"/>
      <c r="T10" s="36"/>
      <c r="U10" s="36"/>
      <c r="V10" s="36"/>
      <c r="W10" s="36"/>
      <c r="X10" s="36"/>
      <c r="Y10" s="36"/>
      <c r="Z10" s="36"/>
    </row>
    <row r="11" spans="1:26" hidden="1">
      <c r="A11" s="22" t="s">
        <v>2629</v>
      </c>
      <c r="B11" s="31" t="s">
        <v>1220</v>
      </c>
      <c r="C11" s="31" t="str">
        <f>VLOOKUP($A11,FA_Codes!$D$2:$G$249,4,FALSE)</f>
        <v>Auckland wide</v>
      </c>
      <c r="D11" s="800">
        <v>0</v>
      </c>
      <c r="E11" s="800">
        <f>SUMIF(Planned_capex_starting_position!$AF:$AF,$A11,Planned_capex_starting_position!AZ:AZ)</f>
        <v>0</v>
      </c>
      <c r="F11" s="800">
        <f>SUMIF(Planned_capex_starting_position!$AF:$AF,$A11,Planned_capex_starting_position!BA:BA)</f>
        <v>0</v>
      </c>
      <c r="G11" s="800">
        <f>SUMIF(Planned_capex_starting_position!$AF:$AF,$A11,Planned_capex_starting_position!BB:BB)</f>
        <v>0</v>
      </c>
      <c r="H11" s="800">
        <f>SUMIF(Planned_capex_starting_position!$AF:$AF,$A11,Planned_capex_starting_position!BC:BC)</f>
        <v>0</v>
      </c>
      <c r="I11" s="800">
        <f>SUMIF(Planned_capex_starting_position!$AF:$AF,$A11,Planned_capex_starting_position!BD:BD)</f>
        <v>0</v>
      </c>
      <c r="J11" s="800">
        <f>SUMIF(Planned_capex_starting_position!$AF:$AF,$A11,Planned_capex_starting_position!BE:BE)</f>
        <v>0</v>
      </c>
      <c r="K11" s="800">
        <f>SUMIF(Planned_capex_starting_position!$AF:$AF,$A11,Planned_capex_starting_position!BF:BF)</f>
        <v>0</v>
      </c>
      <c r="L11" s="800">
        <f>SUMIF(Planned_capex_starting_position!$AF:$AF,$A11,Planned_capex_starting_position!BG:BG)</f>
        <v>0</v>
      </c>
      <c r="M11" s="800">
        <f>SUMIF(Planned_capex_starting_position!$AF:$AF,$A11,Planned_capex_starting_position!BH:BH)</f>
        <v>0</v>
      </c>
      <c r="N11" s="800">
        <f>SUMIF(Planned_capex_starting_position!$AF:$AF,$A11,Planned_capex_starting_position!BI:BI)</f>
        <v>0</v>
      </c>
      <c r="O11" s="800">
        <f>SUM(D11,E11:N11)</f>
        <v>0</v>
      </c>
      <c r="P11" s="41"/>
      <c r="Q11" s="36"/>
      <c r="R11" s="36"/>
      <c r="S11" s="36"/>
      <c r="T11" s="36"/>
      <c r="U11" s="36"/>
      <c r="V11" s="36"/>
      <c r="W11" s="36"/>
      <c r="X11" s="36"/>
      <c r="Y11" s="36"/>
      <c r="Z11" s="36"/>
    </row>
    <row r="12" spans="1:26" hidden="1">
      <c r="A12" s="22" t="s">
        <v>2631</v>
      </c>
      <c r="B12" s="31" t="s">
        <v>1220</v>
      </c>
      <c r="C12" s="31" t="str">
        <f>VLOOKUP($A12,FA_Codes!$D$2:$G$249,4,FALSE)</f>
        <v>Area 2</v>
      </c>
      <c r="D12" s="800">
        <v>0</v>
      </c>
      <c r="E12" s="800">
        <f>SUMIF(Planned_capex_starting_position!$AF:$AF,$A12,Planned_capex_starting_position!AZ:AZ)</f>
        <v>0</v>
      </c>
      <c r="F12" s="800">
        <f>SUMIF(Planned_capex_starting_position!$AF:$AF,$A12,Planned_capex_starting_position!BA:BA)</f>
        <v>0</v>
      </c>
      <c r="G12" s="800">
        <f>SUMIF(Planned_capex_starting_position!$AF:$AF,$A12,Planned_capex_starting_position!BB:BB)</f>
        <v>0</v>
      </c>
      <c r="H12" s="800">
        <f>SUMIF(Planned_capex_starting_position!$AF:$AF,$A12,Planned_capex_starting_position!BC:BC)</f>
        <v>0</v>
      </c>
      <c r="I12" s="800">
        <f>SUMIF(Planned_capex_starting_position!$AF:$AF,$A12,Planned_capex_starting_position!BD:BD)</f>
        <v>0</v>
      </c>
      <c r="J12" s="800">
        <f>SUMIF(Planned_capex_starting_position!$AF:$AF,$A12,Planned_capex_starting_position!BE:BE)</f>
        <v>0</v>
      </c>
      <c r="K12" s="800">
        <f>SUMIF(Planned_capex_starting_position!$AF:$AF,$A12,Planned_capex_starting_position!BF:BF)</f>
        <v>0</v>
      </c>
      <c r="L12" s="800">
        <f>SUMIF(Planned_capex_starting_position!$AF:$AF,$A12,Planned_capex_starting_position!BG:BG)</f>
        <v>0</v>
      </c>
      <c r="M12" s="800">
        <f>SUMIF(Planned_capex_starting_position!$AF:$AF,$A12,Planned_capex_starting_position!BH:BH)</f>
        <v>0</v>
      </c>
      <c r="N12" s="800">
        <f>SUMIF(Planned_capex_starting_position!$AF:$AF,$A12,Planned_capex_starting_position!BI:BI)</f>
        <v>0</v>
      </c>
      <c r="O12" s="800">
        <f t="shared" ref="O12:O67" si="0">SUM(D12,E12:N12)</f>
        <v>0</v>
      </c>
      <c r="P12" s="41"/>
      <c r="Q12" s="36"/>
      <c r="R12" s="36"/>
      <c r="S12" s="36"/>
      <c r="T12" s="36"/>
      <c r="U12" s="36"/>
      <c r="V12" s="36"/>
      <c r="W12" s="36"/>
      <c r="X12" s="36"/>
      <c r="Y12" s="36"/>
      <c r="Z12" s="36"/>
    </row>
    <row r="13" spans="1:26" hidden="1">
      <c r="A13" s="22" t="s">
        <v>2633</v>
      </c>
      <c r="B13" s="31" t="s">
        <v>1220</v>
      </c>
      <c r="C13" s="31" t="str">
        <f>VLOOKUP($A13,FA_Codes!$D$2:$G$249,4,FALSE)</f>
        <v>Urban</v>
      </c>
      <c r="D13" s="800">
        <v>0</v>
      </c>
      <c r="E13" s="800">
        <f>SUMIF(Planned_capex_starting_position!$AF:$AF,$A13,Planned_capex_starting_position!AZ:AZ)</f>
        <v>0</v>
      </c>
      <c r="F13" s="800">
        <f>SUMIF(Planned_capex_starting_position!$AF:$AF,$A13,Planned_capex_starting_position!BA:BA)</f>
        <v>0</v>
      </c>
      <c r="G13" s="800">
        <f>SUMIF(Planned_capex_starting_position!$AF:$AF,$A13,Planned_capex_starting_position!BB:BB)</f>
        <v>0</v>
      </c>
      <c r="H13" s="800">
        <f>SUMIF(Planned_capex_starting_position!$AF:$AF,$A13,Planned_capex_starting_position!BC:BC)</f>
        <v>0</v>
      </c>
      <c r="I13" s="800">
        <f>SUMIF(Planned_capex_starting_position!$AF:$AF,$A13,Planned_capex_starting_position!BD:BD)</f>
        <v>0</v>
      </c>
      <c r="J13" s="800">
        <f>SUMIF(Planned_capex_starting_position!$AF:$AF,$A13,Planned_capex_starting_position!BE:BE)</f>
        <v>0</v>
      </c>
      <c r="K13" s="800">
        <f>SUMIF(Planned_capex_starting_position!$AF:$AF,$A13,Planned_capex_starting_position!BF:BF)</f>
        <v>0</v>
      </c>
      <c r="L13" s="800">
        <f>SUMIF(Planned_capex_starting_position!$AF:$AF,$A13,Planned_capex_starting_position!BG:BG)</f>
        <v>0</v>
      </c>
      <c r="M13" s="800">
        <f>SUMIF(Planned_capex_starting_position!$AF:$AF,$A13,Planned_capex_starting_position!BH:BH)</f>
        <v>0</v>
      </c>
      <c r="N13" s="800">
        <f>SUMIF(Planned_capex_starting_position!$AF:$AF,$A13,Planned_capex_starting_position!BI:BI)</f>
        <v>0</v>
      </c>
      <c r="O13" s="800">
        <f t="shared" si="0"/>
        <v>0</v>
      </c>
      <c r="P13" s="41"/>
      <c r="Q13" s="36"/>
      <c r="R13" s="36"/>
      <c r="S13" s="36"/>
      <c r="T13" s="36"/>
      <c r="U13" s="36"/>
      <c r="V13" s="36"/>
      <c r="W13" s="36"/>
      <c r="X13" s="36"/>
      <c r="Y13" s="36"/>
      <c r="Z13" s="36"/>
    </row>
    <row r="14" spans="1:26" hidden="1">
      <c r="A14" s="22" t="s">
        <v>2634</v>
      </c>
      <c r="B14" s="31" t="s">
        <v>1220</v>
      </c>
      <c r="C14" s="31" t="str">
        <f>VLOOKUP($A14,FA_Codes!$D$2:$G$249,4,FALSE)</f>
        <v>Area 4</v>
      </c>
      <c r="D14" s="800">
        <v>0</v>
      </c>
      <c r="E14" s="800">
        <f>SUMIF(Planned_capex_starting_position!$AF:$AF,$A14,Planned_capex_starting_position!AZ:AZ)</f>
        <v>0</v>
      </c>
      <c r="F14" s="800">
        <f>SUMIF(Planned_capex_starting_position!$AF:$AF,$A14,Planned_capex_starting_position!BA:BA)</f>
        <v>0</v>
      </c>
      <c r="G14" s="800">
        <f>SUMIF(Planned_capex_starting_position!$AF:$AF,$A14,Planned_capex_starting_position!BB:BB)</f>
        <v>0</v>
      </c>
      <c r="H14" s="800">
        <f>SUMIF(Planned_capex_starting_position!$AF:$AF,$A14,Planned_capex_starting_position!BC:BC)</f>
        <v>0</v>
      </c>
      <c r="I14" s="800">
        <f>SUMIF(Planned_capex_starting_position!$AF:$AF,$A14,Planned_capex_starting_position!BD:BD)</f>
        <v>0</v>
      </c>
      <c r="J14" s="800">
        <f>SUMIF(Planned_capex_starting_position!$AF:$AF,$A14,Planned_capex_starting_position!BE:BE)</f>
        <v>0</v>
      </c>
      <c r="K14" s="800">
        <f>SUMIF(Planned_capex_starting_position!$AF:$AF,$A14,Planned_capex_starting_position!BF:BF)</f>
        <v>0</v>
      </c>
      <c r="L14" s="800">
        <f>SUMIF(Planned_capex_starting_position!$AF:$AF,$A14,Planned_capex_starting_position!BG:BG)</f>
        <v>0</v>
      </c>
      <c r="M14" s="800">
        <f>SUMIF(Planned_capex_starting_position!$AF:$AF,$A14,Planned_capex_starting_position!BH:BH)</f>
        <v>0</v>
      </c>
      <c r="N14" s="800">
        <f>SUMIF(Planned_capex_starting_position!$AF:$AF,$A14,Planned_capex_starting_position!BI:BI)</f>
        <v>0</v>
      </c>
      <c r="O14" s="800">
        <f t="shared" si="0"/>
        <v>0</v>
      </c>
      <c r="P14" s="41"/>
      <c r="Q14" s="36"/>
      <c r="R14" s="36"/>
      <c r="S14" s="36"/>
      <c r="T14" s="36"/>
      <c r="U14" s="36"/>
      <c r="V14" s="36"/>
      <c r="W14" s="36"/>
      <c r="X14" s="36"/>
      <c r="Y14" s="36"/>
      <c r="Z14" s="36"/>
    </row>
    <row r="15" spans="1:26" customFormat="1" hidden="1">
      <c r="A15" s="22" t="s">
        <v>2636</v>
      </c>
      <c r="B15" s="31" t="s">
        <v>1220</v>
      </c>
      <c r="C15" s="31" t="str">
        <f>VLOOKUP($A15,FA_Codes!$D$2:$G$249,4,FALSE)</f>
        <v>Warkworth</v>
      </c>
      <c r="D15" s="800">
        <v>0</v>
      </c>
      <c r="E15" s="800">
        <f>SUMIF(Planned_capex_starting_position!$AF:$AF,$A15,Planned_capex_starting_position!AZ:AZ)</f>
        <v>0</v>
      </c>
      <c r="F15" s="800">
        <f>SUMIF(Planned_capex_starting_position!$AF:$AF,$A15,Planned_capex_starting_position!BA:BA)</f>
        <v>0</v>
      </c>
      <c r="G15" s="800">
        <f>SUMIF(Planned_capex_starting_position!$AF:$AF,$A15,Planned_capex_starting_position!BB:BB)</f>
        <v>0</v>
      </c>
      <c r="H15" s="800">
        <f>SUMIF(Planned_capex_starting_position!$AF:$AF,$A15,Planned_capex_starting_position!BC:BC)</f>
        <v>0</v>
      </c>
      <c r="I15" s="800">
        <f>SUMIF(Planned_capex_starting_position!$AF:$AF,$A15,Planned_capex_starting_position!BD:BD)</f>
        <v>0</v>
      </c>
      <c r="J15" s="800">
        <f>SUMIF(Planned_capex_starting_position!$AF:$AF,$A15,Planned_capex_starting_position!BE:BE)</f>
        <v>0</v>
      </c>
      <c r="K15" s="800">
        <f>SUMIF(Planned_capex_starting_position!$AF:$AF,$A15,Planned_capex_starting_position!BF:BF)</f>
        <v>0</v>
      </c>
      <c r="L15" s="800">
        <f>SUMIF(Planned_capex_starting_position!$AF:$AF,$A15,Planned_capex_starting_position!BG:BG)</f>
        <v>0</v>
      </c>
      <c r="M15" s="800">
        <f>SUMIF(Planned_capex_starting_position!$AF:$AF,$A15,Planned_capex_starting_position!BH:BH)</f>
        <v>0</v>
      </c>
      <c r="N15" s="800">
        <f>SUMIF(Planned_capex_starting_position!$AF:$AF,$A15,Planned_capex_starting_position!BI:BI)</f>
        <v>0</v>
      </c>
      <c r="O15" s="800">
        <f t="shared" si="0"/>
        <v>0</v>
      </c>
      <c r="P15" s="41"/>
      <c r="Q15" s="125"/>
      <c r="R15" s="125"/>
      <c r="T15" s="29"/>
      <c r="U15" s="29"/>
    </row>
    <row r="16" spans="1:26" customFormat="1" hidden="1">
      <c r="A16" s="22" t="s">
        <v>2638</v>
      </c>
      <c r="B16" s="31" t="s">
        <v>1220</v>
      </c>
      <c r="C16" s="31" t="str">
        <f>VLOOKUP($A16,FA_Codes!$D$2:$G$249,4,FALSE)</f>
        <v>Dairy Flat</v>
      </c>
      <c r="D16" s="800">
        <v>0</v>
      </c>
      <c r="E16" s="800">
        <f>SUMIF(Planned_capex_starting_position!$AF:$AF,$A16,Planned_capex_starting_position!AZ:AZ)</f>
        <v>0</v>
      </c>
      <c r="F16" s="800">
        <f>SUMIF(Planned_capex_starting_position!$AF:$AF,$A16,Planned_capex_starting_position!BA:BA)</f>
        <v>0</v>
      </c>
      <c r="G16" s="800">
        <f>SUMIF(Planned_capex_starting_position!$AF:$AF,$A16,Planned_capex_starting_position!BB:BB)</f>
        <v>0</v>
      </c>
      <c r="H16" s="800">
        <f>SUMIF(Planned_capex_starting_position!$AF:$AF,$A16,Planned_capex_starting_position!BC:BC)</f>
        <v>0</v>
      </c>
      <c r="I16" s="800">
        <f>SUMIF(Planned_capex_starting_position!$AF:$AF,$A16,Planned_capex_starting_position!BD:BD)</f>
        <v>0</v>
      </c>
      <c r="J16" s="800">
        <f>SUMIF(Planned_capex_starting_position!$AF:$AF,$A16,Planned_capex_starting_position!BE:BE)</f>
        <v>0</v>
      </c>
      <c r="K16" s="800">
        <f>SUMIF(Planned_capex_starting_position!$AF:$AF,$A16,Planned_capex_starting_position!BF:BF)</f>
        <v>0</v>
      </c>
      <c r="L16" s="800">
        <f>SUMIF(Planned_capex_starting_position!$AF:$AF,$A16,Planned_capex_starting_position!BG:BG)</f>
        <v>0</v>
      </c>
      <c r="M16" s="800">
        <f>SUMIF(Planned_capex_starting_position!$AF:$AF,$A16,Planned_capex_starting_position!BH:BH)</f>
        <v>0</v>
      </c>
      <c r="N16" s="800">
        <f>SUMIF(Planned_capex_starting_position!$AF:$AF,$A16,Planned_capex_starting_position!BI:BI)</f>
        <v>0</v>
      </c>
      <c r="O16" s="800">
        <f t="shared" si="0"/>
        <v>0</v>
      </c>
      <c r="P16" s="41"/>
      <c r="Q16" s="125"/>
      <c r="R16" s="125"/>
      <c r="T16" s="29"/>
      <c r="U16" s="29"/>
    </row>
    <row r="17" spans="1:21" customFormat="1" hidden="1">
      <c r="A17" s="22" t="s">
        <v>2640</v>
      </c>
      <c r="B17" s="31" t="s">
        <v>1220</v>
      </c>
      <c r="C17" s="31" t="str">
        <f>VLOOKUP($A17,FA_Codes!$D$2:$G$249,4,FALSE)</f>
        <v>Northwest Greenfield</v>
      </c>
      <c r="D17" s="800">
        <v>0</v>
      </c>
      <c r="E17" s="800">
        <f>SUMIF(Planned_capex_starting_position!$AF:$AF,$A17,Planned_capex_starting_position!AZ:AZ)</f>
        <v>0</v>
      </c>
      <c r="F17" s="800">
        <f>SUMIF(Planned_capex_starting_position!$AF:$AF,$A17,Planned_capex_starting_position!BA:BA)</f>
        <v>0</v>
      </c>
      <c r="G17" s="800">
        <f>SUMIF(Planned_capex_starting_position!$AF:$AF,$A17,Planned_capex_starting_position!BB:BB)</f>
        <v>0</v>
      </c>
      <c r="H17" s="800">
        <f>SUMIF(Planned_capex_starting_position!$AF:$AF,$A17,Planned_capex_starting_position!BC:BC)</f>
        <v>0</v>
      </c>
      <c r="I17" s="800">
        <f>SUMIF(Planned_capex_starting_position!$AF:$AF,$A17,Planned_capex_starting_position!BD:BD)</f>
        <v>0</v>
      </c>
      <c r="J17" s="800">
        <f>SUMIF(Planned_capex_starting_position!$AF:$AF,$A17,Planned_capex_starting_position!BE:BE)</f>
        <v>0</v>
      </c>
      <c r="K17" s="800">
        <f>SUMIF(Planned_capex_starting_position!$AF:$AF,$A17,Planned_capex_starting_position!BF:BF)</f>
        <v>0</v>
      </c>
      <c r="L17" s="800">
        <f>SUMIF(Planned_capex_starting_position!$AF:$AF,$A17,Planned_capex_starting_position!BG:BG)</f>
        <v>0</v>
      </c>
      <c r="M17" s="800">
        <f>SUMIF(Planned_capex_starting_position!$AF:$AF,$A17,Planned_capex_starting_position!BH:BH)</f>
        <v>0</v>
      </c>
      <c r="N17" s="800">
        <f>SUMIF(Planned_capex_starting_position!$AF:$AF,$A17,Planned_capex_starting_position!BI:BI)</f>
        <v>0</v>
      </c>
      <c r="O17" s="800">
        <f t="shared" si="0"/>
        <v>0</v>
      </c>
      <c r="P17" s="41"/>
      <c r="Q17" s="125"/>
      <c r="R17" s="125"/>
      <c r="T17" s="29"/>
      <c r="U17" s="29"/>
    </row>
    <row r="18" spans="1:21" customFormat="1" hidden="1">
      <c r="A18" s="22" t="s">
        <v>2642</v>
      </c>
      <c r="B18" s="31" t="s">
        <v>1220</v>
      </c>
      <c r="C18" s="31" t="str">
        <f>VLOOKUP($A18,FA_Codes!$D$2:$G$249,4,FALSE)</f>
        <v>North Greenfield</v>
      </c>
      <c r="D18" s="800">
        <v>0</v>
      </c>
      <c r="E18" s="800">
        <f>SUMIF(Planned_capex_starting_position!$AF:$AF,$A18,Planned_capex_starting_position!AZ:AZ)</f>
        <v>0</v>
      </c>
      <c r="F18" s="800">
        <f>SUMIF(Planned_capex_starting_position!$AF:$AF,$A18,Planned_capex_starting_position!BA:BA)</f>
        <v>0</v>
      </c>
      <c r="G18" s="800">
        <f>SUMIF(Planned_capex_starting_position!$AF:$AF,$A18,Planned_capex_starting_position!BB:BB)</f>
        <v>0</v>
      </c>
      <c r="H18" s="800">
        <f>SUMIF(Planned_capex_starting_position!$AF:$AF,$A18,Planned_capex_starting_position!BC:BC)</f>
        <v>0</v>
      </c>
      <c r="I18" s="800">
        <f>SUMIF(Planned_capex_starting_position!$AF:$AF,$A18,Planned_capex_starting_position!BD:BD)</f>
        <v>0</v>
      </c>
      <c r="J18" s="800">
        <f>SUMIF(Planned_capex_starting_position!$AF:$AF,$A18,Planned_capex_starting_position!BE:BE)</f>
        <v>0</v>
      </c>
      <c r="K18" s="800">
        <f>SUMIF(Planned_capex_starting_position!$AF:$AF,$A18,Planned_capex_starting_position!BF:BF)</f>
        <v>0</v>
      </c>
      <c r="L18" s="800">
        <f>SUMIF(Planned_capex_starting_position!$AF:$AF,$A18,Planned_capex_starting_position!BG:BG)</f>
        <v>0</v>
      </c>
      <c r="M18" s="800">
        <f>SUMIF(Planned_capex_starting_position!$AF:$AF,$A18,Planned_capex_starting_position!BH:BH)</f>
        <v>0</v>
      </c>
      <c r="N18" s="800">
        <f>SUMIF(Planned_capex_starting_position!$AF:$AF,$A18,Planned_capex_starting_position!BI:BI)</f>
        <v>0</v>
      </c>
      <c r="O18" s="800">
        <f t="shared" si="0"/>
        <v>0</v>
      </c>
      <c r="P18" s="41"/>
      <c r="Q18" s="125"/>
      <c r="R18" s="125"/>
      <c r="T18" s="29"/>
      <c r="U18" s="29"/>
    </row>
    <row r="19" spans="1:21" customFormat="1" hidden="1">
      <c r="A19" s="22" t="s">
        <v>2644</v>
      </c>
      <c r="B19" s="31" t="s">
        <v>1220</v>
      </c>
      <c r="C19" s="31" t="str">
        <f>VLOOKUP($A19,FA_Codes!$D$2:$G$249,4,FALSE)</f>
        <v>South Greenfield</v>
      </c>
      <c r="D19" s="800">
        <v>0</v>
      </c>
      <c r="E19" s="800">
        <f>SUMIF(Planned_capex_starting_position!$AF:$AF,$A19,Planned_capex_starting_position!AZ:AZ)</f>
        <v>0</v>
      </c>
      <c r="F19" s="800">
        <f>SUMIF(Planned_capex_starting_position!$AF:$AF,$A19,Planned_capex_starting_position!BA:BA)</f>
        <v>0</v>
      </c>
      <c r="G19" s="800">
        <f>SUMIF(Planned_capex_starting_position!$AF:$AF,$A19,Planned_capex_starting_position!BB:BB)</f>
        <v>0</v>
      </c>
      <c r="H19" s="800">
        <f>SUMIF(Planned_capex_starting_position!$AF:$AF,$A19,Planned_capex_starting_position!BC:BC)</f>
        <v>0</v>
      </c>
      <c r="I19" s="800">
        <f>SUMIF(Planned_capex_starting_position!$AF:$AF,$A19,Planned_capex_starting_position!BD:BD)</f>
        <v>0</v>
      </c>
      <c r="J19" s="800">
        <f>SUMIF(Planned_capex_starting_position!$AF:$AF,$A19,Planned_capex_starting_position!BE:BE)</f>
        <v>0</v>
      </c>
      <c r="K19" s="800">
        <f>SUMIF(Planned_capex_starting_position!$AF:$AF,$A19,Planned_capex_starting_position!BF:BF)</f>
        <v>0</v>
      </c>
      <c r="L19" s="800">
        <f>SUMIF(Planned_capex_starting_position!$AF:$AF,$A19,Planned_capex_starting_position!BG:BG)</f>
        <v>0</v>
      </c>
      <c r="M19" s="800">
        <f>SUMIF(Planned_capex_starting_position!$AF:$AF,$A19,Planned_capex_starting_position!BH:BH)</f>
        <v>0</v>
      </c>
      <c r="N19" s="800">
        <f>SUMIF(Planned_capex_starting_position!$AF:$AF,$A19,Planned_capex_starting_position!BI:BI)</f>
        <v>0</v>
      </c>
      <c r="O19" s="800">
        <f t="shared" si="0"/>
        <v>0</v>
      </c>
      <c r="P19" s="41"/>
      <c r="Q19" s="125"/>
      <c r="R19" s="125"/>
      <c r="T19" s="29"/>
      <c r="U19" s="29"/>
    </row>
    <row r="20" spans="1:21" customFormat="1" hidden="1">
      <c r="A20" s="22" t="s">
        <v>2646</v>
      </c>
      <c r="B20" s="31" t="s">
        <v>1220</v>
      </c>
      <c r="C20" s="31" t="str">
        <f>VLOOKUP($A20,FA_Codes!$D$2:$G$249,4,FALSE)</f>
        <v>Flatbush</v>
      </c>
      <c r="D20" s="800">
        <v>0</v>
      </c>
      <c r="E20" s="800">
        <f>SUMIF(Planned_capex_starting_position!$AF:$AF,$A20,Planned_capex_starting_position!AZ:AZ)</f>
        <v>0</v>
      </c>
      <c r="F20" s="800">
        <f>SUMIF(Planned_capex_starting_position!$AF:$AF,$A20,Planned_capex_starting_position!BA:BA)</f>
        <v>0</v>
      </c>
      <c r="G20" s="800">
        <f>SUMIF(Planned_capex_starting_position!$AF:$AF,$A20,Planned_capex_starting_position!BB:BB)</f>
        <v>0</v>
      </c>
      <c r="H20" s="800">
        <f>SUMIF(Planned_capex_starting_position!$AF:$AF,$A20,Planned_capex_starting_position!BC:BC)</f>
        <v>0</v>
      </c>
      <c r="I20" s="800">
        <f>SUMIF(Planned_capex_starting_position!$AF:$AF,$A20,Planned_capex_starting_position!BD:BD)</f>
        <v>0</v>
      </c>
      <c r="J20" s="800">
        <f>SUMIF(Planned_capex_starting_position!$AF:$AF,$A20,Planned_capex_starting_position!BE:BE)</f>
        <v>0</v>
      </c>
      <c r="K20" s="800">
        <f>SUMIF(Planned_capex_starting_position!$AF:$AF,$A20,Planned_capex_starting_position!BF:BF)</f>
        <v>0</v>
      </c>
      <c r="L20" s="800">
        <f>SUMIF(Planned_capex_starting_position!$AF:$AF,$A20,Planned_capex_starting_position!BG:BG)</f>
        <v>0</v>
      </c>
      <c r="M20" s="800">
        <f>SUMIF(Planned_capex_starting_position!$AF:$AF,$A20,Planned_capex_starting_position!BH:BH)</f>
        <v>0</v>
      </c>
      <c r="N20" s="800">
        <f>SUMIF(Planned_capex_starting_position!$AF:$AF,$A20,Planned_capex_starting_position!BI:BI)</f>
        <v>0</v>
      </c>
      <c r="O20" s="800">
        <f t="shared" si="0"/>
        <v>0</v>
      </c>
      <c r="P20" s="41"/>
      <c r="Q20" s="125"/>
      <c r="R20" s="125"/>
      <c r="T20" s="29"/>
      <c r="U20" s="29"/>
    </row>
    <row r="21" spans="1:21" customFormat="1" hidden="1">
      <c r="A21" s="22" t="s">
        <v>2648</v>
      </c>
      <c r="B21" s="31" t="s">
        <v>1220</v>
      </c>
      <c r="C21" s="31" t="str">
        <f>VLOOKUP($A21,FA_Codes!$D$2:$G$249,4,FALSE)</f>
        <v>Takanini</v>
      </c>
      <c r="D21" s="800">
        <v>0</v>
      </c>
      <c r="E21" s="800">
        <f>SUMIF(Planned_capex_starting_position!$AF:$AF,$A21,Planned_capex_starting_position!AZ:AZ)</f>
        <v>0</v>
      </c>
      <c r="F21" s="800">
        <f>SUMIF(Planned_capex_starting_position!$AF:$AF,$A21,Planned_capex_starting_position!BA:BA)</f>
        <v>0</v>
      </c>
      <c r="G21" s="800">
        <f>SUMIF(Planned_capex_starting_position!$AF:$AF,$A21,Planned_capex_starting_position!BB:BB)</f>
        <v>0</v>
      </c>
      <c r="H21" s="800">
        <f>SUMIF(Planned_capex_starting_position!$AF:$AF,$A21,Planned_capex_starting_position!BC:BC)</f>
        <v>0</v>
      </c>
      <c r="I21" s="800">
        <f>SUMIF(Planned_capex_starting_position!$AF:$AF,$A21,Planned_capex_starting_position!BD:BD)</f>
        <v>0</v>
      </c>
      <c r="J21" s="800">
        <f>SUMIF(Planned_capex_starting_position!$AF:$AF,$A21,Planned_capex_starting_position!BE:BE)</f>
        <v>0</v>
      </c>
      <c r="K21" s="800">
        <f>SUMIF(Planned_capex_starting_position!$AF:$AF,$A21,Planned_capex_starting_position!BF:BF)</f>
        <v>0</v>
      </c>
      <c r="L21" s="800">
        <f>SUMIF(Planned_capex_starting_position!$AF:$AF,$A21,Planned_capex_starting_position!BG:BG)</f>
        <v>0</v>
      </c>
      <c r="M21" s="800">
        <f>SUMIF(Planned_capex_starting_position!$AF:$AF,$A21,Planned_capex_starting_position!BH:BH)</f>
        <v>0</v>
      </c>
      <c r="N21" s="800">
        <f>SUMIF(Planned_capex_starting_position!$AF:$AF,$A21,Planned_capex_starting_position!BI:BI)</f>
        <v>0</v>
      </c>
      <c r="O21" s="800">
        <f t="shared" si="0"/>
        <v>0</v>
      </c>
      <c r="P21" s="41"/>
      <c r="Q21" s="125"/>
      <c r="R21" s="125"/>
      <c r="T21" s="29"/>
      <c r="U21" s="29"/>
    </row>
    <row r="22" spans="1:21" customFormat="1" hidden="1">
      <c r="A22" s="22" t="s">
        <v>2652</v>
      </c>
      <c r="B22" s="31" t="s">
        <v>1220</v>
      </c>
      <c r="C22" s="31" t="str">
        <f>VLOOKUP($A22,FA_Codes!$D$2:$G$249,4,FALSE)</f>
        <v>Hingaia</v>
      </c>
      <c r="D22" s="800">
        <v>0</v>
      </c>
      <c r="E22" s="800">
        <f>SUMIF(Planned_capex_starting_position!$AF:$AF,$A22,Planned_capex_starting_position!AZ:AZ)</f>
        <v>0</v>
      </c>
      <c r="F22" s="800">
        <f>SUMIF(Planned_capex_starting_position!$AF:$AF,$A22,Planned_capex_starting_position!BA:BA)</f>
        <v>0</v>
      </c>
      <c r="G22" s="800">
        <f>SUMIF(Planned_capex_starting_position!$AF:$AF,$A22,Planned_capex_starting_position!BB:BB)</f>
        <v>0</v>
      </c>
      <c r="H22" s="800">
        <f>SUMIF(Planned_capex_starting_position!$AF:$AF,$A22,Planned_capex_starting_position!BC:BC)</f>
        <v>0</v>
      </c>
      <c r="I22" s="800">
        <f>SUMIF(Planned_capex_starting_position!$AF:$AF,$A22,Planned_capex_starting_position!BD:BD)</f>
        <v>0</v>
      </c>
      <c r="J22" s="800">
        <f>SUMIF(Planned_capex_starting_position!$AF:$AF,$A22,Planned_capex_starting_position!BE:BE)</f>
        <v>0</v>
      </c>
      <c r="K22" s="800">
        <f>SUMIF(Planned_capex_starting_position!$AF:$AF,$A22,Planned_capex_starting_position!BF:BF)</f>
        <v>0</v>
      </c>
      <c r="L22" s="800">
        <f>SUMIF(Planned_capex_starting_position!$AF:$AF,$A22,Planned_capex_starting_position!BG:BG)</f>
        <v>0</v>
      </c>
      <c r="M22" s="800">
        <f>SUMIF(Planned_capex_starting_position!$AF:$AF,$A22,Planned_capex_starting_position!BH:BH)</f>
        <v>0</v>
      </c>
      <c r="N22" s="800">
        <f>SUMIF(Planned_capex_starting_position!$AF:$AF,$A22,Planned_capex_starting_position!BI:BI)</f>
        <v>0</v>
      </c>
      <c r="O22" s="800">
        <f t="shared" si="0"/>
        <v>0</v>
      </c>
      <c r="P22" s="41"/>
      <c r="Q22" s="125"/>
      <c r="R22" s="125"/>
      <c r="T22" s="29"/>
      <c r="U22" s="29"/>
    </row>
    <row r="23" spans="1:21" customFormat="1" hidden="1">
      <c r="A23" s="22" t="s">
        <v>2654</v>
      </c>
      <c r="B23" s="31" t="s">
        <v>1220</v>
      </c>
      <c r="C23" s="31" t="str">
        <f>VLOOKUP($A23,FA_Codes!$D$2:$G$249,4,FALSE)</f>
        <v>Paerata / Pukekohe</v>
      </c>
      <c r="D23" s="800">
        <v>0</v>
      </c>
      <c r="E23" s="800">
        <f>SUMIF(Planned_capex_starting_position!$AF:$AF,$A23,Planned_capex_starting_position!AZ:AZ)</f>
        <v>0</v>
      </c>
      <c r="F23" s="800">
        <f>SUMIF(Planned_capex_starting_position!$AF:$AF,$A23,Planned_capex_starting_position!BA:BA)</f>
        <v>0</v>
      </c>
      <c r="G23" s="800">
        <f>SUMIF(Planned_capex_starting_position!$AF:$AF,$A23,Planned_capex_starting_position!BB:BB)</f>
        <v>0</v>
      </c>
      <c r="H23" s="800">
        <f>SUMIF(Planned_capex_starting_position!$AF:$AF,$A23,Planned_capex_starting_position!BC:BC)</f>
        <v>0</v>
      </c>
      <c r="I23" s="800">
        <f>SUMIF(Planned_capex_starting_position!$AF:$AF,$A23,Planned_capex_starting_position!BD:BD)</f>
        <v>0</v>
      </c>
      <c r="J23" s="800">
        <f>SUMIF(Planned_capex_starting_position!$AF:$AF,$A23,Planned_capex_starting_position!BE:BE)</f>
        <v>0</v>
      </c>
      <c r="K23" s="800">
        <f>SUMIF(Planned_capex_starting_position!$AF:$AF,$A23,Planned_capex_starting_position!BF:BF)</f>
        <v>0</v>
      </c>
      <c r="L23" s="800">
        <f>SUMIF(Planned_capex_starting_position!$AF:$AF,$A23,Planned_capex_starting_position!BG:BG)</f>
        <v>0</v>
      </c>
      <c r="M23" s="800">
        <f>SUMIF(Planned_capex_starting_position!$AF:$AF,$A23,Planned_capex_starting_position!BH:BH)</f>
        <v>0</v>
      </c>
      <c r="N23" s="800">
        <f>SUMIF(Planned_capex_starting_position!$AF:$AF,$A23,Planned_capex_starting_position!BI:BI)</f>
        <v>0</v>
      </c>
      <c r="O23" s="800">
        <f t="shared" si="0"/>
        <v>0</v>
      </c>
      <c r="P23" s="41"/>
      <c r="Q23" s="125"/>
      <c r="R23" s="125"/>
      <c r="T23" s="29"/>
      <c r="U23" s="29"/>
    </row>
    <row r="24" spans="1:21" customFormat="1" hidden="1">
      <c r="A24" s="22" t="s">
        <v>2656</v>
      </c>
      <c r="B24" s="31" t="s">
        <v>1220</v>
      </c>
      <c r="C24" s="31" t="str">
        <f>VLOOKUP($A24,FA_Codes!$D$2:$G$249,4,FALSE)</f>
        <v>Hibiscus</v>
      </c>
      <c r="D24" s="800">
        <v>0</v>
      </c>
      <c r="E24" s="800">
        <f>SUMIF(Planned_capex_starting_position!$AF:$AF,$A24,Planned_capex_starting_position!AZ:AZ)</f>
        <v>0</v>
      </c>
      <c r="F24" s="800">
        <f>SUMIF(Planned_capex_starting_position!$AF:$AF,$A24,Planned_capex_starting_position!BA:BA)</f>
        <v>0</v>
      </c>
      <c r="G24" s="800">
        <f>SUMIF(Planned_capex_starting_position!$AF:$AF,$A24,Planned_capex_starting_position!BB:BB)</f>
        <v>0</v>
      </c>
      <c r="H24" s="800">
        <f>SUMIF(Planned_capex_starting_position!$AF:$AF,$A24,Planned_capex_starting_position!BC:BC)</f>
        <v>0</v>
      </c>
      <c r="I24" s="800">
        <f>SUMIF(Planned_capex_starting_position!$AF:$AF,$A24,Planned_capex_starting_position!BD:BD)</f>
        <v>0</v>
      </c>
      <c r="J24" s="800">
        <f>SUMIF(Planned_capex_starting_position!$AF:$AF,$A24,Planned_capex_starting_position!BE:BE)</f>
        <v>0</v>
      </c>
      <c r="K24" s="800">
        <f>SUMIF(Planned_capex_starting_position!$AF:$AF,$A24,Planned_capex_starting_position!BF:BF)</f>
        <v>0</v>
      </c>
      <c r="L24" s="800">
        <f>SUMIF(Planned_capex_starting_position!$AF:$AF,$A24,Planned_capex_starting_position!BG:BG)</f>
        <v>0</v>
      </c>
      <c r="M24" s="800">
        <f>SUMIF(Planned_capex_starting_position!$AF:$AF,$A24,Planned_capex_starting_position!BH:BH)</f>
        <v>0</v>
      </c>
      <c r="N24" s="800">
        <f>SUMIF(Planned_capex_starting_position!$AF:$AF,$A24,Planned_capex_starting_position!BI:BI)</f>
        <v>0</v>
      </c>
      <c r="O24" s="800">
        <f t="shared" si="0"/>
        <v>0</v>
      </c>
      <c r="P24" s="41"/>
      <c r="Q24" s="125"/>
      <c r="R24" s="125"/>
      <c r="T24" s="29"/>
      <c r="U24" s="29"/>
    </row>
    <row r="25" spans="1:21" customFormat="1" hidden="1">
      <c r="A25" s="22" t="s">
        <v>2658</v>
      </c>
      <c r="B25" s="31" t="s">
        <v>1220</v>
      </c>
      <c r="C25" s="31" t="str">
        <f>VLOOKUP($A25,FA_Codes!$D$2:$G$249,4,FALSE)</f>
        <v>North Shore</v>
      </c>
      <c r="D25" s="800">
        <v>0</v>
      </c>
      <c r="E25" s="800">
        <f>SUMIF(Planned_capex_starting_position!$AF:$AF,$A25,Planned_capex_starting_position!AZ:AZ)</f>
        <v>0</v>
      </c>
      <c r="F25" s="800">
        <f>SUMIF(Planned_capex_starting_position!$AF:$AF,$A25,Planned_capex_starting_position!BA:BA)</f>
        <v>0</v>
      </c>
      <c r="G25" s="800">
        <f>SUMIF(Planned_capex_starting_position!$AF:$AF,$A25,Planned_capex_starting_position!BB:BB)</f>
        <v>0</v>
      </c>
      <c r="H25" s="800">
        <f>SUMIF(Planned_capex_starting_position!$AF:$AF,$A25,Planned_capex_starting_position!BC:BC)</f>
        <v>0</v>
      </c>
      <c r="I25" s="800">
        <f>SUMIF(Planned_capex_starting_position!$AF:$AF,$A25,Planned_capex_starting_position!BD:BD)</f>
        <v>0</v>
      </c>
      <c r="J25" s="800">
        <f>SUMIF(Planned_capex_starting_position!$AF:$AF,$A25,Planned_capex_starting_position!BE:BE)</f>
        <v>0</v>
      </c>
      <c r="K25" s="800">
        <f>SUMIF(Planned_capex_starting_position!$AF:$AF,$A25,Planned_capex_starting_position!BF:BF)</f>
        <v>0</v>
      </c>
      <c r="L25" s="800">
        <f>SUMIF(Planned_capex_starting_position!$AF:$AF,$A25,Planned_capex_starting_position!BG:BG)</f>
        <v>0</v>
      </c>
      <c r="M25" s="800">
        <f>SUMIF(Planned_capex_starting_position!$AF:$AF,$A25,Planned_capex_starting_position!BH:BH)</f>
        <v>0</v>
      </c>
      <c r="N25" s="800">
        <f>SUMIF(Planned_capex_starting_position!$AF:$AF,$A25,Planned_capex_starting_position!BI:BI)</f>
        <v>0</v>
      </c>
      <c r="O25" s="800">
        <f t="shared" si="0"/>
        <v>0</v>
      </c>
      <c r="P25" s="41"/>
      <c r="Q25" s="125"/>
      <c r="R25" s="125"/>
      <c r="T25" s="29"/>
      <c r="U25" s="29"/>
    </row>
    <row r="26" spans="1:21" customFormat="1" hidden="1">
      <c r="A26" s="22" t="s">
        <v>2660</v>
      </c>
      <c r="B26" s="31" t="s">
        <v>1220</v>
      </c>
      <c r="C26" s="31" t="str">
        <f>VLOOKUP($A26,FA_Codes!$D$2:$G$249,4,FALSE)</f>
        <v>West</v>
      </c>
      <c r="D26" s="800">
        <v>0</v>
      </c>
      <c r="E26" s="800">
        <f>SUMIF(Planned_capex_starting_position!$AF:$AF,$A26,Planned_capex_starting_position!AZ:AZ)</f>
        <v>0</v>
      </c>
      <c r="F26" s="800">
        <f>SUMIF(Planned_capex_starting_position!$AF:$AF,$A26,Planned_capex_starting_position!BA:BA)</f>
        <v>0</v>
      </c>
      <c r="G26" s="800">
        <f>SUMIF(Planned_capex_starting_position!$AF:$AF,$A26,Planned_capex_starting_position!BB:BB)</f>
        <v>0</v>
      </c>
      <c r="H26" s="800">
        <f>SUMIF(Planned_capex_starting_position!$AF:$AF,$A26,Planned_capex_starting_position!BC:BC)</f>
        <v>0</v>
      </c>
      <c r="I26" s="800">
        <f>SUMIF(Planned_capex_starting_position!$AF:$AF,$A26,Planned_capex_starting_position!BD:BD)</f>
        <v>0</v>
      </c>
      <c r="J26" s="800">
        <f>SUMIF(Planned_capex_starting_position!$AF:$AF,$A26,Planned_capex_starting_position!BE:BE)</f>
        <v>0</v>
      </c>
      <c r="K26" s="800">
        <f>SUMIF(Planned_capex_starting_position!$AF:$AF,$A26,Planned_capex_starting_position!BF:BF)</f>
        <v>0</v>
      </c>
      <c r="L26" s="800">
        <f>SUMIF(Planned_capex_starting_position!$AF:$AF,$A26,Planned_capex_starting_position!BG:BG)</f>
        <v>0</v>
      </c>
      <c r="M26" s="800">
        <f>SUMIF(Planned_capex_starting_position!$AF:$AF,$A26,Planned_capex_starting_position!BH:BH)</f>
        <v>0</v>
      </c>
      <c r="N26" s="800">
        <f>SUMIF(Planned_capex_starting_position!$AF:$AF,$A26,Planned_capex_starting_position!BI:BI)</f>
        <v>0</v>
      </c>
      <c r="O26" s="800">
        <f t="shared" si="0"/>
        <v>0</v>
      </c>
      <c r="P26" s="41"/>
      <c r="Q26" s="125"/>
      <c r="R26" s="125"/>
      <c r="T26" s="29"/>
      <c r="U26" s="29"/>
    </row>
    <row r="27" spans="1:21" customFormat="1" hidden="1">
      <c r="A27" s="22" t="s">
        <v>2662</v>
      </c>
      <c r="B27" s="31" t="s">
        <v>1220</v>
      </c>
      <c r="C27" s="31" t="str">
        <f>VLOOKUP($A27,FA_Codes!$D$2:$G$249,4,FALSE)</f>
        <v>Central</v>
      </c>
      <c r="D27" s="800">
        <v>0</v>
      </c>
      <c r="E27" s="800">
        <f>SUMIF(Planned_capex_starting_position!$AF:$AF,$A27,Planned_capex_starting_position!AZ:AZ)</f>
        <v>0</v>
      </c>
      <c r="F27" s="800">
        <f>SUMIF(Planned_capex_starting_position!$AF:$AF,$A27,Planned_capex_starting_position!BA:BA)</f>
        <v>0</v>
      </c>
      <c r="G27" s="800">
        <f>SUMIF(Planned_capex_starting_position!$AF:$AF,$A27,Planned_capex_starting_position!BB:BB)</f>
        <v>0</v>
      </c>
      <c r="H27" s="800">
        <f>SUMIF(Planned_capex_starting_position!$AF:$AF,$A27,Planned_capex_starting_position!BC:BC)</f>
        <v>0</v>
      </c>
      <c r="I27" s="800">
        <f>SUMIF(Planned_capex_starting_position!$AF:$AF,$A27,Planned_capex_starting_position!BD:BD)</f>
        <v>0</v>
      </c>
      <c r="J27" s="800">
        <f>SUMIF(Planned_capex_starting_position!$AF:$AF,$A27,Planned_capex_starting_position!BE:BE)</f>
        <v>0</v>
      </c>
      <c r="K27" s="800">
        <f>SUMIF(Planned_capex_starting_position!$AF:$AF,$A27,Planned_capex_starting_position!BF:BF)</f>
        <v>0</v>
      </c>
      <c r="L27" s="800">
        <f>SUMIF(Planned_capex_starting_position!$AF:$AF,$A27,Planned_capex_starting_position!BG:BG)</f>
        <v>0</v>
      </c>
      <c r="M27" s="800">
        <f>SUMIF(Planned_capex_starting_position!$AF:$AF,$A27,Planned_capex_starting_position!BH:BH)</f>
        <v>0</v>
      </c>
      <c r="N27" s="800">
        <f>SUMIF(Planned_capex_starting_position!$AF:$AF,$A27,Planned_capex_starting_position!BI:BI)</f>
        <v>0</v>
      </c>
      <c r="O27" s="800">
        <f t="shared" si="0"/>
        <v>0</v>
      </c>
      <c r="P27" s="41"/>
      <c r="Q27" s="125"/>
      <c r="R27" s="125"/>
      <c r="T27" s="29"/>
      <c r="U27" s="29"/>
    </row>
    <row r="28" spans="1:21" customFormat="1" hidden="1">
      <c r="A28" s="22" t="s">
        <v>2664</v>
      </c>
      <c r="B28" s="31" t="s">
        <v>1220</v>
      </c>
      <c r="C28" s="31" t="str">
        <f>VLOOKUP($A28,FA_Codes!$D$2:$G$249,4,FALSE)</f>
        <v>South (West)</v>
      </c>
      <c r="D28" s="800">
        <v>0</v>
      </c>
      <c r="E28" s="800">
        <f>SUMIF(Planned_capex_starting_position!$AF:$AF,$A28,Planned_capex_starting_position!AZ:AZ)</f>
        <v>0</v>
      </c>
      <c r="F28" s="800">
        <f>SUMIF(Planned_capex_starting_position!$AF:$AF,$A28,Planned_capex_starting_position!BA:BA)</f>
        <v>0</v>
      </c>
      <c r="G28" s="800">
        <f>SUMIF(Planned_capex_starting_position!$AF:$AF,$A28,Planned_capex_starting_position!BB:BB)</f>
        <v>0</v>
      </c>
      <c r="H28" s="800">
        <f>SUMIF(Planned_capex_starting_position!$AF:$AF,$A28,Planned_capex_starting_position!BC:BC)</f>
        <v>0</v>
      </c>
      <c r="I28" s="800">
        <f>SUMIF(Planned_capex_starting_position!$AF:$AF,$A28,Planned_capex_starting_position!BD:BD)</f>
        <v>0</v>
      </c>
      <c r="J28" s="800">
        <f>SUMIF(Planned_capex_starting_position!$AF:$AF,$A28,Planned_capex_starting_position!BE:BE)</f>
        <v>0</v>
      </c>
      <c r="K28" s="800">
        <f>SUMIF(Planned_capex_starting_position!$AF:$AF,$A28,Planned_capex_starting_position!BF:BF)</f>
        <v>0</v>
      </c>
      <c r="L28" s="800">
        <f>SUMIF(Planned_capex_starting_position!$AF:$AF,$A28,Planned_capex_starting_position!BG:BG)</f>
        <v>0</v>
      </c>
      <c r="M28" s="800">
        <f>SUMIF(Planned_capex_starting_position!$AF:$AF,$A28,Planned_capex_starting_position!BH:BH)</f>
        <v>0</v>
      </c>
      <c r="N28" s="800">
        <f>SUMIF(Planned_capex_starting_position!$AF:$AF,$A28,Planned_capex_starting_position!BI:BI)</f>
        <v>0</v>
      </c>
      <c r="O28" s="800">
        <f t="shared" si="0"/>
        <v>0</v>
      </c>
      <c r="P28" s="41"/>
      <c r="Q28" s="125"/>
      <c r="R28" s="125"/>
      <c r="T28" s="29"/>
      <c r="U28" s="29"/>
    </row>
    <row r="29" spans="1:21" customFormat="1" hidden="1">
      <c r="A29" s="22" t="s">
        <v>2666</v>
      </c>
      <c r="B29" s="31" t="s">
        <v>1220</v>
      </c>
      <c r="C29" s="31" t="str">
        <f>VLOOKUP($A29,FA_Codes!$D$2:$G$249,4,FALSE)</f>
        <v>South (East)</v>
      </c>
      <c r="D29" s="800">
        <v>0</v>
      </c>
      <c r="E29" s="800">
        <f>SUMIF(Planned_capex_starting_position!$AF:$AF,$A29,Planned_capex_starting_position!AZ:AZ)</f>
        <v>0</v>
      </c>
      <c r="F29" s="800">
        <f>SUMIF(Planned_capex_starting_position!$AF:$AF,$A29,Planned_capex_starting_position!BA:BA)</f>
        <v>0</v>
      </c>
      <c r="G29" s="800">
        <f>SUMIF(Planned_capex_starting_position!$AF:$AF,$A29,Planned_capex_starting_position!BB:BB)</f>
        <v>0</v>
      </c>
      <c r="H29" s="800">
        <f>SUMIF(Planned_capex_starting_position!$AF:$AF,$A29,Planned_capex_starting_position!BC:BC)</f>
        <v>0</v>
      </c>
      <c r="I29" s="800">
        <f>SUMIF(Planned_capex_starting_position!$AF:$AF,$A29,Planned_capex_starting_position!BD:BD)</f>
        <v>0</v>
      </c>
      <c r="J29" s="800">
        <f>SUMIF(Planned_capex_starting_position!$AF:$AF,$A29,Planned_capex_starting_position!BE:BE)</f>
        <v>0</v>
      </c>
      <c r="K29" s="800">
        <f>SUMIF(Planned_capex_starting_position!$AF:$AF,$A29,Planned_capex_starting_position!BF:BF)</f>
        <v>0</v>
      </c>
      <c r="L29" s="800">
        <f>SUMIF(Planned_capex_starting_position!$AF:$AF,$A29,Planned_capex_starting_position!BG:BG)</f>
        <v>0</v>
      </c>
      <c r="M29" s="800">
        <f>SUMIF(Planned_capex_starting_position!$AF:$AF,$A29,Planned_capex_starting_position!BH:BH)</f>
        <v>0</v>
      </c>
      <c r="N29" s="800">
        <f>SUMIF(Planned_capex_starting_position!$AF:$AF,$A29,Planned_capex_starting_position!BI:BI)</f>
        <v>0</v>
      </c>
      <c r="O29" s="800">
        <f t="shared" si="0"/>
        <v>0</v>
      </c>
      <c r="P29" s="41"/>
      <c r="Q29" s="125"/>
      <c r="R29" s="125"/>
      <c r="T29" s="29"/>
      <c r="U29" s="29"/>
    </row>
    <row r="30" spans="1:21" customFormat="1" hidden="1">
      <c r="A30" s="22" t="s">
        <v>2668</v>
      </c>
      <c r="B30" s="31" t="s">
        <v>1220</v>
      </c>
      <c r="C30" s="31" t="str">
        <f>VLOOKUP($A30,FA_Codes!$D$2:$G$249,4,FALSE)</f>
        <v>Rural North Upper</v>
      </c>
      <c r="D30" s="800">
        <v>0</v>
      </c>
      <c r="E30" s="800">
        <f>SUMIF(Planned_capex_starting_position!$AF:$AF,$A30,Planned_capex_starting_position!AZ:AZ)</f>
        <v>0</v>
      </c>
      <c r="F30" s="800">
        <f>SUMIF(Planned_capex_starting_position!$AF:$AF,$A30,Planned_capex_starting_position!BA:BA)</f>
        <v>0</v>
      </c>
      <c r="G30" s="800">
        <f>SUMIF(Planned_capex_starting_position!$AF:$AF,$A30,Planned_capex_starting_position!BB:BB)</f>
        <v>0</v>
      </c>
      <c r="H30" s="800">
        <f>SUMIF(Planned_capex_starting_position!$AF:$AF,$A30,Planned_capex_starting_position!BC:BC)</f>
        <v>0</v>
      </c>
      <c r="I30" s="800">
        <f>SUMIF(Planned_capex_starting_position!$AF:$AF,$A30,Planned_capex_starting_position!BD:BD)</f>
        <v>0</v>
      </c>
      <c r="J30" s="800">
        <f>SUMIF(Planned_capex_starting_position!$AF:$AF,$A30,Planned_capex_starting_position!BE:BE)</f>
        <v>0</v>
      </c>
      <c r="K30" s="800">
        <f>SUMIF(Planned_capex_starting_position!$AF:$AF,$A30,Planned_capex_starting_position!BF:BF)</f>
        <v>0</v>
      </c>
      <c r="L30" s="800">
        <f>SUMIF(Planned_capex_starting_position!$AF:$AF,$A30,Planned_capex_starting_position!BG:BG)</f>
        <v>0</v>
      </c>
      <c r="M30" s="800">
        <f>SUMIF(Planned_capex_starting_position!$AF:$AF,$A30,Planned_capex_starting_position!BH:BH)</f>
        <v>0</v>
      </c>
      <c r="N30" s="800">
        <f>SUMIF(Planned_capex_starting_position!$AF:$AF,$A30,Planned_capex_starting_position!BI:BI)</f>
        <v>0</v>
      </c>
      <c r="O30" s="800">
        <f t="shared" si="0"/>
        <v>0</v>
      </c>
      <c r="P30" s="41"/>
      <c r="Q30" s="125"/>
      <c r="R30" s="125"/>
      <c r="T30" s="29"/>
      <c r="U30" s="29"/>
    </row>
    <row r="31" spans="1:21" customFormat="1" hidden="1">
      <c r="A31" s="22" t="s">
        <v>2670</v>
      </c>
      <c r="B31" s="31" t="s">
        <v>1220</v>
      </c>
      <c r="C31" s="31" t="str">
        <f>VLOOKUP($A31,FA_Codes!$D$2:$G$249,4,FALSE)</f>
        <v>Rural North Lower</v>
      </c>
      <c r="D31" s="800">
        <v>0</v>
      </c>
      <c r="E31" s="800">
        <f>SUMIF(Planned_capex_starting_position!$AF:$AF,$A31,Planned_capex_starting_position!AZ:AZ)</f>
        <v>0</v>
      </c>
      <c r="F31" s="800">
        <f>SUMIF(Planned_capex_starting_position!$AF:$AF,$A31,Planned_capex_starting_position!BA:BA)</f>
        <v>0</v>
      </c>
      <c r="G31" s="800">
        <f>SUMIF(Planned_capex_starting_position!$AF:$AF,$A31,Planned_capex_starting_position!BB:BB)</f>
        <v>0</v>
      </c>
      <c r="H31" s="800">
        <f>SUMIF(Planned_capex_starting_position!$AF:$AF,$A31,Planned_capex_starting_position!BC:BC)</f>
        <v>0</v>
      </c>
      <c r="I31" s="800">
        <f>SUMIF(Planned_capex_starting_position!$AF:$AF,$A31,Planned_capex_starting_position!BD:BD)</f>
        <v>0</v>
      </c>
      <c r="J31" s="800">
        <f>SUMIF(Planned_capex_starting_position!$AF:$AF,$A31,Planned_capex_starting_position!BE:BE)</f>
        <v>0</v>
      </c>
      <c r="K31" s="800">
        <f>SUMIF(Planned_capex_starting_position!$AF:$AF,$A31,Planned_capex_starting_position!BF:BF)</f>
        <v>0</v>
      </c>
      <c r="L31" s="800">
        <f>SUMIF(Planned_capex_starting_position!$AF:$AF,$A31,Planned_capex_starting_position!BG:BG)</f>
        <v>0</v>
      </c>
      <c r="M31" s="800">
        <f>SUMIF(Planned_capex_starting_position!$AF:$AF,$A31,Planned_capex_starting_position!BH:BH)</f>
        <v>0</v>
      </c>
      <c r="N31" s="800">
        <f>SUMIF(Planned_capex_starting_position!$AF:$AF,$A31,Planned_capex_starting_position!BI:BI)</f>
        <v>0</v>
      </c>
      <c r="O31" s="800">
        <f t="shared" si="0"/>
        <v>0</v>
      </c>
      <c r="P31" s="41"/>
      <c r="Q31" s="125"/>
      <c r="R31" s="125"/>
      <c r="T31" s="29"/>
      <c r="U31" s="29"/>
    </row>
    <row r="32" spans="1:21" customFormat="1" hidden="1">
      <c r="A32" s="22" t="s">
        <v>2672</v>
      </c>
      <c r="B32" s="31" t="s">
        <v>1220</v>
      </c>
      <c r="C32" s="31" t="str">
        <f>VLOOKUP($A32,FA_Codes!$D$2:$G$249,4,FALSE)</f>
        <v>Rural West</v>
      </c>
      <c r="D32" s="800">
        <v>0</v>
      </c>
      <c r="E32" s="800">
        <f>SUMIF(Planned_capex_starting_position!$AF:$AF,$A32,Planned_capex_starting_position!AZ:AZ)</f>
        <v>0</v>
      </c>
      <c r="F32" s="800">
        <f>SUMIF(Planned_capex_starting_position!$AF:$AF,$A32,Planned_capex_starting_position!BA:BA)</f>
        <v>0</v>
      </c>
      <c r="G32" s="800">
        <f>SUMIF(Planned_capex_starting_position!$AF:$AF,$A32,Planned_capex_starting_position!BB:BB)</f>
        <v>0</v>
      </c>
      <c r="H32" s="800">
        <f>SUMIF(Planned_capex_starting_position!$AF:$AF,$A32,Planned_capex_starting_position!BC:BC)</f>
        <v>0</v>
      </c>
      <c r="I32" s="800">
        <f>SUMIF(Planned_capex_starting_position!$AF:$AF,$A32,Planned_capex_starting_position!BD:BD)</f>
        <v>0</v>
      </c>
      <c r="J32" s="800">
        <f>SUMIF(Planned_capex_starting_position!$AF:$AF,$A32,Planned_capex_starting_position!BE:BE)</f>
        <v>0</v>
      </c>
      <c r="K32" s="800">
        <f>SUMIF(Planned_capex_starting_position!$AF:$AF,$A32,Planned_capex_starting_position!BF:BF)</f>
        <v>0</v>
      </c>
      <c r="L32" s="800">
        <f>SUMIF(Planned_capex_starting_position!$AF:$AF,$A32,Planned_capex_starting_position!BG:BG)</f>
        <v>0</v>
      </c>
      <c r="M32" s="800">
        <f>SUMIF(Planned_capex_starting_position!$AF:$AF,$A32,Planned_capex_starting_position!BH:BH)</f>
        <v>0</v>
      </c>
      <c r="N32" s="800">
        <f>SUMIF(Planned_capex_starting_position!$AF:$AF,$A32,Planned_capex_starting_position!BI:BI)</f>
        <v>0</v>
      </c>
      <c r="O32" s="800">
        <f t="shared" si="0"/>
        <v>0</v>
      </c>
      <c r="P32" s="41"/>
      <c r="Q32" s="125"/>
      <c r="R32" s="125"/>
      <c r="T32" s="29"/>
      <c r="U32" s="29"/>
    </row>
    <row r="33" spans="1:21" customFormat="1" hidden="1">
      <c r="A33" s="22" t="s">
        <v>2674</v>
      </c>
      <c r="B33" s="31" t="s">
        <v>1220</v>
      </c>
      <c r="C33" s="31" t="str">
        <f>VLOOKUP($A33,FA_Codes!$D$2:$G$249,4,FALSE)</f>
        <v>Rural South West</v>
      </c>
      <c r="D33" s="800">
        <v>0</v>
      </c>
      <c r="E33" s="800">
        <f>SUMIF(Planned_capex_starting_position!$AF:$AF,$A33,Planned_capex_starting_position!AZ:AZ)</f>
        <v>0</v>
      </c>
      <c r="F33" s="800">
        <f>SUMIF(Planned_capex_starting_position!$AF:$AF,$A33,Planned_capex_starting_position!BA:BA)</f>
        <v>0</v>
      </c>
      <c r="G33" s="800">
        <f>SUMIF(Planned_capex_starting_position!$AF:$AF,$A33,Planned_capex_starting_position!BB:BB)</f>
        <v>0</v>
      </c>
      <c r="H33" s="800">
        <f>SUMIF(Planned_capex_starting_position!$AF:$AF,$A33,Planned_capex_starting_position!BC:BC)</f>
        <v>0</v>
      </c>
      <c r="I33" s="800">
        <f>SUMIF(Planned_capex_starting_position!$AF:$AF,$A33,Planned_capex_starting_position!BD:BD)</f>
        <v>0</v>
      </c>
      <c r="J33" s="800">
        <f>SUMIF(Planned_capex_starting_position!$AF:$AF,$A33,Planned_capex_starting_position!BE:BE)</f>
        <v>0</v>
      </c>
      <c r="K33" s="800">
        <f>SUMIF(Planned_capex_starting_position!$AF:$AF,$A33,Planned_capex_starting_position!BF:BF)</f>
        <v>0</v>
      </c>
      <c r="L33" s="800">
        <f>SUMIF(Planned_capex_starting_position!$AF:$AF,$A33,Planned_capex_starting_position!BG:BG)</f>
        <v>0</v>
      </c>
      <c r="M33" s="800">
        <f>SUMIF(Planned_capex_starting_position!$AF:$AF,$A33,Planned_capex_starting_position!BH:BH)</f>
        <v>0</v>
      </c>
      <c r="N33" s="800">
        <f>SUMIF(Planned_capex_starting_position!$AF:$AF,$A33,Planned_capex_starting_position!BI:BI)</f>
        <v>0</v>
      </c>
      <c r="O33" s="800">
        <f t="shared" si="0"/>
        <v>0</v>
      </c>
      <c r="P33" s="41"/>
      <c r="Q33" s="125"/>
      <c r="R33" s="125"/>
      <c r="T33" s="29"/>
      <c r="U33" s="29"/>
    </row>
    <row r="34" spans="1:21" customFormat="1" hidden="1">
      <c r="A34" s="22" t="s">
        <v>2676</v>
      </c>
      <c r="B34" s="31" t="s">
        <v>1220</v>
      </c>
      <c r="C34" s="31" t="str">
        <f>VLOOKUP($A34,FA_Codes!$D$2:$G$249,4,FALSE)</f>
        <v>Rural South East</v>
      </c>
      <c r="D34" s="800">
        <v>0</v>
      </c>
      <c r="E34" s="800">
        <f>SUMIF(Planned_capex_starting_position!$AF:$AF,$A34,Planned_capex_starting_position!AZ:AZ)</f>
        <v>0</v>
      </c>
      <c r="F34" s="800">
        <f>SUMIF(Planned_capex_starting_position!$AF:$AF,$A34,Planned_capex_starting_position!BA:BA)</f>
        <v>0</v>
      </c>
      <c r="G34" s="800">
        <f>SUMIF(Planned_capex_starting_position!$AF:$AF,$A34,Planned_capex_starting_position!BB:BB)</f>
        <v>0</v>
      </c>
      <c r="H34" s="800">
        <f>SUMIF(Planned_capex_starting_position!$AF:$AF,$A34,Planned_capex_starting_position!BC:BC)</f>
        <v>0</v>
      </c>
      <c r="I34" s="800">
        <f>SUMIF(Planned_capex_starting_position!$AF:$AF,$A34,Planned_capex_starting_position!BD:BD)</f>
        <v>0</v>
      </c>
      <c r="J34" s="800">
        <f>SUMIF(Planned_capex_starting_position!$AF:$AF,$A34,Planned_capex_starting_position!BE:BE)</f>
        <v>0</v>
      </c>
      <c r="K34" s="800">
        <f>SUMIF(Planned_capex_starting_position!$AF:$AF,$A34,Planned_capex_starting_position!BF:BF)</f>
        <v>0</v>
      </c>
      <c r="L34" s="800">
        <f>SUMIF(Planned_capex_starting_position!$AF:$AF,$A34,Planned_capex_starting_position!BG:BG)</f>
        <v>0</v>
      </c>
      <c r="M34" s="800">
        <f>SUMIF(Planned_capex_starting_position!$AF:$AF,$A34,Planned_capex_starting_position!BH:BH)</f>
        <v>0</v>
      </c>
      <c r="N34" s="800">
        <f>SUMIF(Planned_capex_starting_position!$AF:$AF,$A34,Planned_capex_starting_position!BI:BI)</f>
        <v>0</v>
      </c>
      <c r="O34" s="800">
        <f t="shared" si="0"/>
        <v>0</v>
      </c>
      <c r="P34" s="41"/>
      <c r="Q34" s="125"/>
      <c r="R34" s="125"/>
      <c r="T34" s="29"/>
      <c r="U34" s="29"/>
    </row>
    <row r="35" spans="1:21" customFormat="1" hidden="1">
      <c r="A35" s="22" t="s">
        <v>2678</v>
      </c>
      <c r="B35" s="31" t="s">
        <v>1220</v>
      </c>
      <c r="C35" s="31" t="str">
        <f>VLOOKUP($A35,FA_Codes!$D$2:$G$249,4,FALSE)</f>
        <v>Rural Islands</v>
      </c>
      <c r="D35" s="800">
        <v>0</v>
      </c>
      <c r="E35" s="800">
        <f>SUMIF(Planned_capex_starting_position!$AF:$AF,$A35,Planned_capex_starting_position!AZ:AZ)</f>
        <v>0</v>
      </c>
      <c r="F35" s="800">
        <f>SUMIF(Planned_capex_starting_position!$AF:$AF,$A35,Planned_capex_starting_position!BA:BA)</f>
        <v>0</v>
      </c>
      <c r="G35" s="800">
        <f>SUMIF(Planned_capex_starting_position!$AF:$AF,$A35,Planned_capex_starting_position!BB:BB)</f>
        <v>0</v>
      </c>
      <c r="H35" s="800">
        <f>SUMIF(Planned_capex_starting_position!$AF:$AF,$A35,Planned_capex_starting_position!BC:BC)</f>
        <v>0</v>
      </c>
      <c r="I35" s="800">
        <f>SUMIF(Planned_capex_starting_position!$AF:$AF,$A35,Planned_capex_starting_position!BD:BD)</f>
        <v>0</v>
      </c>
      <c r="J35" s="800">
        <f>SUMIF(Planned_capex_starting_position!$AF:$AF,$A35,Planned_capex_starting_position!BE:BE)</f>
        <v>0</v>
      </c>
      <c r="K35" s="800">
        <f>SUMIF(Planned_capex_starting_position!$AF:$AF,$A35,Planned_capex_starting_position!BF:BF)</f>
        <v>0</v>
      </c>
      <c r="L35" s="800">
        <f>SUMIF(Planned_capex_starting_position!$AF:$AF,$A35,Planned_capex_starting_position!BG:BG)</f>
        <v>0</v>
      </c>
      <c r="M35" s="800">
        <f>SUMIF(Planned_capex_starting_position!$AF:$AF,$A35,Planned_capex_starting_position!BH:BH)</f>
        <v>0</v>
      </c>
      <c r="N35" s="800">
        <f>SUMIF(Planned_capex_starting_position!$AF:$AF,$A35,Planned_capex_starting_position!BI:BI)</f>
        <v>0</v>
      </c>
      <c r="O35" s="800">
        <f t="shared" si="0"/>
        <v>0</v>
      </c>
      <c r="P35" s="41"/>
      <c r="Q35" s="125"/>
      <c r="R35" s="125"/>
      <c r="T35" s="29"/>
      <c r="U35" s="29"/>
    </row>
    <row r="36" spans="1:21" customFormat="1" hidden="1">
      <c r="A36" s="22" t="s">
        <v>2680</v>
      </c>
      <c r="B36" s="58" t="s">
        <v>1220</v>
      </c>
      <c r="C36" s="31" t="str">
        <f>VLOOKUP($A36,FA_Codes!$D$2:$G$249,4,FALSE)</f>
        <v>Tamaki</v>
      </c>
      <c r="D36" s="800">
        <v>0</v>
      </c>
      <c r="E36" s="800">
        <f>SUMIF(Planned_capex_starting_position!$AF:$AF,$A36,Planned_capex_starting_position!AZ:AZ)</f>
        <v>0</v>
      </c>
      <c r="F36" s="800">
        <f>SUMIF(Planned_capex_starting_position!$AF:$AF,$A36,Planned_capex_starting_position!BA:BA)</f>
        <v>0</v>
      </c>
      <c r="G36" s="800">
        <f>SUMIF(Planned_capex_starting_position!$AF:$AF,$A36,Planned_capex_starting_position!BB:BB)</f>
        <v>0</v>
      </c>
      <c r="H36" s="800">
        <f>SUMIF(Planned_capex_starting_position!$AF:$AF,$A36,Planned_capex_starting_position!BC:BC)</f>
        <v>0</v>
      </c>
      <c r="I36" s="800">
        <f>SUMIF(Planned_capex_starting_position!$AF:$AF,$A36,Planned_capex_starting_position!BD:BD)</f>
        <v>0</v>
      </c>
      <c r="J36" s="800">
        <f>SUMIF(Planned_capex_starting_position!$AF:$AF,$A36,Planned_capex_starting_position!BE:BE)</f>
        <v>0</v>
      </c>
      <c r="K36" s="800">
        <f>SUMIF(Planned_capex_starting_position!$AF:$AF,$A36,Planned_capex_starting_position!BF:BF)</f>
        <v>0</v>
      </c>
      <c r="L36" s="800">
        <f>SUMIF(Planned_capex_starting_position!$AF:$AF,$A36,Planned_capex_starting_position!BG:BG)</f>
        <v>0</v>
      </c>
      <c r="M36" s="800">
        <f>SUMIF(Planned_capex_starting_position!$AF:$AF,$A36,Planned_capex_starting_position!BH:BH)</f>
        <v>0</v>
      </c>
      <c r="N36" s="800">
        <f>SUMIF(Planned_capex_starting_position!$AF:$AF,$A36,Planned_capex_starting_position!BI:BI)</f>
        <v>0</v>
      </c>
      <c r="O36" s="800">
        <f t="shared" si="0"/>
        <v>0</v>
      </c>
      <c r="P36" s="41"/>
      <c r="Q36" s="125"/>
      <c r="R36" s="125"/>
      <c r="T36" s="29"/>
      <c r="U36" s="29"/>
    </row>
    <row r="37" spans="1:21" customFormat="1">
      <c r="A37" s="22" t="s">
        <v>2682</v>
      </c>
      <c r="B37" s="58" t="s">
        <v>1220</v>
      </c>
      <c r="C37" s="31" t="str">
        <f>VLOOKUP($A37,FA_Codes!$D$2:$G$249,4,FALSE)</f>
        <v>Drury IPA</v>
      </c>
      <c r="D37" s="800">
        <v>0</v>
      </c>
      <c r="E37" s="800">
        <f>SUMIF(Planned_capex_starting_position!$AF:$AF,$A37,Planned_capex_starting_position!AZ:AZ)</f>
        <v>1061495.9901241977</v>
      </c>
      <c r="F37" s="800">
        <f>SUMIF(Planned_capex_starting_position!$AF:$AF,$A37,Planned_capex_starting_position!BA:BA)</f>
        <v>5584227.3710438432</v>
      </c>
      <c r="G37" s="800">
        <f>SUMIF(Planned_capex_starting_position!$AF:$AF,$A37,Planned_capex_starting_position!BB:BB)</f>
        <v>7193800.9405440399</v>
      </c>
      <c r="H37" s="800">
        <f>SUMIF(Planned_capex_starting_position!$AF:$AF,$A37,Planned_capex_starting_position!BC:BC)</f>
        <v>7731944.1893084757</v>
      </c>
      <c r="I37" s="800">
        <f>SUMIF(Planned_capex_starting_position!$AF:$AF,$A37,Planned_capex_starting_position!BD:BD)</f>
        <v>11685708.121677116</v>
      </c>
      <c r="J37" s="800">
        <f>SUMIF(Planned_capex_starting_position!$AF:$AF,$A37,Planned_capex_starting_position!BE:BE)</f>
        <v>12658683.214550272</v>
      </c>
      <c r="K37" s="800">
        <f>SUMIF(Planned_capex_starting_position!$AF:$AF,$A37,Planned_capex_starting_position!BF:BF)</f>
        <v>10438243.725434003</v>
      </c>
      <c r="L37" s="800">
        <f>SUMIF(Planned_capex_starting_position!$AF:$AF,$A37,Planned_capex_starting_position!BG:BG)</f>
        <v>13350528.278260641</v>
      </c>
      <c r="M37" s="800">
        <f>SUMIF(Planned_capex_starting_position!$AF:$AF,$A37,Planned_capex_starting_position!BH:BH)</f>
        <v>16930827.203534883</v>
      </c>
      <c r="N37" s="800">
        <f>SUMIF(Planned_capex_starting_position!$AF:$AF,$A37,Planned_capex_starting_position!BI:BI)</f>
        <v>18124469.816734772</v>
      </c>
      <c r="O37" s="800">
        <f t="shared" si="0"/>
        <v>104759928.85121226</v>
      </c>
      <c r="P37" s="41"/>
      <c r="Q37" s="125"/>
      <c r="R37" s="125"/>
      <c r="T37" s="29"/>
      <c r="U37" s="29"/>
    </row>
    <row r="38" spans="1:21" customFormat="1" hidden="1">
      <c r="A38" s="22" t="s">
        <v>2684</v>
      </c>
      <c r="B38" s="58" t="s">
        <v>1220</v>
      </c>
      <c r="C38" s="31" t="str">
        <f>VLOOKUP($A38,FA_Codes!$D$2:$G$249,4,FALSE)</f>
        <v>Auranga</v>
      </c>
      <c r="D38" s="800">
        <v>0</v>
      </c>
      <c r="E38" s="800">
        <f>SUMIF(Planned_capex_starting_position!$AF:$AF,$A38,Planned_capex_starting_position!AZ:AZ)</f>
        <v>0</v>
      </c>
      <c r="F38" s="800">
        <f>SUMIF(Planned_capex_starting_position!$AF:$AF,$A38,Planned_capex_starting_position!BA:BA)</f>
        <v>0</v>
      </c>
      <c r="G38" s="800">
        <f>SUMIF(Planned_capex_starting_position!$AF:$AF,$A38,Planned_capex_starting_position!BB:BB)</f>
        <v>0</v>
      </c>
      <c r="H38" s="800">
        <f>SUMIF(Planned_capex_starting_position!$AF:$AF,$A38,Planned_capex_starting_position!BC:BC)</f>
        <v>0</v>
      </c>
      <c r="I38" s="800">
        <f>SUMIF(Planned_capex_starting_position!$AF:$AF,$A38,Planned_capex_starting_position!BD:BD)</f>
        <v>0</v>
      </c>
      <c r="J38" s="800">
        <f>SUMIF(Planned_capex_starting_position!$AF:$AF,$A38,Planned_capex_starting_position!BE:BE)</f>
        <v>0</v>
      </c>
      <c r="K38" s="800">
        <f>SUMIF(Planned_capex_starting_position!$AF:$AF,$A38,Planned_capex_starting_position!BF:BF)</f>
        <v>0</v>
      </c>
      <c r="L38" s="800">
        <f>SUMIF(Planned_capex_starting_position!$AF:$AF,$A38,Planned_capex_starting_position!BG:BG)</f>
        <v>0</v>
      </c>
      <c r="M38" s="800">
        <f>SUMIF(Planned_capex_starting_position!$AF:$AF,$A38,Planned_capex_starting_position!BH:BH)</f>
        <v>0</v>
      </c>
      <c r="N38" s="800">
        <f>SUMIF(Planned_capex_starting_position!$AF:$AF,$A38,Planned_capex_starting_position!BI:BI)</f>
        <v>0</v>
      </c>
      <c r="O38" s="800">
        <f t="shared" si="0"/>
        <v>0</v>
      </c>
      <c r="P38" s="41"/>
      <c r="Q38" s="125"/>
      <c r="R38" s="125"/>
      <c r="T38" s="29"/>
      <c r="U38" s="29"/>
    </row>
    <row r="39" spans="1:21" customFormat="1" hidden="1">
      <c r="A39" s="22" t="s">
        <v>2696</v>
      </c>
      <c r="B39" s="58" t="s">
        <v>1220</v>
      </c>
      <c r="C39" s="31" t="str">
        <f>VLOOKUP($A39,FA_Codes!$D$2:$G$249,4,FALSE)</f>
        <v>Area 35</v>
      </c>
      <c r="D39" s="800">
        <v>0</v>
      </c>
      <c r="E39" s="800">
        <f>SUMIF(Planned_capex_starting_position!$AF:$AF,$A39,Planned_capex_starting_position!AZ:AZ)</f>
        <v>0</v>
      </c>
      <c r="F39" s="800">
        <f>SUMIF(Planned_capex_starting_position!$AF:$AF,$A39,Planned_capex_starting_position!BA:BA)</f>
        <v>0</v>
      </c>
      <c r="G39" s="800">
        <f>SUMIF(Planned_capex_starting_position!$AF:$AF,$A39,Planned_capex_starting_position!BB:BB)</f>
        <v>0</v>
      </c>
      <c r="H39" s="800">
        <f>SUMIF(Planned_capex_starting_position!$AF:$AF,$A39,Planned_capex_starting_position!BC:BC)</f>
        <v>0</v>
      </c>
      <c r="I39" s="800">
        <f>SUMIF(Planned_capex_starting_position!$AF:$AF,$A39,Planned_capex_starting_position!BD:BD)</f>
        <v>0</v>
      </c>
      <c r="J39" s="800">
        <f>SUMIF(Planned_capex_starting_position!$AF:$AF,$A39,Planned_capex_starting_position!BE:BE)</f>
        <v>0</v>
      </c>
      <c r="K39" s="800">
        <f>SUMIF(Planned_capex_starting_position!$AF:$AF,$A39,Planned_capex_starting_position!BF:BF)</f>
        <v>0</v>
      </c>
      <c r="L39" s="800">
        <f>SUMIF(Planned_capex_starting_position!$AF:$AF,$A39,Planned_capex_starting_position!BG:BG)</f>
        <v>0</v>
      </c>
      <c r="M39" s="800">
        <f>SUMIF(Planned_capex_starting_position!$AF:$AF,$A39,Planned_capex_starting_position!BH:BH)</f>
        <v>0</v>
      </c>
      <c r="N39" s="800">
        <f>SUMIF(Planned_capex_starting_position!$AF:$AF,$A39,Planned_capex_starting_position!BI:BI)</f>
        <v>0</v>
      </c>
      <c r="O39" s="800">
        <f t="shared" si="0"/>
        <v>0</v>
      </c>
      <c r="P39" s="41"/>
      <c r="Q39" s="125"/>
      <c r="R39" s="125"/>
      <c r="T39" s="29"/>
      <c r="U39" s="29"/>
    </row>
    <row r="40" spans="1:21" customFormat="1" hidden="1">
      <c r="A40" s="22" t="s">
        <v>2698</v>
      </c>
      <c r="B40" s="58" t="s">
        <v>1220</v>
      </c>
      <c r="C40" s="31" t="str">
        <f>VLOOKUP($A40,FA_Codes!$D$2:$G$249,4,FALSE)</f>
        <v>Area 36</v>
      </c>
      <c r="D40" s="800">
        <v>0</v>
      </c>
      <c r="E40" s="800">
        <f>SUMIF(Planned_capex_starting_position!$AF:$AF,$A40,Planned_capex_starting_position!AZ:AZ)</f>
        <v>0</v>
      </c>
      <c r="F40" s="800">
        <f>SUMIF(Planned_capex_starting_position!$AF:$AF,$A40,Planned_capex_starting_position!BA:BA)</f>
        <v>0</v>
      </c>
      <c r="G40" s="800">
        <f>SUMIF(Planned_capex_starting_position!$AF:$AF,$A40,Planned_capex_starting_position!BB:BB)</f>
        <v>0</v>
      </c>
      <c r="H40" s="800">
        <f>SUMIF(Planned_capex_starting_position!$AF:$AF,$A40,Planned_capex_starting_position!BC:BC)</f>
        <v>0</v>
      </c>
      <c r="I40" s="800">
        <f>SUMIF(Planned_capex_starting_position!$AF:$AF,$A40,Planned_capex_starting_position!BD:BD)</f>
        <v>0</v>
      </c>
      <c r="J40" s="800">
        <f>SUMIF(Planned_capex_starting_position!$AF:$AF,$A40,Planned_capex_starting_position!BE:BE)</f>
        <v>0</v>
      </c>
      <c r="K40" s="800">
        <f>SUMIF(Planned_capex_starting_position!$AF:$AF,$A40,Planned_capex_starting_position!BF:BF)</f>
        <v>0</v>
      </c>
      <c r="L40" s="800">
        <f>SUMIF(Planned_capex_starting_position!$AF:$AF,$A40,Planned_capex_starting_position!BG:BG)</f>
        <v>0</v>
      </c>
      <c r="M40" s="800">
        <f>SUMIF(Planned_capex_starting_position!$AF:$AF,$A40,Planned_capex_starting_position!BH:BH)</f>
        <v>0</v>
      </c>
      <c r="N40" s="800">
        <f>SUMIF(Planned_capex_starting_position!$AF:$AF,$A40,Planned_capex_starting_position!BI:BI)</f>
        <v>0</v>
      </c>
      <c r="O40" s="800">
        <f t="shared" si="0"/>
        <v>0</v>
      </c>
      <c r="P40" s="41"/>
      <c r="Q40" s="125"/>
      <c r="R40" s="125"/>
      <c r="T40" s="29"/>
      <c r="U40" s="29"/>
    </row>
    <row r="41" spans="1:21" customFormat="1" hidden="1">
      <c r="A41" s="22" t="s">
        <v>2700</v>
      </c>
      <c r="B41" s="58" t="s">
        <v>1220</v>
      </c>
      <c r="C41" s="31" t="str">
        <f>VLOOKUP($A41,FA_Codes!$D$2:$G$249,4,FALSE)</f>
        <v>Area 37</v>
      </c>
      <c r="D41" s="800">
        <v>0</v>
      </c>
      <c r="E41" s="800">
        <f>SUMIF(Planned_capex_starting_position!$AF:$AF,$A41,Planned_capex_starting_position!AZ:AZ)</f>
        <v>0</v>
      </c>
      <c r="F41" s="800">
        <f>SUMIF(Planned_capex_starting_position!$AF:$AF,$A41,Planned_capex_starting_position!BA:BA)</f>
        <v>0</v>
      </c>
      <c r="G41" s="800">
        <f>SUMIF(Planned_capex_starting_position!$AF:$AF,$A41,Planned_capex_starting_position!BB:BB)</f>
        <v>0</v>
      </c>
      <c r="H41" s="800">
        <f>SUMIF(Planned_capex_starting_position!$AF:$AF,$A41,Planned_capex_starting_position!BC:BC)</f>
        <v>0</v>
      </c>
      <c r="I41" s="800">
        <f>SUMIF(Planned_capex_starting_position!$AF:$AF,$A41,Planned_capex_starting_position!BD:BD)</f>
        <v>0</v>
      </c>
      <c r="J41" s="800">
        <f>SUMIF(Planned_capex_starting_position!$AF:$AF,$A41,Planned_capex_starting_position!BE:BE)</f>
        <v>0</v>
      </c>
      <c r="K41" s="800">
        <f>SUMIF(Planned_capex_starting_position!$AF:$AF,$A41,Planned_capex_starting_position!BF:BF)</f>
        <v>0</v>
      </c>
      <c r="L41" s="800">
        <f>SUMIF(Planned_capex_starting_position!$AF:$AF,$A41,Planned_capex_starting_position!BG:BG)</f>
        <v>0</v>
      </c>
      <c r="M41" s="800">
        <f>SUMIF(Planned_capex_starting_position!$AF:$AF,$A41,Planned_capex_starting_position!BH:BH)</f>
        <v>0</v>
      </c>
      <c r="N41" s="800">
        <f>SUMIF(Planned_capex_starting_position!$AF:$AF,$A41,Planned_capex_starting_position!BI:BI)</f>
        <v>0</v>
      </c>
      <c r="O41" s="800">
        <f t="shared" si="0"/>
        <v>0</v>
      </c>
      <c r="P41" s="41"/>
      <c r="Q41" s="125"/>
      <c r="R41" s="125"/>
      <c r="T41" s="29"/>
      <c r="U41" s="29"/>
    </row>
    <row r="42" spans="1:21" customFormat="1" hidden="1">
      <c r="A42" s="22" t="s">
        <v>2702</v>
      </c>
      <c r="B42" s="58" t="s">
        <v>1220</v>
      </c>
      <c r="C42" s="58"/>
      <c r="D42" s="800">
        <v>0</v>
      </c>
      <c r="E42" s="800">
        <f>SUMIF(Planned_capex_starting_position!$AF:$AF,$A42,Planned_capex_starting_position!AZ:AZ)</f>
        <v>0</v>
      </c>
      <c r="F42" s="800">
        <f>SUMIF(Planned_capex_starting_position!$AF:$AF,$A42,Planned_capex_starting_position!BA:BA)</f>
        <v>0</v>
      </c>
      <c r="G42" s="800">
        <f>SUMIF(Planned_capex_starting_position!$AF:$AF,$A42,Planned_capex_starting_position!BB:BB)</f>
        <v>0</v>
      </c>
      <c r="H42" s="800">
        <f>SUMIF(Planned_capex_starting_position!$AF:$AF,$A42,Planned_capex_starting_position!BC:BC)</f>
        <v>0</v>
      </c>
      <c r="I42" s="800">
        <f>SUMIF(Planned_capex_starting_position!$AF:$AF,$A42,Planned_capex_starting_position!BD:BD)</f>
        <v>0</v>
      </c>
      <c r="J42" s="800">
        <f>SUMIF(Planned_capex_starting_position!$AF:$AF,$A42,Planned_capex_starting_position!BE:BE)</f>
        <v>0</v>
      </c>
      <c r="K42" s="800">
        <f>SUMIF(Planned_capex_starting_position!$AF:$AF,$A42,Planned_capex_starting_position!BF:BF)</f>
        <v>0</v>
      </c>
      <c r="L42" s="800">
        <f>SUMIF(Planned_capex_starting_position!$AF:$AF,$A42,Planned_capex_starting_position!BG:BG)</f>
        <v>0</v>
      </c>
      <c r="M42" s="800">
        <f>SUMIF(Planned_capex_starting_position!$AF:$AF,$A42,Planned_capex_starting_position!BH:BH)</f>
        <v>0</v>
      </c>
      <c r="N42" s="800">
        <f>SUMIF(Planned_capex_starting_position!$AF:$AF,$A42,Planned_capex_starting_position!BI:BI)</f>
        <v>0</v>
      </c>
      <c r="O42" s="800">
        <f t="shared" si="0"/>
        <v>0</v>
      </c>
      <c r="P42" s="41"/>
      <c r="Q42" s="125"/>
      <c r="R42" s="125"/>
      <c r="T42" s="29"/>
      <c r="U42" s="29"/>
    </row>
    <row r="43" spans="1:21" customFormat="1" hidden="1">
      <c r="A43" s="22" t="s">
        <v>2704</v>
      </c>
      <c r="B43" s="58" t="s">
        <v>1220</v>
      </c>
      <c r="C43" s="58"/>
      <c r="D43" s="800">
        <v>0</v>
      </c>
      <c r="E43" s="800">
        <f>SUMIF(Planned_capex_starting_position!$AF:$AF,$A43,Planned_capex_starting_position!AZ:AZ)</f>
        <v>0</v>
      </c>
      <c r="F43" s="800">
        <f>SUMIF(Planned_capex_starting_position!$AF:$AF,$A43,Planned_capex_starting_position!BA:BA)</f>
        <v>0</v>
      </c>
      <c r="G43" s="800">
        <f>SUMIF(Planned_capex_starting_position!$AF:$AF,$A43,Planned_capex_starting_position!BB:BB)</f>
        <v>0</v>
      </c>
      <c r="H43" s="800">
        <f>SUMIF(Planned_capex_starting_position!$AF:$AF,$A43,Planned_capex_starting_position!BC:BC)</f>
        <v>0</v>
      </c>
      <c r="I43" s="800">
        <f>SUMIF(Planned_capex_starting_position!$AF:$AF,$A43,Planned_capex_starting_position!BD:BD)</f>
        <v>0</v>
      </c>
      <c r="J43" s="800">
        <f>SUMIF(Planned_capex_starting_position!$AF:$AF,$A43,Planned_capex_starting_position!BE:BE)</f>
        <v>0</v>
      </c>
      <c r="K43" s="800">
        <f>SUMIF(Planned_capex_starting_position!$AF:$AF,$A43,Planned_capex_starting_position!BF:BF)</f>
        <v>0</v>
      </c>
      <c r="L43" s="800">
        <f>SUMIF(Planned_capex_starting_position!$AF:$AF,$A43,Planned_capex_starting_position!BG:BG)</f>
        <v>0</v>
      </c>
      <c r="M43" s="800">
        <f>SUMIF(Planned_capex_starting_position!$AF:$AF,$A43,Planned_capex_starting_position!BH:BH)</f>
        <v>0</v>
      </c>
      <c r="N43" s="800">
        <f>SUMIF(Planned_capex_starting_position!$AF:$AF,$A43,Planned_capex_starting_position!BI:BI)</f>
        <v>0</v>
      </c>
      <c r="O43" s="800">
        <f t="shared" si="0"/>
        <v>0</v>
      </c>
      <c r="P43" s="41"/>
      <c r="Q43" s="125"/>
      <c r="R43" s="125"/>
      <c r="T43" s="29"/>
      <c r="U43" s="29"/>
    </row>
    <row r="44" spans="1:21" customFormat="1" hidden="1">
      <c r="A44" s="22" t="s">
        <v>2706</v>
      </c>
      <c r="B44" s="58" t="s">
        <v>1220</v>
      </c>
      <c r="C44" s="58"/>
      <c r="D44" s="800">
        <v>0</v>
      </c>
      <c r="E44" s="800">
        <f>SUMIF(Planned_capex_starting_position!$AF:$AF,$A44,Planned_capex_starting_position!AZ:AZ)</f>
        <v>0</v>
      </c>
      <c r="F44" s="800">
        <f>SUMIF(Planned_capex_starting_position!$AF:$AF,$A44,Planned_capex_starting_position!BA:BA)</f>
        <v>0</v>
      </c>
      <c r="G44" s="800">
        <f>SUMIF(Planned_capex_starting_position!$AF:$AF,$A44,Planned_capex_starting_position!BB:BB)</f>
        <v>0</v>
      </c>
      <c r="H44" s="800">
        <f>SUMIF(Planned_capex_starting_position!$AF:$AF,$A44,Planned_capex_starting_position!BC:BC)</f>
        <v>0</v>
      </c>
      <c r="I44" s="800">
        <f>SUMIF(Planned_capex_starting_position!$AF:$AF,$A44,Planned_capex_starting_position!BD:BD)</f>
        <v>0</v>
      </c>
      <c r="J44" s="800">
        <f>SUMIF(Planned_capex_starting_position!$AF:$AF,$A44,Planned_capex_starting_position!BE:BE)</f>
        <v>0</v>
      </c>
      <c r="K44" s="800">
        <f>SUMIF(Planned_capex_starting_position!$AF:$AF,$A44,Planned_capex_starting_position!BF:BF)</f>
        <v>0</v>
      </c>
      <c r="L44" s="800">
        <f>SUMIF(Planned_capex_starting_position!$AF:$AF,$A44,Planned_capex_starting_position!BG:BG)</f>
        <v>0</v>
      </c>
      <c r="M44" s="800">
        <f>SUMIF(Planned_capex_starting_position!$AF:$AF,$A44,Planned_capex_starting_position!BH:BH)</f>
        <v>0</v>
      </c>
      <c r="N44" s="800">
        <f>SUMIF(Planned_capex_starting_position!$AF:$AF,$A44,Planned_capex_starting_position!BI:BI)</f>
        <v>0</v>
      </c>
      <c r="O44" s="800">
        <f t="shared" si="0"/>
        <v>0</v>
      </c>
      <c r="P44" s="41"/>
      <c r="Q44" s="125"/>
      <c r="R44" s="125"/>
      <c r="T44" s="29"/>
      <c r="U44" s="29"/>
    </row>
    <row r="45" spans="1:21" customFormat="1" hidden="1">
      <c r="A45" s="22" t="s">
        <v>2708</v>
      </c>
      <c r="B45" s="58" t="s">
        <v>1220</v>
      </c>
      <c r="C45" s="58"/>
      <c r="D45" s="800">
        <v>0</v>
      </c>
      <c r="E45" s="800">
        <f>SUMIF(Planned_capex_starting_position!$AF:$AF,$A45,Planned_capex_starting_position!AZ:AZ)</f>
        <v>0</v>
      </c>
      <c r="F45" s="800">
        <f>SUMIF(Planned_capex_starting_position!$AF:$AF,$A45,Planned_capex_starting_position!BA:BA)</f>
        <v>0</v>
      </c>
      <c r="G45" s="800">
        <f>SUMIF(Planned_capex_starting_position!$AF:$AF,$A45,Planned_capex_starting_position!BB:BB)</f>
        <v>0</v>
      </c>
      <c r="H45" s="800">
        <f>SUMIF(Planned_capex_starting_position!$AF:$AF,$A45,Planned_capex_starting_position!BC:BC)</f>
        <v>0</v>
      </c>
      <c r="I45" s="800">
        <f>SUMIF(Planned_capex_starting_position!$AF:$AF,$A45,Planned_capex_starting_position!BD:BD)</f>
        <v>0</v>
      </c>
      <c r="J45" s="800">
        <f>SUMIF(Planned_capex_starting_position!$AF:$AF,$A45,Planned_capex_starting_position!BE:BE)</f>
        <v>0</v>
      </c>
      <c r="K45" s="800">
        <f>SUMIF(Planned_capex_starting_position!$AF:$AF,$A45,Planned_capex_starting_position!BF:BF)</f>
        <v>0</v>
      </c>
      <c r="L45" s="800">
        <f>SUMIF(Planned_capex_starting_position!$AF:$AF,$A45,Planned_capex_starting_position!BG:BG)</f>
        <v>0</v>
      </c>
      <c r="M45" s="800">
        <f>SUMIF(Planned_capex_starting_position!$AF:$AF,$A45,Planned_capex_starting_position!BH:BH)</f>
        <v>0</v>
      </c>
      <c r="N45" s="800">
        <f>SUMIF(Planned_capex_starting_position!$AF:$AF,$A45,Planned_capex_starting_position!BI:BI)</f>
        <v>0</v>
      </c>
      <c r="O45" s="800">
        <f t="shared" si="0"/>
        <v>0</v>
      </c>
      <c r="P45" s="41"/>
      <c r="Q45" s="125"/>
      <c r="R45" s="125"/>
      <c r="T45" s="29"/>
      <c r="U45" s="29"/>
    </row>
    <row r="46" spans="1:21" customFormat="1" hidden="1">
      <c r="A46" s="22" t="s">
        <v>2710</v>
      </c>
      <c r="B46" s="58" t="s">
        <v>1220</v>
      </c>
      <c r="C46" s="58"/>
      <c r="D46" s="800">
        <v>0</v>
      </c>
      <c r="E46" s="800">
        <f>SUMIF(Planned_capex_starting_position!$AF:$AF,$A46,Planned_capex_starting_position!AZ:AZ)</f>
        <v>0</v>
      </c>
      <c r="F46" s="800">
        <f>SUMIF(Planned_capex_starting_position!$AF:$AF,$A46,Planned_capex_starting_position!BA:BA)</f>
        <v>0</v>
      </c>
      <c r="G46" s="800">
        <f>SUMIF(Planned_capex_starting_position!$AF:$AF,$A46,Planned_capex_starting_position!BB:BB)</f>
        <v>0</v>
      </c>
      <c r="H46" s="800">
        <f>SUMIF(Planned_capex_starting_position!$AF:$AF,$A46,Planned_capex_starting_position!BC:BC)</f>
        <v>0</v>
      </c>
      <c r="I46" s="800">
        <f>SUMIF(Planned_capex_starting_position!$AF:$AF,$A46,Planned_capex_starting_position!BD:BD)</f>
        <v>0</v>
      </c>
      <c r="J46" s="800">
        <f>SUMIF(Planned_capex_starting_position!$AF:$AF,$A46,Planned_capex_starting_position!BE:BE)</f>
        <v>0</v>
      </c>
      <c r="K46" s="800">
        <f>SUMIF(Planned_capex_starting_position!$AF:$AF,$A46,Planned_capex_starting_position!BF:BF)</f>
        <v>0</v>
      </c>
      <c r="L46" s="800">
        <f>SUMIF(Planned_capex_starting_position!$AF:$AF,$A46,Planned_capex_starting_position!BG:BG)</f>
        <v>0</v>
      </c>
      <c r="M46" s="800">
        <f>SUMIF(Planned_capex_starting_position!$AF:$AF,$A46,Planned_capex_starting_position!BH:BH)</f>
        <v>0</v>
      </c>
      <c r="N46" s="800">
        <f>SUMIF(Planned_capex_starting_position!$AF:$AF,$A46,Planned_capex_starting_position!BI:BI)</f>
        <v>0</v>
      </c>
      <c r="O46" s="800">
        <f t="shared" si="0"/>
        <v>0</v>
      </c>
      <c r="P46" s="41"/>
      <c r="Q46" s="125"/>
      <c r="R46" s="125"/>
      <c r="T46" s="29"/>
      <c r="U46" s="29"/>
    </row>
    <row r="47" spans="1:21" customFormat="1" hidden="1">
      <c r="A47" s="22" t="s">
        <v>2712</v>
      </c>
      <c r="B47" s="58" t="s">
        <v>1220</v>
      </c>
      <c r="C47" s="58"/>
      <c r="D47" s="800">
        <v>0</v>
      </c>
      <c r="E47" s="800">
        <f>SUMIF(Planned_capex_starting_position!$AF:$AF,$A47,Planned_capex_starting_position!AZ:AZ)</f>
        <v>0</v>
      </c>
      <c r="F47" s="800">
        <f>SUMIF(Planned_capex_starting_position!$AF:$AF,$A47,Planned_capex_starting_position!BA:BA)</f>
        <v>0</v>
      </c>
      <c r="G47" s="800">
        <f>SUMIF(Planned_capex_starting_position!$AF:$AF,$A47,Planned_capex_starting_position!BB:BB)</f>
        <v>0</v>
      </c>
      <c r="H47" s="800">
        <f>SUMIF(Planned_capex_starting_position!$AF:$AF,$A47,Planned_capex_starting_position!BC:BC)</f>
        <v>0</v>
      </c>
      <c r="I47" s="800">
        <f>SUMIF(Planned_capex_starting_position!$AF:$AF,$A47,Planned_capex_starting_position!BD:BD)</f>
        <v>0</v>
      </c>
      <c r="J47" s="800">
        <f>SUMIF(Planned_capex_starting_position!$AF:$AF,$A47,Planned_capex_starting_position!BE:BE)</f>
        <v>0</v>
      </c>
      <c r="K47" s="800">
        <f>SUMIF(Planned_capex_starting_position!$AF:$AF,$A47,Planned_capex_starting_position!BF:BF)</f>
        <v>0</v>
      </c>
      <c r="L47" s="800">
        <f>SUMIF(Planned_capex_starting_position!$AF:$AF,$A47,Planned_capex_starting_position!BG:BG)</f>
        <v>0</v>
      </c>
      <c r="M47" s="800">
        <f>SUMIF(Planned_capex_starting_position!$AF:$AF,$A47,Planned_capex_starting_position!BH:BH)</f>
        <v>0</v>
      </c>
      <c r="N47" s="800">
        <f>SUMIF(Planned_capex_starting_position!$AF:$AF,$A47,Planned_capex_starting_position!BI:BI)</f>
        <v>0</v>
      </c>
      <c r="O47" s="800">
        <f t="shared" si="0"/>
        <v>0</v>
      </c>
      <c r="P47" s="41"/>
      <c r="Q47" s="125"/>
      <c r="R47" s="125"/>
      <c r="T47" s="29"/>
      <c r="U47" s="29"/>
    </row>
    <row r="48" spans="1:21" customFormat="1" hidden="1">
      <c r="A48" s="22" t="s">
        <v>2714</v>
      </c>
      <c r="B48" s="58" t="s">
        <v>2328</v>
      </c>
      <c r="C48" s="31" t="str">
        <f>VLOOKUP($A48,FA_Codes!$D$2:$G$249,4,FALSE)</f>
        <v>Auckland wide</v>
      </c>
      <c r="D48" s="800">
        <v>0</v>
      </c>
      <c r="E48" s="800">
        <f>SUMIF(Planned_capex_starting_position!$AF:$AF,$A48,Planned_capex_starting_position!AZ:AZ)</f>
        <v>0</v>
      </c>
      <c r="F48" s="800">
        <f>SUMIF(Planned_capex_starting_position!$AF:$AF,$A48,Planned_capex_starting_position!BA:BA)</f>
        <v>0</v>
      </c>
      <c r="G48" s="800">
        <f>SUMIF(Planned_capex_starting_position!$AF:$AF,$A48,Planned_capex_starting_position!BB:BB)</f>
        <v>0</v>
      </c>
      <c r="H48" s="800">
        <f>SUMIF(Planned_capex_starting_position!$AF:$AF,$A48,Planned_capex_starting_position!BC:BC)</f>
        <v>0</v>
      </c>
      <c r="I48" s="800">
        <f>SUMIF(Planned_capex_starting_position!$AF:$AF,$A48,Planned_capex_starting_position!BD:BD)</f>
        <v>0</v>
      </c>
      <c r="J48" s="800">
        <f>SUMIF(Planned_capex_starting_position!$AF:$AF,$A48,Planned_capex_starting_position!BE:BE)</f>
        <v>0</v>
      </c>
      <c r="K48" s="800">
        <f>SUMIF(Planned_capex_starting_position!$AF:$AF,$A48,Planned_capex_starting_position!BF:BF)</f>
        <v>0</v>
      </c>
      <c r="L48" s="800">
        <f>SUMIF(Planned_capex_starting_position!$AF:$AF,$A48,Planned_capex_starting_position!BG:BG)</f>
        <v>0</v>
      </c>
      <c r="M48" s="800">
        <f>SUMIF(Planned_capex_starting_position!$AF:$AF,$A48,Planned_capex_starting_position!BH:BH)</f>
        <v>0</v>
      </c>
      <c r="N48" s="800">
        <f>SUMIF(Planned_capex_starting_position!$AF:$AF,$A48,Planned_capex_starting_position!BI:BI)</f>
        <v>0</v>
      </c>
      <c r="O48" s="800">
        <f t="shared" si="0"/>
        <v>0</v>
      </c>
      <c r="P48" s="41"/>
    </row>
    <row r="49" spans="1:16" customFormat="1" hidden="1">
      <c r="A49" s="22" t="s">
        <v>2715</v>
      </c>
      <c r="B49" s="58" t="s">
        <v>2328</v>
      </c>
      <c r="C49" s="31" t="str">
        <f>VLOOKUP($A49,FA_Codes!$D$2:$G$249,4,FALSE)</f>
        <v>Area 2</v>
      </c>
      <c r="D49" s="800">
        <v>0</v>
      </c>
      <c r="E49" s="800">
        <f>SUMIF(Planned_capex_starting_position!$AF:$AF,$A49,Planned_capex_starting_position!AZ:AZ)</f>
        <v>0</v>
      </c>
      <c r="F49" s="800">
        <f>SUMIF(Planned_capex_starting_position!$AF:$AF,$A49,Planned_capex_starting_position!BA:BA)</f>
        <v>0</v>
      </c>
      <c r="G49" s="800">
        <f>SUMIF(Planned_capex_starting_position!$AF:$AF,$A49,Planned_capex_starting_position!BB:BB)</f>
        <v>0</v>
      </c>
      <c r="H49" s="800">
        <f>SUMIF(Planned_capex_starting_position!$AF:$AF,$A49,Planned_capex_starting_position!BC:BC)</f>
        <v>0</v>
      </c>
      <c r="I49" s="800">
        <f>SUMIF(Planned_capex_starting_position!$AF:$AF,$A49,Planned_capex_starting_position!BD:BD)</f>
        <v>0</v>
      </c>
      <c r="J49" s="800">
        <f>SUMIF(Planned_capex_starting_position!$AF:$AF,$A49,Planned_capex_starting_position!BE:BE)</f>
        <v>0</v>
      </c>
      <c r="K49" s="800">
        <f>SUMIF(Planned_capex_starting_position!$AF:$AF,$A49,Planned_capex_starting_position!BF:BF)</f>
        <v>0</v>
      </c>
      <c r="L49" s="800">
        <f>SUMIF(Planned_capex_starting_position!$AF:$AF,$A49,Planned_capex_starting_position!BG:BG)</f>
        <v>0</v>
      </c>
      <c r="M49" s="800">
        <f>SUMIF(Planned_capex_starting_position!$AF:$AF,$A49,Planned_capex_starting_position!BH:BH)</f>
        <v>0</v>
      </c>
      <c r="N49" s="800">
        <f>SUMIF(Planned_capex_starting_position!$AF:$AF,$A49,Planned_capex_starting_position!BI:BI)</f>
        <v>0</v>
      </c>
      <c r="O49" s="800">
        <f t="shared" si="0"/>
        <v>0</v>
      </c>
      <c r="P49" s="41"/>
    </row>
    <row r="50" spans="1:16" customFormat="1" hidden="1">
      <c r="A50" s="22" t="s">
        <v>2716</v>
      </c>
      <c r="B50" s="58" t="s">
        <v>2328</v>
      </c>
      <c r="C50" s="31" t="str">
        <f>VLOOKUP($A50,FA_Codes!$D$2:$G$249,4,FALSE)</f>
        <v>Area 3</v>
      </c>
      <c r="D50" s="800">
        <v>0</v>
      </c>
      <c r="E50" s="800">
        <f>SUMIF(Planned_capex_starting_position!$AF:$AF,$A50,Planned_capex_starting_position!AZ:AZ)</f>
        <v>0</v>
      </c>
      <c r="F50" s="800">
        <f>SUMIF(Planned_capex_starting_position!$AF:$AF,$A50,Planned_capex_starting_position!BA:BA)</f>
        <v>0</v>
      </c>
      <c r="G50" s="800">
        <f>SUMIF(Planned_capex_starting_position!$AF:$AF,$A50,Planned_capex_starting_position!BB:BB)</f>
        <v>0</v>
      </c>
      <c r="H50" s="800">
        <f>SUMIF(Planned_capex_starting_position!$AF:$AF,$A50,Planned_capex_starting_position!BC:BC)</f>
        <v>0</v>
      </c>
      <c r="I50" s="800">
        <f>SUMIF(Planned_capex_starting_position!$AF:$AF,$A50,Planned_capex_starting_position!BD:BD)</f>
        <v>0</v>
      </c>
      <c r="J50" s="800">
        <f>SUMIF(Planned_capex_starting_position!$AF:$AF,$A50,Planned_capex_starting_position!BE:BE)</f>
        <v>0</v>
      </c>
      <c r="K50" s="800">
        <f>SUMIF(Planned_capex_starting_position!$AF:$AF,$A50,Planned_capex_starting_position!BF:BF)</f>
        <v>0</v>
      </c>
      <c r="L50" s="800">
        <f>SUMIF(Planned_capex_starting_position!$AF:$AF,$A50,Planned_capex_starting_position!BG:BG)</f>
        <v>0</v>
      </c>
      <c r="M50" s="800">
        <f>SUMIF(Planned_capex_starting_position!$AF:$AF,$A50,Planned_capex_starting_position!BH:BH)</f>
        <v>0</v>
      </c>
      <c r="N50" s="800">
        <f>SUMIF(Planned_capex_starting_position!$AF:$AF,$A50,Planned_capex_starting_position!BI:BI)</f>
        <v>0</v>
      </c>
      <c r="O50" s="800">
        <f t="shared" si="0"/>
        <v>0</v>
      </c>
      <c r="P50" s="41"/>
    </row>
    <row r="51" spans="1:16" customFormat="1" hidden="1">
      <c r="A51" s="22" t="s">
        <v>2717</v>
      </c>
      <c r="B51" s="58" t="s">
        <v>2328</v>
      </c>
      <c r="C51" s="31" t="str">
        <f>VLOOKUP($A51,FA_Codes!$D$2:$G$249,4,FALSE)</f>
        <v>Area 4</v>
      </c>
      <c r="D51" s="800">
        <v>0</v>
      </c>
      <c r="E51" s="800">
        <f>SUMIF(Planned_capex_starting_position!$AF:$AF,$A51,Planned_capex_starting_position!AZ:AZ)</f>
        <v>0</v>
      </c>
      <c r="F51" s="800">
        <f>SUMIF(Planned_capex_starting_position!$AF:$AF,$A51,Planned_capex_starting_position!BA:BA)</f>
        <v>0</v>
      </c>
      <c r="G51" s="800">
        <f>SUMIF(Planned_capex_starting_position!$AF:$AF,$A51,Planned_capex_starting_position!BB:BB)</f>
        <v>0</v>
      </c>
      <c r="H51" s="800">
        <f>SUMIF(Planned_capex_starting_position!$AF:$AF,$A51,Planned_capex_starting_position!BC:BC)</f>
        <v>0</v>
      </c>
      <c r="I51" s="800">
        <f>SUMIF(Planned_capex_starting_position!$AF:$AF,$A51,Planned_capex_starting_position!BD:BD)</f>
        <v>0</v>
      </c>
      <c r="J51" s="800">
        <f>SUMIF(Planned_capex_starting_position!$AF:$AF,$A51,Planned_capex_starting_position!BE:BE)</f>
        <v>0</v>
      </c>
      <c r="K51" s="800">
        <f>SUMIF(Planned_capex_starting_position!$AF:$AF,$A51,Planned_capex_starting_position!BF:BF)</f>
        <v>0</v>
      </c>
      <c r="L51" s="800">
        <f>SUMIF(Planned_capex_starting_position!$AF:$AF,$A51,Planned_capex_starting_position!BG:BG)</f>
        <v>0</v>
      </c>
      <c r="M51" s="800">
        <f>SUMIF(Planned_capex_starting_position!$AF:$AF,$A51,Planned_capex_starting_position!BH:BH)</f>
        <v>0</v>
      </c>
      <c r="N51" s="800">
        <f>SUMIF(Planned_capex_starting_position!$AF:$AF,$A51,Planned_capex_starting_position!BI:BI)</f>
        <v>0</v>
      </c>
      <c r="O51" s="800">
        <f t="shared" si="0"/>
        <v>0</v>
      </c>
      <c r="P51" s="41"/>
    </row>
    <row r="52" spans="1:16" customFormat="1" hidden="1">
      <c r="A52" s="22" t="s">
        <v>2718</v>
      </c>
      <c r="B52" s="58" t="s">
        <v>2328</v>
      </c>
      <c r="C52" s="31" t="str">
        <f>VLOOKUP($A52,FA_Codes!$D$2:$G$249,4,FALSE)</f>
        <v>Warkworth</v>
      </c>
      <c r="D52" s="800">
        <v>0</v>
      </c>
      <c r="E52" s="800">
        <f>SUMIF(Planned_capex_starting_position!$AF:$AF,$A52,Planned_capex_starting_position!AZ:AZ)</f>
        <v>0</v>
      </c>
      <c r="F52" s="800">
        <f>SUMIF(Planned_capex_starting_position!$AF:$AF,$A52,Planned_capex_starting_position!BA:BA)</f>
        <v>0</v>
      </c>
      <c r="G52" s="800">
        <f>SUMIF(Planned_capex_starting_position!$AF:$AF,$A52,Planned_capex_starting_position!BB:BB)</f>
        <v>0</v>
      </c>
      <c r="H52" s="800">
        <f>SUMIF(Planned_capex_starting_position!$AF:$AF,$A52,Planned_capex_starting_position!BC:BC)</f>
        <v>0</v>
      </c>
      <c r="I52" s="800">
        <f>SUMIF(Planned_capex_starting_position!$AF:$AF,$A52,Planned_capex_starting_position!BD:BD)</f>
        <v>0</v>
      </c>
      <c r="J52" s="800">
        <f>SUMIF(Planned_capex_starting_position!$AF:$AF,$A52,Planned_capex_starting_position!BE:BE)</f>
        <v>0</v>
      </c>
      <c r="K52" s="800">
        <f>SUMIF(Planned_capex_starting_position!$AF:$AF,$A52,Planned_capex_starting_position!BF:BF)</f>
        <v>0</v>
      </c>
      <c r="L52" s="800">
        <f>SUMIF(Planned_capex_starting_position!$AF:$AF,$A52,Planned_capex_starting_position!BG:BG)</f>
        <v>0</v>
      </c>
      <c r="M52" s="800">
        <f>SUMIF(Planned_capex_starting_position!$AF:$AF,$A52,Planned_capex_starting_position!BH:BH)</f>
        <v>0</v>
      </c>
      <c r="N52" s="800">
        <f>SUMIF(Planned_capex_starting_position!$AF:$AF,$A52,Planned_capex_starting_position!BI:BI)</f>
        <v>0</v>
      </c>
      <c r="O52" s="800">
        <f t="shared" si="0"/>
        <v>0</v>
      </c>
      <c r="P52" s="41"/>
    </row>
    <row r="53" spans="1:16" customFormat="1" hidden="1">
      <c r="A53" s="22" t="s">
        <v>2719</v>
      </c>
      <c r="B53" s="58" t="s">
        <v>2328</v>
      </c>
      <c r="C53" s="31" t="str">
        <f>VLOOKUP($A53,FA_Codes!$D$2:$G$249,4,FALSE)</f>
        <v>Dairy Flat</v>
      </c>
      <c r="D53" s="800">
        <v>0</v>
      </c>
      <c r="E53" s="800">
        <f>SUMIF(Planned_capex_starting_position!$AF:$AF,$A53,Planned_capex_starting_position!AZ:AZ)</f>
        <v>0</v>
      </c>
      <c r="F53" s="800">
        <f>SUMIF(Planned_capex_starting_position!$AF:$AF,$A53,Planned_capex_starting_position!BA:BA)</f>
        <v>0</v>
      </c>
      <c r="G53" s="800">
        <f>SUMIF(Planned_capex_starting_position!$AF:$AF,$A53,Planned_capex_starting_position!BB:BB)</f>
        <v>0</v>
      </c>
      <c r="H53" s="800">
        <f>SUMIF(Planned_capex_starting_position!$AF:$AF,$A53,Planned_capex_starting_position!BC:BC)</f>
        <v>0</v>
      </c>
      <c r="I53" s="800">
        <f>SUMIF(Planned_capex_starting_position!$AF:$AF,$A53,Planned_capex_starting_position!BD:BD)</f>
        <v>0</v>
      </c>
      <c r="J53" s="800">
        <f>SUMIF(Planned_capex_starting_position!$AF:$AF,$A53,Planned_capex_starting_position!BE:BE)</f>
        <v>0</v>
      </c>
      <c r="K53" s="800">
        <f>SUMIF(Planned_capex_starting_position!$AF:$AF,$A53,Planned_capex_starting_position!BF:BF)</f>
        <v>0</v>
      </c>
      <c r="L53" s="800">
        <f>SUMIF(Planned_capex_starting_position!$AF:$AF,$A53,Planned_capex_starting_position!BG:BG)</f>
        <v>0</v>
      </c>
      <c r="M53" s="800">
        <f>SUMIF(Planned_capex_starting_position!$AF:$AF,$A53,Planned_capex_starting_position!BH:BH)</f>
        <v>0</v>
      </c>
      <c r="N53" s="800">
        <f>SUMIF(Planned_capex_starting_position!$AF:$AF,$A53,Planned_capex_starting_position!BI:BI)</f>
        <v>0</v>
      </c>
      <c r="O53" s="800">
        <f t="shared" si="0"/>
        <v>0</v>
      </c>
      <c r="P53" s="41"/>
    </row>
    <row r="54" spans="1:16" customFormat="1" hidden="1">
      <c r="A54" s="22" t="s">
        <v>2720</v>
      </c>
      <c r="B54" s="58" t="s">
        <v>2328</v>
      </c>
      <c r="C54" s="31" t="str">
        <f>VLOOKUP($A54,FA_Codes!$D$2:$G$249,4,FALSE)</f>
        <v>Northwest</v>
      </c>
      <c r="D54" s="800">
        <v>0</v>
      </c>
      <c r="E54" s="800">
        <f>SUMIF(Planned_capex_starting_position!$AF:$AF,$A54,Planned_capex_starting_position!AZ:AZ)</f>
        <v>0</v>
      </c>
      <c r="F54" s="800">
        <f>SUMIF(Planned_capex_starting_position!$AF:$AF,$A54,Planned_capex_starting_position!BA:BA)</f>
        <v>0</v>
      </c>
      <c r="G54" s="800">
        <f>SUMIF(Planned_capex_starting_position!$AF:$AF,$A54,Planned_capex_starting_position!BB:BB)</f>
        <v>0</v>
      </c>
      <c r="H54" s="800">
        <f>SUMIF(Planned_capex_starting_position!$AF:$AF,$A54,Planned_capex_starting_position!BC:BC)</f>
        <v>0</v>
      </c>
      <c r="I54" s="800">
        <f>SUMIF(Planned_capex_starting_position!$AF:$AF,$A54,Planned_capex_starting_position!BD:BD)</f>
        <v>0</v>
      </c>
      <c r="J54" s="800">
        <f>SUMIF(Planned_capex_starting_position!$AF:$AF,$A54,Planned_capex_starting_position!BE:BE)</f>
        <v>0</v>
      </c>
      <c r="K54" s="800">
        <f>SUMIF(Planned_capex_starting_position!$AF:$AF,$A54,Planned_capex_starting_position!BF:BF)</f>
        <v>0</v>
      </c>
      <c r="L54" s="800">
        <f>SUMIF(Planned_capex_starting_position!$AF:$AF,$A54,Planned_capex_starting_position!BG:BG)</f>
        <v>0</v>
      </c>
      <c r="M54" s="800">
        <f>SUMIF(Planned_capex_starting_position!$AF:$AF,$A54,Planned_capex_starting_position!BH:BH)</f>
        <v>0</v>
      </c>
      <c r="N54" s="800">
        <f>SUMIF(Planned_capex_starting_position!$AF:$AF,$A54,Planned_capex_starting_position!BI:BI)</f>
        <v>0</v>
      </c>
      <c r="O54" s="800">
        <f t="shared" si="0"/>
        <v>0</v>
      </c>
      <c r="P54" s="41"/>
    </row>
    <row r="55" spans="1:16" customFormat="1" hidden="1">
      <c r="A55" s="22" t="s">
        <v>2721</v>
      </c>
      <c r="B55" s="58" t="s">
        <v>2328</v>
      </c>
      <c r="C55" s="31" t="str">
        <f>VLOOKUP($A55,FA_Codes!$D$2:$G$249,4,FALSE)</f>
        <v>Area 8</v>
      </c>
      <c r="D55" s="800">
        <v>0</v>
      </c>
      <c r="E55" s="800">
        <f>SUMIF(Planned_capex_starting_position!$AF:$AF,$A55,Planned_capex_starting_position!AZ:AZ)</f>
        <v>0</v>
      </c>
      <c r="F55" s="800">
        <f>SUMIF(Planned_capex_starting_position!$AF:$AF,$A55,Planned_capex_starting_position!BA:BA)</f>
        <v>0</v>
      </c>
      <c r="G55" s="800">
        <f>SUMIF(Planned_capex_starting_position!$AF:$AF,$A55,Planned_capex_starting_position!BB:BB)</f>
        <v>0</v>
      </c>
      <c r="H55" s="800">
        <f>SUMIF(Planned_capex_starting_position!$AF:$AF,$A55,Planned_capex_starting_position!BC:BC)</f>
        <v>0</v>
      </c>
      <c r="I55" s="800">
        <f>SUMIF(Planned_capex_starting_position!$AF:$AF,$A55,Planned_capex_starting_position!BD:BD)</f>
        <v>0</v>
      </c>
      <c r="J55" s="800">
        <f>SUMIF(Planned_capex_starting_position!$AF:$AF,$A55,Planned_capex_starting_position!BE:BE)</f>
        <v>0</v>
      </c>
      <c r="K55" s="800">
        <f>SUMIF(Planned_capex_starting_position!$AF:$AF,$A55,Planned_capex_starting_position!BF:BF)</f>
        <v>0</v>
      </c>
      <c r="L55" s="800">
        <f>SUMIF(Planned_capex_starting_position!$AF:$AF,$A55,Planned_capex_starting_position!BG:BG)</f>
        <v>0</v>
      </c>
      <c r="M55" s="800">
        <f>SUMIF(Planned_capex_starting_position!$AF:$AF,$A55,Planned_capex_starting_position!BH:BH)</f>
        <v>0</v>
      </c>
      <c r="N55" s="800">
        <f>SUMIF(Planned_capex_starting_position!$AF:$AF,$A55,Planned_capex_starting_position!BI:BI)</f>
        <v>0</v>
      </c>
      <c r="O55" s="800">
        <f t="shared" si="0"/>
        <v>0</v>
      </c>
      <c r="P55" s="41"/>
    </row>
    <row r="56" spans="1:16" customFormat="1" hidden="1">
      <c r="A56" s="22" t="s">
        <v>2722</v>
      </c>
      <c r="B56" s="58" t="s">
        <v>2328</v>
      </c>
      <c r="C56" s="31" t="str">
        <f>VLOOKUP($A56,FA_Codes!$D$2:$G$249,4,FALSE)</f>
        <v>Area 9</v>
      </c>
      <c r="D56" s="800">
        <v>0</v>
      </c>
      <c r="E56" s="800">
        <f>SUMIF(Planned_capex_starting_position!$AF:$AF,$A56,Planned_capex_starting_position!AZ:AZ)</f>
        <v>0</v>
      </c>
      <c r="F56" s="800">
        <f>SUMIF(Planned_capex_starting_position!$AF:$AF,$A56,Planned_capex_starting_position!BA:BA)</f>
        <v>0</v>
      </c>
      <c r="G56" s="800">
        <f>SUMIF(Planned_capex_starting_position!$AF:$AF,$A56,Planned_capex_starting_position!BB:BB)</f>
        <v>0</v>
      </c>
      <c r="H56" s="800">
        <f>SUMIF(Planned_capex_starting_position!$AF:$AF,$A56,Planned_capex_starting_position!BC:BC)</f>
        <v>0</v>
      </c>
      <c r="I56" s="800">
        <f>SUMIF(Planned_capex_starting_position!$AF:$AF,$A56,Planned_capex_starting_position!BD:BD)</f>
        <v>0</v>
      </c>
      <c r="J56" s="800">
        <f>SUMIF(Planned_capex_starting_position!$AF:$AF,$A56,Planned_capex_starting_position!BE:BE)</f>
        <v>0</v>
      </c>
      <c r="K56" s="800">
        <f>SUMIF(Planned_capex_starting_position!$AF:$AF,$A56,Planned_capex_starting_position!BF:BF)</f>
        <v>0</v>
      </c>
      <c r="L56" s="800">
        <f>SUMIF(Planned_capex_starting_position!$AF:$AF,$A56,Planned_capex_starting_position!BG:BG)</f>
        <v>0</v>
      </c>
      <c r="M56" s="800">
        <f>SUMIF(Planned_capex_starting_position!$AF:$AF,$A56,Planned_capex_starting_position!BH:BH)</f>
        <v>0</v>
      </c>
      <c r="N56" s="800">
        <f>SUMIF(Planned_capex_starting_position!$AF:$AF,$A56,Planned_capex_starting_position!BI:BI)</f>
        <v>0</v>
      </c>
      <c r="O56" s="800">
        <f t="shared" si="0"/>
        <v>0</v>
      </c>
      <c r="P56" s="41"/>
    </row>
    <row r="57" spans="1:16" customFormat="1" hidden="1">
      <c r="A57" s="22" t="s">
        <v>2723</v>
      </c>
      <c r="B57" s="58" t="s">
        <v>2328</v>
      </c>
      <c r="C57" s="31" t="str">
        <f>VLOOKUP($A57,FA_Codes!$D$2:$G$249,4,FALSE)</f>
        <v>Flatbush</v>
      </c>
      <c r="D57" s="800">
        <v>0</v>
      </c>
      <c r="E57" s="800">
        <f>SUMIF(Planned_capex_starting_position!$AF:$AF,$A57,Planned_capex_starting_position!AZ:AZ)</f>
        <v>0</v>
      </c>
      <c r="F57" s="800">
        <f>SUMIF(Planned_capex_starting_position!$AF:$AF,$A57,Planned_capex_starting_position!BA:BA)</f>
        <v>0</v>
      </c>
      <c r="G57" s="800">
        <f>SUMIF(Planned_capex_starting_position!$AF:$AF,$A57,Planned_capex_starting_position!BB:BB)</f>
        <v>0</v>
      </c>
      <c r="H57" s="800">
        <f>SUMIF(Planned_capex_starting_position!$AF:$AF,$A57,Planned_capex_starting_position!BC:BC)</f>
        <v>0</v>
      </c>
      <c r="I57" s="800">
        <f>SUMIF(Planned_capex_starting_position!$AF:$AF,$A57,Planned_capex_starting_position!BD:BD)</f>
        <v>0</v>
      </c>
      <c r="J57" s="800">
        <f>SUMIF(Planned_capex_starting_position!$AF:$AF,$A57,Planned_capex_starting_position!BE:BE)</f>
        <v>0</v>
      </c>
      <c r="K57" s="800">
        <f>SUMIF(Planned_capex_starting_position!$AF:$AF,$A57,Planned_capex_starting_position!BF:BF)</f>
        <v>0</v>
      </c>
      <c r="L57" s="800">
        <f>SUMIF(Planned_capex_starting_position!$AF:$AF,$A57,Planned_capex_starting_position!BG:BG)</f>
        <v>0</v>
      </c>
      <c r="M57" s="800">
        <f>SUMIF(Planned_capex_starting_position!$AF:$AF,$A57,Planned_capex_starting_position!BH:BH)</f>
        <v>0</v>
      </c>
      <c r="N57" s="800">
        <f>SUMIF(Planned_capex_starting_position!$AF:$AF,$A57,Planned_capex_starting_position!BI:BI)</f>
        <v>0</v>
      </c>
      <c r="O57" s="800">
        <f t="shared" si="0"/>
        <v>0</v>
      </c>
      <c r="P57" s="41"/>
    </row>
    <row r="58" spans="1:16" customFormat="1" hidden="1">
      <c r="A58" s="22" t="s">
        <v>2724</v>
      </c>
      <c r="B58" s="58" t="s">
        <v>2328</v>
      </c>
      <c r="C58" s="31" t="str">
        <f>VLOOKUP($A58,FA_Codes!$D$2:$G$249,4,FALSE)</f>
        <v>Takanini</v>
      </c>
      <c r="D58" s="800">
        <v>0</v>
      </c>
      <c r="E58" s="800">
        <f>SUMIF(Planned_capex_starting_position!$AF:$AF,$A58,Planned_capex_starting_position!AZ:AZ)</f>
        <v>0</v>
      </c>
      <c r="F58" s="800">
        <f>SUMIF(Planned_capex_starting_position!$AF:$AF,$A58,Planned_capex_starting_position!BA:BA)</f>
        <v>0</v>
      </c>
      <c r="G58" s="800">
        <f>SUMIF(Planned_capex_starting_position!$AF:$AF,$A58,Planned_capex_starting_position!BB:BB)</f>
        <v>0</v>
      </c>
      <c r="H58" s="800">
        <f>SUMIF(Planned_capex_starting_position!$AF:$AF,$A58,Planned_capex_starting_position!BC:BC)</f>
        <v>0</v>
      </c>
      <c r="I58" s="800">
        <f>SUMIF(Planned_capex_starting_position!$AF:$AF,$A58,Planned_capex_starting_position!BD:BD)</f>
        <v>0</v>
      </c>
      <c r="J58" s="800">
        <f>SUMIF(Planned_capex_starting_position!$AF:$AF,$A58,Planned_capex_starting_position!BE:BE)</f>
        <v>0</v>
      </c>
      <c r="K58" s="800">
        <f>SUMIF(Planned_capex_starting_position!$AF:$AF,$A58,Planned_capex_starting_position!BF:BF)</f>
        <v>0</v>
      </c>
      <c r="L58" s="800">
        <f>SUMIF(Planned_capex_starting_position!$AF:$AF,$A58,Planned_capex_starting_position!BG:BG)</f>
        <v>0</v>
      </c>
      <c r="M58" s="800">
        <f>SUMIF(Planned_capex_starting_position!$AF:$AF,$A58,Planned_capex_starting_position!BH:BH)</f>
        <v>0</v>
      </c>
      <c r="N58" s="800">
        <f>SUMIF(Planned_capex_starting_position!$AF:$AF,$A58,Planned_capex_starting_position!BI:BI)</f>
        <v>0</v>
      </c>
      <c r="O58" s="800">
        <f t="shared" si="0"/>
        <v>0</v>
      </c>
      <c r="P58" s="41"/>
    </row>
    <row r="59" spans="1:16" customFormat="1" hidden="1">
      <c r="A59" s="22" t="s">
        <v>2726</v>
      </c>
      <c r="B59" s="58" t="s">
        <v>2328</v>
      </c>
      <c r="C59" s="31" t="str">
        <f>VLOOKUP($A59,FA_Codes!$D$2:$G$249,4,FALSE)</f>
        <v>Hingaia</v>
      </c>
      <c r="D59" s="800">
        <v>0</v>
      </c>
      <c r="E59" s="800">
        <f>SUMIF(Planned_capex_starting_position!$AF:$AF,$A59,Planned_capex_starting_position!AZ:AZ)</f>
        <v>0</v>
      </c>
      <c r="F59" s="800">
        <f>SUMIF(Planned_capex_starting_position!$AF:$AF,$A59,Planned_capex_starting_position!BA:BA)</f>
        <v>0</v>
      </c>
      <c r="G59" s="800">
        <f>SUMIF(Planned_capex_starting_position!$AF:$AF,$A59,Planned_capex_starting_position!BB:BB)</f>
        <v>0</v>
      </c>
      <c r="H59" s="800">
        <f>SUMIF(Planned_capex_starting_position!$AF:$AF,$A59,Planned_capex_starting_position!BC:BC)</f>
        <v>0</v>
      </c>
      <c r="I59" s="800">
        <f>SUMIF(Planned_capex_starting_position!$AF:$AF,$A59,Planned_capex_starting_position!BD:BD)</f>
        <v>0</v>
      </c>
      <c r="J59" s="800">
        <f>SUMIF(Planned_capex_starting_position!$AF:$AF,$A59,Planned_capex_starting_position!BE:BE)</f>
        <v>0</v>
      </c>
      <c r="K59" s="800">
        <f>SUMIF(Planned_capex_starting_position!$AF:$AF,$A59,Planned_capex_starting_position!BF:BF)</f>
        <v>0</v>
      </c>
      <c r="L59" s="800">
        <f>SUMIF(Planned_capex_starting_position!$AF:$AF,$A59,Planned_capex_starting_position!BG:BG)</f>
        <v>0</v>
      </c>
      <c r="M59" s="800">
        <f>SUMIF(Planned_capex_starting_position!$AF:$AF,$A59,Planned_capex_starting_position!BH:BH)</f>
        <v>0</v>
      </c>
      <c r="N59" s="800">
        <f>SUMIF(Planned_capex_starting_position!$AF:$AF,$A59,Planned_capex_starting_position!BI:BI)</f>
        <v>0</v>
      </c>
      <c r="O59" s="800">
        <f t="shared" si="0"/>
        <v>0</v>
      </c>
      <c r="P59" s="41"/>
    </row>
    <row r="60" spans="1:16" customFormat="1" hidden="1">
      <c r="A60" s="22" t="s">
        <v>2727</v>
      </c>
      <c r="B60" s="58" t="s">
        <v>2328</v>
      </c>
      <c r="C60" s="31" t="str">
        <f>VLOOKUP($A60,FA_Codes!$D$2:$G$249,4,FALSE)</f>
        <v>Paerata / Pukekohe</v>
      </c>
      <c r="D60" s="800">
        <v>0</v>
      </c>
      <c r="E60" s="800">
        <f>SUMIF(Planned_capex_starting_position!$AF:$AF,$A60,Planned_capex_starting_position!AZ:AZ)</f>
        <v>0</v>
      </c>
      <c r="F60" s="800">
        <f>SUMIF(Planned_capex_starting_position!$AF:$AF,$A60,Planned_capex_starting_position!BA:BA)</f>
        <v>0</v>
      </c>
      <c r="G60" s="800">
        <f>SUMIF(Planned_capex_starting_position!$AF:$AF,$A60,Planned_capex_starting_position!BB:BB)</f>
        <v>0</v>
      </c>
      <c r="H60" s="800">
        <f>SUMIF(Planned_capex_starting_position!$AF:$AF,$A60,Planned_capex_starting_position!BC:BC)</f>
        <v>0</v>
      </c>
      <c r="I60" s="800">
        <f>SUMIF(Planned_capex_starting_position!$AF:$AF,$A60,Planned_capex_starting_position!BD:BD)</f>
        <v>0</v>
      </c>
      <c r="J60" s="800">
        <f>SUMIF(Planned_capex_starting_position!$AF:$AF,$A60,Planned_capex_starting_position!BE:BE)</f>
        <v>0</v>
      </c>
      <c r="K60" s="800">
        <f>SUMIF(Planned_capex_starting_position!$AF:$AF,$A60,Planned_capex_starting_position!BF:BF)</f>
        <v>0</v>
      </c>
      <c r="L60" s="800">
        <f>SUMIF(Planned_capex_starting_position!$AF:$AF,$A60,Planned_capex_starting_position!BG:BG)</f>
        <v>0</v>
      </c>
      <c r="M60" s="800">
        <f>SUMIF(Planned_capex_starting_position!$AF:$AF,$A60,Planned_capex_starting_position!BH:BH)</f>
        <v>0</v>
      </c>
      <c r="N60" s="800">
        <f>SUMIF(Planned_capex_starting_position!$AF:$AF,$A60,Planned_capex_starting_position!BI:BI)</f>
        <v>0</v>
      </c>
      <c r="O60" s="800">
        <f t="shared" si="0"/>
        <v>0</v>
      </c>
      <c r="P60" s="41"/>
    </row>
    <row r="61" spans="1:16" customFormat="1" hidden="1">
      <c r="A61" s="22" t="s">
        <v>2728</v>
      </c>
      <c r="B61" s="58" t="s">
        <v>2328</v>
      </c>
      <c r="C61" s="31" t="str">
        <f>VLOOKUP($A61,FA_Codes!$D$2:$G$249,4,FALSE)</f>
        <v>Hibiscus</v>
      </c>
      <c r="D61" s="800">
        <v>0</v>
      </c>
      <c r="E61" s="800">
        <f>SUMIF(Planned_capex_starting_position!$AF:$AF,$A61,Planned_capex_starting_position!AZ:AZ)</f>
        <v>0</v>
      </c>
      <c r="F61" s="800">
        <f>SUMIF(Planned_capex_starting_position!$AF:$AF,$A61,Planned_capex_starting_position!BA:BA)</f>
        <v>0</v>
      </c>
      <c r="G61" s="800">
        <f>SUMIF(Planned_capex_starting_position!$AF:$AF,$A61,Planned_capex_starting_position!BB:BB)</f>
        <v>0</v>
      </c>
      <c r="H61" s="800">
        <f>SUMIF(Planned_capex_starting_position!$AF:$AF,$A61,Planned_capex_starting_position!BC:BC)</f>
        <v>0</v>
      </c>
      <c r="I61" s="800">
        <f>SUMIF(Planned_capex_starting_position!$AF:$AF,$A61,Planned_capex_starting_position!BD:BD)</f>
        <v>0</v>
      </c>
      <c r="J61" s="800">
        <f>SUMIF(Planned_capex_starting_position!$AF:$AF,$A61,Planned_capex_starting_position!BE:BE)</f>
        <v>0</v>
      </c>
      <c r="K61" s="800">
        <f>SUMIF(Planned_capex_starting_position!$AF:$AF,$A61,Planned_capex_starting_position!BF:BF)</f>
        <v>0</v>
      </c>
      <c r="L61" s="800">
        <f>SUMIF(Planned_capex_starting_position!$AF:$AF,$A61,Planned_capex_starting_position!BG:BG)</f>
        <v>0</v>
      </c>
      <c r="M61" s="800">
        <f>SUMIF(Planned_capex_starting_position!$AF:$AF,$A61,Planned_capex_starting_position!BH:BH)</f>
        <v>0</v>
      </c>
      <c r="N61" s="800">
        <f>SUMIF(Planned_capex_starting_position!$AF:$AF,$A61,Planned_capex_starting_position!BI:BI)</f>
        <v>0</v>
      </c>
      <c r="O61" s="800">
        <f t="shared" si="0"/>
        <v>0</v>
      </c>
      <c r="P61" s="41"/>
    </row>
    <row r="62" spans="1:16" customFormat="1" hidden="1">
      <c r="A62" s="22" t="s">
        <v>2729</v>
      </c>
      <c r="B62" s="58" t="s">
        <v>2328</v>
      </c>
      <c r="C62" s="31" t="str">
        <f>VLOOKUP($A62,FA_Codes!$D$2:$G$249,4,FALSE)</f>
        <v>North Shore</v>
      </c>
      <c r="D62" s="800">
        <v>0</v>
      </c>
      <c r="E62" s="800">
        <f>SUMIF(Planned_capex_starting_position!$AF:$AF,$A62,Planned_capex_starting_position!AZ:AZ)</f>
        <v>0</v>
      </c>
      <c r="F62" s="800">
        <f>SUMIF(Planned_capex_starting_position!$AF:$AF,$A62,Planned_capex_starting_position!BA:BA)</f>
        <v>0</v>
      </c>
      <c r="G62" s="800">
        <f>SUMIF(Planned_capex_starting_position!$AF:$AF,$A62,Planned_capex_starting_position!BB:BB)</f>
        <v>0</v>
      </c>
      <c r="H62" s="800">
        <f>SUMIF(Planned_capex_starting_position!$AF:$AF,$A62,Planned_capex_starting_position!BC:BC)</f>
        <v>0</v>
      </c>
      <c r="I62" s="800">
        <f>SUMIF(Planned_capex_starting_position!$AF:$AF,$A62,Planned_capex_starting_position!BD:BD)</f>
        <v>0</v>
      </c>
      <c r="J62" s="800">
        <f>SUMIF(Planned_capex_starting_position!$AF:$AF,$A62,Planned_capex_starting_position!BE:BE)</f>
        <v>0</v>
      </c>
      <c r="K62" s="800">
        <f>SUMIF(Planned_capex_starting_position!$AF:$AF,$A62,Planned_capex_starting_position!BF:BF)</f>
        <v>0</v>
      </c>
      <c r="L62" s="800">
        <f>SUMIF(Planned_capex_starting_position!$AF:$AF,$A62,Planned_capex_starting_position!BG:BG)</f>
        <v>0</v>
      </c>
      <c r="M62" s="800">
        <f>SUMIF(Planned_capex_starting_position!$AF:$AF,$A62,Planned_capex_starting_position!BH:BH)</f>
        <v>0</v>
      </c>
      <c r="N62" s="800">
        <f>SUMIF(Planned_capex_starting_position!$AF:$AF,$A62,Planned_capex_starting_position!BI:BI)</f>
        <v>0</v>
      </c>
      <c r="O62" s="800">
        <f t="shared" si="0"/>
        <v>0</v>
      </c>
      <c r="P62" s="41"/>
    </row>
    <row r="63" spans="1:16" customFormat="1" hidden="1">
      <c r="A63" s="22" t="s">
        <v>2730</v>
      </c>
      <c r="B63" s="58" t="s">
        <v>2328</v>
      </c>
      <c r="C63" s="31" t="str">
        <f>VLOOKUP($A63,FA_Codes!$D$2:$G$249,4,FALSE)</f>
        <v>West</v>
      </c>
      <c r="D63" s="800">
        <v>0</v>
      </c>
      <c r="E63" s="800">
        <f>SUMIF(Planned_capex_starting_position!$AF:$AF,$A63,Planned_capex_starting_position!AZ:AZ)</f>
        <v>0</v>
      </c>
      <c r="F63" s="800">
        <f>SUMIF(Planned_capex_starting_position!$AF:$AF,$A63,Planned_capex_starting_position!BA:BA)</f>
        <v>0</v>
      </c>
      <c r="G63" s="800">
        <f>SUMIF(Planned_capex_starting_position!$AF:$AF,$A63,Planned_capex_starting_position!BB:BB)</f>
        <v>0</v>
      </c>
      <c r="H63" s="800">
        <f>SUMIF(Planned_capex_starting_position!$AF:$AF,$A63,Planned_capex_starting_position!BC:BC)</f>
        <v>0</v>
      </c>
      <c r="I63" s="800">
        <f>SUMIF(Planned_capex_starting_position!$AF:$AF,$A63,Planned_capex_starting_position!BD:BD)</f>
        <v>0</v>
      </c>
      <c r="J63" s="800">
        <f>SUMIF(Planned_capex_starting_position!$AF:$AF,$A63,Planned_capex_starting_position!BE:BE)</f>
        <v>0</v>
      </c>
      <c r="K63" s="800">
        <f>SUMIF(Planned_capex_starting_position!$AF:$AF,$A63,Planned_capex_starting_position!BF:BF)</f>
        <v>0</v>
      </c>
      <c r="L63" s="800">
        <f>SUMIF(Planned_capex_starting_position!$AF:$AF,$A63,Planned_capex_starting_position!BG:BG)</f>
        <v>0</v>
      </c>
      <c r="M63" s="800">
        <f>SUMIF(Planned_capex_starting_position!$AF:$AF,$A63,Planned_capex_starting_position!BH:BH)</f>
        <v>0</v>
      </c>
      <c r="N63" s="800">
        <f>SUMIF(Planned_capex_starting_position!$AF:$AF,$A63,Planned_capex_starting_position!BI:BI)</f>
        <v>0</v>
      </c>
      <c r="O63" s="800">
        <f t="shared" si="0"/>
        <v>0</v>
      </c>
      <c r="P63" s="41"/>
    </row>
    <row r="64" spans="1:16" customFormat="1" hidden="1">
      <c r="A64" s="22" t="s">
        <v>2731</v>
      </c>
      <c r="B64" s="58" t="s">
        <v>2328</v>
      </c>
      <c r="C64" s="31" t="str">
        <f>VLOOKUP($A64,FA_Codes!$D$2:$G$249,4,FALSE)</f>
        <v>Central</v>
      </c>
      <c r="D64" s="800">
        <v>0</v>
      </c>
      <c r="E64" s="800">
        <f>SUMIF(Planned_capex_starting_position!$AF:$AF,$A64,Planned_capex_starting_position!AZ:AZ)</f>
        <v>0</v>
      </c>
      <c r="F64" s="800">
        <f>SUMIF(Planned_capex_starting_position!$AF:$AF,$A64,Planned_capex_starting_position!BA:BA)</f>
        <v>0</v>
      </c>
      <c r="G64" s="800">
        <f>SUMIF(Planned_capex_starting_position!$AF:$AF,$A64,Planned_capex_starting_position!BB:BB)</f>
        <v>0</v>
      </c>
      <c r="H64" s="800">
        <f>SUMIF(Planned_capex_starting_position!$AF:$AF,$A64,Planned_capex_starting_position!BC:BC)</f>
        <v>0</v>
      </c>
      <c r="I64" s="800">
        <f>SUMIF(Planned_capex_starting_position!$AF:$AF,$A64,Planned_capex_starting_position!BD:BD)</f>
        <v>0</v>
      </c>
      <c r="J64" s="800">
        <f>SUMIF(Planned_capex_starting_position!$AF:$AF,$A64,Planned_capex_starting_position!BE:BE)</f>
        <v>0</v>
      </c>
      <c r="K64" s="800">
        <f>SUMIF(Planned_capex_starting_position!$AF:$AF,$A64,Planned_capex_starting_position!BF:BF)</f>
        <v>0</v>
      </c>
      <c r="L64" s="800">
        <f>SUMIF(Planned_capex_starting_position!$AF:$AF,$A64,Planned_capex_starting_position!BG:BG)</f>
        <v>0</v>
      </c>
      <c r="M64" s="800">
        <f>SUMIF(Planned_capex_starting_position!$AF:$AF,$A64,Planned_capex_starting_position!BH:BH)</f>
        <v>0</v>
      </c>
      <c r="N64" s="800">
        <f>SUMIF(Planned_capex_starting_position!$AF:$AF,$A64,Planned_capex_starting_position!BI:BI)</f>
        <v>0</v>
      </c>
      <c r="O64" s="800">
        <f t="shared" si="0"/>
        <v>0</v>
      </c>
      <c r="P64" s="41"/>
    </row>
    <row r="65" spans="1:21" customFormat="1" hidden="1">
      <c r="A65" s="22" t="s">
        <v>2732</v>
      </c>
      <c r="B65" s="58" t="s">
        <v>2328</v>
      </c>
      <c r="C65" s="31" t="str">
        <f>VLOOKUP($A65,FA_Codes!$D$2:$G$249,4,FALSE)</f>
        <v>South (West)</v>
      </c>
      <c r="D65" s="800">
        <v>0</v>
      </c>
      <c r="E65" s="800">
        <f>SUMIF(Planned_capex_starting_position!$AF:$AF,$A65,Planned_capex_starting_position!AZ:AZ)</f>
        <v>0</v>
      </c>
      <c r="F65" s="800">
        <f>SUMIF(Planned_capex_starting_position!$AF:$AF,$A65,Planned_capex_starting_position!BA:BA)</f>
        <v>0</v>
      </c>
      <c r="G65" s="800">
        <f>SUMIF(Planned_capex_starting_position!$AF:$AF,$A65,Planned_capex_starting_position!BB:BB)</f>
        <v>0</v>
      </c>
      <c r="H65" s="800">
        <f>SUMIF(Planned_capex_starting_position!$AF:$AF,$A65,Planned_capex_starting_position!BC:BC)</f>
        <v>0</v>
      </c>
      <c r="I65" s="800">
        <f>SUMIF(Planned_capex_starting_position!$AF:$AF,$A65,Planned_capex_starting_position!BD:BD)</f>
        <v>0</v>
      </c>
      <c r="J65" s="800">
        <f>SUMIF(Planned_capex_starting_position!$AF:$AF,$A65,Planned_capex_starting_position!BE:BE)</f>
        <v>0</v>
      </c>
      <c r="K65" s="800">
        <f>SUMIF(Planned_capex_starting_position!$AF:$AF,$A65,Planned_capex_starting_position!BF:BF)</f>
        <v>0</v>
      </c>
      <c r="L65" s="800">
        <f>SUMIF(Planned_capex_starting_position!$AF:$AF,$A65,Planned_capex_starting_position!BG:BG)</f>
        <v>0</v>
      </c>
      <c r="M65" s="800">
        <f>SUMIF(Planned_capex_starting_position!$AF:$AF,$A65,Planned_capex_starting_position!BH:BH)</f>
        <v>0</v>
      </c>
      <c r="N65" s="800">
        <f>SUMIF(Planned_capex_starting_position!$AF:$AF,$A65,Planned_capex_starting_position!BI:BI)</f>
        <v>0</v>
      </c>
      <c r="O65" s="800">
        <f t="shared" si="0"/>
        <v>0</v>
      </c>
      <c r="P65" s="41"/>
      <c r="Q65" s="125"/>
      <c r="R65" s="125"/>
      <c r="T65" s="29"/>
      <c r="U65" s="29"/>
    </row>
    <row r="66" spans="1:21" customFormat="1" hidden="1">
      <c r="A66" s="22" t="s">
        <v>2733</v>
      </c>
      <c r="B66" s="58" t="s">
        <v>2328</v>
      </c>
      <c r="C66" s="31" t="str">
        <f>VLOOKUP($A66,FA_Codes!$D$2:$G$249,4,FALSE)</f>
        <v>South (East)</v>
      </c>
      <c r="D66" s="800">
        <v>0</v>
      </c>
      <c r="E66" s="800">
        <f>SUMIF(Planned_capex_starting_position!$AF:$AF,$A66,Planned_capex_starting_position!AZ:AZ)</f>
        <v>0</v>
      </c>
      <c r="F66" s="800">
        <f>SUMIF(Planned_capex_starting_position!$AF:$AF,$A66,Planned_capex_starting_position!BA:BA)</f>
        <v>0</v>
      </c>
      <c r="G66" s="800">
        <f>SUMIF(Planned_capex_starting_position!$AF:$AF,$A66,Planned_capex_starting_position!BB:BB)</f>
        <v>0</v>
      </c>
      <c r="H66" s="800">
        <f>SUMIF(Planned_capex_starting_position!$AF:$AF,$A66,Planned_capex_starting_position!BC:BC)</f>
        <v>0</v>
      </c>
      <c r="I66" s="800">
        <f>SUMIF(Planned_capex_starting_position!$AF:$AF,$A66,Planned_capex_starting_position!BD:BD)</f>
        <v>0</v>
      </c>
      <c r="J66" s="800">
        <f>SUMIF(Planned_capex_starting_position!$AF:$AF,$A66,Planned_capex_starting_position!BE:BE)</f>
        <v>0</v>
      </c>
      <c r="K66" s="800">
        <f>SUMIF(Planned_capex_starting_position!$AF:$AF,$A66,Planned_capex_starting_position!BF:BF)</f>
        <v>0</v>
      </c>
      <c r="L66" s="800">
        <f>SUMIF(Planned_capex_starting_position!$AF:$AF,$A66,Planned_capex_starting_position!BG:BG)</f>
        <v>0</v>
      </c>
      <c r="M66" s="800">
        <f>SUMIF(Planned_capex_starting_position!$AF:$AF,$A66,Planned_capex_starting_position!BH:BH)</f>
        <v>0</v>
      </c>
      <c r="N66" s="800">
        <f>SUMIF(Planned_capex_starting_position!$AF:$AF,$A66,Planned_capex_starting_position!BI:BI)</f>
        <v>0</v>
      </c>
      <c r="O66" s="800">
        <f t="shared" si="0"/>
        <v>0</v>
      </c>
      <c r="P66" s="41"/>
      <c r="Q66" s="125"/>
      <c r="R66" s="125"/>
      <c r="T66" s="29"/>
      <c r="U66" s="29"/>
    </row>
    <row r="67" spans="1:21" customFormat="1" hidden="1">
      <c r="A67" s="22" t="s">
        <v>2734</v>
      </c>
      <c r="B67" s="58" t="s">
        <v>2328</v>
      </c>
      <c r="C67" s="31" t="str">
        <f>VLOOKUP($A67,FA_Codes!$D$2:$G$249,4,FALSE)</f>
        <v>Rural North Upper</v>
      </c>
      <c r="D67" s="800">
        <v>0</v>
      </c>
      <c r="E67" s="800">
        <f>SUMIF(Planned_capex_starting_position!$AF:$AF,$A67,Planned_capex_starting_position!AZ:AZ)</f>
        <v>0</v>
      </c>
      <c r="F67" s="800">
        <f>SUMIF(Planned_capex_starting_position!$AF:$AF,$A67,Planned_capex_starting_position!BA:BA)</f>
        <v>0</v>
      </c>
      <c r="G67" s="800">
        <f>SUMIF(Planned_capex_starting_position!$AF:$AF,$A67,Planned_capex_starting_position!BB:BB)</f>
        <v>0</v>
      </c>
      <c r="H67" s="800">
        <f>SUMIF(Planned_capex_starting_position!$AF:$AF,$A67,Planned_capex_starting_position!BC:BC)</f>
        <v>0</v>
      </c>
      <c r="I67" s="800">
        <f>SUMIF(Planned_capex_starting_position!$AF:$AF,$A67,Planned_capex_starting_position!BD:BD)</f>
        <v>0</v>
      </c>
      <c r="J67" s="800">
        <f>SUMIF(Planned_capex_starting_position!$AF:$AF,$A67,Planned_capex_starting_position!BE:BE)</f>
        <v>0</v>
      </c>
      <c r="K67" s="800">
        <f>SUMIF(Planned_capex_starting_position!$AF:$AF,$A67,Planned_capex_starting_position!BF:BF)</f>
        <v>0</v>
      </c>
      <c r="L67" s="800">
        <f>SUMIF(Planned_capex_starting_position!$AF:$AF,$A67,Planned_capex_starting_position!BG:BG)</f>
        <v>0</v>
      </c>
      <c r="M67" s="800">
        <f>SUMIF(Planned_capex_starting_position!$AF:$AF,$A67,Planned_capex_starting_position!BH:BH)</f>
        <v>0</v>
      </c>
      <c r="N67" s="800">
        <f>SUMIF(Planned_capex_starting_position!$AF:$AF,$A67,Planned_capex_starting_position!BI:BI)</f>
        <v>0</v>
      </c>
      <c r="O67" s="800">
        <f t="shared" si="0"/>
        <v>0</v>
      </c>
      <c r="P67" s="41"/>
      <c r="Q67" s="125"/>
      <c r="R67" s="125"/>
      <c r="T67" s="29"/>
      <c r="U67" s="29"/>
    </row>
    <row r="68" spans="1:21" customFormat="1" hidden="1">
      <c r="A68" s="22" t="s">
        <v>2735</v>
      </c>
      <c r="B68" s="58" t="s">
        <v>2328</v>
      </c>
      <c r="C68" s="31" t="str">
        <f>VLOOKUP($A68,FA_Codes!$D$2:$G$249,4,FALSE)</f>
        <v>Rural North Lower</v>
      </c>
      <c r="D68" s="800">
        <v>0</v>
      </c>
      <c r="E68" s="800">
        <f>SUMIF(Planned_capex_starting_position!$AF:$AF,$A68,Planned_capex_starting_position!AZ:AZ)</f>
        <v>0</v>
      </c>
      <c r="F68" s="800">
        <f>SUMIF(Planned_capex_starting_position!$AF:$AF,$A68,Planned_capex_starting_position!BA:BA)</f>
        <v>0</v>
      </c>
      <c r="G68" s="800">
        <f>SUMIF(Planned_capex_starting_position!$AF:$AF,$A68,Planned_capex_starting_position!BB:BB)</f>
        <v>0</v>
      </c>
      <c r="H68" s="800">
        <f>SUMIF(Planned_capex_starting_position!$AF:$AF,$A68,Planned_capex_starting_position!BC:BC)</f>
        <v>0</v>
      </c>
      <c r="I68" s="800">
        <f>SUMIF(Planned_capex_starting_position!$AF:$AF,$A68,Planned_capex_starting_position!BD:BD)</f>
        <v>0</v>
      </c>
      <c r="J68" s="800">
        <f>SUMIF(Planned_capex_starting_position!$AF:$AF,$A68,Planned_capex_starting_position!BE:BE)</f>
        <v>0</v>
      </c>
      <c r="K68" s="800">
        <f>SUMIF(Planned_capex_starting_position!$AF:$AF,$A68,Planned_capex_starting_position!BF:BF)</f>
        <v>0</v>
      </c>
      <c r="L68" s="800">
        <f>SUMIF(Planned_capex_starting_position!$AF:$AF,$A68,Planned_capex_starting_position!BG:BG)</f>
        <v>0</v>
      </c>
      <c r="M68" s="800">
        <f>SUMIF(Planned_capex_starting_position!$AF:$AF,$A68,Planned_capex_starting_position!BH:BH)</f>
        <v>0</v>
      </c>
      <c r="N68" s="800">
        <f>SUMIF(Planned_capex_starting_position!$AF:$AF,$A68,Planned_capex_starting_position!BI:BI)</f>
        <v>0</v>
      </c>
      <c r="O68" s="800">
        <f t="shared" ref="O68:O122" si="1">SUM(D68,E68:N68)</f>
        <v>0</v>
      </c>
      <c r="P68" s="41"/>
      <c r="Q68" s="125"/>
      <c r="R68" s="125"/>
      <c r="T68" s="29"/>
      <c r="U68" s="29"/>
    </row>
    <row r="69" spans="1:21" customFormat="1" hidden="1">
      <c r="A69" s="22" t="s">
        <v>2736</v>
      </c>
      <c r="B69" s="58" t="s">
        <v>2328</v>
      </c>
      <c r="C69" s="31" t="str">
        <f>VLOOKUP($A69,FA_Codes!$D$2:$G$249,4,FALSE)</f>
        <v>Rural West</v>
      </c>
      <c r="D69" s="800">
        <v>0</v>
      </c>
      <c r="E69" s="800">
        <f>SUMIF(Planned_capex_starting_position!$AF:$AF,$A69,Planned_capex_starting_position!AZ:AZ)</f>
        <v>0</v>
      </c>
      <c r="F69" s="800">
        <f>SUMIF(Planned_capex_starting_position!$AF:$AF,$A69,Planned_capex_starting_position!BA:BA)</f>
        <v>0</v>
      </c>
      <c r="G69" s="800">
        <f>SUMIF(Planned_capex_starting_position!$AF:$AF,$A69,Planned_capex_starting_position!BB:BB)</f>
        <v>0</v>
      </c>
      <c r="H69" s="800">
        <f>SUMIF(Planned_capex_starting_position!$AF:$AF,$A69,Planned_capex_starting_position!BC:BC)</f>
        <v>0</v>
      </c>
      <c r="I69" s="800">
        <f>SUMIF(Planned_capex_starting_position!$AF:$AF,$A69,Planned_capex_starting_position!BD:BD)</f>
        <v>0</v>
      </c>
      <c r="J69" s="800">
        <f>SUMIF(Planned_capex_starting_position!$AF:$AF,$A69,Planned_capex_starting_position!BE:BE)</f>
        <v>0</v>
      </c>
      <c r="K69" s="800">
        <f>SUMIF(Planned_capex_starting_position!$AF:$AF,$A69,Planned_capex_starting_position!BF:BF)</f>
        <v>0</v>
      </c>
      <c r="L69" s="800">
        <f>SUMIF(Planned_capex_starting_position!$AF:$AF,$A69,Planned_capex_starting_position!BG:BG)</f>
        <v>0</v>
      </c>
      <c r="M69" s="800">
        <f>SUMIF(Planned_capex_starting_position!$AF:$AF,$A69,Planned_capex_starting_position!BH:BH)</f>
        <v>0</v>
      </c>
      <c r="N69" s="800">
        <f>SUMIF(Planned_capex_starting_position!$AF:$AF,$A69,Planned_capex_starting_position!BI:BI)</f>
        <v>0</v>
      </c>
      <c r="O69" s="800">
        <f t="shared" si="1"/>
        <v>0</v>
      </c>
      <c r="P69" s="41"/>
      <c r="Q69" s="125"/>
      <c r="R69" s="125"/>
      <c r="T69" s="29"/>
      <c r="U69" s="29"/>
    </row>
    <row r="70" spans="1:21" customFormat="1" hidden="1">
      <c r="A70" s="22" t="s">
        <v>2737</v>
      </c>
      <c r="B70" s="58" t="s">
        <v>2328</v>
      </c>
      <c r="C70" s="31" t="str">
        <f>VLOOKUP($A70,FA_Codes!$D$2:$G$249,4,FALSE)</f>
        <v>Rural South West</v>
      </c>
      <c r="D70" s="800">
        <v>0</v>
      </c>
      <c r="E70" s="800">
        <f>SUMIF(Planned_capex_starting_position!$AF:$AF,$A70,Planned_capex_starting_position!AZ:AZ)</f>
        <v>0</v>
      </c>
      <c r="F70" s="800">
        <f>SUMIF(Planned_capex_starting_position!$AF:$AF,$A70,Planned_capex_starting_position!BA:BA)</f>
        <v>0</v>
      </c>
      <c r="G70" s="800">
        <f>SUMIF(Planned_capex_starting_position!$AF:$AF,$A70,Planned_capex_starting_position!BB:BB)</f>
        <v>0</v>
      </c>
      <c r="H70" s="800">
        <f>SUMIF(Planned_capex_starting_position!$AF:$AF,$A70,Planned_capex_starting_position!BC:BC)</f>
        <v>0</v>
      </c>
      <c r="I70" s="800">
        <f>SUMIF(Planned_capex_starting_position!$AF:$AF,$A70,Planned_capex_starting_position!BD:BD)</f>
        <v>0</v>
      </c>
      <c r="J70" s="800">
        <f>SUMIF(Planned_capex_starting_position!$AF:$AF,$A70,Planned_capex_starting_position!BE:BE)</f>
        <v>0</v>
      </c>
      <c r="K70" s="800">
        <f>SUMIF(Planned_capex_starting_position!$AF:$AF,$A70,Planned_capex_starting_position!BF:BF)</f>
        <v>0</v>
      </c>
      <c r="L70" s="800">
        <f>SUMIF(Planned_capex_starting_position!$AF:$AF,$A70,Planned_capex_starting_position!BG:BG)</f>
        <v>0</v>
      </c>
      <c r="M70" s="800">
        <f>SUMIF(Planned_capex_starting_position!$AF:$AF,$A70,Planned_capex_starting_position!BH:BH)</f>
        <v>0</v>
      </c>
      <c r="N70" s="800">
        <f>SUMIF(Planned_capex_starting_position!$AF:$AF,$A70,Planned_capex_starting_position!BI:BI)</f>
        <v>0</v>
      </c>
      <c r="O70" s="800">
        <f t="shared" si="1"/>
        <v>0</v>
      </c>
      <c r="P70" s="41"/>
      <c r="Q70" s="125"/>
      <c r="R70" s="125"/>
      <c r="T70" s="29"/>
      <c r="U70" s="29"/>
    </row>
    <row r="71" spans="1:21" customFormat="1" hidden="1">
      <c r="A71" s="22" t="s">
        <v>2738</v>
      </c>
      <c r="B71" s="58" t="s">
        <v>2328</v>
      </c>
      <c r="C71" s="31" t="str">
        <f>VLOOKUP($A71,FA_Codes!$D$2:$G$249,4,FALSE)</f>
        <v>Rural South East</v>
      </c>
      <c r="D71" s="800">
        <v>0</v>
      </c>
      <c r="E71" s="800">
        <f>SUMIF(Planned_capex_starting_position!$AF:$AF,$A71,Planned_capex_starting_position!AZ:AZ)</f>
        <v>0</v>
      </c>
      <c r="F71" s="800">
        <f>SUMIF(Planned_capex_starting_position!$AF:$AF,$A71,Planned_capex_starting_position!BA:BA)</f>
        <v>0</v>
      </c>
      <c r="G71" s="800">
        <f>SUMIF(Planned_capex_starting_position!$AF:$AF,$A71,Planned_capex_starting_position!BB:BB)</f>
        <v>0</v>
      </c>
      <c r="H71" s="800">
        <f>SUMIF(Planned_capex_starting_position!$AF:$AF,$A71,Planned_capex_starting_position!BC:BC)</f>
        <v>0</v>
      </c>
      <c r="I71" s="800">
        <f>SUMIF(Planned_capex_starting_position!$AF:$AF,$A71,Planned_capex_starting_position!BD:BD)</f>
        <v>0</v>
      </c>
      <c r="J71" s="800">
        <f>SUMIF(Planned_capex_starting_position!$AF:$AF,$A71,Planned_capex_starting_position!BE:BE)</f>
        <v>0</v>
      </c>
      <c r="K71" s="800">
        <f>SUMIF(Planned_capex_starting_position!$AF:$AF,$A71,Planned_capex_starting_position!BF:BF)</f>
        <v>0</v>
      </c>
      <c r="L71" s="800">
        <f>SUMIF(Planned_capex_starting_position!$AF:$AF,$A71,Planned_capex_starting_position!BG:BG)</f>
        <v>0</v>
      </c>
      <c r="M71" s="800">
        <f>SUMIF(Planned_capex_starting_position!$AF:$AF,$A71,Planned_capex_starting_position!BH:BH)</f>
        <v>0</v>
      </c>
      <c r="N71" s="800">
        <f>SUMIF(Planned_capex_starting_position!$AF:$AF,$A71,Planned_capex_starting_position!BI:BI)</f>
        <v>0</v>
      </c>
      <c r="O71" s="800">
        <f t="shared" si="1"/>
        <v>0</v>
      </c>
      <c r="P71" s="41"/>
      <c r="Q71" s="125"/>
      <c r="R71" s="125"/>
      <c r="T71" s="29"/>
      <c r="U71" s="29"/>
    </row>
    <row r="72" spans="1:21" customFormat="1" hidden="1">
      <c r="A72" s="22" t="s">
        <v>2739</v>
      </c>
      <c r="B72" s="58" t="s">
        <v>2328</v>
      </c>
      <c r="C72" s="31" t="str">
        <f>VLOOKUP($A72,FA_Codes!$D$2:$G$249,4,FALSE)</f>
        <v>Rural Islands</v>
      </c>
      <c r="D72" s="800">
        <v>0</v>
      </c>
      <c r="E72" s="800">
        <f>SUMIF(Planned_capex_starting_position!$AF:$AF,$A72,Planned_capex_starting_position!AZ:AZ)</f>
        <v>0</v>
      </c>
      <c r="F72" s="800">
        <f>SUMIF(Planned_capex_starting_position!$AF:$AF,$A72,Planned_capex_starting_position!BA:BA)</f>
        <v>0</v>
      </c>
      <c r="G72" s="800">
        <f>SUMIF(Planned_capex_starting_position!$AF:$AF,$A72,Planned_capex_starting_position!BB:BB)</f>
        <v>0</v>
      </c>
      <c r="H72" s="800">
        <f>SUMIF(Planned_capex_starting_position!$AF:$AF,$A72,Planned_capex_starting_position!BC:BC)</f>
        <v>0</v>
      </c>
      <c r="I72" s="800">
        <f>SUMIF(Planned_capex_starting_position!$AF:$AF,$A72,Planned_capex_starting_position!BD:BD)</f>
        <v>0</v>
      </c>
      <c r="J72" s="800">
        <f>SUMIF(Planned_capex_starting_position!$AF:$AF,$A72,Planned_capex_starting_position!BE:BE)</f>
        <v>0</v>
      </c>
      <c r="K72" s="800">
        <f>SUMIF(Planned_capex_starting_position!$AF:$AF,$A72,Planned_capex_starting_position!BF:BF)</f>
        <v>0</v>
      </c>
      <c r="L72" s="800">
        <f>SUMIF(Planned_capex_starting_position!$AF:$AF,$A72,Planned_capex_starting_position!BG:BG)</f>
        <v>0</v>
      </c>
      <c r="M72" s="800">
        <f>SUMIF(Planned_capex_starting_position!$AF:$AF,$A72,Planned_capex_starting_position!BH:BH)</f>
        <v>0</v>
      </c>
      <c r="N72" s="800">
        <f>SUMIF(Planned_capex_starting_position!$AF:$AF,$A72,Planned_capex_starting_position!BI:BI)</f>
        <v>0</v>
      </c>
      <c r="O72" s="800">
        <f t="shared" si="1"/>
        <v>0</v>
      </c>
      <c r="P72" s="41"/>
      <c r="Q72" s="125"/>
      <c r="R72" s="125"/>
      <c r="T72" s="29"/>
      <c r="U72" s="29"/>
    </row>
    <row r="73" spans="1:21" customFormat="1" hidden="1">
      <c r="A73" s="22" t="s">
        <v>2740</v>
      </c>
      <c r="B73" s="58" t="s">
        <v>2328</v>
      </c>
      <c r="C73" s="31" t="str">
        <f>VLOOKUP($A73,FA_Codes!$D$2:$G$249,4,FALSE)</f>
        <v>Tamaki</v>
      </c>
      <c r="D73" s="800">
        <v>0</v>
      </c>
      <c r="E73" s="800">
        <f>SUMIF(Planned_capex_starting_position!$AF:$AF,$A73,Planned_capex_starting_position!AZ:AZ)</f>
        <v>0</v>
      </c>
      <c r="F73" s="800">
        <f>SUMIF(Planned_capex_starting_position!$AF:$AF,$A73,Planned_capex_starting_position!BA:BA)</f>
        <v>0</v>
      </c>
      <c r="G73" s="800">
        <f>SUMIF(Planned_capex_starting_position!$AF:$AF,$A73,Planned_capex_starting_position!BB:BB)</f>
        <v>0</v>
      </c>
      <c r="H73" s="800">
        <f>SUMIF(Planned_capex_starting_position!$AF:$AF,$A73,Planned_capex_starting_position!BC:BC)</f>
        <v>0</v>
      </c>
      <c r="I73" s="800">
        <f>SUMIF(Planned_capex_starting_position!$AF:$AF,$A73,Planned_capex_starting_position!BD:BD)</f>
        <v>0</v>
      </c>
      <c r="J73" s="800">
        <f>SUMIF(Planned_capex_starting_position!$AF:$AF,$A73,Planned_capex_starting_position!BE:BE)</f>
        <v>0</v>
      </c>
      <c r="K73" s="800">
        <f>SUMIF(Planned_capex_starting_position!$AF:$AF,$A73,Planned_capex_starting_position!BF:BF)</f>
        <v>0</v>
      </c>
      <c r="L73" s="800">
        <f>SUMIF(Planned_capex_starting_position!$AF:$AF,$A73,Planned_capex_starting_position!BG:BG)</f>
        <v>0</v>
      </c>
      <c r="M73" s="800">
        <f>SUMIF(Planned_capex_starting_position!$AF:$AF,$A73,Planned_capex_starting_position!BH:BH)</f>
        <v>0</v>
      </c>
      <c r="N73" s="800">
        <f>SUMIF(Planned_capex_starting_position!$AF:$AF,$A73,Planned_capex_starting_position!BI:BI)</f>
        <v>0</v>
      </c>
      <c r="O73" s="800">
        <f t="shared" si="1"/>
        <v>0</v>
      </c>
      <c r="P73" s="41"/>
      <c r="Q73" s="125"/>
      <c r="R73" s="125"/>
      <c r="T73" s="29"/>
      <c r="U73" s="29"/>
    </row>
    <row r="74" spans="1:21" customFormat="1" hidden="1">
      <c r="A74" s="22" t="s">
        <v>2742</v>
      </c>
      <c r="B74" s="58" t="s">
        <v>2328</v>
      </c>
      <c r="C74" s="31" t="str">
        <f>VLOOKUP($A74,FA_Codes!$D$2:$G$249,4,FALSE)</f>
        <v>Auranga</v>
      </c>
      <c r="D74" s="800">
        <v>0</v>
      </c>
      <c r="E74" s="800">
        <f>SUMIF(Planned_capex_starting_position!$AF:$AF,$A74,Planned_capex_starting_position!AZ:AZ)</f>
        <v>0</v>
      </c>
      <c r="F74" s="800">
        <f>SUMIF(Planned_capex_starting_position!$AF:$AF,$A74,Planned_capex_starting_position!BA:BA)</f>
        <v>0</v>
      </c>
      <c r="G74" s="800">
        <f>SUMIF(Planned_capex_starting_position!$AF:$AF,$A74,Planned_capex_starting_position!BB:BB)</f>
        <v>0</v>
      </c>
      <c r="H74" s="800">
        <f>SUMIF(Planned_capex_starting_position!$AF:$AF,$A74,Planned_capex_starting_position!BC:BC)</f>
        <v>0</v>
      </c>
      <c r="I74" s="800">
        <f>SUMIF(Planned_capex_starting_position!$AF:$AF,$A74,Planned_capex_starting_position!BD:BD)</f>
        <v>0</v>
      </c>
      <c r="J74" s="800">
        <f>SUMIF(Planned_capex_starting_position!$AF:$AF,$A74,Planned_capex_starting_position!BE:BE)</f>
        <v>0</v>
      </c>
      <c r="K74" s="800">
        <f>SUMIF(Planned_capex_starting_position!$AF:$AF,$A74,Planned_capex_starting_position!BF:BF)</f>
        <v>0</v>
      </c>
      <c r="L74" s="800">
        <f>SUMIF(Planned_capex_starting_position!$AF:$AF,$A74,Planned_capex_starting_position!BG:BG)</f>
        <v>0</v>
      </c>
      <c r="M74" s="800">
        <f>SUMIF(Planned_capex_starting_position!$AF:$AF,$A74,Planned_capex_starting_position!BH:BH)</f>
        <v>0</v>
      </c>
      <c r="N74" s="800">
        <f>SUMIF(Planned_capex_starting_position!$AF:$AF,$A74,Planned_capex_starting_position!BI:BI)</f>
        <v>0</v>
      </c>
      <c r="O74" s="800">
        <f t="shared" si="1"/>
        <v>0</v>
      </c>
      <c r="P74" s="41"/>
      <c r="Q74" s="125"/>
      <c r="R74" s="125"/>
      <c r="T74" s="29"/>
      <c r="U74" s="29"/>
    </row>
    <row r="75" spans="1:21" customFormat="1" hidden="1">
      <c r="A75" s="22" t="s">
        <v>2748</v>
      </c>
      <c r="B75" s="58" t="s">
        <v>2328</v>
      </c>
      <c r="C75" s="31" t="str">
        <f>VLOOKUP($A75,FA_Codes!$D$2:$G$249,4,FALSE)</f>
        <v>Area 35</v>
      </c>
      <c r="D75" s="800">
        <v>0</v>
      </c>
      <c r="E75" s="800">
        <f>SUMIF(Planned_capex_starting_position!$AF:$AF,$A75,Planned_capex_starting_position!AZ:AZ)</f>
        <v>0</v>
      </c>
      <c r="F75" s="800">
        <f>SUMIF(Planned_capex_starting_position!$AF:$AF,$A75,Planned_capex_starting_position!BA:BA)</f>
        <v>0</v>
      </c>
      <c r="G75" s="800">
        <f>SUMIF(Planned_capex_starting_position!$AF:$AF,$A75,Planned_capex_starting_position!BB:BB)</f>
        <v>0</v>
      </c>
      <c r="H75" s="800">
        <f>SUMIF(Planned_capex_starting_position!$AF:$AF,$A75,Planned_capex_starting_position!BC:BC)</f>
        <v>0</v>
      </c>
      <c r="I75" s="800">
        <f>SUMIF(Planned_capex_starting_position!$AF:$AF,$A75,Planned_capex_starting_position!BD:BD)</f>
        <v>0</v>
      </c>
      <c r="J75" s="800">
        <f>SUMIF(Planned_capex_starting_position!$AF:$AF,$A75,Planned_capex_starting_position!BE:BE)</f>
        <v>0</v>
      </c>
      <c r="K75" s="800">
        <f>SUMIF(Planned_capex_starting_position!$AF:$AF,$A75,Planned_capex_starting_position!BF:BF)</f>
        <v>0</v>
      </c>
      <c r="L75" s="800">
        <f>SUMIF(Planned_capex_starting_position!$AF:$AF,$A75,Planned_capex_starting_position!BG:BG)</f>
        <v>0</v>
      </c>
      <c r="M75" s="800">
        <f>SUMIF(Planned_capex_starting_position!$AF:$AF,$A75,Planned_capex_starting_position!BH:BH)</f>
        <v>0</v>
      </c>
      <c r="N75" s="800">
        <f>SUMIF(Planned_capex_starting_position!$AF:$AF,$A75,Planned_capex_starting_position!BI:BI)</f>
        <v>0</v>
      </c>
      <c r="O75" s="800">
        <f t="shared" si="1"/>
        <v>0</v>
      </c>
      <c r="P75" s="41"/>
      <c r="Q75" s="125"/>
      <c r="R75" s="125"/>
      <c r="T75" s="29"/>
      <c r="U75" s="29"/>
    </row>
    <row r="76" spans="1:21" customFormat="1" hidden="1">
      <c r="A76" s="22" t="s">
        <v>2749</v>
      </c>
      <c r="B76" s="58" t="s">
        <v>2328</v>
      </c>
      <c r="C76" s="58"/>
      <c r="D76" s="800">
        <v>0</v>
      </c>
      <c r="E76" s="800">
        <f>SUMIF(Planned_capex_starting_position!$AF:$AF,$A76,Planned_capex_starting_position!AZ:AZ)</f>
        <v>0</v>
      </c>
      <c r="F76" s="800">
        <f>SUMIF(Planned_capex_starting_position!$AF:$AF,$A76,Planned_capex_starting_position!BA:BA)</f>
        <v>0</v>
      </c>
      <c r="G76" s="800">
        <f>SUMIF(Planned_capex_starting_position!$AF:$AF,$A76,Planned_capex_starting_position!BB:BB)</f>
        <v>0</v>
      </c>
      <c r="H76" s="800">
        <f>SUMIF(Planned_capex_starting_position!$AF:$AF,$A76,Planned_capex_starting_position!BC:BC)</f>
        <v>0</v>
      </c>
      <c r="I76" s="800">
        <f>SUMIF(Planned_capex_starting_position!$AF:$AF,$A76,Planned_capex_starting_position!BD:BD)</f>
        <v>0</v>
      </c>
      <c r="J76" s="800">
        <f>SUMIF(Planned_capex_starting_position!$AF:$AF,$A76,Planned_capex_starting_position!BE:BE)</f>
        <v>0</v>
      </c>
      <c r="K76" s="800">
        <f>SUMIF(Planned_capex_starting_position!$AF:$AF,$A76,Planned_capex_starting_position!BF:BF)</f>
        <v>0</v>
      </c>
      <c r="L76" s="800">
        <f>SUMIF(Planned_capex_starting_position!$AF:$AF,$A76,Planned_capex_starting_position!BG:BG)</f>
        <v>0</v>
      </c>
      <c r="M76" s="800">
        <f>SUMIF(Planned_capex_starting_position!$AF:$AF,$A76,Planned_capex_starting_position!BH:BH)</f>
        <v>0</v>
      </c>
      <c r="N76" s="800">
        <f>SUMIF(Planned_capex_starting_position!$AF:$AF,$A76,Planned_capex_starting_position!BI:BI)</f>
        <v>0</v>
      </c>
      <c r="O76" s="800">
        <f t="shared" si="1"/>
        <v>0</v>
      </c>
      <c r="P76" s="41"/>
      <c r="Q76" s="125"/>
      <c r="R76" s="125"/>
      <c r="T76" s="29"/>
      <c r="U76" s="29"/>
    </row>
    <row r="77" spans="1:21" customFormat="1" hidden="1">
      <c r="A77" s="22" t="s">
        <v>2750</v>
      </c>
      <c r="B77" s="58" t="s">
        <v>2328</v>
      </c>
      <c r="C77" s="58"/>
      <c r="D77" s="800">
        <v>0</v>
      </c>
      <c r="E77" s="800">
        <f>SUMIF(Planned_capex_starting_position!$AF:$AF,$A77,Planned_capex_starting_position!AZ:AZ)</f>
        <v>0</v>
      </c>
      <c r="F77" s="800">
        <f>SUMIF(Planned_capex_starting_position!$AF:$AF,$A77,Planned_capex_starting_position!BA:BA)</f>
        <v>0</v>
      </c>
      <c r="G77" s="800">
        <f>SUMIF(Planned_capex_starting_position!$AF:$AF,$A77,Planned_capex_starting_position!BB:BB)</f>
        <v>0</v>
      </c>
      <c r="H77" s="800">
        <f>SUMIF(Planned_capex_starting_position!$AF:$AF,$A77,Planned_capex_starting_position!BC:BC)</f>
        <v>0</v>
      </c>
      <c r="I77" s="800">
        <f>SUMIF(Planned_capex_starting_position!$AF:$AF,$A77,Planned_capex_starting_position!BD:BD)</f>
        <v>0</v>
      </c>
      <c r="J77" s="800">
        <f>SUMIF(Planned_capex_starting_position!$AF:$AF,$A77,Planned_capex_starting_position!BE:BE)</f>
        <v>0</v>
      </c>
      <c r="K77" s="800">
        <f>SUMIF(Planned_capex_starting_position!$AF:$AF,$A77,Planned_capex_starting_position!BF:BF)</f>
        <v>0</v>
      </c>
      <c r="L77" s="800">
        <f>SUMIF(Planned_capex_starting_position!$AF:$AF,$A77,Planned_capex_starting_position!BG:BG)</f>
        <v>0</v>
      </c>
      <c r="M77" s="800">
        <f>SUMIF(Planned_capex_starting_position!$AF:$AF,$A77,Planned_capex_starting_position!BH:BH)</f>
        <v>0</v>
      </c>
      <c r="N77" s="800">
        <f>SUMIF(Planned_capex_starting_position!$AF:$AF,$A77,Planned_capex_starting_position!BI:BI)</f>
        <v>0</v>
      </c>
      <c r="O77" s="800">
        <f t="shared" si="1"/>
        <v>0</v>
      </c>
      <c r="P77" s="41"/>
      <c r="Q77" s="125"/>
      <c r="R77" s="125"/>
      <c r="T77" s="29"/>
      <c r="U77" s="29"/>
    </row>
    <row r="78" spans="1:21" customFormat="1" hidden="1">
      <c r="A78" s="22" t="s">
        <v>2751</v>
      </c>
      <c r="B78" s="58" t="s">
        <v>2328</v>
      </c>
      <c r="C78" s="58"/>
      <c r="D78" s="800">
        <v>0</v>
      </c>
      <c r="E78" s="800">
        <f>SUMIF(Planned_capex_starting_position!$AF:$AF,$A78,Planned_capex_starting_position!AZ:AZ)</f>
        <v>0</v>
      </c>
      <c r="F78" s="800">
        <f>SUMIF(Planned_capex_starting_position!$AF:$AF,$A78,Planned_capex_starting_position!BA:BA)</f>
        <v>0</v>
      </c>
      <c r="G78" s="800">
        <f>SUMIF(Planned_capex_starting_position!$AF:$AF,$A78,Planned_capex_starting_position!BB:BB)</f>
        <v>0</v>
      </c>
      <c r="H78" s="800">
        <f>SUMIF(Planned_capex_starting_position!$AF:$AF,$A78,Planned_capex_starting_position!BC:BC)</f>
        <v>0</v>
      </c>
      <c r="I78" s="800">
        <f>SUMIF(Planned_capex_starting_position!$AF:$AF,$A78,Planned_capex_starting_position!BD:BD)</f>
        <v>0</v>
      </c>
      <c r="J78" s="800">
        <f>SUMIF(Planned_capex_starting_position!$AF:$AF,$A78,Planned_capex_starting_position!BE:BE)</f>
        <v>0</v>
      </c>
      <c r="K78" s="800">
        <f>SUMIF(Planned_capex_starting_position!$AF:$AF,$A78,Planned_capex_starting_position!BF:BF)</f>
        <v>0</v>
      </c>
      <c r="L78" s="800">
        <f>SUMIF(Planned_capex_starting_position!$AF:$AF,$A78,Planned_capex_starting_position!BG:BG)</f>
        <v>0</v>
      </c>
      <c r="M78" s="800">
        <f>SUMIF(Planned_capex_starting_position!$AF:$AF,$A78,Planned_capex_starting_position!BH:BH)</f>
        <v>0</v>
      </c>
      <c r="N78" s="800">
        <f>SUMIF(Planned_capex_starting_position!$AF:$AF,$A78,Planned_capex_starting_position!BI:BI)</f>
        <v>0</v>
      </c>
      <c r="O78" s="800">
        <f t="shared" si="1"/>
        <v>0</v>
      </c>
      <c r="P78" s="41"/>
      <c r="Q78" s="125"/>
      <c r="R78" s="125"/>
      <c r="T78" s="29"/>
      <c r="U78" s="29"/>
    </row>
    <row r="79" spans="1:21" customFormat="1" hidden="1">
      <c r="A79" s="22" t="s">
        <v>2752</v>
      </c>
      <c r="B79" s="58" t="s">
        <v>2328</v>
      </c>
      <c r="C79" s="58"/>
      <c r="D79" s="800">
        <v>0</v>
      </c>
      <c r="E79" s="800">
        <f>SUMIF(Planned_capex_starting_position!$AF:$AF,$A79,Planned_capex_starting_position!AZ:AZ)</f>
        <v>0</v>
      </c>
      <c r="F79" s="800">
        <f>SUMIF(Planned_capex_starting_position!$AF:$AF,$A79,Planned_capex_starting_position!BA:BA)</f>
        <v>0</v>
      </c>
      <c r="G79" s="800">
        <f>SUMIF(Planned_capex_starting_position!$AF:$AF,$A79,Planned_capex_starting_position!BB:BB)</f>
        <v>0</v>
      </c>
      <c r="H79" s="800">
        <f>SUMIF(Planned_capex_starting_position!$AF:$AF,$A79,Planned_capex_starting_position!BC:BC)</f>
        <v>0</v>
      </c>
      <c r="I79" s="800">
        <f>SUMIF(Planned_capex_starting_position!$AF:$AF,$A79,Planned_capex_starting_position!BD:BD)</f>
        <v>0</v>
      </c>
      <c r="J79" s="800">
        <f>SUMIF(Planned_capex_starting_position!$AF:$AF,$A79,Planned_capex_starting_position!BE:BE)</f>
        <v>0</v>
      </c>
      <c r="K79" s="800">
        <f>SUMIF(Planned_capex_starting_position!$AF:$AF,$A79,Planned_capex_starting_position!BF:BF)</f>
        <v>0</v>
      </c>
      <c r="L79" s="800">
        <f>SUMIF(Planned_capex_starting_position!$AF:$AF,$A79,Planned_capex_starting_position!BG:BG)</f>
        <v>0</v>
      </c>
      <c r="M79" s="800">
        <f>SUMIF(Planned_capex_starting_position!$AF:$AF,$A79,Planned_capex_starting_position!BH:BH)</f>
        <v>0</v>
      </c>
      <c r="N79" s="800">
        <f>SUMIF(Planned_capex_starting_position!$AF:$AF,$A79,Planned_capex_starting_position!BI:BI)</f>
        <v>0</v>
      </c>
      <c r="O79" s="800">
        <f t="shared" si="1"/>
        <v>0</v>
      </c>
      <c r="P79" s="41"/>
      <c r="Q79" s="125"/>
      <c r="R79" s="125"/>
      <c r="T79" s="29"/>
      <c r="U79" s="29"/>
    </row>
    <row r="80" spans="1:21" customFormat="1" hidden="1">
      <c r="A80" s="22" t="s">
        <v>2753</v>
      </c>
      <c r="B80" s="58" t="s">
        <v>2328</v>
      </c>
      <c r="C80" s="58"/>
      <c r="D80" s="800">
        <v>0</v>
      </c>
      <c r="E80" s="800">
        <f>SUMIF(Planned_capex_starting_position!$AF:$AF,$A80,Planned_capex_starting_position!AZ:AZ)</f>
        <v>0</v>
      </c>
      <c r="F80" s="800">
        <f>SUMIF(Planned_capex_starting_position!$AF:$AF,$A80,Planned_capex_starting_position!BA:BA)</f>
        <v>0</v>
      </c>
      <c r="G80" s="800">
        <f>SUMIF(Planned_capex_starting_position!$AF:$AF,$A80,Planned_capex_starting_position!BB:BB)</f>
        <v>0</v>
      </c>
      <c r="H80" s="800">
        <f>SUMIF(Planned_capex_starting_position!$AF:$AF,$A80,Planned_capex_starting_position!BC:BC)</f>
        <v>0</v>
      </c>
      <c r="I80" s="800">
        <f>SUMIF(Planned_capex_starting_position!$AF:$AF,$A80,Planned_capex_starting_position!BD:BD)</f>
        <v>0</v>
      </c>
      <c r="J80" s="800">
        <f>SUMIF(Planned_capex_starting_position!$AF:$AF,$A80,Planned_capex_starting_position!BE:BE)</f>
        <v>0</v>
      </c>
      <c r="K80" s="800">
        <f>SUMIF(Planned_capex_starting_position!$AF:$AF,$A80,Planned_capex_starting_position!BF:BF)</f>
        <v>0</v>
      </c>
      <c r="L80" s="800">
        <f>SUMIF(Planned_capex_starting_position!$AF:$AF,$A80,Planned_capex_starting_position!BG:BG)</f>
        <v>0</v>
      </c>
      <c r="M80" s="800">
        <f>SUMIF(Planned_capex_starting_position!$AF:$AF,$A80,Planned_capex_starting_position!BH:BH)</f>
        <v>0</v>
      </c>
      <c r="N80" s="800">
        <f>SUMIF(Planned_capex_starting_position!$AF:$AF,$A80,Planned_capex_starting_position!BI:BI)</f>
        <v>0</v>
      </c>
      <c r="O80" s="800">
        <f t="shared" si="1"/>
        <v>0</v>
      </c>
      <c r="P80" s="41"/>
      <c r="Q80" s="125"/>
      <c r="R80" s="125"/>
      <c r="T80" s="29"/>
      <c r="U80" s="29"/>
    </row>
    <row r="81" spans="1:26" customFormat="1" hidden="1">
      <c r="A81" s="22" t="s">
        <v>2754</v>
      </c>
      <c r="B81" s="58" t="s">
        <v>2328</v>
      </c>
      <c r="C81" s="58"/>
      <c r="D81" s="800">
        <v>0</v>
      </c>
      <c r="E81" s="800">
        <f>SUMIF(Planned_capex_starting_position!$AF:$AF,$A81,Planned_capex_starting_position!AZ:AZ)</f>
        <v>0</v>
      </c>
      <c r="F81" s="800">
        <f>SUMIF(Planned_capex_starting_position!$AF:$AF,$A81,Planned_capex_starting_position!BA:BA)</f>
        <v>0</v>
      </c>
      <c r="G81" s="800">
        <f>SUMIF(Planned_capex_starting_position!$AF:$AF,$A81,Planned_capex_starting_position!BB:BB)</f>
        <v>0</v>
      </c>
      <c r="H81" s="800">
        <f>SUMIF(Planned_capex_starting_position!$AF:$AF,$A81,Planned_capex_starting_position!BC:BC)</f>
        <v>0</v>
      </c>
      <c r="I81" s="800">
        <f>SUMIF(Planned_capex_starting_position!$AF:$AF,$A81,Planned_capex_starting_position!BD:BD)</f>
        <v>0</v>
      </c>
      <c r="J81" s="800">
        <f>SUMIF(Planned_capex_starting_position!$AF:$AF,$A81,Planned_capex_starting_position!BE:BE)</f>
        <v>0</v>
      </c>
      <c r="K81" s="800">
        <f>SUMIF(Planned_capex_starting_position!$AF:$AF,$A81,Planned_capex_starting_position!BF:BF)</f>
        <v>0</v>
      </c>
      <c r="L81" s="800">
        <f>SUMIF(Planned_capex_starting_position!$AF:$AF,$A81,Planned_capex_starting_position!BG:BG)</f>
        <v>0</v>
      </c>
      <c r="M81" s="800">
        <f>SUMIF(Planned_capex_starting_position!$AF:$AF,$A81,Planned_capex_starting_position!BH:BH)</f>
        <v>0</v>
      </c>
      <c r="N81" s="800">
        <f>SUMIF(Planned_capex_starting_position!$AF:$AF,$A81,Planned_capex_starting_position!BI:BI)</f>
        <v>0</v>
      </c>
      <c r="O81" s="800">
        <f t="shared" si="1"/>
        <v>0</v>
      </c>
      <c r="P81" s="41"/>
      <c r="Q81" s="125"/>
      <c r="R81" s="125"/>
      <c r="T81" s="29"/>
      <c r="U81" s="29"/>
    </row>
    <row r="82" spans="1:26" customFormat="1" hidden="1">
      <c r="A82" s="22" t="s">
        <v>2755</v>
      </c>
      <c r="B82" s="58" t="s">
        <v>2328</v>
      </c>
      <c r="C82" s="58"/>
      <c r="D82" s="800">
        <v>0</v>
      </c>
      <c r="E82" s="800">
        <f>SUMIF(Planned_capex_starting_position!$AF:$AF,$A82,Planned_capex_starting_position!AZ:AZ)</f>
        <v>0</v>
      </c>
      <c r="F82" s="800">
        <f>SUMIF(Planned_capex_starting_position!$AF:$AF,$A82,Planned_capex_starting_position!BA:BA)</f>
        <v>0</v>
      </c>
      <c r="G82" s="800">
        <f>SUMIF(Planned_capex_starting_position!$AF:$AF,$A82,Planned_capex_starting_position!BB:BB)</f>
        <v>0</v>
      </c>
      <c r="H82" s="800">
        <f>SUMIF(Planned_capex_starting_position!$AF:$AF,$A82,Planned_capex_starting_position!BC:BC)</f>
        <v>0</v>
      </c>
      <c r="I82" s="800">
        <f>SUMIF(Planned_capex_starting_position!$AF:$AF,$A82,Planned_capex_starting_position!BD:BD)</f>
        <v>0</v>
      </c>
      <c r="J82" s="800">
        <f>SUMIF(Planned_capex_starting_position!$AF:$AF,$A82,Planned_capex_starting_position!BE:BE)</f>
        <v>0</v>
      </c>
      <c r="K82" s="800">
        <f>SUMIF(Planned_capex_starting_position!$AF:$AF,$A82,Planned_capex_starting_position!BF:BF)</f>
        <v>0</v>
      </c>
      <c r="L82" s="800">
        <f>SUMIF(Planned_capex_starting_position!$AF:$AF,$A82,Planned_capex_starting_position!BG:BG)</f>
        <v>0</v>
      </c>
      <c r="M82" s="800">
        <f>SUMIF(Planned_capex_starting_position!$AF:$AF,$A82,Planned_capex_starting_position!BH:BH)</f>
        <v>0</v>
      </c>
      <c r="N82" s="800">
        <f>SUMIF(Planned_capex_starting_position!$AF:$AF,$A82,Planned_capex_starting_position!BI:BI)</f>
        <v>0</v>
      </c>
      <c r="O82" s="800">
        <f t="shared" si="1"/>
        <v>0</v>
      </c>
      <c r="P82" s="41"/>
      <c r="Q82" s="125"/>
      <c r="R82" s="125"/>
      <c r="T82" s="29"/>
      <c r="U82" s="29"/>
    </row>
    <row r="83" spans="1:26" customFormat="1" hidden="1">
      <c r="A83" s="22" t="s">
        <v>2756</v>
      </c>
      <c r="B83" s="58" t="s">
        <v>2328</v>
      </c>
      <c r="C83" s="58"/>
      <c r="D83" s="800">
        <v>0</v>
      </c>
      <c r="E83" s="800">
        <f>SUMIF(Planned_capex_starting_position!$AF:$AF,$A83,Planned_capex_starting_position!AZ:AZ)</f>
        <v>0</v>
      </c>
      <c r="F83" s="800">
        <f>SUMIF(Planned_capex_starting_position!$AF:$AF,$A83,Planned_capex_starting_position!BA:BA)</f>
        <v>0</v>
      </c>
      <c r="G83" s="800">
        <f>SUMIF(Planned_capex_starting_position!$AF:$AF,$A83,Planned_capex_starting_position!BB:BB)</f>
        <v>0</v>
      </c>
      <c r="H83" s="800">
        <f>SUMIF(Planned_capex_starting_position!$AF:$AF,$A83,Planned_capex_starting_position!BC:BC)</f>
        <v>0</v>
      </c>
      <c r="I83" s="800">
        <f>SUMIF(Planned_capex_starting_position!$AF:$AF,$A83,Planned_capex_starting_position!BD:BD)</f>
        <v>0</v>
      </c>
      <c r="J83" s="800">
        <f>SUMIF(Planned_capex_starting_position!$AF:$AF,$A83,Planned_capex_starting_position!BE:BE)</f>
        <v>0</v>
      </c>
      <c r="K83" s="800">
        <f>SUMIF(Planned_capex_starting_position!$AF:$AF,$A83,Planned_capex_starting_position!BF:BF)</f>
        <v>0</v>
      </c>
      <c r="L83" s="800">
        <f>SUMIF(Planned_capex_starting_position!$AF:$AF,$A83,Planned_capex_starting_position!BG:BG)</f>
        <v>0</v>
      </c>
      <c r="M83" s="800">
        <f>SUMIF(Planned_capex_starting_position!$AF:$AF,$A83,Planned_capex_starting_position!BH:BH)</f>
        <v>0</v>
      </c>
      <c r="N83" s="800">
        <f>SUMIF(Planned_capex_starting_position!$AF:$AF,$A83,Planned_capex_starting_position!BI:BI)</f>
        <v>0</v>
      </c>
      <c r="O83" s="800">
        <f t="shared" si="1"/>
        <v>0</v>
      </c>
      <c r="P83" s="41"/>
      <c r="Q83" s="125"/>
      <c r="R83" s="125"/>
      <c r="T83" s="29"/>
      <c r="U83" s="29"/>
    </row>
    <row r="84" spans="1:26" hidden="1">
      <c r="A84" s="22" t="s">
        <v>5405</v>
      </c>
      <c r="B84" s="31" t="s">
        <v>963</v>
      </c>
      <c r="C84" s="31" t="str">
        <f>VLOOKUP($A84,FA_Codes!$D$2:$G$249,4,FALSE)</f>
        <v>Ararimu</v>
      </c>
      <c r="D84" s="800">
        <v>0</v>
      </c>
      <c r="E84" s="800">
        <f>SUMIF(Planned_capex_starting_position!$AF:$AF,$A84,Planned_capex_starting_position!AZ:AZ)</f>
        <v>0</v>
      </c>
      <c r="F84" s="800">
        <f>SUMIF(Planned_capex_starting_position!$AF:$AF,$A84,Planned_capex_starting_position!BA:BA)</f>
        <v>0</v>
      </c>
      <c r="G84" s="800">
        <f>SUMIF(Planned_capex_starting_position!$AF:$AF,$A84,Planned_capex_starting_position!BB:BB)</f>
        <v>0</v>
      </c>
      <c r="H84" s="800">
        <f>SUMIF(Planned_capex_starting_position!$AF:$AF,$A84,Planned_capex_starting_position!BC:BC)</f>
        <v>0</v>
      </c>
      <c r="I84" s="800">
        <f>SUMIF(Planned_capex_starting_position!$AF:$AF,$A84,Planned_capex_starting_position!BD:BD)</f>
        <v>0</v>
      </c>
      <c r="J84" s="800">
        <f>SUMIF(Planned_capex_starting_position!$AF:$AF,$A84,Planned_capex_starting_position!BE:BE)</f>
        <v>0</v>
      </c>
      <c r="K84" s="800">
        <f>SUMIF(Planned_capex_starting_position!$AF:$AF,$A84,Planned_capex_starting_position!BF:BF)</f>
        <v>0</v>
      </c>
      <c r="L84" s="800">
        <f>SUMIF(Planned_capex_starting_position!$AF:$AF,$A84,Planned_capex_starting_position!BG:BG)</f>
        <v>0</v>
      </c>
      <c r="M84" s="800">
        <f>SUMIF(Planned_capex_starting_position!$AF:$AF,$A84,Planned_capex_starting_position!BH:BH)</f>
        <v>0</v>
      </c>
      <c r="N84" s="800">
        <f>SUMIF(Planned_capex_starting_position!$AF:$AF,$A84,Planned_capex_starting_position!BI:BI)</f>
        <v>0</v>
      </c>
      <c r="O84" s="800">
        <f t="shared" si="1"/>
        <v>0</v>
      </c>
      <c r="P84" s="41"/>
      <c r="Q84" s="36"/>
      <c r="R84" s="36"/>
      <c r="S84" s="36"/>
      <c r="T84" s="36"/>
      <c r="U84" s="36"/>
      <c r="V84" s="36"/>
      <c r="W84" s="36"/>
      <c r="X84" s="36"/>
      <c r="Y84" s="36"/>
      <c r="Z84" s="36"/>
    </row>
    <row r="85" spans="1:26" customFormat="1" hidden="1">
      <c r="A85" s="22" t="s">
        <v>5400</v>
      </c>
      <c r="B85" s="31" t="s">
        <v>963</v>
      </c>
      <c r="C85" s="31" t="str">
        <f>VLOOKUP($A85,FA_Codes!$D$2:$G$249,4,FALSE)</f>
        <v>City Centre GPA</v>
      </c>
      <c r="D85" s="800">
        <v>0</v>
      </c>
      <c r="E85" s="800">
        <f>SUMIF(Planned_capex_starting_position!$AF:$AF,$A85,Planned_capex_starting_position!AZ:AZ)</f>
        <v>0</v>
      </c>
      <c r="F85" s="800">
        <f>SUMIF(Planned_capex_starting_position!$AF:$AF,$A85,Planned_capex_starting_position!BA:BA)</f>
        <v>0</v>
      </c>
      <c r="G85" s="800">
        <f>SUMIF(Planned_capex_starting_position!$AF:$AF,$A85,Planned_capex_starting_position!BB:BB)</f>
        <v>0</v>
      </c>
      <c r="H85" s="800">
        <f>SUMIF(Planned_capex_starting_position!$AF:$AF,$A85,Planned_capex_starting_position!BC:BC)</f>
        <v>0</v>
      </c>
      <c r="I85" s="800">
        <f>SUMIF(Planned_capex_starting_position!$AF:$AF,$A85,Planned_capex_starting_position!BD:BD)</f>
        <v>0</v>
      </c>
      <c r="J85" s="800">
        <f>SUMIF(Planned_capex_starting_position!$AF:$AF,$A85,Planned_capex_starting_position!BE:BE)</f>
        <v>0</v>
      </c>
      <c r="K85" s="800">
        <f>SUMIF(Planned_capex_starting_position!$AF:$AF,$A85,Planned_capex_starting_position!BF:BF)</f>
        <v>0</v>
      </c>
      <c r="L85" s="800">
        <f>SUMIF(Planned_capex_starting_position!$AF:$AF,$A85,Planned_capex_starting_position!BG:BG)</f>
        <v>0</v>
      </c>
      <c r="M85" s="800">
        <f>SUMIF(Planned_capex_starting_position!$AF:$AF,$A85,Planned_capex_starting_position!BH:BH)</f>
        <v>0</v>
      </c>
      <c r="N85" s="800">
        <f>SUMIF(Planned_capex_starting_position!$AF:$AF,$A85,Planned_capex_starting_position!BI:BI)</f>
        <v>0</v>
      </c>
      <c r="O85" s="800">
        <f t="shared" si="1"/>
        <v>0</v>
      </c>
      <c r="P85" s="41"/>
    </row>
    <row r="86" spans="1:26" customFormat="1" hidden="1">
      <c r="A86" s="22" t="s">
        <v>5395</v>
      </c>
      <c r="B86" s="31" t="s">
        <v>963</v>
      </c>
      <c r="C86" s="31" t="str">
        <f>VLOOKUP($A86,FA_Codes!$D$2:$G$249,4,FALSE)</f>
        <v>East Coast Bays</v>
      </c>
      <c r="D86" s="800">
        <v>0</v>
      </c>
      <c r="E86" s="800">
        <f>SUMIF(Planned_capex_starting_position!$AF:$AF,$A86,Planned_capex_starting_position!AZ:AZ)</f>
        <v>0</v>
      </c>
      <c r="F86" s="800">
        <f>SUMIF(Planned_capex_starting_position!$AF:$AF,$A86,Planned_capex_starting_position!BA:BA)</f>
        <v>0</v>
      </c>
      <c r="G86" s="800">
        <f>SUMIF(Planned_capex_starting_position!$AF:$AF,$A86,Planned_capex_starting_position!BB:BB)</f>
        <v>0</v>
      </c>
      <c r="H86" s="800">
        <f>SUMIF(Planned_capex_starting_position!$AF:$AF,$A86,Planned_capex_starting_position!BC:BC)</f>
        <v>0</v>
      </c>
      <c r="I86" s="800">
        <f>SUMIF(Planned_capex_starting_position!$AF:$AF,$A86,Planned_capex_starting_position!BD:BD)</f>
        <v>0</v>
      </c>
      <c r="J86" s="800">
        <f>SUMIF(Planned_capex_starting_position!$AF:$AF,$A86,Planned_capex_starting_position!BE:BE)</f>
        <v>0</v>
      </c>
      <c r="K86" s="800">
        <f>SUMIF(Planned_capex_starting_position!$AF:$AF,$A86,Planned_capex_starting_position!BF:BF)</f>
        <v>0</v>
      </c>
      <c r="L86" s="800">
        <f>SUMIF(Planned_capex_starting_position!$AF:$AF,$A86,Planned_capex_starting_position!BG:BG)</f>
        <v>0</v>
      </c>
      <c r="M86" s="800">
        <f>SUMIF(Planned_capex_starting_position!$AF:$AF,$A86,Planned_capex_starting_position!BH:BH)</f>
        <v>0</v>
      </c>
      <c r="N86" s="800">
        <f>SUMIF(Planned_capex_starting_position!$AF:$AF,$A86,Planned_capex_starting_position!BI:BI)</f>
        <v>0</v>
      </c>
      <c r="O86" s="800">
        <f t="shared" si="1"/>
        <v>0</v>
      </c>
      <c r="P86" s="41"/>
    </row>
    <row r="87" spans="1:26" customFormat="1" hidden="1">
      <c r="A87" s="22" t="s">
        <v>5406</v>
      </c>
      <c r="B87" s="31" t="s">
        <v>963</v>
      </c>
      <c r="C87" s="31" t="str">
        <f>VLOOKUP($A87,FA_Codes!$D$2:$G$249,4,FALSE)</f>
        <v>Flat Bush GPA</v>
      </c>
      <c r="D87" s="800">
        <v>0</v>
      </c>
      <c r="E87" s="800">
        <f>SUMIF(Planned_capex_starting_position!$AF:$AF,$A87,Planned_capex_starting_position!AZ:AZ)</f>
        <v>0</v>
      </c>
      <c r="F87" s="800">
        <f>SUMIF(Planned_capex_starting_position!$AF:$AF,$A87,Planned_capex_starting_position!BA:BA)</f>
        <v>0</v>
      </c>
      <c r="G87" s="800">
        <f>SUMIF(Planned_capex_starting_position!$AF:$AF,$A87,Planned_capex_starting_position!BB:BB)</f>
        <v>0</v>
      </c>
      <c r="H87" s="800">
        <f>SUMIF(Planned_capex_starting_position!$AF:$AF,$A87,Planned_capex_starting_position!BC:BC)</f>
        <v>0</v>
      </c>
      <c r="I87" s="800">
        <f>SUMIF(Planned_capex_starting_position!$AF:$AF,$A87,Planned_capex_starting_position!BD:BD)</f>
        <v>0</v>
      </c>
      <c r="J87" s="800">
        <f>SUMIF(Planned_capex_starting_position!$AF:$AF,$A87,Planned_capex_starting_position!BE:BE)</f>
        <v>0</v>
      </c>
      <c r="K87" s="800">
        <f>SUMIF(Planned_capex_starting_position!$AF:$AF,$A87,Planned_capex_starting_position!BF:BF)</f>
        <v>0</v>
      </c>
      <c r="L87" s="800">
        <f>SUMIF(Planned_capex_starting_position!$AF:$AF,$A87,Planned_capex_starting_position!BG:BG)</f>
        <v>0</v>
      </c>
      <c r="M87" s="800">
        <f>SUMIF(Planned_capex_starting_position!$AF:$AF,$A87,Planned_capex_starting_position!BH:BH)</f>
        <v>0</v>
      </c>
      <c r="N87" s="800">
        <f>SUMIF(Planned_capex_starting_position!$AF:$AF,$A87,Planned_capex_starting_position!BI:BI)</f>
        <v>0</v>
      </c>
      <c r="O87" s="800">
        <f t="shared" si="1"/>
        <v>0</v>
      </c>
      <c r="P87" s="41"/>
    </row>
    <row r="88" spans="1:26" customFormat="1" hidden="1">
      <c r="A88" s="22" t="s">
        <v>5408</v>
      </c>
      <c r="B88" s="31" t="s">
        <v>963</v>
      </c>
      <c r="C88" s="31" t="str">
        <f>VLOOKUP($A88,FA_Codes!$D$2:$G$249,4,FALSE)</f>
        <v>Metro Manukau GPA</v>
      </c>
      <c r="D88" s="800">
        <v>0</v>
      </c>
      <c r="E88" s="800">
        <f>SUMIF(Planned_capex_starting_position!$AF:$AF,$A88,Planned_capex_starting_position!AZ:AZ)</f>
        <v>0</v>
      </c>
      <c r="F88" s="800">
        <f>SUMIF(Planned_capex_starting_position!$AF:$AF,$A88,Planned_capex_starting_position!BA:BA)</f>
        <v>0</v>
      </c>
      <c r="G88" s="800">
        <f>SUMIF(Planned_capex_starting_position!$AF:$AF,$A88,Planned_capex_starting_position!BB:BB)</f>
        <v>0</v>
      </c>
      <c r="H88" s="800">
        <f>SUMIF(Planned_capex_starting_position!$AF:$AF,$A88,Planned_capex_starting_position!BC:BC)</f>
        <v>0</v>
      </c>
      <c r="I88" s="800">
        <f>SUMIF(Planned_capex_starting_position!$AF:$AF,$A88,Planned_capex_starting_position!BD:BD)</f>
        <v>0</v>
      </c>
      <c r="J88" s="800">
        <f>SUMIF(Planned_capex_starting_position!$AF:$AF,$A88,Planned_capex_starting_position!BE:BE)</f>
        <v>0</v>
      </c>
      <c r="K88" s="800">
        <f>SUMIF(Planned_capex_starting_position!$AF:$AF,$A88,Planned_capex_starting_position!BF:BF)</f>
        <v>0</v>
      </c>
      <c r="L88" s="800">
        <f>SUMIF(Planned_capex_starting_position!$AF:$AF,$A88,Planned_capex_starting_position!BG:BG)</f>
        <v>0</v>
      </c>
      <c r="M88" s="800">
        <f>SUMIF(Planned_capex_starting_position!$AF:$AF,$A88,Planned_capex_starting_position!BH:BH)</f>
        <v>0</v>
      </c>
      <c r="N88" s="800">
        <f>SUMIF(Planned_capex_starting_position!$AF:$AF,$A88,Planned_capex_starting_position!BI:BI)</f>
        <v>0</v>
      </c>
      <c r="O88" s="800">
        <f t="shared" si="1"/>
        <v>0</v>
      </c>
      <c r="P88" s="41"/>
    </row>
    <row r="89" spans="1:26" customFormat="1" hidden="1">
      <c r="A89" s="22" t="s">
        <v>5409</v>
      </c>
      <c r="B89" s="31" t="s">
        <v>963</v>
      </c>
      <c r="C89" s="31" t="str">
        <f>VLOOKUP($A89,FA_Codes!$D$2:$G$249,4,FALSE)</f>
        <v>Manurewa / Papakura GPA</v>
      </c>
      <c r="D89" s="800">
        <v>0</v>
      </c>
      <c r="E89" s="800">
        <f>SUMIF(Planned_capex_starting_position!$AF:$AF,$A89,Planned_capex_starting_position!AZ:AZ)</f>
        <v>0</v>
      </c>
      <c r="F89" s="800">
        <f>SUMIF(Planned_capex_starting_position!$AF:$AF,$A89,Planned_capex_starting_position!BA:BA)</f>
        <v>0</v>
      </c>
      <c r="G89" s="800">
        <f>SUMIF(Planned_capex_starting_position!$AF:$AF,$A89,Planned_capex_starting_position!BB:BB)</f>
        <v>0</v>
      </c>
      <c r="H89" s="800">
        <f>SUMIF(Planned_capex_starting_position!$AF:$AF,$A89,Planned_capex_starting_position!BC:BC)</f>
        <v>0</v>
      </c>
      <c r="I89" s="800">
        <f>SUMIF(Planned_capex_starting_position!$AF:$AF,$A89,Planned_capex_starting_position!BD:BD)</f>
        <v>0</v>
      </c>
      <c r="J89" s="800">
        <f>SUMIF(Planned_capex_starting_position!$AF:$AF,$A89,Planned_capex_starting_position!BE:BE)</f>
        <v>0</v>
      </c>
      <c r="K89" s="800">
        <f>SUMIF(Planned_capex_starting_position!$AF:$AF,$A89,Planned_capex_starting_position!BF:BF)</f>
        <v>0</v>
      </c>
      <c r="L89" s="800">
        <f>SUMIF(Planned_capex_starting_position!$AF:$AF,$A89,Planned_capex_starting_position!BG:BG)</f>
        <v>0</v>
      </c>
      <c r="M89" s="800">
        <f>SUMIF(Planned_capex_starting_position!$AF:$AF,$A89,Planned_capex_starting_position!BH:BH)</f>
        <v>0</v>
      </c>
      <c r="N89" s="800">
        <f>SUMIF(Planned_capex_starting_position!$AF:$AF,$A89,Planned_capex_starting_position!BI:BI)</f>
        <v>0</v>
      </c>
      <c r="O89" s="800">
        <f t="shared" si="1"/>
        <v>0</v>
      </c>
      <c r="P89" s="41"/>
    </row>
    <row r="90" spans="1:26" customFormat="1" hidden="1">
      <c r="A90" s="22" t="s">
        <v>5421</v>
      </c>
      <c r="B90" s="31" t="s">
        <v>963</v>
      </c>
      <c r="C90" s="31" t="str">
        <f>VLOOKUP($A90,FA_Codes!$D$2:$G$249,4,FALSE)</f>
        <v>Greater Takapuna GPA</v>
      </c>
      <c r="D90" s="800">
        <v>0</v>
      </c>
      <c r="E90" s="800">
        <f>SUMIF(Planned_capex_starting_position!$AF:$AF,$A90,Planned_capex_starting_position!AZ:AZ)</f>
        <v>0</v>
      </c>
      <c r="F90" s="800">
        <f>SUMIF(Planned_capex_starting_position!$AF:$AF,$A90,Planned_capex_starting_position!BA:BA)</f>
        <v>0</v>
      </c>
      <c r="G90" s="800">
        <f>SUMIF(Planned_capex_starting_position!$AF:$AF,$A90,Planned_capex_starting_position!BB:BB)</f>
        <v>0</v>
      </c>
      <c r="H90" s="800">
        <f>SUMIF(Planned_capex_starting_position!$AF:$AF,$A90,Planned_capex_starting_position!BC:BC)</f>
        <v>0</v>
      </c>
      <c r="I90" s="800">
        <f>SUMIF(Planned_capex_starting_position!$AF:$AF,$A90,Planned_capex_starting_position!BD:BD)</f>
        <v>0</v>
      </c>
      <c r="J90" s="800">
        <f>SUMIF(Planned_capex_starting_position!$AF:$AF,$A90,Planned_capex_starting_position!BE:BE)</f>
        <v>0</v>
      </c>
      <c r="K90" s="800">
        <f>SUMIF(Planned_capex_starting_position!$AF:$AF,$A90,Planned_capex_starting_position!BF:BF)</f>
        <v>0</v>
      </c>
      <c r="L90" s="800">
        <f>SUMIF(Planned_capex_starting_position!$AF:$AF,$A90,Planned_capex_starting_position!BG:BG)</f>
        <v>0</v>
      </c>
      <c r="M90" s="800">
        <f>SUMIF(Planned_capex_starting_position!$AF:$AF,$A90,Planned_capex_starting_position!BH:BH)</f>
        <v>0</v>
      </c>
      <c r="N90" s="800">
        <f>SUMIF(Planned_capex_starting_position!$AF:$AF,$A90,Planned_capex_starting_position!BI:BI)</f>
        <v>0</v>
      </c>
      <c r="O90" s="800">
        <f t="shared" si="1"/>
        <v>0</v>
      </c>
      <c r="P90" s="41"/>
    </row>
    <row r="91" spans="1:26" customFormat="1" hidden="1">
      <c r="A91" s="22" t="s">
        <v>5422</v>
      </c>
      <c r="B91" s="31" t="s">
        <v>963</v>
      </c>
      <c r="C91" s="31" t="str">
        <f>VLOOKUP($A91,FA_Codes!$D$2:$G$249,4,FALSE)</f>
        <v>Greater Tamaki GPA</v>
      </c>
      <c r="D91" s="800">
        <v>0</v>
      </c>
      <c r="E91" s="800">
        <f>SUMIF(Planned_capex_starting_position!$AF:$AF,$A91,Planned_capex_starting_position!AZ:AZ)</f>
        <v>0</v>
      </c>
      <c r="F91" s="800">
        <f>SUMIF(Planned_capex_starting_position!$AF:$AF,$A91,Planned_capex_starting_position!BA:BA)</f>
        <v>0</v>
      </c>
      <c r="G91" s="800">
        <f>SUMIF(Planned_capex_starting_position!$AF:$AF,$A91,Planned_capex_starting_position!BB:BB)</f>
        <v>0</v>
      </c>
      <c r="H91" s="800">
        <f>SUMIF(Planned_capex_starting_position!$AF:$AF,$A91,Planned_capex_starting_position!BC:BC)</f>
        <v>0</v>
      </c>
      <c r="I91" s="800">
        <f>SUMIF(Planned_capex_starting_position!$AF:$AF,$A91,Planned_capex_starting_position!BD:BD)</f>
        <v>0</v>
      </c>
      <c r="J91" s="800">
        <f>SUMIF(Planned_capex_starting_position!$AF:$AF,$A91,Planned_capex_starting_position!BE:BE)</f>
        <v>0</v>
      </c>
      <c r="K91" s="800">
        <f>SUMIF(Planned_capex_starting_position!$AF:$AF,$A91,Planned_capex_starting_position!BF:BF)</f>
        <v>0</v>
      </c>
      <c r="L91" s="800">
        <f>SUMIF(Planned_capex_starting_position!$AF:$AF,$A91,Planned_capex_starting_position!BG:BG)</f>
        <v>0</v>
      </c>
      <c r="M91" s="800">
        <f>SUMIF(Planned_capex_starting_position!$AF:$AF,$A91,Planned_capex_starting_position!BH:BH)</f>
        <v>0</v>
      </c>
      <c r="N91" s="800">
        <f>SUMIF(Planned_capex_starting_position!$AF:$AF,$A91,Planned_capex_starting_position!BI:BI)</f>
        <v>0</v>
      </c>
      <c r="O91" s="800">
        <f t="shared" si="1"/>
        <v>0</v>
      </c>
      <c r="P91" s="41"/>
    </row>
    <row r="92" spans="1:26" customFormat="1" hidden="1">
      <c r="A92" s="22" t="s">
        <v>5411</v>
      </c>
      <c r="B92" s="31" t="s">
        <v>963</v>
      </c>
      <c r="C92" s="31" t="str">
        <f>VLOOKUP($A92,FA_Codes!$D$2:$G$249,4,FALSE)</f>
        <v>Helensville</v>
      </c>
      <c r="D92" s="800">
        <v>0</v>
      </c>
      <c r="E92" s="800">
        <f>SUMIF(Planned_capex_starting_position!$AF:$AF,$A92,Planned_capex_starting_position!AZ:AZ)</f>
        <v>0</v>
      </c>
      <c r="F92" s="800">
        <f>SUMIF(Planned_capex_starting_position!$AF:$AF,$A92,Planned_capex_starting_position!BA:BA)</f>
        <v>0</v>
      </c>
      <c r="G92" s="800">
        <f>SUMIF(Planned_capex_starting_position!$AF:$AF,$A92,Planned_capex_starting_position!BB:BB)</f>
        <v>0</v>
      </c>
      <c r="H92" s="800">
        <f>SUMIF(Planned_capex_starting_position!$AF:$AF,$A92,Planned_capex_starting_position!BC:BC)</f>
        <v>0</v>
      </c>
      <c r="I92" s="800">
        <f>SUMIF(Planned_capex_starting_position!$AF:$AF,$A92,Planned_capex_starting_position!BD:BD)</f>
        <v>0</v>
      </c>
      <c r="J92" s="800">
        <f>SUMIF(Planned_capex_starting_position!$AF:$AF,$A92,Planned_capex_starting_position!BE:BE)</f>
        <v>0</v>
      </c>
      <c r="K92" s="800">
        <f>SUMIF(Planned_capex_starting_position!$AF:$AF,$A92,Planned_capex_starting_position!BF:BF)</f>
        <v>0</v>
      </c>
      <c r="L92" s="800">
        <f>SUMIF(Planned_capex_starting_position!$AF:$AF,$A92,Planned_capex_starting_position!BG:BG)</f>
        <v>0</v>
      </c>
      <c r="M92" s="800">
        <f>SUMIF(Planned_capex_starting_position!$AF:$AF,$A92,Planned_capex_starting_position!BH:BH)</f>
        <v>0</v>
      </c>
      <c r="N92" s="800">
        <f>SUMIF(Planned_capex_starting_position!$AF:$AF,$A92,Planned_capex_starting_position!BI:BI)</f>
        <v>0</v>
      </c>
      <c r="O92" s="800">
        <f t="shared" si="1"/>
        <v>0</v>
      </c>
      <c r="P92" s="41"/>
    </row>
    <row r="93" spans="1:26" customFormat="1" hidden="1">
      <c r="A93" s="22" t="s">
        <v>5414</v>
      </c>
      <c r="B93" s="31" t="s">
        <v>963</v>
      </c>
      <c r="C93" s="31" t="str">
        <f>VLOOKUP($A93,FA_Codes!$D$2:$G$249,4,FALSE)</f>
        <v>Hibiscus Coast</v>
      </c>
      <c r="D93" s="800">
        <v>0</v>
      </c>
      <c r="E93" s="800">
        <f>SUMIF(Planned_capex_starting_position!$AF:$AF,$A93,Planned_capex_starting_position!AZ:AZ)</f>
        <v>0</v>
      </c>
      <c r="F93" s="800">
        <f>SUMIF(Planned_capex_starting_position!$AF:$AF,$A93,Planned_capex_starting_position!BA:BA)</f>
        <v>0</v>
      </c>
      <c r="G93" s="800">
        <f>SUMIF(Planned_capex_starting_position!$AF:$AF,$A93,Planned_capex_starting_position!BB:BB)</f>
        <v>0</v>
      </c>
      <c r="H93" s="800">
        <f>SUMIF(Planned_capex_starting_position!$AF:$AF,$A93,Planned_capex_starting_position!BC:BC)</f>
        <v>0</v>
      </c>
      <c r="I93" s="800">
        <f>SUMIF(Planned_capex_starting_position!$AF:$AF,$A93,Planned_capex_starting_position!BD:BD)</f>
        <v>0</v>
      </c>
      <c r="J93" s="800">
        <f>SUMIF(Planned_capex_starting_position!$AF:$AF,$A93,Planned_capex_starting_position!BE:BE)</f>
        <v>0</v>
      </c>
      <c r="K93" s="800">
        <f>SUMIF(Planned_capex_starting_position!$AF:$AF,$A93,Planned_capex_starting_position!BF:BF)</f>
        <v>0</v>
      </c>
      <c r="L93" s="800">
        <f>SUMIF(Planned_capex_starting_position!$AF:$AF,$A93,Planned_capex_starting_position!BG:BG)</f>
        <v>0</v>
      </c>
      <c r="M93" s="800">
        <f>SUMIF(Planned_capex_starting_position!$AF:$AF,$A93,Planned_capex_starting_position!BH:BH)</f>
        <v>0</v>
      </c>
      <c r="N93" s="800">
        <f>SUMIF(Planned_capex_starting_position!$AF:$AF,$A93,Planned_capex_starting_position!BI:BI)</f>
        <v>0</v>
      </c>
      <c r="O93" s="800">
        <f t="shared" si="1"/>
        <v>0</v>
      </c>
      <c r="P93" s="41"/>
    </row>
    <row r="94" spans="1:26" customFormat="1" hidden="1">
      <c r="A94" s="22" t="s">
        <v>5403</v>
      </c>
      <c r="B94" s="31" t="s">
        <v>963</v>
      </c>
      <c r="C94" s="31" t="str">
        <f>VLOOKUP($A94,FA_Codes!$D$2:$G$249,4,FALSE)</f>
        <v>Inner West Triangle GPA</v>
      </c>
      <c r="D94" s="800">
        <v>0</v>
      </c>
      <c r="E94" s="800">
        <f>SUMIF(Planned_capex_starting_position!$AF:$AF,$A94,Planned_capex_starting_position!AZ:AZ)</f>
        <v>0</v>
      </c>
      <c r="F94" s="800">
        <f>SUMIF(Planned_capex_starting_position!$AF:$AF,$A94,Planned_capex_starting_position!BA:BA)</f>
        <v>0</v>
      </c>
      <c r="G94" s="800">
        <f>SUMIF(Planned_capex_starting_position!$AF:$AF,$A94,Planned_capex_starting_position!BB:BB)</f>
        <v>0</v>
      </c>
      <c r="H94" s="800">
        <f>SUMIF(Planned_capex_starting_position!$AF:$AF,$A94,Planned_capex_starting_position!BC:BC)</f>
        <v>0</v>
      </c>
      <c r="I94" s="800">
        <f>SUMIF(Planned_capex_starting_position!$AF:$AF,$A94,Planned_capex_starting_position!BD:BD)</f>
        <v>0</v>
      </c>
      <c r="J94" s="800">
        <f>SUMIF(Planned_capex_starting_position!$AF:$AF,$A94,Planned_capex_starting_position!BE:BE)</f>
        <v>0</v>
      </c>
      <c r="K94" s="800">
        <f>SUMIF(Planned_capex_starting_position!$AF:$AF,$A94,Planned_capex_starting_position!BF:BF)</f>
        <v>0</v>
      </c>
      <c r="L94" s="800">
        <f>SUMIF(Planned_capex_starting_position!$AF:$AF,$A94,Planned_capex_starting_position!BG:BG)</f>
        <v>0</v>
      </c>
      <c r="M94" s="800">
        <f>SUMIF(Planned_capex_starting_position!$AF:$AF,$A94,Planned_capex_starting_position!BH:BH)</f>
        <v>0</v>
      </c>
      <c r="N94" s="800">
        <f>SUMIF(Planned_capex_starting_position!$AF:$AF,$A94,Planned_capex_starting_position!BI:BI)</f>
        <v>0</v>
      </c>
      <c r="O94" s="800">
        <f t="shared" si="1"/>
        <v>0</v>
      </c>
      <c r="P94" s="41"/>
    </row>
    <row r="95" spans="1:26" customFormat="1" hidden="1">
      <c r="A95" s="22" t="s">
        <v>5415</v>
      </c>
      <c r="B95" s="31" t="s">
        <v>963</v>
      </c>
      <c r="C95" s="31" t="str">
        <f>VLOOKUP($A95,FA_Codes!$D$2:$G$249,4,FALSE)</f>
        <v>Kumeu / Huapai</v>
      </c>
      <c r="D95" s="800">
        <v>0</v>
      </c>
      <c r="E95" s="800">
        <f>SUMIF(Planned_capex_starting_position!$AF:$AF,$A95,Planned_capex_starting_position!AZ:AZ)</f>
        <v>0</v>
      </c>
      <c r="F95" s="800">
        <f>SUMIF(Planned_capex_starting_position!$AF:$AF,$A95,Planned_capex_starting_position!BA:BA)</f>
        <v>0</v>
      </c>
      <c r="G95" s="800">
        <f>SUMIF(Planned_capex_starting_position!$AF:$AF,$A95,Planned_capex_starting_position!BB:BB)</f>
        <v>0</v>
      </c>
      <c r="H95" s="800">
        <f>SUMIF(Planned_capex_starting_position!$AF:$AF,$A95,Planned_capex_starting_position!BC:BC)</f>
        <v>0</v>
      </c>
      <c r="I95" s="800">
        <f>SUMIF(Planned_capex_starting_position!$AF:$AF,$A95,Planned_capex_starting_position!BD:BD)</f>
        <v>0</v>
      </c>
      <c r="J95" s="800">
        <f>SUMIF(Planned_capex_starting_position!$AF:$AF,$A95,Planned_capex_starting_position!BE:BE)</f>
        <v>0</v>
      </c>
      <c r="K95" s="800">
        <f>SUMIF(Planned_capex_starting_position!$AF:$AF,$A95,Planned_capex_starting_position!BF:BF)</f>
        <v>0</v>
      </c>
      <c r="L95" s="800">
        <f>SUMIF(Planned_capex_starting_position!$AF:$AF,$A95,Planned_capex_starting_position!BG:BG)</f>
        <v>0</v>
      </c>
      <c r="M95" s="800">
        <f>SUMIF(Planned_capex_starting_position!$AF:$AF,$A95,Planned_capex_starting_position!BH:BH)</f>
        <v>0</v>
      </c>
      <c r="N95" s="800">
        <f>SUMIF(Planned_capex_starting_position!$AF:$AF,$A95,Planned_capex_starting_position!BI:BI)</f>
        <v>0</v>
      </c>
      <c r="O95" s="800">
        <f t="shared" si="1"/>
        <v>0</v>
      </c>
      <c r="P95" s="41"/>
    </row>
    <row r="96" spans="1:26" customFormat="1" hidden="1">
      <c r="A96" s="22" t="s">
        <v>5407</v>
      </c>
      <c r="B96" s="31" t="s">
        <v>963</v>
      </c>
      <c r="C96" s="31" t="str">
        <f>VLOOKUP($A96,FA_Codes!$D$2:$G$249,4,FALSE)</f>
        <v>Mahurangi</v>
      </c>
      <c r="D96" s="800">
        <v>0</v>
      </c>
      <c r="E96" s="800">
        <f>SUMIF(Planned_capex_starting_position!$AF:$AF,$A96,Planned_capex_starting_position!AZ:AZ)</f>
        <v>0</v>
      </c>
      <c r="F96" s="800">
        <f>SUMIF(Planned_capex_starting_position!$AF:$AF,$A96,Planned_capex_starting_position!BA:BA)</f>
        <v>0</v>
      </c>
      <c r="G96" s="800">
        <f>SUMIF(Planned_capex_starting_position!$AF:$AF,$A96,Planned_capex_starting_position!BB:BB)</f>
        <v>0</v>
      </c>
      <c r="H96" s="800">
        <f>SUMIF(Planned_capex_starting_position!$AF:$AF,$A96,Planned_capex_starting_position!BC:BC)</f>
        <v>0</v>
      </c>
      <c r="I96" s="800">
        <f>SUMIF(Planned_capex_starting_position!$AF:$AF,$A96,Planned_capex_starting_position!BD:BD)</f>
        <v>0</v>
      </c>
      <c r="J96" s="800">
        <f>SUMIF(Planned_capex_starting_position!$AF:$AF,$A96,Planned_capex_starting_position!BE:BE)</f>
        <v>0</v>
      </c>
      <c r="K96" s="800">
        <f>SUMIF(Planned_capex_starting_position!$AF:$AF,$A96,Planned_capex_starting_position!BF:BF)</f>
        <v>0</v>
      </c>
      <c r="L96" s="800">
        <f>SUMIF(Planned_capex_starting_position!$AF:$AF,$A96,Planned_capex_starting_position!BG:BG)</f>
        <v>0</v>
      </c>
      <c r="M96" s="800">
        <f>SUMIF(Planned_capex_starting_position!$AF:$AF,$A96,Planned_capex_starting_position!BH:BH)</f>
        <v>0</v>
      </c>
      <c r="N96" s="800">
        <f>SUMIF(Planned_capex_starting_position!$AF:$AF,$A96,Planned_capex_starting_position!BI:BI)</f>
        <v>0</v>
      </c>
      <c r="O96" s="800">
        <f t="shared" si="1"/>
        <v>0</v>
      </c>
      <c r="P96" s="41"/>
    </row>
    <row r="97" spans="1:21" customFormat="1" hidden="1">
      <c r="A97" s="22" t="s">
        <v>5416</v>
      </c>
      <c r="B97" s="31" t="s">
        <v>963</v>
      </c>
      <c r="C97" s="31" t="str">
        <f>VLOOKUP($A97,FA_Codes!$D$2:$G$249,4,FALSE)</f>
        <v>Manukau Central</v>
      </c>
      <c r="D97" s="800">
        <v>0</v>
      </c>
      <c r="E97" s="800">
        <f>SUMIF(Planned_capex_starting_position!$AF:$AF,$A97,Planned_capex_starting_position!AZ:AZ)</f>
        <v>0</v>
      </c>
      <c r="F97" s="800">
        <f>SUMIF(Planned_capex_starting_position!$AF:$AF,$A97,Planned_capex_starting_position!BA:BA)</f>
        <v>0</v>
      </c>
      <c r="G97" s="800">
        <f>SUMIF(Planned_capex_starting_position!$AF:$AF,$A97,Planned_capex_starting_position!BB:BB)</f>
        <v>0</v>
      </c>
      <c r="H97" s="800">
        <f>SUMIF(Planned_capex_starting_position!$AF:$AF,$A97,Planned_capex_starting_position!BC:BC)</f>
        <v>0</v>
      </c>
      <c r="I97" s="800">
        <f>SUMIF(Planned_capex_starting_position!$AF:$AF,$A97,Planned_capex_starting_position!BD:BD)</f>
        <v>0</v>
      </c>
      <c r="J97" s="800">
        <f>SUMIF(Planned_capex_starting_position!$AF:$AF,$A97,Planned_capex_starting_position!BE:BE)</f>
        <v>0</v>
      </c>
      <c r="K97" s="800">
        <f>SUMIF(Planned_capex_starting_position!$AF:$AF,$A97,Planned_capex_starting_position!BF:BF)</f>
        <v>0</v>
      </c>
      <c r="L97" s="800">
        <f>SUMIF(Planned_capex_starting_position!$AF:$AF,$A97,Planned_capex_starting_position!BG:BG)</f>
        <v>0</v>
      </c>
      <c r="M97" s="800">
        <f>SUMIF(Planned_capex_starting_position!$AF:$AF,$A97,Planned_capex_starting_position!BH:BH)</f>
        <v>0</v>
      </c>
      <c r="N97" s="800">
        <f>SUMIF(Planned_capex_starting_position!$AF:$AF,$A97,Planned_capex_starting_position!BI:BI)</f>
        <v>0</v>
      </c>
      <c r="O97" s="800">
        <f t="shared" si="1"/>
        <v>0</v>
      </c>
      <c r="P97" s="41"/>
    </row>
    <row r="98" spans="1:21" customFormat="1" hidden="1">
      <c r="A98" s="22" t="s">
        <v>5412</v>
      </c>
      <c r="B98" s="31" t="s">
        <v>963</v>
      </c>
      <c r="C98" s="31" t="str">
        <f>VLOOKUP($A98,FA_Codes!$D$2:$G$249,4,FALSE)</f>
        <v>Manukau North</v>
      </c>
      <c r="D98" s="800">
        <v>0</v>
      </c>
      <c r="E98" s="800">
        <f>SUMIF(Planned_capex_starting_position!$AF:$AF,$A98,Planned_capex_starting_position!AZ:AZ)</f>
        <v>0</v>
      </c>
      <c r="F98" s="800">
        <f>SUMIF(Planned_capex_starting_position!$AF:$AF,$A98,Planned_capex_starting_position!BA:BA)</f>
        <v>0</v>
      </c>
      <c r="G98" s="800">
        <f>SUMIF(Planned_capex_starting_position!$AF:$AF,$A98,Planned_capex_starting_position!BB:BB)</f>
        <v>0</v>
      </c>
      <c r="H98" s="800">
        <f>SUMIF(Planned_capex_starting_position!$AF:$AF,$A98,Planned_capex_starting_position!BC:BC)</f>
        <v>0</v>
      </c>
      <c r="I98" s="800">
        <f>SUMIF(Planned_capex_starting_position!$AF:$AF,$A98,Planned_capex_starting_position!BD:BD)</f>
        <v>0</v>
      </c>
      <c r="J98" s="800">
        <f>SUMIF(Planned_capex_starting_position!$AF:$AF,$A98,Planned_capex_starting_position!BE:BE)</f>
        <v>0</v>
      </c>
      <c r="K98" s="800">
        <f>SUMIF(Planned_capex_starting_position!$AF:$AF,$A98,Planned_capex_starting_position!BF:BF)</f>
        <v>0</v>
      </c>
      <c r="L98" s="800">
        <f>SUMIF(Planned_capex_starting_position!$AF:$AF,$A98,Planned_capex_starting_position!BG:BG)</f>
        <v>0</v>
      </c>
      <c r="M98" s="800">
        <f>SUMIF(Planned_capex_starting_position!$AF:$AF,$A98,Planned_capex_starting_position!BH:BH)</f>
        <v>0</v>
      </c>
      <c r="N98" s="800">
        <f>SUMIF(Planned_capex_starting_position!$AF:$AF,$A98,Planned_capex_starting_position!BI:BI)</f>
        <v>0</v>
      </c>
      <c r="O98" s="800">
        <f t="shared" si="1"/>
        <v>0</v>
      </c>
      <c r="P98" s="41"/>
    </row>
    <row r="99" spans="1:21" customFormat="1" hidden="1">
      <c r="A99" s="22" t="s">
        <v>5398</v>
      </c>
      <c r="B99" s="31" t="s">
        <v>963</v>
      </c>
      <c r="C99" s="31" t="str">
        <f>VLOOKUP($A99,FA_Codes!$D$2:$G$249,4,FALSE)</f>
        <v>Manukau South</v>
      </c>
      <c r="D99" s="800">
        <v>0</v>
      </c>
      <c r="E99" s="800">
        <f>SUMIF(Planned_capex_starting_position!$AF:$AF,$A99,Planned_capex_starting_position!AZ:AZ)</f>
        <v>0</v>
      </c>
      <c r="F99" s="800">
        <f>SUMIF(Planned_capex_starting_position!$AF:$AF,$A99,Planned_capex_starting_position!BA:BA)</f>
        <v>0</v>
      </c>
      <c r="G99" s="800">
        <f>SUMIF(Planned_capex_starting_position!$AF:$AF,$A99,Planned_capex_starting_position!BB:BB)</f>
        <v>0</v>
      </c>
      <c r="H99" s="800">
        <f>SUMIF(Planned_capex_starting_position!$AF:$AF,$A99,Planned_capex_starting_position!BC:BC)</f>
        <v>0</v>
      </c>
      <c r="I99" s="800">
        <f>SUMIF(Planned_capex_starting_position!$AF:$AF,$A99,Planned_capex_starting_position!BD:BD)</f>
        <v>0</v>
      </c>
      <c r="J99" s="800">
        <f>SUMIF(Planned_capex_starting_position!$AF:$AF,$A99,Planned_capex_starting_position!BE:BE)</f>
        <v>0</v>
      </c>
      <c r="K99" s="800">
        <f>SUMIF(Planned_capex_starting_position!$AF:$AF,$A99,Planned_capex_starting_position!BF:BF)</f>
        <v>0</v>
      </c>
      <c r="L99" s="800">
        <f>SUMIF(Planned_capex_starting_position!$AF:$AF,$A99,Planned_capex_starting_position!BG:BG)</f>
        <v>0</v>
      </c>
      <c r="M99" s="800">
        <f>SUMIF(Planned_capex_starting_position!$AF:$AF,$A99,Planned_capex_starting_position!BH:BH)</f>
        <v>0</v>
      </c>
      <c r="N99" s="800">
        <f>SUMIF(Planned_capex_starting_position!$AF:$AF,$A99,Planned_capex_starting_position!BI:BI)</f>
        <v>0</v>
      </c>
      <c r="O99" s="800">
        <f t="shared" si="1"/>
        <v>0</v>
      </c>
      <c r="P99" s="41"/>
    </row>
    <row r="100" spans="1:21" customFormat="1" hidden="1">
      <c r="A100" s="22" t="s">
        <v>5399</v>
      </c>
      <c r="B100" s="31" t="s">
        <v>963</v>
      </c>
      <c r="C100" s="31" t="str">
        <f>VLOOKUP($A100,FA_Codes!$D$2:$G$249,4,FALSE)</f>
        <v>Manukau West</v>
      </c>
      <c r="D100" s="800">
        <v>0</v>
      </c>
      <c r="E100" s="800">
        <f>SUMIF(Planned_capex_starting_position!$AF:$AF,$A100,Planned_capex_starting_position!AZ:AZ)</f>
        <v>0</v>
      </c>
      <c r="F100" s="800">
        <f>SUMIF(Planned_capex_starting_position!$AF:$AF,$A100,Planned_capex_starting_position!BA:BA)</f>
        <v>0</v>
      </c>
      <c r="G100" s="800">
        <f>SUMIF(Planned_capex_starting_position!$AF:$AF,$A100,Planned_capex_starting_position!BB:BB)</f>
        <v>0</v>
      </c>
      <c r="H100" s="800">
        <f>SUMIF(Planned_capex_starting_position!$AF:$AF,$A100,Planned_capex_starting_position!BC:BC)</f>
        <v>0</v>
      </c>
      <c r="I100" s="800">
        <f>SUMIF(Planned_capex_starting_position!$AF:$AF,$A100,Planned_capex_starting_position!BD:BD)</f>
        <v>0</v>
      </c>
      <c r="J100" s="800">
        <f>SUMIF(Planned_capex_starting_position!$AF:$AF,$A100,Planned_capex_starting_position!BE:BE)</f>
        <v>0</v>
      </c>
      <c r="K100" s="800">
        <f>SUMIF(Planned_capex_starting_position!$AF:$AF,$A100,Planned_capex_starting_position!BF:BF)</f>
        <v>0</v>
      </c>
      <c r="L100" s="800">
        <f>SUMIF(Planned_capex_starting_position!$AF:$AF,$A100,Planned_capex_starting_position!BG:BG)</f>
        <v>0</v>
      </c>
      <c r="M100" s="800">
        <f>SUMIF(Planned_capex_starting_position!$AF:$AF,$A100,Planned_capex_starting_position!BH:BH)</f>
        <v>0</v>
      </c>
      <c r="N100" s="800">
        <f>SUMIF(Planned_capex_starting_position!$AF:$AF,$A100,Planned_capex_starting_position!BI:BI)</f>
        <v>0</v>
      </c>
      <c r="O100" s="800">
        <f t="shared" si="1"/>
        <v>0</v>
      </c>
      <c r="P100" s="41"/>
    </row>
    <row r="101" spans="1:21" customFormat="1" hidden="1">
      <c r="A101" s="22" t="s">
        <v>5402</v>
      </c>
      <c r="B101" s="31" t="s">
        <v>963</v>
      </c>
      <c r="C101" s="31" t="str">
        <f>VLOOKUP($A101,FA_Codes!$D$2:$G$249,4,FALSE)</f>
        <v>NORSGA GPA</v>
      </c>
      <c r="D101" s="800">
        <v>0</v>
      </c>
      <c r="E101" s="800">
        <f>SUMIF(Planned_capex_starting_position!$AF:$AF,$A101,Planned_capex_starting_position!AZ:AZ)</f>
        <v>0</v>
      </c>
      <c r="F101" s="800">
        <f>SUMIF(Planned_capex_starting_position!$AF:$AF,$A101,Planned_capex_starting_position!BA:BA)</f>
        <v>0</v>
      </c>
      <c r="G101" s="800">
        <f>SUMIF(Planned_capex_starting_position!$AF:$AF,$A101,Planned_capex_starting_position!BB:BB)</f>
        <v>0</v>
      </c>
      <c r="H101" s="800">
        <f>SUMIF(Planned_capex_starting_position!$AF:$AF,$A101,Planned_capex_starting_position!BC:BC)</f>
        <v>0</v>
      </c>
      <c r="I101" s="800">
        <f>SUMIF(Planned_capex_starting_position!$AF:$AF,$A101,Planned_capex_starting_position!BD:BD)</f>
        <v>0</v>
      </c>
      <c r="J101" s="800">
        <f>SUMIF(Planned_capex_starting_position!$AF:$AF,$A101,Planned_capex_starting_position!BE:BE)</f>
        <v>0</v>
      </c>
      <c r="K101" s="800">
        <f>SUMIF(Planned_capex_starting_position!$AF:$AF,$A101,Planned_capex_starting_position!BF:BF)</f>
        <v>0</v>
      </c>
      <c r="L101" s="800">
        <f>SUMIF(Planned_capex_starting_position!$AF:$AF,$A101,Planned_capex_starting_position!BG:BG)</f>
        <v>0</v>
      </c>
      <c r="M101" s="800">
        <f>SUMIF(Planned_capex_starting_position!$AF:$AF,$A101,Planned_capex_starting_position!BH:BH)</f>
        <v>0</v>
      </c>
      <c r="N101" s="800">
        <f>SUMIF(Planned_capex_starting_position!$AF:$AF,$A101,Planned_capex_starting_position!BI:BI)</f>
        <v>0</v>
      </c>
      <c r="O101" s="800">
        <f t="shared" si="1"/>
        <v>0</v>
      </c>
      <c r="P101" s="41"/>
      <c r="Q101" s="125"/>
      <c r="R101" s="125"/>
      <c r="T101" s="29"/>
      <c r="U101" s="29"/>
    </row>
    <row r="102" spans="1:21" customFormat="1" hidden="1">
      <c r="A102" s="22" t="s">
        <v>5417</v>
      </c>
      <c r="B102" s="31" t="s">
        <v>963</v>
      </c>
      <c r="C102" s="31" t="str">
        <f>VLOOKUP($A102,FA_Codes!$D$2:$G$249,4,FALSE)</f>
        <v>Otahuhu GPA</v>
      </c>
      <c r="D102" s="800">
        <v>0</v>
      </c>
      <c r="E102" s="800">
        <f>SUMIF(Planned_capex_starting_position!$AF:$AF,$A102,Planned_capex_starting_position!AZ:AZ)</f>
        <v>0</v>
      </c>
      <c r="F102" s="800">
        <f>SUMIF(Planned_capex_starting_position!$AF:$AF,$A102,Planned_capex_starting_position!BA:BA)</f>
        <v>0</v>
      </c>
      <c r="G102" s="800">
        <f>SUMIF(Planned_capex_starting_position!$AF:$AF,$A102,Planned_capex_starting_position!BB:BB)</f>
        <v>0</v>
      </c>
      <c r="H102" s="800">
        <f>SUMIF(Planned_capex_starting_position!$AF:$AF,$A102,Planned_capex_starting_position!BC:BC)</f>
        <v>0</v>
      </c>
      <c r="I102" s="800">
        <f>SUMIF(Planned_capex_starting_position!$AF:$AF,$A102,Planned_capex_starting_position!BD:BD)</f>
        <v>0</v>
      </c>
      <c r="J102" s="800">
        <f>SUMIF(Planned_capex_starting_position!$AF:$AF,$A102,Planned_capex_starting_position!BE:BE)</f>
        <v>0</v>
      </c>
      <c r="K102" s="800">
        <f>SUMIF(Planned_capex_starting_position!$AF:$AF,$A102,Planned_capex_starting_position!BF:BF)</f>
        <v>0</v>
      </c>
      <c r="L102" s="800">
        <f>SUMIF(Planned_capex_starting_position!$AF:$AF,$A102,Planned_capex_starting_position!BG:BG)</f>
        <v>0</v>
      </c>
      <c r="M102" s="800">
        <f>SUMIF(Planned_capex_starting_position!$AF:$AF,$A102,Planned_capex_starting_position!BH:BH)</f>
        <v>0</v>
      </c>
      <c r="N102" s="800">
        <f>SUMIF(Planned_capex_starting_position!$AF:$AF,$A102,Planned_capex_starting_position!BI:BI)</f>
        <v>0</v>
      </c>
      <c r="O102" s="800">
        <f t="shared" si="1"/>
        <v>0</v>
      </c>
      <c r="P102" s="41"/>
      <c r="Q102" s="125"/>
      <c r="R102" s="125"/>
      <c r="T102" s="29"/>
      <c r="U102" s="29"/>
    </row>
    <row r="103" spans="1:21" customFormat="1" hidden="1">
      <c r="A103" s="22" t="s">
        <v>5427</v>
      </c>
      <c r="B103" s="31" t="s">
        <v>963</v>
      </c>
      <c r="C103" s="31" t="str">
        <f>VLOOKUP($A103,FA_Codes!$D$2:$G$249,4,FALSE)</f>
        <v>Other Auckland</v>
      </c>
      <c r="D103" s="800">
        <v>0</v>
      </c>
      <c r="E103" s="800">
        <f>SUMIF(Planned_capex_starting_position!$AF:$AF,$A103,Planned_capex_starting_position!AZ:AZ)</f>
        <v>0</v>
      </c>
      <c r="F103" s="800">
        <f>SUMIF(Planned_capex_starting_position!$AF:$AF,$A103,Planned_capex_starting_position!BA:BA)</f>
        <v>0</v>
      </c>
      <c r="G103" s="800">
        <f>SUMIF(Planned_capex_starting_position!$AF:$AF,$A103,Planned_capex_starting_position!BB:BB)</f>
        <v>0</v>
      </c>
      <c r="H103" s="800">
        <f>SUMIF(Planned_capex_starting_position!$AF:$AF,$A103,Planned_capex_starting_position!BC:BC)</f>
        <v>0</v>
      </c>
      <c r="I103" s="800">
        <f>SUMIF(Planned_capex_starting_position!$AF:$AF,$A103,Planned_capex_starting_position!BD:BD)</f>
        <v>0</v>
      </c>
      <c r="J103" s="800">
        <f>SUMIF(Planned_capex_starting_position!$AF:$AF,$A103,Planned_capex_starting_position!BE:BE)</f>
        <v>0</v>
      </c>
      <c r="K103" s="800">
        <f>SUMIF(Planned_capex_starting_position!$AF:$AF,$A103,Planned_capex_starting_position!BF:BF)</f>
        <v>0</v>
      </c>
      <c r="L103" s="800">
        <f>SUMIF(Planned_capex_starting_position!$AF:$AF,$A103,Planned_capex_starting_position!BG:BG)</f>
        <v>0</v>
      </c>
      <c r="M103" s="800">
        <f>SUMIF(Planned_capex_starting_position!$AF:$AF,$A103,Planned_capex_starting_position!BH:BH)</f>
        <v>0</v>
      </c>
      <c r="N103" s="800">
        <f>SUMIF(Planned_capex_starting_position!$AF:$AF,$A103,Planned_capex_starting_position!BI:BI)</f>
        <v>0</v>
      </c>
      <c r="O103" s="800">
        <f t="shared" si="1"/>
        <v>0</v>
      </c>
      <c r="P103" s="41"/>
      <c r="Q103" s="125"/>
      <c r="R103" s="125"/>
      <c r="T103" s="29"/>
      <c r="U103" s="29"/>
    </row>
    <row r="104" spans="1:21" customFormat="1" hidden="1">
      <c r="A104" s="22" t="s">
        <v>5396</v>
      </c>
      <c r="B104" s="31" t="s">
        <v>963</v>
      </c>
      <c r="C104" s="31" t="str">
        <f>VLOOKUP($A104,FA_Codes!$D$2:$G$249,4,FALSE)</f>
        <v>Pukekohe GPA</v>
      </c>
      <c r="D104" s="800">
        <v>0</v>
      </c>
      <c r="E104" s="800">
        <f>SUMIF(Planned_capex_starting_position!$AF:$AF,$A104,Planned_capex_starting_position!AZ:AZ)</f>
        <v>0</v>
      </c>
      <c r="F104" s="800">
        <f>SUMIF(Planned_capex_starting_position!$AF:$AF,$A104,Planned_capex_starting_position!BA:BA)</f>
        <v>0</v>
      </c>
      <c r="G104" s="800">
        <f>SUMIF(Planned_capex_starting_position!$AF:$AF,$A104,Planned_capex_starting_position!BB:BB)</f>
        <v>0</v>
      </c>
      <c r="H104" s="800">
        <f>SUMIF(Planned_capex_starting_position!$AF:$AF,$A104,Planned_capex_starting_position!BC:BC)</f>
        <v>0</v>
      </c>
      <c r="I104" s="800">
        <f>SUMIF(Planned_capex_starting_position!$AF:$AF,$A104,Planned_capex_starting_position!BD:BD)</f>
        <v>0</v>
      </c>
      <c r="J104" s="800">
        <f>SUMIF(Planned_capex_starting_position!$AF:$AF,$A104,Planned_capex_starting_position!BE:BE)</f>
        <v>0</v>
      </c>
      <c r="K104" s="800">
        <f>SUMIF(Planned_capex_starting_position!$AF:$AF,$A104,Planned_capex_starting_position!BF:BF)</f>
        <v>0</v>
      </c>
      <c r="L104" s="800">
        <f>SUMIF(Planned_capex_starting_position!$AF:$AF,$A104,Planned_capex_starting_position!BG:BG)</f>
        <v>0</v>
      </c>
      <c r="M104" s="800">
        <f>SUMIF(Planned_capex_starting_position!$AF:$AF,$A104,Planned_capex_starting_position!BH:BH)</f>
        <v>0</v>
      </c>
      <c r="N104" s="800">
        <f>SUMIF(Planned_capex_starting_position!$AF:$AF,$A104,Planned_capex_starting_position!BI:BI)</f>
        <v>0</v>
      </c>
      <c r="O104" s="800">
        <f t="shared" si="1"/>
        <v>0</v>
      </c>
      <c r="P104" s="41"/>
      <c r="Q104" s="125"/>
      <c r="R104" s="125"/>
      <c r="T104" s="29"/>
      <c r="U104" s="29"/>
    </row>
    <row r="105" spans="1:21" customFormat="1" hidden="1">
      <c r="A105" s="22" t="s">
        <v>5413</v>
      </c>
      <c r="B105" s="31" t="s">
        <v>963</v>
      </c>
      <c r="C105" s="31" t="str">
        <f>VLOOKUP($A105,FA_Codes!$D$2:$G$249,4,FALSE)</f>
        <v>Tamaki East</v>
      </c>
      <c r="D105" s="800">
        <v>0</v>
      </c>
      <c r="E105" s="800">
        <f>SUMIF(Planned_capex_starting_position!$AF:$AF,$A105,Planned_capex_starting_position!AZ:AZ)</f>
        <v>0</v>
      </c>
      <c r="F105" s="800">
        <f>SUMIF(Planned_capex_starting_position!$AF:$AF,$A105,Planned_capex_starting_position!BA:BA)</f>
        <v>0</v>
      </c>
      <c r="G105" s="800">
        <f>SUMIF(Planned_capex_starting_position!$AF:$AF,$A105,Planned_capex_starting_position!BB:BB)</f>
        <v>0</v>
      </c>
      <c r="H105" s="800">
        <f>SUMIF(Planned_capex_starting_position!$AF:$AF,$A105,Planned_capex_starting_position!BC:BC)</f>
        <v>0</v>
      </c>
      <c r="I105" s="800">
        <f>SUMIF(Planned_capex_starting_position!$AF:$AF,$A105,Planned_capex_starting_position!BD:BD)</f>
        <v>0</v>
      </c>
      <c r="J105" s="800">
        <f>SUMIF(Planned_capex_starting_position!$AF:$AF,$A105,Planned_capex_starting_position!BE:BE)</f>
        <v>0</v>
      </c>
      <c r="K105" s="800">
        <f>SUMIF(Planned_capex_starting_position!$AF:$AF,$A105,Planned_capex_starting_position!BF:BF)</f>
        <v>0</v>
      </c>
      <c r="L105" s="800">
        <f>SUMIF(Planned_capex_starting_position!$AF:$AF,$A105,Planned_capex_starting_position!BG:BG)</f>
        <v>0</v>
      </c>
      <c r="M105" s="800">
        <f>SUMIF(Planned_capex_starting_position!$AF:$AF,$A105,Planned_capex_starting_position!BH:BH)</f>
        <v>0</v>
      </c>
      <c r="N105" s="800">
        <f>SUMIF(Planned_capex_starting_position!$AF:$AF,$A105,Planned_capex_starting_position!BI:BI)</f>
        <v>0</v>
      </c>
      <c r="O105" s="800">
        <f t="shared" si="1"/>
        <v>0</v>
      </c>
      <c r="P105" s="41"/>
      <c r="Q105" s="125"/>
      <c r="R105" s="125"/>
      <c r="T105" s="29"/>
      <c r="U105" s="29"/>
    </row>
    <row r="106" spans="1:21" customFormat="1" hidden="1">
      <c r="A106" s="22" t="s">
        <v>5418</v>
      </c>
      <c r="B106" s="31" t="s">
        <v>963</v>
      </c>
      <c r="C106" s="31" t="str">
        <f>VLOOKUP($A106,FA_Codes!$D$2:$G$249,4,FALSE)</f>
        <v>Tamaki West 1</v>
      </c>
      <c r="D106" s="800">
        <v>0</v>
      </c>
      <c r="E106" s="800">
        <f>SUMIF(Planned_capex_starting_position!$AF:$AF,$A106,Planned_capex_starting_position!AZ:AZ)</f>
        <v>0</v>
      </c>
      <c r="F106" s="800">
        <f>SUMIF(Planned_capex_starting_position!$AF:$AF,$A106,Planned_capex_starting_position!BA:BA)</f>
        <v>0</v>
      </c>
      <c r="G106" s="800">
        <f>SUMIF(Planned_capex_starting_position!$AF:$AF,$A106,Planned_capex_starting_position!BB:BB)</f>
        <v>0</v>
      </c>
      <c r="H106" s="800">
        <f>SUMIF(Planned_capex_starting_position!$AF:$AF,$A106,Planned_capex_starting_position!BC:BC)</f>
        <v>0</v>
      </c>
      <c r="I106" s="800">
        <f>SUMIF(Planned_capex_starting_position!$AF:$AF,$A106,Planned_capex_starting_position!BD:BD)</f>
        <v>0</v>
      </c>
      <c r="J106" s="800">
        <f>SUMIF(Planned_capex_starting_position!$AF:$AF,$A106,Planned_capex_starting_position!BE:BE)</f>
        <v>0</v>
      </c>
      <c r="K106" s="800">
        <f>SUMIF(Planned_capex_starting_position!$AF:$AF,$A106,Planned_capex_starting_position!BF:BF)</f>
        <v>0</v>
      </c>
      <c r="L106" s="800">
        <f>SUMIF(Planned_capex_starting_position!$AF:$AF,$A106,Planned_capex_starting_position!BG:BG)</f>
        <v>0</v>
      </c>
      <c r="M106" s="800">
        <f>SUMIF(Planned_capex_starting_position!$AF:$AF,$A106,Planned_capex_starting_position!BH:BH)</f>
        <v>0</v>
      </c>
      <c r="N106" s="800">
        <f>SUMIF(Planned_capex_starting_position!$AF:$AF,$A106,Planned_capex_starting_position!BI:BI)</f>
        <v>0</v>
      </c>
      <c r="O106" s="800">
        <f t="shared" si="1"/>
        <v>0</v>
      </c>
      <c r="P106" s="41"/>
      <c r="Q106" s="125"/>
      <c r="R106" s="125"/>
      <c r="T106" s="29"/>
      <c r="U106" s="29"/>
    </row>
    <row r="107" spans="1:21" customFormat="1" hidden="1">
      <c r="A107" s="22" t="s">
        <v>5410</v>
      </c>
      <c r="B107" s="31" t="s">
        <v>963</v>
      </c>
      <c r="C107" s="31" t="str">
        <f>VLOOKUP($A107,FA_Codes!$D$2:$G$249,4,FALSE)</f>
        <v>Wairoa</v>
      </c>
      <c r="D107" s="800">
        <v>0</v>
      </c>
      <c r="E107" s="800">
        <f>SUMIF(Planned_capex_starting_position!$AF:$AF,$A107,Planned_capex_starting_position!AZ:AZ)</f>
        <v>0</v>
      </c>
      <c r="F107" s="800">
        <f>SUMIF(Planned_capex_starting_position!$AF:$AF,$A107,Planned_capex_starting_position!BA:BA)</f>
        <v>0</v>
      </c>
      <c r="G107" s="800">
        <f>SUMIF(Planned_capex_starting_position!$AF:$AF,$A107,Planned_capex_starting_position!BB:BB)</f>
        <v>0</v>
      </c>
      <c r="H107" s="800">
        <f>SUMIF(Planned_capex_starting_position!$AF:$AF,$A107,Planned_capex_starting_position!BC:BC)</f>
        <v>0</v>
      </c>
      <c r="I107" s="800">
        <f>SUMIF(Planned_capex_starting_position!$AF:$AF,$A107,Planned_capex_starting_position!BD:BD)</f>
        <v>0</v>
      </c>
      <c r="J107" s="800">
        <f>SUMIF(Planned_capex_starting_position!$AF:$AF,$A107,Planned_capex_starting_position!BE:BE)</f>
        <v>0</v>
      </c>
      <c r="K107" s="800">
        <f>SUMIF(Planned_capex_starting_position!$AF:$AF,$A107,Planned_capex_starting_position!BF:BF)</f>
        <v>0</v>
      </c>
      <c r="L107" s="800">
        <f>SUMIF(Planned_capex_starting_position!$AF:$AF,$A107,Planned_capex_starting_position!BG:BG)</f>
        <v>0</v>
      </c>
      <c r="M107" s="800">
        <f>SUMIF(Planned_capex_starting_position!$AF:$AF,$A107,Planned_capex_starting_position!BH:BH)</f>
        <v>0</v>
      </c>
      <c r="N107" s="800">
        <f>SUMIF(Planned_capex_starting_position!$AF:$AF,$A107,Planned_capex_starting_position!BI:BI)</f>
        <v>0</v>
      </c>
      <c r="O107" s="800">
        <f t="shared" si="1"/>
        <v>0</v>
      </c>
      <c r="P107" s="41"/>
      <c r="Q107" s="125"/>
      <c r="R107" s="125"/>
      <c r="T107" s="29"/>
      <c r="U107" s="29"/>
    </row>
    <row r="108" spans="1:21" customFormat="1" hidden="1">
      <c r="A108" s="22" t="s">
        <v>5404</v>
      </c>
      <c r="B108" s="31" t="s">
        <v>963</v>
      </c>
      <c r="C108" s="31" t="str">
        <f>VLOOKUP($A108,FA_Codes!$D$2:$G$249,4,FALSE)</f>
        <v>Waitakere Ranges</v>
      </c>
      <c r="D108" s="800">
        <v>0</v>
      </c>
      <c r="E108" s="800">
        <f>SUMIF(Planned_capex_starting_position!$AF:$AF,$A108,Planned_capex_starting_position!AZ:AZ)</f>
        <v>0</v>
      </c>
      <c r="F108" s="800">
        <f>SUMIF(Planned_capex_starting_position!$AF:$AF,$A108,Planned_capex_starting_position!BA:BA)</f>
        <v>0</v>
      </c>
      <c r="G108" s="800">
        <f>SUMIF(Planned_capex_starting_position!$AF:$AF,$A108,Planned_capex_starting_position!BB:BB)</f>
        <v>0</v>
      </c>
      <c r="H108" s="800">
        <f>SUMIF(Planned_capex_starting_position!$AF:$AF,$A108,Planned_capex_starting_position!BC:BC)</f>
        <v>0</v>
      </c>
      <c r="I108" s="800">
        <f>SUMIF(Planned_capex_starting_position!$AF:$AF,$A108,Planned_capex_starting_position!BD:BD)</f>
        <v>0</v>
      </c>
      <c r="J108" s="800">
        <f>SUMIF(Planned_capex_starting_position!$AF:$AF,$A108,Planned_capex_starting_position!BE:BE)</f>
        <v>0</v>
      </c>
      <c r="K108" s="800">
        <f>SUMIF(Planned_capex_starting_position!$AF:$AF,$A108,Planned_capex_starting_position!BF:BF)</f>
        <v>0</v>
      </c>
      <c r="L108" s="800">
        <f>SUMIF(Planned_capex_starting_position!$AF:$AF,$A108,Planned_capex_starting_position!BG:BG)</f>
        <v>0</v>
      </c>
      <c r="M108" s="800">
        <f>SUMIF(Planned_capex_starting_position!$AF:$AF,$A108,Planned_capex_starting_position!BH:BH)</f>
        <v>0</v>
      </c>
      <c r="N108" s="800">
        <f>SUMIF(Planned_capex_starting_position!$AF:$AF,$A108,Planned_capex_starting_position!BI:BI)</f>
        <v>0</v>
      </c>
      <c r="O108" s="800">
        <f t="shared" si="1"/>
        <v>0</v>
      </c>
      <c r="P108" s="41"/>
      <c r="Q108" s="125"/>
      <c r="R108" s="125"/>
      <c r="T108" s="29"/>
      <c r="U108" s="29"/>
    </row>
    <row r="109" spans="1:21" customFormat="1" hidden="1">
      <c r="A109" s="22" t="s">
        <v>5401</v>
      </c>
      <c r="B109" s="31" t="s">
        <v>963</v>
      </c>
      <c r="C109" s="31" t="str">
        <f>VLOOKUP($A109,FA_Codes!$D$2:$G$249,4,FALSE)</f>
        <v>Waitemata Central 1</v>
      </c>
      <c r="D109" s="800">
        <v>0</v>
      </c>
      <c r="E109" s="800">
        <f>SUMIF(Planned_capex_starting_position!$AF:$AF,$A109,Planned_capex_starting_position!AZ:AZ)</f>
        <v>0</v>
      </c>
      <c r="F109" s="800">
        <f>SUMIF(Planned_capex_starting_position!$AF:$AF,$A109,Planned_capex_starting_position!BA:BA)</f>
        <v>0</v>
      </c>
      <c r="G109" s="800">
        <f>SUMIF(Planned_capex_starting_position!$AF:$AF,$A109,Planned_capex_starting_position!BB:BB)</f>
        <v>0</v>
      </c>
      <c r="H109" s="800">
        <f>SUMIF(Planned_capex_starting_position!$AF:$AF,$A109,Planned_capex_starting_position!BC:BC)</f>
        <v>0</v>
      </c>
      <c r="I109" s="800">
        <f>SUMIF(Planned_capex_starting_position!$AF:$AF,$A109,Planned_capex_starting_position!BD:BD)</f>
        <v>0</v>
      </c>
      <c r="J109" s="800">
        <f>SUMIF(Planned_capex_starting_position!$AF:$AF,$A109,Planned_capex_starting_position!BE:BE)</f>
        <v>0</v>
      </c>
      <c r="K109" s="800">
        <f>SUMIF(Planned_capex_starting_position!$AF:$AF,$A109,Planned_capex_starting_position!BF:BF)</f>
        <v>0</v>
      </c>
      <c r="L109" s="800">
        <f>SUMIF(Planned_capex_starting_position!$AF:$AF,$A109,Planned_capex_starting_position!BG:BG)</f>
        <v>0</v>
      </c>
      <c r="M109" s="800">
        <f>SUMIF(Planned_capex_starting_position!$AF:$AF,$A109,Planned_capex_starting_position!BH:BH)</f>
        <v>0</v>
      </c>
      <c r="N109" s="800">
        <f>SUMIF(Planned_capex_starting_position!$AF:$AF,$A109,Planned_capex_starting_position!BI:BI)</f>
        <v>0</v>
      </c>
      <c r="O109" s="800">
        <f t="shared" si="1"/>
        <v>0</v>
      </c>
      <c r="P109" s="41"/>
      <c r="Q109" s="125"/>
      <c r="R109" s="125"/>
      <c r="T109" s="29"/>
      <c r="U109" s="29"/>
    </row>
    <row r="110" spans="1:21" customFormat="1" hidden="1">
      <c r="A110" s="22" t="s">
        <v>5394</v>
      </c>
      <c r="B110" s="31" t="s">
        <v>963</v>
      </c>
      <c r="C110" s="31" t="str">
        <f>VLOOKUP($A110,FA_Codes!$D$2:$G$249,4,FALSE)</f>
        <v>Waitemata North</v>
      </c>
      <c r="D110" s="800">
        <v>0</v>
      </c>
      <c r="E110" s="800">
        <f>SUMIF(Planned_capex_starting_position!$AF:$AF,$A110,Planned_capex_starting_position!AZ:AZ)</f>
        <v>0</v>
      </c>
      <c r="F110" s="800">
        <f>SUMIF(Planned_capex_starting_position!$AF:$AF,$A110,Planned_capex_starting_position!BA:BA)</f>
        <v>0</v>
      </c>
      <c r="G110" s="800">
        <f>SUMIF(Planned_capex_starting_position!$AF:$AF,$A110,Planned_capex_starting_position!BB:BB)</f>
        <v>0</v>
      </c>
      <c r="H110" s="800">
        <f>SUMIF(Planned_capex_starting_position!$AF:$AF,$A110,Planned_capex_starting_position!BC:BC)</f>
        <v>0</v>
      </c>
      <c r="I110" s="800">
        <f>SUMIF(Planned_capex_starting_position!$AF:$AF,$A110,Planned_capex_starting_position!BD:BD)</f>
        <v>0</v>
      </c>
      <c r="J110" s="800">
        <f>SUMIF(Planned_capex_starting_position!$AF:$AF,$A110,Planned_capex_starting_position!BE:BE)</f>
        <v>0</v>
      </c>
      <c r="K110" s="800">
        <f>SUMIF(Planned_capex_starting_position!$AF:$AF,$A110,Planned_capex_starting_position!BF:BF)</f>
        <v>0</v>
      </c>
      <c r="L110" s="800">
        <f>SUMIF(Planned_capex_starting_position!$AF:$AF,$A110,Planned_capex_starting_position!BG:BG)</f>
        <v>0</v>
      </c>
      <c r="M110" s="800">
        <f>SUMIF(Planned_capex_starting_position!$AF:$AF,$A110,Planned_capex_starting_position!BH:BH)</f>
        <v>0</v>
      </c>
      <c r="N110" s="800">
        <f>SUMIF(Planned_capex_starting_position!$AF:$AF,$A110,Planned_capex_starting_position!BI:BI)</f>
        <v>0</v>
      </c>
      <c r="O110" s="800">
        <f t="shared" si="1"/>
        <v>0</v>
      </c>
      <c r="P110" s="41"/>
      <c r="Q110" s="125"/>
      <c r="R110" s="125"/>
      <c r="T110" s="29"/>
      <c r="U110" s="29"/>
    </row>
    <row r="111" spans="1:21" customFormat="1" hidden="1">
      <c r="A111" s="22" t="s">
        <v>5428</v>
      </c>
      <c r="B111" s="31" t="s">
        <v>963</v>
      </c>
      <c r="C111" s="31" t="str">
        <f>VLOOKUP($A111,FA_Codes!$D$2:$G$249,4,FALSE)</f>
        <v>Area 28</v>
      </c>
      <c r="D111" s="800">
        <v>0</v>
      </c>
      <c r="E111" s="800">
        <f>SUMIF(Planned_capex_starting_position!$AF:$AF,$A111,Planned_capex_starting_position!AZ:AZ)</f>
        <v>0</v>
      </c>
      <c r="F111" s="800">
        <f>SUMIF(Planned_capex_starting_position!$AF:$AF,$A111,Planned_capex_starting_position!BA:BA)</f>
        <v>0</v>
      </c>
      <c r="G111" s="800">
        <f>SUMIF(Planned_capex_starting_position!$AF:$AF,$A111,Planned_capex_starting_position!BB:BB)</f>
        <v>0</v>
      </c>
      <c r="H111" s="800">
        <f>SUMIF(Planned_capex_starting_position!$AF:$AF,$A111,Planned_capex_starting_position!BC:BC)</f>
        <v>0</v>
      </c>
      <c r="I111" s="800">
        <f>SUMIF(Planned_capex_starting_position!$AF:$AF,$A111,Planned_capex_starting_position!BD:BD)</f>
        <v>0</v>
      </c>
      <c r="J111" s="800">
        <f>SUMIF(Planned_capex_starting_position!$AF:$AF,$A111,Planned_capex_starting_position!BE:BE)</f>
        <v>0</v>
      </c>
      <c r="K111" s="800">
        <f>SUMIF(Planned_capex_starting_position!$AF:$AF,$A111,Planned_capex_starting_position!BF:BF)</f>
        <v>0</v>
      </c>
      <c r="L111" s="800">
        <f>SUMIF(Planned_capex_starting_position!$AF:$AF,$A111,Planned_capex_starting_position!BG:BG)</f>
        <v>0</v>
      </c>
      <c r="M111" s="800">
        <f>SUMIF(Planned_capex_starting_position!$AF:$AF,$A111,Planned_capex_starting_position!BH:BH)</f>
        <v>0</v>
      </c>
      <c r="N111" s="800">
        <f>SUMIF(Planned_capex_starting_position!$AF:$AF,$A111,Planned_capex_starting_position!BI:BI)</f>
        <v>0</v>
      </c>
      <c r="O111" s="800">
        <f t="shared" si="1"/>
        <v>0</v>
      </c>
      <c r="P111" s="41"/>
      <c r="Q111" s="125"/>
      <c r="R111" s="125"/>
      <c r="T111" s="29"/>
      <c r="U111" s="29"/>
    </row>
    <row r="112" spans="1:21" customFormat="1" hidden="1">
      <c r="A112" s="22" t="s">
        <v>5393</v>
      </c>
      <c r="B112" s="31" t="s">
        <v>963</v>
      </c>
      <c r="C112" s="31" t="str">
        <f>VLOOKUP($A112,FA_Codes!$D$2:$G$249,4,FALSE)</f>
        <v>Waitemata West</v>
      </c>
      <c r="D112" s="800">
        <v>0</v>
      </c>
      <c r="E112" s="800">
        <f>SUMIF(Planned_capex_starting_position!$AF:$AF,$A112,Planned_capex_starting_position!AZ:AZ)</f>
        <v>0</v>
      </c>
      <c r="F112" s="800">
        <f>SUMIF(Planned_capex_starting_position!$AF:$AF,$A112,Planned_capex_starting_position!BA:BA)</f>
        <v>0</v>
      </c>
      <c r="G112" s="800">
        <f>SUMIF(Planned_capex_starting_position!$AF:$AF,$A112,Planned_capex_starting_position!BB:BB)</f>
        <v>0</v>
      </c>
      <c r="H112" s="800">
        <f>SUMIF(Planned_capex_starting_position!$AF:$AF,$A112,Planned_capex_starting_position!BC:BC)</f>
        <v>0</v>
      </c>
      <c r="I112" s="800">
        <f>SUMIF(Planned_capex_starting_position!$AF:$AF,$A112,Planned_capex_starting_position!BD:BD)</f>
        <v>0</v>
      </c>
      <c r="J112" s="800">
        <f>SUMIF(Planned_capex_starting_position!$AF:$AF,$A112,Planned_capex_starting_position!BE:BE)</f>
        <v>0</v>
      </c>
      <c r="K112" s="800">
        <f>SUMIF(Planned_capex_starting_position!$AF:$AF,$A112,Planned_capex_starting_position!BF:BF)</f>
        <v>0</v>
      </c>
      <c r="L112" s="800">
        <f>SUMIF(Planned_capex_starting_position!$AF:$AF,$A112,Planned_capex_starting_position!BG:BG)</f>
        <v>0</v>
      </c>
      <c r="M112" s="800">
        <f>SUMIF(Planned_capex_starting_position!$AF:$AF,$A112,Planned_capex_starting_position!BH:BH)</f>
        <v>0</v>
      </c>
      <c r="N112" s="800">
        <f>SUMIF(Planned_capex_starting_position!$AF:$AF,$A112,Planned_capex_starting_position!BI:BI)</f>
        <v>0</v>
      </c>
      <c r="O112" s="800">
        <f t="shared" si="1"/>
        <v>0</v>
      </c>
      <c r="P112" s="41"/>
      <c r="Q112" s="125"/>
      <c r="R112" s="125"/>
      <c r="T112" s="29"/>
      <c r="U112" s="29"/>
    </row>
    <row r="113" spans="1:21" customFormat="1" hidden="1">
      <c r="A113" s="22" t="s">
        <v>5397</v>
      </c>
      <c r="B113" s="31" t="s">
        <v>963</v>
      </c>
      <c r="C113" s="31" t="str">
        <f>VLOOKUP($A113,FA_Codes!$D$2:$G$249,4,FALSE)</f>
        <v>Waiuku</v>
      </c>
      <c r="D113" s="800">
        <v>0</v>
      </c>
      <c r="E113" s="800">
        <f>SUMIF(Planned_capex_starting_position!$AF:$AF,$A113,Planned_capex_starting_position!AZ:AZ)</f>
        <v>0</v>
      </c>
      <c r="F113" s="800">
        <f>SUMIF(Planned_capex_starting_position!$AF:$AF,$A113,Planned_capex_starting_position!BA:BA)</f>
        <v>0</v>
      </c>
      <c r="G113" s="800">
        <f>SUMIF(Planned_capex_starting_position!$AF:$AF,$A113,Planned_capex_starting_position!BB:BB)</f>
        <v>0</v>
      </c>
      <c r="H113" s="800">
        <f>SUMIF(Planned_capex_starting_position!$AF:$AF,$A113,Planned_capex_starting_position!BC:BC)</f>
        <v>0</v>
      </c>
      <c r="I113" s="800">
        <f>SUMIF(Planned_capex_starting_position!$AF:$AF,$A113,Planned_capex_starting_position!BD:BD)</f>
        <v>0</v>
      </c>
      <c r="J113" s="800">
        <f>SUMIF(Planned_capex_starting_position!$AF:$AF,$A113,Planned_capex_starting_position!BE:BE)</f>
        <v>0</v>
      </c>
      <c r="K113" s="800">
        <f>SUMIF(Planned_capex_starting_position!$AF:$AF,$A113,Planned_capex_starting_position!BF:BF)</f>
        <v>0</v>
      </c>
      <c r="L113" s="800">
        <f>SUMIF(Planned_capex_starting_position!$AF:$AF,$A113,Planned_capex_starting_position!BG:BG)</f>
        <v>0</v>
      </c>
      <c r="M113" s="800">
        <f>SUMIF(Planned_capex_starting_position!$AF:$AF,$A113,Planned_capex_starting_position!BH:BH)</f>
        <v>0</v>
      </c>
      <c r="N113" s="800">
        <f>SUMIF(Planned_capex_starting_position!$AF:$AF,$A113,Planned_capex_starting_position!BI:BI)</f>
        <v>0</v>
      </c>
      <c r="O113" s="800">
        <f t="shared" si="1"/>
        <v>0</v>
      </c>
      <c r="P113" s="41"/>
      <c r="Q113" s="125"/>
      <c r="R113" s="125"/>
      <c r="T113" s="29"/>
      <c r="U113" s="29"/>
    </row>
    <row r="114" spans="1:21" customFormat="1" hidden="1">
      <c r="A114" s="22" t="s">
        <v>5429</v>
      </c>
      <c r="B114" s="31" t="s">
        <v>963</v>
      </c>
      <c r="C114" s="31" t="str">
        <f>VLOOKUP($A114,FA_Codes!$D$2:$G$249,4,FALSE)</f>
        <v>Warkworth</v>
      </c>
      <c r="D114" s="800">
        <v>0</v>
      </c>
      <c r="E114" s="800">
        <f>SUMIF(Planned_capex_starting_position!$AF:$AF,$A114,Planned_capex_starting_position!AZ:AZ)</f>
        <v>0</v>
      </c>
      <c r="F114" s="800">
        <f>SUMIF(Planned_capex_starting_position!$AF:$AF,$A114,Planned_capex_starting_position!BA:BA)</f>
        <v>0</v>
      </c>
      <c r="G114" s="800">
        <f>SUMIF(Planned_capex_starting_position!$AF:$AF,$A114,Planned_capex_starting_position!BB:BB)</f>
        <v>0</v>
      </c>
      <c r="H114" s="800">
        <f>SUMIF(Planned_capex_starting_position!$AF:$AF,$A114,Planned_capex_starting_position!BC:BC)</f>
        <v>0</v>
      </c>
      <c r="I114" s="800">
        <f>SUMIF(Planned_capex_starting_position!$AF:$AF,$A114,Planned_capex_starting_position!BD:BD)</f>
        <v>0</v>
      </c>
      <c r="J114" s="800">
        <f>SUMIF(Planned_capex_starting_position!$AF:$AF,$A114,Planned_capex_starting_position!BE:BE)</f>
        <v>0</v>
      </c>
      <c r="K114" s="800">
        <f>SUMIF(Planned_capex_starting_position!$AF:$AF,$A114,Planned_capex_starting_position!BF:BF)</f>
        <v>0</v>
      </c>
      <c r="L114" s="800">
        <f>SUMIF(Planned_capex_starting_position!$AF:$AF,$A114,Planned_capex_starting_position!BG:BG)</f>
        <v>0</v>
      </c>
      <c r="M114" s="800">
        <f>SUMIF(Planned_capex_starting_position!$AF:$AF,$A114,Planned_capex_starting_position!BH:BH)</f>
        <v>0</v>
      </c>
      <c r="N114" s="800">
        <f>SUMIF(Planned_capex_starting_position!$AF:$AF,$A114,Planned_capex_starting_position!BI:BI)</f>
        <v>0</v>
      </c>
      <c r="O114" s="800">
        <f t="shared" si="1"/>
        <v>0</v>
      </c>
      <c r="P114" s="41"/>
      <c r="Q114" s="125"/>
      <c r="R114" s="125"/>
      <c r="T114" s="29"/>
      <c r="U114" s="29"/>
    </row>
    <row r="115" spans="1:21" customFormat="1" hidden="1">
      <c r="A115" s="22" t="s">
        <v>5419</v>
      </c>
      <c r="B115" s="31" t="s">
        <v>963</v>
      </c>
      <c r="C115" s="31" t="str">
        <f>VLOOKUP($A115,FA_Codes!$D$2:$G$249,4,FALSE)</f>
        <v>Urban Auckland Non GPA</v>
      </c>
      <c r="D115" s="800">
        <v>0</v>
      </c>
      <c r="E115" s="800">
        <f>SUMIF(Planned_capex_starting_position!$AF:$AF,$A115,Planned_capex_starting_position!AZ:AZ)</f>
        <v>0</v>
      </c>
      <c r="F115" s="800">
        <f>SUMIF(Planned_capex_starting_position!$AF:$AF,$A115,Planned_capex_starting_position!BA:BA)</f>
        <v>0</v>
      </c>
      <c r="G115" s="800">
        <f>SUMIF(Planned_capex_starting_position!$AF:$AF,$A115,Planned_capex_starting_position!BB:BB)</f>
        <v>0</v>
      </c>
      <c r="H115" s="800">
        <f>SUMIF(Planned_capex_starting_position!$AF:$AF,$A115,Planned_capex_starting_position!BC:BC)</f>
        <v>0</v>
      </c>
      <c r="I115" s="800">
        <f>SUMIF(Planned_capex_starting_position!$AF:$AF,$A115,Planned_capex_starting_position!BD:BD)</f>
        <v>0</v>
      </c>
      <c r="J115" s="800">
        <f>SUMIF(Planned_capex_starting_position!$AF:$AF,$A115,Planned_capex_starting_position!BE:BE)</f>
        <v>0</v>
      </c>
      <c r="K115" s="800">
        <f>SUMIF(Planned_capex_starting_position!$AF:$AF,$A115,Planned_capex_starting_position!BF:BF)</f>
        <v>0</v>
      </c>
      <c r="L115" s="800">
        <f>SUMIF(Planned_capex_starting_position!$AF:$AF,$A115,Planned_capex_starting_position!BG:BG)</f>
        <v>0</v>
      </c>
      <c r="M115" s="800">
        <f>SUMIF(Planned_capex_starting_position!$AF:$AF,$A115,Planned_capex_starting_position!BH:BH)</f>
        <v>0</v>
      </c>
      <c r="N115" s="800">
        <f>SUMIF(Planned_capex_starting_position!$AF:$AF,$A115,Planned_capex_starting_position!BI:BI)</f>
        <v>0</v>
      </c>
      <c r="O115" s="800">
        <f t="shared" si="1"/>
        <v>0</v>
      </c>
      <c r="P115" s="41"/>
      <c r="Q115" s="125"/>
      <c r="R115" s="125"/>
      <c r="T115" s="29"/>
      <c r="U115" s="29"/>
    </row>
    <row r="116" spans="1:21" customFormat="1" hidden="1">
      <c r="A116" s="22" t="s">
        <v>5420</v>
      </c>
      <c r="B116" s="31" t="s">
        <v>963</v>
      </c>
      <c r="C116" s="31" t="str">
        <f>VLOOKUP($A116,FA_Codes!$D$2:$G$249,4,FALSE)</f>
        <v>Urban Auckland</v>
      </c>
      <c r="D116" s="800">
        <v>0</v>
      </c>
      <c r="E116" s="800">
        <f>SUMIF(Planned_capex_starting_position!$AF:$AF,$A116,Planned_capex_starting_position!AZ:AZ)</f>
        <v>0</v>
      </c>
      <c r="F116" s="800">
        <f>SUMIF(Planned_capex_starting_position!$AF:$AF,$A116,Planned_capex_starting_position!BA:BA)</f>
        <v>0</v>
      </c>
      <c r="G116" s="800">
        <f>SUMIF(Planned_capex_starting_position!$AF:$AF,$A116,Planned_capex_starting_position!BB:BB)</f>
        <v>0</v>
      </c>
      <c r="H116" s="800">
        <f>SUMIF(Planned_capex_starting_position!$AF:$AF,$A116,Planned_capex_starting_position!BC:BC)</f>
        <v>0</v>
      </c>
      <c r="I116" s="800">
        <f>SUMIF(Planned_capex_starting_position!$AF:$AF,$A116,Planned_capex_starting_position!BD:BD)</f>
        <v>0</v>
      </c>
      <c r="J116" s="800">
        <f>SUMIF(Planned_capex_starting_position!$AF:$AF,$A116,Planned_capex_starting_position!BE:BE)</f>
        <v>0</v>
      </c>
      <c r="K116" s="800">
        <f>SUMIF(Planned_capex_starting_position!$AF:$AF,$A116,Planned_capex_starting_position!BF:BF)</f>
        <v>0</v>
      </c>
      <c r="L116" s="800">
        <f>SUMIF(Planned_capex_starting_position!$AF:$AF,$A116,Planned_capex_starting_position!BG:BG)</f>
        <v>0</v>
      </c>
      <c r="M116" s="800">
        <f>SUMIF(Planned_capex_starting_position!$AF:$AF,$A116,Planned_capex_starting_position!BH:BH)</f>
        <v>0</v>
      </c>
      <c r="N116" s="800">
        <f>SUMIF(Planned_capex_starting_position!$AF:$AF,$A116,Planned_capex_starting_position!BI:BI)</f>
        <v>0</v>
      </c>
      <c r="O116" s="800">
        <f t="shared" si="1"/>
        <v>0</v>
      </c>
      <c r="P116" s="41"/>
      <c r="Q116" s="125"/>
      <c r="R116" s="125"/>
      <c r="T116" s="29"/>
      <c r="U116" s="29"/>
    </row>
    <row r="117" spans="1:21" customFormat="1" hidden="1">
      <c r="A117" s="22" t="s">
        <v>5424</v>
      </c>
      <c r="B117" s="31" t="s">
        <v>963</v>
      </c>
      <c r="C117" s="31" t="str">
        <f>VLOOKUP($A117,FA_Codes!$D$2:$G$249,4,FALSE)</f>
        <v>Waitemata Central 2</v>
      </c>
      <c r="D117" s="800">
        <v>0</v>
      </c>
      <c r="E117" s="800">
        <f>SUMIF(Planned_capex_starting_position!$AF:$AF,$A117,Planned_capex_starting_position!AZ:AZ)</f>
        <v>0</v>
      </c>
      <c r="F117" s="800">
        <f>SUMIF(Planned_capex_starting_position!$AF:$AF,$A117,Planned_capex_starting_position!BA:BA)</f>
        <v>0</v>
      </c>
      <c r="G117" s="800">
        <f>SUMIF(Planned_capex_starting_position!$AF:$AF,$A117,Planned_capex_starting_position!BB:BB)</f>
        <v>0</v>
      </c>
      <c r="H117" s="800">
        <f>SUMIF(Planned_capex_starting_position!$AF:$AF,$A117,Planned_capex_starting_position!BC:BC)</f>
        <v>0</v>
      </c>
      <c r="I117" s="800">
        <f>SUMIF(Planned_capex_starting_position!$AF:$AF,$A117,Planned_capex_starting_position!BD:BD)</f>
        <v>0</v>
      </c>
      <c r="J117" s="800">
        <f>SUMIF(Planned_capex_starting_position!$AF:$AF,$A117,Planned_capex_starting_position!BE:BE)</f>
        <v>0</v>
      </c>
      <c r="K117" s="800">
        <f>SUMIF(Planned_capex_starting_position!$AF:$AF,$A117,Planned_capex_starting_position!BF:BF)</f>
        <v>0</v>
      </c>
      <c r="L117" s="800">
        <f>SUMIF(Planned_capex_starting_position!$AF:$AF,$A117,Planned_capex_starting_position!BG:BG)</f>
        <v>0</v>
      </c>
      <c r="M117" s="800">
        <f>SUMIF(Planned_capex_starting_position!$AF:$AF,$A117,Planned_capex_starting_position!BH:BH)</f>
        <v>0</v>
      </c>
      <c r="N117" s="800">
        <f>SUMIF(Planned_capex_starting_position!$AF:$AF,$A117,Planned_capex_starting_position!BI:BI)</f>
        <v>0</v>
      </c>
      <c r="O117" s="800">
        <f t="shared" si="1"/>
        <v>0</v>
      </c>
      <c r="P117" s="41"/>
      <c r="Q117" s="125"/>
      <c r="R117" s="125"/>
      <c r="T117" s="29"/>
      <c r="U117" s="29"/>
    </row>
    <row r="118" spans="1:21" customFormat="1" hidden="1">
      <c r="A118" s="22" t="s">
        <v>5430</v>
      </c>
      <c r="B118" s="31" t="s">
        <v>963</v>
      </c>
      <c r="C118" s="31" t="str">
        <f>VLOOKUP($A118,FA_Codes!$D$2:$G$249,4,FALSE)</f>
        <v>Tamaki West 2</v>
      </c>
      <c r="D118" s="800">
        <v>0</v>
      </c>
      <c r="E118" s="800">
        <f>SUMIF(Planned_capex_starting_position!$AF:$AF,$A118,Planned_capex_starting_position!AZ:AZ)</f>
        <v>0</v>
      </c>
      <c r="F118" s="800">
        <f>SUMIF(Planned_capex_starting_position!$AF:$AF,$A118,Planned_capex_starting_position!BA:BA)</f>
        <v>0</v>
      </c>
      <c r="G118" s="800">
        <f>SUMIF(Planned_capex_starting_position!$AF:$AF,$A118,Planned_capex_starting_position!BB:BB)</f>
        <v>0</v>
      </c>
      <c r="H118" s="800">
        <f>SUMIF(Planned_capex_starting_position!$AF:$AF,$A118,Planned_capex_starting_position!BC:BC)</f>
        <v>0</v>
      </c>
      <c r="I118" s="800">
        <f>SUMIF(Planned_capex_starting_position!$AF:$AF,$A118,Planned_capex_starting_position!BD:BD)</f>
        <v>0</v>
      </c>
      <c r="J118" s="800">
        <f>SUMIF(Planned_capex_starting_position!$AF:$AF,$A118,Planned_capex_starting_position!BE:BE)</f>
        <v>0</v>
      </c>
      <c r="K118" s="800">
        <f>SUMIF(Planned_capex_starting_position!$AF:$AF,$A118,Planned_capex_starting_position!BF:BF)</f>
        <v>0</v>
      </c>
      <c r="L118" s="800">
        <f>SUMIF(Planned_capex_starting_position!$AF:$AF,$A118,Planned_capex_starting_position!BG:BG)</f>
        <v>0</v>
      </c>
      <c r="M118" s="800">
        <f>SUMIF(Planned_capex_starting_position!$AF:$AF,$A118,Planned_capex_starting_position!BH:BH)</f>
        <v>0</v>
      </c>
      <c r="N118" s="800">
        <f>SUMIF(Planned_capex_starting_position!$AF:$AF,$A118,Planned_capex_starting_position!BI:BI)</f>
        <v>0</v>
      </c>
      <c r="O118" s="800">
        <f t="shared" si="1"/>
        <v>0</v>
      </c>
      <c r="P118" s="41"/>
      <c r="Q118" s="125"/>
      <c r="R118" s="125"/>
      <c r="T118" s="29"/>
      <c r="U118" s="29"/>
    </row>
    <row r="119" spans="1:21" customFormat="1" hidden="1">
      <c r="A119" s="22" t="s">
        <v>5431</v>
      </c>
      <c r="B119" s="31" t="s">
        <v>963</v>
      </c>
      <c r="C119" s="31" t="str">
        <f>VLOOKUP($A119,FA_Codes!$D$2:$G$249,4,FALSE)</f>
        <v>Tamaki West 3</v>
      </c>
      <c r="D119" s="800">
        <v>0</v>
      </c>
      <c r="E119" s="800">
        <f>SUMIF(Planned_capex_starting_position!$AF:$AF,$A119,Planned_capex_starting_position!AZ:AZ)</f>
        <v>0</v>
      </c>
      <c r="F119" s="800">
        <f>SUMIF(Planned_capex_starting_position!$AF:$AF,$A119,Planned_capex_starting_position!BA:BA)</f>
        <v>0</v>
      </c>
      <c r="G119" s="800">
        <f>SUMIF(Planned_capex_starting_position!$AF:$AF,$A119,Planned_capex_starting_position!BB:BB)</f>
        <v>0</v>
      </c>
      <c r="H119" s="800">
        <f>SUMIF(Planned_capex_starting_position!$AF:$AF,$A119,Planned_capex_starting_position!BC:BC)</f>
        <v>0</v>
      </c>
      <c r="I119" s="800">
        <f>SUMIF(Planned_capex_starting_position!$AF:$AF,$A119,Planned_capex_starting_position!BD:BD)</f>
        <v>0</v>
      </c>
      <c r="J119" s="800">
        <f>SUMIF(Planned_capex_starting_position!$AF:$AF,$A119,Planned_capex_starting_position!BE:BE)</f>
        <v>0</v>
      </c>
      <c r="K119" s="800">
        <f>SUMIF(Planned_capex_starting_position!$AF:$AF,$A119,Planned_capex_starting_position!BF:BF)</f>
        <v>0</v>
      </c>
      <c r="L119" s="800">
        <f>SUMIF(Planned_capex_starting_position!$AF:$AF,$A119,Planned_capex_starting_position!BG:BG)</f>
        <v>0</v>
      </c>
      <c r="M119" s="800">
        <f>SUMIF(Planned_capex_starting_position!$AF:$AF,$A119,Planned_capex_starting_position!BH:BH)</f>
        <v>0</v>
      </c>
      <c r="N119" s="800">
        <f>SUMIF(Planned_capex_starting_position!$AF:$AF,$A119,Planned_capex_starting_position!BI:BI)</f>
        <v>0</v>
      </c>
      <c r="O119" s="800">
        <f t="shared" si="1"/>
        <v>0</v>
      </c>
      <c r="P119" s="41"/>
      <c r="Q119" s="125"/>
      <c r="R119" s="125"/>
      <c r="T119" s="29"/>
      <c r="U119" s="29"/>
    </row>
    <row r="120" spans="1:21" customFormat="1" hidden="1">
      <c r="A120" s="22" t="s">
        <v>5426</v>
      </c>
      <c r="B120" s="31" t="s">
        <v>963</v>
      </c>
      <c r="C120" s="31" t="str">
        <f>VLOOKUP($A120,FA_Codes!$D$2:$G$249,4,FALSE)</f>
        <v>Whenuapai / Redhills</v>
      </c>
      <c r="D120" s="800">
        <v>0</v>
      </c>
      <c r="E120" s="800">
        <f>SUMIF(Planned_capex_starting_position!$AF:$AF,$A120,Planned_capex_starting_position!AZ:AZ)</f>
        <v>0</v>
      </c>
      <c r="F120" s="800">
        <f>SUMIF(Planned_capex_starting_position!$AF:$AF,$A120,Planned_capex_starting_position!BA:BA)</f>
        <v>0</v>
      </c>
      <c r="G120" s="800">
        <f>SUMIF(Planned_capex_starting_position!$AF:$AF,$A120,Planned_capex_starting_position!BB:BB)</f>
        <v>0</v>
      </c>
      <c r="H120" s="800">
        <f>SUMIF(Planned_capex_starting_position!$AF:$AF,$A120,Planned_capex_starting_position!BC:BC)</f>
        <v>0</v>
      </c>
      <c r="I120" s="800">
        <f>SUMIF(Planned_capex_starting_position!$AF:$AF,$A120,Planned_capex_starting_position!BD:BD)</f>
        <v>0</v>
      </c>
      <c r="J120" s="800">
        <f>SUMIF(Planned_capex_starting_position!$AF:$AF,$A120,Planned_capex_starting_position!BE:BE)</f>
        <v>0</v>
      </c>
      <c r="K120" s="800">
        <f>SUMIF(Planned_capex_starting_position!$AF:$AF,$A120,Planned_capex_starting_position!BF:BF)</f>
        <v>0</v>
      </c>
      <c r="L120" s="800">
        <f>SUMIF(Planned_capex_starting_position!$AF:$AF,$A120,Planned_capex_starting_position!BG:BG)</f>
        <v>0</v>
      </c>
      <c r="M120" s="800">
        <f>SUMIF(Planned_capex_starting_position!$AF:$AF,$A120,Planned_capex_starting_position!BH:BH)</f>
        <v>0</v>
      </c>
      <c r="N120" s="800">
        <f>SUMIF(Planned_capex_starting_position!$AF:$AF,$A120,Planned_capex_starting_position!BI:BI)</f>
        <v>0</v>
      </c>
      <c r="O120" s="800">
        <f t="shared" si="1"/>
        <v>0</v>
      </c>
      <c r="P120" s="41"/>
      <c r="Q120" s="125"/>
      <c r="R120" s="125"/>
      <c r="T120" s="29"/>
      <c r="U120" s="29"/>
    </row>
    <row r="121" spans="1:21" customFormat="1" hidden="1">
      <c r="A121" s="22" t="s">
        <v>5432</v>
      </c>
      <c r="B121" s="31" t="s">
        <v>963</v>
      </c>
      <c r="C121" s="31" t="str">
        <f>VLOOKUP($A121,FA_Codes!$D$2:$G$249,4,FALSE)</f>
        <v>Dairy Flat / Wainui / Silverdale</v>
      </c>
      <c r="D121" s="800">
        <v>0</v>
      </c>
      <c r="E121" s="800">
        <f>SUMIF(Planned_capex_starting_position!$AF:$AF,$A121,Planned_capex_starting_position!AZ:AZ)</f>
        <v>0</v>
      </c>
      <c r="F121" s="800">
        <f>SUMIF(Planned_capex_starting_position!$AF:$AF,$A121,Planned_capex_starting_position!BA:BA)</f>
        <v>0</v>
      </c>
      <c r="G121" s="800">
        <f>SUMIF(Planned_capex_starting_position!$AF:$AF,$A121,Planned_capex_starting_position!BB:BB)</f>
        <v>0</v>
      </c>
      <c r="H121" s="800">
        <f>SUMIF(Planned_capex_starting_position!$AF:$AF,$A121,Planned_capex_starting_position!BC:BC)</f>
        <v>0</v>
      </c>
      <c r="I121" s="800">
        <f>SUMIF(Planned_capex_starting_position!$AF:$AF,$A121,Planned_capex_starting_position!BD:BD)</f>
        <v>0</v>
      </c>
      <c r="J121" s="800">
        <f>SUMIF(Planned_capex_starting_position!$AF:$AF,$A121,Planned_capex_starting_position!BE:BE)</f>
        <v>0</v>
      </c>
      <c r="K121" s="800">
        <f>SUMIF(Planned_capex_starting_position!$AF:$AF,$A121,Planned_capex_starting_position!BF:BF)</f>
        <v>0</v>
      </c>
      <c r="L121" s="800">
        <f>SUMIF(Planned_capex_starting_position!$AF:$AF,$A121,Planned_capex_starting_position!BG:BG)</f>
        <v>0</v>
      </c>
      <c r="M121" s="800">
        <f>SUMIF(Planned_capex_starting_position!$AF:$AF,$A121,Planned_capex_starting_position!BH:BH)</f>
        <v>0</v>
      </c>
      <c r="N121" s="800">
        <f>SUMIF(Planned_capex_starting_position!$AF:$AF,$A121,Planned_capex_starting_position!BI:BI)</f>
        <v>0</v>
      </c>
      <c r="O121" s="800">
        <f t="shared" si="1"/>
        <v>0</v>
      </c>
      <c r="P121" s="41"/>
      <c r="Q121" s="125"/>
      <c r="R121" s="125"/>
      <c r="T121" s="29"/>
      <c r="U121" s="29"/>
    </row>
    <row r="122" spans="1:21" customFormat="1" hidden="1">
      <c r="A122" s="22" t="s">
        <v>5425</v>
      </c>
      <c r="B122" s="31" t="s">
        <v>963</v>
      </c>
      <c r="C122" s="31" t="str">
        <f>VLOOKUP($A122,FA_Codes!$D$2:$G$249,4,FALSE)</f>
        <v>Hauraki Gulf Islands</v>
      </c>
      <c r="D122" s="800">
        <v>0</v>
      </c>
      <c r="E122" s="800">
        <f>SUMIF(Planned_capex_starting_position!$AF:$AF,$A122,Planned_capex_starting_position!AZ:AZ)</f>
        <v>0</v>
      </c>
      <c r="F122" s="800">
        <f>SUMIF(Planned_capex_starting_position!$AF:$AF,$A122,Planned_capex_starting_position!BA:BA)</f>
        <v>0</v>
      </c>
      <c r="G122" s="800">
        <f>SUMIF(Planned_capex_starting_position!$AF:$AF,$A122,Planned_capex_starting_position!BB:BB)</f>
        <v>0</v>
      </c>
      <c r="H122" s="800">
        <f>SUMIF(Planned_capex_starting_position!$AF:$AF,$A122,Planned_capex_starting_position!BC:BC)</f>
        <v>0</v>
      </c>
      <c r="I122" s="800">
        <f>SUMIF(Planned_capex_starting_position!$AF:$AF,$A122,Planned_capex_starting_position!BD:BD)</f>
        <v>0</v>
      </c>
      <c r="J122" s="800">
        <f>SUMIF(Planned_capex_starting_position!$AF:$AF,$A122,Planned_capex_starting_position!BE:BE)</f>
        <v>0</v>
      </c>
      <c r="K122" s="800">
        <f>SUMIF(Planned_capex_starting_position!$AF:$AF,$A122,Planned_capex_starting_position!BF:BF)</f>
        <v>0</v>
      </c>
      <c r="L122" s="800">
        <f>SUMIF(Planned_capex_starting_position!$AF:$AF,$A122,Planned_capex_starting_position!BG:BG)</f>
        <v>0</v>
      </c>
      <c r="M122" s="800">
        <f>SUMIF(Planned_capex_starting_position!$AF:$AF,$A122,Planned_capex_starting_position!BH:BH)</f>
        <v>0</v>
      </c>
      <c r="N122" s="800">
        <f>SUMIF(Planned_capex_starting_position!$AF:$AF,$A122,Planned_capex_starting_position!BI:BI)</f>
        <v>0</v>
      </c>
      <c r="O122" s="800">
        <f t="shared" si="1"/>
        <v>0</v>
      </c>
      <c r="P122" s="41"/>
      <c r="Q122" s="125"/>
      <c r="R122" s="125"/>
      <c r="T122" s="29"/>
      <c r="U122" s="29"/>
    </row>
    <row r="123" spans="1:21" customFormat="1" hidden="1">
      <c r="A123" s="22" t="s">
        <v>5423</v>
      </c>
      <c r="B123" s="31" t="s">
        <v>963</v>
      </c>
      <c r="C123" s="31" t="str">
        <f>VLOOKUP($A123,FA_Codes!$D$2:$G$249,4,FALSE)</f>
        <v>Omaha / Matakana</v>
      </c>
      <c r="D123" s="800">
        <v>0</v>
      </c>
      <c r="E123" s="800">
        <f>SUMIF(Planned_capex_starting_position!$AF:$AF,$A123,Planned_capex_starting_position!AZ:AZ)</f>
        <v>0</v>
      </c>
      <c r="F123" s="800">
        <f>SUMIF(Planned_capex_starting_position!$AF:$AF,$A123,Planned_capex_starting_position!BA:BA)</f>
        <v>0</v>
      </c>
      <c r="G123" s="800">
        <f>SUMIF(Planned_capex_starting_position!$AF:$AF,$A123,Planned_capex_starting_position!BB:BB)</f>
        <v>0</v>
      </c>
      <c r="H123" s="800">
        <f>SUMIF(Planned_capex_starting_position!$AF:$AF,$A123,Planned_capex_starting_position!BC:BC)</f>
        <v>0</v>
      </c>
      <c r="I123" s="800">
        <f>SUMIF(Planned_capex_starting_position!$AF:$AF,$A123,Planned_capex_starting_position!BD:BD)</f>
        <v>0</v>
      </c>
      <c r="J123" s="800">
        <f>SUMIF(Planned_capex_starting_position!$AF:$AF,$A123,Planned_capex_starting_position!BE:BE)</f>
        <v>0</v>
      </c>
      <c r="K123" s="800">
        <f>SUMIF(Planned_capex_starting_position!$AF:$AF,$A123,Planned_capex_starting_position!BF:BF)</f>
        <v>0</v>
      </c>
      <c r="L123" s="800">
        <f>SUMIF(Planned_capex_starting_position!$AF:$AF,$A123,Planned_capex_starting_position!BG:BG)</f>
        <v>0</v>
      </c>
      <c r="M123" s="800">
        <f>SUMIF(Planned_capex_starting_position!$AF:$AF,$A123,Planned_capex_starting_position!BH:BH)</f>
        <v>0</v>
      </c>
      <c r="N123" s="800">
        <f>SUMIF(Planned_capex_starting_position!$AF:$AF,$A123,Planned_capex_starting_position!BI:BI)</f>
        <v>0</v>
      </c>
      <c r="O123" s="800">
        <f t="shared" ref="O123:O178" si="2">SUM(D123,E123:N123)</f>
        <v>0</v>
      </c>
      <c r="P123" s="41"/>
      <c r="Q123" s="125"/>
      <c r="R123" s="125"/>
      <c r="T123" s="29"/>
      <c r="U123" s="29"/>
    </row>
    <row r="124" spans="1:21" customFormat="1" hidden="1">
      <c r="A124" s="22" t="s">
        <v>5435</v>
      </c>
      <c r="B124" s="31" t="s">
        <v>963</v>
      </c>
      <c r="C124" s="31" t="str">
        <f>VLOOKUP($A124,FA_Codes!$D$2:$G$249,4,FALSE)</f>
        <v>Oakley</v>
      </c>
      <c r="D124" s="800">
        <v>0</v>
      </c>
      <c r="E124" s="800">
        <f>SUMIF(Planned_capex_starting_position!$AF:$AF,$A124,Planned_capex_starting_position!AZ:AZ)</f>
        <v>0</v>
      </c>
      <c r="F124" s="800">
        <f>SUMIF(Planned_capex_starting_position!$AF:$AF,$A124,Planned_capex_starting_position!BA:BA)</f>
        <v>0</v>
      </c>
      <c r="G124" s="800">
        <f>SUMIF(Planned_capex_starting_position!$AF:$AF,$A124,Planned_capex_starting_position!BB:BB)</f>
        <v>0</v>
      </c>
      <c r="H124" s="800">
        <f>SUMIF(Planned_capex_starting_position!$AF:$AF,$A124,Planned_capex_starting_position!BC:BC)</f>
        <v>0</v>
      </c>
      <c r="I124" s="800">
        <f>SUMIF(Planned_capex_starting_position!$AF:$AF,$A124,Planned_capex_starting_position!BD:BD)</f>
        <v>0</v>
      </c>
      <c r="J124" s="800">
        <f>SUMIF(Planned_capex_starting_position!$AF:$AF,$A124,Planned_capex_starting_position!BE:BE)</f>
        <v>0</v>
      </c>
      <c r="K124" s="800">
        <f>SUMIF(Planned_capex_starting_position!$AF:$AF,$A124,Planned_capex_starting_position!BF:BF)</f>
        <v>0</v>
      </c>
      <c r="L124" s="800">
        <f>SUMIF(Planned_capex_starting_position!$AF:$AF,$A124,Planned_capex_starting_position!BG:BG)</f>
        <v>0</v>
      </c>
      <c r="M124" s="800">
        <f>SUMIF(Planned_capex_starting_position!$AF:$AF,$A124,Planned_capex_starting_position!BH:BH)</f>
        <v>0</v>
      </c>
      <c r="N124" s="800">
        <f>SUMIF(Planned_capex_starting_position!$AF:$AF,$A124,Planned_capex_starting_position!BI:BI)</f>
        <v>0</v>
      </c>
      <c r="O124" s="800">
        <f t="shared" si="2"/>
        <v>0</v>
      </c>
      <c r="P124" s="41"/>
      <c r="Q124" s="125"/>
      <c r="R124" s="125"/>
      <c r="T124" s="29"/>
      <c r="U124" s="29"/>
    </row>
    <row r="125" spans="1:21" customFormat="1" hidden="1">
      <c r="A125" s="22" t="s">
        <v>5436</v>
      </c>
      <c r="B125" s="31" t="s">
        <v>963</v>
      </c>
      <c r="C125" s="31" t="str">
        <f>VLOOKUP($A125,FA_Codes!$D$2:$G$249,4,FALSE)</f>
        <v>Area 44</v>
      </c>
      <c r="D125" s="800">
        <v>0</v>
      </c>
      <c r="E125" s="800">
        <f>SUMIF(Planned_capex_starting_position!$AF:$AF,$A125,Planned_capex_starting_position!AZ:AZ)</f>
        <v>0</v>
      </c>
      <c r="F125" s="800">
        <f>SUMIF(Planned_capex_starting_position!$AF:$AF,$A125,Planned_capex_starting_position!BA:BA)</f>
        <v>0</v>
      </c>
      <c r="G125" s="800">
        <f>SUMIF(Planned_capex_starting_position!$AF:$AF,$A125,Planned_capex_starting_position!BB:BB)</f>
        <v>0</v>
      </c>
      <c r="H125" s="800">
        <f>SUMIF(Planned_capex_starting_position!$AF:$AF,$A125,Planned_capex_starting_position!BC:BC)</f>
        <v>0</v>
      </c>
      <c r="I125" s="800">
        <f>SUMIF(Planned_capex_starting_position!$AF:$AF,$A125,Planned_capex_starting_position!BD:BD)</f>
        <v>0</v>
      </c>
      <c r="J125" s="800">
        <f>SUMIF(Planned_capex_starting_position!$AF:$AF,$A125,Planned_capex_starting_position!BE:BE)</f>
        <v>0</v>
      </c>
      <c r="K125" s="800">
        <f>SUMIF(Planned_capex_starting_position!$AF:$AF,$A125,Planned_capex_starting_position!BF:BF)</f>
        <v>0</v>
      </c>
      <c r="L125" s="800">
        <f>SUMIF(Planned_capex_starting_position!$AF:$AF,$A125,Planned_capex_starting_position!BG:BG)</f>
        <v>0</v>
      </c>
      <c r="M125" s="800">
        <f>SUMIF(Planned_capex_starting_position!$AF:$AF,$A125,Planned_capex_starting_position!BH:BH)</f>
        <v>0</v>
      </c>
      <c r="N125" s="800">
        <f>SUMIF(Planned_capex_starting_position!$AF:$AF,$A125,Planned_capex_starting_position!BI:BI)</f>
        <v>0</v>
      </c>
      <c r="O125" s="800">
        <f t="shared" si="2"/>
        <v>0</v>
      </c>
      <c r="P125" s="41"/>
      <c r="Q125" s="125"/>
      <c r="R125" s="125"/>
      <c r="T125" s="29"/>
      <c r="U125" s="29"/>
    </row>
    <row r="126" spans="1:21" customFormat="1" hidden="1">
      <c r="A126" s="22" t="s">
        <v>5437</v>
      </c>
      <c r="B126" s="31" t="s">
        <v>963</v>
      </c>
      <c r="C126" s="31" t="str">
        <f>VLOOKUP($A126,FA_Codes!$D$2:$G$249,4,FALSE)</f>
        <v>Area 45</v>
      </c>
      <c r="D126" s="800">
        <v>0</v>
      </c>
      <c r="E126" s="800">
        <f>SUMIF(Planned_capex_starting_position!$AF:$AF,$A126,Planned_capex_starting_position!AZ:AZ)</f>
        <v>0</v>
      </c>
      <c r="F126" s="800">
        <f>SUMIF(Planned_capex_starting_position!$AF:$AF,$A126,Planned_capex_starting_position!BA:BA)</f>
        <v>0</v>
      </c>
      <c r="G126" s="800">
        <f>SUMIF(Planned_capex_starting_position!$AF:$AF,$A126,Planned_capex_starting_position!BB:BB)</f>
        <v>0</v>
      </c>
      <c r="H126" s="800">
        <f>SUMIF(Planned_capex_starting_position!$AF:$AF,$A126,Planned_capex_starting_position!BC:BC)</f>
        <v>0</v>
      </c>
      <c r="I126" s="800">
        <f>SUMIF(Planned_capex_starting_position!$AF:$AF,$A126,Planned_capex_starting_position!BD:BD)</f>
        <v>0</v>
      </c>
      <c r="J126" s="800">
        <f>SUMIF(Planned_capex_starting_position!$AF:$AF,$A126,Planned_capex_starting_position!BE:BE)</f>
        <v>0</v>
      </c>
      <c r="K126" s="800">
        <f>SUMIF(Planned_capex_starting_position!$AF:$AF,$A126,Planned_capex_starting_position!BF:BF)</f>
        <v>0</v>
      </c>
      <c r="L126" s="800">
        <f>SUMIF(Planned_capex_starting_position!$AF:$AF,$A126,Planned_capex_starting_position!BG:BG)</f>
        <v>0</v>
      </c>
      <c r="M126" s="800">
        <f>SUMIF(Planned_capex_starting_position!$AF:$AF,$A126,Planned_capex_starting_position!BH:BH)</f>
        <v>0</v>
      </c>
      <c r="N126" s="800">
        <f>SUMIF(Planned_capex_starting_position!$AF:$AF,$A126,Planned_capex_starting_position!BI:BI)</f>
        <v>0</v>
      </c>
      <c r="O126" s="800">
        <f t="shared" si="2"/>
        <v>0</v>
      </c>
      <c r="P126" s="41"/>
      <c r="Q126" s="125"/>
      <c r="R126" s="125"/>
      <c r="T126" s="29"/>
      <c r="U126" s="29"/>
    </row>
    <row r="127" spans="1:21" customFormat="1" hidden="1">
      <c r="A127" s="22" t="s">
        <v>5438</v>
      </c>
      <c r="B127" s="31" t="s">
        <v>963</v>
      </c>
      <c r="C127" s="124"/>
      <c r="D127" s="800">
        <v>0</v>
      </c>
      <c r="E127" s="800">
        <f>SUMIF(Planned_capex_starting_position!$AF:$AF,$A127,Planned_capex_starting_position!AZ:AZ)</f>
        <v>0</v>
      </c>
      <c r="F127" s="800">
        <f>SUMIF(Planned_capex_starting_position!$AF:$AF,$A127,Planned_capex_starting_position!BA:BA)</f>
        <v>0</v>
      </c>
      <c r="G127" s="800">
        <f>SUMIF(Planned_capex_starting_position!$AF:$AF,$A127,Planned_capex_starting_position!BB:BB)</f>
        <v>0</v>
      </c>
      <c r="H127" s="800">
        <f>SUMIF(Planned_capex_starting_position!$AF:$AF,$A127,Planned_capex_starting_position!BC:BC)</f>
        <v>0</v>
      </c>
      <c r="I127" s="800">
        <f>SUMIF(Planned_capex_starting_position!$AF:$AF,$A127,Planned_capex_starting_position!BD:BD)</f>
        <v>0</v>
      </c>
      <c r="J127" s="800">
        <f>SUMIF(Planned_capex_starting_position!$AF:$AF,$A127,Planned_capex_starting_position!BE:BE)</f>
        <v>0</v>
      </c>
      <c r="K127" s="800">
        <f>SUMIF(Planned_capex_starting_position!$AF:$AF,$A127,Planned_capex_starting_position!BF:BF)</f>
        <v>0</v>
      </c>
      <c r="L127" s="800">
        <f>SUMIF(Planned_capex_starting_position!$AF:$AF,$A127,Planned_capex_starting_position!BG:BG)</f>
        <v>0</v>
      </c>
      <c r="M127" s="800">
        <f>SUMIF(Planned_capex_starting_position!$AF:$AF,$A127,Planned_capex_starting_position!BH:BH)</f>
        <v>0</v>
      </c>
      <c r="N127" s="800">
        <f>SUMIF(Planned_capex_starting_position!$AF:$AF,$A127,Planned_capex_starting_position!BI:BI)</f>
        <v>0</v>
      </c>
      <c r="O127" s="800">
        <f t="shared" si="2"/>
        <v>0</v>
      </c>
      <c r="P127" s="41"/>
      <c r="Q127" s="125"/>
      <c r="R127" s="125"/>
      <c r="T127" s="29"/>
      <c r="U127" s="29"/>
    </row>
    <row r="128" spans="1:21" customFormat="1" hidden="1">
      <c r="A128" s="22" t="s">
        <v>5439</v>
      </c>
      <c r="B128" s="31" t="s">
        <v>963</v>
      </c>
      <c r="C128" s="124"/>
      <c r="D128" s="800">
        <v>0</v>
      </c>
      <c r="E128" s="800">
        <f>SUMIF(Planned_capex_starting_position!$AF:$AF,$A128,Planned_capex_starting_position!AZ:AZ)</f>
        <v>0</v>
      </c>
      <c r="F128" s="800">
        <f>SUMIF(Planned_capex_starting_position!$AF:$AF,$A128,Planned_capex_starting_position!BA:BA)</f>
        <v>0</v>
      </c>
      <c r="G128" s="800">
        <f>SUMIF(Planned_capex_starting_position!$AF:$AF,$A128,Planned_capex_starting_position!BB:BB)</f>
        <v>0</v>
      </c>
      <c r="H128" s="800">
        <f>SUMIF(Planned_capex_starting_position!$AF:$AF,$A128,Planned_capex_starting_position!BC:BC)</f>
        <v>0</v>
      </c>
      <c r="I128" s="800">
        <f>SUMIF(Planned_capex_starting_position!$AF:$AF,$A128,Planned_capex_starting_position!BD:BD)</f>
        <v>0</v>
      </c>
      <c r="J128" s="800">
        <f>SUMIF(Planned_capex_starting_position!$AF:$AF,$A128,Planned_capex_starting_position!BE:BE)</f>
        <v>0</v>
      </c>
      <c r="K128" s="800">
        <f>SUMIF(Planned_capex_starting_position!$AF:$AF,$A128,Planned_capex_starting_position!BF:BF)</f>
        <v>0</v>
      </c>
      <c r="L128" s="800">
        <f>SUMIF(Planned_capex_starting_position!$AF:$AF,$A128,Planned_capex_starting_position!BG:BG)</f>
        <v>0</v>
      </c>
      <c r="M128" s="800">
        <f>SUMIF(Planned_capex_starting_position!$AF:$AF,$A128,Planned_capex_starting_position!BH:BH)</f>
        <v>0</v>
      </c>
      <c r="N128" s="800">
        <f>SUMIF(Planned_capex_starting_position!$AF:$AF,$A128,Planned_capex_starting_position!BI:BI)</f>
        <v>0</v>
      </c>
      <c r="O128" s="800">
        <f t="shared" si="2"/>
        <v>0</v>
      </c>
      <c r="P128" s="41"/>
      <c r="Q128" s="125"/>
      <c r="R128" s="125"/>
      <c r="T128" s="29"/>
      <c r="U128" s="29"/>
    </row>
    <row r="129" spans="1:36" customFormat="1" hidden="1">
      <c r="A129" s="22" t="s">
        <v>5440</v>
      </c>
      <c r="B129" s="31" t="s">
        <v>963</v>
      </c>
      <c r="C129" s="124"/>
      <c r="D129" s="800">
        <v>0</v>
      </c>
      <c r="E129" s="800">
        <f>SUMIF(Planned_capex_starting_position!$AF:$AF,$A129,Planned_capex_starting_position!AZ:AZ)</f>
        <v>0</v>
      </c>
      <c r="F129" s="800">
        <f>SUMIF(Planned_capex_starting_position!$AF:$AF,$A129,Planned_capex_starting_position!BA:BA)</f>
        <v>0</v>
      </c>
      <c r="G129" s="800">
        <f>SUMIF(Planned_capex_starting_position!$AF:$AF,$A129,Planned_capex_starting_position!BB:BB)</f>
        <v>0</v>
      </c>
      <c r="H129" s="800">
        <f>SUMIF(Planned_capex_starting_position!$AF:$AF,$A129,Planned_capex_starting_position!BC:BC)</f>
        <v>0</v>
      </c>
      <c r="I129" s="800">
        <f>SUMIF(Planned_capex_starting_position!$AF:$AF,$A129,Planned_capex_starting_position!BD:BD)</f>
        <v>0</v>
      </c>
      <c r="J129" s="800">
        <f>SUMIF(Planned_capex_starting_position!$AF:$AF,$A129,Planned_capex_starting_position!BE:BE)</f>
        <v>0</v>
      </c>
      <c r="K129" s="800">
        <f>SUMIF(Planned_capex_starting_position!$AF:$AF,$A129,Planned_capex_starting_position!BF:BF)</f>
        <v>0</v>
      </c>
      <c r="L129" s="800">
        <f>SUMIF(Planned_capex_starting_position!$AF:$AF,$A129,Planned_capex_starting_position!BG:BG)</f>
        <v>0</v>
      </c>
      <c r="M129" s="800">
        <f>SUMIF(Planned_capex_starting_position!$AF:$AF,$A129,Planned_capex_starting_position!BH:BH)</f>
        <v>0</v>
      </c>
      <c r="N129" s="800">
        <f>SUMIF(Planned_capex_starting_position!$AF:$AF,$A129,Planned_capex_starting_position!BI:BI)</f>
        <v>0</v>
      </c>
      <c r="O129" s="800">
        <f t="shared" si="2"/>
        <v>0</v>
      </c>
      <c r="P129" s="41"/>
      <c r="Q129" s="125"/>
      <c r="R129" s="125"/>
      <c r="T129" s="29"/>
      <c r="U129" s="29"/>
    </row>
    <row r="130" spans="1:36" customFormat="1" hidden="1">
      <c r="A130" s="22" t="s">
        <v>5441</v>
      </c>
      <c r="B130" s="31" t="s">
        <v>963</v>
      </c>
      <c r="C130" s="124"/>
      <c r="D130" s="800">
        <v>0</v>
      </c>
      <c r="E130" s="800">
        <f>SUMIF(Planned_capex_starting_position!$AF:$AF,$A130,Planned_capex_starting_position!AZ:AZ)</f>
        <v>0</v>
      </c>
      <c r="F130" s="800">
        <f>SUMIF(Planned_capex_starting_position!$AF:$AF,$A130,Planned_capex_starting_position!BA:BA)</f>
        <v>0</v>
      </c>
      <c r="G130" s="800">
        <f>SUMIF(Planned_capex_starting_position!$AF:$AF,$A130,Planned_capex_starting_position!BB:BB)</f>
        <v>0</v>
      </c>
      <c r="H130" s="800">
        <f>SUMIF(Planned_capex_starting_position!$AF:$AF,$A130,Planned_capex_starting_position!BC:BC)</f>
        <v>0</v>
      </c>
      <c r="I130" s="800">
        <f>SUMIF(Planned_capex_starting_position!$AF:$AF,$A130,Planned_capex_starting_position!BD:BD)</f>
        <v>0</v>
      </c>
      <c r="J130" s="800">
        <f>SUMIF(Planned_capex_starting_position!$AF:$AF,$A130,Planned_capex_starting_position!BE:BE)</f>
        <v>0</v>
      </c>
      <c r="K130" s="800">
        <f>SUMIF(Planned_capex_starting_position!$AF:$AF,$A130,Planned_capex_starting_position!BF:BF)</f>
        <v>0</v>
      </c>
      <c r="L130" s="800">
        <f>SUMIF(Planned_capex_starting_position!$AF:$AF,$A130,Planned_capex_starting_position!BG:BG)</f>
        <v>0</v>
      </c>
      <c r="M130" s="800">
        <f>SUMIF(Planned_capex_starting_position!$AF:$AF,$A130,Planned_capex_starting_position!BH:BH)</f>
        <v>0</v>
      </c>
      <c r="N130" s="800">
        <f>SUMIF(Planned_capex_starting_position!$AF:$AF,$A130,Planned_capex_starting_position!BI:BI)</f>
        <v>0</v>
      </c>
      <c r="O130" s="800">
        <f t="shared" si="2"/>
        <v>0</v>
      </c>
      <c r="P130" s="41"/>
      <c r="Q130" s="125"/>
      <c r="R130" s="125"/>
      <c r="T130" s="29"/>
      <c r="U130" s="29"/>
    </row>
    <row r="131" spans="1:36" customFormat="1" hidden="1">
      <c r="A131" s="22" t="s">
        <v>5442</v>
      </c>
      <c r="B131" s="31" t="s">
        <v>963</v>
      </c>
      <c r="C131" s="124"/>
      <c r="D131" s="800">
        <v>0</v>
      </c>
      <c r="E131" s="800">
        <f>SUMIF(Planned_capex_starting_position!$AF:$AF,$A131,Planned_capex_starting_position!AZ:AZ)</f>
        <v>0</v>
      </c>
      <c r="F131" s="800">
        <f>SUMIF(Planned_capex_starting_position!$AF:$AF,$A131,Planned_capex_starting_position!BA:BA)</f>
        <v>0</v>
      </c>
      <c r="G131" s="800">
        <f>SUMIF(Planned_capex_starting_position!$AF:$AF,$A131,Planned_capex_starting_position!BB:BB)</f>
        <v>0</v>
      </c>
      <c r="H131" s="800">
        <f>SUMIF(Planned_capex_starting_position!$AF:$AF,$A131,Planned_capex_starting_position!BC:BC)</f>
        <v>0</v>
      </c>
      <c r="I131" s="800">
        <f>SUMIF(Planned_capex_starting_position!$AF:$AF,$A131,Planned_capex_starting_position!BD:BD)</f>
        <v>0</v>
      </c>
      <c r="J131" s="800">
        <f>SUMIF(Planned_capex_starting_position!$AF:$AF,$A131,Planned_capex_starting_position!BE:BE)</f>
        <v>0</v>
      </c>
      <c r="K131" s="800">
        <f>SUMIF(Planned_capex_starting_position!$AF:$AF,$A131,Planned_capex_starting_position!BF:BF)</f>
        <v>0</v>
      </c>
      <c r="L131" s="800">
        <f>SUMIF(Planned_capex_starting_position!$AF:$AF,$A131,Planned_capex_starting_position!BG:BG)</f>
        <v>0</v>
      </c>
      <c r="M131" s="800">
        <f>SUMIF(Planned_capex_starting_position!$AF:$AF,$A131,Planned_capex_starting_position!BH:BH)</f>
        <v>0</v>
      </c>
      <c r="N131" s="800">
        <f>SUMIF(Planned_capex_starting_position!$AF:$AF,$A131,Planned_capex_starting_position!BI:BI)</f>
        <v>0</v>
      </c>
      <c r="O131" s="800">
        <f t="shared" si="2"/>
        <v>0</v>
      </c>
      <c r="P131" s="41"/>
      <c r="Q131" s="125"/>
      <c r="R131" s="125"/>
      <c r="T131" s="29"/>
      <c r="U131" s="29"/>
    </row>
    <row r="132" spans="1:36" hidden="1">
      <c r="A132" s="22" t="s">
        <v>2778</v>
      </c>
      <c r="B132" s="36" t="s">
        <v>896</v>
      </c>
      <c r="C132" s="31" t="str">
        <f>VLOOKUP($A132,FA_Codes!$D$2:$G$249,4,FALSE)</f>
        <v>Auckland wide</v>
      </c>
      <c r="D132" s="800">
        <v>0</v>
      </c>
      <c r="E132" s="800">
        <f>SUMIF(Planned_capex_starting_position!$AF:$AF,$A132,Planned_capex_starting_position!AZ:AZ)</f>
        <v>0</v>
      </c>
      <c r="F132" s="800">
        <f>SUMIF(Planned_capex_starting_position!$AF:$AF,$A132,Planned_capex_starting_position!BA:BA)</f>
        <v>0</v>
      </c>
      <c r="G132" s="800">
        <f>SUMIF(Planned_capex_starting_position!$AF:$AF,$A132,Planned_capex_starting_position!BB:BB)</f>
        <v>0</v>
      </c>
      <c r="H132" s="800">
        <f>SUMIF(Planned_capex_starting_position!$AF:$AF,$A132,Planned_capex_starting_position!BC:BC)</f>
        <v>0</v>
      </c>
      <c r="I132" s="800">
        <f>SUMIF(Planned_capex_starting_position!$AF:$AF,$A132,Planned_capex_starting_position!BD:BD)</f>
        <v>0</v>
      </c>
      <c r="J132" s="800">
        <f>SUMIF(Planned_capex_starting_position!$AF:$AF,$A132,Planned_capex_starting_position!BE:BE)</f>
        <v>0</v>
      </c>
      <c r="K132" s="800">
        <f>SUMIF(Planned_capex_starting_position!$AF:$AF,$A132,Planned_capex_starting_position!BF:BF)</f>
        <v>0</v>
      </c>
      <c r="L132" s="800">
        <f>SUMIF(Planned_capex_starting_position!$AF:$AF,$A132,Planned_capex_starting_position!BG:BG)</f>
        <v>4168.0371807424262</v>
      </c>
      <c r="M132" s="800">
        <f>SUMIF(Planned_capex_starting_position!$AF:$AF,$A132,Planned_capex_starting_position!BH:BH)</f>
        <v>50204.555806940072</v>
      </c>
      <c r="N132" s="800">
        <f>SUMIF(Planned_capex_starting_position!$AF:$AF,$A132,Planned_capex_starting_position!BI:BI)</f>
        <v>215536.95500112072</v>
      </c>
      <c r="O132" s="800">
        <f t="shared" si="2"/>
        <v>269909.54798880324</v>
      </c>
      <c r="P132" s="41"/>
      <c r="Q132" s="36"/>
      <c r="R132" s="36"/>
      <c r="S132" s="36"/>
      <c r="T132" s="36"/>
      <c r="U132" s="36"/>
      <c r="V132" s="36"/>
      <c r="W132" s="36"/>
      <c r="X132" s="36"/>
      <c r="Y132" s="36"/>
      <c r="Z132" s="36"/>
    </row>
    <row r="133" spans="1:36" hidden="1">
      <c r="A133" s="22" t="s">
        <v>2779</v>
      </c>
      <c r="B133" s="36" t="s">
        <v>896</v>
      </c>
      <c r="C133" s="31" t="str">
        <f>VLOOKUP($A133,FA_Codes!$D$2:$G$249,4,FALSE)</f>
        <v>North</v>
      </c>
      <c r="D133" s="800">
        <v>0</v>
      </c>
      <c r="E133" s="800">
        <f>SUMIF(Planned_capex_starting_position!$AF:$AF,$A133,Planned_capex_starting_position!AZ:AZ)</f>
        <v>0</v>
      </c>
      <c r="F133" s="800">
        <f>SUMIF(Planned_capex_starting_position!$AF:$AF,$A133,Planned_capex_starting_position!BA:BA)</f>
        <v>0</v>
      </c>
      <c r="G133" s="800">
        <f>SUMIF(Planned_capex_starting_position!$AF:$AF,$A133,Planned_capex_starting_position!BB:BB)</f>
        <v>0</v>
      </c>
      <c r="H133" s="800">
        <f>SUMIF(Planned_capex_starting_position!$AF:$AF,$A133,Planned_capex_starting_position!BC:BC)</f>
        <v>0</v>
      </c>
      <c r="I133" s="800">
        <f>SUMIF(Planned_capex_starting_position!$AF:$AF,$A133,Planned_capex_starting_position!BD:BD)</f>
        <v>0</v>
      </c>
      <c r="J133" s="800">
        <f>SUMIF(Planned_capex_starting_position!$AF:$AF,$A133,Planned_capex_starting_position!BE:BE)</f>
        <v>0</v>
      </c>
      <c r="K133" s="800">
        <f>SUMIF(Planned_capex_starting_position!$AF:$AF,$A133,Planned_capex_starting_position!BF:BF)</f>
        <v>0</v>
      </c>
      <c r="L133" s="800">
        <f>SUMIF(Planned_capex_starting_position!$AF:$AF,$A133,Planned_capex_starting_position!BG:BG)</f>
        <v>0</v>
      </c>
      <c r="M133" s="800">
        <f>SUMIF(Planned_capex_starting_position!$AF:$AF,$A133,Planned_capex_starting_position!BH:BH)</f>
        <v>0</v>
      </c>
      <c r="N133" s="800">
        <f>SUMIF(Planned_capex_starting_position!$AF:$AF,$A133,Planned_capex_starting_position!BI:BI)</f>
        <v>0</v>
      </c>
      <c r="O133" s="800">
        <f t="shared" si="2"/>
        <v>0</v>
      </c>
      <c r="P133" s="41"/>
      <c r="Q133" s="36"/>
      <c r="R133" s="36"/>
      <c r="S133" s="36"/>
      <c r="T133" s="36"/>
      <c r="U133" s="36"/>
      <c r="V133" s="36"/>
      <c r="W133" s="36"/>
      <c r="X133" s="36"/>
      <c r="Y133" s="36"/>
      <c r="Z133" s="36"/>
    </row>
    <row r="134" spans="1:36" hidden="1">
      <c r="A134" s="22" t="s">
        <v>2780</v>
      </c>
      <c r="B134" s="36" t="s">
        <v>896</v>
      </c>
      <c r="C134" s="31" t="str">
        <f>VLOOKUP($A134,FA_Codes!$D$2:$G$249,4,FALSE)</f>
        <v>Central</v>
      </c>
      <c r="D134" s="800">
        <v>0</v>
      </c>
      <c r="E134" s="800">
        <f>SUMIF(Planned_capex_starting_position!$AF:$AF,$A134,Planned_capex_starting_position!AZ:AZ)</f>
        <v>0</v>
      </c>
      <c r="F134" s="800">
        <f>SUMIF(Planned_capex_starting_position!$AF:$AF,$A134,Planned_capex_starting_position!BA:BA)</f>
        <v>0</v>
      </c>
      <c r="G134" s="800">
        <f>SUMIF(Planned_capex_starting_position!$AF:$AF,$A134,Planned_capex_starting_position!BB:BB)</f>
        <v>0</v>
      </c>
      <c r="H134" s="800">
        <f>SUMIF(Planned_capex_starting_position!$AF:$AF,$A134,Planned_capex_starting_position!BC:BC)</f>
        <v>0</v>
      </c>
      <c r="I134" s="800">
        <f>SUMIF(Planned_capex_starting_position!$AF:$AF,$A134,Planned_capex_starting_position!BD:BD)</f>
        <v>0</v>
      </c>
      <c r="J134" s="800">
        <f>SUMIF(Planned_capex_starting_position!$AF:$AF,$A134,Planned_capex_starting_position!BE:BE)</f>
        <v>0</v>
      </c>
      <c r="K134" s="800">
        <f>SUMIF(Planned_capex_starting_position!$AF:$AF,$A134,Planned_capex_starting_position!BF:BF)</f>
        <v>0</v>
      </c>
      <c r="L134" s="800">
        <f>SUMIF(Planned_capex_starting_position!$AF:$AF,$A134,Planned_capex_starting_position!BG:BG)</f>
        <v>0</v>
      </c>
      <c r="M134" s="800">
        <f>SUMIF(Planned_capex_starting_position!$AF:$AF,$A134,Planned_capex_starting_position!BH:BH)</f>
        <v>0</v>
      </c>
      <c r="N134" s="800">
        <f>SUMIF(Planned_capex_starting_position!$AF:$AF,$A134,Planned_capex_starting_position!BI:BI)</f>
        <v>0</v>
      </c>
      <c r="O134" s="800">
        <f t="shared" si="2"/>
        <v>0</v>
      </c>
      <c r="P134" s="41"/>
      <c r="Q134" s="36"/>
      <c r="R134" s="36"/>
      <c r="S134" s="36"/>
      <c r="T134" s="36"/>
      <c r="U134" s="36"/>
      <c r="V134" s="36"/>
      <c r="W134" s="36"/>
      <c r="X134" s="36"/>
      <c r="Y134" s="36"/>
      <c r="Z134" s="36" t="s">
        <v>2259</v>
      </c>
    </row>
    <row r="135" spans="1:36" hidden="1">
      <c r="A135" s="22" t="s">
        <v>2781</v>
      </c>
      <c r="B135" s="36" t="s">
        <v>896</v>
      </c>
      <c r="C135" s="31" t="str">
        <f>VLOOKUP($A135,FA_Codes!$D$2:$G$249,4,FALSE)</f>
        <v>West</v>
      </c>
      <c r="D135" s="800">
        <v>0</v>
      </c>
      <c r="E135" s="800">
        <f>SUMIF(Planned_capex_starting_position!$AF:$AF,$A135,Planned_capex_starting_position!AZ:AZ)</f>
        <v>0</v>
      </c>
      <c r="F135" s="800">
        <f>SUMIF(Planned_capex_starting_position!$AF:$AF,$A135,Planned_capex_starting_position!BA:BA)</f>
        <v>0</v>
      </c>
      <c r="G135" s="800">
        <f>SUMIF(Planned_capex_starting_position!$AF:$AF,$A135,Planned_capex_starting_position!BB:BB)</f>
        <v>0</v>
      </c>
      <c r="H135" s="800">
        <f>SUMIF(Planned_capex_starting_position!$AF:$AF,$A135,Planned_capex_starting_position!BC:BC)</f>
        <v>0</v>
      </c>
      <c r="I135" s="800">
        <f>SUMIF(Planned_capex_starting_position!$AF:$AF,$A135,Planned_capex_starting_position!BD:BD)</f>
        <v>0</v>
      </c>
      <c r="J135" s="800">
        <f>SUMIF(Planned_capex_starting_position!$AF:$AF,$A135,Planned_capex_starting_position!BE:BE)</f>
        <v>0</v>
      </c>
      <c r="K135" s="800">
        <f>SUMIF(Planned_capex_starting_position!$AF:$AF,$A135,Planned_capex_starting_position!BF:BF)</f>
        <v>0</v>
      </c>
      <c r="L135" s="800">
        <f>SUMIF(Planned_capex_starting_position!$AF:$AF,$A135,Planned_capex_starting_position!BG:BG)</f>
        <v>0</v>
      </c>
      <c r="M135" s="800">
        <f>SUMIF(Planned_capex_starting_position!$AF:$AF,$A135,Planned_capex_starting_position!BH:BH)</f>
        <v>0</v>
      </c>
      <c r="N135" s="800">
        <f>SUMIF(Planned_capex_starting_position!$AF:$AF,$A135,Planned_capex_starting_position!BI:BI)</f>
        <v>0</v>
      </c>
      <c r="O135" s="800">
        <f t="shared" si="2"/>
        <v>0</v>
      </c>
      <c r="P135" s="41"/>
      <c r="Q135" s="36"/>
      <c r="R135" s="36"/>
      <c r="S135" s="36"/>
      <c r="T135" s="36"/>
      <c r="U135" s="36"/>
      <c r="V135" s="36"/>
      <c r="W135" s="36"/>
      <c r="X135" s="36"/>
      <c r="Y135" s="36"/>
      <c r="Z135" s="36"/>
    </row>
    <row r="136" spans="1:36" hidden="1">
      <c r="A136" s="22" t="s">
        <v>2782</v>
      </c>
      <c r="B136" s="36" t="s">
        <v>896</v>
      </c>
      <c r="C136" s="31" t="str">
        <f>VLOOKUP($A136,FA_Codes!$D$2:$G$249,4,FALSE)</f>
        <v>South</v>
      </c>
      <c r="D136" s="800">
        <v>0</v>
      </c>
      <c r="E136" s="800">
        <f>SUMIF(Planned_capex_starting_position!$AF:$AF,$A136,Planned_capex_starting_position!AZ:AZ)</f>
        <v>0</v>
      </c>
      <c r="F136" s="800">
        <f>SUMIF(Planned_capex_starting_position!$AF:$AF,$A136,Planned_capex_starting_position!BA:BA)</f>
        <v>0</v>
      </c>
      <c r="G136" s="800">
        <f>SUMIF(Planned_capex_starting_position!$AF:$AF,$A136,Planned_capex_starting_position!BB:BB)</f>
        <v>0</v>
      </c>
      <c r="H136" s="800">
        <f>SUMIF(Planned_capex_starting_position!$AF:$AF,$A136,Planned_capex_starting_position!BC:BC)</f>
        <v>0</v>
      </c>
      <c r="I136" s="800">
        <f>SUMIF(Planned_capex_starting_position!$AF:$AF,$A136,Planned_capex_starting_position!BD:BD)</f>
        <v>0</v>
      </c>
      <c r="J136" s="800">
        <f>SUMIF(Planned_capex_starting_position!$AF:$AF,$A136,Planned_capex_starting_position!BE:BE)</f>
        <v>0</v>
      </c>
      <c r="K136" s="800">
        <f>SUMIF(Planned_capex_starting_position!$AF:$AF,$A136,Planned_capex_starting_position!BF:BF)</f>
        <v>0</v>
      </c>
      <c r="L136" s="800">
        <f>SUMIF(Planned_capex_starting_position!$AF:$AF,$A136,Planned_capex_starting_position!BG:BG)</f>
        <v>0</v>
      </c>
      <c r="M136" s="800">
        <f>SUMIF(Planned_capex_starting_position!$AF:$AF,$A136,Planned_capex_starting_position!BH:BH)</f>
        <v>0</v>
      </c>
      <c r="N136" s="800">
        <f>SUMIF(Planned_capex_starting_position!$AF:$AF,$A136,Planned_capex_starting_position!BI:BI)</f>
        <v>0</v>
      </c>
      <c r="O136" s="800">
        <f t="shared" si="2"/>
        <v>0</v>
      </c>
      <c r="P136" s="41"/>
      <c r="Q136" s="36"/>
      <c r="R136" s="36"/>
      <c r="S136" s="36"/>
      <c r="T136" s="36"/>
      <c r="U136" s="36"/>
      <c r="V136" s="36"/>
      <c r="W136" s="36"/>
      <c r="X136" s="36"/>
      <c r="Y136" s="36"/>
      <c r="Z136" s="36"/>
    </row>
    <row r="137" spans="1:36" hidden="1">
      <c r="A137" s="22" t="s">
        <v>2784</v>
      </c>
      <c r="B137" s="36" t="s">
        <v>896</v>
      </c>
      <c r="C137" s="31" t="str">
        <f>VLOOKUP($A137,FA_Codes!$D$2:$G$249,4,FALSE)</f>
        <v>Hauraki Gulf Islands</v>
      </c>
      <c r="D137" s="800">
        <v>0</v>
      </c>
      <c r="E137" s="800">
        <f>SUMIF(Planned_capex_starting_position!$AF:$AF,$A137,Planned_capex_starting_position!AZ:AZ)</f>
        <v>0</v>
      </c>
      <c r="F137" s="800">
        <f>SUMIF(Planned_capex_starting_position!$AF:$AF,$A137,Planned_capex_starting_position!BA:BA)</f>
        <v>0</v>
      </c>
      <c r="G137" s="800">
        <f>SUMIF(Planned_capex_starting_position!$AF:$AF,$A137,Planned_capex_starting_position!BB:BB)</f>
        <v>0</v>
      </c>
      <c r="H137" s="800">
        <f>SUMIF(Planned_capex_starting_position!$AF:$AF,$A137,Planned_capex_starting_position!BC:BC)</f>
        <v>0</v>
      </c>
      <c r="I137" s="800">
        <f>SUMIF(Planned_capex_starting_position!$AF:$AF,$A137,Planned_capex_starting_position!BD:BD)</f>
        <v>0</v>
      </c>
      <c r="J137" s="800">
        <f>SUMIF(Planned_capex_starting_position!$AF:$AF,$A137,Planned_capex_starting_position!BE:BE)</f>
        <v>0</v>
      </c>
      <c r="K137" s="800">
        <f>SUMIF(Planned_capex_starting_position!$AF:$AF,$A137,Planned_capex_starting_position!BF:BF)</f>
        <v>0</v>
      </c>
      <c r="L137" s="800">
        <f>SUMIF(Planned_capex_starting_position!$AF:$AF,$A137,Planned_capex_starting_position!BG:BG)</f>
        <v>0</v>
      </c>
      <c r="M137" s="800">
        <f>SUMIF(Planned_capex_starting_position!$AF:$AF,$A137,Planned_capex_starting_position!BH:BH)</f>
        <v>0</v>
      </c>
      <c r="N137" s="800">
        <f>SUMIF(Planned_capex_starting_position!$AF:$AF,$A137,Planned_capex_starting_position!BI:BI)</f>
        <v>0</v>
      </c>
      <c r="O137" s="800">
        <f t="shared" si="2"/>
        <v>0</v>
      </c>
      <c r="P137" s="41"/>
      <c r="Q137" s="36"/>
      <c r="R137" s="36"/>
      <c r="S137" s="36"/>
      <c r="T137" s="36"/>
      <c r="U137" s="36"/>
      <c r="V137" s="36"/>
      <c r="W137" s="36"/>
      <c r="X137" s="36"/>
      <c r="Y137" s="36"/>
      <c r="Z137" s="36"/>
    </row>
    <row r="138" spans="1:36" customFormat="1" hidden="1">
      <c r="A138" s="22" t="s">
        <v>2785</v>
      </c>
      <c r="B138" s="31" t="s">
        <v>896</v>
      </c>
      <c r="C138" s="31" t="str">
        <f>VLOOKUP($A138,FA_Codes!$D$2:$G$249,4,FALSE)</f>
        <v>Auckland Wide Less Parallel</v>
      </c>
      <c r="D138" s="800">
        <v>0</v>
      </c>
      <c r="E138" s="800">
        <f>SUMIF(Planned_capex_starting_position!$AF:$AF,$A138,Planned_capex_starting_position!AZ:AZ)</f>
        <v>0</v>
      </c>
      <c r="F138" s="800">
        <f>SUMIF(Planned_capex_starting_position!$AF:$AF,$A138,Planned_capex_starting_position!BA:BA)</f>
        <v>0</v>
      </c>
      <c r="G138" s="800">
        <f>SUMIF(Planned_capex_starting_position!$AF:$AF,$A138,Planned_capex_starting_position!BB:BB)</f>
        <v>0</v>
      </c>
      <c r="H138" s="800">
        <f>SUMIF(Planned_capex_starting_position!$AF:$AF,$A138,Planned_capex_starting_position!BC:BC)</f>
        <v>0</v>
      </c>
      <c r="I138" s="800">
        <f>SUMIF(Planned_capex_starting_position!$AF:$AF,$A138,Planned_capex_starting_position!BD:BD)</f>
        <v>0</v>
      </c>
      <c r="J138" s="800">
        <f>SUMIF(Planned_capex_starting_position!$AF:$AF,$A138,Planned_capex_starting_position!BE:BE)</f>
        <v>0</v>
      </c>
      <c r="K138" s="800">
        <f>SUMIF(Planned_capex_starting_position!$AF:$AF,$A138,Planned_capex_starting_position!BF:BF)</f>
        <v>0</v>
      </c>
      <c r="L138" s="800">
        <f>SUMIF(Planned_capex_starting_position!$AF:$AF,$A138,Planned_capex_starting_position!BG:BG)</f>
        <v>0</v>
      </c>
      <c r="M138" s="800">
        <f>SUMIF(Planned_capex_starting_position!$AF:$AF,$A138,Planned_capex_starting_position!BH:BH)</f>
        <v>0</v>
      </c>
      <c r="N138" s="800">
        <f>SUMIF(Planned_capex_starting_position!$AF:$AF,$A138,Planned_capex_starting_position!BI:BI)</f>
        <v>0</v>
      </c>
      <c r="O138" s="800">
        <f t="shared" si="2"/>
        <v>0</v>
      </c>
      <c r="P138" s="41"/>
      <c r="T138" s="29"/>
      <c r="U138" s="29"/>
      <c r="Y138" s="29"/>
      <c r="Z138" s="29"/>
      <c r="AA138" s="29"/>
      <c r="AB138" s="29"/>
      <c r="AC138" s="29"/>
      <c r="AD138" s="29"/>
      <c r="AE138" s="29"/>
      <c r="AF138" s="29"/>
      <c r="AG138" s="29"/>
      <c r="AH138" s="29"/>
      <c r="AI138" s="29"/>
      <c r="AJ138" s="29"/>
    </row>
    <row r="139" spans="1:36" customFormat="1" hidden="1">
      <c r="A139" s="22" t="s">
        <v>2786</v>
      </c>
      <c r="B139" s="31" t="s">
        <v>896</v>
      </c>
      <c r="C139" s="31" t="str">
        <f>VLOOKUP($A139,FA_Codes!$D$2:$G$249,4,FALSE)</f>
        <v>NorthWest</v>
      </c>
      <c r="D139" s="800">
        <v>0</v>
      </c>
      <c r="E139" s="800">
        <f>SUMIF(Planned_capex_starting_position!$AF:$AF,$A139,Planned_capex_starting_position!AZ:AZ)</f>
        <v>0</v>
      </c>
      <c r="F139" s="800">
        <f>SUMIF(Planned_capex_starting_position!$AF:$AF,$A139,Planned_capex_starting_position!BA:BA)</f>
        <v>0</v>
      </c>
      <c r="G139" s="800">
        <f>SUMIF(Planned_capex_starting_position!$AF:$AF,$A139,Planned_capex_starting_position!BB:BB)</f>
        <v>0</v>
      </c>
      <c r="H139" s="800">
        <f>SUMIF(Planned_capex_starting_position!$AF:$AF,$A139,Planned_capex_starting_position!BC:BC)</f>
        <v>0</v>
      </c>
      <c r="I139" s="800">
        <f>SUMIF(Planned_capex_starting_position!$AF:$AF,$A139,Planned_capex_starting_position!BD:BD)</f>
        <v>0</v>
      </c>
      <c r="J139" s="800">
        <f>SUMIF(Planned_capex_starting_position!$AF:$AF,$A139,Planned_capex_starting_position!BE:BE)</f>
        <v>0</v>
      </c>
      <c r="K139" s="800">
        <f>SUMIF(Planned_capex_starting_position!$AF:$AF,$A139,Planned_capex_starting_position!BF:BF)</f>
        <v>0</v>
      </c>
      <c r="L139" s="800">
        <f>SUMIF(Planned_capex_starting_position!$AF:$AF,$A139,Planned_capex_starting_position!BG:BG)</f>
        <v>0</v>
      </c>
      <c r="M139" s="800">
        <f>SUMIF(Planned_capex_starting_position!$AF:$AF,$A139,Planned_capex_starting_position!BH:BH)</f>
        <v>0</v>
      </c>
      <c r="N139" s="800">
        <f>SUMIF(Planned_capex_starting_position!$AF:$AF,$A139,Planned_capex_starting_position!BI:BI)</f>
        <v>0</v>
      </c>
      <c r="O139" s="800">
        <f t="shared" si="2"/>
        <v>0</v>
      </c>
      <c r="P139" s="41"/>
      <c r="T139" s="29"/>
      <c r="U139" s="29"/>
      <c r="Y139" s="29"/>
      <c r="Z139" s="29"/>
      <c r="AA139" s="29"/>
      <c r="AB139" s="29"/>
      <c r="AC139" s="29"/>
      <c r="AD139" s="29"/>
      <c r="AE139" s="29"/>
      <c r="AF139" s="29"/>
      <c r="AG139" s="29"/>
      <c r="AH139" s="29"/>
      <c r="AI139" s="29"/>
      <c r="AJ139" s="29"/>
    </row>
    <row r="140" spans="1:36" customFormat="1" hidden="1">
      <c r="A140" s="22" t="s">
        <v>2787</v>
      </c>
      <c r="B140" s="31" t="s">
        <v>896</v>
      </c>
      <c r="C140" s="31" t="str">
        <f>VLOOKUP($A140,FA_Codes!$D$2:$G$249,4,FALSE)</f>
        <v>Dairyflat / Wainui / Silverdale</v>
      </c>
      <c r="D140" s="800">
        <v>0</v>
      </c>
      <c r="E140" s="800">
        <f>SUMIF(Planned_capex_starting_position!$AF:$AF,$A140,Planned_capex_starting_position!AZ:AZ)</f>
        <v>0</v>
      </c>
      <c r="F140" s="800">
        <f>SUMIF(Planned_capex_starting_position!$AF:$AF,$A140,Planned_capex_starting_position!BA:BA)</f>
        <v>0</v>
      </c>
      <c r="G140" s="800">
        <f>SUMIF(Planned_capex_starting_position!$AF:$AF,$A140,Planned_capex_starting_position!BB:BB)</f>
        <v>0</v>
      </c>
      <c r="H140" s="800">
        <f>SUMIF(Planned_capex_starting_position!$AF:$AF,$A140,Planned_capex_starting_position!BC:BC)</f>
        <v>0</v>
      </c>
      <c r="I140" s="800">
        <f>SUMIF(Planned_capex_starting_position!$AF:$AF,$A140,Planned_capex_starting_position!BD:BD)</f>
        <v>0</v>
      </c>
      <c r="J140" s="800">
        <f>SUMIF(Planned_capex_starting_position!$AF:$AF,$A140,Planned_capex_starting_position!BE:BE)</f>
        <v>0</v>
      </c>
      <c r="K140" s="800">
        <f>SUMIF(Planned_capex_starting_position!$AF:$AF,$A140,Planned_capex_starting_position!BF:BF)</f>
        <v>0</v>
      </c>
      <c r="L140" s="800">
        <f>SUMIF(Planned_capex_starting_position!$AF:$AF,$A140,Planned_capex_starting_position!BG:BG)</f>
        <v>0</v>
      </c>
      <c r="M140" s="800">
        <f>SUMIF(Planned_capex_starting_position!$AF:$AF,$A140,Planned_capex_starting_position!BH:BH)</f>
        <v>0</v>
      </c>
      <c r="N140" s="800">
        <f>SUMIF(Planned_capex_starting_position!$AF:$AF,$A140,Planned_capex_starting_position!BI:BI)</f>
        <v>0</v>
      </c>
      <c r="O140" s="800">
        <f t="shared" si="2"/>
        <v>0</v>
      </c>
      <c r="P140" s="41"/>
      <c r="T140" s="29"/>
      <c r="U140" s="29"/>
      <c r="Y140" s="29"/>
      <c r="Z140" s="29"/>
      <c r="AA140" s="29"/>
      <c r="AB140" s="29"/>
      <c r="AC140" s="29"/>
      <c r="AD140" s="29"/>
      <c r="AE140" s="29"/>
      <c r="AF140" s="29"/>
      <c r="AG140" s="29"/>
      <c r="AH140" s="29"/>
      <c r="AI140" s="29"/>
      <c r="AJ140" s="29"/>
    </row>
    <row r="141" spans="1:36" customFormat="1" hidden="1">
      <c r="A141" s="22" t="s">
        <v>2788</v>
      </c>
      <c r="B141" s="31" t="s">
        <v>896</v>
      </c>
      <c r="C141" s="31" t="str">
        <f>VLOOKUP($A141,FA_Codes!$D$2:$G$249,4,FALSE)</f>
        <v>Tamaki AHP</v>
      </c>
      <c r="D141" s="800">
        <v>0</v>
      </c>
      <c r="E141" s="800">
        <f>SUMIF(Planned_capex_starting_position!$AF:$AF,$A141,Planned_capex_starting_position!AZ:AZ)</f>
        <v>0</v>
      </c>
      <c r="F141" s="800">
        <f>SUMIF(Planned_capex_starting_position!$AF:$AF,$A141,Planned_capex_starting_position!BA:BA)</f>
        <v>0</v>
      </c>
      <c r="G141" s="800">
        <f>SUMIF(Planned_capex_starting_position!$AF:$AF,$A141,Planned_capex_starting_position!BB:BB)</f>
        <v>0</v>
      </c>
      <c r="H141" s="800">
        <f>SUMIF(Planned_capex_starting_position!$AF:$AF,$A141,Planned_capex_starting_position!BC:BC)</f>
        <v>0</v>
      </c>
      <c r="I141" s="800">
        <f>SUMIF(Planned_capex_starting_position!$AF:$AF,$A141,Planned_capex_starting_position!BD:BD)</f>
        <v>0</v>
      </c>
      <c r="J141" s="800">
        <f>SUMIF(Planned_capex_starting_position!$AF:$AF,$A141,Planned_capex_starting_position!BE:BE)</f>
        <v>0</v>
      </c>
      <c r="K141" s="800">
        <f>SUMIF(Planned_capex_starting_position!$AF:$AF,$A141,Planned_capex_starting_position!BF:BF)</f>
        <v>0</v>
      </c>
      <c r="L141" s="800">
        <f>SUMIF(Planned_capex_starting_position!$AF:$AF,$A141,Planned_capex_starting_position!BG:BG)</f>
        <v>0</v>
      </c>
      <c r="M141" s="800">
        <f>SUMIF(Planned_capex_starting_position!$AF:$AF,$A141,Planned_capex_starting_position!BH:BH)</f>
        <v>0</v>
      </c>
      <c r="N141" s="800">
        <f>SUMIF(Planned_capex_starting_position!$AF:$AF,$A141,Planned_capex_starting_position!BI:BI)</f>
        <v>0</v>
      </c>
      <c r="O141" s="800">
        <f t="shared" si="2"/>
        <v>0</v>
      </c>
      <c r="P141" s="41"/>
      <c r="T141" s="29"/>
      <c r="U141" s="29"/>
      <c r="Y141" s="29"/>
      <c r="Z141" s="29"/>
      <c r="AA141" s="29"/>
      <c r="AB141" s="29"/>
      <c r="AC141" s="29"/>
      <c r="AD141" s="29"/>
      <c r="AE141" s="29"/>
      <c r="AF141" s="29"/>
      <c r="AG141" s="29"/>
      <c r="AH141" s="29"/>
      <c r="AI141" s="29"/>
      <c r="AJ141" s="29"/>
    </row>
    <row r="142" spans="1:36" customFormat="1" hidden="1">
      <c r="A142" s="22" t="s">
        <v>2789</v>
      </c>
      <c r="B142" s="31" t="s">
        <v>896</v>
      </c>
      <c r="C142" s="31" t="str">
        <f>VLOOKUP($A142,FA_Codes!$D$2:$G$249,4,FALSE)</f>
        <v>Albany</v>
      </c>
      <c r="D142" s="800">
        <v>0</v>
      </c>
      <c r="E142" s="800">
        <f>SUMIF(Planned_capex_starting_position!$AF:$AF,$A142,Planned_capex_starting_position!AZ:AZ)</f>
        <v>0</v>
      </c>
      <c r="F142" s="800">
        <f>SUMIF(Planned_capex_starting_position!$AF:$AF,$A142,Planned_capex_starting_position!BA:BA)</f>
        <v>0</v>
      </c>
      <c r="G142" s="800">
        <f>SUMIF(Planned_capex_starting_position!$AF:$AF,$A142,Planned_capex_starting_position!BB:BB)</f>
        <v>0</v>
      </c>
      <c r="H142" s="800">
        <f>SUMIF(Planned_capex_starting_position!$AF:$AF,$A142,Planned_capex_starting_position!BC:BC)</f>
        <v>0</v>
      </c>
      <c r="I142" s="800">
        <f>SUMIF(Planned_capex_starting_position!$AF:$AF,$A142,Planned_capex_starting_position!BD:BD)</f>
        <v>0</v>
      </c>
      <c r="J142" s="800">
        <f>SUMIF(Planned_capex_starting_position!$AF:$AF,$A142,Planned_capex_starting_position!BE:BE)</f>
        <v>0</v>
      </c>
      <c r="K142" s="800">
        <f>SUMIF(Planned_capex_starting_position!$AF:$AF,$A142,Planned_capex_starting_position!BF:BF)</f>
        <v>0</v>
      </c>
      <c r="L142" s="800">
        <f>SUMIF(Planned_capex_starting_position!$AF:$AF,$A142,Planned_capex_starting_position!BG:BG)</f>
        <v>0</v>
      </c>
      <c r="M142" s="800">
        <f>SUMIF(Planned_capex_starting_position!$AF:$AF,$A142,Planned_capex_starting_position!BH:BH)</f>
        <v>0</v>
      </c>
      <c r="N142" s="800">
        <f>SUMIF(Planned_capex_starting_position!$AF:$AF,$A142,Planned_capex_starting_position!BI:BI)</f>
        <v>0</v>
      </c>
      <c r="O142" s="800">
        <f t="shared" si="2"/>
        <v>0</v>
      </c>
      <c r="P142" s="41"/>
      <c r="T142" s="29"/>
      <c r="U142" s="29"/>
      <c r="Y142" s="29"/>
      <c r="Z142" s="29"/>
      <c r="AA142" s="29"/>
      <c r="AB142" s="29"/>
      <c r="AC142" s="29"/>
      <c r="AD142" s="29"/>
      <c r="AE142" s="29"/>
      <c r="AF142" s="29"/>
      <c r="AG142" s="29"/>
      <c r="AH142" s="29"/>
      <c r="AI142" s="29"/>
      <c r="AJ142" s="29"/>
    </row>
    <row r="143" spans="1:36" customFormat="1" hidden="1">
      <c r="A143" s="22" t="s">
        <v>2790</v>
      </c>
      <c r="B143" s="31" t="s">
        <v>896</v>
      </c>
      <c r="C143" s="31" t="str">
        <f>VLOOKUP($A143,FA_Codes!$D$2:$G$249,4,FALSE)</f>
        <v>Rural North</v>
      </c>
      <c r="D143" s="800">
        <v>0</v>
      </c>
      <c r="E143" s="800">
        <f>SUMIF(Planned_capex_starting_position!$AF:$AF,$A143,Planned_capex_starting_position!AZ:AZ)</f>
        <v>0</v>
      </c>
      <c r="F143" s="800">
        <f>SUMIF(Planned_capex_starting_position!$AF:$AF,$A143,Planned_capex_starting_position!BA:BA)</f>
        <v>0</v>
      </c>
      <c r="G143" s="800">
        <f>SUMIF(Planned_capex_starting_position!$AF:$AF,$A143,Planned_capex_starting_position!BB:BB)</f>
        <v>0</v>
      </c>
      <c r="H143" s="800">
        <f>SUMIF(Planned_capex_starting_position!$AF:$AF,$A143,Planned_capex_starting_position!BC:BC)</f>
        <v>0</v>
      </c>
      <c r="I143" s="800">
        <f>SUMIF(Planned_capex_starting_position!$AF:$AF,$A143,Planned_capex_starting_position!BD:BD)</f>
        <v>0</v>
      </c>
      <c r="J143" s="800">
        <f>SUMIF(Planned_capex_starting_position!$AF:$AF,$A143,Planned_capex_starting_position!BE:BE)</f>
        <v>0</v>
      </c>
      <c r="K143" s="800">
        <f>SUMIF(Planned_capex_starting_position!$AF:$AF,$A143,Planned_capex_starting_position!BF:BF)</f>
        <v>0</v>
      </c>
      <c r="L143" s="800">
        <f>SUMIF(Planned_capex_starting_position!$AF:$AF,$A143,Planned_capex_starting_position!BG:BG)</f>
        <v>0</v>
      </c>
      <c r="M143" s="800">
        <f>SUMIF(Planned_capex_starting_position!$AF:$AF,$A143,Planned_capex_starting_position!BH:BH)</f>
        <v>0</v>
      </c>
      <c r="N143" s="800">
        <f>SUMIF(Planned_capex_starting_position!$AF:$AF,$A143,Planned_capex_starting_position!BI:BI)</f>
        <v>0</v>
      </c>
      <c r="O143" s="800">
        <f t="shared" si="2"/>
        <v>0</v>
      </c>
      <c r="P143" s="41"/>
      <c r="T143" s="29"/>
      <c r="U143" s="29"/>
      <c r="Y143" s="29"/>
      <c r="Z143" s="29"/>
      <c r="AA143" s="29"/>
      <c r="AB143" s="29"/>
      <c r="AC143" s="29"/>
      <c r="AD143" s="29"/>
      <c r="AE143" s="29"/>
      <c r="AF143" s="29"/>
      <c r="AG143" s="29"/>
      <c r="AH143" s="29"/>
      <c r="AI143" s="29"/>
      <c r="AJ143" s="29"/>
    </row>
    <row r="144" spans="1:36" customFormat="1" hidden="1">
      <c r="A144" s="22" t="s">
        <v>2791</v>
      </c>
      <c r="B144" s="31" t="s">
        <v>896</v>
      </c>
      <c r="C144" s="31" t="str">
        <f>VLOOKUP($A144,FA_Codes!$D$2:$G$249,4,FALSE)</f>
        <v>Rural West</v>
      </c>
      <c r="D144" s="800">
        <v>0</v>
      </c>
      <c r="E144" s="800">
        <f>SUMIF(Planned_capex_starting_position!$AF:$AF,$A144,Planned_capex_starting_position!AZ:AZ)</f>
        <v>0</v>
      </c>
      <c r="F144" s="800">
        <f>SUMIF(Planned_capex_starting_position!$AF:$AF,$A144,Planned_capex_starting_position!BA:BA)</f>
        <v>0</v>
      </c>
      <c r="G144" s="800">
        <f>SUMIF(Planned_capex_starting_position!$AF:$AF,$A144,Planned_capex_starting_position!BB:BB)</f>
        <v>0</v>
      </c>
      <c r="H144" s="800">
        <f>SUMIF(Planned_capex_starting_position!$AF:$AF,$A144,Planned_capex_starting_position!BC:BC)</f>
        <v>0</v>
      </c>
      <c r="I144" s="800">
        <f>SUMIF(Planned_capex_starting_position!$AF:$AF,$A144,Planned_capex_starting_position!BD:BD)</f>
        <v>0</v>
      </c>
      <c r="J144" s="800">
        <f>SUMIF(Planned_capex_starting_position!$AF:$AF,$A144,Planned_capex_starting_position!BE:BE)</f>
        <v>0</v>
      </c>
      <c r="K144" s="800">
        <f>SUMIF(Planned_capex_starting_position!$AF:$AF,$A144,Planned_capex_starting_position!BF:BF)</f>
        <v>0</v>
      </c>
      <c r="L144" s="800">
        <f>SUMIF(Planned_capex_starting_position!$AF:$AF,$A144,Planned_capex_starting_position!BG:BG)</f>
        <v>0</v>
      </c>
      <c r="M144" s="800">
        <f>SUMIF(Planned_capex_starting_position!$AF:$AF,$A144,Planned_capex_starting_position!BH:BH)</f>
        <v>0</v>
      </c>
      <c r="N144" s="800">
        <f>SUMIF(Planned_capex_starting_position!$AF:$AF,$A144,Planned_capex_starting_position!BI:BI)</f>
        <v>0</v>
      </c>
      <c r="O144" s="800">
        <f t="shared" si="2"/>
        <v>0</v>
      </c>
      <c r="P144" s="41"/>
      <c r="T144" s="29"/>
      <c r="U144" s="29"/>
      <c r="Y144" s="29"/>
      <c r="Z144" s="29"/>
      <c r="AA144" s="29"/>
      <c r="AB144" s="29"/>
      <c r="AC144" s="29"/>
      <c r="AD144" s="29"/>
      <c r="AE144" s="29"/>
      <c r="AF144" s="29"/>
      <c r="AG144" s="29"/>
      <c r="AH144" s="29"/>
      <c r="AI144" s="29"/>
      <c r="AJ144" s="29"/>
    </row>
    <row r="145" spans="1:36" customFormat="1" hidden="1">
      <c r="A145" s="22" t="s">
        <v>2792</v>
      </c>
      <c r="B145" s="31" t="s">
        <v>896</v>
      </c>
      <c r="C145" s="31" t="str">
        <f>VLOOKUP($A145,FA_Codes!$D$2:$G$249,4,FALSE)</f>
        <v>Rural South</v>
      </c>
      <c r="D145" s="800">
        <v>0</v>
      </c>
      <c r="E145" s="800">
        <f>SUMIF(Planned_capex_starting_position!$AF:$AF,$A145,Planned_capex_starting_position!AZ:AZ)</f>
        <v>0</v>
      </c>
      <c r="F145" s="800">
        <f>SUMIF(Planned_capex_starting_position!$AF:$AF,$A145,Planned_capex_starting_position!BA:BA)</f>
        <v>0</v>
      </c>
      <c r="G145" s="800">
        <f>SUMIF(Planned_capex_starting_position!$AF:$AF,$A145,Planned_capex_starting_position!BB:BB)</f>
        <v>0</v>
      </c>
      <c r="H145" s="800">
        <f>SUMIF(Planned_capex_starting_position!$AF:$AF,$A145,Planned_capex_starting_position!BC:BC)</f>
        <v>0</v>
      </c>
      <c r="I145" s="800">
        <f>SUMIF(Planned_capex_starting_position!$AF:$AF,$A145,Planned_capex_starting_position!BD:BD)</f>
        <v>0</v>
      </c>
      <c r="J145" s="800">
        <f>SUMIF(Planned_capex_starting_position!$AF:$AF,$A145,Planned_capex_starting_position!BE:BE)</f>
        <v>0</v>
      </c>
      <c r="K145" s="800">
        <f>SUMIF(Planned_capex_starting_position!$AF:$AF,$A145,Planned_capex_starting_position!BF:BF)</f>
        <v>0</v>
      </c>
      <c r="L145" s="800">
        <f>SUMIF(Planned_capex_starting_position!$AF:$AF,$A145,Planned_capex_starting_position!BG:BG)</f>
        <v>0</v>
      </c>
      <c r="M145" s="800">
        <f>SUMIF(Planned_capex_starting_position!$AF:$AF,$A145,Planned_capex_starting_position!BH:BH)</f>
        <v>0</v>
      </c>
      <c r="N145" s="800">
        <f>SUMIF(Planned_capex_starting_position!$AF:$AF,$A145,Planned_capex_starting_position!BI:BI)</f>
        <v>0</v>
      </c>
      <c r="O145" s="800">
        <f t="shared" si="2"/>
        <v>0</v>
      </c>
      <c r="P145" s="41"/>
      <c r="T145" s="29"/>
      <c r="U145" s="29"/>
      <c r="Y145" s="29"/>
      <c r="Z145" s="29"/>
      <c r="AA145" s="29"/>
      <c r="AB145" s="29"/>
      <c r="AC145" s="29"/>
      <c r="AD145" s="29"/>
      <c r="AE145" s="29"/>
      <c r="AF145" s="29"/>
      <c r="AG145" s="29"/>
      <c r="AH145" s="29"/>
      <c r="AI145" s="29"/>
      <c r="AJ145" s="29"/>
    </row>
    <row r="146" spans="1:36" customFormat="1" hidden="1">
      <c r="A146" s="22" t="s">
        <v>2793</v>
      </c>
      <c r="B146" s="31" t="s">
        <v>896</v>
      </c>
      <c r="C146" s="31" t="str">
        <f>VLOOKUP($A146,FA_Codes!$D$2:$G$249,4,FALSE)</f>
        <v>Area 16</v>
      </c>
      <c r="D146" s="800">
        <v>0</v>
      </c>
      <c r="E146" s="800">
        <f>SUMIF(Planned_capex_starting_position!$AF:$AF,$A146,Planned_capex_starting_position!AZ:AZ)</f>
        <v>0</v>
      </c>
      <c r="F146" s="800">
        <f>SUMIF(Planned_capex_starting_position!$AF:$AF,$A146,Planned_capex_starting_position!BA:BA)</f>
        <v>0</v>
      </c>
      <c r="G146" s="800">
        <f>SUMIF(Planned_capex_starting_position!$AF:$AF,$A146,Planned_capex_starting_position!BB:BB)</f>
        <v>0</v>
      </c>
      <c r="H146" s="800">
        <f>SUMIF(Planned_capex_starting_position!$AF:$AF,$A146,Planned_capex_starting_position!BC:BC)</f>
        <v>0</v>
      </c>
      <c r="I146" s="800">
        <f>SUMIF(Planned_capex_starting_position!$AF:$AF,$A146,Planned_capex_starting_position!BD:BD)</f>
        <v>0</v>
      </c>
      <c r="J146" s="800">
        <f>SUMIF(Planned_capex_starting_position!$AF:$AF,$A146,Planned_capex_starting_position!BE:BE)</f>
        <v>0</v>
      </c>
      <c r="K146" s="800">
        <f>SUMIF(Planned_capex_starting_position!$AF:$AF,$A146,Planned_capex_starting_position!BF:BF)</f>
        <v>0</v>
      </c>
      <c r="L146" s="800">
        <f>SUMIF(Planned_capex_starting_position!$AF:$AF,$A146,Planned_capex_starting_position!BG:BG)</f>
        <v>0</v>
      </c>
      <c r="M146" s="800">
        <f>SUMIF(Planned_capex_starting_position!$AF:$AF,$A146,Planned_capex_starting_position!BH:BH)</f>
        <v>0</v>
      </c>
      <c r="N146" s="800">
        <f>SUMIF(Planned_capex_starting_position!$AF:$AF,$A146,Planned_capex_starting_position!BI:BI)</f>
        <v>0</v>
      </c>
      <c r="O146" s="800">
        <f t="shared" si="2"/>
        <v>0</v>
      </c>
      <c r="P146" s="41"/>
      <c r="T146" s="29"/>
      <c r="U146" s="29"/>
      <c r="Y146" s="29"/>
      <c r="Z146" s="29"/>
      <c r="AA146" s="29"/>
      <c r="AB146" s="29"/>
      <c r="AC146" s="29"/>
      <c r="AD146" s="29"/>
      <c r="AE146" s="29"/>
      <c r="AF146" s="29"/>
      <c r="AG146" s="29"/>
      <c r="AH146" s="29"/>
      <c r="AI146" s="29"/>
      <c r="AJ146" s="29"/>
    </row>
    <row r="147" spans="1:36" customFormat="1" hidden="1">
      <c r="A147" s="22" t="s">
        <v>2794</v>
      </c>
      <c r="B147" s="31" t="s">
        <v>896</v>
      </c>
      <c r="C147" s="31" t="str">
        <f>VLOOKUP($A147,FA_Codes!$D$2:$G$249,4,FALSE)</f>
        <v>Mt Roskill AHP</v>
      </c>
      <c r="D147" s="800">
        <v>0</v>
      </c>
      <c r="E147" s="800">
        <f>SUMIF(Planned_capex_starting_position!$AF:$AF,$A147,Planned_capex_starting_position!AZ:AZ)</f>
        <v>0</v>
      </c>
      <c r="F147" s="800">
        <f>SUMIF(Planned_capex_starting_position!$AF:$AF,$A147,Planned_capex_starting_position!BA:BA)</f>
        <v>0</v>
      </c>
      <c r="G147" s="800">
        <f>SUMIF(Planned_capex_starting_position!$AF:$AF,$A147,Planned_capex_starting_position!BB:BB)</f>
        <v>0</v>
      </c>
      <c r="H147" s="800">
        <f>SUMIF(Planned_capex_starting_position!$AF:$AF,$A147,Planned_capex_starting_position!BC:BC)</f>
        <v>0</v>
      </c>
      <c r="I147" s="800">
        <f>SUMIF(Planned_capex_starting_position!$AF:$AF,$A147,Planned_capex_starting_position!BD:BD)</f>
        <v>0</v>
      </c>
      <c r="J147" s="800">
        <f>SUMIF(Planned_capex_starting_position!$AF:$AF,$A147,Planned_capex_starting_position!BE:BE)</f>
        <v>0</v>
      </c>
      <c r="K147" s="800">
        <f>SUMIF(Planned_capex_starting_position!$AF:$AF,$A147,Planned_capex_starting_position!BF:BF)</f>
        <v>0</v>
      </c>
      <c r="L147" s="800">
        <f>SUMIF(Planned_capex_starting_position!$AF:$AF,$A147,Planned_capex_starting_position!BG:BG)</f>
        <v>0</v>
      </c>
      <c r="M147" s="800">
        <f>SUMIF(Planned_capex_starting_position!$AF:$AF,$A147,Planned_capex_starting_position!BH:BH)</f>
        <v>0</v>
      </c>
      <c r="N147" s="800">
        <f>SUMIF(Planned_capex_starting_position!$AF:$AF,$A147,Planned_capex_starting_position!BI:BI)</f>
        <v>0</v>
      </c>
      <c r="O147" s="800">
        <f t="shared" si="2"/>
        <v>0</v>
      </c>
      <c r="P147" s="41"/>
      <c r="T147" s="29"/>
      <c r="U147" s="29"/>
      <c r="Y147" s="29"/>
      <c r="Z147" s="29"/>
      <c r="AA147" s="29"/>
      <c r="AB147" s="29"/>
      <c r="AC147" s="29"/>
      <c r="AD147" s="29"/>
      <c r="AE147" s="29"/>
      <c r="AF147" s="29"/>
      <c r="AG147" s="29"/>
      <c r="AH147" s="29"/>
      <c r="AI147" s="29"/>
      <c r="AJ147" s="29"/>
    </row>
    <row r="148" spans="1:36" customFormat="1" hidden="1">
      <c r="A148" s="22" t="s">
        <v>2795</v>
      </c>
      <c r="B148" s="31" t="s">
        <v>896</v>
      </c>
      <c r="C148" s="31" t="str">
        <f>VLOOKUP($A148,FA_Codes!$D$2:$G$249,4,FALSE)</f>
        <v>Mangere AHP</v>
      </c>
      <c r="D148" s="800">
        <v>0</v>
      </c>
      <c r="E148" s="800">
        <f>SUMIF(Planned_capex_starting_position!$AF:$AF,$A148,Planned_capex_starting_position!AZ:AZ)</f>
        <v>0</v>
      </c>
      <c r="F148" s="800">
        <f>SUMIF(Planned_capex_starting_position!$AF:$AF,$A148,Planned_capex_starting_position!BA:BA)</f>
        <v>0</v>
      </c>
      <c r="G148" s="800">
        <f>SUMIF(Planned_capex_starting_position!$AF:$AF,$A148,Planned_capex_starting_position!BB:BB)</f>
        <v>0</v>
      </c>
      <c r="H148" s="800">
        <f>SUMIF(Planned_capex_starting_position!$AF:$AF,$A148,Planned_capex_starting_position!BC:BC)</f>
        <v>0</v>
      </c>
      <c r="I148" s="800">
        <f>SUMIF(Planned_capex_starting_position!$AF:$AF,$A148,Planned_capex_starting_position!BD:BD)</f>
        <v>0</v>
      </c>
      <c r="J148" s="800">
        <f>SUMIF(Planned_capex_starting_position!$AF:$AF,$A148,Planned_capex_starting_position!BE:BE)</f>
        <v>0</v>
      </c>
      <c r="K148" s="800">
        <f>SUMIF(Planned_capex_starting_position!$AF:$AF,$A148,Planned_capex_starting_position!BF:BF)</f>
        <v>0</v>
      </c>
      <c r="L148" s="800">
        <f>SUMIF(Planned_capex_starting_position!$AF:$AF,$A148,Planned_capex_starting_position!BG:BG)</f>
        <v>0</v>
      </c>
      <c r="M148" s="800">
        <f>SUMIF(Planned_capex_starting_position!$AF:$AF,$A148,Planned_capex_starting_position!BH:BH)</f>
        <v>0</v>
      </c>
      <c r="N148" s="800">
        <f>SUMIF(Planned_capex_starting_position!$AF:$AF,$A148,Planned_capex_starting_position!BI:BI)</f>
        <v>0</v>
      </c>
      <c r="O148" s="800">
        <f t="shared" si="2"/>
        <v>0</v>
      </c>
      <c r="P148" s="41"/>
      <c r="T148" s="29"/>
      <c r="U148" s="29"/>
      <c r="Y148" s="29"/>
      <c r="Z148" s="29"/>
      <c r="AA148" s="29"/>
      <c r="AB148" s="29"/>
      <c r="AC148" s="29"/>
      <c r="AD148" s="29"/>
      <c r="AE148" s="29"/>
      <c r="AF148" s="29"/>
      <c r="AG148" s="29"/>
      <c r="AH148" s="29"/>
      <c r="AI148" s="29"/>
      <c r="AJ148" s="29"/>
    </row>
    <row r="149" spans="1:36" customFormat="1" hidden="1">
      <c r="A149" s="22" t="s">
        <v>2798</v>
      </c>
      <c r="B149" s="31" t="s">
        <v>896</v>
      </c>
      <c r="C149" s="31" t="str">
        <f>VLOOKUP($A149,FA_Codes!$D$2:$G$249,4,FALSE)</f>
        <v>Northwest  - Redhills</v>
      </c>
      <c r="D149" s="800">
        <v>0</v>
      </c>
      <c r="E149" s="800">
        <f>SUMIF(Planned_capex_starting_position!$AF:$AF,$A149,Planned_capex_starting_position!AZ:AZ)</f>
        <v>0</v>
      </c>
      <c r="F149" s="800">
        <f>SUMIF(Planned_capex_starting_position!$AF:$AF,$A149,Planned_capex_starting_position!BA:BA)</f>
        <v>0</v>
      </c>
      <c r="G149" s="800">
        <f>SUMIF(Planned_capex_starting_position!$AF:$AF,$A149,Planned_capex_starting_position!BB:BB)</f>
        <v>0</v>
      </c>
      <c r="H149" s="800">
        <f>SUMIF(Planned_capex_starting_position!$AF:$AF,$A149,Planned_capex_starting_position!BC:BC)</f>
        <v>0</v>
      </c>
      <c r="I149" s="800">
        <f>SUMIF(Planned_capex_starting_position!$AF:$AF,$A149,Planned_capex_starting_position!BD:BD)</f>
        <v>0</v>
      </c>
      <c r="J149" s="800">
        <f>SUMIF(Planned_capex_starting_position!$AF:$AF,$A149,Planned_capex_starting_position!BE:BE)</f>
        <v>0</v>
      </c>
      <c r="K149" s="800">
        <f>SUMIF(Planned_capex_starting_position!$AF:$AF,$A149,Planned_capex_starting_position!BF:BF)</f>
        <v>0</v>
      </c>
      <c r="L149" s="800">
        <f>SUMIF(Planned_capex_starting_position!$AF:$AF,$A149,Planned_capex_starting_position!BG:BG)</f>
        <v>0</v>
      </c>
      <c r="M149" s="800">
        <f>SUMIF(Planned_capex_starting_position!$AF:$AF,$A149,Planned_capex_starting_position!BH:BH)</f>
        <v>0</v>
      </c>
      <c r="N149" s="800">
        <f>SUMIF(Planned_capex_starting_position!$AF:$AF,$A149,Planned_capex_starting_position!BI:BI)</f>
        <v>0</v>
      </c>
      <c r="O149" s="800">
        <f t="shared" si="2"/>
        <v>0</v>
      </c>
      <c r="P149" s="41"/>
      <c r="T149" s="29"/>
      <c r="U149" s="29"/>
      <c r="Y149" s="29"/>
      <c r="Z149" s="29"/>
      <c r="AA149" s="29"/>
      <c r="AB149" s="29"/>
      <c r="AC149" s="29"/>
      <c r="AD149" s="29"/>
      <c r="AE149" s="29"/>
      <c r="AF149" s="29"/>
      <c r="AG149" s="29"/>
      <c r="AH149" s="29"/>
      <c r="AI149" s="29"/>
      <c r="AJ149" s="29"/>
    </row>
    <row r="150" spans="1:36" customFormat="1" hidden="1">
      <c r="A150" s="22" t="s">
        <v>2799</v>
      </c>
      <c r="B150" s="31" t="s">
        <v>896</v>
      </c>
      <c r="C150" s="31" t="str">
        <f>VLOOKUP($A150,FA_Codes!$D$2:$G$249,4,FALSE)</f>
        <v>Northwest  - Whenuapai</v>
      </c>
      <c r="D150" s="800">
        <v>0</v>
      </c>
      <c r="E150" s="800">
        <f>SUMIF(Planned_capex_starting_position!$AF:$AF,$A150,Planned_capex_starting_position!AZ:AZ)</f>
        <v>0</v>
      </c>
      <c r="F150" s="800">
        <f>SUMIF(Planned_capex_starting_position!$AF:$AF,$A150,Planned_capex_starting_position!BA:BA)</f>
        <v>0</v>
      </c>
      <c r="G150" s="800">
        <f>SUMIF(Planned_capex_starting_position!$AF:$AF,$A150,Planned_capex_starting_position!BB:BB)</f>
        <v>0</v>
      </c>
      <c r="H150" s="800">
        <f>SUMIF(Planned_capex_starting_position!$AF:$AF,$A150,Planned_capex_starting_position!BC:BC)</f>
        <v>0</v>
      </c>
      <c r="I150" s="800">
        <f>SUMIF(Planned_capex_starting_position!$AF:$AF,$A150,Planned_capex_starting_position!BD:BD)</f>
        <v>0</v>
      </c>
      <c r="J150" s="800">
        <f>SUMIF(Planned_capex_starting_position!$AF:$AF,$A150,Planned_capex_starting_position!BE:BE)</f>
        <v>0</v>
      </c>
      <c r="K150" s="800">
        <f>SUMIF(Planned_capex_starting_position!$AF:$AF,$A150,Planned_capex_starting_position!BF:BF)</f>
        <v>0</v>
      </c>
      <c r="L150" s="800">
        <f>SUMIF(Planned_capex_starting_position!$AF:$AF,$A150,Planned_capex_starting_position!BG:BG)</f>
        <v>0</v>
      </c>
      <c r="M150" s="800">
        <f>SUMIF(Planned_capex_starting_position!$AF:$AF,$A150,Planned_capex_starting_position!BH:BH)</f>
        <v>0</v>
      </c>
      <c r="N150" s="800">
        <f>SUMIF(Planned_capex_starting_position!$AF:$AF,$A150,Planned_capex_starting_position!BI:BI)</f>
        <v>0</v>
      </c>
      <c r="O150" s="800">
        <f t="shared" si="2"/>
        <v>0</v>
      </c>
      <c r="P150" s="41"/>
      <c r="T150" s="29"/>
      <c r="U150" s="29"/>
      <c r="Y150" s="29"/>
      <c r="Z150" s="29"/>
      <c r="AA150" s="29"/>
      <c r="AB150" s="29"/>
      <c r="AC150" s="29"/>
      <c r="AD150" s="29"/>
      <c r="AE150" s="29"/>
      <c r="AF150" s="29"/>
      <c r="AG150" s="29"/>
      <c r="AH150" s="29"/>
      <c r="AI150" s="29"/>
      <c r="AJ150" s="29"/>
    </row>
    <row r="151" spans="1:36" customFormat="1">
      <c r="A151" s="22" t="s">
        <v>2800</v>
      </c>
      <c r="B151" s="31" t="s">
        <v>896</v>
      </c>
      <c r="C151" s="31" t="str">
        <f>VLOOKUP($A151,FA_Codes!$D$2:$G$249,4,FALSE)</f>
        <v>Drury East IPA</v>
      </c>
      <c r="D151" s="800">
        <v>0</v>
      </c>
      <c r="E151" s="800">
        <f>SUMIF(Planned_capex_starting_position!$AF:$AF,$A151,Planned_capex_starting_position!AZ:AZ)</f>
        <v>0</v>
      </c>
      <c r="F151" s="800">
        <f>SUMIF(Planned_capex_starting_position!$AF:$AF,$A151,Planned_capex_starting_position!BA:BA)</f>
        <v>405807.54042040376</v>
      </c>
      <c r="G151" s="800">
        <f>SUMIF(Planned_capex_starting_position!$AF:$AF,$A151,Planned_capex_starting_position!BB:BB)</f>
        <v>135228.12529930423</v>
      </c>
      <c r="H151" s="800">
        <f>SUMIF(Planned_capex_starting_position!$AF:$AF,$A151,Planned_capex_starting_position!BC:BC)</f>
        <v>0</v>
      </c>
      <c r="I151" s="800">
        <f>SUMIF(Planned_capex_starting_position!$AF:$AF,$A151,Planned_capex_starting_position!BD:BD)</f>
        <v>0</v>
      </c>
      <c r="J151" s="800">
        <f>SUMIF(Planned_capex_starting_position!$AF:$AF,$A151,Planned_capex_starting_position!BE:BE)</f>
        <v>1451134.9533330428</v>
      </c>
      <c r="K151" s="800">
        <f>SUMIF(Planned_capex_starting_position!$AF:$AF,$A151,Planned_capex_starting_position!BF:BF)</f>
        <v>249026.10067799935</v>
      </c>
      <c r="L151" s="800">
        <f>SUMIF(Planned_capex_starting_position!$AF:$AF,$A151,Planned_capex_starting_position!BG:BG)</f>
        <v>8561670.2846752331</v>
      </c>
      <c r="M151" s="800">
        <f>SUMIF(Planned_capex_starting_position!$AF:$AF,$A151,Planned_capex_starting_position!BH:BH)</f>
        <v>6444955.3570199087</v>
      </c>
      <c r="N151" s="800">
        <f>SUMIF(Planned_capex_starting_position!$AF:$AF,$A151,Planned_capex_starting_position!BI:BI)</f>
        <v>41317089.286948539</v>
      </c>
      <c r="O151" s="800">
        <f t="shared" si="2"/>
        <v>58564911.648374431</v>
      </c>
      <c r="P151" s="41"/>
      <c r="T151" s="29"/>
      <c r="U151" s="29"/>
      <c r="Y151" s="29"/>
      <c r="Z151" s="29"/>
      <c r="AA151" s="29"/>
      <c r="AB151" s="29"/>
      <c r="AC151" s="29"/>
      <c r="AD151" s="29"/>
      <c r="AE151" s="29"/>
      <c r="AF151" s="29"/>
      <c r="AG151" s="29"/>
      <c r="AH151" s="29"/>
      <c r="AI151" s="29"/>
      <c r="AJ151" s="29"/>
    </row>
    <row r="152" spans="1:36" customFormat="1">
      <c r="A152" s="22" t="s">
        <v>2801</v>
      </c>
      <c r="B152" s="31" t="s">
        <v>896</v>
      </c>
      <c r="C152" s="31" t="str">
        <f>VLOOKUP($A152,FA_Codes!$D$2:$G$249,4,FALSE)</f>
        <v>Drury West 1 IPA</v>
      </c>
      <c r="D152" s="800">
        <v>0</v>
      </c>
      <c r="E152" s="800">
        <f>SUMIF(Planned_capex_starting_position!$AF:$AF,$A152,Planned_capex_starting_position!AZ:AZ)</f>
        <v>0</v>
      </c>
      <c r="F152" s="800">
        <f>SUMIF(Planned_capex_starting_position!$AF:$AF,$A152,Planned_capex_starting_position!BA:BA)</f>
        <v>10647.94666382399</v>
      </c>
      <c r="G152" s="800">
        <f>SUMIF(Planned_capex_starting_position!$AF:$AF,$A152,Planned_capex_starting_position!BB:BB)</f>
        <v>0</v>
      </c>
      <c r="H152" s="800">
        <f>SUMIF(Planned_capex_starting_position!$AF:$AF,$A152,Planned_capex_starting_position!BC:BC)</f>
        <v>406653.03316983493</v>
      </c>
      <c r="I152" s="800">
        <f>SUMIF(Planned_capex_starting_position!$AF:$AF,$A152,Planned_capex_starting_position!BD:BD)</f>
        <v>385389.69141872716</v>
      </c>
      <c r="J152" s="800">
        <f>SUMIF(Planned_capex_starting_position!$AF:$AF,$A152,Planned_capex_starting_position!BE:BE)</f>
        <v>3857946.6736526713</v>
      </c>
      <c r="K152" s="800">
        <f>SUMIF(Planned_capex_starting_position!$AF:$AF,$A152,Planned_capex_starting_position!BF:BF)</f>
        <v>0</v>
      </c>
      <c r="L152" s="800">
        <f>SUMIF(Planned_capex_starting_position!$AF:$AF,$A152,Planned_capex_starting_position!BG:BG)</f>
        <v>266596.27395826939</v>
      </c>
      <c r="M152" s="800">
        <f>SUMIF(Planned_capex_starting_position!$AF:$AF,$A152,Planned_capex_starting_position!BH:BH)</f>
        <v>1294838.0846334414</v>
      </c>
      <c r="N152" s="800">
        <f>SUMIF(Planned_capex_starting_position!$AF:$AF,$A152,Planned_capex_starting_position!BI:BI)</f>
        <v>10965671.887071369</v>
      </c>
      <c r="O152" s="800">
        <f t="shared" si="2"/>
        <v>17187743.590568136</v>
      </c>
      <c r="P152" s="41"/>
      <c r="T152" s="29"/>
      <c r="U152" s="29"/>
      <c r="Y152" s="29"/>
      <c r="Z152" s="29"/>
      <c r="AA152" s="29"/>
      <c r="AB152" s="29"/>
      <c r="AC152" s="29"/>
      <c r="AD152" s="29"/>
      <c r="AE152" s="29"/>
      <c r="AF152" s="29"/>
      <c r="AG152" s="29"/>
      <c r="AH152" s="29"/>
      <c r="AI152" s="29"/>
      <c r="AJ152" s="29"/>
    </row>
    <row r="153" spans="1:36" customFormat="1">
      <c r="A153" s="22" t="s">
        <v>2802</v>
      </c>
      <c r="B153" s="31" t="s">
        <v>896</v>
      </c>
      <c r="C153" s="31" t="str">
        <f>VLOOKUP($A153,FA_Codes!$D$2:$G$249,4,FALSE)</f>
        <v>Drury West 2 IPA</v>
      </c>
      <c r="D153" s="800">
        <v>0</v>
      </c>
      <c r="E153" s="800">
        <f>SUMIF(Planned_capex_starting_position!$AF:$AF,$A153,Planned_capex_starting_position!AZ:AZ)</f>
        <v>0</v>
      </c>
      <c r="F153" s="800">
        <f>SUMIF(Planned_capex_starting_position!$AF:$AF,$A153,Planned_capex_starting_position!BA:BA)</f>
        <v>15904.668317730862</v>
      </c>
      <c r="G153" s="800">
        <f>SUMIF(Planned_capex_starting_position!$AF:$AF,$A153,Planned_capex_starting_position!BB:BB)</f>
        <v>0</v>
      </c>
      <c r="H153" s="800">
        <f>SUMIF(Planned_capex_starting_position!$AF:$AF,$A153,Planned_capex_starting_position!BC:BC)</f>
        <v>67490.128662178191</v>
      </c>
      <c r="I153" s="800">
        <f>SUMIF(Planned_capex_starting_position!$AF:$AF,$A153,Planned_capex_starting_position!BD:BD)</f>
        <v>63961.160343944139</v>
      </c>
      <c r="J153" s="800">
        <f>SUMIF(Planned_capex_starting_position!$AF:$AF,$A153,Planned_capex_starting_position!BE:BE)</f>
        <v>640743.86626618984</v>
      </c>
      <c r="K153" s="800">
        <f>SUMIF(Planned_capex_starting_position!$AF:$AF,$A153,Planned_capex_starting_position!BF:BF)</f>
        <v>0</v>
      </c>
      <c r="L153" s="800">
        <f>SUMIF(Planned_capex_starting_position!$AF:$AF,$A153,Planned_capex_starting_position!BG:BG)</f>
        <v>268888.77950912016</v>
      </c>
      <c r="M153" s="800">
        <f>SUMIF(Planned_capex_starting_position!$AF:$AF,$A153,Planned_capex_starting_position!BH:BH)</f>
        <v>439015.41244699492</v>
      </c>
      <c r="N153" s="800">
        <f>SUMIF(Planned_capex_starting_position!$AF:$AF,$A153,Planned_capex_starting_position!BI:BI)</f>
        <v>6319694.130919829</v>
      </c>
      <c r="O153" s="800">
        <f t="shared" si="2"/>
        <v>7815698.146465987</v>
      </c>
      <c r="P153" s="41"/>
      <c r="T153" s="29"/>
      <c r="U153" s="29"/>
      <c r="Y153" s="29"/>
      <c r="Z153" s="29"/>
      <c r="AA153" s="29"/>
      <c r="AB153" s="29"/>
      <c r="AC153" s="29"/>
      <c r="AD153" s="29"/>
      <c r="AE153" s="29"/>
      <c r="AF153" s="29"/>
      <c r="AG153" s="29"/>
      <c r="AH153" s="29"/>
      <c r="AI153" s="29"/>
      <c r="AJ153" s="29"/>
    </row>
    <row r="154" spans="1:36" customFormat="1">
      <c r="A154" s="22" t="s">
        <v>2803</v>
      </c>
      <c r="B154" s="31" t="s">
        <v>896</v>
      </c>
      <c r="C154" s="31" t="str">
        <f>VLOOKUP($A154,FA_Codes!$D$2:$G$249,4,FALSE)</f>
        <v>Opaheke IPA</v>
      </c>
      <c r="D154" s="800">
        <v>0</v>
      </c>
      <c r="E154" s="800">
        <f>SUMIF(Planned_capex_starting_position!$AF:$AF,$A154,Planned_capex_starting_position!AZ:AZ)</f>
        <v>0</v>
      </c>
      <c r="F154" s="800">
        <f>SUMIF(Planned_capex_starting_position!$AF:$AF,$A154,Planned_capex_starting_position!BA:BA)</f>
        <v>79612.440290518527</v>
      </c>
      <c r="G154" s="800">
        <f>SUMIF(Planned_capex_starting_position!$AF:$AF,$A154,Planned_capex_starting_position!BB:BB)</f>
        <v>520.58303015130048</v>
      </c>
      <c r="H154" s="800">
        <f>SUMIF(Planned_capex_starting_position!$AF:$AF,$A154,Planned_capex_starting_position!BC:BC)</f>
        <v>0</v>
      </c>
      <c r="I154" s="800">
        <f>SUMIF(Planned_capex_starting_position!$AF:$AF,$A154,Planned_capex_starting_position!BD:BD)</f>
        <v>0</v>
      </c>
      <c r="J154" s="800">
        <f>SUMIF(Planned_capex_starting_position!$AF:$AF,$A154,Planned_capex_starting_position!BE:BE)</f>
        <v>63478.526534541037</v>
      </c>
      <c r="K154" s="800">
        <f>SUMIF(Planned_capex_starting_position!$AF:$AF,$A154,Planned_capex_starting_position!BF:BF)</f>
        <v>15703.272607839001</v>
      </c>
      <c r="L154" s="800">
        <f>SUMIF(Planned_capex_starting_position!$AF:$AF,$A154,Planned_capex_starting_position!BG:BG)</f>
        <v>1335659.8862347107</v>
      </c>
      <c r="M154" s="800">
        <f>SUMIF(Planned_capex_starting_position!$AF:$AF,$A154,Planned_capex_starting_position!BH:BH)</f>
        <v>1405935.7342020222</v>
      </c>
      <c r="N154" s="800">
        <f>SUMIF(Planned_capex_starting_position!$AF:$AF,$A154,Planned_capex_starting_position!BI:BI)</f>
        <v>5896230.8498255508</v>
      </c>
      <c r="O154" s="800">
        <f t="shared" si="2"/>
        <v>8797141.2927253339</v>
      </c>
      <c r="P154" s="41"/>
      <c r="T154" s="29"/>
      <c r="U154" s="29"/>
      <c r="Y154" s="29"/>
      <c r="Z154" s="29"/>
      <c r="AA154" s="29"/>
      <c r="AB154" s="29"/>
      <c r="AC154" s="29"/>
      <c r="AD154" s="29"/>
      <c r="AE154" s="29"/>
      <c r="AF154" s="29"/>
      <c r="AG154" s="29"/>
      <c r="AH154" s="29"/>
      <c r="AI154" s="29"/>
      <c r="AJ154" s="29"/>
    </row>
    <row r="155" spans="1:36" customFormat="1">
      <c r="A155" s="22" t="s">
        <v>2804</v>
      </c>
      <c r="B155" s="31" t="s">
        <v>896</v>
      </c>
      <c r="C155" s="31" t="str">
        <f>VLOOKUP($A155,FA_Codes!$D$2:$G$249,4,FALSE)</f>
        <v>Southern Growth Area 3</v>
      </c>
      <c r="D155" s="800">
        <v>0</v>
      </c>
      <c r="E155" s="800">
        <f>SUMIF(Planned_capex_starting_position!$AF:$AF,$A155,Planned_capex_starting_position!AZ:AZ)</f>
        <v>0</v>
      </c>
      <c r="F155" s="800">
        <f>SUMIF(Planned_capex_starting_position!$AF:$AF,$A155,Planned_capex_starting_position!BA:BA)</f>
        <v>0</v>
      </c>
      <c r="G155" s="800">
        <f>SUMIF(Planned_capex_starting_position!$AF:$AF,$A155,Planned_capex_starting_position!BB:BB)</f>
        <v>0</v>
      </c>
      <c r="H155" s="800">
        <f>SUMIF(Planned_capex_starting_position!$AF:$AF,$A155,Planned_capex_starting_position!BC:BC)</f>
        <v>0</v>
      </c>
      <c r="I155" s="800">
        <f>SUMIF(Planned_capex_starting_position!$AF:$AF,$A155,Planned_capex_starting_position!BD:BD)</f>
        <v>0</v>
      </c>
      <c r="J155" s="800">
        <f>SUMIF(Planned_capex_starting_position!$AF:$AF,$A155,Planned_capex_starting_position!BE:BE)</f>
        <v>0</v>
      </c>
      <c r="K155" s="800">
        <f>SUMIF(Planned_capex_starting_position!$AF:$AF,$A155,Planned_capex_starting_position!BF:BF)</f>
        <v>0</v>
      </c>
      <c r="L155" s="800">
        <f>SUMIF(Planned_capex_starting_position!$AF:$AF,$A155,Planned_capex_starting_position!BG:BG)</f>
        <v>0</v>
      </c>
      <c r="M155" s="800">
        <f>SUMIF(Planned_capex_starting_position!$AF:$AF,$A155,Planned_capex_starting_position!BH:BH)</f>
        <v>3267.3290965338065</v>
      </c>
      <c r="N155" s="800">
        <f>SUMIF(Planned_capex_starting_position!$AF:$AF,$A155,Planned_capex_starting_position!BI:BI)</f>
        <v>32476.147767627888</v>
      </c>
      <c r="O155" s="800">
        <f t="shared" si="2"/>
        <v>35743.476864161697</v>
      </c>
      <c r="P155" s="41"/>
      <c r="T155" s="29"/>
      <c r="U155" s="29"/>
      <c r="Y155" s="29"/>
      <c r="Z155" s="29"/>
      <c r="AA155" s="29"/>
      <c r="AB155" s="29"/>
      <c r="AC155" s="29"/>
      <c r="AD155" s="29"/>
      <c r="AE155" s="29"/>
      <c r="AF155" s="29"/>
      <c r="AG155" s="29"/>
      <c r="AH155" s="29"/>
      <c r="AI155" s="29"/>
      <c r="AJ155" s="29"/>
    </row>
    <row r="156" spans="1:36" customFormat="1">
      <c r="A156" s="22" t="s">
        <v>2805</v>
      </c>
      <c r="B156" s="31" t="s">
        <v>896</v>
      </c>
      <c r="C156" s="31" t="str">
        <f>VLOOKUP($A156,FA_Codes!$D$2:$G$249,4,FALSE)</f>
        <v>Southern Growth Area 2</v>
      </c>
      <c r="D156" s="800">
        <v>0</v>
      </c>
      <c r="E156" s="800">
        <f>SUMIF(Planned_capex_starting_position!$AF:$AF,$A156,Planned_capex_starting_position!AZ:AZ)</f>
        <v>0</v>
      </c>
      <c r="F156" s="800">
        <f>SUMIF(Planned_capex_starting_position!$AF:$AF,$A156,Planned_capex_starting_position!BA:BA)</f>
        <v>13567.507873922663</v>
      </c>
      <c r="G156" s="800">
        <f>SUMIF(Planned_capex_starting_position!$AF:$AF,$A156,Planned_capex_starting_position!BB:BB)</f>
        <v>0</v>
      </c>
      <c r="H156" s="800">
        <f>SUMIF(Planned_capex_starting_position!$AF:$AF,$A156,Planned_capex_starting_position!BC:BC)</f>
        <v>0</v>
      </c>
      <c r="I156" s="800">
        <f>SUMIF(Planned_capex_starting_position!$AF:$AF,$A156,Planned_capex_starting_position!BD:BD)</f>
        <v>0</v>
      </c>
      <c r="J156" s="800">
        <f>SUMIF(Planned_capex_starting_position!$AF:$AF,$A156,Planned_capex_starting_position!BE:BE)</f>
        <v>441.59344226072483</v>
      </c>
      <c r="K156" s="800">
        <f>SUMIF(Planned_capex_starting_position!$AF:$AF,$A156,Planned_capex_starting_position!BF:BF)</f>
        <v>0</v>
      </c>
      <c r="L156" s="800">
        <f>SUMIF(Planned_capex_starting_position!$AF:$AF,$A156,Planned_capex_starting_position!BG:BG)</f>
        <v>274927.77469335205</v>
      </c>
      <c r="M156" s="800">
        <f>SUMIF(Planned_capex_starting_position!$AF:$AF,$A156,Planned_capex_starting_position!BH:BH)</f>
        <v>135773.32874842541</v>
      </c>
      <c r="N156" s="800">
        <f>SUMIF(Planned_capex_starting_position!$AF:$AF,$A156,Planned_capex_starting_position!BI:BI)</f>
        <v>1756728.4168821669</v>
      </c>
      <c r="O156" s="800">
        <f t="shared" si="2"/>
        <v>2181438.6216401276</v>
      </c>
      <c r="P156" s="41"/>
      <c r="T156" s="29"/>
      <c r="U156" s="29"/>
      <c r="Y156" s="29"/>
      <c r="Z156" s="29"/>
      <c r="AA156" s="29"/>
      <c r="AB156" s="29"/>
      <c r="AC156" s="29"/>
      <c r="AD156" s="29"/>
      <c r="AE156" s="29"/>
      <c r="AF156" s="29"/>
      <c r="AG156" s="29"/>
      <c r="AH156" s="29"/>
      <c r="AI156" s="29"/>
      <c r="AJ156" s="29"/>
    </row>
    <row r="157" spans="1:36" customFormat="1">
      <c r="A157" s="22" t="s">
        <v>2806</v>
      </c>
      <c r="B157" s="31" t="s">
        <v>896</v>
      </c>
      <c r="C157" s="31" t="str">
        <f>VLOOKUP($A157,FA_Codes!$D$2:$G$249,4,FALSE)</f>
        <v>Southern Growth Area 1</v>
      </c>
      <c r="D157" s="800">
        <v>0</v>
      </c>
      <c r="E157" s="800">
        <f>SUMIF(Planned_capex_starting_position!$AF:$AF,$A157,Planned_capex_starting_position!AZ:AZ)</f>
        <v>0</v>
      </c>
      <c r="F157" s="800">
        <f>SUMIF(Planned_capex_starting_position!$AF:$AF,$A157,Planned_capex_starting_position!BA:BA)</f>
        <v>7361.558258253428</v>
      </c>
      <c r="G157" s="800">
        <f>SUMIF(Planned_capex_starting_position!$AF:$AF,$A157,Planned_capex_starting_position!BB:BB)</f>
        <v>853.4727533298086</v>
      </c>
      <c r="H157" s="800">
        <f>SUMIF(Planned_capex_starting_position!$AF:$AF,$A157,Planned_capex_starting_position!BC:BC)</f>
        <v>0</v>
      </c>
      <c r="I157" s="800">
        <f>SUMIF(Planned_capex_starting_position!$AF:$AF,$A157,Planned_capex_starting_position!BD:BD)</f>
        <v>0</v>
      </c>
      <c r="J157" s="800">
        <f>SUMIF(Planned_capex_starting_position!$AF:$AF,$A157,Planned_capex_starting_position!BE:BE)</f>
        <v>9774.1988637281156</v>
      </c>
      <c r="K157" s="800">
        <f>SUMIF(Planned_capex_starting_position!$AF:$AF,$A157,Planned_capex_starting_position!BF:BF)</f>
        <v>1694.0482544394242</v>
      </c>
      <c r="L157" s="800">
        <f>SUMIF(Planned_capex_starting_position!$AF:$AF,$A157,Planned_capex_starting_position!BG:BG)</f>
        <v>114702.87085220433</v>
      </c>
      <c r="M157" s="800">
        <f>SUMIF(Planned_capex_starting_position!$AF:$AF,$A157,Planned_capex_starting_position!BH:BH)</f>
        <v>118680.26306096173</v>
      </c>
      <c r="N157" s="800">
        <f>SUMIF(Planned_capex_starting_position!$AF:$AF,$A157,Planned_capex_starting_position!BI:BI)</f>
        <v>410359.47719690431</v>
      </c>
      <c r="O157" s="800">
        <f t="shared" si="2"/>
        <v>663425.88923982112</v>
      </c>
      <c r="P157" s="41"/>
      <c r="T157" s="29"/>
      <c r="U157" s="29"/>
      <c r="Y157" s="29"/>
      <c r="Z157" s="29"/>
      <c r="AA157" s="29"/>
      <c r="AB157" s="29"/>
      <c r="AC157" s="29"/>
      <c r="AD157" s="29"/>
      <c r="AE157" s="29"/>
      <c r="AF157" s="29"/>
      <c r="AG157" s="29"/>
      <c r="AH157" s="29"/>
      <c r="AI157" s="29"/>
      <c r="AJ157" s="29"/>
    </row>
    <row r="158" spans="1:36" customFormat="1" hidden="1">
      <c r="A158" s="22" t="s">
        <v>2807</v>
      </c>
      <c r="B158" s="31" t="s">
        <v>896</v>
      </c>
      <c r="C158" s="31" t="str">
        <f>VLOOKUP($A158,FA_Codes!$D$2:$G$249,4,FALSE)</f>
        <v>Area 30</v>
      </c>
      <c r="D158" s="800">
        <v>0</v>
      </c>
      <c r="E158" s="800">
        <f>SUMIF(Planned_capex_starting_position!$AF:$AF,$A158,Planned_capex_starting_position!AZ:AZ)</f>
        <v>0</v>
      </c>
      <c r="F158" s="800">
        <f>SUMIF(Planned_capex_starting_position!$AF:$AF,$A158,Planned_capex_starting_position!BA:BA)</f>
        <v>0</v>
      </c>
      <c r="G158" s="800">
        <f>SUMIF(Planned_capex_starting_position!$AF:$AF,$A158,Planned_capex_starting_position!BB:BB)</f>
        <v>0</v>
      </c>
      <c r="H158" s="800">
        <f>SUMIF(Planned_capex_starting_position!$AF:$AF,$A158,Planned_capex_starting_position!BC:BC)</f>
        <v>0</v>
      </c>
      <c r="I158" s="800">
        <f>SUMIF(Planned_capex_starting_position!$AF:$AF,$A158,Planned_capex_starting_position!BD:BD)</f>
        <v>0</v>
      </c>
      <c r="J158" s="800">
        <f>SUMIF(Planned_capex_starting_position!$AF:$AF,$A158,Planned_capex_starting_position!BE:BE)</f>
        <v>0</v>
      </c>
      <c r="K158" s="800">
        <f>SUMIF(Planned_capex_starting_position!$AF:$AF,$A158,Planned_capex_starting_position!BF:BF)</f>
        <v>0</v>
      </c>
      <c r="L158" s="800">
        <f>SUMIF(Planned_capex_starting_position!$AF:$AF,$A158,Planned_capex_starting_position!BG:BG)</f>
        <v>0</v>
      </c>
      <c r="M158" s="800">
        <f>SUMIF(Planned_capex_starting_position!$AF:$AF,$A158,Planned_capex_starting_position!BH:BH)</f>
        <v>0</v>
      </c>
      <c r="N158" s="800">
        <f>SUMIF(Planned_capex_starting_position!$AF:$AF,$A158,Planned_capex_starting_position!BI:BI)</f>
        <v>0</v>
      </c>
      <c r="O158" s="800">
        <f t="shared" si="2"/>
        <v>0</v>
      </c>
      <c r="P158" s="41"/>
      <c r="T158" s="29"/>
      <c r="U158" s="29"/>
      <c r="Y158" s="29"/>
      <c r="Z158" s="29"/>
      <c r="AA158" s="29"/>
      <c r="AB158" s="29"/>
      <c r="AC158" s="29"/>
      <c r="AD158" s="29"/>
      <c r="AE158" s="29"/>
      <c r="AF158" s="29"/>
      <c r="AG158" s="29"/>
      <c r="AH158" s="29"/>
      <c r="AI158" s="29"/>
      <c r="AJ158" s="29"/>
    </row>
    <row r="159" spans="1:36" customFormat="1" hidden="1">
      <c r="A159" s="22" t="s">
        <v>2808</v>
      </c>
      <c r="B159" s="31" t="s">
        <v>896</v>
      </c>
      <c r="C159" s="31" t="str">
        <f>VLOOKUP($A159,FA_Codes!$D$2:$G$249,4,FALSE)</f>
        <v>Area 31</v>
      </c>
      <c r="D159" s="800">
        <v>0</v>
      </c>
      <c r="E159" s="800">
        <f>SUMIF(Planned_capex_starting_position!$AF:$AF,$A159,Planned_capex_starting_position!AZ:AZ)</f>
        <v>0</v>
      </c>
      <c r="F159" s="800">
        <f>SUMIF(Planned_capex_starting_position!$AF:$AF,$A159,Planned_capex_starting_position!BA:BA)</f>
        <v>0</v>
      </c>
      <c r="G159" s="800">
        <f>SUMIF(Planned_capex_starting_position!$AF:$AF,$A159,Planned_capex_starting_position!BB:BB)</f>
        <v>0</v>
      </c>
      <c r="H159" s="800">
        <f>SUMIF(Planned_capex_starting_position!$AF:$AF,$A159,Planned_capex_starting_position!BC:BC)</f>
        <v>0</v>
      </c>
      <c r="I159" s="800">
        <f>SUMIF(Planned_capex_starting_position!$AF:$AF,$A159,Planned_capex_starting_position!BD:BD)</f>
        <v>0</v>
      </c>
      <c r="J159" s="800">
        <f>SUMIF(Planned_capex_starting_position!$AF:$AF,$A159,Planned_capex_starting_position!BE:BE)</f>
        <v>0</v>
      </c>
      <c r="K159" s="800">
        <f>SUMIF(Planned_capex_starting_position!$AF:$AF,$A159,Planned_capex_starting_position!BF:BF)</f>
        <v>0</v>
      </c>
      <c r="L159" s="800">
        <f>SUMIF(Planned_capex_starting_position!$AF:$AF,$A159,Planned_capex_starting_position!BG:BG)</f>
        <v>0</v>
      </c>
      <c r="M159" s="800">
        <f>SUMIF(Planned_capex_starting_position!$AF:$AF,$A159,Planned_capex_starting_position!BH:BH)</f>
        <v>0</v>
      </c>
      <c r="N159" s="800">
        <f>SUMIF(Planned_capex_starting_position!$AF:$AF,$A159,Planned_capex_starting_position!BI:BI)</f>
        <v>0</v>
      </c>
      <c r="O159" s="800">
        <f t="shared" si="2"/>
        <v>0</v>
      </c>
      <c r="P159" s="41"/>
      <c r="T159" s="29"/>
      <c r="U159" s="29"/>
      <c r="Y159" s="29"/>
      <c r="Z159" s="29"/>
      <c r="AA159" s="29"/>
      <c r="AB159" s="29"/>
      <c r="AC159" s="29"/>
      <c r="AD159" s="29"/>
      <c r="AE159" s="29"/>
      <c r="AF159" s="29"/>
      <c r="AG159" s="29"/>
      <c r="AH159" s="29"/>
      <c r="AI159" s="29"/>
      <c r="AJ159" s="29"/>
    </row>
    <row r="160" spans="1:36" customFormat="1" hidden="1">
      <c r="A160" s="22" t="s">
        <v>2809</v>
      </c>
      <c r="B160" s="31" t="s">
        <v>896</v>
      </c>
      <c r="C160" s="58"/>
      <c r="D160" s="800">
        <v>0</v>
      </c>
      <c r="E160" s="800">
        <f>SUMIF(Planned_capex_starting_position!$AF:$AF,$A160,Planned_capex_starting_position!AZ:AZ)</f>
        <v>0</v>
      </c>
      <c r="F160" s="800">
        <f>SUMIF(Planned_capex_starting_position!$AF:$AF,$A160,Planned_capex_starting_position!BA:BA)</f>
        <v>0</v>
      </c>
      <c r="G160" s="800">
        <f>SUMIF(Planned_capex_starting_position!$AF:$AF,$A160,Planned_capex_starting_position!BB:BB)</f>
        <v>0</v>
      </c>
      <c r="H160" s="800">
        <f>SUMIF(Planned_capex_starting_position!$AF:$AF,$A160,Planned_capex_starting_position!BC:BC)</f>
        <v>0</v>
      </c>
      <c r="I160" s="800">
        <f>SUMIF(Planned_capex_starting_position!$AF:$AF,$A160,Planned_capex_starting_position!BD:BD)</f>
        <v>0</v>
      </c>
      <c r="J160" s="800">
        <f>SUMIF(Planned_capex_starting_position!$AF:$AF,$A160,Planned_capex_starting_position!BE:BE)</f>
        <v>0</v>
      </c>
      <c r="K160" s="800">
        <f>SUMIF(Planned_capex_starting_position!$AF:$AF,$A160,Planned_capex_starting_position!BF:BF)</f>
        <v>0</v>
      </c>
      <c r="L160" s="800">
        <f>SUMIF(Planned_capex_starting_position!$AF:$AF,$A160,Planned_capex_starting_position!BG:BG)</f>
        <v>0</v>
      </c>
      <c r="M160" s="800">
        <f>SUMIF(Planned_capex_starting_position!$AF:$AF,$A160,Planned_capex_starting_position!BH:BH)</f>
        <v>0</v>
      </c>
      <c r="N160" s="800">
        <f>SUMIF(Planned_capex_starting_position!$AF:$AF,$A160,Planned_capex_starting_position!BI:BI)</f>
        <v>0</v>
      </c>
      <c r="O160" s="800">
        <f t="shared" si="2"/>
        <v>0</v>
      </c>
      <c r="P160" s="41"/>
      <c r="T160" s="29"/>
      <c r="U160" s="29"/>
      <c r="Y160" s="29"/>
      <c r="Z160" s="29"/>
      <c r="AA160" s="29"/>
      <c r="AB160" s="29"/>
      <c r="AC160" s="29"/>
      <c r="AD160" s="29"/>
      <c r="AE160" s="29"/>
      <c r="AF160" s="29"/>
      <c r="AG160" s="29"/>
      <c r="AH160" s="29"/>
      <c r="AI160" s="29"/>
      <c r="AJ160" s="29"/>
    </row>
    <row r="161" spans="1:36" hidden="1">
      <c r="A161" s="35" t="s">
        <v>2810</v>
      </c>
      <c r="B161" s="36" t="s">
        <v>1055</v>
      </c>
      <c r="C161" s="31" t="str">
        <f>VLOOKUP($A161,FA_Codes!$D$2:$G$249,4,FALSE)</f>
        <v>Auckland wide</v>
      </c>
      <c r="D161" s="800">
        <v>0</v>
      </c>
      <c r="E161" s="800">
        <f>SUMIF(Planned_capex_starting_position!$AF:$AF,$A161,Planned_capex_starting_position!AZ:AZ)</f>
        <v>0</v>
      </c>
      <c r="F161" s="800">
        <f>SUMIF(Planned_capex_starting_position!$AF:$AF,$A161,Planned_capex_starting_position!BA:BA)</f>
        <v>0</v>
      </c>
      <c r="G161" s="800">
        <f>SUMIF(Planned_capex_starting_position!$AF:$AF,$A161,Planned_capex_starting_position!BB:BB)</f>
        <v>0</v>
      </c>
      <c r="H161" s="800">
        <f>SUMIF(Planned_capex_starting_position!$AF:$AF,$A161,Planned_capex_starting_position!BC:BC)</f>
        <v>0</v>
      </c>
      <c r="I161" s="800">
        <f>SUMIF(Planned_capex_starting_position!$AF:$AF,$A161,Planned_capex_starting_position!BD:BD)</f>
        <v>0</v>
      </c>
      <c r="J161" s="800">
        <f>SUMIF(Planned_capex_starting_position!$AF:$AF,$A161,Planned_capex_starting_position!BE:BE)</f>
        <v>0</v>
      </c>
      <c r="K161" s="800">
        <f>SUMIF(Planned_capex_starting_position!$AF:$AF,$A161,Planned_capex_starting_position!BF:BF)</f>
        <v>0</v>
      </c>
      <c r="L161" s="800">
        <f>SUMIF(Planned_capex_starting_position!$AF:$AF,$A161,Planned_capex_starting_position!BG:BG)</f>
        <v>0</v>
      </c>
      <c r="M161" s="800">
        <f>SUMIF(Planned_capex_starting_position!$AF:$AF,$A161,Planned_capex_starting_position!BH:BH)</f>
        <v>0</v>
      </c>
      <c r="N161" s="800">
        <f>SUMIF(Planned_capex_starting_position!$AF:$AF,$A161,Planned_capex_starting_position!BI:BI)</f>
        <v>0</v>
      </c>
      <c r="O161" s="800">
        <f t="shared" si="2"/>
        <v>0</v>
      </c>
      <c r="P161" s="41"/>
      <c r="Q161" s="36"/>
      <c r="R161" s="36"/>
      <c r="S161" s="36"/>
      <c r="T161" s="36"/>
      <c r="U161" s="36"/>
      <c r="V161" s="36"/>
      <c r="W161" s="36"/>
      <c r="X161" s="36"/>
      <c r="Y161" s="36"/>
      <c r="Z161" s="36"/>
    </row>
    <row r="162" spans="1:36" hidden="1">
      <c r="A162" s="22" t="s">
        <v>2811</v>
      </c>
      <c r="B162" s="36" t="s">
        <v>1055</v>
      </c>
      <c r="C162" s="31" t="str">
        <f>VLOOKUP($A162,FA_Codes!$D$2:$G$249,4,FALSE)</f>
        <v>North</v>
      </c>
      <c r="D162" s="800">
        <v>0</v>
      </c>
      <c r="E162" s="800">
        <f>SUMIF(Planned_capex_starting_position!$AF:$AF,$A162,Planned_capex_starting_position!AZ:AZ)</f>
        <v>0</v>
      </c>
      <c r="F162" s="800">
        <f>SUMIF(Planned_capex_starting_position!$AF:$AF,$A162,Planned_capex_starting_position!BA:BA)</f>
        <v>0</v>
      </c>
      <c r="G162" s="800">
        <f>SUMIF(Planned_capex_starting_position!$AF:$AF,$A162,Planned_capex_starting_position!BB:BB)</f>
        <v>0</v>
      </c>
      <c r="H162" s="800">
        <f>SUMIF(Planned_capex_starting_position!$AF:$AF,$A162,Planned_capex_starting_position!BC:BC)</f>
        <v>0</v>
      </c>
      <c r="I162" s="800">
        <f>SUMIF(Planned_capex_starting_position!$AF:$AF,$A162,Planned_capex_starting_position!BD:BD)</f>
        <v>0</v>
      </c>
      <c r="J162" s="800">
        <f>SUMIF(Planned_capex_starting_position!$AF:$AF,$A162,Planned_capex_starting_position!BE:BE)</f>
        <v>0</v>
      </c>
      <c r="K162" s="800">
        <f>SUMIF(Planned_capex_starting_position!$AF:$AF,$A162,Planned_capex_starting_position!BF:BF)</f>
        <v>0</v>
      </c>
      <c r="L162" s="800">
        <f>SUMIF(Planned_capex_starting_position!$AF:$AF,$A162,Planned_capex_starting_position!BG:BG)</f>
        <v>0</v>
      </c>
      <c r="M162" s="800">
        <f>SUMIF(Planned_capex_starting_position!$AF:$AF,$A162,Planned_capex_starting_position!BH:BH)</f>
        <v>0</v>
      </c>
      <c r="N162" s="800">
        <f>SUMIF(Planned_capex_starting_position!$AF:$AF,$A162,Planned_capex_starting_position!BI:BI)</f>
        <v>0</v>
      </c>
      <c r="O162" s="800">
        <f t="shared" si="2"/>
        <v>0</v>
      </c>
      <c r="P162" s="41"/>
      <c r="Q162" s="36"/>
      <c r="R162" s="36"/>
      <c r="S162" s="36"/>
      <c r="T162" s="36"/>
      <c r="U162" s="36"/>
      <c r="V162" s="36"/>
      <c r="W162" s="36"/>
      <c r="X162" s="36"/>
      <c r="Y162" s="36"/>
      <c r="Z162" s="36"/>
    </row>
    <row r="163" spans="1:36" hidden="1">
      <c r="A163" s="22" t="s">
        <v>2812</v>
      </c>
      <c r="B163" s="36" t="s">
        <v>1055</v>
      </c>
      <c r="C163" s="31" t="str">
        <f>VLOOKUP($A163,FA_Codes!$D$2:$G$249,4,FALSE)</f>
        <v>Central</v>
      </c>
      <c r="D163" s="800">
        <v>0</v>
      </c>
      <c r="E163" s="800">
        <f>SUMIF(Planned_capex_starting_position!$AF:$AF,$A163,Planned_capex_starting_position!AZ:AZ)</f>
        <v>0</v>
      </c>
      <c r="F163" s="800">
        <f>SUMIF(Planned_capex_starting_position!$AF:$AF,$A163,Planned_capex_starting_position!BA:BA)</f>
        <v>0</v>
      </c>
      <c r="G163" s="800">
        <f>SUMIF(Planned_capex_starting_position!$AF:$AF,$A163,Planned_capex_starting_position!BB:BB)</f>
        <v>0</v>
      </c>
      <c r="H163" s="800">
        <f>SUMIF(Planned_capex_starting_position!$AF:$AF,$A163,Planned_capex_starting_position!BC:BC)</f>
        <v>0</v>
      </c>
      <c r="I163" s="800">
        <f>SUMIF(Planned_capex_starting_position!$AF:$AF,$A163,Planned_capex_starting_position!BD:BD)</f>
        <v>0</v>
      </c>
      <c r="J163" s="800">
        <f>SUMIF(Planned_capex_starting_position!$AF:$AF,$A163,Planned_capex_starting_position!BE:BE)</f>
        <v>0</v>
      </c>
      <c r="K163" s="800">
        <f>SUMIF(Planned_capex_starting_position!$AF:$AF,$A163,Planned_capex_starting_position!BF:BF)</f>
        <v>0</v>
      </c>
      <c r="L163" s="800">
        <f>SUMIF(Planned_capex_starting_position!$AF:$AF,$A163,Planned_capex_starting_position!BG:BG)</f>
        <v>0</v>
      </c>
      <c r="M163" s="800">
        <f>SUMIF(Planned_capex_starting_position!$AF:$AF,$A163,Planned_capex_starting_position!BH:BH)</f>
        <v>0</v>
      </c>
      <c r="N163" s="800">
        <f>SUMIF(Planned_capex_starting_position!$AF:$AF,$A163,Planned_capex_starting_position!BI:BI)</f>
        <v>0</v>
      </c>
      <c r="O163" s="800">
        <f t="shared" si="2"/>
        <v>0</v>
      </c>
      <c r="P163" s="41"/>
      <c r="Q163" s="36"/>
      <c r="R163" s="36"/>
      <c r="S163" s="36"/>
      <c r="T163" s="36"/>
      <c r="U163" s="36"/>
      <c r="V163" s="36"/>
      <c r="W163" s="36"/>
      <c r="X163" s="36"/>
      <c r="Y163" s="36"/>
      <c r="Z163" s="36" t="s">
        <v>2259</v>
      </c>
    </row>
    <row r="164" spans="1:36" hidden="1">
      <c r="A164" s="35" t="s">
        <v>2813</v>
      </c>
      <c r="B164" s="36" t="s">
        <v>1055</v>
      </c>
      <c r="C164" s="31" t="str">
        <f>VLOOKUP($A164,FA_Codes!$D$2:$G$249,4,FALSE)</f>
        <v>West</v>
      </c>
      <c r="D164" s="800">
        <v>0</v>
      </c>
      <c r="E164" s="800">
        <f>SUMIF(Planned_capex_starting_position!$AF:$AF,$A164,Planned_capex_starting_position!AZ:AZ)</f>
        <v>0</v>
      </c>
      <c r="F164" s="800">
        <f>SUMIF(Planned_capex_starting_position!$AF:$AF,$A164,Planned_capex_starting_position!BA:BA)</f>
        <v>0</v>
      </c>
      <c r="G164" s="800">
        <f>SUMIF(Planned_capex_starting_position!$AF:$AF,$A164,Planned_capex_starting_position!BB:BB)</f>
        <v>0</v>
      </c>
      <c r="H164" s="800">
        <f>SUMIF(Planned_capex_starting_position!$AF:$AF,$A164,Planned_capex_starting_position!BC:BC)</f>
        <v>0</v>
      </c>
      <c r="I164" s="800">
        <f>SUMIF(Planned_capex_starting_position!$AF:$AF,$A164,Planned_capex_starting_position!BD:BD)</f>
        <v>0</v>
      </c>
      <c r="J164" s="800">
        <f>SUMIF(Planned_capex_starting_position!$AF:$AF,$A164,Planned_capex_starting_position!BE:BE)</f>
        <v>0</v>
      </c>
      <c r="K164" s="800">
        <f>SUMIF(Planned_capex_starting_position!$AF:$AF,$A164,Planned_capex_starting_position!BF:BF)</f>
        <v>0</v>
      </c>
      <c r="L164" s="800">
        <f>SUMIF(Planned_capex_starting_position!$AF:$AF,$A164,Planned_capex_starting_position!BG:BG)</f>
        <v>0</v>
      </c>
      <c r="M164" s="800">
        <f>SUMIF(Planned_capex_starting_position!$AF:$AF,$A164,Planned_capex_starting_position!BH:BH)</f>
        <v>0</v>
      </c>
      <c r="N164" s="800">
        <f>SUMIF(Planned_capex_starting_position!$AF:$AF,$A164,Planned_capex_starting_position!BI:BI)</f>
        <v>0</v>
      </c>
      <c r="O164" s="800">
        <f t="shared" si="2"/>
        <v>0</v>
      </c>
      <c r="P164" s="41"/>
      <c r="Q164" s="36"/>
      <c r="R164" s="36"/>
      <c r="S164" s="36"/>
      <c r="T164" s="36"/>
      <c r="U164" s="36"/>
      <c r="V164" s="36"/>
      <c r="W164" s="36"/>
      <c r="X164" s="36"/>
      <c r="Y164" s="36"/>
      <c r="Z164" s="36"/>
    </row>
    <row r="165" spans="1:36" hidden="1">
      <c r="A165" s="35" t="s">
        <v>2814</v>
      </c>
      <c r="B165" s="36" t="s">
        <v>1055</v>
      </c>
      <c r="C165" s="31" t="str">
        <f>VLOOKUP($A165,FA_Codes!$D$2:$G$249,4,FALSE)</f>
        <v>South</v>
      </c>
      <c r="D165" s="800">
        <v>0</v>
      </c>
      <c r="E165" s="800">
        <f>SUMIF(Planned_capex_starting_position!$AF:$AF,$A165,Planned_capex_starting_position!AZ:AZ)</f>
        <v>0</v>
      </c>
      <c r="F165" s="800">
        <f>SUMIF(Planned_capex_starting_position!$AF:$AF,$A165,Planned_capex_starting_position!BA:BA)</f>
        <v>0</v>
      </c>
      <c r="G165" s="800">
        <f>SUMIF(Planned_capex_starting_position!$AF:$AF,$A165,Planned_capex_starting_position!BB:BB)</f>
        <v>0</v>
      </c>
      <c r="H165" s="800">
        <f>SUMIF(Planned_capex_starting_position!$AF:$AF,$A165,Planned_capex_starting_position!BC:BC)</f>
        <v>0</v>
      </c>
      <c r="I165" s="800">
        <f>SUMIF(Planned_capex_starting_position!$AF:$AF,$A165,Planned_capex_starting_position!BD:BD)</f>
        <v>0</v>
      </c>
      <c r="J165" s="800">
        <f>SUMIF(Planned_capex_starting_position!$AF:$AF,$A165,Planned_capex_starting_position!BE:BE)</f>
        <v>0</v>
      </c>
      <c r="K165" s="800">
        <f>SUMIF(Planned_capex_starting_position!$AF:$AF,$A165,Planned_capex_starting_position!BF:BF)</f>
        <v>0</v>
      </c>
      <c r="L165" s="800">
        <f>SUMIF(Planned_capex_starting_position!$AF:$AF,$A165,Planned_capex_starting_position!BG:BG)</f>
        <v>0</v>
      </c>
      <c r="M165" s="800">
        <f>SUMIF(Planned_capex_starting_position!$AF:$AF,$A165,Planned_capex_starting_position!BH:BH)</f>
        <v>0</v>
      </c>
      <c r="N165" s="800">
        <f>SUMIF(Planned_capex_starting_position!$AF:$AF,$A165,Planned_capex_starting_position!BI:BI)</f>
        <v>0</v>
      </c>
      <c r="O165" s="800">
        <f t="shared" si="2"/>
        <v>0</v>
      </c>
      <c r="P165" s="41"/>
      <c r="Q165" s="36"/>
      <c r="R165" s="36"/>
      <c r="S165" s="36"/>
      <c r="T165" s="36"/>
      <c r="U165" s="36"/>
      <c r="V165" s="36"/>
      <c r="W165" s="36"/>
      <c r="X165" s="36"/>
      <c r="Y165" s="36"/>
      <c r="Z165" s="36"/>
    </row>
    <row r="166" spans="1:36" hidden="1">
      <c r="A166" s="35" t="s">
        <v>2816</v>
      </c>
      <c r="B166" s="36" t="s">
        <v>1055</v>
      </c>
      <c r="C166" s="31" t="str">
        <f>VLOOKUP($A166,FA_Codes!$D$2:$G$249,4,FALSE)</f>
        <v>HGI</v>
      </c>
      <c r="D166" s="800">
        <v>0</v>
      </c>
      <c r="E166" s="800">
        <f>SUMIF(Planned_capex_starting_position!$AF:$AF,$A166,Planned_capex_starting_position!AZ:AZ)</f>
        <v>0</v>
      </c>
      <c r="F166" s="800">
        <f>SUMIF(Planned_capex_starting_position!$AF:$AF,$A166,Planned_capex_starting_position!BA:BA)</f>
        <v>0</v>
      </c>
      <c r="G166" s="800">
        <f>SUMIF(Planned_capex_starting_position!$AF:$AF,$A166,Planned_capex_starting_position!BB:BB)</f>
        <v>0</v>
      </c>
      <c r="H166" s="800">
        <f>SUMIF(Planned_capex_starting_position!$AF:$AF,$A166,Planned_capex_starting_position!BC:BC)</f>
        <v>0</v>
      </c>
      <c r="I166" s="800">
        <f>SUMIF(Planned_capex_starting_position!$AF:$AF,$A166,Planned_capex_starting_position!BD:BD)</f>
        <v>0</v>
      </c>
      <c r="J166" s="800">
        <f>SUMIF(Planned_capex_starting_position!$AF:$AF,$A166,Planned_capex_starting_position!BE:BE)</f>
        <v>0</v>
      </c>
      <c r="K166" s="800">
        <f>SUMIF(Planned_capex_starting_position!$AF:$AF,$A166,Planned_capex_starting_position!BF:BF)</f>
        <v>0</v>
      </c>
      <c r="L166" s="800">
        <f>SUMIF(Planned_capex_starting_position!$AF:$AF,$A166,Planned_capex_starting_position!BG:BG)</f>
        <v>0</v>
      </c>
      <c r="M166" s="800">
        <f>SUMIF(Planned_capex_starting_position!$AF:$AF,$A166,Planned_capex_starting_position!BH:BH)</f>
        <v>0</v>
      </c>
      <c r="N166" s="800">
        <f>SUMIF(Planned_capex_starting_position!$AF:$AF,$A166,Planned_capex_starting_position!BI:BI)</f>
        <v>0</v>
      </c>
      <c r="O166" s="800">
        <f t="shared" si="2"/>
        <v>0</v>
      </c>
      <c r="P166" s="41"/>
      <c r="Q166" s="36"/>
      <c r="R166" s="36"/>
      <c r="S166" s="36"/>
      <c r="T166" s="36"/>
      <c r="U166" s="36"/>
      <c r="V166" s="36"/>
      <c r="W166" s="36"/>
      <c r="X166" s="36"/>
      <c r="Y166" s="36"/>
      <c r="Z166" s="36"/>
    </row>
    <row r="167" spans="1:36" customFormat="1" hidden="1">
      <c r="A167" s="35" t="s">
        <v>2817</v>
      </c>
      <c r="B167" s="31" t="s">
        <v>1055</v>
      </c>
      <c r="C167" s="31" t="str">
        <f>VLOOKUP($A167,FA_Codes!$D$2:$G$249,4,FALSE)</f>
        <v>Auckland Wide Less Parallel</v>
      </c>
      <c r="D167" s="800">
        <v>0</v>
      </c>
      <c r="E167" s="800">
        <f>SUMIF(Planned_capex_starting_position!$AF:$AF,$A167,Planned_capex_starting_position!AZ:AZ)</f>
        <v>0</v>
      </c>
      <c r="F167" s="800">
        <f>SUMIF(Planned_capex_starting_position!$AF:$AF,$A167,Planned_capex_starting_position!BA:BA)</f>
        <v>0</v>
      </c>
      <c r="G167" s="800">
        <f>SUMIF(Planned_capex_starting_position!$AF:$AF,$A167,Planned_capex_starting_position!BB:BB)</f>
        <v>0</v>
      </c>
      <c r="H167" s="800">
        <f>SUMIF(Planned_capex_starting_position!$AF:$AF,$A167,Planned_capex_starting_position!BC:BC)</f>
        <v>0</v>
      </c>
      <c r="I167" s="800">
        <f>SUMIF(Planned_capex_starting_position!$AF:$AF,$A167,Planned_capex_starting_position!BD:BD)</f>
        <v>0</v>
      </c>
      <c r="J167" s="800">
        <f>SUMIF(Planned_capex_starting_position!$AF:$AF,$A167,Planned_capex_starting_position!BE:BE)</f>
        <v>0</v>
      </c>
      <c r="K167" s="800">
        <f>SUMIF(Planned_capex_starting_position!$AF:$AF,$A167,Planned_capex_starting_position!BF:BF)</f>
        <v>0</v>
      </c>
      <c r="L167" s="800">
        <f>SUMIF(Planned_capex_starting_position!$AF:$AF,$A167,Planned_capex_starting_position!BG:BG)</f>
        <v>0</v>
      </c>
      <c r="M167" s="800">
        <f>SUMIF(Planned_capex_starting_position!$AF:$AF,$A167,Planned_capex_starting_position!BH:BH)</f>
        <v>0</v>
      </c>
      <c r="N167" s="800">
        <f>SUMIF(Planned_capex_starting_position!$AF:$AF,$A167,Planned_capex_starting_position!BI:BI)</f>
        <v>0</v>
      </c>
      <c r="O167" s="800">
        <f t="shared" si="2"/>
        <v>0</v>
      </c>
      <c r="P167" s="41"/>
      <c r="T167" s="29"/>
      <c r="U167" s="29"/>
      <c r="Y167" s="29"/>
      <c r="Z167" s="29"/>
      <c r="AA167" s="29"/>
      <c r="AB167" s="29"/>
      <c r="AC167" s="29"/>
      <c r="AD167" s="29"/>
      <c r="AE167" s="29"/>
      <c r="AF167" s="29"/>
      <c r="AG167" s="29"/>
      <c r="AH167" s="29"/>
      <c r="AI167" s="29"/>
      <c r="AJ167" s="29"/>
    </row>
    <row r="168" spans="1:36" customFormat="1" hidden="1">
      <c r="A168" s="35" t="s">
        <v>2818</v>
      </c>
      <c r="B168" s="31" t="s">
        <v>1055</v>
      </c>
      <c r="C168" s="31" t="str">
        <f>VLOOKUP($A168,FA_Codes!$D$2:$G$249,4,FALSE)</f>
        <v>NorthWest</v>
      </c>
      <c r="D168" s="800">
        <v>0</v>
      </c>
      <c r="E168" s="800">
        <f>SUMIF(Planned_capex_starting_position!$AF:$AF,$A168,Planned_capex_starting_position!AZ:AZ)</f>
        <v>0</v>
      </c>
      <c r="F168" s="800">
        <f>SUMIF(Planned_capex_starting_position!$AF:$AF,$A168,Planned_capex_starting_position!BA:BA)</f>
        <v>0</v>
      </c>
      <c r="G168" s="800">
        <f>SUMIF(Planned_capex_starting_position!$AF:$AF,$A168,Planned_capex_starting_position!BB:BB)</f>
        <v>0</v>
      </c>
      <c r="H168" s="800">
        <f>SUMIF(Planned_capex_starting_position!$AF:$AF,$A168,Planned_capex_starting_position!BC:BC)</f>
        <v>0</v>
      </c>
      <c r="I168" s="800">
        <f>SUMIF(Planned_capex_starting_position!$AF:$AF,$A168,Planned_capex_starting_position!BD:BD)</f>
        <v>0</v>
      </c>
      <c r="J168" s="800">
        <f>SUMIF(Planned_capex_starting_position!$AF:$AF,$A168,Planned_capex_starting_position!BE:BE)</f>
        <v>0</v>
      </c>
      <c r="K168" s="800">
        <f>SUMIF(Planned_capex_starting_position!$AF:$AF,$A168,Planned_capex_starting_position!BF:BF)</f>
        <v>0</v>
      </c>
      <c r="L168" s="800">
        <f>SUMIF(Planned_capex_starting_position!$AF:$AF,$A168,Planned_capex_starting_position!BG:BG)</f>
        <v>0</v>
      </c>
      <c r="M168" s="800">
        <f>SUMIF(Planned_capex_starting_position!$AF:$AF,$A168,Planned_capex_starting_position!BH:BH)</f>
        <v>0</v>
      </c>
      <c r="N168" s="800">
        <f>SUMIF(Planned_capex_starting_position!$AF:$AF,$A168,Planned_capex_starting_position!BI:BI)</f>
        <v>0</v>
      </c>
      <c r="O168" s="800">
        <f t="shared" si="2"/>
        <v>0</v>
      </c>
      <c r="P168" s="41"/>
      <c r="T168" s="29"/>
      <c r="U168" s="29"/>
      <c r="Y168" s="29"/>
      <c r="Z168" s="29"/>
      <c r="AA168" s="29"/>
      <c r="AB168" s="29"/>
      <c r="AC168" s="29"/>
      <c r="AD168" s="29"/>
      <c r="AE168" s="29"/>
      <c r="AF168" s="29"/>
      <c r="AG168" s="29"/>
      <c r="AH168" s="29"/>
      <c r="AI168" s="29"/>
      <c r="AJ168" s="29"/>
    </row>
    <row r="169" spans="1:36" customFormat="1" hidden="1">
      <c r="A169" s="35" t="s">
        <v>2819</v>
      </c>
      <c r="B169" s="31" t="s">
        <v>1055</v>
      </c>
      <c r="C169" s="31" t="str">
        <f>VLOOKUP($A169,FA_Codes!$D$2:$G$249,4,FALSE)</f>
        <v>Dairyflat / Wainui / Silverdale</v>
      </c>
      <c r="D169" s="800">
        <v>0</v>
      </c>
      <c r="E169" s="800">
        <f>SUMIF(Planned_capex_starting_position!$AF:$AF,$A169,Planned_capex_starting_position!AZ:AZ)</f>
        <v>0</v>
      </c>
      <c r="F169" s="800">
        <f>SUMIF(Planned_capex_starting_position!$AF:$AF,$A169,Planned_capex_starting_position!BA:BA)</f>
        <v>0</v>
      </c>
      <c r="G169" s="800">
        <f>SUMIF(Planned_capex_starting_position!$AF:$AF,$A169,Planned_capex_starting_position!BB:BB)</f>
        <v>0</v>
      </c>
      <c r="H169" s="800">
        <f>SUMIF(Planned_capex_starting_position!$AF:$AF,$A169,Planned_capex_starting_position!BC:BC)</f>
        <v>0</v>
      </c>
      <c r="I169" s="800">
        <f>SUMIF(Planned_capex_starting_position!$AF:$AF,$A169,Planned_capex_starting_position!BD:BD)</f>
        <v>0</v>
      </c>
      <c r="J169" s="800">
        <f>SUMIF(Planned_capex_starting_position!$AF:$AF,$A169,Planned_capex_starting_position!BE:BE)</f>
        <v>0</v>
      </c>
      <c r="K169" s="800">
        <f>SUMIF(Planned_capex_starting_position!$AF:$AF,$A169,Planned_capex_starting_position!BF:BF)</f>
        <v>0</v>
      </c>
      <c r="L169" s="800">
        <f>SUMIF(Planned_capex_starting_position!$AF:$AF,$A169,Planned_capex_starting_position!BG:BG)</f>
        <v>0</v>
      </c>
      <c r="M169" s="800">
        <f>SUMIF(Planned_capex_starting_position!$AF:$AF,$A169,Planned_capex_starting_position!BH:BH)</f>
        <v>0</v>
      </c>
      <c r="N169" s="800">
        <f>SUMIF(Planned_capex_starting_position!$AF:$AF,$A169,Planned_capex_starting_position!BI:BI)</f>
        <v>0</v>
      </c>
      <c r="O169" s="800">
        <f t="shared" si="2"/>
        <v>0</v>
      </c>
      <c r="P169" s="41"/>
      <c r="T169" s="29"/>
      <c r="U169" s="29"/>
      <c r="Y169" s="29"/>
      <c r="Z169" s="29"/>
      <c r="AA169" s="29"/>
      <c r="AB169" s="29"/>
      <c r="AC169" s="29"/>
      <c r="AD169" s="29"/>
      <c r="AE169" s="29"/>
      <c r="AF169" s="29"/>
      <c r="AG169" s="29"/>
      <c r="AH169" s="29"/>
      <c r="AI169" s="29"/>
      <c r="AJ169" s="29"/>
    </row>
    <row r="170" spans="1:36" customFormat="1" hidden="1">
      <c r="A170" s="35" t="s">
        <v>2820</v>
      </c>
      <c r="B170" s="31" t="s">
        <v>1055</v>
      </c>
      <c r="C170" s="31" t="str">
        <f>VLOOKUP($A170,FA_Codes!$D$2:$G$249,4,FALSE)</f>
        <v>Tamaki AHP</v>
      </c>
      <c r="D170" s="800">
        <v>0</v>
      </c>
      <c r="E170" s="800">
        <f>SUMIF(Planned_capex_starting_position!$AF:$AF,$A170,Planned_capex_starting_position!AZ:AZ)</f>
        <v>0</v>
      </c>
      <c r="F170" s="800">
        <f>SUMIF(Planned_capex_starting_position!$AF:$AF,$A170,Planned_capex_starting_position!BA:BA)</f>
        <v>0</v>
      </c>
      <c r="G170" s="800">
        <f>SUMIF(Planned_capex_starting_position!$AF:$AF,$A170,Planned_capex_starting_position!BB:BB)</f>
        <v>0</v>
      </c>
      <c r="H170" s="800">
        <f>SUMIF(Planned_capex_starting_position!$AF:$AF,$A170,Planned_capex_starting_position!BC:BC)</f>
        <v>0</v>
      </c>
      <c r="I170" s="800">
        <f>SUMIF(Planned_capex_starting_position!$AF:$AF,$A170,Planned_capex_starting_position!BD:BD)</f>
        <v>0</v>
      </c>
      <c r="J170" s="800">
        <f>SUMIF(Planned_capex_starting_position!$AF:$AF,$A170,Planned_capex_starting_position!BE:BE)</f>
        <v>0</v>
      </c>
      <c r="K170" s="800">
        <f>SUMIF(Planned_capex_starting_position!$AF:$AF,$A170,Planned_capex_starting_position!BF:BF)</f>
        <v>0</v>
      </c>
      <c r="L170" s="800">
        <f>SUMIF(Planned_capex_starting_position!$AF:$AF,$A170,Planned_capex_starting_position!BG:BG)</f>
        <v>0</v>
      </c>
      <c r="M170" s="800">
        <f>SUMIF(Planned_capex_starting_position!$AF:$AF,$A170,Planned_capex_starting_position!BH:BH)</f>
        <v>0</v>
      </c>
      <c r="N170" s="800">
        <f>SUMIF(Planned_capex_starting_position!$AF:$AF,$A170,Planned_capex_starting_position!BI:BI)</f>
        <v>0</v>
      </c>
      <c r="O170" s="800">
        <f t="shared" si="2"/>
        <v>0</v>
      </c>
      <c r="P170" s="41"/>
      <c r="T170" s="29"/>
      <c r="U170" s="29"/>
      <c r="Y170" s="29"/>
      <c r="Z170" s="29"/>
      <c r="AA170" s="29"/>
      <c r="AB170" s="29"/>
      <c r="AC170" s="29"/>
      <c r="AD170" s="29"/>
      <c r="AE170" s="29"/>
      <c r="AF170" s="29"/>
      <c r="AG170" s="29"/>
      <c r="AH170" s="29"/>
      <c r="AI170" s="29"/>
      <c r="AJ170" s="29"/>
    </row>
    <row r="171" spans="1:36" customFormat="1" hidden="1">
      <c r="A171" s="35" t="s">
        <v>2821</v>
      </c>
      <c r="B171" s="31" t="s">
        <v>1055</v>
      </c>
      <c r="C171" s="31" t="str">
        <f>VLOOKUP($A171,FA_Codes!$D$2:$G$249,4,FALSE)</f>
        <v>Albany</v>
      </c>
      <c r="D171" s="800">
        <v>0</v>
      </c>
      <c r="E171" s="800">
        <f>SUMIF(Planned_capex_starting_position!$AF:$AF,$A171,Planned_capex_starting_position!AZ:AZ)</f>
        <v>0</v>
      </c>
      <c r="F171" s="800">
        <f>SUMIF(Planned_capex_starting_position!$AF:$AF,$A171,Planned_capex_starting_position!BA:BA)</f>
        <v>0</v>
      </c>
      <c r="G171" s="800">
        <f>SUMIF(Planned_capex_starting_position!$AF:$AF,$A171,Planned_capex_starting_position!BB:BB)</f>
        <v>0</v>
      </c>
      <c r="H171" s="800">
        <f>SUMIF(Planned_capex_starting_position!$AF:$AF,$A171,Planned_capex_starting_position!BC:BC)</f>
        <v>0</v>
      </c>
      <c r="I171" s="800">
        <f>SUMIF(Planned_capex_starting_position!$AF:$AF,$A171,Planned_capex_starting_position!BD:BD)</f>
        <v>0</v>
      </c>
      <c r="J171" s="800">
        <f>SUMIF(Planned_capex_starting_position!$AF:$AF,$A171,Planned_capex_starting_position!BE:BE)</f>
        <v>0</v>
      </c>
      <c r="K171" s="800">
        <f>SUMIF(Planned_capex_starting_position!$AF:$AF,$A171,Planned_capex_starting_position!BF:BF)</f>
        <v>0</v>
      </c>
      <c r="L171" s="800">
        <f>SUMIF(Planned_capex_starting_position!$AF:$AF,$A171,Planned_capex_starting_position!BG:BG)</f>
        <v>0</v>
      </c>
      <c r="M171" s="800">
        <f>SUMIF(Planned_capex_starting_position!$AF:$AF,$A171,Planned_capex_starting_position!BH:BH)</f>
        <v>0</v>
      </c>
      <c r="N171" s="800">
        <f>SUMIF(Planned_capex_starting_position!$AF:$AF,$A171,Planned_capex_starting_position!BI:BI)</f>
        <v>0</v>
      </c>
      <c r="O171" s="800">
        <f t="shared" si="2"/>
        <v>0</v>
      </c>
      <c r="P171" s="41"/>
      <c r="T171" s="29"/>
      <c r="U171" s="29"/>
      <c r="Y171" s="29"/>
      <c r="Z171" s="29"/>
      <c r="AA171" s="29"/>
      <c r="AB171" s="29"/>
      <c r="AC171" s="29"/>
      <c r="AD171" s="29"/>
      <c r="AE171" s="29"/>
      <c r="AF171" s="29"/>
      <c r="AG171" s="29"/>
      <c r="AH171" s="29"/>
      <c r="AI171" s="29"/>
      <c r="AJ171" s="29"/>
    </row>
    <row r="172" spans="1:36" customFormat="1" hidden="1">
      <c r="A172" s="35" t="s">
        <v>2822</v>
      </c>
      <c r="B172" s="31" t="s">
        <v>1055</v>
      </c>
      <c r="C172" s="31" t="str">
        <f>VLOOKUP($A172,FA_Codes!$D$2:$G$249,4,FALSE)</f>
        <v>Rural North</v>
      </c>
      <c r="D172" s="800">
        <v>0</v>
      </c>
      <c r="E172" s="800">
        <f>SUMIF(Planned_capex_starting_position!$AF:$AF,$A172,Planned_capex_starting_position!AZ:AZ)</f>
        <v>0</v>
      </c>
      <c r="F172" s="800">
        <f>SUMIF(Planned_capex_starting_position!$AF:$AF,$A172,Planned_capex_starting_position!BA:BA)</f>
        <v>0</v>
      </c>
      <c r="G172" s="800">
        <f>SUMIF(Planned_capex_starting_position!$AF:$AF,$A172,Planned_capex_starting_position!BB:BB)</f>
        <v>0</v>
      </c>
      <c r="H172" s="800">
        <f>SUMIF(Planned_capex_starting_position!$AF:$AF,$A172,Planned_capex_starting_position!BC:BC)</f>
        <v>0</v>
      </c>
      <c r="I172" s="800">
        <f>SUMIF(Planned_capex_starting_position!$AF:$AF,$A172,Planned_capex_starting_position!BD:BD)</f>
        <v>0</v>
      </c>
      <c r="J172" s="800">
        <f>SUMIF(Planned_capex_starting_position!$AF:$AF,$A172,Planned_capex_starting_position!BE:BE)</f>
        <v>0</v>
      </c>
      <c r="K172" s="800">
        <f>SUMIF(Planned_capex_starting_position!$AF:$AF,$A172,Planned_capex_starting_position!BF:BF)</f>
        <v>0</v>
      </c>
      <c r="L172" s="800">
        <f>SUMIF(Planned_capex_starting_position!$AF:$AF,$A172,Planned_capex_starting_position!BG:BG)</f>
        <v>0</v>
      </c>
      <c r="M172" s="800">
        <f>SUMIF(Planned_capex_starting_position!$AF:$AF,$A172,Planned_capex_starting_position!BH:BH)</f>
        <v>0</v>
      </c>
      <c r="N172" s="800">
        <f>SUMIF(Planned_capex_starting_position!$AF:$AF,$A172,Planned_capex_starting_position!BI:BI)</f>
        <v>0</v>
      </c>
      <c r="O172" s="800">
        <f t="shared" si="2"/>
        <v>0</v>
      </c>
      <c r="P172" s="41"/>
      <c r="T172" s="29"/>
      <c r="U172" s="29"/>
      <c r="Y172" s="29"/>
      <c r="Z172" s="29"/>
      <c r="AA172" s="29"/>
      <c r="AB172" s="29"/>
      <c r="AC172" s="29"/>
      <c r="AD172" s="29"/>
      <c r="AE172" s="29"/>
      <c r="AF172" s="29"/>
      <c r="AG172" s="29"/>
      <c r="AH172" s="29"/>
      <c r="AI172" s="29"/>
      <c r="AJ172" s="29"/>
    </row>
    <row r="173" spans="1:36" customFormat="1" hidden="1">
      <c r="A173" s="35" t="s">
        <v>2823</v>
      </c>
      <c r="B173" s="31" t="s">
        <v>1055</v>
      </c>
      <c r="C173" s="31" t="str">
        <f>VLOOKUP($A173,FA_Codes!$D$2:$G$249,4,FALSE)</f>
        <v>Rural West</v>
      </c>
      <c r="D173" s="800">
        <v>0</v>
      </c>
      <c r="E173" s="800">
        <f>SUMIF(Planned_capex_starting_position!$AF:$AF,$A173,Planned_capex_starting_position!AZ:AZ)</f>
        <v>0</v>
      </c>
      <c r="F173" s="800">
        <f>SUMIF(Planned_capex_starting_position!$AF:$AF,$A173,Planned_capex_starting_position!BA:BA)</f>
        <v>0</v>
      </c>
      <c r="G173" s="800">
        <f>SUMIF(Planned_capex_starting_position!$AF:$AF,$A173,Planned_capex_starting_position!BB:BB)</f>
        <v>0</v>
      </c>
      <c r="H173" s="800">
        <f>SUMIF(Planned_capex_starting_position!$AF:$AF,$A173,Planned_capex_starting_position!BC:BC)</f>
        <v>0</v>
      </c>
      <c r="I173" s="800">
        <f>SUMIF(Planned_capex_starting_position!$AF:$AF,$A173,Planned_capex_starting_position!BD:BD)</f>
        <v>0</v>
      </c>
      <c r="J173" s="800">
        <f>SUMIF(Planned_capex_starting_position!$AF:$AF,$A173,Planned_capex_starting_position!BE:BE)</f>
        <v>0</v>
      </c>
      <c r="K173" s="800">
        <f>SUMIF(Planned_capex_starting_position!$AF:$AF,$A173,Planned_capex_starting_position!BF:BF)</f>
        <v>0</v>
      </c>
      <c r="L173" s="800">
        <f>SUMIF(Planned_capex_starting_position!$AF:$AF,$A173,Planned_capex_starting_position!BG:BG)</f>
        <v>0</v>
      </c>
      <c r="M173" s="800">
        <f>SUMIF(Planned_capex_starting_position!$AF:$AF,$A173,Planned_capex_starting_position!BH:BH)</f>
        <v>0</v>
      </c>
      <c r="N173" s="800">
        <f>SUMIF(Planned_capex_starting_position!$AF:$AF,$A173,Planned_capex_starting_position!BI:BI)</f>
        <v>0</v>
      </c>
      <c r="O173" s="800">
        <f t="shared" si="2"/>
        <v>0</v>
      </c>
      <c r="P173" s="41"/>
      <c r="T173" s="29"/>
      <c r="U173" s="29"/>
      <c r="Y173" s="29"/>
      <c r="Z173" s="29"/>
      <c r="AA173" s="29"/>
      <c r="AB173" s="29"/>
      <c r="AC173" s="29"/>
      <c r="AD173" s="29"/>
      <c r="AE173" s="29"/>
      <c r="AF173" s="29"/>
      <c r="AG173" s="29"/>
      <c r="AH173" s="29"/>
      <c r="AI173" s="29"/>
      <c r="AJ173" s="29"/>
    </row>
    <row r="174" spans="1:36" customFormat="1" hidden="1">
      <c r="A174" s="35" t="s">
        <v>2824</v>
      </c>
      <c r="B174" s="31" t="s">
        <v>1055</v>
      </c>
      <c r="C174" s="31" t="str">
        <f>VLOOKUP($A174,FA_Codes!$D$2:$G$249,4,FALSE)</f>
        <v>Rural South</v>
      </c>
      <c r="D174" s="800">
        <v>0</v>
      </c>
      <c r="E174" s="800">
        <f>SUMIF(Planned_capex_starting_position!$AF:$AF,$A174,Planned_capex_starting_position!AZ:AZ)</f>
        <v>0</v>
      </c>
      <c r="F174" s="800">
        <f>SUMIF(Planned_capex_starting_position!$AF:$AF,$A174,Planned_capex_starting_position!BA:BA)</f>
        <v>0</v>
      </c>
      <c r="G174" s="800">
        <f>SUMIF(Planned_capex_starting_position!$AF:$AF,$A174,Planned_capex_starting_position!BB:BB)</f>
        <v>0</v>
      </c>
      <c r="H174" s="800">
        <f>SUMIF(Planned_capex_starting_position!$AF:$AF,$A174,Planned_capex_starting_position!BC:BC)</f>
        <v>0</v>
      </c>
      <c r="I174" s="800">
        <f>SUMIF(Planned_capex_starting_position!$AF:$AF,$A174,Planned_capex_starting_position!BD:BD)</f>
        <v>0</v>
      </c>
      <c r="J174" s="800">
        <f>SUMIF(Planned_capex_starting_position!$AF:$AF,$A174,Planned_capex_starting_position!BE:BE)</f>
        <v>0</v>
      </c>
      <c r="K174" s="800">
        <f>SUMIF(Planned_capex_starting_position!$AF:$AF,$A174,Planned_capex_starting_position!BF:BF)</f>
        <v>0</v>
      </c>
      <c r="L174" s="800">
        <f>SUMIF(Planned_capex_starting_position!$AF:$AF,$A174,Planned_capex_starting_position!BG:BG)</f>
        <v>0</v>
      </c>
      <c r="M174" s="800">
        <f>SUMIF(Planned_capex_starting_position!$AF:$AF,$A174,Planned_capex_starting_position!BH:BH)</f>
        <v>0</v>
      </c>
      <c r="N174" s="800">
        <f>SUMIF(Planned_capex_starting_position!$AF:$AF,$A174,Planned_capex_starting_position!BI:BI)</f>
        <v>0</v>
      </c>
      <c r="O174" s="800">
        <f t="shared" si="2"/>
        <v>0</v>
      </c>
      <c r="P174" s="41"/>
      <c r="T174" s="29"/>
      <c r="U174" s="29"/>
      <c r="Y174" s="29"/>
      <c r="Z174" s="29"/>
      <c r="AA174" s="29"/>
      <c r="AB174" s="29"/>
      <c r="AC174" s="29"/>
      <c r="AD174" s="29"/>
      <c r="AE174" s="29"/>
      <c r="AF174" s="29"/>
      <c r="AG174" s="29"/>
      <c r="AH174" s="29"/>
      <c r="AI174" s="29"/>
      <c r="AJ174" s="29"/>
    </row>
    <row r="175" spans="1:36" customFormat="1" hidden="1">
      <c r="A175" s="35" t="s">
        <v>2825</v>
      </c>
      <c r="B175" s="31" t="s">
        <v>1055</v>
      </c>
      <c r="C175" s="31" t="str">
        <f>VLOOKUP($A175,FA_Codes!$D$2:$G$249,4,FALSE)</f>
        <v>Area 16</v>
      </c>
      <c r="D175" s="800">
        <v>0</v>
      </c>
      <c r="E175" s="800">
        <f>SUMIF(Planned_capex_starting_position!$AF:$AF,$A175,Planned_capex_starting_position!AZ:AZ)</f>
        <v>0</v>
      </c>
      <c r="F175" s="800">
        <f>SUMIF(Planned_capex_starting_position!$AF:$AF,$A175,Planned_capex_starting_position!BA:BA)</f>
        <v>0</v>
      </c>
      <c r="G175" s="800">
        <f>SUMIF(Planned_capex_starting_position!$AF:$AF,$A175,Planned_capex_starting_position!BB:BB)</f>
        <v>0</v>
      </c>
      <c r="H175" s="800">
        <f>SUMIF(Planned_capex_starting_position!$AF:$AF,$A175,Planned_capex_starting_position!BC:BC)</f>
        <v>0</v>
      </c>
      <c r="I175" s="800">
        <f>SUMIF(Planned_capex_starting_position!$AF:$AF,$A175,Planned_capex_starting_position!BD:BD)</f>
        <v>0</v>
      </c>
      <c r="J175" s="800">
        <f>SUMIF(Planned_capex_starting_position!$AF:$AF,$A175,Planned_capex_starting_position!BE:BE)</f>
        <v>0</v>
      </c>
      <c r="K175" s="800">
        <f>SUMIF(Planned_capex_starting_position!$AF:$AF,$A175,Planned_capex_starting_position!BF:BF)</f>
        <v>0</v>
      </c>
      <c r="L175" s="800">
        <f>SUMIF(Planned_capex_starting_position!$AF:$AF,$A175,Planned_capex_starting_position!BG:BG)</f>
        <v>0</v>
      </c>
      <c r="M175" s="800">
        <f>SUMIF(Planned_capex_starting_position!$AF:$AF,$A175,Planned_capex_starting_position!BH:BH)</f>
        <v>0</v>
      </c>
      <c r="N175" s="800">
        <f>SUMIF(Planned_capex_starting_position!$AF:$AF,$A175,Planned_capex_starting_position!BI:BI)</f>
        <v>0</v>
      </c>
      <c r="O175" s="800">
        <f t="shared" si="2"/>
        <v>0</v>
      </c>
      <c r="P175" s="41"/>
      <c r="T175" s="29"/>
      <c r="U175" s="29"/>
      <c r="Y175" s="29"/>
      <c r="Z175" s="29"/>
      <c r="AA175" s="29"/>
      <c r="AB175" s="29"/>
      <c r="AC175" s="29"/>
      <c r="AD175" s="29"/>
      <c r="AE175" s="29"/>
      <c r="AF175" s="29"/>
      <c r="AG175" s="29"/>
      <c r="AH175" s="29"/>
      <c r="AI175" s="29"/>
      <c r="AJ175" s="29"/>
    </row>
    <row r="176" spans="1:36" customFormat="1" hidden="1">
      <c r="A176" s="35" t="s">
        <v>2826</v>
      </c>
      <c r="B176" s="31" t="s">
        <v>1055</v>
      </c>
      <c r="C176" s="31" t="str">
        <f>VLOOKUP($A176,FA_Codes!$D$2:$G$249,4,FALSE)</f>
        <v>Mt Roskill AHP</v>
      </c>
      <c r="D176" s="800">
        <v>0</v>
      </c>
      <c r="E176" s="800">
        <f>SUMIF(Planned_capex_starting_position!$AF:$AF,$A176,Planned_capex_starting_position!AZ:AZ)</f>
        <v>0</v>
      </c>
      <c r="F176" s="800">
        <f>SUMIF(Planned_capex_starting_position!$AF:$AF,$A176,Planned_capex_starting_position!BA:BA)</f>
        <v>0</v>
      </c>
      <c r="G176" s="800">
        <f>SUMIF(Planned_capex_starting_position!$AF:$AF,$A176,Planned_capex_starting_position!BB:BB)</f>
        <v>0</v>
      </c>
      <c r="H176" s="800">
        <f>SUMIF(Planned_capex_starting_position!$AF:$AF,$A176,Planned_capex_starting_position!BC:BC)</f>
        <v>0</v>
      </c>
      <c r="I176" s="800">
        <f>SUMIF(Planned_capex_starting_position!$AF:$AF,$A176,Planned_capex_starting_position!BD:BD)</f>
        <v>0</v>
      </c>
      <c r="J176" s="800">
        <f>SUMIF(Planned_capex_starting_position!$AF:$AF,$A176,Planned_capex_starting_position!BE:BE)</f>
        <v>0</v>
      </c>
      <c r="K176" s="800">
        <f>SUMIF(Planned_capex_starting_position!$AF:$AF,$A176,Planned_capex_starting_position!BF:BF)</f>
        <v>0</v>
      </c>
      <c r="L176" s="800">
        <f>SUMIF(Planned_capex_starting_position!$AF:$AF,$A176,Planned_capex_starting_position!BG:BG)</f>
        <v>0</v>
      </c>
      <c r="M176" s="800">
        <f>SUMIF(Planned_capex_starting_position!$AF:$AF,$A176,Planned_capex_starting_position!BH:BH)</f>
        <v>0</v>
      </c>
      <c r="N176" s="800">
        <f>SUMIF(Planned_capex_starting_position!$AF:$AF,$A176,Planned_capex_starting_position!BI:BI)</f>
        <v>0</v>
      </c>
      <c r="O176" s="800">
        <f t="shared" si="2"/>
        <v>0</v>
      </c>
      <c r="P176" s="41"/>
      <c r="T176" s="29"/>
      <c r="U176" s="29"/>
      <c r="Y176" s="29"/>
      <c r="Z176" s="29"/>
      <c r="AA176" s="29"/>
      <c r="AB176" s="29"/>
      <c r="AC176" s="29"/>
      <c r="AD176" s="29"/>
      <c r="AE176" s="29"/>
      <c r="AF176" s="29"/>
      <c r="AG176" s="29"/>
      <c r="AH176" s="29"/>
      <c r="AI176" s="29"/>
      <c r="AJ176" s="29"/>
    </row>
    <row r="177" spans="1:36" customFormat="1" hidden="1">
      <c r="A177" s="35" t="s">
        <v>2827</v>
      </c>
      <c r="B177" s="31" t="s">
        <v>1055</v>
      </c>
      <c r="C177" s="31" t="str">
        <f>VLOOKUP($A177,FA_Codes!$D$2:$G$249,4,FALSE)</f>
        <v>Mangere AHP</v>
      </c>
      <c r="D177" s="800">
        <v>0</v>
      </c>
      <c r="E177" s="800">
        <f>SUMIF(Planned_capex_starting_position!$AF:$AF,$A177,Planned_capex_starting_position!AZ:AZ)</f>
        <v>0</v>
      </c>
      <c r="F177" s="800">
        <f>SUMIF(Planned_capex_starting_position!$AF:$AF,$A177,Planned_capex_starting_position!BA:BA)</f>
        <v>0</v>
      </c>
      <c r="G177" s="800">
        <f>SUMIF(Planned_capex_starting_position!$AF:$AF,$A177,Planned_capex_starting_position!BB:BB)</f>
        <v>0</v>
      </c>
      <c r="H177" s="800">
        <f>SUMIF(Planned_capex_starting_position!$AF:$AF,$A177,Planned_capex_starting_position!BC:BC)</f>
        <v>0</v>
      </c>
      <c r="I177" s="800">
        <f>SUMIF(Planned_capex_starting_position!$AF:$AF,$A177,Planned_capex_starting_position!BD:BD)</f>
        <v>0</v>
      </c>
      <c r="J177" s="800">
        <f>SUMIF(Planned_capex_starting_position!$AF:$AF,$A177,Planned_capex_starting_position!BE:BE)</f>
        <v>0</v>
      </c>
      <c r="K177" s="800">
        <f>SUMIF(Planned_capex_starting_position!$AF:$AF,$A177,Planned_capex_starting_position!BF:BF)</f>
        <v>0</v>
      </c>
      <c r="L177" s="800">
        <f>SUMIF(Planned_capex_starting_position!$AF:$AF,$A177,Planned_capex_starting_position!BG:BG)</f>
        <v>0</v>
      </c>
      <c r="M177" s="800">
        <f>SUMIF(Planned_capex_starting_position!$AF:$AF,$A177,Planned_capex_starting_position!BH:BH)</f>
        <v>0</v>
      </c>
      <c r="N177" s="800">
        <f>SUMIF(Planned_capex_starting_position!$AF:$AF,$A177,Planned_capex_starting_position!BI:BI)</f>
        <v>0</v>
      </c>
      <c r="O177" s="800">
        <f t="shared" si="2"/>
        <v>0</v>
      </c>
      <c r="P177" s="41"/>
      <c r="T177" s="29"/>
      <c r="U177" s="29"/>
      <c r="Y177" s="29"/>
      <c r="Z177" s="29"/>
      <c r="AA177" s="29"/>
      <c r="AB177" s="29"/>
      <c r="AC177" s="29"/>
      <c r="AD177" s="29"/>
      <c r="AE177" s="29"/>
      <c r="AF177" s="29"/>
      <c r="AG177" s="29"/>
      <c r="AH177" s="29"/>
      <c r="AI177" s="29"/>
      <c r="AJ177" s="29"/>
    </row>
    <row r="178" spans="1:36" customFormat="1" hidden="1">
      <c r="A178" s="35" t="s">
        <v>2830</v>
      </c>
      <c r="B178" s="31" t="s">
        <v>1055</v>
      </c>
      <c r="C178" s="31" t="str">
        <f>VLOOKUP($A178,FA_Codes!$D$2:$G$249,4,FALSE)</f>
        <v>Northwest  - Redhills</v>
      </c>
      <c r="D178" s="800">
        <v>0</v>
      </c>
      <c r="E178" s="800">
        <f>SUMIF(Planned_capex_starting_position!$AF:$AF,$A178,Planned_capex_starting_position!AZ:AZ)</f>
        <v>0</v>
      </c>
      <c r="F178" s="800">
        <f>SUMIF(Planned_capex_starting_position!$AF:$AF,$A178,Planned_capex_starting_position!BA:BA)</f>
        <v>0</v>
      </c>
      <c r="G178" s="800">
        <f>SUMIF(Planned_capex_starting_position!$AF:$AF,$A178,Planned_capex_starting_position!BB:BB)</f>
        <v>0</v>
      </c>
      <c r="H178" s="800">
        <f>SUMIF(Planned_capex_starting_position!$AF:$AF,$A178,Planned_capex_starting_position!BC:BC)</f>
        <v>0</v>
      </c>
      <c r="I178" s="800">
        <f>SUMIF(Planned_capex_starting_position!$AF:$AF,$A178,Planned_capex_starting_position!BD:BD)</f>
        <v>0</v>
      </c>
      <c r="J178" s="800">
        <f>SUMIF(Planned_capex_starting_position!$AF:$AF,$A178,Planned_capex_starting_position!BE:BE)</f>
        <v>0</v>
      </c>
      <c r="K178" s="800">
        <f>SUMIF(Planned_capex_starting_position!$AF:$AF,$A178,Planned_capex_starting_position!BF:BF)</f>
        <v>0</v>
      </c>
      <c r="L178" s="800">
        <f>SUMIF(Planned_capex_starting_position!$AF:$AF,$A178,Planned_capex_starting_position!BG:BG)</f>
        <v>0</v>
      </c>
      <c r="M178" s="800">
        <f>SUMIF(Planned_capex_starting_position!$AF:$AF,$A178,Planned_capex_starting_position!BH:BH)</f>
        <v>0</v>
      </c>
      <c r="N178" s="800">
        <f>SUMIF(Planned_capex_starting_position!$AF:$AF,$A178,Planned_capex_starting_position!BI:BI)</f>
        <v>0</v>
      </c>
      <c r="O178" s="800">
        <f t="shared" si="2"/>
        <v>0</v>
      </c>
      <c r="P178" s="41"/>
      <c r="T178" s="29"/>
      <c r="U178" s="29"/>
      <c r="Y178" s="29"/>
      <c r="Z178" s="29"/>
      <c r="AA178" s="29"/>
      <c r="AB178" s="29"/>
      <c r="AC178" s="29"/>
      <c r="AD178" s="29"/>
      <c r="AE178" s="29"/>
      <c r="AF178" s="29"/>
      <c r="AG178" s="29"/>
      <c r="AH178" s="29"/>
      <c r="AI178" s="29"/>
      <c r="AJ178" s="29"/>
    </row>
    <row r="179" spans="1:36" customFormat="1" hidden="1">
      <c r="A179" s="35" t="s">
        <v>2831</v>
      </c>
      <c r="B179" s="31" t="s">
        <v>1055</v>
      </c>
      <c r="C179" s="31" t="str">
        <f>VLOOKUP($A179,FA_Codes!$D$2:$G$249,4,FALSE)</f>
        <v>Northwest  - Whenuapai</v>
      </c>
      <c r="D179" s="800">
        <v>0</v>
      </c>
      <c r="E179" s="800">
        <f>SUMIF(Planned_capex_starting_position!$AF:$AF,$A179,Planned_capex_starting_position!AZ:AZ)</f>
        <v>0</v>
      </c>
      <c r="F179" s="800">
        <f>SUMIF(Planned_capex_starting_position!$AF:$AF,$A179,Planned_capex_starting_position!BA:BA)</f>
        <v>0</v>
      </c>
      <c r="G179" s="800">
        <f>SUMIF(Planned_capex_starting_position!$AF:$AF,$A179,Planned_capex_starting_position!BB:BB)</f>
        <v>0</v>
      </c>
      <c r="H179" s="800">
        <f>SUMIF(Planned_capex_starting_position!$AF:$AF,$A179,Planned_capex_starting_position!BC:BC)</f>
        <v>0</v>
      </c>
      <c r="I179" s="800">
        <f>SUMIF(Planned_capex_starting_position!$AF:$AF,$A179,Planned_capex_starting_position!BD:BD)</f>
        <v>0</v>
      </c>
      <c r="J179" s="800">
        <f>SUMIF(Planned_capex_starting_position!$AF:$AF,$A179,Planned_capex_starting_position!BE:BE)</f>
        <v>0</v>
      </c>
      <c r="K179" s="800">
        <f>SUMIF(Planned_capex_starting_position!$AF:$AF,$A179,Planned_capex_starting_position!BF:BF)</f>
        <v>0</v>
      </c>
      <c r="L179" s="800">
        <f>SUMIF(Planned_capex_starting_position!$AF:$AF,$A179,Planned_capex_starting_position!BG:BG)</f>
        <v>0</v>
      </c>
      <c r="M179" s="800">
        <f>SUMIF(Planned_capex_starting_position!$AF:$AF,$A179,Planned_capex_starting_position!BH:BH)</f>
        <v>0</v>
      </c>
      <c r="N179" s="800">
        <f>SUMIF(Planned_capex_starting_position!$AF:$AF,$A179,Planned_capex_starting_position!BI:BI)</f>
        <v>0</v>
      </c>
      <c r="O179" s="800">
        <f t="shared" ref="O179:O218" si="3">SUM(D179,E179:N179)</f>
        <v>0</v>
      </c>
      <c r="P179" s="41"/>
      <c r="T179" s="29"/>
      <c r="U179" s="29"/>
      <c r="Y179" s="29"/>
      <c r="Z179" s="29"/>
      <c r="AA179" s="29"/>
      <c r="AB179" s="29"/>
      <c r="AC179" s="29"/>
      <c r="AD179" s="29"/>
      <c r="AE179" s="29"/>
      <c r="AF179" s="29"/>
      <c r="AG179" s="29"/>
      <c r="AH179" s="29"/>
      <c r="AI179" s="29"/>
      <c r="AJ179" s="29"/>
    </row>
    <row r="180" spans="1:36" customFormat="1" hidden="1">
      <c r="A180" s="35" t="s">
        <v>2839</v>
      </c>
      <c r="B180" s="31" t="s">
        <v>1055</v>
      </c>
      <c r="C180" s="58"/>
      <c r="D180" s="800">
        <v>0</v>
      </c>
      <c r="E180" s="800">
        <f>SUMIF(Planned_capex_starting_position!$AF:$AF,$A180,Planned_capex_starting_position!AZ:AZ)</f>
        <v>0</v>
      </c>
      <c r="F180" s="800">
        <f>SUMIF(Planned_capex_starting_position!$AF:$AF,$A180,Planned_capex_starting_position!BA:BA)</f>
        <v>0</v>
      </c>
      <c r="G180" s="800">
        <f>SUMIF(Planned_capex_starting_position!$AF:$AF,$A180,Planned_capex_starting_position!BB:BB)</f>
        <v>0</v>
      </c>
      <c r="H180" s="800">
        <f>SUMIF(Planned_capex_starting_position!$AF:$AF,$A180,Planned_capex_starting_position!BC:BC)</f>
        <v>0</v>
      </c>
      <c r="I180" s="800">
        <f>SUMIF(Planned_capex_starting_position!$AF:$AF,$A180,Planned_capex_starting_position!BD:BD)</f>
        <v>0</v>
      </c>
      <c r="J180" s="800">
        <f>SUMIF(Planned_capex_starting_position!$AF:$AF,$A180,Planned_capex_starting_position!BE:BE)</f>
        <v>0</v>
      </c>
      <c r="K180" s="800">
        <f>SUMIF(Planned_capex_starting_position!$AF:$AF,$A180,Planned_capex_starting_position!BF:BF)</f>
        <v>0</v>
      </c>
      <c r="L180" s="800">
        <f>SUMIF(Planned_capex_starting_position!$AF:$AF,$A180,Planned_capex_starting_position!BG:BG)</f>
        <v>0</v>
      </c>
      <c r="M180" s="800">
        <f>SUMIF(Planned_capex_starting_position!$AF:$AF,$A180,Planned_capex_starting_position!BH:BH)</f>
        <v>0</v>
      </c>
      <c r="N180" s="800">
        <f>SUMIF(Planned_capex_starting_position!$AF:$AF,$A180,Planned_capex_starting_position!BI:BI)</f>
        <v>0</v>
      </c>
      <c r="O180" s="800">
        <f t="shared" si="3"/>
        <v>0</v>
      </c>
      <c r="P180" s="41"/>
      <c r="T180" s="29"/>
      <c r="U180" s="29"/>
      <c r="Y180" s="29"/>
      <c r="Z180" s="29"/>
      <c r="AA180" s="29"/>
      <c r="AB180" s="29"/>
      <c r="AC180" s="29"/>
      <c r="AD180" s="29"/>
      <c r="AE180" s="29"/>
      <c r="AF180" s="29"/>
      <c r="AG180" s="29"/>
      <c r="AH180" s="29"/>
      <c r="AI180" s="29"/>
      <c r="AJ180" s="29"/>
    </row>
    <row r="181" spans="1:36" customFormat="1" hidden="1">
      <c r="A181" s="35" t="s">
        <v>2840</v>
      </c>
      <c r="B181" s="31" t="s">
        <v>1055</v>
      </c>
      <c r="C181" s="58"/>
      <c r="D181" s="800">
        <v>0</v>
      </c>
      <c r="E181" s="800">
        <f>SUMIF(Planned_capex_starting_position!$AF:$AF,$A181,Planned_capex_starting_position!AZ:AZ)</f>
        <v>0</v>
      </c>
      <c r="F181" s="800">
        <f>SUMIF(Planned_capex_starting_position!$AF:$AF,$A181,Planned_capex_starting_position!BA:BA)</f>
        <v>0</v>
      </c>
      <c r="G181" s="800">
        <f>SUMIF(Planned_capex_starting_position!$AF:$AF,$A181,Planned_capex_starting_position!BB:BB)</f>
        <v>0</v>
      </c>
      <c r="H181" s="800">
        <f>SUMIF(Planned_capex_starting_position!$AF:$AF,$A181,Planned_capex_starting_position!BC:BC)</f>
        <v>0</v>
      </c>
      <c r="I181" s="800">
        <f>SUMIF(Planned_capex_starting_position!$AF:$AF,$A181,Planned_capex_starting_position!BD:BD)</f>
        <v>0</v>
      </c>
      <c r="J181" s="800">
        <f>SUMIF(Planned_capex_starting_position!$AF:$AF,$A181,Planned_capex_starting_position!BE:BE)</f>
        <v>0</v>
      </c>
      <c r="K181" s="800">
        <f>SUMIF(Planned_capex_starting_position!$AF:$AF,$A181,Planned_capex_starting_position!BF:BF)</f>
        <v>0</v>
      </c>
      <c r="L181" s="800">
        <f>SUMIF(Planned_capex_starting_position!$AF:$AF,$A181,Planned_capex_starting_position!BG:BG)</f>
        <v>0</v>
      </c>
      <c r="M181" s="800">
        <f>SUMIF(Planned_capex_starting_position!$AF:$AF,$A181,Planned_capex_starting_position!BH:BH)</f>
        <v>0</v>
      </c>
      <c r="N181" s="800">
        <f>SUMIF(Planned_capex_starting_position!$AF:$AF,$A181,Planned_capex_starting_position!BI:BI)</f>
        <v>0</v>
      </c>
      <c r="O181" s="800">
        <f t="shared" si="3"/>
        <v>0</v>
      </c>
      <c r="P181" s="41"/>
      <c r="T181" s="29"/>
      <c r="U181" s="29"/>
      <c r="Y181" s="29"/>
      <c r="Z181" s="29"/>
      <c r="AA181" s="29"/>
      <c r="AB181" s="29"/>
      <c r="AC181" s="29"/>
      <c r="AD181" s="29"/>
      <c r="AE181" s="29"/>
      <c r="AF181" s="29"/>
      <c r="AG181" s="29"/>
      <c r="AH181" s="29"/>
      <c r="AI181" s="29"/>
      <c r="AJ181" s="29"/>
    </row>
    <row r="182" spans="1:36" customFormat="1" hidden="1">
      <c r="A182" s="35" t="s">
        <v>2841</v>
      </c>
      <c r="B182" s="31" t="s">
        <v>1055</v>
      </c>
      <c r="C182" s="58"/>
      <c r="D182" s="800">
        <v>0</v>
      </c>
      <c r="E182" s="800">
        <f>SUMIF(Planned_capex_starting_position!$AF:$AF,$A182,Planned_capex_starting_position!AZ:AZ)</f>
        <v>0</v>
      </c>
      <c r="F182" s="800">
        <f>SUMIF(Planned_capex_starting_position!$AF:$AF,$A182,Planned_capex_starting_position!BA:BA)</f>
        <v>0</v>
      </c>
      <c r="G182" s="800">
        <f>SUMIF(Planned_capex_starting_position!$AF:$AF,$A182,Planned_capex_starting_position!BB:BB)</f>
        <v>0</v>
      </c>
      <c r="H182" s="800">
        <f>SUMIF(Planned_capex_starting_position!$AF:$AF,$A182,Planned_capex_starting_position!BC:BC)</f>
        <v>0</v>
      </c>
      <c r="I182" s="800">
        <f>SUMIF(Planned_capex_starting_position!$AF:$AF,$A182,Planned_capex_starting_position!BD:BD)</f>
        <v>0</v>
      </c>
      <c r="J182" s="800">
        <f>SUMIF(Planned_capex_starting_position!$AF:$AF,$A182,Planned_capex_starting_position!BE:BE)</f>
        <v>0</v>
      </c>
      <c r="K182" s="800">
        <f>SUMIF(Planned_capex_starting_position!$AF:$AF,$A182,Planned_capex_starting_position!BF:BF)</f>
        <v>0</v>
      </c>
      <c r="L182" s="800">
        <f>SUMIF(Planned_capex_starting_position!$AF:$AF,$A182,Planned_capex_starting_position!BG:BG)</f>
        <v>0</v>
      </c>
      <c r="M182" s="800">
        <f>SUMIF(Planned_capex_starting_position!$AF:$AF,$A182,Planned_capex_starting_position!BH:BH)</f>
        <v>0</v>
      </c>
      <c r="N182" s="800">
        <f>SUMIF(Planned_capex_starting_position!$AF:$AF,$A182,Planned_capex_starting_position!BI:BI)</f>
        <v>0</v>
      </c>
      <c r="O182" s="800">
        <f t="shared" si="3"/>
        <v>0</v>
      </c>
      <c r="P182" s="41"/>
      <c r="T182" s="29"/>
      <c r="U182" s="29"/>
      <c r="Y182" s="29"/>
      <c r="Z182" s="29"/>
      <c r="AA182" s="29"/>
      <c r="AB182" s="29"/>
      <c r="AC182" s="29"/>
      <c r="AD182" s="29"/>
      <c r="AE182" s="29"/>
      <c r="AF182" s="29"/>
      <c r="AG182" s="29"/>
      <c r="AH182" s="29"/>
      <c r="AI182" s="29"/>
      <c r="AJ182" s="29"/>
    </row>
    <row r="183" spans="1:36" customFormat="1" hidden="1">
      <c r="A183" s="22" t="s">
        <v>2842</v>
      </c>
      <c r="B183" s="31" t="s">
        <v>1205</v>
      </c>
      <c r="C183" s="31" t="str">
        <f>VLOOKUP($A183,FA_Codes!$D$2:$G$249,4,FALSE)</f>
        <v>Auckland wide</v>
      </c>
      <c r="D183" s="800">
        <v>0</v>
      </c>
      <c r="E183" s="800">
        <f>SUMIF(Planned_capex_starting_position!$AF:$AF,$A183,Planned_capex_starting_position!AZ:AZ)</f>
        <v>0</v>
      </c>
      <c r="F183" s="800">
        <f>SUMIF(Planned_capex_starting_position!$AF:$AF,$A183,Planned_capex_starting_position!BA:BA)</f>
        <v>0</v>
      </c>
      <c r="G183" s="800">
        <f>SUMIF(Planned_capex_starting_position!$AF:$AF,$A183,Planned_capex_starting_position!BB:BB)</f>
        <v>0</v>
      </c>
      <c r="H183" s="800">
        <f>SUMIF(Planned_capex_starting_position!$AF:$AF,$A183,Planned_capex_starting_position!BC:BC)</f>
        <v>0</v>
      </c>
      <c r="I183" s="800">
        <f>SUMIF(Planned_capex_starting_position!$AF:$AF,$A183,Planned_capex_starting_position!BD:BD)</f>
        <v>0</v>
      </c>
      <c r="J183" s="800">
        <f>SUMIF(Planned_capex_starting_position!$AF:$AF,$A183,Planned_capex_starting_position!BE:BE)</f>
        <v>0</v>
      </c>
      <c r="K183" s="800">
        <f>SUMIF(Planned_capex_starting_position!$AF:$AF,$A183,Planned_capex_starting_position!BF:BF)</f>
        <v>0</v>
      </c>
      <c r="L183" s="800">
        <f>SUMIF(Planned_capex_starting_position!$AF:$AF,$A183,Planned_capex_starting_position!BG:BG)</f>
        <v>0</v>
      </c>
      <c r="M183" s="800">
        <f>SUMIF(Planned_capex_starting_position!$AF:$AF,$A183,Planned_capex_starting_position!BH:BH)</f>
        <v>0</v>
      </c>
      <c r="N183" s="800">
        <f>SUMIF(Planned_capex_starting_position!$AF:$AF,$A183,Planned_capex_starting_position!BI:BI)</f>
        <v>0</v>
      </c>
      <c r="O183" s="800">
        <f t="shared" si="3"/>
        <v>0</v>
      </c>
      <c r="P183" s="41"/>
    </row>
    <row r="184" spans="1:36" customFormat="1" hidden="1">
      <c r="A184" s="22" t="s">
        <v>2843</v>
      </c>
      <c r="B184" s="31" t="s">
        <v>1205</v>
      </c>
      <c r="C184" s="31"/>
      <c r="D184" s="800">
        <v>0</v>
      </c>
      <c r="E184" s="800">
        <f>SUMIF(Planned_capex_starting_position!$AF:$AF,$A184,Planned_capex_starting_position!AZ:AZ)</f>
        <v>0</v>
      </c>
      <c r="F184" s="800">
        <f>SUMIF(Planned_capex_starting_position!$AF:$AF,$A184,Planned_capex_starting_position!BA:BA)</f>
        <v>0</v>
      </c>
      <c r="G184" s="800">
        <f>SUMIF(Planned_capex_starting_position!$AF:$AF,$A184,Planned_capex_starting_position!BB:BB)</f>
        <v>0</v>
      </c>
      <c r="H184" s="800">
        <f>SUMIF(Planned_capex_starting_position!$AF:$AF,$A184,Planned_capex_starting_position!BC:BC)</f>
        <v>0</v>
      </c>
      <c r="I184" s="800">
        <f>SUMIF(Planned_capex_starting_position!$AF:$AF,$A184,Planned_capex_starting_position!BD:BD)</f>
        <v>0</v>
      </c>
      <c r="J184" s="800">
        <f>SUMIF(Planned_capex_starting_position!$AF:$AF,$A184,Planned_capex_starting_position!BE:BE)</f>
        <v>0</v>
      </c>
      <c r="K184" s="800">
        <f>SUMIF(Planned_capex_starting_position!$AF:$AF,$A184,Planned_capex_starting_position!BF:BF)</f>
        <v>0</v>
      </c>
      <c r="L184" s="800">
        <f>SUMIF(Planned_capex_starting_position!$AF:$AF,$A184,Planned_capex_starting_position!BG:BG)</f>
        <v>0</v>
      </c>
      <c r="M184" s="800">
        <f>SUMIF(Planned_capex_starting_position!$AF:$AF,$A184,Planned_capex_starting_position!BH:BH)</f>
        <v>0</v>
      </c>
      <c r="N184" s="800">
        <f>SUMIF(Planned_capex_starting_position!$AF:$AF,$A184,Planned_capex_starting_position!BI:BI)</f>
        <v>0</v>
      </c>
      <c r="O184" s="800">
        <f t="shared" si="3"/>
        <v>0</v>
      </c>
      <c r="P184" s="41"/>
    </row>
    <row r="185" spans="1:36" customFormat="1" hidden="1">
      <c r="A185" s="22" t="s">
        <v>2844</v>
      </c>
      <c r="B185" s="31" t="s">
        <v>1205</v>
      </c>
      <c r="C185" s="31"/>
      <c r="D185" s="800">
        <v>0</v>
      </c>
      <c r="E185" s="800">
        <f>SUMIF(Planned_capex_starting_position!$AF:$AF,$A185,Planned_capex_starting_position!AZ:AZ)</f>
        <v>0</v>
      </c>
      <c r="F185" s="800">
        <f>SUMIF(Planned_capex_starting_position!$AF:$AF,$A185,Planned_capex_starting_position!BA:BA)</f>
        <v>0</v>
      </c>
      <c r="G185" s="800">
        <f>SUMIF(Planned_capex_starting_position!$AF:$AF,$A185,Planned_capex_starting_position!BB:BB)</f>
        <v>0</v>
      </c>
      <c r="H185" s="800">
        <f>SUMIF(Planned_capex_starting_position!$AF:$AF,$A185,Planned_capex_starting_position!BC:BC)</f>
        <v>0</v>
      </c>
      <c r="I185" s="800">
        <f>SUMIF(Planned_capex_starting_position!$AF:$AF,$A185,Planned_capex_starting_position!BD:BD)</f>
        <v>0</v>
      </c>
      <c r="J185" s="800">
        <f>SUMIF(Planned_capex_starting_position!$AF:$AF,$A185,Planned_capex_starting_position!BE:BE)</f>
        <v>0</v>
      </c>
      <c r="K185" s="800">
        <f>SUMIF(Planned_capex_starting_position!$AF:$AF,$A185,Planned_capex_starting_position!BF:BF)</f>
        <v>0</v>
      </c>
      <c r="L185" s="800">
        <f>SUMIF(Planned_capex_starting_position!$AF:$AF,$A185,Planned_capex_starting_position!BG:BG)</f>
        <v>0</v>
      </c>
      <c r="M185" s="800">
        <f>SUMIF(Planned_capex_starting_position!$AF:$AF,$A185,Planned_capex_starting_position!BH:BH)</f>
        <v>0</v>
      </c>
      <c r="N185" s="800">
        <f>SUMIF(Planned_capex_starting_position!$AF:$AF,$A185,Planned_capex_starting_position!BI:BI)</f>
        <v>0</v>
      </c>
      <c r="O185" s="800">
        <f t="shared" si="3"/>
        <v>0</v>
      </c>
      <c r="P185" s="41"/>
    </row>
    <row r="186" spans="1:36" customFormat="1" hidden="1">
      <c r="A186" s="22" t="s">
        <v>2845</v>
      </c>
      <c r="B186" s="31" t="s">
        <v>1205</v>
      </c>
      <c r="C186" s="31"/>
      <c r="D186" s="800">
        <v>0</v>
      </c>
      <c r="E186" s="800">
        <f>SUMIF(Planned_capex_starting_position!$AF:$AF,$A186,Planned_capex_starting_position!AZ:AZ)</f>
        <v>0</v>
      </c>
      <c r="F186" s="800">
        <f>SUMIF(Planned_capex_starting_position!$AF:$AF,$A186,Planned_capex_starting_position!BA:BA)</f>
        <v>0</v>
      </c>
      <c r="G186" s="800">
        <f>SUMIF(Planned_capex_starting_position!$AF:$AF,$A186,Planned_capex_starting_position!BB:BB)</f>
        <v>0</v>
      </c>
      <c r="H186" s="800">
        <f>SUMIF(Planned_capex_starting_position!$AF:$AF,$A186,Planned_capex_starting_position!BC:BC)</f>
        <v>0</v>
      </c>
      <c r="I186" s="800">
        <f>SUMIF(Planned_capex_starting_position!$AF:$AF,$A186,Planned_capex_starting_position!BD:BD)</f>
        <v>0</v>
      </c>
      <c r="J186" s="800">
        <f>SUMIF(Planned_capex_starting_position!$AF:$AF,$A186,Planned_capex_starting_position!BE:BE)</f>
        <v>0</v>
      </c>
      <c r="K186" s="800">
        <f>SUMIF(Planned_capex_starting_position!$AF:$AF,$A186,Planned_capex_starting_position!BF:BF)</f>
        <v>0</v>
      </c>
      <c r="L186" s="800">
        <f>SUMIF(Planned_capex_starting_position!$AF:$AF,$A186,Planned_capex_starting_position!BG:BG)</f>
        <v>0</v>
      </c>
      <c r="M186" s="800">
        <f>SUMIF(Planned_capex_starting_position!$AF:$AF,$A186,Planned_capex_starting_position!BH:BH)</f>
        <v>0</v>
      </c>
      <c r="N186" s="800">
        <f>SUMIF(Planned_capex_starting_position!$AF:$AF,$A186,Planned_capex_starting_position!BI:BI)</f>
        <v>0</v>
      </c>
      <c r="O186" s="800">
        <f t="shared" si="3"/>
        <v>0</v>
      </c>
      <c r="P186" s="41"/>
    </row>
    <row r="187" spans="1:36" customFormat="1" hidden="1">
      <c r="A187" s="22" t="s">
        <v>2846</v>
      </c>
      <c r="B187" s="31" t="s">
        <v>1205</v>
      </c>
      <c r="C187" s="31" t="str">
        <f>VLOOKUP($A187,FA_Codes!$D$2:$G$249,4,FALSE)</f>
        <v>Warkworth</v>
      </c>
      <c r="D187" s="800">
        <v>0</v>
      </c>
      <c r="E187" s="800">
        <f>SUMIF(Planned_capex_starting_position!$AF:$AF,$A187,Planned_capex_starting_position!AZ:AZ)</f>
        <v>0</v>
      </c>
      <c r="F187" s="800">
        <f>SUMIF(Planned_capex_starting_position!$AF:$AF,$A187,Planned_capex_starting_position!BA:BA)</f>
        <v>0</v>
      </c>
      <c r="G187" s="800">
        <f>SUMIF(Planned_capex_starting_position!$AF:$AF,$A187,Planned_capex_starting_position!BB:BB)</f>
        <v>0</v>
      </c>
      <c r="H187" s="800">
        <f>SUMIF(Planned_capex_starting_position!$AF:$AF,$A187,Planned_capex_starting_position!BC:BC)</f>
        <v>0</v>
      </c>
      <c r="I187" s="800">
        <f>SUMIF(Planned_capex_starting_position!$AF:$AF,$A187,Planned_capex_starting_position!BD:BD)</f>
        <v>0</v>
      </c>
      <c r="J187" s="800">
        <f>SUMIF(Planned_capex_starting_position!$AF:$AF,$A187,Planned_capex_starting_position!BE:BE)</f>
        <v>0</v>
      </c>
      <c r="K187" s="800">
        <f>SUMIF(Planned_capex_starting_position!$AF:$AF,$A187,Planned_capex_starting_position!BF:BF)</f>
        <v>0</v>
      </c>
      <c r="L187" s="800">
        <f>SUMIF(Planned_capex_starting_position!$AF:$AF,$A187,Planned_capex_starting_position!BG:BG)</f>
        <v>0</v>
      </c>
      <c r="M187" s="800">
        <f>SUMIF(Planned_capex_starting_position!$AF:$AF,$A187,Planned_capex_starting_position!BH:BH)</f>
        <v>0</v>
      </c>
      <c r="N187" s="800">
        <f>SUMIF(Planned_capex_starting_position!$AF:$AF,$A187,Planned_capex_starting_position!BI:BI)</f>
        <v>0</v>
      </c>
      <c r="O187" s="800">
        <f t="shared" si="3"/>
        <v>0</v>
      </c>
      <c r="P187" s="41"/>
    </row>
    <row r="188" spans="1:36" customFormat="1" hidden="1">
      <c r="A188" s="22" t="s">
        <v>2847</v>
      </c>
      <c r="B188" s="31" t="s">
        <v>1205</v>
      </c>
      <c r="C188" s="31" t="str">
        <f>VLOOKUP($A188,FA_Codes!$D$2:$G$249,4,FALSE)</f>
        <v>Dairy Flat</v>
      </c>
      <c r="D188" s="800">
        <v>0</v>
      </c>
      <c r="E188" s="800">
        <f>SUMIF(Planned_capex_starting_position!$AF:$AF,$A188,Planned_capex_starting_position!AZ:AZ)</f>
        <v>0</v>
      </c>
      <c r="F188" s="800">
        <f>SUMIF(Planned_capex_starting_position!$AF:$AF,$A188,Planned_capex_starting_position!BA:BA)</f>
        <v>0</v>
      </c>
      <c r="G188" s="800">
        <f>SUMIF(Planned_capex_starting_position!$AF:$AF,$A188,Planned_capex_starting_position!BB:BB)</f>
        <v>0</v>
      </c>
      <c r="H188" s="800">
        <f>SUMIF(Planned_capex_starting_position!$AF:$AF,$A188,Planned_capex_starting_position!BC:BC)</f>
        <v>0</v>
      </c>
      <c r="I188" s="800">
        <f>SUMIF(Planned_capex_starting_position!$AF:$AF,$A188,Planned_capex_starting_position!BD:BD)</f>
        <v>0</v>
      </c>
      <c r="J188" s="800">
        <f>SUMIF(Planned_capex_starting_position!$AF:$AF,$A188,Planned_capex_starting_position!BE:BE)</f>
        <v>0</v>
      </c>
      <c r="K188" s="800">
        <f>SUMIF(Planned_capex_starting_position!$AF:$AF,$A188,Planned_capex_starting_position!BF:BF)</f>
        <v>0</v>
      </c>
      <c r="L188" s="800">
        <f>SUMIF(Planned_capex_starting_position!$AF:$AF,$A188,Planned_capex_starting_position!BG:BG)</f>
        <v>0</v>
      </c>
      <c r="M188" s="800">
        <f>SUMIF(Planned_capex_starting_position!$AF:$AF,$A188,Planned_capex_starting_position!BH:BH)</f>
        <v>0</v>
      </c>
      <c r="N188" s="800">
        <f>SUMIF(Planned_capex_starting_position!$AF:$AF,$A188,Planned_capex_starting_position!BI:BI)</f>
        <v>0</v>
      </c>
      <c r="O188" s="800">
        <f t="shared" si="3"/>
        <v>0</v>
      </c>
      <c r="P188" s="41"/>
    </row>
    <row r="189" spans="1:36" customFormat="1" hidden="1">
      <c r="A189" s="22" t="s">
        <v>2848</v>
      </c>
      <c r="B189" s="31" t="s">
        <v>1205</v>
      </c>
      <c r="C189" s="31" t="str">
        <f>VLOOKUP($A189,FA_Codes!$D$2:$G$249,4,FALSE)</f>
        <v>Northwest</v>
      </c>
      <c r="D189" s="800">
        <v>0</v>
      </c>
      <c r="E189" s="800">
        <f>SUMIF(Planned_capex_starting_position!$AF:$AF,$A189,Planned_capex_starting_position!AZ:AZ)</f>
        <v>0</v>
      </c>
      <c r="F189" s="800">
        <f>SUMIF(Planned_capex_starting_position!$AF:$AF,$A189,Planned_capex_starting_position!BA:BA)</f>
        <v>0</v>
      </c>
      <c r="G189" s="800">
        <f>SUMIF(Planned_capex_starting_position!$AF:$AF,$A189,Planned_capex_starting_position!BB:BB)</f>
        <v>0</v>
      </c>
      <c r="H189" s="800">
        <f>SUMIF(Planned_capex_starting_position!$AF:$AF,$A189,Planned_capex_starting_position!BC:BC)</f>
        <v>0</v>
      </c>
      <c r="I189" s="800">
        <f>SUMIF(Planned_capex_starting_position!$AF:$AF,$A189,Planned_capex_starting_position!BD:BD)</f>
        <v>0</v>
      </c>
      <c r="J189" s="800">
        <f>SUMIF(Planned_capex_starting_position!$AF:$AF,$A189,Planned_capex_starting_position!BE:BE)</f>
        <v>0</v>
      </c>
      <c r="K189" s="800">
        <f>SUMIF(Planned_capex_starting_position!$AF:$AF,$A189,Planned_capex_starting_position!BF:BF)</f>
        <v>0</v>
      </c>
      <c r="L189" s="800">
        <f>SUMIF(Planned_capex_starting_position!$AF:$AF,$A189,Planned_capex_starting_position!BG:BG)</f>
        <v>0</v>
      </c>
      <c r="M189" s="800">
        <f>SUMIF(Planned_capex_starting_position!$AF:$AF,$A189,Planned_capex_starting_position!BH:BH)</f>
        <v>0</v>
      </c>
      <c r="N189" s="800">
        <f>SUMIF(Planned_capex_starting_position!$AF:$AF,$A189,Planned_capex_starting_position!BI:BI)</f>
        <v>0</v>
      </c>
      <c r="O189" s="800">
        <f t="shared" si="3"/>
        <v>0</v>
      </c>
      <c r="P189" s="41"/>
    </row>
    <row r="190" spans="1:36" customFormat="1" hidden="1">
      <c r="A190" s="22" t="s">
        <v>2849</v>
      </c>
      <c r="B190" s="31" t="s">
        <v>1205</v>
      </c>
      <c r="C190" s="31"/>
      <c r="D190" s="800">
        <v>0</v>
      </c>
      <c r="E190" s="800">
        <f>SUMIF(Planned_capex_starting_position!$AF:$AF,$A190,Planned_capex_starting_position!AZ:AZ)</f>
        <v>0</v>
      </c>
      <c r="F190" s="800">
        <f>SUMIF(Planned_capex_starting_position!$AF:$AF,$A190,Planned_capex_starting_position!BA:BA)</f>
        <v>0</v>
      </c>
      <c r="G190" s="800">
        <f>SUMIF(Planned_capex_starting_position!$AF:$AF,$A190,Planned_capex_starting_position!BB:BB)</f>
        <v>0</v>
      </c>
      <c r="H190" s="800">
        <f>SUMIF(Planned_capex_starting_position!$AF:$AF,$A190,Planned_capex_starting_position!BC:BC)</f>
        <v>0</v>
      </c>
      <c r="I190" s="800">
        <f>SUMIF(Planned_capex_starting_position!$AF:$AF,$A190,Planned_capex_starting_position!BD:BD)</f>
        <v>0</v>
      </c>
      <c r="J190" s="800">
        <f>SUMIF(Planned_capex_starting_position!$AF:$AF,$A190,Planned_capex_starting_position!BE:BE)</f>
        <v>0</v>
      </c>
      <c r="K190" s="800">
        <f>SUMIF(Planned_capex_starting_position!$AF:$AF,$A190,Planned_capex_starting_position!BF:BF)</f>
        <v>0</v>
      </c>
      <c r="L190" s="800">
        <f>SUMIF(Planned_capex_starting_position!$AF:$AF,$A190,Planned_capex_starting_position!BG:BG)</f>
        <v>0</v>
      </c>
      <c r="M190" s="800">
        <f>SUMIF(Planned_capex_starting_position!$AF:$AF,$A190,Planned_capex_starting_position!BH:BH)</f>
        <v>0</v>
      </c>
      <c r="N190" s="800">
        <f>SUMIF(Planned_capex_starting_position!$AF:$AF,$A190,Planned_capex_starting_position!BI:BI)</f>
        <v>0</v>
      </c>
      <c r="O190" s="800">
        <f t="shared" si="3"/>
        <v>0</v>
      </c>
      <c r="P190" s="41"/>
    </row>
    <row r="191" spans="1:36" customFormat="1" hidden="1">
      <c r="A191" s="22" t="s">
        <v>2850</v>
      </c>
      <c r="B191" s="31" t="s">
        <v>1205</v>
      </c>
      <c r="C191" s="31"/>
      <c r="D191" s="800">
        <v>0</v>
      </c>
      <c r="E191" s="800">
        <f>SUMIF(Planned_capex_starting_position!$AF:$AF,$A191,Planned_capex_starting_position!AZ:AZ)</f>
        <v>0</v>
      </c>
      <c r="F191" s="800">
        <f>SUMIF(Planned_capex_starting_position!$AF:$AF,$A191,Planned_capex_starting_position!BA:BA)</f>
        <v>0</v>
      </c>
      <c r="G191" s="800">
        <f>SUMIF(Planned_capex_starting_position!$AF:$AF,$A191,Planned_capex_starting_position!BB:BB)</f>
        <v>0</v>
      </c>
      <c r="H191" s="800">
        <f>SUMIF(Planned_capex_starting_position!$AF:$AF,$A191,Planned_capex_starting_position!BC:BC)</f>
        <v>0</v>
      </c>
      <c r="I191" s="800">
        <f>SUMIF(Planned_capex_starting_position!$AF:$AF,$A191,Planned_capex_starting_position!BD:BD)</f>
        <v>0</v>
      </c>
      <c r="J191" s="800">
        <f>SUMIF(Planned_capex_starting_position!$AF:$AF,$A191,Planned_capex_starting_position!BE:BE)</f>
        <v>0</v>
      </c>
      <c r="K191" s="800">
        <f>SUMIF(Planned_capex_starting_position!$AF:$AF,$A191,Planned_capex_starting_position!BF:BF)</f>
        <v>0</v>
      </c>
      <c r="L191" s="800">
        <f>SUMIF(Planned_capex_starting_position!$AF:$AF,$A191,Planned_capex_starting_position!BG:BG)</f>
        <v>0</v>
      </c>
      <c r="M191" s="800">
        <f>SUMIF(Planned_capex_starting_position!$AF:$AF,$A191,Planned_capex_starting_position!BH:BH)</f>
        <v>0</v>
      </c>
      <c r="N191" s="800">
        <f>SUMIF(Planned_capex_starting_position!$AF:$AF,$A191,Planned_capex_starting_position!BI:BI)</f>
        <v>0</v>
      </c>
      <c r="O191" s="800">
        <f t="shared" si="3"/>
        <v>0</v>
      </c>
      <c r="P191" s="41"/>
    </row>
    <row r="192" spans="1:36" customFormat="1" hidden="1">
      <c r="A192" s="22" t="s">
        <v>2851</v>
      </c>
      <c r="B192" s="31" t="s">
        <v>1205</v>
      </c>
      <c r="C192" s="31" t="str">
        <f>VLOOKUP($A192,FA_Codes!$D$2:$G$249,4,FALSE)</f>
        <v>Flatbush</v>
      </c>
      <c r="D192" s="800">
        <v>0</v>
      </c>
      <c r="E192" s="800">
        <f>SUMIF(Planned_capex_starting_position!$AF:$AF,$A192,Planned_capex_starting_position!AZ:AZ)</f>
        <v>0</v>
      </c>
      <c r="F192" s="800">
        <f>SUMIF(Planned_capex_starting_position!$AF:$AF,$A192,Planned_capex_starting_position!BA:BA)</f>
        <v>0</v>
      </c>
      <c r="G192" s="800">
        <f>SUMIF(Planned_capex_starting_position!$AF:$AF,$A192,Planned_capex_starting_position!BB:BB)</f>
        <v>0</v>
      </c>
      <c r="H192" s="800">
        <f>SUMIF(Planned_capex_starting_position!$AF:$AF,$A192,Planned_capex_starting_position!BC:BC)</f>
        <v>0</v>
      </c>
      <c r="I192" s="800">
        <f>SUMIF(Planned_capex_starting_position!$AF:$AF,$A192,Planned_capex_starting_position!BD:BD)</f>
        <v>0</v>
      </c>
      <c r="J192" s="800">
        <f>SUMIF(Planned_capex_starting_position!$AF:$AF,$A192,Planned_capex_starting_position!BE:BE)</f>
        <v>0</v>
      </c>
      <c r="K192" s="800">
        <f>SUMIF(Planned_capex_starting_position!$AF:$AF,$A192,Planned_capex_starting_position!BF:BF)</f>
        <v>0</v>
      </c>
      <c r="L192" s="800">
        <f>SUMIF(Planned_capex_starting_position!$AF:$AF,$A192,Planned_capex_starting_position!BG:BG)</f>
        <v>0</v>
      </c>
      <c r="M192" s="800">
        <f>SUMIF(Planned_capex_starting_position!$AF:$AF,$A192,Planned_capex_starting_position!BH:BH)</f>
        <v>0</v>
      </c>
      <c r="N192" s="800">
        <f>SUMIF(Planned_capex_starting_position!$AF:$AF,$A192,Planned_capex_starting_position!BI:BI)</f>
        <v>0</v>
      </c>
      <c r="O192" s="800">
        <f t="shared" si="3"/>
        <v>0</v>
      </c>
      <c r="P192" s="41"/>
    </row>
    <row r="193" spans="1:21" customFormat="1" hidden="1">
      <c r="A193" s="22" t="s">
        <v>2852</v>
      </c>
      <c r="B193" s="31" t="s">
        <v>1205</v>
      </c>
      <c r="C193" s="31" t="str">
        <f>VLOOKUP($A193,FA_Codes!$D$2:$G$249,4,FALSE)</f>
        <v>Takanini</v>
      </c>
      <c r="D193" s="800">
        <v>0</v>
      </c>
      <c r="E193" s="800">
        <f>SUMIF(Planned_capex_starting_position!$AF:$AF,$A193,Planned_capex_starting_position!AZ:AZ)</f>
        <v>0</v>
      </c>
      <c r="F193" s="800">
        <f>SUMIF(Planned_capex_starting_position!$AF:$AF,$A193,Planned_capex_starting_position!BA:BA)</f>
        <v>0</v>
      </c>
      <c r="G193" s="800">
        <f>SUMIF(Planned_capex_starting_position!$AF:$AF,$A193,Planned_capex_starting_position!BB:BB)</f>
        <v>0</v>
      </c>
      <c r="H193" s="800">
        <f>SUMIF(Planned_capex_starting_position!$AF:$AF,$A193,Planned_capex_starting_position!BC:BC)</f>
        <v>0</v>
      </c>
      <c r="I193" s="800">
        <f>SUMIF(Planned_capex_starting_position!$AF:$AF,$A193,Planned_capex_starting_position!BD:BD)</f>
        <v>0</v>
      </c>
      <c r="J193" s="800">
        <f>SUMIF(Planned_capex_starting_position!$AF:$AF,$A193,Planned_capex_starting_position!BE:BE)</f>
        <v>0</v>
      </c>
      <c r="K193" s="800">
        <f>SUMIF(Planned_capex_starting_position!$AF:$AF,$A193,Planned_capex_starting_position!BF:BF)</f>
        <v>0</v>
      </c>
      <c r="L193" s="800">
        <f>SUMIF(Planned_capex_starting_position!$AF:$AF,$A193,Planned_capex_starting_position!BG:BG)</f>
        <v>0</v>
      </c>
      <c r="M193" s="800">
        <f>SUMIF(Planned_capex_starting_position!$AF:$AF,$A193,Planned_capex_starting_position!BH:BH)</f>
        <v>0</v>
      </c>
      <c r="N193" s="800">
        <f>SUMIF(Planned_capex_starting_position!$AF:$AF,$A193,Planned_capex_starting_position!BI:BI)</f>
        <v>0</v>
      </c>
      <c r="O193" s="800">
        <f t="shared" si="3"/>
        <v>0</v>
      </c>
      <c r="P193" s="41"/>
    </row>
    <row r="194" spans="1:21" customFormat="1" hidden="1">
      <c r="A194" s="22" t="s">
        <v>2854</v>
      </c>
      <c r="B194" s="31" t="s">
        <v>1205</v>
      </c>
      <c r="C194" s="31" t="str">
        <f>VLOOKUP($A194,FA_Codes!$D$2:$G$249,4,FALSE)</f>
        <v>Hingaia</v>
      </c>
      <c r="D194" s="800">
        <v>0</v>
      </c>
      <c r="E194" s="800">
        <f>SUMIF(Planned_capex_starting_position!$AF:$AF,$A194,Planned_capex_starting_position!AZ:AZ)</f>
        <v>0</v>
      </c>
      <c r="F194" s="800">
        <f>SUMIF(Planned_capex_starting_position!$AF:$AF,$A194,Planned_capex_starting_position!BA:BA)</f>
        <v>0</v>
      </c>
      <c r="G194" s="800">
        <f>SUMIF(Planned_capex_starting_position!$AF:$AF,$A194,Planned_capex_starting_position!BB:BB)</f>
        <v>0</v>
      </c>
      <c r="H194" s="800">
        <f>SUMIF(Planned_capex_starting_position!$AF:$AF,$A194,Planned_capex_starting_position!BC:BC)</f>
        <v>0</v>
      </c>
      <c r="I194" s="800">
        <f>SUMIF(Planned_capex_starting_position!$AF:$AF,$A194,Planned_capex_starting_position!BD:BD)</f>
        <v>0</v>
      </c>
      <c r="J194" s="800">
        <f>SUMIF(Planned_capex_starting_position!$AF:$AF,$A194,Planned_capex_starting_position!BE:BE)</f>
        <v>0</v>
      </c>
      <c r="K194" s="800">
        <f>SUMIF(Planned_capex_starting_position!$AF:$AF,$A194,Planned_capex_starting_position!BF:BF)</f>
        <v>0</v>
      </c>
      <c r="L194" s="800">
        <f>SUMIF(Planned_capex_starting_position!$AF:$AF,$A194,Planned_capex_starting_position!BG:BG)</f>
        <v>0</v>
      </c>
      <c r="M194" s="800">
        <f>SUMIF(Planned_capex_starting_position!$AF:$AF,$A194,Planned_capex_starting_position!BH:BH)</f>
        <v>0</v>
      </c>
      <c r="N194" s="800">
        <f>SUMIF(Planned_capex_starting_position!$AF:$AF,$A194,Planned_capex_starting_position!BI:BI)</f>
        <v>0</v>
      </c>
      <c r="O194" s="800">
        <f t="shared" si="3"/>
        <v>0</v>
      </c>
      <c r="P194" s="41"/>
    </row>
    <row r="195" spans="1:21" customFormat="1" hidden="1">
      <c r="A195" s="22" t="s">
        <v>2855</v>
      </c>
      <c r="B195" s="31" t="s">
        <v>1205</v>
      </c>
      <c r="C195" s="31" t="str">
        <f>VLOOKUP($A195,FA_Codes!$D$2:$G$249,4,FALSE)</f>
        <v>Paerata / Pukekohe</v>
      </c>
      <c r="D195" s="800">
        <v>0</v>
      </c>
      <c r="E195" s="800">
        <f>SUMIF(Planned_capex_starting_position!$AF:$AF,$A195,Planned_capex_starting_position!AZ:AZ)</f>
        <v>0</v>
      </c>
      <c r="F195" s="800">
        <f>SUMIF(Planned_capex_starting_position!$AF:$AF,$A195,Planned_capex_starting_position!BA:BA)</f>
        <v>0</v>
      </c>
      <c r="G195" s="800">
        <f>SUMIF(Planned_capex_starting_position!$AF:$AF,$A195,Planned_capex_starting_position!BB:BB)</f>
        <v>0</v>
      </c>
      <c r="H195" s="800">
        <f>SUMIF(Planned_capex_starting_position!$AF:$AF,$A195,Planned_capex_starting_position!BC:BC)</f>
        <v>0</v>
      </c>
      <c r="I195" s="800">
        <f>SUMIF(Planned_capex_starting_position!$AF:$AF,$A195,Planned_capex_starting_position!BD:BD)</f>
        <v>0</v>
      </c>
      <c r="J195" s="800">
        <f>SUMIF(Planned_capex_starting_position!$AF:$AF,$A195,Planned_capex_starting_position!BE:BE)</f>
        <v>0</v>
      </c>
      <c r="K195" s="800">
        <f>SUMIF(Planned_capex_starting_position!$AF:$AF,$A195,Planned_capex_starting_position!BF:BF)</f>
        <v>0</v>
      </c>
      <c r="L195" s="800">
        <f>SUMIF(Planned_capex_starting_position!$AF:$AF,$A195,Planned_capex_starting_position!BG:BG)</f>
        <v>0</v>
      </c>
      <c r="M195" s="800">
        <f>SUMIF(Planned_capex_starting_position!$AF:$AF,$A195,Planned_capex_starting_position!BH:BH)</f>
        <v>0</v>
      </c>
      <c r="N195" s="800">
        <f>SUMIF(Planned_capex_starting_position!$AF:$AF,$A195,Planned_capex_starting_position!BI:BI)</f>
        <v>0</v>
      </c>
      <c r="O195" s="800">
        <f t="shared" si="3"/>
        <v>0</v>
      </c>
      <c r="P195" s="41"/>
    </row>
    <row r="196" spans="1:21" customFormat="1" hidden="1">
      <c r="A196" s="22" t="s">
        <v>2856</v>
      </c>
      <c r="B196" s="31" t="s">
        <v>1205</v>
      </c>
      <c r="C196" s="31" t="str">
        <f>VLOOKUP($A196,FA_Codes!$D$2:$G$249,4,FALSE)</f>
        <v>Hibiscus</v>
      </c>
      <c r="D196" s="800">
        <v>0</v>
      </c>
      <c r="E196" s="800">
        <f>SUMIF(Planned_capex_starting_position!$AF:$AF,$A196,Planned_capex_starting_position!AZ:AZ)</f>
        <v>0</v>
      </c>
      <c r="F196" s="800">
        <f>SUMIF(Planned_capex_starting_position!$AF:$AF,$A196,Planned_capex_starting_position!BA:BA)</f>
        <v>0</v>
      </c>
      <c r="G196" s="800">
        <f>SUMIF(Planned_capex_starting_position!$AF:$AF,$A196,Planned_capex_starting_position!BB:BB)</f>
        <v>0</v>
      </c>
      <c r="H196" s="800">
        <f>SUMIF(Planned_capex_starting_position!$AF:$AF,$A196,Planned_capex_starting_position!BC:BC)</f>
        <v>0</v>
      </c>
      <c r="I196" s="800">
        <f>SUMIF(Planned_capex_starting_position!$AF:$AF,$A196,Planned_capex_starting_position!BD:BD)</f>
        <v>0</v>
      </c>
      <c r="J196" s="800">
        <f>SUMIF(Planned_capex_starting_position!$AF:$AF,$A196,Planned_capex_starting_position!BE:BE)</f>
        <v>0</v>
      </c>
      <c r="K196" s="800">
        <f>SUMIF(Planned_capex_starting_position!$AF:$AF,$A196,Planned_capex_starting_position!BF:BF)</f>
        <v>0</v>
      </c>
      <c r="L196" s="800">
        <f>SUMIF(Planned_capex_starting_position!$AF:$AF,$A196,Planned_capex_starting_position!BG:BG)</f>
        <v>0</v>
      </c>
      <c r="M196" s="800">
        <f>SUMIF(Planned_capex_starting_position!$AF:$AF,$A196,Planned_capex_starting_position!BH:BH)</f>
        <v>0</v>
      </c>
      <c r="N196" s="800">
        <f>SUMIF(Planned_capex_starting_position!$AF:$AF,$A196,Planned_capex_starting_position!BI:BI)</f>
        <v>0</v>
      </c>
      <c r="O196" s="800">
        <f t="shared" si="3"/>
        <v>0</v>
      </c>
      <c r="P196" s="41"/>
    </row>
    <row r="197" spans="1:21" customFormat="1" hidden="1">
      <c r="A197" s="22" t="s">
        <v>2857</v>
      </c>
      <c r="B197" s="31" t="s">
        <v>1205</v>
      </c>
      <c r="C197" s="31" t="str">
        <f>VLOOKUP($A197,FA_Codes!$D$2:$G$249,4,FALSE)</f>
        <v>North Shore</v>
      </c>
      <c r="D197" s="800">
        <v>0</v>
      </c>
      <c r="E197" s="800">
        <f>SUMIF(Planned_capex_starting_position!$AF:$AF,$A197,Planned_capex_starting_position!AZ:AZ)</f>
        <v>0</v>
      </c>
      <c r="F197" s="800">
        <f>SUMIF(Planned_capex_starting_position!$AF:$AF,$A197,Planned_capex_starting_position!BA:BA)</f>
        <v>0</v>
      </c>
      <c r="G197" s="800">
        <f>SUMIF(Planned_capex_starting_position!$AF:$AF,$A197,Planned_capex_starting_position!BB:BB)</f>
        <v>0</v>
      </c>
      <c r="H197" s="800">
        <f>SUMIF(Planned_capex_starting_position!$AF:$AF,$A197,Planned_capex_starting_position!BC:BC)</f>
        <v>0</v>
      </c>
      <c r="I197" s="800">
        <f>SUMIF(Planned_capex_starting_position!$AF:$AF,$A197,Planned_capex_starting_position!BD:BD)</f>
        <v>0</v>
      </c>
      <c r="J197" s="800">
        <f>SUMIF(Planned_capex_starting_position!$AF:$AF,$A197,Planned_capex_starting_position!BE:BE)</f>
        <v>0</v>
      </c>
      <c r="K197" s="800">
        <f>SUMIF(Planned_capex_starting_position!$AF:$AF,$A197,Planned_capex_starting_position!BF:BF)</f>
        <v>0</v>
      </c>
      <c r="L197" s="800">
        <f>SUMIF(Planned_capex_starting_position!$AF:$AF,$A197,Planned_capex_starting_position!BG:BG)</f>
        <v>0</v>
      </c>
      <c r="M197" s="800">
        <f>SUMIF(Planned_capex_starting_position!$AF:$AF,$A197,Planned_capex_starting_position!BH:BH)</f>
        <v>0</v>
      </c>
      <c r="N197" s="800">
        <f>SUMIF(Planned_capex_starting_position!$AF:$AF,$A197,Planned_capex_starting_position!BI:BI)</f>
        <v>0</v>
      </c>
      <c r="O197" s="800">
        <f t="shared" si="3"/>
        <v>0</v>
      </c>
      <c r="P197" s="41"/>
    </row>
    <row r="198" spans="1:21" customFormat="1" hidden="1">
      <c r="A198" s="22" t="s">
        <v>2858</v>
      </c>
      <c r="B198" s="31" t="s">
        <v>1205</v>
      </c>
      <c r="C198" s="31" t="str">
        <f>VLOOKUP($A198,FA_Codes!$D$2:$G$249,4,FALSE)</f>
        <v>West</v>
      </c>
      <c r="D198" s="800">
        <v>0</v>
      </c>
      <c r="E198" s="800">
        <f>SUMIF(Planned_capex_starting_position!$AF:$AF,$A198,Planned_capex_starting_position!AZ:AZ)</f>
        <v>0</v>
      </c>
      <c r="F198" s="800">
        <f>SUMIF(Planned_capex_starting_position!$AF:$AF,$A198,Planned_capex_starting_position!BA:BA)</f>
        <v>0</v>
      </c>
      <c r="G198" s="800">
        <f>SUMIF(Planned_capex_starting_position!$AF:$AF,$A198,Planned_capex_starting_position!BB:BB)</f>
        <v>0</v>
      </c>
      <c r="H198" s="800">
        <f>SUMIF(Planned_capex_starting_position!$AF:$AF,$A198,Planned_capex_starting_position!BC:BC)</f>
        <v>0</v>
      </c>
      <c r="I198" s="800">
        <f>SUMIF(Planned_capex_starting_position!$AF:$AF,$A198,Planned_capex_starting_position!BD:BD)</f>
        <v>0</v>
      </c>
      <c r="J198" s="800">
        <f>SUMIF(Planned_capex_starting_position!$AF:$AF,$A198,Planned_capex_starting_position!BE:BE)</f>
        <v>0</v>
      </c>
      <c r="K198" s="800">
        <f>SUMIF(Planned_capex_starting_position!$AF:$AF,$A198,Planned_capex_starting_position!BF:BF)</f>
        <v>0</v>
      </c>
      <c r="L198" s="800">
        <f>SUMIF(Planned_capex_starting_position!$AF:$AF,$A198,Planned_capex_starting_position!BG:BG)</f>
        <v>0</v>
      </c>
      <c r="M198" s="800">
        <f>SUMIF(Planned_capex_starting_position!$AF:$AF,$A198,Planned_capex_starting_position!BH:BH)</f>
        <v>0</v>
      </c>
      <c r="N198" s="800">
        <f>SUMIF(Planned_capex_starting_position!$AF:$AF,$A198,Planned_capex_starting_position!BI:BI)</f>
        <v>0</v>
      </c>
      <c r="O198" s="800">
        <f t="shared" si="3"/>
        <v>0</v>
      </c>
      <c r="P198" s="41"/>
    </row>
    <row r="199" spans="1:21" customFormat="1" hidden="1">
      <c r="A199" s="22" t="s">
        <v>2859</v>
      </c>
      <c r="B199" s="31" t="s">
        <v>1205</v>
      </c>
      <c r="C199" s="31" t="str">
        <f>VLOOKUP($A199,FA_Codes!$D$2:$G$249,4,FALSE)</f>
        <v>Central</v>
      </c>
      <c r="D199" s="800">
        <v>0</v>
      </c>
      <c r="E199" s="800">
        <f>SUMIF(Planned_capex_starting_position!$AF:$AF,$A199,Planned_capex_starting_position!AZ:AZ)</f>
        <v>0</v>
      </c>
      <c r="F199" s="800">
        <f>SUMIF(Planned_capex_starting_position!$AF:$AF,$A199,Planned_capex_starting_position!BA:BA)</f>
        <v>0</v>
      </c>
      <c r="G199" s="800">
        <f>SUMIF(Planned_capex_starting_position!$AF:$AF,$A199,Planned_capex_starting_position!BB:BB)</f>
        <v>0</v>
      </c>
      <c r="H199" s="800">
        <f>SUMIF(Planned_capex_starting_position!$AF:$AF,$A199,Planned_capex_starting_position!BC:BC)</f>
        <v>0</v>
      </c>
      <c r="I199" s="800">
        <f>SUMIF(Planned_capex_starting_position!$AF:$AF,$A199,Planned_capex_starting_position!BD:BD)</f>
        <v>0</v>
      </c>
      <c r="J199" s="800">
        <f>SUMIF(Planned_capex_starting_position!$AF:$AF,$A199,Planned_capex_starting_position!BE:BE)</f>
        <v>0</v>
      </c>
      <c r="K199" s="800">
        <f>SUMIF(Planned_capex_starting_position!$AF:$AF,$A199,Planned_capex_starting_position!BF:BF)</f>
        <v>0</v>
      </c>
      <c r="L199" s="800">
        <f>SUMIF(Planned_capex_starting_position!$AF:$AF,$A199,Planned_capex_starting_position!BG:BG)</f>
        <v>0</v>
      </c>
      <c r="M199" s="800">
        <f>SUMIF(Planned_capex_starting_position!$AF:$AF,$A199,Planned_capex_starting_position!BH:BH)</f>
        <v>0</v>
      </c>
      <c r="N199" s="800">
        <f>SUMIF(Planned_capex_starting_position!$AF:$AF,$A199,Planned_capex_starting_position!BI:BI)</f>
        <v>0</v>
      </c>
      <c r="O199" s="800">
        <f t="shared" si="3"/>
        <v>0</v>
      </c>
      <c r="P199" s="41"/>
    </row>
    <row r="200" spans="1:21" customFormat="1" hidden="1">
      <c r="A200" s="22" t="s">
        <v>2860</v>
      </c>
      <c r="B200" s="31" t="s">
        <v>1205</v>
      </c>
      <c r="C200" s="31" t="str">
        <f>VLOOKUP($A200,FA_Codes!$D$2:$G$249,4,FALSE)</f>
        <v>South (West)</v>
      </c>
      <c r="D200" s="800">
        <v>0</v>
      </c>
      <c r="E200" s="800">
        <f>SUMIF(Planned_capex_starting_position!$AF:$AF,$A200,Planned_capex_starting_position!AZ:AZ)</f>
        <v>0</v>
      </c>
      <c r="F200" s="800">
        <f>SUMIF(Planned_capex_starting_position!$AF:$AF,$A200,Planned_capex_starting_position!BA:BA)</f>
        <v>0</v>
      </c>
      <c r="G200" s="800">
        <f>SUMIF(Planned_capex_starting_position!$AF:$AF,$A200,Planned_capex_starting_position!BB:BB)</f>
        <v>0</v>
      </c>
      <c r="H200" s="800">
        <f>SUMIF(Planned_capex_starting_position!$AF:$AF,$A200,Planned_capex_starting_position!BC:BC)</f>
        <v>0</v>
      </c>
      <c r="I200" s="800">
        <f>SUMIF(Planned_capex_starting_position!$AF:$AF,$A200,Planned_capex_starting_position!BD:BD)</f>
        <v>0</v>
      </c>
      <c r="J200" s="800">
        <f>SUMIF(Planned_capex_starting_position!$AF:$AF,$A200,Planned_capex_starting_position!BE:BE)</f>
        <v>0</v>
      </c>
      <c r="K200" s="800">
        <f>SUMIF(Planned_capex_starting_position!$AF:$AF,$A200,Planned_capex_starting_position!BF:BF)</f>
        <v>0</v>
      </c>
      <c r="L200" s="800">
        <f>SUMIF(Planned_capex_starting_position!$AF:$AF,$A200,Planned_capex_starting_position!BG:BG)</f>
        <v>0</v>
      </c>
      <c r="M200" s="800">
        <f>SUMIF(Planned_capex_starting_position!$AF:$AF,$A200,Planned_capex_starting_position!BH:BH)</f>
        <v>0</v>
      </c>
      <c r="N200" s="800">
        <f>SUMIF(Planned_capex_starting_position!$AF:$AF,$A200,Planned_capex_starting_position!BI:BI)</f>
        <v>0</v>
      </c>
      <c r="O200" s="800">
        <f t="shared" si="3"/>
        <v>0</v>
      </c>
      <c r="P200" s="41"/>
      <c r="Q200" s="125"/>
      <c r="R200" s="125"/>
      <c r="T200" s="29"/>
      <c r="U200" s="29"/>
    </row>
    <row r="201" spans="1:21" customFormat="1" hidden="1">
      <c r="A201" s="22" t="s">
        <v>2861</v>
      </c>
      <c r="B201" s="31" t="s">
        <v>1205</v>
      </c>
      <c r="C201" s="31" t="str">
        <f>VLOOKUP($A201,FA_Codes!$D$2:$G$249,4,FALSE)</f>
        <v>South (East)</v>
      </c>
      <c r="D201" s="800">
        <v>0</v>
      </c>
      <c r="E201" s="800">
        <f>SUMIF(Planned_capex_starting_position!$AF:$AF,$A201,Planned_capex_starting_position!AZ:AZ)</f>
        <v>0</v>
      </c>
      <c r="F201" s="800">
        <f>SUMIF(Planned_capex_starting_position!$AF:$AF,$A201,Planned_capex_starting_position!BA:BA)</f>
        <v>0</v>
      </c>
      <c r="G201" s="800">
        <f>SUMIF(Planned_capex_starting_position!$AF:$AF,$A201,Planned_capex_starting_position!BB:BB)</f>
        <v>0</v>
      </c>
      <c r="H201" s="800">
        <f>SUMIF(Planned_capex_starting_position!$AF:$AF,$A201,Planned_capex_starting_position!BC:BC)</f>
        <v>0</v>
      </c>
      <c r="I201" s="800">
        <f>SUMIF(Planned_capex_starting_position!$AF:$AF,$A201,Planned_capex_starting_position!BD:BD)</f>
        <v>0</v>
      </c>
      <c r="J201" s="800">
        <f>SUMIF(Planned_capex_starting_position!$AF:$AF,$A201,Planned_capex_starting_position!BE:BE)</f>
        <v>0</v>
      </c>
      <c r="K201" s="800">
        <f>SUMIF(Planned_capex_starting_position!$AF:$AF,$A201,Planned_capex_starting_position!BF:BF)</f>
        <v>0</v>
      </c>
      <c r="L201" s="800">
        <f>SUMIF(Planned_capex_starting_position!$AF:$AF,$A201,Planned_capex_starting_position!BG:BG)</f>
        <v>0</v>
      </c>
      <c r="M201" s="800">
        <f>SUMIF(Planned_capex_starting_position!$AF:$AF,$A201,Planned_capex_starting_position!BH:BH)</f>
        <v>0</v>
      </c>
      <c r="N201" s="800">
        <f>SUMIF(Planned_capex_starting_position!$AF:$AF,$A201,Planned_capex_starting_position!BI:BI)</f>
        <v>0</v>
      </c>
      <c r="O201" s="800">
        <f t="shared" si="3"/>
        <v>0</v>
      </c>
      <c r="P201" s="41"/>
      <c r="Q201" s="125"/>
      <c r="R201" s="125"/>
      <c r="T201" s="29"/>
      <c r="U201" s="29"/>
    </row>
    <row r="202" spans="1:21" customFormat="1" hidden="1">
      <c r="A202" s="22" t="s">
        <v>2862</v>
      </c>
      <c r="B202" s="31" t="s">
        <v>1205</v>
      </c>
      <c r="C202" s="31" t="str">
        <f>VLOOKUP($A202,FA_Codes!$D$2:$G$249,4,FALSE)</f>
        <v>Rural North Upper</v>
      </c>
      <c r="D202" s="800">
        <v>0</v>
      </c>
      <c r="E202" s="800">
        <f>SUMIF(Planned_capex_starting_position!$AF:$AF,$A202,Planned_capex_starting_position!AZ:AZ)</f>
        <v>0</v>
      </c>
      <c r="F202" s="800">
        <f>SUMIF(Planned_capex_starting_position!$AF:$AF,$A202,Planned_capex_starting_position!BA:BA)</f>
        <v>0</v>
      </c>
      <c r="G202" s="800">
        <f>SUMIF(Planned_capex_starting_position!$AF:$AF,$A202,Planned_capex_starting_position!BB:BB)</f>
        <v>0</v>
      </c>
      <c r="H202" s="800">
        <f>SUMIF(Planned_capex_starting_position!$AF:$AF,$A202,Planned_capex_starting_position!BC:BC)</f>
        <v>0</v>
      </c>
      <c r="I202" s="800">
        <f>SUMIF(Planned_capex_starting_position!$AF:$AF,$A202,Planned_capex_starting_position!BD:BD)</f>
        <v>0</v>
      </c>
      <c r="J202" s="800">
        <f>SUMIF(Planned_capex_starting_position!$AF:$AF,$A202,Planned_capex_starting_position!BE:BE)</f>
        <v>0</v>
      </c>
      <c r="K202" s="800">
        <f>SUMIF(Planned_capex_starting_position!$AF:$AF,$A202,Planned_capex_starting_position!BF:BF)</f>
        <v>0</v>
      </c>
      <c r="L202" s="800">
        <f>SUMIF(Planned_capex_starting_position!$AF:$AF,$A202,Planned_capex_starting_position!BG:BG)</f>
        <v>0</v>
      </c>
      <c r="M202" s="800">
        <f>SUMIF(Planned_capex_starting_position!$AF:$AF,$A202,Planned_capex_starting_position!BH:BH)</f>
        <v>0</v>
      </c>
      <c r="N202" s="800">
        <f>SUMIF(Planned_capex_starting_position!$AF:$AF,$A202,Planned_capex_starting_position!BI:BI)</f>
        <v>0</v>
      </c>
      <c r="O202" s="800">
        <f t="shared" si="3"/>
        <v>0</v>
      </c>
      <c r="P202" s="41"/>
      <c r="Q202" s="125"/>
      <c r="R202" s="125"/>
      <c r="T202" s="29"/>
      <c r="U202" s="29"/>
    </row>
    <row r="203" spans="1:21" customFormat="1" hidden="1">
      <c r="A203" s="22" t="s">
        <v>2863</v>
      </c>
      <c r="B203" s="31" t="s">
        <v>1205</v>
      </c>
      <c r="C203" s="31" t="str">
        <f>VLOOKUP($A203,FA_Codes!$D$2:$G$249,4,FALSE)</f>
        <v>Rural North Lower</v>
      </c>
      <c r="D203" s="800">
        <v>0</v>
      </c>
      <c r="E203" s="800">
        <f>SUMIF(Planned_capex_starting_position!$AF:$AF,$A203,Planned_capex_starting_position!AZ:AZ)</f>
        <v>0</v>
      </c>
      <c r="F203" s="800">
        <f>SUMIF(Planned_capex_starting_position!$AF:$AF,$A203,Planned_capex_starting_position!BA:BA)</f>
        <v>0</v>
      </c>
      <c r="G203" s="800">
        <f>SUMIF(Planned_capex_starting_position!$AF:$AF,$A203,Planned_capex_starting_position!BB:BB)</f>
        <v>0</v>
      </c>
      <c r="H203" s="800">
        <f>SUMIF(Planned_capex_starting_position!$AF:$AF,$A203,Planned_capex_starting_position!BC:BC)</f>
        <v>0</v>
      </c>
      <c r="I203" s="800">
        <f>SUMIF(Planned_capex_starting_position!$AF:$AF,$A203,Planned_capex_starting_position!BD:BD)</f>
        <v>0</v>
      </c>
      <c r="J203" s="800">
        <f>SUMIF(Planned_capex_starting_position!$AF:$AF,$A203,Planned_capex_starting_position!BE:BE)</f>
        <v>0</v>
      </c>
      <c r="K203" s="800">
        <f>SUMIF(Planned_capex_starting_position!$AF:$AF,$A203,Planned_capex_starting_position!BF:BF)</f>
        <v>0</v>
      </c>
      <c r="L203" s="800">
        <f>SUMIF(Planned_capex_starting_position!$AF:$AF,$A203,Planned_capex_starting_position!BG:BG)</f>
        <v>0</v>
      </c>
      <c r="M203" s="800">
        <f>SUMIF(Planned_capex_starting_position!$AF:$AF,$A203,Planned_capex_starting_position!BH:BH)</f>
        <v>0</v>
      </c>
      <c r="N203" s="800">
        <f>SUMIF(Planned_capex_starting_position!$AF:$AF,$A203,Planned_capex_starting_position!BI:BI)</f>
        <v>0</v>
      </c>
      <c r="O203" s="800">
        <f t="shared" si="3"/>
        <v>0</v>
      </c>
      <c r="P203" s="41"/>
      <c r="Q203" s="125"/>
      <c r="R203" s="125"/>
      <c r="T203" s="29"/>
      <c r="U203" s="29"/>
    </row>
    <row r="204" spans="1:21" customFormat="1" hidden="1">
      <c r="A204" s="22" t="s">
        <v>2864</v>
      </c>
      <c r="B204" s="31" t="s">
        <v>1205</v>
      </c>
      <c r="C204" s="31" t="str">
        <f>VLOOKUP($A204,FA_Codes!$D$2:$G$249,4,FALSE)</f>
        <v>Rural West</v>
      </c>
      <c r="D204" s="800">
        <v>0</v>
      </c>
      <c r="E204" s="800">
        <f>SUMIF(Planned_capex_starting_position!$AF:$AF,$A204,Planned_capex_starting_position!AZ:AZ)</f>
        <v>0</v>
      </c>
      <c r="F204" s="800">
        <f>SUMIF(Planned_capex_starting_position!$AF:$AF,$A204,Planned_capex_starting_position!BA:BA)</f>
        <v>0</v>
      </c>
      <c r="G204" s="800">
        <f>SUMIF(Planned_capex_starting_position!$AF:$AF,$A204,Planned_capex_starting_position!BB:BB)</f>
        <v>0</v>
      </c>
      <c r="H204" s="800">
        <f>SUMIF(Planned_capex_starting_position!$AF:$AF,$A204,Planned_capex_starting_position!BC:BC)</f>
        <v>0</v>
      </c>
      <c r="I204" s="800">
        <f>SUMIF(Planned_capex_starting_position!$AF:$AF,$A204,Planned_capex_starting_position!BD:BD)</f>
        <v>0</v>
      </c>
      <c r="J204" s="800">
        <f>SUMIF(Planned_capex_starting_position!$AF:$AF,$A204,Planned_capex_starting_position!BE:BE)</f>
        <v>0</v>
      </c>
      <c r="K204" s="800">
        <f>SUMIF(Planned_capex_starting_position!$AF:$AF,$A204,Planned_capex_starting_position!BF:BF)</f>
        <v>0</v>
      </c>
      <c r="L204" s="800">
        <f>SUMIF(Planned_capex_starting_position!$AF:$AF,$A204,Planned_capex_starting_position!BG:BG)</f>
        <v>0</v>
      </c>
      <c r="M204" s="800">
        <f>SUMIF(Planned_capex_starting_position!$AF:$AF,$A204,Planned_capex_starting_position!BH:BH)</f>
        <v>0</v>
      </c>
      <c r="N204" s="800">
        <f>SUMIF(Planned_capex_starting_position!$AF:$AF,$A204,Planned_capex_starting_position!BI:BI)</f>
        <v>0</v>
      </c>
      <c r="O204" s="800">
        <f t="shared" si="3"/>
        <v>0</v>
      </c>
      <c r="P204" s="41"/>
      <c r="Q204" s="125"/>
      <c r="R204" s="125"/>
      <c r="T204" s="29"/>
      <c r="U204" s="29"/>
    </row>
    <row r="205" spans="1:21" customFormat="1" hidden="1">
      <c r="A205" s="22" t="s">
        <v>2865</v>
      </c>
      <c r="B205" s="31" t="s">
        <v>1205</v>
      </c>
      <c r="C205" s="31" t="str">
        <f>VLOOKUP($A205,FA_Codes!$D$2:$G$249,4,FALSE)</f>
        <v>Rural South West</v>
      </c>
      <c r="D205" s="800">
        <v>0</v>
      </c>
      <c r="E205" s="800">
        <f>SUMIF(Planned_capex_starting_position!$AF:$AF,$A205,Planned_capex_starting_position!AZ:AZ)</f>
        <v>0</v>
      </c>
      <c r="F205" s="800">
        <f>SUMIF(Planned_capex_starting_position!$AF:$AF,$A205,Planned_capex_starting_position!BA:BA)</f>
        <v>0</v>
      </c>
      <c r="G205" s="800">
        <f>SUMIF(Planned_capex_starting_position!$AF:$AF,$A205,Planned_capex_starting_position!BB:BB)</f>
        <v>0</v>
      </c>
      <c r="H205" s="800">
        <f>SUMIF(Planned_capex_starting_position!$AF:$AF,$A205,Planned_capex_starting_position!BC:BC)</f>
        <v>0</v>
      </c>
      <c r="I205" s="800">
        <f>SUMIF(Planned_capex_starting_position!$AF:$AF,$A205,Planned_capex_starting_position!BD:BD)</f>
        <v>0</v>
      </c>
      <c r="J205" s="800">
        <f>SUMIF(Planned_capex_starting_position!$AF:$AF,$A205,Planned_capex_starting_position!BE:BE)</f>
        <v>0</v>
      </c>
      <c r="K205" s="800">
        <f>SUMIF(Planned_capex_starting_position!$AF:$AF,$A205,Planned_capex_starting_position!BF:BF)</f>
        <v>0</v>
      </c>
      <c r="L205" s="800">
        <f>SUMIF(Planned_capex_starting_position!$AF:$AF,$A205,Planned_capex_starting_position!BG:BG)</f>
        <v>0</v>
      </c>
      <c r="M205" s="800">
        <f>SUMIF(Planned_capex_starting_position!$AF:$AF,$A205,Planned_capex_starting_position!BH:BH)</f>
        <v>0</v>
      </c>
      <c r="N205" s="800">
        <f>SUMIF(Planned_capex_starting_position!$AF:$AF,$A205,Planned_capex_starting_position!BI:BI)</f>
        <v>0</v>
      </c>
      <c r="O205" s="800">
        <f t="shared" si="3"/>
        <v>0</v>
      </c>
      <c r="P205" s="41"/>
      <c r="Q205" s="125"/>
      <c r="R205" s="125"/>
      <c r="T205" s="29"/>
      <c r="U205" s="29"/>
    </row>
    <row r="206" spans="1:21" customFormat="1" hidden="1">
      <c r="A206" s="22" t="s">
        <v>2866</v>
      </c>
      <c r="B206" s="31" t="s">
        <v>1205</v>
      </c>
      <c r="C206" s="31" t="str">
        <f>VLOOKUP($A206,FA_Codes!$D$2:$G$249,4,FALSE)</f>
        <v>Rural South East</v>
      </c>
      <c r="D206" s="800">
        <v>0</v>
      </c>
      <c r="E206" s="800">
        <f>SUMIF(Planned_capex_starting_position!$AF:$AF,$A206,Planned_capex_starting_position!AZ:AZ)</f>
        <v>0</v>
      </c>
      <c r="F206" s="800">
        <f>SUMIF(Planned_capex_starting_position!$AF:$AF,$A206,Planned_capex_starting_position!BA:BA)</f>
        <v>0</v>
      </c>
      <c r="G206" s="800">
        <f>SUMIF(Planned_capex_starting_position!$AF:$AF,$A206,Planned_capex_starting_position!BB:BB)</f>
        <v>0</v>
      </c>
      <c r="H206" s="800">
        <f>SUMIF(Planned_capex_starting_position!$AF:$AF,$A206,Planned_capex_starting_position!BC:BC)</f>
        <v>0</v>
      </c>
      <c r="I206" s="800">
        <f>SUMIF(Planned_capex_starting_position!$AF:$AF,$A206,Planned_capex_starting_position!BD:BD)</f>
        <v>0</v>
      </c>
      <c r="J206" s="800">
        <f>SUMIF(Planned_capex_starting_position!$AF:$AF,$A206,Planned_capex_starting_position!BE:BE)</f>
        <v>0</v>
      </c>
      <c r="K206" s="800">
        <f>SUMIF(Planned_capex_starting_position!$AF:$AF,$A206,Planned_capex_starting_position!BF:BF)</f>
        <v>0</v>
      </c>
      <c r="L206" s="800">
        <f>SUMIF(Planned_capex_starting_position!$AF:$AF,$A206,Planned_capex_starting_position!BG:BG)</f>
        <v>0</v>
      </c>
      <c r="M206" s="800">
        <f>SUMIF(Planned_capex_starting_position!$AF:$AF,$A206,Planned_capex_starting_position!BH:BH)</f>
        <v>0</v>
      </c>
      <c r="N206" s="800">
        <f>SUMIF(Planned_capex_starting_position!$AF:$AF,$A206,Planned_capex_starting_position!BI:BI)</f>
        <v>0</v>
      </c>
      <c r="O206" s="800">
        <f t="shared" si="3"/>
        <v>0</v>
      </c>
      <c r="P206" s="41"/>
      <c r="Q206" s="125"/>
      <c r="R206" s="125"/>
      <c r="T206" s="29"/>
      <c r="U206" s="29"/>
    </row>
    <row r="207" spans="1:21" customFormat="1" hidden="1">
      <c r="A207" s="22" t="s">
        <v>2867</v>
      </c>
      <c r="B207" s="31" t="s">
        <v>1205</v>
      </c>
      <c r="C207" s="31" t="str">
        <f>VLOOKUP($A207,FA_Codes!$D$2:$G$249,4,FALSE)</f>
        <v>Rural Islands</v>
      </c>
      <c r="D207" s="800">
        <v>0</v>
      </c>
      <c r="E207" s="800">
        <f>SUMIF(Planned_capex_starting_position!$AF:$AF,$A207,Planned_capex_starting_position!AZ:AZ)</f>
        <v>0</v>
      </c>
      <c r="F207" s="800">
        <f>SUMIF(Planned_capex_starting_position!$AF:$AF,$A207,Planned_capex_starting_position!BA:BA)</f>
        <v>0</v>
      </c>
      <c r="G207" s="800">
        <f>SUMIF(Planned_capex_starting_position!$AF:$AF,$A207,Planned_capex_starting_position!BB:BB)</f>
        <v>0</v>
      </c>
      <c r="H207" s="800">
        <f>SUMIF(Planned_capex_starting_position!$AF:$AF,$A207,Planned_capex_starting_position!BC:BC)</f>
        <v>0</v>
      </c>
      <c r="I207" s="800">
        <f>SUMIF(Planned_capex_starting_position!$AF:$AF,$A207,Planned_capex_starting_position!BD:BD)</f>
        <v>0</v>
      </c>
      <c r="J207" s="800">
        <f>SUMIF(Planned_capex_starting_position!$AF:$AF,$A207,Planned_capex_starting_position!BE:BE)</f>
        <v>0</v>
      </c>
      <c r="K207" s="800">
        <f>SUMIF(Planned_capex_starting_position!$AF:$AF,$A207,Planned_capex_starting_position!BF:BF)</f>
        <v>0</v>
      </c>
      <c r="L207" s="800">
        <f>SUMIF(Planned_capex_starting_position!$AF:$AF,$A207,Planned_capex_starting_position!BG:BG)</f>
        <v>0</v>
      </c>
      <c r="M207" s="800">
        <f>SUMIF(Planned_capex_starting_position!$AF:$AF,$A207,Planned_capex_starting_position!BH:BH)</f>
        <v>0</v>
      </c>
      <c r="N207" s="800">
        <f>SUMIF(Planned_capex_starting_position!$AF:$AF,$A207,Planned_capex_starting_position!BI:BI)</f>
        <v>0</v>
      </c>
      <c r="O207" s="800">
        <f t="shared" si="3"/>
        <v>0</v>
      </c>
      <c r="P207" s="41"/>
      <c r="Q207" s="125"/>
      <c r="R207" s="125"/>
      <c r="T207" s="29"/>
      <c r="U207" s="29"/>
    </row>
    <row r="208" spans="1:21" customFormat="1" hidden="1">
      <c r="A208" s="22" t="s">
        <v>2868</v>
      </c>
      <c r="B208" s="31" t="s">
        <v>1205</v>
      </c>
      <c r="C208" s="31" t="str">
        <f>VLOOKUP($A208,FA_Codes!$D$2:$G$249,4,FALSE)</f>
        <v>Tamaki</v>
      </c>
      <c r="D208" s="800">
        <v>0</v>
      </c>
      <c r="E208" s="800">
        <f>SUMIF(Planned_capex_starting_position!$AF:$AF,$A208,Planned_capex_starting_position!AZ:AZ)</f>
        <v>0</v>
      </c>
      <c r="F208" s="800">
        <f>SUMIF(Planned_capex_starting_position!$AF:$AF,$A208,Planned_capex_starting_position!BA:BA)</f>
        <v>0</v>
      </c>
      <c r="G208" s="800">
        <f>SUMIF(Planned_capex_starting_position!$AF:$AF,$A208,Planned_capex_starting_position!BB:BB)</f>
        <v>0</v>
      </c>
      <c r="H208" s="800">
        <f>SUMIF(Planned_capex_starting_position!$AF:$AF,$A208,Planned_capex_starting_position!BC:BC)</f>
        <v>0</v>
      </c>
      <c r="I208" s="800">
        <f>SUMIF(Planned_capex_starting_position!$AF:$AF,$A208,Planned_capex_starting_position!BD:BD)</f>
        <v>0</v>
      </c>
      <c r="J208" s="800">
        <f>SUMIF(Planned_capex_starting_position!$AF:$AF,$A208,Planned_capex_starting_position!BE:BE)</f>
        <v>0</v>
      </c>
      <c r="K208" s="800">
        <f>SUMIF(Planned_capex_starting_position!$AF:$AF,$A208,Planned_capex_starting_position!BF:BF)</f>
        <v>0</v>
      </c>
      <c r="L208" s="800">
        <f>SUMIF(Planned_capex_starting_position!$AF:$AF,$A208,Planned_capex_starting_position!BG:BG)</f>
        <v>0</v>
      </c>
      <c r="M208" s="800">
        <f>SUMIF(Planned_capex_starting_position!$AF:$AF,$A208,Planned_capex_starting_position!BH:BH)</f>
        <v>0</v>
      </c>
      <c r="N208" s="800">
        <f>SUMIF(Planned_capex_starting_position!$AF:$AF,$A208,Planned_capex_starting_position!BI:BI)</f>
        <v>0</v>
      </c>
      <c r="O208" s="800">
        <f t="shared" si="3"/>
        <v>0</v>
      </c>
      <c r="P208" s="41"/>
      <c r="Q208" s="125"/>
      <c r="R208" s="125"/>
      <c r="T208" s="29"/>
      <c r="U208" s="29"/>
    </row>
    <row r="209" spans="1:26" customFormat="1" hidden="1">
      <c r="A209" s="22" t="s">
        <v>2870</v>
      </c>
      <c r="B209" s="31" t="s">
        <v>1205</v>
      </c>
      <c r="C209" s="31" t="str">
        <f>VLOOKUP($A209,FA_Codes!$D$2:$G$249,4,FALSE)</f>
        <v>Auranga</v>
      </c>
      <c r="D209" s="800">
        <v>0</v>
      </c>
      <c r="E209" s="800">
        <f>SUMIF(Planned_capex_starting_position!$AF:$AF,$A209,Planned_capex_starting_position!AZ:AZ)</f>
        <v>0</v>
      </c>
      <c r="F209" s="800">
        <f>SUMIF(Planned_capex_starting_position!$AF:$AF,$A209,Planned_capex_starting_position!BA:BA)</f>
        <v>0</v>
      </c>
      <c r="G209" s="800">
        <f>SUMIF(Planned_capex_starting_position!$AF:$AF,$A209,Planned_capex_starting_position!BB:BB)</f>
        <v>0</v>
      </c>
      <c r="H209" s="800">
        <f>SUMIF(Planned_capex_starting_position!$AF:$AF,$A209,Planned_capex_starting_position!BC:BC)</f>
        <v>0</v>
      </c>
      <c r="I209" s="800">
        <f>SUMIF(Planned_capex_starting_position!$AF:$AF,$A209,Planned_capex_starting_position!BD:BD)</f>
        <v>0</v>
      </c>
      <c r="J209" s="800">
        <f>SUMIF(Planned_capex_starting_position!$AF:$AF,$A209,Planned_capex_starting_position!BE:BE)</f>
        <v>0</v>
      </c>
      <c r="K209" s="800">
        <f>SUMIF(Planned_capex_starting_position!$AF:$AF,$A209,Planned_capex_starting_position!BF:BF)</f>
        <v>0</v>
      </c>
      <c r="L209" s="800">
        <f>SUMIF(Planned_capex_starting_position!$AF:$AF,$A209,Planned_capex_starting_position!BG:BG)</f>
        <v>0</v>
      </c>
      <c r="M209" s="800">
        <f>SUMIF(Planned_capex_starting_position!$AF:$AF,$A209,Planned_capex_starting_position!BH:BH)</f>
        <v>0</v>
      </c>
      <c r="N209" s="800">
        <f>SUMIF(Planned_capex_starting_position!$AF:$AF,$A209,Planned_capex_starting_position!BI:BI)</f>
        <v>0</v>
      </c>
      <c r="O209" s="800">
        <f t="shared" si="3"/>
        <v>0</v>
      </c>
      <c r="P209" s="41"/>
      <c r="Q209" s="125"/>
      <c r="R209" s="125"/>
      <c r="T209" s="29"/>
      <c r="U209" s="29"/>
    </row>
    <row r="210" spans="1:26" customFormat="1" hidden="1">
      <c r="A210" s="22" t="s">
        <v>2876</v>
      </c>
      <c r="B210" s="31" t="s">
        <v>1205</v>
      </c>
      <c r="C210" s="31" t="str">
        <f>VLOOKUP($A210,FA_Codes!$D$2:$G$249,4,FALSE)</f>
        <v>Area 35</v>
      </c>
      <c r="D210" s="800">
        <v>0</v>
      </c>
      <c r="E210" s="800">
        <f>SUMIF(Planned_capex_starting_position!$AF:$AF,$A210,Planned_capex_starting_position!AZ:AZ)</f>
        <v>0</v>
      </c>
      <c r="F210" s="800">
        <f>SUMIF(Planned_capex_starting_position!$AF:$AF,$A210,Planned_capex_starting_position!BA:BA)</f>
        <v>0</v>
      </c>
      <c r="G210" s="800">
        <f>SUMIF(Planned_capex_starting_position!$AF:$AF,$A210,Planned_capex_starting_position!BB:BB)</f>
        <v>0</v>
      </c>
      <c r="H210" s="800">
        <f>SUMIF(Planned_capex_starting_position!$AF:$AF,$A210,Planned_capex_starting_position!BC:BC)</f>
        <v>0</v>
      </c>
      <c r="I210" s="800">
        <f>SUMIF(Planned_capex_starting_position!$AF:$AF,$A210,Planned_capex_starting_position!BD:BD)</f>
        <v>0</v>
      </c>
      <c r="J210" s="800">
        <f>SUMIF(Planned_capex_starting_position!$AF:$AF,$A210,Planned_capex_starting_position!BE:BE)</f>
        <v>0</v>
      </c>
      <c r="K210" s="800">
        <f>SUMIF(Planned_capex_starting_position!$AF:$AF,$A210,Planned_capex_starting_position!BF:BF)</f>
        <v>0</v>
      </c>
      <c r="L210" s="800">
        <f>SUMIF(Planned_capex_starting_position!$AF:$AF,$A210,Planned_capex_starting_position!BG:BG)</f>
        <v>0</v>
      </c>
      <c r="M210" s="800">
        <f>SUMIF(Planned_capex_starting_position!$AF:$AF,$A210,Planned_capex_starting_position!BH:BH)</f>
        <v>0</v>
      </c>
      <c r="N210" s="800">
        <f>SUMIF(Planned_capex_starting_position!$AF:$AF,$A210,Planned_capex_starting_position!BI:BI)</f>
        <v>0</v>
      </c>
      <c r="O210" s="800">
        <f t="shared" si="3"/>
        <v>0</v>
      </c>
      <c r="P210" s="41"/>
      <c r="Q210" s="125"/>
      <c r="R210" s="125"/>
      <c r="T210" s="29"/>
      <c r="U210" s="29"/>
    </row>
    <row r="211" spans="1:26" customFormat="1" hidden="1">
      <c r="A211" s="22" t="s">
        <v>2877</v>
      </c>
      <c r="B211" s="31" t="s">
        <v>1205</v>
      </c>
      <c r="C211" s="58"/>
      <c r="D211" s="800">
        <v>0</v>
      </c>
      <c r="E211" s="800">
        <f>SUMIF(Planned_capex_starting_position!$AF:$AF,$A211,Planned_capex_starting_position!AZ:AZ)</f>
        <v>0</v>
      </c>
      <c r="F211" s="800">
        <f>SUMIF(Planned_capex_starting_position!$AF:$AF,$A211,Planned_capex_starting_position!BA:BA)</f>
        <v>0</v>
      </c>
      <c r="G211" s="800">
        <f>SUMIF(Planned_capex_starting_position!$AF:$AF,$A211,Planned_capex_starting_position!BB:BB)</f>
        <v>0</v>
      </c>
      <c r="H211" s="800">
        <f>SUMIF(Planned_capex_starting_position!$AF:$AF,$A211,Planned_capex_starting_position!BC:BC)</f>
        <v>0</v>
      </c>
      <c r="I211" s="800">
        <f>SUMIF(Planned_capex_starting_position!$AF:$AF,$A211,Planned_capex_starting_position!BD:BD)</f>
        <v>0</v>
      </c>
      <c r="J211" s="800">
        <f>SUMIF(Planned_capex_starting_position!$AF:$AF,$A211,Planned_capex_starting_position!BE:BE)</f>
        <v>0</v>
      </c>
      <c r="K211" s="800">
        <f>SUMIF(Planned_capex_starting_position!$AF:$AF,$A211,Planned_capex_starting_position!BF:BF)</f>
        <v>0</v>
      </c>
      <c r="L211" s="800">
        <f>SUMIF(Planned_capex_starting_position!$AF:$AF,$A211,Planned_capex_starting_position!BG:BG)</f>
        <v>0</v>
      </c>
      <c r="M211" s="800">
        <f>SUMIF(Planned_capex_starting_position!$AF:$AF,$A211,Planned_capex_starting_position!BH:BH)</f>
        <v>0</v>
      </c>
      <c r="N211" s="800">
        <f>SUMIF(Planned_capex_starting_position!$AF:$AF,$A211,Planned_capex_starting_position!BI:BI)</f>
        <v>0</v>
      </c>
      <c r="O211" s="800">
        <f t="shared" si="3"/>
        <v>0</v>
      </c>
      <c r="P211" s="41"/>
      <c r="Q211" s="125"/>
      <c r="R211" s="125"/>
      <c r="T211" s="29"/>
      <c r="U211" s="29"/>
    </row>
    <row r="212" spans="1:26" customFormat="1" hidden="1">
      <c r="A212" s="22" t="s">
        <v>2878</v>
      </c>
      <c r="B212" s="31" t="s">
        <v>1205</v>
      </c>
      <c r="C212" s="58"/>
      <c r="D212" s="800">
        <v>0</v>
      </c>
      <c r="E212" s="800">
        <f>SUMIF(Planned_capex_starting_position!$AF:$AF,$A212,Planned_capex_starting_position!AZ:AZ)</f>
        <v>0</v>
      </c>
      <c r="F212" s="800">
        <f>SUMIF(Planned_capex_starting_position!$AF:$AF,$A212,Planned_capex_starting_position!BA:BA)</f>
        <v>0</v>
      </c>
      <c r="G212" s="800">
        <f>SUMIF(Planned_capex_starting_position!$AF:$AF,$A212,Planned_capex_starting_position!BB:BB)</f>
        <v>0</v>
      </c>
      <c r="H212" s="800">
        <f>SUMIF(Planned_capex_starting_position!$AF:$AF,$A212,Planned_capex_starting_position!BC:BC)</f>
        <v>0</v>
      </c>
      <c r="I212" s="800">
        <f>SUMIF(Planned_capex_starting_position!$AF:$AF,$A212,Planned_capex_starting_position!BD:BD)</f>
        <v>0</v>
      </c>
      <c r="J212" s="800">
        <f>SUMIF(Planned_capex_starting_position!$AF:$AF,$A212,Planned_capex_starting_position!BE:BE)</f>
        <v>0</v>
      </c>
      <c r="K212" s="800">
        <f>SUMIF(Planned_capex_starting_position!$AF:$AF,$A212,Planned_capex_starting_position!BF:BF)</f>
        <v>0</v>
      </c>
      <c r="L212" s="800">
        <f>SUMIF(Planned_capex_starting_position!$AF:$AF,$A212,Planned_capex_starting_position!BG:BG)</f>
        <v>0</v>
      </c>
      <c r="M212" s="800">
        <f>SUMIF(Planned_capex_starting_position!$AF:$AF,$A212,Planned_capex_starting_position!BH:BH)</f>
        <v>0</v>
      </c>
      <c r="N212" s="800">
        <f>SUMIF(Planned_capex_starting_position!$AF:$AF,$A212,Planned_capex_starting_position!BI:BI)</f>
        <v>0</v>
      </c>
      <c r="O212" s="800">
        <f t="shared" si="3"/>
        <v>0</v>
      </c>
      <c r="P212" s="41"/>
      <c r="Q212" s="125"/>
      <c r="R212" s="125"/>
      <c r="T212" s="29"/>
      <c r="U212" s="29"/>
    </row>
    <row r="213" spans="1:26" customFormat="1" hidden="1">
      <c r="A213" s="22" t="s">
        <v>2879</v>
      </c>
      <c r="B213" s="31" t="s">
        <v>1205</v>
      </c>
      <c r="C213" s="58"/>
      <c r="D213" s="800">
        <v>0</v>
      </c>
      <c r="E213" s="800">
        <f>SUMIF(Planned_capex_starting_position!$AF:$AF,$A213,Planned_capex_starting_position!AZ:AZ)</f>
        <v>0</v>
      </c>
      <c r="F213" s="800">
        <f>SUMIF(Planned_capex_starting_position!$AF:$AF,$A213,Planned_capex_starting_position!BA:BA)</f>
        <v>0</v>
      </c>
      <c r="G213" s="800">
        <f>SUMIF(Planned_capex_starting_position!$AF:$AF,$A213,Planned_capex_starting_position!BB:BB)</f>
        <v>0</v>
      </c>
      <c r="H213" s="800">
        <f>SUMIF(Planned_capex_starting_position!$AF:$AF,$A213,Planned_capex_starting_position!BC:BC)</f>
        <v>0</v>
      </c>
      <c r="I213" s="800">
        <f>SUMIF(Planned_capex_starting_position!$AF:$AF,$A213,Planned_capex_starting_position!BD:BD)</f>
        <v>0</v>
      </c>
      <c r="J213" s="800">
        <f>SUMIF(Planned_capex_starting_position!$AF:$AF,$A213,Planned_capex_starting_position!BE:BE)</f>
        <v>0</v>
      </c>
      <c r="K213" s="800">
        <f>SUMIF(Planned_capex_starting_position!$AF:$AF,$A213,Planned_capex_starting_position!BF:BF)</f>
        <v>0</v>
      </c>
      <c r="L213" s="800">
        <f>SUMIF(Planned_capex_starting_position!$AF:$AF,$A213,Planned_capex_starting_position!BG:BG)</f>
        <v>0</v>
      </c>
      <c r="M213" s="800">
        <f>SUMIF(Planned_capex_starting_position!$AF:$AF,$A213,Planned_capex_starting_position!BH:BH)</f>
        <v>0</v>
      </c>
      <c r="N213" s="800">
        <f>SUMIF(Planned_capex_starting_position!$AF:$AF,$A213,Planned_capex_starting_position!BI:BI)</f>
        <v>0</v>
      </c>
      <c r="O213" s="800">
        <f t="shared" si="3"/>
        <v>0</v>
      </c>
      <c r="P213" s="41"/>
      <c r="Q213" s="125"/>
      <c r="R213" s="125"/>
      <c r="T213" s="29"/>
      <c r="U213" s="29"/>
    </row>
    <row r="214" spans="1:26" customFormat="1" hidden="1">
      <c r="A214" s="22" t="s">
        <v>2880</v>
      </c>
      <c r="B214" s="31" t="s">
        <v>1205</v>
      </c>
      <c r="C214" s="58"/>
      <c r="D214" s="800">
        <v>0</v>
      </c>
      <c r="E214" s="800">
        <f>SUMIF(Planned_capex_starting_position!$AF:$AF,$A214,Planned_capex_starting_position!AZ:AZ)</f>
        <v>0</v>
      </c>
      <c r="F214" s="800">
        <f>SUMIF(Planned_capex_starting_position!$AF:$AF,$A214,Planned_capex_starting_position!BA:BA)</f>
        <v>0</v>
      </c>
      <c r="G214" s="800">
        <f>SUMIF(Planned_capex_starting_position!$AF:$AF,$A214,Planned_capex_starting_position!BB:BB)</f>
        <v>0</v>
      </c>
      <c r="H214" s="800">
        <f>SUMIF(Planned_capex_starting_position!$AF:$AF,$A214,Planned_capex_starting_position!BC:BC)</f>
        <v>0</v>
      </c>
      <c r="I214" s="800">
        <f>SUMIF(Planned_capex_starting_position!$AF:$AF,$A214,Planned_capex_starting_position!BD:BD)</f>
        <v>0</v>
      </c>
      <c r="J214" s="800">
        <f>SUMIF(Planned_capex_starting_position!$AF:$AF,$A214,Planned_capex_starting_position!BE:BE)</f>
        <v>0</v>
      </c>
      <c r="K214" s="800">
        <f>SUMIF(Planned_capex_starting_position!$AF:$AF,$A214,Planned_capex_starting_position!BF:BF)</f>
        <v>0</v>
      </c>
      <c r="L214" s="800">
        <f>SUMIF(Planned_capex_starting_position!$AF:$AF,$A214,Planned_capex_starting_position!BG:BG)</f>
        <v>0</v>
      </c>
      <c r="M214" s="800">
        <f>SUMIF(Planned_capex_starting_position!$AF:$AF,$A214,Planned_capex_starting_position!BH:BH)</f>
        <v>0</v>
      </c>
      <c r="N214" s="800">
        <f>SUMIF(Planned_capex_starting_position!$AF:$AF,$A214,Planned_capex_starting_position!BI:BI)</f>
        <v>0</v>
      </c>
      <c r="O214" s="800">
        <f t="shared" si="3"/>
        <v>0</v>
      </c>
      <c r="P214" s="41"/>
      <c r="Q214" s="125"/>
      <c r="R214" s="125"/>
      <c r="T214" s="29"/>
      <c r="U214" s="29"/>
    </row>
    <row r="215" spans="1:26" customFormat="1" hidden="1">
      <c r="A215" s="22" t="s">
        <v>2881</v>
      </c>
      <c r="B215" s="31" t="s">
        <v>1205</v>
      </c>
      <c r="C215" s="58"/>
      <c r="D215" s="800">
        <v>0</v>
      </c>
      <c r="E215" s="800">
        <f>SUMIF(Planned_capex_starting_position!$AF:$AF,$A215,Planned_capex_starting_position!AZ:AZ)</f>
        <v>0</v>
      </c>
      <c r="F215" s="800">
        <f>SUMIF(Planned_capex_starting_position!$AF:$AF,$A215,Planned_capex_starting_position!BA:BA)</f>
        <v>0</v>
      </c>
      <c r="G215" s="800">
        <f>SUMIF(Planned_capex_starting_position!$AF:$AF,$A215,Planned_capex_starting_position!BB:BB)</f>
        <v>0</v>
      </c>
      <c r="H215" s="800">
        <f>SUMIF(Planned_capex_starting_position!$AF:$AF,$A215,Planned_capex_starting_position!BC:BC)</f>
        <v>0</v>
      </c>
      <c r="I215" s="800">
        <f>SUMIF(Planned_capex_starting_position!$AF:$AF,$A215,Planned_capex_starting_position!BD:BD)</f>
        <v>0</v>
      </c>
      <c r="J215" s="800">
        <f>SUMIF(Planned_capex_starting_position!$AF:$AF,$A215,Planned_capex_starting_position!BE:BE)</f>
        <v>0</v>
      </c>
      <c r="K215" s="800">
        <f>SUMIF(Planned_capex_starting_position!$AF:$AF,$A215,Planned_capex_starting_position!BF:BF)</f>
        <v>0</v>
      </c>
      <c r="L215" s="800">
        <f>SUMIF(Planned_capex_starting_position!$AF:$AF,$A215,Planned_capex_starting_position!BG:BG)</f>
        <v>0</v>
      </c>
      <c r="M215" s="800">
        <f>SUMIF(Planned_capex_starting_position!$AF:$AF,$A215,Planned_capex_starting_position!BH:BH)</f>
        <v>0</v>
      </c>
      <c r="N215" s="800">
        <f>SUMIF(Planned_capex_starting_position!$AF:$AF,$A215,Planned_capex_starting_position!BI:BI)</f>
        <v>0</v>
      </c>
      <c r="O215" s="800">
        <f t="shared" si="3"/>
        <v>0</v>
      </c>
      <c r="P215" s="41"/>
      <c r="Q215" s="125"/>
      <c r="R215" s="125"/>
      <c r="T215" s="29"/>
      <c r="U215" s="29"/>
    </row>
    <row r="216" spans="1:26" customFormat="1" hidden="1">
      <c r="A216" s="22" t="s">
        <v>2882</v>
      </c>
      <c r="B216" s="31" t="s">
        <v>1205</v>
      </c>
      <c r="C216" s="58"/>
      <c r="D216" s="800">
        <v>0</v>
      </c>
      <c r="E216" s="800">
        <f>SUMIF(Planned_capex_starting_position!$AF:$AF,$A216,Planned_capex_starting_position!AZ:AZ)</f>
        <v>0</v>
      </c>
      <c r="F216" s="800">
        <f>SUMIF(Planned_capex_starting_position!$AF:$AF,$A216,Planned_capex_starting_position!BA:BA)</f>
        <v>0</v>
      </c>
      <c r="G216" s="800">
        <f>SUMIF(Planned_capex_starting_position!$AF:$AF,$A216,Planned_capex_starting_position!BB:BB)</f>
        <v>0</v>
      </c>
      <c r="H216" s="800">
        <f>SUMIF(Planned_capex_starting_position!$AF:$AF,$A216,Planned_capex_starting_position!BC:BC)</f>
        <v>0</v>
      </c>
      <c r="I216" s="800">
        <f>SUMIF(Planned_capex_starting_position!$AF:$AF,$A216,Planned_capex_starting_position!BD:BD)</f>
        <v>0</v>
      </c>
      <c r="J216" s="800">
        <f>SUMIF(Planned_capex_starting_position!$AF:$AF,$A216,Planned_capex_starting_position!BE:BE)</f>
        <v>0</v>
      </c>
      <c r="K216" s="800">
        <f>SUMIF(Planned_capex_starting_position!$AF:$AF,$A216,Planned_capex_starting_position!BF:BF)</f>
        <v>0</v>
      </c>
      <c r="L216" s="800">
        <f>SUMIF(Planned_capex_starting_position!$AF:$AF,$A216,Planned_capex_starting_position!BG:BG)</f>
        <v>0</v>
      </c>
      <c r="M216" s="800">
        <f>SUMIF(Planned_capex_starting_position!$AF:$AF,$A216,Planned_capex_starting_position!BH:BH)</f>
        <v>0</v>
      </c>
      <c r="N216" s="800">
        <f>SUMIF(Planned_capex_starting_position!$AF:$AF,$A216,Planned_capex_starting_position!BI:BI)</f>
        <v>0</v>
      </c>
      <c r="O216" s="800">
        <f t="shared" si="3"/>
        <v>0</v>
      </c>
      <c r="P216" s="41"/>
      <c r="Q216" s="125"/>
      <c r="R216" s="125"/>
      <c r="T216" s="29"/>
      <c r="U216" s="29"/>
    </row>
    <row r="217" spans="1:26" customFormat="1" hidden="1">
      <c r="A217" s="22" t="s">
        <v>2883</v>
      </c>
      <c r="B217" s="31" t="s">
        <v>1205</v>
      </c>
      <c r="C217" s="58"/>
      <c r="D217" s="800">
        <v>0</v>
      </c>
      <c r="E217" s="800">
        <f>SUMIF(Planned_capex_starting_position!$AF:$AF,$A217,Planned_capex_starting_position!AZ:AZ)</f>
        <v>0</v>
      </c>
      <c r="F217" s="800">
        <f>SUMIF(Planned_capex_starting_position!$AF:$AF,$A217,Planned_capex_starting_position!BA:BA)</f>
        <v>0</v>
      </c>
      <c r="G217" s="800">
        <f>SUMIF(Planned_capex_starting_position!$AF:$AF,$A217,Planned_capex_starting_position!BB:BB)</f>
        <v>0</v>
      </c>
      <c r="H217" s="800">
        <f>SUMIF(Planned_capex_starting_position!$AF:$AF,$A217,Planned_capex_starting_position!BC:BC)</f>
        <v>0</v>
      </c>
      <c r="I217" s="800">
        <f>SUMIF(Planned_capex_starting_position!$AF:$AF,$A217,Planned_capex_starting_position!BD:BD)</f>
        <v>0</v>
      </c>
      <c r="J217" s="800">
        <f>SUMIF(Planned_capex_starting_position!$AF:$AF,$A217,Planned_capex_starting_position!BE:BE)</f>
        <v>0</v>
      </c>
      <c r="K217" s="800">
        <f>SUMIF(Planned_capex_starting_position!$AF:$AF,$A217,Planned_capex_starting_position!BF:BF)</f>
        <v>0</v>
      </c>
      <c r="L217" s="800">
        <f>SUMIF(Planned_capex_starting_position!$AF:$AF,$A217,Planned_capex_starting_position!BG:BG)</f>
        <v>0</v>
      </c>
      <c r="M217" s="800">
        <f>SUMIF(Planned_capex_starting_position!$AF:$AF,$A217,Planned_capex_starting_position!BH:BH)</f>
        <v>0</v>
      </c>
      <c r="N217" s="800">
        <f>SUMIF(Planned_capex_starting_position!$AF:$AF,$A217,Planned_capex_starting_position!BI:BI)</f>
        <v>0</v>
      </c>
      <c r="O217" s="800">
        <f t="shared" si="3"/>
        <v>0</v>
      </c>
      <c r="P217" s="41"/>
      <c r="Q217" s="125"/>
      <c r="R217" s="125"/>
      <c r="T217" s="29"/>
      <c r="U217" s="29"/>
    </row>
    <row r="218" spans="1:26" customFormat="1" hidden="1">
      <c r="A218" s="22" t="s">
        <v>2884</v>
      </c>
      <c r="B218" s="31" t="s">
        <v>1205</v>
      </c>
      <c r="C218" s="58"/>
      <c r="D218" s="800">
        <v>0</v>
      </c>
      <c r="E218" s="800">
        <f>SUMIF(Planned_capex_starting_position!$AF:$AF,$A218,Planned_capex_starting_position!AZ:AZ)</f>
        <v>0</v>
      </c>
      <c r="F218" s="800">
        <f>SUMIF(Planned_capex_starting_position!$AF:$AF,$A218,Planned_capex_starting_position!BA:BA)</f>
        <v>0</v>
      </c>
      <c r="G218" s="800">
        <f>SUMIF(Planned_capex_starting_position!$AF:$AF,$A218,Planned_capex_starting_position!BB:BB)</f>
        <v>0</v>
      </c>
      <c r="H218" s="800">
        <f>SUMIF(Planned_capex_starting_position!$AF:$AF,$A218,Planned_capex_starting_position!BC:BC)</f>
        <v>0</v>
      </c>
      <c r="I218" s="800">
        <f>SUMIF(Planned_capex_starting_position!$AF:$AF,$A218,Planned_capex_starting_position!BD:BD)</f>
        <v>0</v>
      </c>
      <c r="J218" s="800">
        <f>SUMIF(Planned_capex_starting_position!$AF:$AF,$A218,Planned_capex_starting_position!BE:BE)</f>
        <v>0</v>
      </c>
      <c r="K218" s="800">
        <f>SUMIF(Planned_capex_starting_position!$AF:$AF,$A218,Planned_capex_starting_position!BF:BF)</f>
        <v>0</v>
      </c>
      <c r="L218" s="800">
        <f>SUMIF(Planned_capex_starting_position!$AF:$AF,$A218,Planned_capex_starting_position!BG:BG)</f>
        <v>0</v>
      </c>
      <c r="M218" s="800">
        <f>SUMIF(Planned_capex_starting_position!$AF:$AF,$A218,Planned_capex_starting_position!BH:BH)</f>
        <v>0</v>
      </c>
      <c r="N218" s="800">
        <f>SUMIF(Planned_capex_starting_position!$AF:$AF,$A218,Planned_capex_starting_position!BI:BI)</f>
        <v>0</v>
      </c>
      <c r="O218" s="800">
        <f t="shared" si="3"/>
        <v>0</v>
      </c>
      <c r="P218" s="41"/>
      <c r="Q218" s="125"/>
      <c r="R218" s="125"/>
      <c r="T218" s="29"/>
      <c r="U218" s="29"/>
    </row>
    <row r="219" spans="1:26">
      <c r="A219" s="35"/>
      <c r="B219" s="36"/>
      <c r="C219" s="31"/>
      <c r="D219" s="801"/>
      <c r="E219" s="801"/>
      <c r="F219" s="801"/>
      <c r="G219" s="801"/>
      <c r="H219" s="801"/>
      <c r="I219" s="801"/>
      <c r="J219" s="801"/>
      <c r="K219" s="801"/>
      <c r="L219" s="801"/>
      <c r="M219" s="801"/>
      <c r="N219" s="801"/>
      <c r="O219" s="801"/>
      <c r="P219" s="41"/>
      <c r="Q219" s="36"/>
      <c r="R219" s="36"/>
      <c r="S219" s="36"/>
      <c r="T219" s="36"/>
      <c r="U219" s="36"/>
      <c r="V219" s="36"/>
      <c r="W219" s="36"/>
      <c r="X219" s="36"/>
      <c r="Y219" s="36"/>
      <c r="Z219" s="36"/>
    </row>
    <row r="220" spans="1:26" ht="20.25" customHeight="1">
      <c r="A220" s="35"/>
      <c r="B220" s="37" t="s">
        <v>90</v>
      </c>
      <c r="C220" s="34"/>
      <c r="D220" s="802">
        <f t="shared" ref="D220:N220" si="4">SUM(D11:D219)</f>
        <v>0</v>
      </c>
      <c r="E220" s="802">
        <f t="shared" si="4"/>
        <v>1061495.9901241977</v>
      </c>
      <c r="F220" s="802">
        <f t="shared" si="4"/>
        <v>6117129.0328684952</v>
      </c>
      <c r="G220" s="802">
        <f t="shared" si="4"/>
        <v>7330403.1216268251</v>
      </c>
      <c r="H220" s="802">
        <f t="shared" si="4"/>
        <v>8206087.3511404889</v>
      </c>
      <c r="I220" s="802">
        <f t="shared" si="4"/>
        <v>12135058.973439788</v>
      </c>
      <c r="J220" s="802">
        <f t="shared" si="4"/>
        <v>18682203.02664271</v>
      </c>
      <c r="K220" s="802">
        <f t="shared" si="4"/>
        <v>10704667.14697428</v>
      </c>
      <c r="L220" s="802">
        <f t="shared" si="4"/>
        <v>24177142.185364276</v>
      </c>
      <c r="M220" s="802">
        <f t="shared" si="4"/>
        <v>26823497.268550105</v>
      </c>
      <c r="N220" s="802">
        <f t="shared" si="4"/>
        <v>85038256.968347877</v>
      </c>
      <c r="O220" s="802">
        <f>SUM(D220,E220:N220)</f>
        <v>200275941.06507903</v>
      </c>
      <c r="P220" s="741"/>
      <c r="Q220" s="36"/>
      <c r="R220" s="36"/>
      <c r="S220" s="36"/>
      <c r="T220" s="36"/>
      <c r="U220" s="36"/>
      <c r="V220" s="36"/>
      <c r="W220" s="36"/>
      <c r="X220" s="36"/>
      <c r="Y220" s="36"/>
      <c r="Z220" s="36"/>
    </row>
    <row r="221" spans="1:26">
      <c r="A221" s="35"/>
      <c r="B221" s="35"/>
      <c r="C221" s="22"/>
      <c r="D221" s="41"/>
      <c r="E221" s="41"/>
      <c r="F221" s="41"/>
      <c r="G221" s="41"/>
      <c r="H221" s="41"/>
      <c r="I221" s="41"/>
      <c r="J221" s="41"/>
      <c r="K221" s="41"/>
      <c r="L221" s="41"/>
      <c r="M221" s="41"/>
      <c r="N221" s="41"/>
      <c r="O221" s="41"/>
      <c r="P221" s="35"/>
      <c r="Q221" s="36"/>
      <c r="R221" s="36"/>
      <c r="S221" s="36"/>
      <c r="T221" s="36"/>
      <c r="U221" s="36"/>
      <c r="V221" s="36"/>
      <c r="W221" s="36"/>
      <c r="X221" s="36"/>
      <c r="Y221" s="36"/>
      <c r="Z221" s="36"/>
    </row>
    <row r="222" spans="1:26">
      <c r="A222" s="35"/>
      <c r="B222" s="22" t="s">
        <v>6998</v>
      </c>
      <c r="C222" s="22"/>
      <c r="D222" s="803"/>
      <c r="E222" s="803">
        <f>+E220-Planned_capex_starting_position!AZ153</f>
        <v>0</v>
      </c>
      <c r="F222" s="803">
        <f>+F220-Planned_capex_starting_position!BA153</f>
        <v>0</v>
      </c>
      <c r="G222" s="803">
        <f>+G220-Planned_capex_starting_position!BB153</f>
        <v>0</v>
      </c>
      <c r="H222" s="803">
        <f>+H220-Planned_capex_starting_position!BC153</f>
        <v>0</v>
      </c>
      <c r="I222" s="803">
        <f>+I220-Planned_capex_starting_position!BD153</f>
        <v>0</v>
      </c>
      <c r="J222" s="803">
        <f>+J220-Planned_capex_starting_position!BE153</f>
        <v>0</v>
      </c>
      <c r="K222" s="803">
        <f>+K220-Planned_capex_starting_position!BF153</f>
        <v>0</v>
      </c>
      <c r="L222" s="803">
        <f>+L220-Planned_capex_starting_position!BG153</f>
        <v>0</v>
      </c>
      <c r="M222" s="803">
        <f>+M220-Planned_capex_starting_position!BH153</f>
        <v>0</v>
      </c>
      <c r="N222" s="803">
        <f>+N220-Planned_capex_starting_position!BI153</f>
        <v>0</v>
      </c>
      <c r="O222" s="803">
        <f>+O220-Planned_capex_starting_position!BJ153</f>
        <v>0</v>
      </c>
      <c r="P222" s="35"/>
      <c r="Q222" s="36"/>
      <c r="R222" s="36"/>
      <c r="S222" s="36"/>
      <c r="T222" s="36"/>
      <c r="U222" s="36"/>
      <c r="V222" s="36"/>
      <c r="W222" s="36"/>
      <c r="X222" s="36"/>
      <c r="Y222" s="36"/>
      <c r="Z222" s="36"/>
    </row>
    <row r="223" spans="1:26">
      <c r="A223" s="35"/>
      <c r="B223" s="35"/>
      <c r="C223" s="22"/>
      <c r="D223" s="35"/>
      <c r="E223" s="35"/>
      <c r="F223" s="35"/>
      <c r="G223" s="35"/>
      <c r="H223" s="35"/>
      <c r="I223" s="35"/>
      <c r="J223" s="35"/>
      <c r="K223" s="35"/>
      <c r="L223" s="35"/>
      <c r="M223" s="35"/>
      <c r="N223" s="35"/>
      <c r="O223" s="35"/>
      <c r="P223" s="35"/>
    </row>
    <row r="224" spans="1:26">
      <c r="C224" s="153"/>
    </row>
    <row r="225" spans="3:15">
      <c r="C225" s="153"/>
    </row>
    <row r="226" spans="3:15">
      <c r="C226" s="153"/>
    </row>
    <row r="227" spans="3:15">
      <c r="C227" s="153"/>
      <c r="D227" s="801"/>
      <c r="E227" s="801"/>
      <c r="F227" s="801"/>
      <c r="G227" s="801"/>
      <c r="H227" s="801"/>
      <c r="I227" s="801"/>
      <c r="J227" s="801"/>
      <c r="K227" s="801"/>
      <c r="L227" s="801"/>
      <c r="M227" s="801"/>
      <c r="N227" s="801"/>
      <c r="O227" s="801"/>
    </row>
    <row r="228" spans="3:15">
      <c r="C228" s="153"/>
    </row>
    <row r="229" spans="3:15">
      <c r="C229" s="153"/>
    </row>
    <row r="230" spans="3:15">
      <c r="C230" s="28"/>
    </row>
  </sheetData>
  <autoFilter ref="A10:AJ218" xr:uid="{00000000-0001-0000-0300-000000000000}">
    <filterColumn colId="2">
      <filters>
        <filter val="Drury / Opaheke"/>
        <filter val="Drury East IPA"/>
        <filter val="Drury IPA (civic park)"/>
        <filter val="Drury IPA (Community spaces)"/>
        <filter val="Drury South"/>
        <filter val="Drury West"/>
        <filter val="Drury West 1 IPA"/>
        <filter val="Drury West 2 IPA"/>
        <filter val="Opaheke / Drury"/>
        <filter val="Opaheke IPA"/>
        <filter val="Southern Growth Area"/>
        <filter val="Southern Growth Area 1"/>
        <filter val="Southern Growth Area 2"/>
        <filter val="Southern Growth Area 3"/>
      </filters>
    </filterColumn>
  </autoFilter>
  <customSheetViews>
    <customSheetView guid="{A2EDE129-9A82-414C-9545-4AA6BCAEFA13}">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4CB5074A-E16B-4E31-B838-49EE3EE7DA0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BFB4608D-4945-446C-9A8C-C4729DADE1CC}">
      <selection activeCell="O29" sqref="O29"/>
      <pageMargins left="0.75" right="0.75" top="1" bottom="1" header="0.5" footer="0.5"/>
      <headerFooter alignWithMargins="0"/>
    </customSheetView>
    <customSheetView guid="{1DB52CAD-403B-4256-97F4-977FD85A83D4}" showRuler="0">
      <selection activeCell="O29" sqref="O29"/>
      <pageMargins left="0.75" right="0.75" top="1" bottom="1" header="0.5" footer="0.5"/>
      <headerFooter alignWithMargins="0"/>
    </customSheetView>
  </customSheetViews>
  <phoneticPr fontId="7" type="noConversion"/>
  <pageMargins left="0.39370078740157483" right="0.19685039370078741" top="0.78740157480314965" bottom="0.78740157480314965" header="0.51181102362204722" footer="0.51181102362204722"/>
  <pageSetup paperSize="8" scale="82" fitToHeight="4" orientation="landscape" r:id="rId2"/>
  <headerFooter>
    <oddHeader>&amp;L&amp;"Calibri,Regular"&amp;24Auckland Council Development Contributions Cost Allocation Model</oddHeader>
    <oddFooter>&amp;L&amp;F&amp;C&amp;A&amp;RPage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FCC1-F467-4FA9-89D7-56F76F3B7A8F}">
  <sheetPr codeName="Sheet46">
    <tabColor rgb="FFFFFF00"/>
    <pageSetUpPr fitToPage="1"/>
  </sheetPr>
  <dimension ref="A1:P96"/>
  <sheetViews>
    <sheetView topLeftCell="F64" zoomScale="85" zoomScaleNormal="85" workbookViewId="0">
      <selection activeCell="F77" sqref="F5:P77"/>
    </sheetView>
  </sheetViews>
  <sheetFormatPr defaultColWidth="9.81640625" defaultRowHeight="12.5"/>
  <cols>
    <col min="1" max="1" width="14.81640625" style="755" hidden="1" customWidth="1"/>
    <col min="2" max="2" width="10.1796875" style="755" hidden="1" customWidth="1"/>
    <col min="3" max="3" width="51.1796875" style="755" hidden="1" customWidth="1"/>
    <col min="4" max="4" width="29" style="755" hidden="1" customWidth="1"/>
    <col min="5" max="5" width="15" style="755" hidden="1" customWidth="1"/>
    <col min="6" max="6" width="28.7265625" style="755" customWidth="1"/>
    <col min="7" max="7" width="29.81640625" style="755" customWidth="1"/>
    <col min="8" max="8" width="67.26953125" style="762" customWidth="1"/>
    <col min="9" max="9" width="64.1796875" style="762" customWidth="1"/>
    <col min="10" max="10" width="21.54296875" style="755" customWidth="1"/>
    <col min="11" max="11" width="24.1796875" style="755" customWidth="1"/>
    <col min="12" max="13" width="21" style="755" customWidth="1"/>
    <col min="14" max="14" width="16.453125" style="764" customWidth="1"/>
    <col min="15" max="15" width="14.81640625" style="755" customWidth="1"/>
    <col min="16" max="16" width="17" style="755" customWidth="1"/>
    <col min="17" max="16384" width="9.81640625" style="755"/>
  </cols>
  <sheetData>
    <row r="1" spans="1:16" s="763" customFormat="1" ht="18">
      <c r="A1" s="755"/>
      <c r="B1" s="755"/>
      <c r="C1" s="755"/>
      <c r="D1" s="755"/>
      <c r="E1" s="755"/>
      <c r="F1" s="756" t="s">
        <v>5784</v>
      </c>
      <c r="G1" s="755"/>
      <c r="H1" s="762"/>
      <c r="I1" s="762"/>
      <c r="J1" s="755"/>
      <c r="K1" s="755"/>
      <c r="L1" s="755"/>
      <c r="M1" s="755"/>
    </row>
    <row r="2" spans="1:16" s="763" customFormat="1" ht="18.5" thickBot="1">
      <c r="A2" s="758"/>
      <c r="B2" s="755"/>
      <c r="C2" s="755"/>
      <c r="D2" s="755"/>
      <c r="E2" s="755"/>
      <c r="F2" s="756"/>
      <c r="G2" s="755"/>
      <c r="H2" s="762"/>
      <c r="I2" s="762"/>
      <c r="J2" s="755"/>
      <c r="K2" s="755"/>
      <c r="L2" s="755"/>
      <c r="M2" s="755"/>
    </row>
    <row r="3" spans="1:16" s="763" customFormat="1" ht="76.5" customHeight="1" thickBot="1">
      <c r="A3" s="924"/>
      <c r="B3" s="924"/>
      <c r="C3" s="924"/>
      <c r="D3" s="924"/>
      <c r="E3" s="924"/>
      <c r="F3" s="823" t="s">
        <v>5801</v>
      </c>
      <c r="G3" s="824"/>
      <c r="H3" s="825"/>
      <c r="I3" s="825"/>
      <c r="J3" s="826"/>
      <c r="K3" s="826"/>
      <c r="L3" s="826"/>
      <c r="M3" s="827"/>
      <c r="N3" s="828"/>
      <c r="O3" s="828"/>
      <c r="P3" s="829"/>
    </row>
    <row r="4" spans="1:16" s="763" customFormat="1" ht="70.5" thickBot="1">
      <c r="A4" s="757" t="s">
        <v>7011</v>
      </c>
      <c r="B4" s="757" t="s">
        <v>7012</v>
      </c>
      <c r="C4" s="796" t="s">
        <v>5566</v>
      </c>
      <c r="D4" s="795" t="s">
        <v>6979</v>
      </c>
      <c r="E4" s="797" t="s">
        <v>5456</v>
      </c>
      <c r="F4" s="759" t="s">
        <v>7009</v>
      </c>
      <c r="G4" s="760" t="s">
        <v>2002</v>
      </c>
      <c r="H4" s="760" t="s">
        <v>2012</v>
      </c>
      <c r="I4" s="760" t="s">
        <v>5803</v>
      </c>
      <c r="J4" s="760" t="s">
        <v>5795</v>
      </c>
      <c r="K4" s="760" t="s">
        <v>5796</v>
      </c>
      <c r="L4" s="760" t="s">
        <v>5797</v>
      </c>
      <c r="M4" s="760" t="s">
        <v>5793</v>
      </c>
      <c r="N4" s="760" t="s">
        <v>5794</v>
      </c>
      <c r="O4" s="760" t="s">
        <v>6976</v>
      </c>
      <c r="P4" s="761" t="s">
        <v>6977</v>
      </c>
    </row>
    <row r="5" spans="1:16" ht="25">
      <c r="A5" s="791" t="str">
        <f t="shared" ref="A5:A36" si="0">TRIM(LEFT(B5, 3))</f>
        <v>TRA</v>
      </c>
      <c r="B5" s="791" t="str">
        <f>VLOOKUP(C5,CHOOSE({1,2},Planned_capex_starting_position!$BL$8:$BL$413,Planned_capex_starting_position!$AF$8:$AF$413),2,0)</f>
        <v>TRA A1</v>
      </c>
      <c r="C5" s="791" t="s">
        <v>6971</v>
      </c>
      <c r="D5" s="837" t="str">
        <f>IF($A5="TRA",VLOOKUP($C5,Planned_capex_starting_position!$BL$8:$BU$147,9,FALSE),"Not Transport")</f>
        <v>Collector</v>
      </c>
      <c r="E5" s="791" t="str">
        <f>IF(VLOOKUP(C5,CHOOSE({1,2},Planned_capex_starting_position!$BL$8:$BL$413,Planned_capex_starting_position!$E$8:$E$413),2,0)=0,"",VLOOKUP(C5,CHOOSE({1,2},Planned_capex_starting_position!$BL$8:$BL$413,Planned_capex_starting_position!$E$8:$E$413),2,0))</f>
        <v>14a TRA A1</v>
      </c>
      <c r="F5" s="830" t="str">
        <f>VLOOKUP(A5,Lists!H:I,2,FALSE)</f>
        <v>Transport</v>
      </c>
      <c r="G5" s="831" t="str">
        <f>VLOOKUP(B5,FA_Codes!D:G,4,FALSE)</f>
        <v>Auckland wide</v>
      </c>
      <c r="H5" s="904" t="str">
        <f>VLOOKUP(C5,CHOOSE({1,2},Planned_capex_starting_position!$BL$8:$BL$413,Planned_capex_starting_position!$F$8:$F$413),2,0)</f>
        <v>Western end of Brookefield Road Extension tie in with Quarry Rd</v>
      </c>
      <c r="I5" s="904" t="str">
        <f>VLOOKUP(C5,CHOOSE({1,2},Planned_capex_starting_position!$BL$8:$BL$413,Planned_capex_starting_position!$G$8:$G$413),2,0)</f>
        <v>2-lane urban (New Road connection to Quarry Road with active modes on both sides + intersection improvements)</v>
      </c>
      <c r="J5" s="905">
        <f>SUMIFS(Planned_capex_starting_position!$AC$8:$AC$413,Planned_capex_starting_position!$AC$8:$AC$413,"&gt;0",Planned_capex_starting_position!$BL$8:$BL$413,C5)</f>
        <v>225992.13136967673</v>
      </c>
      <c r="K5" s="905">
        <f>SUMIF(Planned_capex_starting_position!$BL$8:$BL$413,C5,Planned_capex_starting_position!$AV$8:$AV$413)+SUMIF(Planned_capex_starting_position!$BL$8:$BL$413,C5,Planned_capex_starting_position!$BJ$8:$BJ$413)</f>
        <v>74288.12700490703</v>
      </c>
      <c r="L5" s="905">
        <f t="shared" ref="L5:L36" si="1">J5-K5</f>
        <v>151704.0043647697</v>
      </c>
      <c r="M5" s="832">
        <f t="shared" ref="M5:M36" si="2">IFERROR(K5/J5,0)</f>
        <v>0.32871997159665223</v>
      </c>
      <c r="N5" s="833">
        <f t="shared" ref="N5:N36" si="3">1-M5</f>
        <v>0.67128002840334777</v>
      </c>
      <c r="O5" s="834" t="s">
        <v>6978</v>
      </c>
      <c r="P5" s="835">
        <f>_xlfn.XLOOKUP($C5,Planned_capex_starting_position!$BL$8:$BL$149,Planned_capex_starting_position!$R$8:$R$149,"Not found",0)</f>
        <v>2060</v>
      </c>
    </row>
    <row r="6" spans="1:16" ht="25">
      <c r="A6" s="791" t="str">
        <f t="shared" si="0"/>
        <v>TRA</v>
      </c>
      <c r="B6" s="791" t="str">
        <f>VLOOKUP(C6,CHOOSE({1,2},Planned_capex_starting_position!$BL$8:$BL$413,Planned_capex_starting_position!$AF$8:$AF$413),2,0)</f>
        <v>TRA A1</v>
      </c>
      <c r="C6" s="791" t="s">
        <v>6972</v>
      </c>
      <c r="D6" s="837" t="str">
        <f>IF($A6="TRA",VLOOKUP($C6,Planned_capex_starting_position!$BL$8:$BU$147,9,FALSE),"Not Transport")</f>
        <v>Arterial</v>
      </c>
      <c r="E6" s="791" t="str">
        <f>IF(VLOOKUP(C6,CHOOSE({1,2},Planned_capex_starting_position!$BL$8:$BL$413,Planned_capex_starting_position!$E$8:$E$413),2,0)=0,"",VLOOKUP(C6,CHOOSE({1,2},Planned_capex_starting_position!$BL$8:$BL$413,Planned_capex_starting_position!$E$8:$E$413),2,0))</f>
        <v>1b TRA A1</v>
      </c>
      <c r="F6" s="811" t="str">
        <f>VLOOKUP(A6,Lists!H:I,2,FALSE)</f>
        <v>Transport</v>
      </c>
      <c r="G6" s="812" t="str">
        <f>VLOOKUP(B6,FA_Codes!D:G,4,FALSE)</f>
        <v>Auckland wide</v>
      </c>
      <c r="H6" s="813" t="str">
        <f>VLOOKUP(C6,CHOOSE({1,2},Planned_capex_starting_position!$BL$8:$BL$413,Planned_capex_starting_position!$F$8:$F$413),2,0)</f>
        <v>GSR improvements - Waihoehoe Rd to Drury Interchange</v>
      </c>
      <c r="I6" s="813" t="str">
        <f>VLOOKUP(C6,CHOOSE({1,2},Planned_capex_starting_position!$BL$8:$BL$413,Planned_capex_starting_position!$G$8:$G$413),2,0)</f>
        <v>4-lane urban- existing road layout with active modes on both sides + intersection improvements (TDM)</v>
      </c>
      <c r="J6" s="814">
        <f>SUMIFS(Planned_capex_starting_position!$AC$8:$AC$413,Planned_capex_starting_position!$AC$8:$AC$413,"&gt;0",Planned_capex_starting_position!$BL$8:$BL$413,C6)</f>
        <v>664979.00130830135</v>
      </c>
      <c r="K6" s="814">
        <f>SUMIF(Planned_capex_starting_position!$BL$8:$BL$413,C6,Planned_capex_starting_position!$AV$8:$AV$413)+SUMIF(Planned_capex_starting_position!$BL$8:$BL$413,C6,Planned_capex_starting_position!$BJ$8:$BJ$413)</f>
        <v>107110.02042699317</v>
      </c>
      <c r="L6" s="814">
        <f t="shared" si="1"/>
        <v>557868.98088130821</v>
      </c>
      <c r="M6" s="815">
        <f t="shared" si="2"/>
        <v>0.16107278608235964</v>
      </c>
      <c r="N6" s="822">
        <f t="shared" si="3"/>
        <v>0.83892721391764036</v>
      </c>
      <c r="O6" s="818" t="s">
        <v>6978</v>
      </c>
      <c r="P6" s="836">
        <f>_xlfn.XLOOKUP($C6,Planned_capex_starting_position!$BL$8:$BL$149,Planned_capex_starting_position!$R$8:$R$149,"Not found",0)</f>
        <v>2060</v>
      </c>
    </row>
    <row r="7" spans="1:16" ht="25">
      <c r="A7" s="791" t="str">
        <f t="shared" si="0"/>
        <v>TRA</v>
      </c>
      <c r="B7" s="791" t="str">
        <f>VLOOKUP(C7,CHOOSE({1,2},Planned_capex_starting_position!$BL$8:$BL$413,Planned_capex_starting_position!$AF$8:$AF$413),2,0)</f>
        <v>TRA A1</v>
      </c>
      <c r="C7" s="791" t="s">
        <v>6973</v>
      </c>
      <c r="D7" s="837" t="str">
        <f>IF($A7="TRA",VLOOKUP($C7,Planned_capex_starting_position!$BL$8:$BU$147,9,FALSE),"Not Transport")</f>
        <v>Arterial</v>
      </c>
      <c r="E7" s="791" t="str">
        <f>IF(VLOOKUP(C7,CHOOSE({1,2},Planned_capex_starting_position!$BL$8:$BL$413,Planned_capex_starting_position!$E$8:$E$413),2,0)=0,"",VLOOKUP(C7,CHOOSE({1,2},Planned_capex_starting_position!$BL$8:$BL$413,Planned_capex_starting_position!$E$8:$E$413),2,0))</f>
        <v>2a TRA A1</v>
      </c>
      <c r="F7" s="811" t="str">
        <f>VLOOKUP(A7,Lists!H:I,2,FALSE)</f>
        <v>Transport</v>
      </c>
      <c r="G7" s="812" t="str">
        <f>VLOOKUP(B7,FA_Codes!D:G,4,FALSE)</f>
        <v>Auckland wide</v>
      </c>
      <c r="H7" s="813" t="str">
        <f>VLOOKUP(C7,CHOOSE({1,2},Planned_capex_starting_position!$BL$8:$BL$413,Planned_capex_starting_position!$F$8:$F$413),2,0)</f>
        <v>GSR improvements - From Drury School to Waihoehoe Rd</v>
      </c>
      <c r="I7" s="813" t="str">
        <f>VLOOKUP(C7,CHOOSE({1,2},Planned_capex_starting_position!$BL$8:$BL$413,Planned_capex_starting_position!$G$8:$G$413),2,0)</f>
        <v>2-lane urban- existing road layout with active modes on both sides + intersection improvements (TDM)</v>
      </c>
      <c r="J7" s="814">
        <f>SUMIFS(Planned_capex_starting_position!$AC$8:$AC$413,Planned_capex_starting_position!$AC$8:$AC$413,"&gt;0",Planned_capex_starting_position!$BL$8:$BL$413,C7)</f>
        <v>404626.20614234195</v>
      </c>
      <c r="K7" s="814">
        <f>SUMIF(Planned_capex_starting_position!$BL$8:$BL$413,C7,Planned_capex_starting_position!$AV$8:$AV$413)+SUMIF(Planned_capex_starting_position!$BL$8:$BL$413,C7,Planned_capex_starting_position!$BJ$8:$BJ$413)</f>
        <v>65174.270345282195</v>
      </c>
      <c r="L7" s="814">
        <f t="shared" si="1"/>
        <v>339451.93579705973</v>
      </c>
      <c r="M7" s="815">
        <f t="shared" si="2"/>
        <v>0.16107278608235964</v>
      </c>
      <c r="N7" s="822">
        <f t="shared" si="3"/>
        <v>0.83892721391764036</v>
      </c>
      <c r="O7" s="818" t="s">
        <v>6978</v>
      </c>
      <c r="P7" s="836">
        <f>_xlfn.XLOOKUP($C7,Planned_capex_starting_position!$BL$8:$BL$149,Planned_capex_starting_position!$R$8:$R$149,"Not found",0)</f>
        <v>2060</v>
      </c>
    </row>
    <row r="8" spans="1:16" ht="25">
      <c r="A8" s="791" t="str">
        <f t="shared" si="0"/>
        <v>TRA</v>
      </c>
      <c r="B8" s="791" t="str">
        <f>VLOOKUP(C8,CHOOSE({1,2},Planned_capex_starting_position!$BL$8:$BL$413,Planned_capex_starting_position!$AF$8:$AF$413),2,0)</f>
        <v>TRA A1</v>
      </c>
      <c r="C8" s="791" t="s">
        <v>6974</v>
      </c>
      <c r="D8" s="837" t="str">
        <f>IF($A8="TRA",VLOOKUP($C8,Planned_capex_starting_position!$BL$8:$BU$147,9,FALSE),"Not Transport")</f>
        <v>Arterial</v>
      </c>
      <c r="E8" s="791" t="str">
        <f>IF(VLOOKUP(C8,CHOOSE({1,2},Planned_capex_starting_position!$BL$8:$BL$413,Planned_capex_starting_position!$E$8:$E$413),2,0)=0,"",VLOOKUP(C8,CHOOSE({1,2},Planned_capex_starting_position!$BL$8:$BL$413,Planned_capex_starting_position!$E$8:$E$413),2,0))</f>
        <v>36a TRA A1</v>
      </c>
      <c r="F8" s="811" t="str">
        <f>VLOOKUP(A8,Lists!H:I,2,FALSE)</f>
        <v>Transport</v>
      </c>
      <c r="G8" s="812" t="str">
        <f>VLOOKUP(B8,FA_Codes!D:G,4,FALSE)</f>
        <v>Auckland wide</v>
      </c>
      <c r="H8" s="813" t="str">
        <f>VLOOKUP(C8,CHOOSE({1,2},Planned_capex_starting_position!$BL$8:$BL$413,Planned_capex_starting_position!$F$8:$F$413),2,0)</f>
        <v>Bremner-Norrie Road east of SH1 up to GSR (overlap with project 12)</v>
      </c>
      <c r="I8" s="813" t="str">
        <f>VLOOKUP(C8,CHOOSE({1,2},Planned_capex_starting_position!$BL$8:$BL$413,Planned_capex_starting_position!$G$8:$G$413),2,0)</f>
        <v>2-lane urban- upgrade existing road layout with active modes on both sides (Under construction)</v>
      </c>
      <c r="J8" s="814">
        <f>SUMIFS(Planned_capex_starting_position!$AC$8:$AC$413,Planned_capex_starting_position!$AC$8:$AC$413,"&gt;0",Planned_capex_starting_position!$BL$8:$BL$413,C8)</f>
        <v>676561.22081865778</v>
      </c>
      <c r="K8" s="814">
        <f>SUMIF(Planned_capex_starting_position!$BL$8:$BL$413,C8,Planned_capex_starting_position!$AV$8:$AV$413)+SUMIF(Planned_capex_starting_position!$BL$8:$BL$413,C8,Planned_capex_starting_position!$BJ$8:$BJ$413)</f>
        <v>108975.6007925437</v>
      </c>
      <c r="L8" s="814">
        <f t="shared" si="1"/>
        <v>567585.62002611405</v>
      </c>
      <c r="M8" s="815">
        <f t="shared" si="2"/>
        <v>0.16107278608235956</v>
      </c>
      <c r="N8" s="822">
        <f t="shared" si="3"/>
        <v>0.83892721391764047</v>
      </c>
      <c r="O8" s="818" t="s">
        <v>6978</v>
      </c>
      <c r="P8" s="836">
        <f>_xlfn.XLOOKUP($C8,Planned_capex_starting_position!$BL$8:$BL$149,Planned_capex_starting_position!$R$8:$R$149,"Not found",0)</f>
        <v>2060</v>
      </c>
    </row>
    <row r="9" spans="1:16" ht="25">
      <c r="A9" s="791" t="str">
        <f t="shared" si="0"/>
        <v>TRA</v>
      </c>
      <c r="B9" s="791" t="str">
        <f>VLOOKUP(C9,CHOOSE({1,2},Planned_capex_starting_position!$BL$8:$BL$413,Planned_capex_starting_position!$AF$8:$AF$413),2,0)</f>
        <v>TRA A1</v>
      </c>
      <c r="C9" s="791" t="s">
        <v>6975</v>
      </c>
      <c r="D9" s="837" t="str">
        <f>IF($A9="TRA",VLOOKUP($C9,Planned_capex_starting_position!$BL$8:$BU$147,9,FALSE),"Not Transport")</f>
        <v>Arterial</v>
      </c>
      <c r="E9" s="791" t="str">
        <f>IF(VLOOKUP(C9,CHOOSE({1,2},Planned_capex_starting_position!$BL$8:$BL$413,Planned_capex_starting_position!$E$8:$E$413),2,0)=0,"",VLOOKUP(C9,CHOOSE({1,2},Planned_capex_starting_position!$BL$8:$BL$413,Planned_capex_starting_position!$E$8:$E$413),2,0))</f>
        <v>40b TRA A1</v>
      </c>
      <c r="F9" s="811" t="str">
        <f>VLOOKUP(A9,Lists!H:I,2,FALSE)</f>
        <v>Transport</v>
      </c>
      <c r="G9" s="812" t="str">
        <f>VLOOKUP(B9,FA_Codes!D:G,4,FALSE)</f>
        <v>Auckland wide</v>
      </c>
      <c r="H9" s="813" t="str">
        <f>VLOOKUP(C9,CHOOSE({1,2},Planned_capex_starting_position!$BL$8:$BL$413,Planned_capex_starting_position!$F$8:$F$413),2,0)</f>
        <v>Upgrade intersection on Jesmond/Bremner Rd</v>
      </c>
      <c r="I9" s="813" t="str">
        <f>VLOOKUP(C9,CHOOSE({1,2},Planned_capex_starting_position!$BL$8:$BL$413,Planned_capex_starting_position!$G$8:$G$413),2,0)</f>
        <v xml:space="preserve"> Multi-lane signalised intersection (upgrade intersection with active mode crossings)</v>
      </c>
      <c r="J9" s="814">
        <f>SUMIFS(Planned_capex_starting_position!$AC$8:$AC$413,Planned_capex_starting_position!$AC$8:$AC$413,"&gt;0",Planned_capex_starting_position!$BL$8:$BL$413,C9)</f>
        <v>188798.70498404896</v>
      </c>
      <c r="K9" s="814">
        <f>SUMIF(Planned_capex_starting_position!$BL$8:$BL$413,C9,Planned_capex_starting_position!$AV$8:$AV$413)+SUMIF(Planned_capex_starting_position!$BL$8:$BL$413,C9,Planned_capex_starting_position!$BJ$8:$BJ$413)</f>
        <v>30410.333420522235</v>
      </c>
      <c r="L9" s="814">
        <f t="shared" si="1"/>
        <v>158388.37156352674</v>
      </c>
      <c r="M9" s="815">
        <f t="shared" si="2"/>
        <v>0.16107278608235959</v>
      </c>
      <c r="N9" s="822">
        <f t="shared" si="3"/>
        <v>0.83892721391764047</v>
      </c>
      <c r="O9" s="818" t="s">
        <v>6978</v>
      </c>
      <c r="P9" s="836">
        <f>_xlfn.XLOOKUP($C9,Planned_capex_starting_position!$BL$8:$BL$149,Planned_capex_starting_position!$R$8:$R$149,"Not found",0)</f>
        <v>2060</v>
      </c>
    </row>
    <row r="10" spans="1:16" ht="25">
      <c r="A10" s="791" t="str">
        <f t="shared" si="0"/>
        <v>TRA</v>
      </c>
      <c r="B10" s="791" t="str">
        <f>VLOOKUP(C10,CHOOSE({1,2},Planned_capex_starting_position!$BL$8:$BL$413,Planned_capex_starting_position!$AF$8:$AF$413),2,0)</f>
        <v>TRA A23</v>
      </c>
      <c r="C10" s="791" t="s">
        <v>6911</v>
      </c>
      <c r="D10" s="837" t="str">
        <f>IF($A10="TRA",VLOOKUP($C10,Planned_capex_starting_position!$BL$8:$BU$147,9,FALSE),"Not Transport")</f>
        <v>Arterial</v>
      </c>
      <c r="E10" s="791" t="str">
        <f>IF(VLOOKUP(C10,CHOOSE({1,2},Planned_capex_starting_position!$BL$8:$BL$413,Planned_capex_starting_position!$E$8:$E$413),2,0)=0,"",VLOOKUP(C10,CHOOSE({1,2},Planned_capex_starting_position!$BL$8:$BL$413,Planned_capex_starting_position!$E$8:$E$413),2,0))</f>
        <v>10b TRA A23</v>
      </c>
      <c r="F10" s="811" t="str">
        <f>VLOOKUP(A10,Lists!H:I,2,FALSE)</f>
        <v>Transport</v>
      </c>
      <c r="G10" s="812" t="str">
        <f>VLOOKUP(B10,FA_Codes!D:G,4,FALSE)</f>
        <v>Drury East IPA</v>
      </c>
      <c r="H10" s="813" t="str">
        <f>VLOOKUP(C10,CHOOSE({1,2},Planned_capex_starting_position!$BL$8:$BL$413,Planned_capex_starting_position!$F$8:$F$413),2,0)</f>
        <v>New intersection on Waihoehoe Rd/Fitzgerald Rd( including approach cross-sections)</v>
      </c>
      <c r="I10" s="813" t="str">
        <f>VLOOKUP(C10,CHOOSE({1,2},Planned_capex_starting_position!$BL$8:$BL$413,Planned_capex_starting_position!$G$8:$G$413),2,0)</f>
        <v>multi-lane roundabout with active mode crossings, SGA design</v>
      </c>
      <c r="J10" s="814">
        <f>SUMIFS(Planned_capex_starting_position!$AC$8:$AC$413,Planned_capex_starting_position!$AC$8:$AC$413,"&gt;0",Planned_capex_starting_position!$BL$8:$BL$413,C10)</f>
        <v>7483231.4754231609</v>
      </c>
      <c r="K10" s="814">
        <f>SUMIF(Planned_capex_starting_position!$BL$8:$BL$413,C10,Planned_capex_starting_position!$AV$8:$AV$413)+SUMIF(Planned_capex_starting_position!$BL$8:$BL$413,C10,Planned_capex_starting_position!$BJ$8:$BJ$413)</f>
        <v>3508827.2319896361</v>
      </c>
      <c r="L10" s="814">
        <f t="shared" si="1"/>
        <v>3974404.2434335249</v>
      </c>
      <c r="M10" s="815">
        <f t="shared" si="2"/>
        <v>0.46889198115994657</v>
      </c>
      <c r="N10" s="822">
        <f t="shared" si="3"/>
        <v>0.53110801884005343</v>
      </c>
      <c r="O10" s="818" t="s">
        <v>6978</v>
      </c>
      <c r="P10" s="836">
        <f>_xlfn.XLOOKUP($C10,Planned_capex_starting_position!$BL$8:$BL$149,Planned_capex_starting_position!$R$8:$R$149,"Not found",0)</f>
        <v>2060</v>
      </c>
    </row>
    <row r="11" spans="1:16" ht="27.65" customHeight="1">
      <c r="A11" s="791" t="str">
        <f t="shared" si="0"/>
        <v>TRA</v>
      </c>
      <c r="B11" s="791" t="str">
        <f>VLOOKUP(C11,CHOOSE({1,2},Planned_capex_starting_position!$BL$8:$BL$413,Planned_capex_starting_position!$AF$8:$AF$413),2,0)</f>
        <v>TRA A23</v>
      </c>
      <c r="C11" s="791" t="s">
        <v>6912</v>
      </c>
      <c r="D11" s="837" t="str">
        <f>IF($A11="TRA",VLOOKUP($C11,Planned_capex_starting_position!$BL$8:$BU$147,9,FALSE),"Not Transport")</f>
        <v>Arterial</v>
      </c>
      <c r="E11" s="791" t="str">
        <f>IF(VLOOKUP(C11,CHOOSE({1,2},Planned_capex_starting_position!$BL$8:$BL$413,Planned_capex_starting_position!$E$8:$E$413),2,0)=0,"",VLOOKUP(C11,CHOOSE({1,2},Planned_capex_starting_position!$BL$8:$BL$413,Planned_capex_starting_position!$E$8:$E$413),2,0))</f>
        <v>11 TRA A23</v>
      </c>
      <c r="F11" s="811" t="str">
        <f>VLOOKUP(A11,Lists!H:I,2,FALSE)</f>
        <v>Transport</v>
      </c>
      <c r="G11" s="812" t="str">
        <f>VLOOKUP(B11,FA_Codes!D:G,4,FALSE)</f>
        <v>Drury East IPA</v>
      </c>
      <c r="H11" s="813" t="str">
        <f>VLOOKUP(C11,CHOOSE({1,2},Planned_capex_starting_position!$BL$8:$BL$413,Planned_capex_starting_position!$F$8:$F$413),2,0)</f>
        <v>Intersection upgrade Waihoehoe Rd/Fielding Rd/Appleby Rd</v>
      </c>
      <c r="I11" s="813" t="str">
        <f>VLOOKUP(C11,CHOOSE({1,2},Planned_capex_starting_position!$BL$8:$BL$413,Planned_capex_starting_position!$G$8:$G$413),2,0)</f>
        <v>Roundabout as per SGA design</v>
      </c>
      <c r="J11" s="814">
        <f>SUMIFS(Planned_capex_starting_position!$AC$8:$AC$413,Planned_capex_starting_position!$AC$8:$AC$413,"&gt;0",Planned_capex_starting_position!$BL$8:$BL$413,C11)</f>
        <v>1077954.1617085182</v>
      </c>
      <c r="K11" s="814">
        <f>SUMIF(Planned_capex_starting_position!$BL$8:$BL$413,C11,Planned_capex_starting_position!$AV$8:$AV$413)+SUMIF(Planned_capex_starting_position!$BL$8:$BL$413,C11,Planned_capex_starting_position!$BJ$8:$BJ$413)</f>
        <v>505444.06248311634</v>
      </c>
      <c r="L11" s="814">
        <f t="shared" si="1"/>
        <v>572510.09922540188</v>
      </c>
      <c r="M11" s="815">
        <f t="shared" si="2"/>
        <v>0.4688919811599464</v>
      </c>
      <c r="N11" s="822">
        <f t="shared" si="3"/>
        <v>0.53110801884005365</v>
      </c>
      <c r="O11" s="818" t="s">
        <v>6978</v>
      </c>
      <c r="P11" s="836">
        <f>_xlfn.XLOOKUP($C11,Planned_capex_starting_position!$BL$8:$BL$149,Planned_capex_starting_position!$R$8:$R$149,"Not found",0)</f>
        <v>2060</v>
      </c>
    </row>
    <row r="12" spans="1:16" ht="25">
      <c r="A12" s="791" t="str">
        <f t="shared" si="0"/>
        <v>TRA</v>
      </c>
      <c r="B12" s="791" t="str">
        <f>VLOOKUP(C12,CHOOSE({1,2},Planned_capex_starting_position!$BL$8:$BL$413,Planned_capex_starting_position!$AF$8:$AF$413),2,0)</f>
        <v>TRA A23</v>
      </c>
      <c r="C12" s="791" t="s">
        <v>7002</v>
      </c>
      <c r="D12" s="837" t="str">
        <f>IF($A12="TRA",VLOOKUP($C12,Planned_capex_starting_position!$BL$8:$BU$147,9,FALSE),"Not Transport")</f>
        <v>Arterial</v>
      </c>
      <c r="E12" s="791" t="str">
        <f>IF(VLOOKUP(C12,CHOOSE({1,2},Planned_capex_starting_position!$BL$8:$BL$413,Planned_capex_starting_position!$E$8:$E$413),2,0)=0,"",VLOOKUP(C12,CHOOSE({1,2},Planned_capex_starting_position!$BL$8:$BL$413,Planned_capex_starting_position!$E$8:$E$413),2,0))</f>
        <v>13a TRA A23</v>
      </c>
      <c r="F12" s="811" t="str">
        <f>VLOOKUP(A12,Lists!H:I,2,FALSE)</f>
        <v>Transport</v>
      </c>
      <c r="G12" s="812" t="str">
        <f>VLOOKUP(B12,FA_Codes!D:G,4,FALSE)</f>
        <v>Drury East IPA</v>
      </c>
      <c r="H12" s="813" t="str">
        <f>VLOOKUP(C12,CHOOSE({1,2},Planned_capex_starting_position!$BL$8:$BL$413,Planned_capex_starting_position!$F$8:$F$413),2,0)</f>
        <v>N-S Opaheke Arterial across development (up to Waihoehoe Stream)</v>
      </c>
      <c r="I12" s="813" t="str">
        <f>VLOOKUP(C12,CHOOSE({1,2},Planned_capex_starting_position!$BL$8:$BL$413,Planned_capex_starting_position!$G$8:$G$413),2,0)</f>
        <v>2-lane urban- new 2-lane arterial with active modes on both sides + intersection improvements (TDM)</v>
      </c>
      <c r="J12" s="814">
        <f>SUMIFS(Planned_capex_starting_position!$AC$8:$AC$413,Planned_capex_starting_position!$AC$8:$AC$413,"&gt;0",Planned_capex_starting_position!$BL$8:$BL$413,C12)</f>
        <v>1387325.2178816013</v>
      </c>
      <c r="K12" s="814">
        <f>SUMIF(Planned_capex_starting_position!$BL$8:$BL$413,C12,Planned_capex_starting_position!$AV$8:$AV$413)+SUMIF(Planned_capex_starting_position!$BL$8:$BL$413,C12,Planned_capex_starting_position!$BJ$8:$BJ$413)</f>
        <v>650505.6699256585</v>
      </c>
      <c r="L12" s="814">
        <f t="shared" si="1"/>
        <v>736819.54795594281</v>
      </c>
      <c r="M12" s="815">
        <f t="shared" si="2"/>
        <v>0.46889198115994651</v>
      </c>
      <c r="N12" s="822">
        <f t="shared" si="3"/>
        <v>0.53110801884005343</v>
      </c>
      <c r="O12" s="818" t="s">
        <v>6978</v>
      </c>
      <c r="P12" s="836">
        <f>_xlfn.XLOOKUP($C12,Planned_capex_starting_position!$BL$8:$BL$149,Planned_capex_starting_position!$R$8:$R$149,"Not found",0)</f>
        <v>2060</v>
      </c>
    </row>
    <row r="13" spans="1:16" ht="25">
      <c r="A13" s="791" t="str">
        <f t="shared" si="0"/>
        <v>TRA</v>
      </c>
      <c r="B13" s="791" t="str">
        <f>VLOOKUP(C13,CHOOSE({1,2},Planned_capex_starting_position!$BL$8:$BL$413,Planned_capex_starting_position!$AF$8:$AF$413),2,0)</f>
        <v>TRA A23</v>
      </c>
      <c r="C13" s="791" t="s">
        <v>6906</v>
      </c>
      <c r="D13" s="837" t="str">
        <f>IF($A13="TRA",VLOOKUP($C13,Planned_capex_starting_position!$BL$8:$BU$147,9,FALSE),"Not Transport")</f>
        <v>Collector</v>
      </c>
      <c r="E13" s="791" t="str">
        <f>IF(VLOOKUP(C13,CHOOSE({1,2},Planned_capex_starting_position!$BL$8:$BL$413,Planned_capex_starting_position!$E$8:$E$413),2,0)=0,"",VLOOKUP(C13,CHOOSE({1,2},Planned_capex_starting_position!$BL$8:$BL$413,Planned_capex_starting_position!$E$8:$E$413),2,0))</f>
        <v>14a TRA A23</v>
      </c>
      <c r="F13" s="811" t="str">
        <f>VLOOKUP(A13,Lists!H:I,2,FALSE)</f>
        <v>Transport</v>
      </c>
      <c r="G13" s="812" t="str">
        <f>VLOOKUP(B13,FA_Codes!D:G,4,FALSE)</f>
        <v>Drury East IPA</v>
      </c>
      <c r="H13" s="813" t="str">
        <f>VLOOKUP(C13,CHOOSE({1,2},Planned_capex_starting_position!$BL$8:$BL$413,Planned_capex_starting_position!$F$8:$F$413),2,0)</f>
        <v>Western end of Brookefield Road Extension tie in with Quarry Rd</v>
      </c>
      <c r="I13" s="813" t="str">
        <f>VLOOKUP(C13,CHOOSE({1,2},Planned_capex_starting_position!$BL$8:$BL$413,Planned_capex_starting_position!$G$8:$G$413),2,0)</f>
        <v>2-lane urban (New Road connection to Quarry Road with active modes on both sides + intersection improvements)</v>
      </c>
      <c r="J13" s="814">
        <f>SUMIFS(Planned_capex_starting_position!$AC$8:$AC$413,Planned_capex_starting_position!$AC$8:$AC$413,"&gt;0",Planned_capex_starting_position!$BL$8:$BL$413,C13)</f>
        <v>7231748.2038296554</v>
      </c>
      <c r="K13" s="814">
        <f>SUMIF(Planned_capex_starting_position!$BL$8:$BL$413,C13,Planned_capex_starting_position!$AV$8:$AV$413)+SUMIF(Planned_capex_starting_position!$BL$8:$BL$413,C13,Planned_capex_starting_position!$BJ$8:$BJ$413)</f>
        <v>6920221.9235583106</v>
      </c>
      <c r="L13" s="814">
        <f t="shared" si="1"/>
        <v>311526.28027134482</v>
      </c>
      <c r="M13" s="815">
        <f t="shared" si="2"/>
        <v>0.9569224105305032</v>
      </c>
      <c r="N13" s="822">
        <f t="shared" si="3"/>
        <v>4.3077589469496802E-2</v>
      </c>
      <c r="O13" s="818" t="s">
        <v>6978</v>
      </c>
      <c r="P13" s="836">
        <f>_xlfn.XLOOKUP($C13,Planned_capex_starting_position!$BL$8:$BL$149,Planned_capex_starting_position!$R$8:$R$149,"Not found",0)</f>
        <v>2060</v>
      </c>
    </row>
    <row r="14" spans="1:16" ht="25">
      <c r="A14" s="791" t="str">
        <f t="shared" si="0"/>
        <v>TRA</v>
      </c>
      <c r="B14" s="791" t="str">
        <f>VLOOKUP(C14,CHOOSE({1,2},Planned_capex_starting_position!$BL$8:$BL$413,Planned_capex_starting_position!$AF$8:$AF$413),2,0)</f>
        <v>TRA A23</v>
      </c>
      <c r="C14" s="791" t="s">
        <v>6907</v>
      </c>
      <c r="D14" s="838" t="str">
        <f>IF($A14="TRA",VLOOKUP($C14,Planned_capex_starting_position!$BL$8:$BU$147,9,FALSE),"Not Transport")</f>
        <v>Arterial</v>
      </c>
      <c r="E14" s="791" t="str">
        <f>IF(VLOOKUP(C14,CHOOSE({1,2},Planned_capex_starting_position!$BL$8:$BL$413,Planned_capex_starting_position!$E$8:$E$413),2,0)=0,"",VLOOKUP(C14,CHOOSE({1,2},Planned_capex_starting_position!$BL$8:$BL$413,Planned_capex_starting_position!$E$8:$E$413),2,0))</f>
        <v>1b TRA A23</v>
      </c>
      <c r="F14" s="811" t="str">
        <f>VLOOKUP(A14,Lists!H:I,2,FALSE)</f>
        <v>Transport</v>
      </c>
      <c r="G14" s="812" t="str">
        <f>VLOOKUP(B14,FA_Codes!D:G,4,FALSE)</f>
        <v>Drury East IPA</v>
      </c>
      <c r="H14" s="813" t="str">
        <f>VLOOKUP(C14,CHOOSE({1,2},Planned_capex_starting_position!$BL$8:$BL$413,Planned_capex_starting_position!$F$8:$F$413),2,0)</f>
        <v>GSR improvements - Waihoehoe Rd to Drury Interchange</v>
      </c>
      <c r="I14" s="813" t="str">
        <f>VLOOKUP(C14,CHOOSE({1,2},Planned_capex_starting_position!$BL$8:$BL$413,Planned_capex_starting_position!$G$8:$G$413),2,0)</f>
        <v>4-lane urban- existing road layout with active modes on both sides + intersection improvements (TDM)</v>
      </c>
      <c r="J14" s="814">
        <f>SUMIFS(Planned_capex_starting_position!$AC$8:$AC$413,Planned_capex_starting_position!$AC$8:$AC$413,"&gt;0",Planned_capex_starting_position!$BL$8:$BL$413,C14)</f>
        <v>15294517.03009093</v>
      </c>
      <c r="K14" s="814">
        <f>SUMIF(Planned_capex_starting_position!$BL$8:$BL$413,C14,Planned_capex_starting_position!$AV$8:$AV$413)+SUMIF(Planned_capex_starting_position!$BL$8:$BL$413,C14,Planned_capex_starting_position!$BJ$8:$BJ$413)</f>
        <v>7171476.3911238769</v>
      </c>
      <c r="L14" s="814">
        <f t="shared" si="1"/>
        <v>8123040.638967053</v>
      </c>
      <c r="M14" s="815">
        <f t="shared" si="2"/>
        <v>0.46889198115994646</v>
      </c>
      <c r="N14" s="822">
        <f t="shared" si="3"/>
        <v>0.53110801884005354</v>
      </c>
      <c r="O14" s="818" t="s">
        <v>6978</v>
      </c>
      <c r="P14" s="836">
        <f>_xlfn.XLOOKUP($C14,Planned_capex_starting_position!$BL$8:$BL$149,Planned_capex_starting_position!$R$8:$R$149,"Not found",0)</f>
        <v>2060</v>
      </c>
    </row>
    <row r="15" spans="1:16" ht="37.5">
      <c r="A15" s="791" t="str">
        <f t="shared" si="0"/>
        <v>TRA</v>
      </c>
      <c r="B15" s="791" t="str">
        <f>VLOOKUP(C15,CHOOSE({1,2},Planned_capex_starting_position!$BL$8:$BL$413,Planned_capex_starting_position!$AF$8:$AF$413),2,0)</f>
        <v>TRA A23</v>
      </c>
      <c r="C15" s="791" t="s">
        <v>6913</v>
      </c>
      <c r="D15" s="837" t="str">
        <f>IF($A15="TRA",VLOOKUP($C15,Planned_capex_starting_position!$BL$8:$BU$147,9,FALSE),"Not Transport")</f>
        <v>Arterial</v>
      </c>
      <c r="E15" s="791" t="str">
        <f>IF(VLOOKUP(C15,CHOOSE({1,2},Planned_capex_starting_position!$BL$8:$BL$413,Planned_capex_starting_position!$E$8:$E$413),2,0)=0,"",VLOOKUP(C15,CHOOSE({1,2},Planned_capex_starting_position!$BL$8:$BL$413,Planned_capex_starting_position!$E$8:$E$413),2,0))</f>
        <v>23b TRA A23</v>
      </c>
      <c r="F15" s="811" t="str">
        <f>VLOOKUP(A15,Lists!H:I,2,FALSE)</f>
        <v>Transport</v>
      </c>
      <c r="G15" s="812" t="str">
        <f>VLOOKUP(B15,FA_Codes!D:G,4,FALSE)</f>
        <v>Drury East IPA</v>
      </c>
      <c r="H15" s="813" t="str">
        <f>VLOOKUP(C15,CHOOSE({1,2},Planned_capex_starting_position!$BL$8:$BL$413,Planned_capex_starting_position!$F$8:$F$413),2,0)</f>
        <v>Waihoehoe Rd West upgrades- between GSR &amp; Kath Henry Lane</v>
      </c>
      <c r="I15" s="813" t="str">
        <f>VLOOKUP(C15,CHOOSE({1,2},Planned_capex_starting_position!$BL$8:$BL$413,Planned_capex_starting_position!$G$8:$G$413),2,0)</f>
        <v>Final 4-lane - following interim option, upgrade Road corridor to provide four lanes with additional turning lanes at intersections where required (as indicated in SGA Design</v>
      </c>
      <c r="J15" s="814">
        <f>SUMIFS(Planned_capex_starting_position!$AC$8:$AC$413,Planned_capex_starting_position!$AC$8:$AC$413,"&gt;0",Planned_capex_starting_position!$BL$8:$BL$413,C15)</f>
        <v>40309581.175974041</v>
      </c>
      <c r="K15" s="814">
        <f>SUMIF(Planned_capex_starting_position!$BL$8:$BL$413,C15,Planned_capex_starting_position!$AV$8:$AV$413)+SUMIF(Planned_capex_starting_position!$BL$8:$BL$413,C15,Planned_capex_starting_position!$BJ$8:$BJ$413)</f>
        <v>18900839.377330162</v>
      </c>
      <c r="L15" s="814">
        <f t="shared" si="1"/>
        <v>21408741.79864388</v>
      </c>
      <c r="M15" s="815">
        <f t="shared" si="2"/>
        <v>0.46889198115994668</v>
      </c>
      <c r="N15" s="822">
        <f t="shared" si="3"/>
        <v>0.53110801884005332</v>
      </c>
      <c r="O15" s="818" t="s">
        <v>6978</v>
      </c>
      <c r="P15" s="836">
        <f>_xlfn.XLOOKUP($C15,Planned_capex_starting_position!$BL$8:$BL$149,Planned_capex_starting_position!$R$8:$R$149,"Not found",0)</f>
        <v>2060</v>
      </c>
    </row>
    <row r="16" spans="1:16" ht="37.5">
      <c r="A16" s="791" t="str">
        <f t="shared" si="0"/>
        <v>TRA</v>
      </c>
      <c r="B16" s="791" t="str">
        <f>VLOOKUP(C16,CHOOSE({1,2},Planned_capex_starting_position!$BL$8:$BL$413,Planned_capex_starting_position!$AF$8:$AF$413),2,0)</f>
        <v>TRA A23</v>
      </c>
      <c r="C16" s="791" t="s">
        <v>6914</v>
      </c>
      <c r="D16" s="837" t="str">
        <f>IF($A16="TRA",VLOOKUP($C16,Planned_capex_starting_position!$BL$8:$BU$147,9,FALSE),"Not Transport")</f>
        <v>Arterial</v>
      </c>
      <c r="E16" s="791" t="str">
        <f>IF(VLOOKUP(C16,CHOOSE({1,2},Planned_capex_starting_position!$BL$8:$BL$413,Planned_capex_starting_position!$E$8:$E$413),2,0)=0,"",VLOOKUP(C16,CHOOSE({1,2},Planned_capex_starting_position!$BL$8:$BL$413,Planned_capex_starting_position!$E$8:$E$413),2,0))</f>
        <v>23d TRA A23</v>
      </c>
      <c r="F16" s="811" t="str">
        <f>VLOOKUP(A16,Lists!H:I,2,FALSE)</f>
        <v>Transport</v>
      </c>
      <c r="G16" s="812" t="str">
        <f>VLOOKUP(B16,FA_Codes!D:G,4,FALSE)</f>
        <v>Drury East IPA</v>
      </c>
      <c r="H16" s="813" t="str">
        <f>VLOOKUP(C16,CHOOSE({1,2},Planned_capex_starting_position!$BL$8:$BL$413,Planned_capex_starting_position!$F$8:$F$413),2,0)</f>
        <v>Waihoehoe Rd West upgrades- between Kath Henry Lane and Fitzgerald Rd</v>
      </c>
      <c r="I16" s="813" t="str">
        <f>VLOOKUP(C16,CHOOSE({1,2},Planned_capex_starting_position!$BL$8:$BL$413,Planned_capex_starting_position!$G$8:$G$413),2,0)</f>
        <v>Final 4-lane - following interim option, upgrade Road corridor to provide four lanes with additional turning lanes at intersections where required (as indicated in SGA Design</v>
      </c>
      <c r="J16" s="814">
        <f>SUMIFS(Planned_capex_starting_position!$AC$8:$AC$413,Planned_capex_starting_position!$AC$8:$AC$413,"&gt;0",Planned_capex_starting_position!$BL$8:$BL$413,C16)</f>
        <v>7583543.2313955696</v>
      </c>
      <c r="K16" s="814">
        <f>SUMIF(Planned_capex_starting_position!$BL$8:$BL$413,C16,Planned_capex_starting_position!$AV$8:$AV$413)+SUMIF(Planned_capex_starting_position!$BL$8:$BL$413,C16,Planned_capex_starting_position!$BJ$8:$BJ$413)</f>
        <v>3555862.6099811709</v>
      </c>
      <c r="L16" s="814">
        <f t="shared" si="1"/>
        <v>4027680.6214143988</v>
      </c>
      <c r="M16" s="815">
        <f t="shared" si="2"/>
        <v>0.46889198115994646</v>
      </c>
      <c r="N16" s="822">
        <f t="shared" si="3"/>
        <v>0.53110801884005354</v>
      </c>
      <c r="O16" s="818" t="s">
        <v>6978</v>
      </c>
      <c r="P16" s="836">
        <f>_xlfn.XLOOKUP($C16,Planned_capex_starting_position!$BL$8:$BL$149,Planned_capex_starting_position!$R$8:$R$149,"Not found",0)</f>
        <v>2060</v>
      </c>
    </row>
    <row r="17" spans="1:16" ht="25">
      <c r="A17" s="791" t="str">
        <f t="shared" si="0"/>
        <v>TRA</v>
      </c>
      <c r="B17" s="791" t="str">
        <f>VLOOKUP(C17,CHOOSE({1,2},Planned_capex_starting_position!$BL$8:$BL$413,Planned_capex_starting_position!$AF$8:$AF$413),2,0)</f>
        <v>TRA A23</v>
      </c>
      <c r="C17" s="791" t="s">
        <v>6915</v>
      </c>
      <c r="D17" s="837" t="str">
        <f>IF($A17="TRA",VLOOKUP($C17,Planned_capex_starting_position!$BL$8:$BU$147,9,FALSE),"Not Transport")</f>
        <v>Arterial</v>
      </c>
      <c r="E17" s="791" t="str">
        <f>IF(VLOOKUP(C17,CHOOSE({1,2},Planned_capex_starting_position!$BL$8:$BL$413,Planned_capex_starting_position!$E$8:$E$413),2,0)=0,"",VLOOKUP(C17,CHOOSE({1,2},Planned_capex_starting_position!$BL$8:$BL$413,Planned_capex_starting_position!$E$8:$E$413),2,0))</f>
        <v>24 TRA A23</v>
      </c>
      <c r="F17" s="811" t="str">
        <f>VLOOKUP(A17,Lists!H:I,2,FALSE)</f>
        <v>Transport</v>
      </c>
      <c r="G17" s="812" t="str">
        <f>VLOOKUP(B17,FA_Codes!D:G,4,FALSE)</f>
        <v>Drury East IPA</v>
      </c>
      <c r="H17" s="813" t="str">
        <f>VLOOKUP(C17,CHOOSE({1,2},Planned_capex_starting_position!$BL$8:$BL$413,Planned_capex_starting_position!$F$8:$F$413),2,0)</f>
        <v>Upgrades on Waihoehoe Rd east- from project 4 to Drury Hills + Drury Hills Intersection</v>
      </c>
      <c r="I17" s="813" t="str">
        <f>VLOOKUP(C17,CHOOSE({1,2},Planned_capex_starting_position!$BL$8:$BL$413,Planned_capex_starting_position!$G$8:$G$413),2,0)</f>
        <v xml:space="preserve">2-lane urban - upgrade existing road layout with active modes on both sides, 20m cross-section </v>
      </c>
      <c r="J17" s="814">
        <f>SUMIFS(Planned_capex_starting_position!$AC$8:$AC$413,Planned_capex_starting_position!$AC$8:$AC$413,"&gt;0",Planned_capex_starting_position!$BL$8:$BL$413,C17)</f>
        <v>140450.90482260034</v>
      </c>
      <c r="K17" s="814">
        <f>SUMIF(Planned_capex_starting_position!$BL$8:$BL$413,C17,Planned_capex_starting_position!$AV$8:$AV$413)+SUMIF(Planned_capex_starting_position!$BL$8:$BL$413,C17,Planned_capex_starting_position!$BJ$8:$BJ$413)</f>
        <v>65856.303017976155</v>
      </c>
      <c r="L17" s="814">
        <f t="shared" si="1"/>
        <v>74594.601804624181</v>
      </c>
      <c r="M17" s="815">
        <f t="shared" si="2"/>
        <v>0.46889198115994651</v>
      </c>
      <c r="N17" s="822">
        <f t="shared" si="3"/>
        <v>0.53110801884005343</v>
      </c>
      <c r="O17" s="818" t="s">
        <v>6978</v>
      </c>
      <c r="P17" s="836">
        <f>_xlfn.XLOOKUP($C17,Planned_capex_starting_position!$BL$8:$BL$149,Planned_capex_starting_position!$R$8:$R$149,"Not found",0)</f>
        <v>2060</v>
      </c>
    </row>
    <row r="18" spans="1:16" ht="25">
      <c r="A18" s="791" t="str">
        <f t="shared" si="0"/>
        <v>TRA</v>
      </c>
      <c r="B18" s="791" t="str">
        <f>VLOOKUP(C18,CHOOSE({1,2},Planned_capex_starting_position!$BL$8:$BL$413,Planned_capex_starting_position!$AF$8:$AF$413),2,0)</f>
        <v>TRA A23</v>
      </c>
      <c r="C18" s="791" t="s">
        <v>6908</v>
      </c>
      <c r="D18" s="837" t="str">
        <f>IF($A18="TRA",VLOOKUP($C18,Planned_capex_starting_position!$BL$8:$BU$147,9,FALSE),"Not Transport")</f>
        <v>Arterial</v>
      </c>
      <c r="E18" s="791" t="str">
        <f>IF(VLOOKUP(C18,CHOOSE({1,2},Planned_capex_starting_position!$BL$8:$BL$413,Planned_capex_starting_position!$E$8:$E$413),2,0)=0,"",VLOOKUP(C18,CHOOSE({1,2},Planned_capex_starting_position!$BL$8:$BL$413,Planned_capex_starting_position!$E$8:$E$413),2,0))</f>
        <v>2a TRA A23</v>
      </c>
      <c r="F18" s="811" t="str">
        <f>VLOOKUP(A18,Lists!H:I,2,FALSE)</f>
        <v>Transport</v>
      </c>
      <c r="G18" s="812" t="str">
        <f>VLOOKUP(B18,FA_Codes!D:G,4,FALSE)</f>
        <v>Drury East IPA</v>
      </c>
      <c r="H18" s="813" t="str">
        <f>VLOOKUP(C18,CHOOSE({1,2},Planned_capex_starting_position!$BL$8:$BL$413,Planned_capex_starting_position!$F$8:$F$413),2,0)</f>
        <v>GSR improvements - From Drury School to Waihoehoe Rd</v>
      </c>
      <c r="I18" s="813" t="str">
        <f>VLOOKUP(C18,CHOOSE({1,2},Planned_capex_starting_position!$BL$8:$BL$413,Planned_capex_starting_position!$G$8:$G$413),2,0)</f>
        <v>2-lane urban- existing road layout with active modes on both sides + intersection improvements (TDM)</v>
      </c>
      <c r="J18" s="814">
        <f>SUMIFS(Planned_capex_starting_position!$AC$8:$AC$413,Planned_capex_starting_position!$AC$8:$AC$413,"&gt;0",Planned_capex_starting_position!$BL$8:$BL$413,C18)</f>
        <v>9306402.7412738651</v>
      </c>
      <c r="K18" s="814">
        <f>SUMIF(Planned_capex_starting_position!$BL$8:$BL$413,C18,Planned_capex_starting_position!$AV$8:$AV$413)+SUMIF(Planned_capex_starting_position!$BL$8:$BL$413,C18,Planned_capex_starting_position!$BJ$8:$BJ$413)</f>
        <v>4363697.6188282613</v>
      </c>
      <c r="L18" s="814">
        <f t="shared" si="1"/>
        <v>4942705.1224456038</v>
      </c>
      <c r="M18" s="815">
        <f t="shared" si="2"/>
        <v>0.46889198115994668</v>
      </c>
      <c r="N18" s="822">
        <f t="shared" si="3"/>
        <v>0.53110801884005332</v>
      </c>
      <c r="O18" s="818" t="s">
        <v>6978</v>
      </c>
      <c r="P18" s="836">
        <f>_xlfn.XLOOKUP($C18,Planned_capex_starting_position!$BL$8:$BL$149,Planned_capex_starting_position!$R$8:$R$149,"Not found",0)</f>
        <v>2060</v>
      </c>
    </row>
    <row r="19" spans="1:16" ht="25">
      <c r="A19" s="791" t="str">
        <f t="shared" si="0"/>
        <v>TRA</v>
      </c>
      <c r="B19" s="791" t="str">
        <f>VLOOKUP(C19,CHOOSE({1,2},Planned_capex_starting_position!$BL$8:$BL$413,Planned_capex_starting_position!$AF$8:$AF$413),2,0)</f>
        <v>TRA A23</v>
      </c>
      <c r="C19" s="791" t="s">
        <v>6916</v>
      </c>
      <c r="D19" s="837" t="str">
        <f>IF($A19="TRA",VLOOKUP($C19,Planned_capex_starting_position!$BL$8:$BU$147,9,FALSE),"Not Transport")</f>
        <v>Arterial</v>
      </c>
      <c r="E19" s="791" t="str">
        <f>IF(VLOOKUP(C19,CHOOSE({1,2},Planned_capex_starting_position!$BL$8:$BL$413,Planned_capex_starting_position!$E$8:$E$413),2,0)=0,"",VLOOKUP(C19,CHOOSE({1,2},Planned_capex_starting_position!$BL$8:$BL$413,Planned_capex_starting_position!$E$8:$E$413),2,0))</f>
        <v>36a TRA A23</v>
      </c>
      <c r="F19" s="811" t="str">
        <f>VLOOKUP(A19,Lists!H:I,2,FALSE)</f>
        <v>Transport</v>
      </c>
      <c r="G19" s="812" t="str">
        <f>VLOOKUP(B19,FA_Codes!D:G,4,FALSE)</f>
        <v>Drury East IPA</v>
      </c>
      <c r="H19" s="813" t="str">
        <f>VLOOKUP(C19,CHOOSE({1,2},Planned_capex_starting_position!$BL$8:$BL$413,Planned_capex_starting_position!$F$8:$F$413),2,0)</f>
        <v>Bremner-Norrie Road east of SH1 up to GSR (overlap with project 12)</v>
      </c>
      <c r="I19" s="813" t="str">
        <f>VLOOKUP(C19,CHOOSE({1,2},Planned_capex_starting_position!$BL$8:$BL$413,Planned_capex_starting_position!$G$8:$G$413),2,0)</f>
        <v>2-lane urban- upgrade existing road layout with active modes on both sides (Under construction)</v>
      </c>
      <c r="J19" s="814">
        <f>SUMIFS(Planned_capex_starting_position!$AC$8:$AC$413,Planned_capex_starting_position!$AC$8:$AC$413,"&gt;0",Planned_capex_starting_position!$BL$8:$BL$413,C19)</f>
        <v>12178101.974735839</v>
      </c>
      <c r="K19" s="814">
        <f>SUMIF(Planned_capex_starting_position!$BL$8:$BL$413,C19,Planned_capex_starting_position!$AV$8:$AV$413)+SUMIF(Planned_capex_starting_position!$BL$8:$BL$413,C19,Planned_capex_starting_position!$BJ$8:$BJ$413)</f>
        <v>5710214.3617017437</v>
      </c>
      <c r="L19" s="814">
        <f t="shared" si="1"/>
        <v>6467887.6130340956</v>
      </c>
      <c r="M19" s="815">
        <f t="shared" si="2"/>
        <v>0.46889198115994646</v>
      </c>
      <c r="N19" s="822">
        <f t="shared" si="3"/>
        <v>0.53110801884005354</v>
      </c>
      <c r="O19" s="818" t="s">
        <v>6978</v>
      </c>
      <c r="P19" s="836">
        <f>_xlfn.XLOOKUP($C19,Planned_capex_starting_position!$BL$8:$BL$149,Planned_capex_starting_position!$R$8:$R$149,"Not found",0)</f>
        <v>2060</v>
      </c>
    </row>
    <row r="20" spans="1:16">
      <c r="A20" s="791" t="str">
        <f t="shared" si="0"/>
        <v>TRA</v>
      </c>
      <c r="B20" s="791" t="str">
        <f>VLOOKUP(C20,CHOOSE({1,2},Planned_capex_starting_position!$BL$8:$BL$413,Planned_capex_starting_position!$AF$8:$AF$413),2,0)</f>
        <v>TRA A23</v>
      </c>
      <c r="C20" s="791" t="s">
        <v>6917</v>
      </c>
      <c r="D20" s="837" t="str">
        <f>IF($A20="TRA",VLOOKUP($C20,Planned_capex_starting_position!$BL$8:$BU$147,9,FALSE),"Not Transport")</f>
        <v>Arterial</v>
      </c>
      <c r="E20" s="791" t="str">
        <f>IF(VLOOKUP(C20,CHOOSE({1,2},Planned_capex_starting_position!$BL$8:$BL$413,Planned_capex_starting_position!$E$8:$E$413),2,0)=0,"",VLOOKUP(C20,CHOOSE({1,2},Planned_capex_starting_position!$BL$8:$BL$413,Planned_capex_starting_position!$E$8:$E$413),2,0))</f>
        <v>46 TRA A23</v>
      </c>
      <c r="F20" s="811" t="str">
        <f>VLOOKUP(A20,Lists!H:I,2,FALSE)</f>
        <v>Transport</v>
      </c>
      <c r="G20" s="812" t="str">
        <f>VLOOKUP(B20,FA_Codes!D:G,4,FALSE)</f>
        <v>Drury East IPA</v>
      </c>
      <c r="H20" s="813" t="str">
        <f>VLOOKUP(C20,CHOOSE({1,2},Planned_capex_starting_position!$BL$8:$BL$413,Planned_capex_starting_position!$F$8:$F$413),2,0)</f>
        <v>Upgrades in GSR/Firth St intersection (overlap with project12)</v>
      </c>
      <c r="I20" s="813" t="str">
        <f>VLOOKUP(C20,CHOOSE({1,2},Planned_capex_starting_position!$BL$8:$BL$413,Planned_capex_starting_position!$G$8:$G$413),2,0)</f>
        <v>Possible signals(subject to Auranga assessment)</v>
      </c>
      <c r="J20" s="814">
        <f>SUMIFS(Planned_capex_starting_position!$AC$8:$AC$413,Planned_capex_starting_position!$AC$8:$AC$413,"&gt;0",Planned_capex_starting_position!$BL$8:$BL$413,C20)</f>
        <v>3964772.8046650281</v>
      </c>
      <c r="K20" s="814">
        <f>SUMIF(Planned_capex_starting_position!$BL$8:$BL$413,C20,Planned_capex_starting_position!$AV$8:$AV$413)+SUMIF(Planned_capex_starting_position!$BL$8:$BL$413,C20,Planned_capex_starting_position!$BJ$8:$BJ$413)</f>
        <v>1859050.175228463</v>
      </c>
      <c r="L20" s="814">
        <f t="shared" si="1"/>
        <v>2105722.6294365651</v>
      </c>
      <c r="M20" s="815">
        <f t="shared" si="2"/>
        <v>0.46889198115994662</v>
      </c>
      <c r="N20" s="822">
        <f t="shared" si="3"/>
        <v>0.53110801884005343</v>
      </c>
      <c r="O20" s="818" t="s">
        <v>6978</v>
      </c>
      <c r="P20" s="836">
        <f>_xlfn.XLOOKUP($C20,Planned_capex_starting_position!$BL$8:$BL$149,Planned_capex_starting_position!$R$8:$R$149,"Not found",0)</f>
        <v>2060</v>
      </c>
    </row>
    <row r="21" spans="1:16" ht="25">
      <c r="A21" s="791" t="str">
        <f t="shared" si="0"/>
        <v>TRA</v>
      </c>
      <c r="B21" s="791" t="str">
        <f>VLOOKUP(C21,CHOOSE({1,2},Planned_capex_starting_position!$BL$8:$BL$413,Planned_capex_starting_position!$AF$8:$AF$413),2,0)</f>
        <v>TRA A23</v>
      </c>
      <c r="C21" s="791" t="s">
        <v>6909</v>
      </c>
      <c r="D21" s="837" t="str">
        <f>IF($A21="TRA",VLOOKUP($C21,Planned_capex_starting_position!$BL$8:$BU$147,9,FALSE),"Not Transport")</f>
        <v>Arterial</v>
      </c>
      <c r="E21" s="791" t="str">
        <f>IF(VLOOKUP(C21,CHOOSE({1,2},Planned_capex_starting_position!$BL$8:$BL$413,Planned_capex_starting_position!$E$8:$E$413),2,0)=0,"",VLOOKUP(C21,CHOOSE({1,2},Planned_capex_starting_position!$BL$8:$BL$413,Planned_capex_starting_position!$E$8:$E$413),2,0))</f>
        <v>4b TRA A23</v>
      </c>
      <c r="F21" s="811" t="str">
        <f>VLOOKUP(A21,Lists!H:I,2,FALSE)</f>
        <v>Transport</v>
      </c>
      <c r="G21" s="812" t="str">
        <f>VLOOKUP(B21,FA_Codes!D:G,4,FALSE)</f>
        <v>Drury East IPA</v>
      </c>
      <c r="H21" s="813" t="str">
        <f>VLOOKUP(C21,CHOOSE({1,2},Planned_capex_starting_position!$BL$8:$BL$413,Planned_capex_starting_position!$F$8:$F$413),2,0)</f>
        <v>Waihoehoe Rd East upgrades- from Fitzgerald Rd to before Cossey Rd (development boundary)</v>
      </c>
      <c r="I21" s="813" t="str">
        <f>VLOOKUP(C21,CHOOSE({1,2},Planned_capex_starting_position!$BL$8:$BL$413,Planned_capex_starting_position!$G$8:$G$413),2,0)</f>
        <v>Expand to 24m cross section</v>
      </c>
      <c r="J21" s="814">
        <f>SUMIFS(Planned_capex_starting_position!$AC$8:$AC$413,Planned_capex_starting_position!$AC$8:$AC$413,"&gt;0",Planned_capex_starting_position!$BL$8:$BL$413,C21)</f>
        <v>8899375.3063425682</v>
      </c>
      <c r="K21" s="814">
        <f>SUMIF(Planned_capex_starting_position!$BL$8:$BL$413,C21,Planned_capex_starting_position!$AV$8:$AV$413)+SUMIF(Planned_capex_starting_position!$BL$8:$BL$413,C21,Planned_capex_starting_position!$BJ$8:$BJ$413)</f>
        <v>4172845.718476872</v>
      </c>
      <c r="L21" s="814">
        <f t="shared" si="1"/>
        <v>4726529.5878656963</v>
      </c>
      <c r="M21" s="815">
        <f t="shared" si="2"/>
        <v>0.4688919811599464</v>
      </c>
      <c r="N21" s="822">
        <f t="shared" si="3"/>
        <v>0.53110801884005365</v>
      </c>
      <c r="O21" s="818" t="s">
        <v>6978</v>
      </c>
      <c r="P21" s="836">
        <f>_xlfn.XLOOKUP($C21,Planned_capex_starting_position!$BL$8:$BL$149,Planned_capex_starting_position!$R$8:$R$149,"Not found",0)</f>
        <v>2060</v>
      </c>
    </row>
    <row r="22" spans="1:16">
      <c r="A22" s="791" t="str">
        <f t="shared" si="0"/>
        <v>TRA</v>
      </c>
      <c r="B22" s="791" t="str">
        <f>VLOOKUP(C22,CHOOSE({1,2},Planned_capex_starting_position!$BL$8:$BL$413,Planned_capex_starting_position!$AF$8:$AF$413),2,0)</f>
        <v>TRA A23</v>
      </c>
      <c r="C22" s="791" t="s">
        <v>6918</v>
      </c>
      <c r="D22" s="837" t="str">
        <f>IF($A22="TRA",VLOOKUP($C22,Planned_capex_starting_position!$BL$8:$BU$147,9,FALSE),"Not Transport")</f>
        <v>Arterial</v>
      </c>
      <c r="E22" s="791" t="str">
        <f>IF(VLOOKUP(C22,CHOOSE({1,2},Planned_capex_starting_position!$BL$8:$BL$413,Planned_capex_starting_position!$E$8:$E$413),2,0)=0,"",VLOOKUP(C22,CHOOSE({1,2},Planned_capex_starting_position!$BL$8:$BL$413,Planned_capex_starting_position!$E$8:$E$413),2,0))</f>
        <v>67 TRA A23</v>
      </c>
      <c r="F22" s="811" t="str">
        <f>VLOOKUP(A22,Lists!H:I,2,FALSE)</f>
        <v>Transport</v>
      </c>
      <c r="G22" s="812" t="str">
        <f>VLOOKUP(B22,FA_Codes!D:G,4,FALSE)</f>
        <v>Drury East IPA</v>
      </c>
      <c r="H22" s="813" t="str">
        <f>VLOOKUP(C22,CHOOSE({1,2},Planned_capex_starting_position!$BL$8:$BL$413,Planned_capex_starting_position!$F$8:$F$413),2,0)</f>
        <v>Active Mode Corridor Drury Central to GSR</v>
      </c>
      <c r="I22" s="813">
        <f>VLOOKUP(C22,CHOOSE({1,2},Planned_capex_starting_position!$BL$8:$BL$413,Planned_capex_starting_position!$G$8:$G$413),2,0)</f>
        <v>0</v>
      </c>
      <c r="J22" s="814">
        <f>SUMIFS(Planned_capex_starting_position!$AC$8:$AC$413,Planned_capex_starting_position!$AC$8:$AC$413,"&gt;0",Planned_capex_starting_position!$BL$8:$BL$413,C22)</f>
        <v>4168001.0792880375</v>
      </c>
      <c r="K22" s="814">
        <f>SUMIF(Planned_capex_starting_position!$BL$8:$BL$413,C22,Planned_capex_starting_position!$AV$8:$AV$413)+SUMIF(Planned_capex_starting_position!$BL$8:$BL$413,C22,Planned_capex_starting_position!$BJ$8:$BJ$413)</f>
        <v>1954342.2835441635</v>
      </c>
      <c r="L22" s="814">
        <f t="shared" si="1"/>
        <v>2213658.7957438743</v>
      </c>
      <c r="M22" s="815">
        <f t="shared" si="2"/>
        <v>0.46889198115994657</v>
      </c>
      <c r="N22" s="822">
        <f t="shared" si="3"/>
        <v>0.53110801884005343</v>
      </c>
      <c r="O22" s="818" t="s">
        <v>6978</v>
      </c>
      <c r="P22" s="836">
        <f>_xlfn.XLOOKUP($C22,Planned_capex_starting_position!$BL$8:$BL$149,Planned_capex_starting_position!$R$8:$R$149,"Not found",0)</f>
        <v>2060</v>
      </c>
    </row>
    <row r="23" spans="1:16" ht="25">
      <c r="A23" s="791" t="str">
        <f t="shared" si="0"/>
        <v>TRA</v>
      </c>
      <c r="B23" s="791" t="str">
        <f>VLOOKUP(C23,CHOOSE({1,2},Planned_capex_starting_position!$BL$8:$BL$413,Planned_capex_starting_position!$AF$8:$AF$413),2,0)</f>
        <v>TRA A23</v>
      </c>
      <c r="C23" s="791" t="s">
        <v>6919</v>
      </c>
      <c r="D23" s="837" t="str">
        <f>IF($A23="TRA",VLOOKUP($C23,Planned_capex_starting_position!$BL$8:$BU$147,9,FALSE),"Not Transport")</f>
        <v>Arterial</v>
      </c>
      <c r="E23" s="791" t="str">
        <f>IF(VLOOKUP(C23,CHOOSE({1,2},Planned_capex_starting_position!$BL$8:$BL$413,Planned_capex_starting_position!$E$8:$E$413),2,0)=0,"",VLOOKUP(C23,CHOOSE({1,2},Planned_capex_starting_position!$BL$8:$BL$413,Planned_capex_starting_position!$E$8:$E$413),2,0))</f>
        <v>70 TRA A23</v>
      </c>
      <c r="F23" s="811" t="str">
        <f>VLOOKUP(A23,Lists!H:I,2,FALSE)</f>
        <v>Transport</v>
      </c>
      <c r="G23" s="812" t="str">
        <f>VLOOKUP(B23,FA_Codes!D:G,4,FALSE)</f>
        <v>Drury East IPA</v>
      </c>
      <c r="H23" s="813" t="str">
        <f>VLOOKUP(C23,CHOOSE({1,2},Planned_capex_starting_position!$BL$8:$BL$413,Planned_capex_starting_position!$F$8:$F$413),2,0)</f>
        <v>walk/cycle bridges on GSR Road bridge over the rail corridor</v>
      </c>
      <c r="I23" s="813" t="str">
        <f>VLOOKUP(C23,CHOOSE({1,2},Planned_capex_starting_position!$BL$8:$BL$413,Planned_capex_starting_position!$G$8:$G$413),2,0)</f>
        <v>New cycle bridge 5m wide, 80m long, approach lengths 270m total for both sides. No property required</v>
      </c>
      <c r="J23" s="814">
        <f>SUMIFS(Planned_capex_starting_position!$AC$8:$AC$413,Planned_capex_starting_position!$AC$8:$AC$413,"&gt;0",Planned_capex_starting_position!$BL$8:$BL$413,C23)</f>
        <v>1053001.2339214757</v>
      </c>
      <c r="K23" s="814">
        <f>SUMIF(Planned_capex_starting_position!$BL$8:$BL$413,C23,Planned_capex_starting_position!$AV$8:$AV$413)+SUMIF(Planned_capex_starting_position!$BL$8:$BL$413,C23,Planned_capex_starting_position!$BJ$8:$BJ$413)</f>
        <v>493743.83473730908</v>
      </c>
      <c r="L23" s="814">
        <f t="shared" si="1"/>
        <v>559257.39918416669</v>
      </c>
      <c r="M23" s="815">
        <f t="shared" si="2"/>
        <v>0.46889198115994657</v>
      </c>
      <c r="N23" s="822">
        <f t="shared" si="3"/>
        <v>0.53110801884005343</v>
      </c>
      <c r="O23" s="818" t="s">
        <v>6978</v>
      </c>
      <c r="P23" s="836">
        <f>_xlfn.XLOOKUP($C23,Planned_capex_starting_position!$BL$8:$BL$149,Planned_capex_starting_position!$R$8:$R$149,"Not found",0)</f>
        <v>2060</v>
      </c>
    </row>
    <row r="24" spans="1:16">
      <c r="A24" s="791" t="str">
        <f t="shared" si="0"/>
        <v>TRA</v>
      </c>
      <c r="B24" s="791" t="str">
        <f>VLOOKUP(C24,CHOOSE({1,2},Planned_capex_starting_position!$BL$8:$BL$413,Planned_capex_starting_position!$AF$8:$AF$413),2,0)</f>
        <v>TRA A23</v>
      </c>
      <c r="C24" s="791" t="s">
        <v>6910</v>
      </c>
      <c r="D24" s="837" t="str">
        <f>IF($A24="TRA",VLOOKUP($C24,Planned_capex_starting_position!$BL$8:$BU$147,9,FALSE),"Not Transport")</f>
        <v>Arterial</v>
      </c>
      <c r="E24" s="791" t="str">
        <f>IF(VLOOKUP(C24,CHOOSE({1,2},Planned_capex_starting_position!$BL$8:$BL$413,Planned_capex_starting_position!$E$8:$E$413),2,0)=0,"",VLOOKUP(C24,CHOOSE({1,2},Planned_capex_starting_position!$BL$8:$BL$413,Planned_capex_starting_position!$E$8:$E$413),2,0))</f>
        <v>9b TRA A23</v>
      </c>
      <c r="F24" s="811" t="str">
        <f>VLOOKUP(A24,Lists!H:I,2,FALSE)</f>
        <v>Transport</v>
      </c>
      <c r="G24" s="812" t="str">
        <f>VLOOKUP(B24,FA_Codes!D:G,4,FALSE)</f>
        <v>Drury East IPA</v>
      </c>
      <c r="H24" s="813" t="str">
        <f>VLOOKUP(C24,CHOOSE({1,2},Planned_capex_starting_position!$BL$8:$BL$413,Planned_capex_starting_position!$F$8:$F$413),2,0)</f>
        <v>Upgrade in Norrie Rd/GSR/Waihoehoe intersection</v>
      </c>
      <c r="I24" s="813" t="str">
        <f>VLOOKUP(C24,CHOOSE({1,2},Planned_capex_starting_position!$BL$8:$BL$413,Planned_capex_starting_position!$G$8:$G$413),2,0)</f>
        <v>multi-lane signalised intersection with active mode crossings, SGA design</v>
      </c>
      <c r="J24" s="814">
        <f>SUMIFS(Planned_capex_starting_position!$AC$8:$AC$413,Planned_capex_starting_position!$AC$8:$AC$413,"&gt;0",Planned_capex_starting_position!$BL$8:$BL$413,C24)</f>
        <v>7959750.3106159046</v>
      </c>
      <c r="K24" s="814">
        <f>SUMIF(Planned_capex_starting_position!$BL$8:$BL$413,C24,Planned_capex_starting_position!$AV$8:$AV$413)+SUMIF(Planned_capex_starting_position!$BL$8:$BL$413,C24,Planned_capex_starting_position!$BJ$8:$BJ$413)</f>
        <v>3732263.0926831919</v>
      </c>
      <c r="L24" s="814">
        <f t="shared" si="1"/>
        <v>4227487.2179327123</v>
      </c>
      <c r="M24" s="815">
        <f t="shared" si="2"/>
        <v>0.46889198115994662</v>
      </c>
      <c r="N24" s="822">
        <f t="shared" si="3"/>
        <v>0.53110801884005343</v>
      </c>
      <c r="O24" s="818" t="s">
        <v>6978</v>
      </c>
      <c r="P24" s="836">
        <f>_xlfn.XLOOKUP($C24,Planned_capex_starting_position!$BL$8:$BL$149,Planned_capex_starting_position!$R$8:$R$149,"Not found",0)</f>
        <v>2060</v>
      </c>
    </row>
    <row r="25" spans="1:16" ht="25">
      <c r="A25" s="791" t="str">
        <f t="shared" si="0"/>
        <v>TRA</v>
      </c>
      <c r="B25" s="791" t="str">
        <f>VLOOKUP(C25,CHOOSE({1,2},Planned_capex_starting_position!$BL$8:$BL$413,Planned_capex_starting_position!$AF$8:$AF$413),2,0)</f>
        <v>TRA A24</v>
      </c>
      <c r="C25" s="791" t="s">
        <v>6920</v>
      </c>
      <c r="D25" s="837" t="str">
        <f>IF($A25="TRA",VLOOKUP($C25,Planned_capex_starting_position!$BL$8:$BU$147,9,FALSE),"Not Transport")</f>
        <v>Collector</v>
      </c>
      <c r="E25" s="791" t="str">
        <f>IF(VLOOKUP(C25,CHOOSE({1,2},Planned_capex_starting_position!$BL$8:$BL$413,Planned_capex_starting_position!$E$8:$E$413),2,0)=0,"",VLOOKUP(C25,CHOOSE({1,2},Planned_capex_starting_position!$BL$8:$BL$413,Planned_capex_starting_position!$E$8:$E$413),2,0))</f>
        <v>14a TRA A24</v>
      </c>
      <c r="F25" s="811" t="str">
        <f>VLOOKUP(A25,Lists!H:I,2,FALSE)</f>
        <v>Transport</v>
      </c>
      <c r="G25" s="812" t="str">
        <f>VLOOKUP(B25,FA_Codes!D:G,4,FALSE)</f>
        <v>Drury West 1 IPA</v>
      </c>
      <c r="H25" s="813" t="str">
        <f>VLOOKUP(C25,CHOOSE({1,2},Planned_capex_starting_position!$BL$8:$BL$413,Planned_capex_starting_position!$F$8:$F$413),2,0)</f>
        <v>Western end of Brookefield Road Extension tie in with Quarry Rd</v>
      </c>
      <c r="I25" s="813" t="str">
        <f>VLOOKUP(C25,CHOOSE({1,2},Planned_capex_starting_position!$BL$8:$BL$413,Planned_capex_starting_position!$G$8:$G$413),2,0)</f>
        <v>2-lane urban (New Road connection to Quarry Road with active modes on both sides + intersection improvements)</v>
      </c>
      <c r="J25" s="814">
        <f>SUMIFS(Planned_capex_starting_position!$AC$8:$AC$413,Planned_capex_starting_position!$AC$8:$AC$413,"&gt;0",Planned_capex_starting_position!$BL$8:$BL$413,C25)</f>
        <v>451984.26273935346</v>
      </c>
      <c r="K25" s="814">
        <f>SUMIF(Planned_capex_starting_position!$BL$8:$BL$413,C25,Planned_capex_starting_position!$AV$8:$AV$413)+SUMIF(Planned_capex_starting_position!$BL$8:$BL$413,C25,Planned_capex_starting_position!$BJ$8:$BJ$413)</f>
        <v>414042.90056302329</v>
      </c>
      <c r="L25" s="814">
        <f t="shared" si="1"/>
        <v>37941.362176330178</v>
      </c>
      <c r="M25" s="815">
        <f t="shared" si="2"/>
        <v>0.91605601056466457</v>
      </c>
      <c r="N25" s="822">
        <f t="shared" si="3"/>
        <v>8.3943989435335431E-2</v>
      </c>
      <c r="O25" s="818" t="s">
        <v>6978</v>
      </c>
      <c r="P25" s="836">
        <f>_xlfn.XLOOKUP($C25,Planned_capex_starting_position!$BL$8:$BL$149,Planned_capex_starting_position!$R$8:$R$149,"Not found",0)</f>
        <v>2060</v>
      </c>
    </row>
    <row r="26" spans="1:16" ht="25">
      <c r="A26" s="791" t="str">
        <f t="shared" si="0"/>
        <v>TRA</v>
      </c>
      <c r="B26" s="791" t="str">
        <f>VLOOKUP(C26,CHOOSE({1,2},Planned_capex_starting_position!$BL$8:$BL$413,Planned_capex_starting_position!$AF$8:$AF$413),2,0)</f>
        <v>TRA A24</v>
      </c>
      <c r="C26" s="791" t="s">
        <v>6921</v>
      </c>
      <c r="D26" s="837" t="str">
        <f>IF($A26="TRA",VLOOKUP($C26,Planned_capex_starting_position!$BL$8:$BU$147,9,FALSE),"Not Transport")</f>
        <v>Arterial</v>
      </c>
      <c r="E26" s="791" t="str">
        <f>IF(VLOOKUP(C26,CHOOSE({1,2},Planned_capex_starting_position!$BL$8:$BL$413,Planned_capex_starting_position!$E$8:$E$413),2,0)=0,"",VLOOKUP(C26,CHOOSE({1,2},Planned_capex_starting_position!$BL$8:$BL$413,Planned_capex_starting_position!$E$8:$E$413),2,0))</f>
        <v>1b TRA A24</v>
      </c>
      <c r="F26" s="811" t="str">
        <f>VLOOKUP(A26,Lists!H:I,2,FALSE)</f>
        <v>Transport</v>
      </c>
      <c r="G26" s="812" t="str">
        <f>VLOOKUP(B26,FA_Codes!D:G,4,FALSE)</f>
        <v>Drury West 1 IPA</v>
      </c>
      <c r="H26" s="813" t="str">
        <f>VLOOKUP(C26,CHOOSE({1,2},Planned_capex_starting_position!$BL$8:$BL$413,Planned_capex_starting_position!$F$8:$F$413),2,0)</f>
        <v>GSR improvements - Waihoehoe Rd to Drury Interchange</v>
      </c>
      <c r="I26" s="813" t="str">
        <f>VLOOKUP(C26,CHOOSE({1,2},Planned_capex_starting_position!$BL$8:$BL$413,Planned_capex_starting_position!$G$8:$G$413),2,0)</f>
        <v>4-lane urban- existing road layout with active modes on both sides + intersection improvements (TDM)</v>
      </c>
      <c r="J26" s="814">
        <f>SUMIFS(Planned_capex_starting_position!$AC$8:$AC$413,Planned_capex_starting_position!$AC$8:$AC$413,"&gt;0",Planned_capex_starting_position!$BL$8:$BL$413,C26)</f>
        <v>1994937.0039249044</v>
      </c>
      <c r="K26" s="814">
        <f>SUMIF(Planned_capex_starting_position!$BL$8:$BL$413,C26,Planned_capex_starting_position!$AV$8:$AV$413)+SUMIF(Planned_capex_starting_position!$BL$8:$BL$413,C26,Planned_capex_starting_position!$BJ$8:$BJ$413)</f>
        <v>895462.2762402033</v>
      </c>
      <c r="L26" s="814">
        <f t="shared" si="1"/>
        <v>1099474.7276847011</v>
      </c>
      <c r="M26" s="815">
        <f t="shared" si="2"/>
        <v>0.44886744517668553</v>
      </c>
      <c r="N26" s="822">
        <f t="shared" si="3"/>
        <v>0.55113255482331447</v>
      </c>
      <c r="O26" s="818" t="s">
        <v>6978</v>
      </c>
      <c r="P26" s="836">
        <f>_xlfn.XLOOKUP($C26,Planned_capex_starting_position!$BL$8:$BL$149,Planned_capex_starting_position!$R$8:$R$149,"Not found",0)</f>
        <v>2060</v>
      </c>
    </row>
    <row r="27" spans="1:16" ht="37.5">
      <c r="A27" s="791" t="str">
        <f t="shared" si="0"/>
        <v>TRA</v>
      </c>
      <c r="B27" s="791" t="str">
        <f>VLOOKUP(C27,CHOOSE({1,2},Planned_capex_starting_position!$BL$8:$BL$413,Planned_capex_starting_position!$AF$8:$AF$413),2,0)</f>
        <v>TRA A24</v>
      </c>
      <c r="C27" s="791" t="s">
        <v>6924</v>
      </c>
      <c r="D27" s="837" t="str">
        <f>IF($A27="TRA",VLOOKUP($C27,Planned_capex_starting_position!$BL$8:$BU$147,9,FALSE),"Not Transport")</f>
        <v>Arterial</v>
      </c>
      <c r="E27" s="791" t="str">
        <f>IF(VLOOKUP(C27,CHOOSE({1,2},Planned_capex_starting_position!$BL$8:$BL$413,Planned_capex_starting_position!$E$8:$E$413),2,0)=0,"",VLOOKUP(C27,CHOOSE({1,2},Planned_capex_starting_position!$BL$8:$BL$413,Planned_capex_starting_position!$E$8:$E$413),2,0))</f>
        <v>23b TRA A24</v>
      </c>
      <c r="F27" s="811" t="str">
        <f>VLOOKUP(A27,Lists!H:I,2,FALSE)</f>
        <v>Transport</v>
      </c>
      <c r="G27" s="812" t="str">
        <f>VLOOKUP(B27,FA_Codes!D:G,4,FALSE)</f>
        <v>Drury West 1 IPA</v>
      </c>
      <c r="H27" s="813" t="str">
        <f>VLOOKUP(C27,CHOOSE({1,2},Planned_capex_starting_position!$BL$8:$BL$413,Planned_capex_starting_position!$F$8:$F$413),2,0)</f>
        <v>Waihoehoe Rd West upgrades- between GSR &amp; Kath Henry Lane</v>
      </c>
      <c r="I27" s="813" t="str">
        <f>VLOOKUP(C27,CHOOSE({1,2},Planned_capex_starting_position!$BL$8:$BL$413,Planned_capex_starting_position!$G$8:$G$413),2,0)</f>
        <v>Final 4-lane - following interim option, upgrade Road corridor to provide four lanes with additional turning lanes at intersections where required (as indicated in SGA Design</v>
      </c>
      <c r="J27" s="814">
        <f>SUMIFS(Planned_capex_starting_position!$AC$8:$AC$413,Planned_capex_starting_position!$AC$8:$AC$413,"&gt;0",Planned_capex_starting_position!$BL$8:$BL$413,C27)</f>
        <v>1492947.4509620017</v>
      </c>
      <c r="K27" s="814">
        <f>SUMIF(Planned_capex_starting_position!$BL$8:$BL$413,C27,Planned_capex_starting_position!$AV$8:$AV$413)+SUMIF(Planned_capex_starting_position!$BL$8:$BL$413,C27,Planned_capex_starting_position!$BJ$8:$BJ$413)</f>
        <v>670135.50809635897</v>
      </c>
      <c r="L27" s="814">
        <f t="shared" si="1"/>
        <v>822811.94286564272</v>
      </c>
      <c r="M27" s="815">
        <f t="shared" si="2"/>
        <v>0.4488674451766857</v>
      </c>
      <c r="N27" s="822">
        <f t="shared" si="3"/>
        <v>0.55113255482331436</v>
      </c>
      <c r="O27" s="818" t="s">
        <v>6978</v>
      </c>
      <c r="P27" s="836">
        <f>_xlfn.XLOOKUP($C27,Planned_capex_starting_position!$BL$8:$BL$149,Planned_capex_starting_position!$R$8:$R$149,"Not found",0)</f>
        <v>2060</v>
      </c>
    </row>
    <row r="28" spans="1:16" ht="37.5">
      <c r="A28" s="791" t="str">
        <f t="shared" si="0"/>
        <v>TRA</v>
      </c>
      <c r="B28" s="791" t="str">
        <f>VLOOKUP(C28,CHOOSE({1,2},Planned_capex_starting_position!$BL$8:$BL$413,Planned_capex_starting_position!$AF$8:$AF$413),2,0)</f>
        <v>TRA A24</v>
      </c>
      <c r="C28" s="791" t="s">
        <v>6925</v>
      </c>
      <c r="D28" s="837" t="str">
        <f>IF($A28="TRA",VLOOKUP($C28,Planned_capex_starting_position!$BL$8:$BU$147,9,FALSE),"Not Transport")</f>
        <v>Arterial</v>
      </c>
      <c r="E28" s="791" t="str">
        <f>IF(VLOOKUP(C28,CHOOSE({1,2},Planned_capex_starting_position!$BL$8:$BL$413,Planned_capex_starting_position!$E$8:$E$413),2,0)=0,"",VLOOKUP(C28,CHOOSE({1,2},Planned_capex_starting_position!$BL$8:$BL$413,Planned_capex_starting_position!$E$8:$E$413),2,0))</f>
        <v>23d TRA A24</v>
      </c>
      <c r="F28" s="811" t="str">
        <f>VLOOKUP(A28,Lists!H:I,2,FALSE)</f>
        <v>Transport</v>
      </c>
      <c r="G28" s="812" t="str">
        <f>VLOOKUP(B28,FA_Codes!D:G,4,FALSE)</f>
        <v>Drury West 1 IPA</v>
      </c>
      <c r="H28" s="813" t="str">
        <f>VLOOKUP(C28,CHOOSE({1,2},Planned_capex_starting_position!$BL$8:$BL$413,Planned_capex_starting_position!$F$8:$F$413),2,0)</f>
        <v>Waihoehoe Rd West upgrades- between Kath Henry Lane and Fitzgerald Rd</v>
      </c>
      <c r="I28" s="813" t="str">
        <f>VLOOKUP(C28,CHOOSE({1,2},Planned_capex_starting_position!$BL$8:$BL$413,Planned_capex_starting_position!$G$8:$G$413),2,0)</f>
        <v>Final 4-lane - following interim option, upgrade Road corridor to provide four lanes with additional turning lanes at intersections where required (as indicated in SGA Design</v>
      </c>
      <c r="J28" s="814">
        <f>SUMIFS(Planned_capex_starting_position!$AC$8:$AC$413,Planned_capex_starting_position!$AC$8:$AC$413,"&gt;0",Planned_capex_starting_position!$BL$8:$BL$413,C28)</f>
        <v>280871.97153316921</v>
      </c>
      <c r="K28" s="814">
        <f>SUMIF(Planned_capex_starting_position!$BL$8:$BL$413,C28,Planned_capex_starting_position!$AV$8:$AV$413)+SUMIF(Planned_capex_starting_position!$BL$8:$BL$413,C28,Planned_capex_starting_position!$BJ$8:$BJ$413)</f>
        <v>126074.28428383241</v>
      </c>
      <c r="L28" s="814">
        <f t="shared" si="1"/>
        <v>154797.6872493368</v>
      </c>
      <c r="M28" s="815">
        <f t="shared" si="2"/>
        <v>0.44886744517668553</v>
      </c>
      <c r="N28" s="822">
        <f t="shared" si="3"/>
        <v>0.55113255482331447</v>
      </c>
      <c r="O28" s="818" t="s">
        <v>6978</v>
      </c>
      <c r="P28" s="836">
        <f>_xlfn.XLOOKUP($C28,Planned_capex_starting_position!$BL$8:$BL$149,Planned_capex_starting_position!$R$8:$R$149,"Not found",0)</f>
        <v>2060</v>
      </c>
    </row>
    <row r="29" spans="1:16" ht="25">
      <c r="A29" s="791" t="str">
        <f t="shared" si="0"/>
        <v>TRA</v>
      </c>
      <c r="B29" s="791" t="str">
        <f>VLOOKUP(C29,CHOOSE({1,2},Planned_capex_starting_position!$BL$8:$BL$413,Planned_capex_starting_position!$AF$8:$AF$413),2,0)</f>
        <v>TRA A24</v>
      </c>
      <c r="C29" s="791" t="s">
        <v>6922</v>
      </c>
      <c r="D29" s="837" t="str">
        <f>IF($A29="TRA",VLOOKUP($C29,Planned_capex_starting_position!$BL$8:$BU$147,9,FALSE),"Not Transport")</f>
        <v>Arterial</v>
      </c>
      <c r="E29" s="791" t="str">
        <f>IF(VLOOKUP(C29,CHOOSE({1,2},Planned_capex_starting_position!$BL$8:$BL$413,Planned_capex_starting_position!$E$8:$E$413),2,0)=0,"",VLOOKUP(C29,CHOOSE({1,2},Planned_capex_starting_position!$BL$8:$BL$413,Planned_capex_starting_position!$E$8:$E$413),2,0))</f>
        <v>2a TRA A24</v>
      </c>
      <c r="F29" s="811" t="str">
        <f>VLOOKUP(A29,Lists!H:I,2,FALSE)</f>
        <v>Transport</v>
      </c>
      <c r="G29" s="812" t="str">
        <f>VLOOKUP(B29,FA_Codes!D:G,4,FALSE)</f>
        <v>Drury West 1 IPA</v>
      </c>
      <c r="H29" s="813" t="str">
        <f>VLOOKUP(C29,CHOOSE({1,2},Planned_capex_starting_position!$BL$8:$BL$413,Planned_capex_starting_position!$F$8:$F$413),2,0)</f>
        <v>GSR improvements - From Drury School to Waihoehoe Rd</v>
      </c>
      <c r="I29" s="813" t="str">
        <f>VLOOKUP(C29,CHOOSE({1,2},Planned_capex_starting_position!$BL$8:$BL$413,Planned_capex_starting_position!$G$8:$G$413),2,0)</f>
        <v>2-lane urban- existing road layout with active modes on both sides + intersection improvements (TDM)</v>
      </c>
      <c r="J29" s="814">
        <f>SUMIFS(Planned_capex_starting_position!$AC$8:$AC$413,Planned_capex_starting_position!$AC$8:$AC$413,"&gt;0",Planned_capex_starting_position!$BL$8:$BL$413,C29)</f>
        <v>2427757.2368540522</v>
      </c>
      <c r="K29" s="814">
        <f>SUMIF(Planned_capex_starting_position!$BL$8:$BL$413,C29,Planned_capex_starting_position!$AV$8:$AV$413)+SUMIF(Planned_capex_starting_position!$BL$8:$BL$413,C29,Planned_capex_starting_position!$BJ$8:$BJ$413)</f>
        <v>1089741.1884158878</v>
      </c>
      <c r="L29" s="814">
        <f t="shared" si="1"/>
        <v>1338016.0484381644</v>
      </c>
      <c r="M29" s="815">
        <f t="shared" si="2"/>
        <v>0.44886744517668553</v>
      </c>
      <c r="N29" s="822">
        <f t="shared" si="3"/>
        <v>0.55113255482331447</v>
      </c>
      <c r="O29" s="818" t="s">
        <v>6978</v>
      </c>
      <c r="P29" s="836">
        <f>_xlfn.XLOOKUP($C29,Planned_capex_starting_position!$BL$8:$BL$149,Planned_capex_starting_position!$R$8:$R$149,"Not found",0)</f>
        <v>2060</v>
      </c>
    </row>
    <row r="30" spans="1:16" ht="25">
      <c r="A30" s="791" t="str">
        <f t="shared" si="0"/>
        <v>TRA</v>
      </c>
      <c r="B30" s="791" t="str">
        <f>VLOOKUP(C30,CHOOSE({1,2},Planned_capex_starting_position!$BL$8:$BL$413,Planned_capex_starting_position!$AF$8:$AF$413),2,0)</f>
        <v>TRA A24</v>
      </c>
      <c r="C30" s="791" t="s">
        <v>6926</v>
      </c>
      <c r="D30" s="837" t="str">
        <f>IF($A30="TRA",VLOOKUP($C30,Planned_capex_starting_position!$BL$8:$BU$147,9,FALSE),"Not Transport")</f>
        <v>Arterial</v>
      </c>
      <c r="E30" s="791" t="str">
        <f>IF(VLOOKUP(C30,CHOOSE({1,2},Planned_capex_starting_position!$BL$8:$BL$413,Planned_capex_starting_position!$E$8:$E$413),2,0)=0,"",VLOOKUP(C30,CHOOSE({1,2},Planned_capex_starting_position!$BL$8:$BL$413,Planned_capex_starting_position!$E$8:$E$413),2,0))</f>
        <v>36a TRA A24</v>
      </c>
      <c r="F30" s="811" t="str">
        <f>VLOOKUP(A30,Lists!H:I,2,FALSE)</f>
        <v>Transport</v>
      </c>
      <c r="G30" s="812" t="str">
        <f>VLOOKUP(B30,FA_Codes!D:G,4,FALSE)</f>
        <v>Drury West 1 IPA</v>
      </c>
      <c r="H30" s="813" t="str">
        <f>VLOOKUP(C30,CHOOSE({1,2},Planned_capex_starting_position!$BL$8:$BL$413,Planned_capex_starting_position!$F$8:$F$413),2,0)</f>
        <v>Bremner-Norrie Road east of SH1 up to GSR (overlap with project 12)</v>
      </c>
      <c r="I30" s="813" t="str">
        <f>VLOOKUP(C30,CHOOSE({1,2},Planned_capex_starting_position!$BL$8:$BL$413,Planned_capex_starting_position!$G$8:$G$413),2,0)</f>
        <v>2-lane urban- upgrade existing road layout with active modes on both sides (Under construction)</v>
      </c>
      <c r="J30" s="814">
        <f>SUMIFS(Planned_capex_starting_position!$AC$8:$AC$413,Planned_capex_starting_position!$AC$8:$AC$413,"&gt;0",Planned_capex_starting_position!$BL$8:$BL$413,C30)</f>
        <v>12854663.195554497</v>
      </c>
      <c r="K30" s="814">
        <f>SUMIF(Planned_capex_starting_position!$BL$8:$BL$413,C30,Planned_capex_starting_position!$AV$8:$AV$413)+SUMIF(Planned_capex_starting_position!$BL$8:$BL$413,C30,Planned_capex_starting_position!$BJ$8:$BJ$413)</f>
        <v>5770039.8271953156</v>
      </c>
      <c r="L30" s="814">
        <f t="shared" si="1"/>
        <v>7084623.3683591811</v>
      </c>
      <c r="M30" s="815">
        <f t="shared" si="2"/>
        <v>0.44886744517668553</v>
      </c>
      <c r="N30" s="822">
        <f t="shared" si="3"/>
        <v>0.55113255482331447</v>
      </c>
      <c r="O30" s="818" t="s">
        <v>6978</v>
      </c>
      <c r="P30" s="836">
        <f>_xlfn.XLOOKUP($C30,Planned_capex_starting_position!$BL$8:$BL$149,Planned_capex_starting_position!$R$8:$R$149,"Not found",0)</f>
        <v>2060</v>
      </c>
    </row>
    <row r="31" spans="1:16">
      <c r="A31" s="791" t="str">
        <f t="shared" si="0"/>
        <v>TRA</v>
      </c>
      <c r="B31" s="791" t="str">
        <f>VLOOKUP(C31,CHOOSE({1,2},Planned_capex_starting_position!$BL$8:$BL$413,Planned_capex_starting_position!$AF$8:$AF$413),2,0)</f>
        <v>TRA A24</v>
      </c>
      <c r="C31" s="791" t="s">
        <v>6927</v>
      </c>
      <c r="D31" s="837" t="str">
        <f>IF($A31="TRA",VLOOKUP($C31,Planned_capex_starting_position!$BL$8:$BU$147,9,FALSE),"Not Transport")</f>
        <v>Arterial</v>
      </c>
      <c r="E31" s="791" t="str">
        <f>IF(VLOOKUP(C31,CHOOSE({1,2},Planned_capex_starting_position!$BL$8:$BL$413,Planned_capex_starting_position!$E$8:$E$413),2,0)=0,"",VLOOKUP(C31,CHOOSE({1,2},Planned_capex_starting_position!$BL$8:$BL$413,Planned_capex_starting_position!$E$8:$E$413),2,0))</f>
        <v>40a TRA A24</v>
      </c>
      <c r="F31" s="811" t="str">
        <f>VLOOKUP(A31,Lists!H:I,2,FALSE)</f>
        <v>Transport</v>
      </c>
      <c r="G31" s="812" t="str">
        <f>VLOOKUP(B31,FA_Codes!D:G,4,FALSE)</f>
        <v>Drury West 1 IPA</v>
      </c>
      <c r="H31" s="813" t="str">
        <f>VLOOKUP(C31,CHOOSE({1,2},Planned_capex_starting_position!$BL$8:$BL$413,Planned_capex_starting_position!$F$8:$F$413),2,0)</f>
        <v>New intersection on Jesmond/Bremner Rd</v>
      </c>
      <c r="I31" s="813" t="str">
        <f>VLOOKUP(C31,CHOOSE({1,2},Planned_capex_starting_position!$BL$8:$BL$413,Planned_capex_starting_position!$G$8:$G$413),2,0)</f>
        <v xml:space="preserve"> 2-lane signalised intersection (new intersection with active mode crossings)</v>
      </c>
      <c r="J31" s="814">
        <f>SUMIFS(Planned_capex_starting_position!$AC$8:$AC$413,Planned_capex_starting_position!$AC$8:$AC$413,"&gt;0",Planned_capex_starting_position!$BL$8:$BL$413,C31)</f>
        <v>11196270.639159372</v>
      </c>
      <c r="K31" s="814">
        <f>SUMIF(Planned_capex_starting_position!$BL$8:$BL$413,C31,Planned_capex_starting_position!$AV$8:$AV$413)+SUMIF(Planned_capex_starting_position!$BL$8:$BL$413,C31,Planned_capex_starting_position!$BJ$8:$BJ$413)</f>
        <v>5025641.3973062038</v>
      </c>
      <c r="L31" s="814">
        <f t="shared" si="1"/>
        <v>6170629.2418531682</v>
      </c>
      <c r="M31" s="815">
        <f t="shared" si="2"/>
        <v>0.44886744517668559</v>
      </c>
      <c r="N31" s="822">
        <f t="shared" si="3"/>
        <v>0.55113255482331436</v>
      </c>
      <c r="O31" s="818" t="s">
        <v>6978</v>
      </c>
      <c r="P31" s="836">
        <f>_xlfn.XLOOKUP($C31,Planned_capex_starting_position!$BL$8:$BL$149,Planned_capex_starting_position!$R$8:$R$149,"Not found",0)</f>
        <v>2060</v>
      </c>
    </row>
    <row r="32" spans="1:16" ht="25">
      <c r="A32" s="791" t="str">
        <f t="shared" si="0"/>
        <v>TRA</v>
      </c>
      <c r="B32" s="791" t="str">
        <f>VLOOKUP(C32,CHOOSE({1,2},Planned_capex_starting_position!$BL$8:$BL$413,Planned_capex_starting_position!$AF$8:$AF$413),2,0)</f>
        <v>TRA A24</v>
      </c>
      <c r="C32" s="791" t="s">
        <v>6928</v>
      </c>
      <c r="D32" s="837" t="str">
        <f>IF($A32="TRA",VLOOKUP($C32,Planned_capex_starting_position!$BL$8:$BU$147,9,FALSE),"Not Transport")</f>
        <v>Arterial</v>
      </c>
      <c r="E32" s="791" t="str">
        <f>IF(VLOOKUP(C32,CHOOSE({1,2},Planned_capex_starting_position!$BL$8:$BL$413,Planned_capex_starting_position!$E$8:$E$413),2,0)=0,"",VLOOKUP(C32,CHOOSE({1,2},Planned_capex_starting_position!$BL$8:$BL$413,Planned_capex_starting_position!$E$8:$E$413),2,0))</f>
        <v>40b TRA A24</v>
      </c>
      <c r="F32" s="811" t="str">
        <f>VLOOKUP(A32,Lists!H:I,2,FALSE)</f>
        <v>Transport</v>
      </c>
      <c r="G32" s="812" t="str">
        <f>VLOOKUP(B32,FA_Codes!D:G,4,FALSE)</f>
        <v>Drury West 1 IPA</v>
      </c>
      <c r="H32" s="813" t="str">
        <f>VLOOKUP(C32,CHOOSE({1,2},Planned_capex_starting_position!$BL$8:$BL$413,Planned_capex_starting_position!$F$8:$F$413),2,0)</f>
        <v>Upgrade intersection on Jesmond/Bremner Rd</v>
      </c>
      <c r="I32" s="813" t="str">
        <f>VLOOKUP(C32,CHOOSE({1,2},Planned_capex_starting_position!$BL$8:$BL$413,Planned_capex_starting_position!$G$8:$G$413),2,0)</f>
        <v xml:space="preserve"> Multi-lane signalised intersection (upgrade intersection with active mode crossings)</v>
      </c>
      <c r="J32" s="814">
        <f>SUMIFS(Planned_capex_starting_position!$AC$8:$AC$413,Planned_capex_starting_position!$AC$8:$AC$413,"&gt;0",Planned_capex_starting_position!$BL$8:$BL$413,C32)</f>
        <v>5663961.1495214682</v>
      </c>
      <c r="K32" s="814">
        <f>SUMIF(Planned_capex_starting_position!$BL$8:$BL$413,C32,Planned_capex_starting_position!$AV$8:$AV$413)+SUMIF(Planned_capex_starting_position!$BL$8:$BL$413,C32,Planned_capex_starting_position!$BJ$8:$BJ$413)</f>
        <v>2542367.7707657046</v>
      </c>
      <c r="L32" s="814">
        <f t="shared" si="1"/>
        <v>3121593.3787557636</v>
      </c>
      <c r="M32" s="815">
        <f t="shared" si="2"/>
        <v>0.44886744517668559</v>
      </c>
      <c r="N32" s="822">
        <f t="shared" si="3"/>
        <v>0.55113255482331436</v>
      </c>
      <c r="O32" s="818" t="s">
        <v>6978</v>
      </c>
      <c r="P32" s="836">
        <f>_xlfn.XLOOKUP($C32,Planned_capex_starting_position!$BL$8:$BL$149,Planned_capex_starting_position!$R$8:$R$149,"Not found",0)</f>
        <v>2060</v>
      </c>
    </row>
    <row r="33" spans="1:16">
      <c r="A33" s="791" t="str">
        <f t="shared" si="0"/>
        <v>TRA</v>
      </c>
      <c r="B33" s="791" t="str">
        <f>VLOOKUP(C33,CHOOSE({1,2},Planned_capex_starting_position!$BL$8:$BL$413,Planned_capex_starting_position!$AF$8:$AF$413),2,0)</f>
        <v>TRA A24</v>
      </c>
      <c r="C33" s="791" t="s">
        <v>6929</v>
      </c>
      <c r="D33" s="837" t="str">
        <f>IF($A33="TRA",VLOOKUP($C33,Planned_capex_starting_position!$BL$8:$BU$147,9,FALSE),"Not Transport")</f>
        <v>Arterial</v>
      </c>
      <c r="E33" s="791" t="str">
        <f>IF(VLOOKUP(C33,CHOOSE({1,2},Planned_capex_starting_position!$BL$8:$BL$413,Planned_capex_starting_position!$E$8:$E$413),2,0)=0,"",VLOOKUP(C33,CHOOSE({1,2},Planned_capex_starting_position!$BL$8:$BL$413,Planned_capex_starting_position!$E$8:$E$413),2,0))</f>
        <v>41a TRA A24</v>
      </c>
      <c r="F33" s="811" t="str">
        <f>VLOOKUP(A33,Lists!H:I,2,FALSE)</f>
        <v>Transport</v>
      </c>
      <c r="G33" s="812" t="str">
        <f>VLOOKUP(B33,FA_Codes!D:G,4,FALSE)</f>
        <v>Drury West 1 IPA</v>
      </c>
      <c r="H33" s="813" t="str">
        <f>VLOOKUP(C33,CHOOSE({1,2},Planned_capex_starting_position!$BL$8:$BL$413,Planned_capex_starting_position!$F$8:$F$413),2,0)</f>
        <v>Jesmond Rd upgrades from SH22 to Waipupuke development boundary</v>
      </c>
      <c r="I33" s="813" t="str">
        <f>VLOOKUP(C33,CHOOSE({1,2},Planned_capex_starting_position!$BL$8:$BL$413,Planned_capex_starting_position!$G$8:$G$413),2,0)</f>
        <v>2-lane urban- upgrade existing road with active modes on both sides (TDM)</v>
      </c>
      <c r="J33" s="814">
        <f>SUMIFS(Planned_capex_starting_position!$AC$8:$AC$413,Planned_capex_starting_position!$AC$8:$AC$413,"&gt;0",Planned_capex_starting_position!$BL$8:$BL$413,C33)</f>
        <v>3995875.5313962535</v>
      </c>
      <c r="K33" s="814">
        <f>SUMIF(Planned_capex_starting_position!$BL$8:$BL$413,C33,Planned_capex_starting_position!$AV$8:$AV$413)+SUMIF(Planned_capex_starting_position!$BL$8:$BL$413,C33,Planned_capex_starting_position!$BJ$8:$BJ$413)</f>
        <v>1793618.4410218666</v>
      </c>
      <c r="L33" s="814">
        <f t="shared" si="1"/>
        <v>2202257.0903743869</v>
      </c>
      <c r="M33" s="815">
        <f t="shared" si="2"/>
        <v>0.44886744517668542</v>
      </c>
      <c r="N33" s="822">
        <f t="shared" si="3"/>
        <v>0.55113255482331458</v>
      </c>
      <c r="O33" s="818" t="s">
        <v>6978</v>
      </c>
      <c r="P33" s="836">
        <f>_xlfn.XLOOKUP($C33,Planned_capex_starting_position!$BL$8:$BL$149,Planned_capex_starting_position!$R$8:$R$149,"Not found",0)</f>
        <v>2060</v>
      </c>
    </row>
    <row r="34" spans="1:16" ht="25">
      <c r="A34" s="791" t="str">
        <f t="shared" si="0"/>
        <v>TRA</v>
      </c>
      <c r="B34" s="791" t="str">
        <f>VLOOKUP(C34,CHOOSE({1,2},Planned_capex_starting_position!$BL$8:$BL$413,Planned_capex_starting_position!$AF$8:$AF$413),2,0)</f>
        <v>TRA A24</v>
      </c>
      <c r="C34" s="791" t="s">
        <v>6930</v>
      </c>
      <c r="D34" s="837" t="str">
        <f>IF($A34="TRA",VLOOKUP($C34,Planned_capex_starting_position!$BL$8:$BU$147,9,FALSE),"Not Transport")</f>
        <v>Arterial</v>
      </c>
      <c r="E34" s="791" t="str">
        <f>IF(VLOOKUP(C34,CHOOSE({1,2},Planned_capex_starting_position!$BL$8:$BL$413,Planned_capex_starting_position!$E$8:$E$413),2,0)=0,"",VLOOKUP(C34,CHOOSE({1,2},Planned_capex_starting_position!$BL$8:$BL$413,Planned_capex_starting_position!$E$8:$E$413),2,0))</f>
        <v>42b TRA A24</v>
      </c>
      <c r="F34" s="811" t="str">
        <f>VLOOKUP(A34,Lists!H:I,2,FALSE)</f>
        <v>Transport</v>
      </c>
      <c r="G34" s="812" t="str">
        <f>VLOOKUP(B34,FA_Codes!D:G,4,FALSE)</f>
        <v>Drury West 1 IPA</v>
      </c>
      <c r="H34" s="813" t="str">
        <f>VLOOKUP(C34,CHOOSE({1,2},Planned_capex_starting_position!$BL$8:$BL$413,Planned_capex_starting_position!$F$8:$F$413),2,0)</f>
        <v xml:space="preserve">Jesmond Rd upgrades from project 41 to New Bremner Rd </v>
      </c>
      <c r="I34" s="813" t="str">
        <f>VLOOKUP(C34,CHOOSE({1,2},Planned_capex_starting_position!$BL$8:$BL$413,Planned_capex_starting_position!$G$8:$G$413),2,0)</f>
        <v xml:space="preserve"> 2-lane urban- upgrade existing road with active mode facility on both sides (TDM)</v>
      </c>
      <c r="J34" s="814">
        <f>SUMIFS(Planned_capex_starting_position!$AC$8:$AC$413,Planned_capex_starting_position!$AC$8:$AC$413,"&gt;0",Planned_capex_starting_position!$BL$8:$BL$413,C34)</f>
        <v>6772326.2555853091</v>
      </c>
      <c r="K34" s="814">
        <f>SUMIF(Planned_capex_starting_position!$BL$8:$BL$413,C34,Planned_capex_starting_position!$AV$8:$AV$413)+SUMIF(Planned_capex_starting_position!$BL$8:$BL$413,C34,Planned_capex_starting_position!$BJ$8:$BJ$413)</f>
        <v>3039876.784247566</v>
      </c>
      <c r="L34" s="814">
        <f t="shared" si="1"/>
        <v>3732449.4713377431</v>
      </c>
      <c r="M34" s="815">
        <f t="shared" si="2"/>
        <v>0.44886744517668542</v>
      </c>
      <c r="N34" s="822">
        <f t="shared" si="3"/>
        <v>0.55113255482331458</v>
      </c>
      <c r="O34" s="818" t="s">
        <v>6978</v>
      </c>
      <c r="P34" s="836">
        <f>_xlfn.XLOOKUP($C34,Planned_capex_starting_position!$BL$8:$BL$149,Planned_capex_starting_position!$R$8:$R$149,"Not found",0)</f>
        <v>2060</v>
      </c>
    </row>
    <row r="35" spans="1:16">
      <c r="A35" s="791" t="str">
        <f t="shared" si="0"/>
        <v>TRA</v>
      </c>
      <c r="B35" s="791" t="str">
        <f>VLOOKUP(C35,CHOOSE({1,2},Planned_capex_starting_position!$BL$8:$BL$413,Planned_capex_starting_position!$AF$8:$AF$413),2,0)</f>
        <v>TRA A24</v>
      </c>
      <c r="C35" s="791" t="s">
        <v>6931</v>
      </c>
      <c r="D35" s="837" t="str">
        <f>IF($A35="TRA",VLOOKUP($C35,Planned_capex_starting_position!$BL$8:$BU$147,9,FALSE),"Not Transport")</f>
        <v>Arterial</v>
      </c>
      <c r="E35" s="791" t="str">
        <f>IF(VLOOKUP(C35,CHOOSE({1,2},Planned_capex_starting_position!$BL$8:$BL$413,Planned_capex_starting_position!$E$8:$E$413),2,0)=0,"",VLOOKUP(C35,CHOOSE({1,2},Planned_capex_starting_position!$BL$8:$BL$413,Planned_capex_starting_position!$E$8:$E$413),2,0))</f>
        <v>46 TRA A24</v>
      </c>
      <c r="F35" s="811" t="str">
        <f>VLOOKUP(A35,Lists!H:I,2,FALSE)</f>
        <v>Transport</v>
      </c>
      <c r="G35" s="812" t="str">
        <f>VLOOKUP(B35,FA_Codes!D:G,4,FALSE)</f>
        <v>Drury West 1 IPA</v>
      </c>
      <c r="H35" s="813" t="str">
        <f>VLOOKUP(C35,CHOOSE({1,2},Planned_capex_starting_position!$BL$8:$BL$413,Planned_capex_starting_position!$F$8:$F$413),2,0)</f>
        <v>Upgrades in GSR/Firth St intersection (overlap with project12)</v>
      </c>
      <c r="I35" s="813" t="str">
        <f>VLOOKUP(C35,CHOOSE({1,2},Planned_capex_starting_position!$BL$8:$BL$413,Planned_capex_starting_position!$G$8:$G$413),2,0)</f>
        <v>Possible signals(subject to Auranga assessment)</v>
      </c>
      <c r="J35" s="814">
        <f>SUMIFS(Planned_capex_starting_position!$AC$8:$AC$413,Planned_capex_starting_position!$AC$8:$AC$413,"&gt;0",Planned_capex_starting_position!$BL$8:$BL$413,C35)</f>
        <v>3587175.39469693</v>
      </c>
      <c r="K35" s="814">
        <f>SUMIF(Planned_capex_starting_position!$BL$8:$BL$413,C35,Planned_capex_starting_position!$AV$8:$AV$413)+SUMIF(Planned_capex_starting_position!$BL$8:$BL$413,C35,Planned_capex_starting_position!$BJ$8:$BJ$413)</f>
        <v>1610166.2548182795</v>
      </c>
      <c r="L35" s="814">
        <f t="shared" si="1"/>
        <v>1977009.1398786504</v>
      </c>
      <c r="M35" s="815">
        <f t="shared" si="2"/>
        <v>0.44886744517668553</v>
      </c>
      <c r="N35" s="822">
        <f t="shared" si="3"/>
        <v>0.55113255482331447</v>
      </c>
      <c r="O35" s="818" t="s">
        <v>6978</v>
      </c>
      <c r="P35" s="836">
        <f>_xlfn.XLOOKUP($C35,Planned_capex_starting_position!$BL$8:$BL$149,Planned_capex_starting_position!$R$8:$R$149,"Not found",0)</f>
        <v>2060</v>
      </c>
    </row>
    <row r="36" spans="1:16">
      <c r="A36" s="791" t="str">
        <f t="shared" si="0"/>
        <v>TRA</v>
      </c>
      <c r="B36" s="791" t="str">
        <f>VLOOKUP(C36,CHOOSE({1,2},Planned_capex_starting_position!$BL$8:$BL$413,Planned_capex_starting_position!$AF$8:$AF$413),2,0)</f>
        <v>TRA A24</v>
      </c>
      <c r="C36" s="791" t="s">
        <v>6932</v>
      </c>
      <c r="D36" s="837" t="str">
        <f>IF($A36="TRA",VLOOKUP($C36,Planned_capex_starting_position!$BL$8:$BU$147,9,FALSE),"Not Transport")</f>
        <v>Arterial</v>
      </c>
      <c r="E36" s="791" t="str">
        <f>IF(VLOOKUP(C36,CHOOSE({1,2},Planned_capex_starting_position!$BL$8:$BL$413,Planned_capex_starting_position!$E$8:$E$413),2,0)=0,"",VLOOKUP(C36,CHOOSE({1,2},Planned_capex_starting_position!$BL$8:$BL$413,Planned_capex_starting_position!$E$8:$E$413),2,0))</f>
        <v>67 TRA A24</v>
      </c>
      <c r="F36" s="811" t="str">
        <f>VLOOKUP(A36,Lists!H:I,2,FALSE)</f>
        <v>Transport</v>
      </c>
      <c r="G36" s="812" t="str">
        <f>VLOOKUP(B36,FA_Codes!D:G,4,FALSE)</f>
        <v>Drury West 1 IPA</v>
      </c>
      <c r="H36" s="813" t="str">
        <f>VLOOKUP(C36,CHOOSE({1,2},Planned_capex_starting_position!$BL$8:$BL$413,Planned_capex_starting_position!$F$8:$F$413),2,0)</f>
        <v>Active Mode Corridor Drury Central to GSR</v>
      </c>
      <c r="I36" s="813">
        <f>VLOOKUP(C36,CHOOSE({1,2},Planned_capex_starting_position!$BL$8:$BL$413,Planned_capex_starting_position!$G$8:$G$413),2,0)</f>
        <v>0</v>
      </c>
      <c r="J36" s="814">
        <f>SUMIFS(Planned_capex_starting_position!$AC$8:$AC$413,Planned_capex_starting_position!$AC$8:$AC$413,"&gt;0",Planned_capex_starting_position!$BL$8:$BL$413,C36)</f>
        <v>2084000.5396440192</v>
      </c>
      <c r="K36" s="814">
        <f>SUMIF(Planned_capex_starting_position!$BL$8:$BL$413,C36,Planned_capex_starting_position!$AV$8:$AV$413)+SUMIF(Planned_capex_starting_position!$BL$8:$BL$413,C36,Planned_capex_starting_position!$BJ$8:$BJ$413)</f>
        <v>935439.99797684513</v>
      </c>
      <c r="L36" s="814">
        <f t="shared" si="1"/>
        <v>1148560.5416671741</v>
      </c>
      <c r="M36" s="815">
        <f t="shared" si="2"/>
        <v>0.44886744517668564</v>
      </c>
      <c r="N36" s="822">
        <f t="shared" si="3"/>
        <v>0.55113255482331436</v>
      </c>
      <c r="O36" s="818" t="s">
        <v>6978</v>
      </c>
      <c r="P36" s="836">
        <f>_xlfn.XLOOKUP($C36,Planned_capex_starting_position!$BL$8:$BL$149,Planned_capex_starting_position!$R$8:$R$149,"Not found",0)</f>
        <v>2060</v>
      </c>
    </row>
    <row r="37" spans="1:16" ht="25">
      <c r="A37" s="791" t="str">
        <f t="shared" ref="A37:A68" si="4">TRIM(LEFT(B37, 3))</f>
        <v>TRA</v>
      </c>
      <c r="B37" s="791" t="str">
        <f>VLOOKUP(C37,CHOOSE({1,2},Planned_capex_starting_position!$BL$8:$BL$413,Planned_capex_starting_position!$AF$8:$AF$413),2,0)</f>
        <v>TRA A24</v>
      </c>
      <c r="C37" s="791" t="s">
        <v>6933</v>
      </c>
      <c r="D37" s="837" t="str">
        <f>IF($A37="TRA",VLOOKUP($C37,Planned_capex_starting_position!$BL$8:$BU$147,9,FALSE),"Not Transport")</f>
        <v>Arterial</v>
      </c>
      <c r="E37" s="791" t="str">
        <f>IF(VLOOKUP(C37,CHOOSE({1,2},Planned_capex_starting_position!$BL$8:$BL$413,Planned_capex_starting_position!$E$8:$E$413),2,0)=0,"",VLOOKUP(C37,CHOOSE({1,2},Planned_capex_starting_position!$BL$8:$BL$413,Planned_capex_starting_position!$E$8:$E$413),2,0))</f>
        <v>70 TRA A24</v>
      </c>
      <c r="F37" s="811" t="str">
        <f>VLOOKUP(A37,Lists!H:I,2,FALSE)</f>
        <v>Transport</v>
      </c>
      <c r="G37" s="812" t="str">
        <f>VLOOKUP(B37,FA_Codes!D:G,4,FALSE)</f>
        <v>Drury West 1 IPA</v>
      </c>
      <c r="H37" s="813" t="str">
        <f>VLOOKUP(C37,CHOOSE({1,2},Planned_capex_starting_position!$BL$8:$BL$413,Planned_capex_starting_position!$F$8:$F$413),2,0)</f>
        <v>walk/cycle bridges on GSR Road bridge over the rail corridor</v>
      </c>
      <c r="I37" s="813" t="str">
        <f>VLOOKUP(C37,CHOOSE({1,2},Planned_capex_starting_position!$BL$8:$BL$413,Planned_capex_starting_position!$G$8:$G$413),2,0)</f>
        <v>New cycle bridge 5m wide, 80m long, approach lengths 270m total for both sides. No property required</v>
      </c>
      <c r="J37" s="814">
        <f>SUMIFS(Planned_capex_starting_position!$AC$8:$AC$413,Planned_capex_starting_position!$AC$8:$AC$413,"&gt;0",Planned_capex_starting_position!$BL$8:$BL$413,C37)</f>
        <v>1930502.2621893722</v>
      </c>
      <c r="K37" s="814">
        <f>SUMIF(Planned_capex_starting_position!$BL$8:$BL$413,C37,Planned_capex_starting_position!$AV$8:$AV$413)+SUMIF(Planned_capex_starting_position!$BL$8:$BL$413,C37,Planned_capex_starting_position!$BJ$8:$BJ$413)</f>
        <v>866539.61833675555</v>
      </c>
      <c r="L37" s="814">
        <f t="shared" ref="L37:L68" si="5">J37-K37</f>
        <v>1063962.6438526167</v>
      </c>
      <c r="M37" s="815">
        <f t="shared" ref="M37:M68" si="6">IFERROR(K37/J37,0)</f>
        <v>0.44886744517668559</v>
      </c>
      <c r="N37" s="822">
        <f t="shared" ref="N37:N68" si="7">1-M37</f>
        <v>0.55113255482331436</v>
      </c>
      <c r="O37" s="818" t="s">
        <v>6978</v>
      </c>
      <c r="P37" s="836">
        <f>_xlfn.XLOOKUP($C37,Planned_capex_starting_position!$BL$8:$BL$149,Planned_capex_starting_position!$R$8:$R$149,"Not found",0)</f>
        <v>2060</v>
      </c>
    </row>
    <row r="38" spans="1:16">
      <c r="A38" s="791" t="str">
        <f t="shared" si="4"/>
        <v>TRA</v>
      </c>
      <c r="B38" s="791" t="str">
        <f>VLOOKUP(C38,CHOOSE({1,2},Planned_capex_starting_position!$BL$8:$BL$413,Planned_capex_starting_position!$AF$8:$AF$413),2,0)</f>
        <v>TRA A24</v>
      </c>
      <c r="C38" s="791" t="s">
        <v>6923</v>
      </c>
      <c r="D38" s="837" t="str">
        <f>IF($A38="TRA",VLOOKUP($C38,Planned_capex_starting_position!$BL$8:$BU$147,9,FALSE),"Not Transport")</f>
        <v>Arterial</v>
      </c>
      <c r="E38" s="791" t="str">
        <f>IF(VLOOKUP(C38,CHOOSE({1,2},Planned_capex_starting_position!$BL$8:$BL$413,Planned_capex_starting_position!$E$8:$E$413),2,0)=0,"",VLOOKUP(C38,CHOOSE({1,2},Planned_capex_starting_position!$BL$8:$BL$413,Planned_capex_starting_position!$E$8:$E$413),2,0))</f>
        <v>9b TRA A24</v>
      </c>
      <c r="F38" s="811" t="str">
        <f>VLOOKUP(A38,Lists!H:I,2,FALSE)</f>
        <v>Transport</v>
      </c>
      <c r="G38" s="812" t="str">
        <f>VLOOKUP(B38,FA_Codes!D:G,4,FALSE)</f>
        <v>Drury West 1 IPA</v>
      </c>
      <c r="H38" s="813" t="str">
        <f>VLOOKUP(C38,CHOOSE({1,2},Planned_capex_starting_position!$BL$8:$BL$413,Planned_capex_starting_position!$F$8:$F$413),2,0)</f>
        <v>Upgrade in Norrie Rd/GSR/Waihoehoe intersection</v>
      </c>
      <c r="I38" s="813" t="str">
        <f>VLOOKUP(C38,CHOOSE({1,2},Planned_capex_starting_position!$BL$8:$BL$413,Planned_capex_starting_position!$G$8:$G$413),2,0)</f>
        <v>multi-lane signalised intersection with active mode crossings, SGA design</v>
      </c>
      <c r="J38" s="814">
        <f>SUMIFS(Planned_capex_starting_position!$AC$8:$AC$413,Planned_capex_starting_position!$AC$8:$AC$413,"&gt;0",Planned_capex_starting_position!$BL$8:$BL$413,C38)</f>
        <v>955170.03727390873</v>
      </c>
      <c r="K38" s="814">
        <f>SUMIF(Planned_capex_starting_position!$BL$8:$BL$413,C38,Planned_capex_starting_position!$AV$8:$AV$413)+SUMIF(Planned_capex_starting_position!$BL$8:$BL$413,C38,Planned_capex_starting_position!$BJ$8:$BJ$413)</f>
        <v>428744.73434045888</v>
      </c>
      <c r="L38" s="814">
        <f t="shared" si="5"/>
        <v>526425.30293344986</v>
      </c>
      <c r="M38" s="815">
        <f t="shared" si="6"/>
        <v>0.44886744517668548</v>
      </c>
      <c r="N38" s="822">
        <f t="shared" si="7"/>
        <v>0.55113255482331458</v>
      </c>
      <c r="O38" s="818" t="s">
        <v>6978</v>
      </c>
      <c r="P38" s="836">
        <f>_xlfn.XLOOKUP($C38,Planned_capex_starting_position!$BL$8:$BL$149,Planned_capex_starting_position!$R$8:$R$149,"Not found",0)</f>
        <v>2060</v>
      </c>
    </row>
    <row r="39" spans="1:16" ht="25">
      <c r="A39" s="791" t="str">
        <f t="shared" si="4"/>
        <v>TRA</v>
      </c>
      <c r="B39" s="791" t="str">
        <f>VLOOKUP(C39,CHOOSE({1,2},Planned_capex_starting_position!$BL$8:$BL$413,Planned_capex_starting_position!$AF$8:$AF$413),2,0)</f>
        <v>TRA A25</v>
      </c>
      <c r="C39" s="791" t="s">
        <v>6934</v>
      </c>
      <c r="D39" s="837" t="str">
        <f>IF($A39="TRA",VLOOKUP($C39,Planned_capex_starting_position!$BL$8:$BU$147,9,FALSE),"Not Transport")</f>
        <v>Collector</v>
      </c>
      <c r="E39" s="791" t="str">
        <f>IF(VLOOKUP(C39,CHOOSE({1,2},Planned_capex_starting_position!$BL$8:$BL$413,Planned_capex_starting_position!$E$8:$E$413),2,0)=0,"",VLOOKUP(C39,CHOOSE({1,2},Planned_capex_starting_position!$BL$8:$BL$413,Planned_capex_starting_position!$E$8:$E$413),2,0))</f>
        <v>14a TRA A25</v>
      </c>
      <c r="F39" s="811" t="str">
        <f>VLOOKUP(A39,Lists!H:I,2,FALSE)</f>
        <v>Transport</v>
      </c>
      <c r="G39" s="812" t="str">
        <f>VLOOKUP(B39,FA_Codes!D:G,4,FALSE)</f>
        <v>Drury West 2 IPA</v>
      </c>
      <c r="H39" s="813" t="str">
        <f>VLOOKUP(C39,CHOOSE({1,2},Planned_capex_starting_position!$BL$8:$BL$413,Planned_capex_starting_position!$F$8:$F$413),2,0)</f>
        <v>Western end of Brookefield Road Extension tie in with Quarry Rd</v>
      </c>
      <c r="I39" s="813" t="str">
        <f>VLOOKUP(C39,CHOOSE({1,2},Planned_capex_starting_position!$BL$8:$BL$413,Planned_capex_starting_position!$G$8:$G$413),2,0)</f>
        <v>2-lane urban (New Road connection to Quarry Road with active modes on both sides + intersection improvements)</v>
      </c>
      <c r="J39" s="814">
        <f>SUMIFS(Planned_capex_starting_position!$AC$8:$AC$413,Planned_capex_starting_position!$AC$8:$AC$413,"&gt;0",Planned_capex_starting_position!$BL$8:$BL$413,C39)</f>
        <v>1129960.6568483836</v>
      </c>
      <c r="K39" s="814">
        <f>SUMIF(Planned_capex_starting_position!$BL$8:$BL$413,C39,Planned_capex_starting_position!$AV$8:$AV$413)+SUMIF(Planned_capex_starting_position!$BL$8:$BL$413,C39,Planned_capex_starting_position!$BJ$8:$BJ$413)</f>
        <v>1057536.0351293152</v>
      </c>
      <c r="L39" s="814">
        <f t="shared" si="5"/>
        <v>72424.621719068382</v>
      </c>
      <c r="M39" s="815">
        <f t="shared" si="6"/>
        <v>0.935905182821966</v>
      </c>
      <c r="N39" s="822">
        <f t="shared" si="7"/>
        <v>6.4094817178034003E-2</v>
      </c>
      <c r="O39" s="818" t="s">
        <v>6978</v>
      </c>
      <c r="P39" s="836">
        <f>_xlfn.XLOOKUP($C39,Planned_capex_starting_position!$BL$8:$BL$149,Planned_capex_starting_position!$R$8:$R$149,"Not found",0)</f>
        <v>2060</v>
      </c>
    </row>
    <row r="40" spans="1:16" ht="25">
      <c r="A40" s="791" t="str">
        <f t="shared" si="4"/>
        <v>TRA</v>
      </c>
      <c r="B40" s="791" t="str">
        <f>VLOOKUP(C40,CHOOSE({1,2},Planned_capex_starting_position!$BL$8:$BL$413,Planned_capex_starting_position!$AF$8:$AF$413),2,0)</f>
        <v>TRA A25</v>
      </c>
      <c r="C40" s="791" t="s">
        <v>6935</v>
      </c>
      <c r="D40" s="837" t="str">
        <f>IF($A40="TRA",VLOOKUP($C40,Planned_capex_starting_position!$BL$8:$BU$147,9,FALSE),"Not Transport")</f>
        <v>Arterial</v>
      </c>
      <c r="E40" s="791" t="str">
        <f>IF(VLOOKUP(C40,CHOOSE({1,2},Planned_capex_starting_position!$BL$8:$BL$413,Planned_capex_starting_position!$E$8:$E$413),2,0)=0,"",VLOOKUP(C40,CHOOSE({1,2},Planned_capex_starting_position!$BL$8:$BL$413,Planned_capex_starting_position!$E$8:$E$413),2,0))</f>
        <v>1b TRA A25</v>
      </c>
      <c r="F40" s="811" t="str">
        <f>VLOOKUP(A40,Lists!H:I,2,FALSE)</f>
        <v>Transport</v>
      </c>
      <c r="G40" s="812" t="str">
        <f>VLOOKUP(B40,FA_Codes!D:G,4,FALSE)</f>
        <v>Drury West 2 IPA</v>
      </c>
      <c r="H40" s="813" t="str">
        <f>VLOOKUP(C40,CHOOSE({1,2},Planned_capex_starting_position!$BL$8:$BL$413,Planned_capex_starting_position!$F$8:$F$413),2,0)</f>
        <v>GSR improvements - Waihoehoe Rd to Drury Interchange</v>
      </c>
      <c r="I40" s="813" t="str">
        <f>VLOOKUP(C40,CHOOSE({1,2},Planned_capex_starting_position!$BL$8:$BL$413,Planned_capex_starting_position!$G$8:$G$413),2,0)</f>
        <v>4-lane urban- existing road layout with active modes on both sides + intersection improvements (TDM)</v>
      </c>
      <c r="J40" s="814">
        <f>SUMIFS(Planned_capex_starting_position!$AC$8:$AC$413,Planned_capex_starting_position!$AC$8:$AC$413,"&gt;0",Planned_capex_starting_position!$BL$8:$BL$413,C40)</f>
        <v>1994937.0039249044</v>
      </c>
      <c r="K40" s="814">
        <f>SUMIF(Planned_capex_starting_position!$BL$8:$BL$413,C40,Planned_capex_starting_position!$AV$8:$AV$413)+SUMIF(Planned_capex_starting_position!$BL$8:$BL$413,C40,Planned_capex_starting_position!$BJ$8:$BJ$413)</f>
        <v>914865.22187455476</v>
      </c>
      <c r="L40" s="814">
        <f t="shared" si="5"/>
        <v>1080071.7820503497</v>
      </c>
      <c r="M40" s="815">
        <f t="shared" si="6"/>
        <v>0.45859353958276322</v>
      </c>
      <c r="N40" s="822">
        <f t="shared" si="7"/>
        <v>0.54140646041723683</v>
      </c>
      <c r="O40" s="818" t="s">
        <v>6978</v>
      </c>
      <c r="P40" s="836">
        <f>_xlfn.XLOOKUP($C40,Planned_capex_starting_position!$BL$8:$BL$149,Planned_capex_starting_position!$R$8:$R$149,"Not found",0)</f>
        <v>2060</v>
      </c>
    </row>
    <row r="41" spans="1:16" ht="37.5">
      <c r="A41" s="791" t="str">
        <f t="shared" si="4"/>
        <v>TRA</v>
      </c>
      <c r="B41" s="791" t="str">
        <f>VLOOKUP(C41,CHOOSE({1,2},Planned_capex_starting_position!$BL$8:$BL$413,Planned_capex_starting_position!$AF$8:$AF$413),2,0)</f>
        <v>TRA A25</v>
      </c>
      <c r="C41" s="791" t="s">
        <v>6937</v>
      </c>
      <c r="D41" s="837" t="str">
        <f>IF($A41="TRA",VLOOKUP($C41,Planned_capex_starting_position!$BL$8:$BU$147,9,FALSE),"Not Transport")</f>
        <v>Arterial</v>
      </c>
      <c r="E41" s="791" t="str">
        <f>IF(VLOOKUP(C41,CHOOSE({1,2},Planned_capex_starting_position!$BL$8:$BL$413,Planned_capex_starting_position!$E$8:$E$413),2,0)=0,"",VLOOKUP(C41,CHOOSE({1,2},Planned_capex_starting_position!$BL$8:$BL$413,Planned_capex_starting_position!$E$8:$E$413),2,0))</f>
        <v>23b TRA A25</v>
      </c>
      <c r="F41" s="811" t="str">
        <f>VLOOKUP(A41,Lists!H:I,2,FALSE)</f>
        <v>Transport</v>
      </c>
      <c r="G41" s="812" t="str">
        <f>VLOOKUP(B41,FA_Codes!D:G,4,FALSE)</f>
        <v>Drury West 2 IPA</v>
      </c>
      <c r="H41" s="813" t="str">
        <f>VLOOKUP(C41,CHOOSE({1,2},Planned_capex_starting_position!$BL$8:$BL$413,Planned_capex_starting_position!$F$8:$F$413),2,0)</f>
        <v>Waihoehoe Rd West upgrades- between GSR &amp; Kath Henry Lane</v>
      </c>
      <c r="I41" s="813" t="str">
        <f>VLOOKUP(C41,CHOOSE({1,2},Planned_capex_starting_position!$BL$8:$BL$413,Planned_capex_starting_position!$G$8:$G$413),2,0)</f>
        <v>Final 4-lane - following interim option, upgrade Road corridor to provide four lanes with additional turning lanes at intersections where required (as indicated in SGA Design</v>
      </c>
      <c r="J41" s="814">
        <f>SUMIFS(Planned_capex_starting_position!$AC$8:$AC$413,Planned_capex_starting_position!$AC$8:$AC$413,"&gt;0",Planned_capex_starting_position!$BL$8:$BL$413,C41)</f>
        <v>1492947.4509620017</v>
      </c>
      <c r="K41" s="814">
        <f>SUMIF(Planned_capex_starting_position!$BL$8:$BL$413,C41,Planned_capex_starting_position!$AV$8:$AV$413)+SUMIF(Planned_capex_starting_position!$BL$8:$BL$413,C41,Planned_capex_starting_position!$BJ$8:$BJ$413)</f>
        <v>684656.05594772834</v>
      </c>
      <c r="L41" s="814">
        <f t="shared" si="5"/>
        <v>808291.39501427335</v>
      </c>
      <c r="M41" s="815">
        <f t="shared" si="6"/>
        <v>0.45859353958276333</v>
      </c>
      <c r="N41" s="822">
        <f t="shared" si="7"/>
        <v>0.54140646041723661</v>
      </c>
      <c r="O41" s="818" t="s">
        <v>6978</v>
      </c>
      <c r="P41" s="836">
        <f>_xlfn.XLOOKUP($C41,Planned_capex_starting_position!$BL$8:$BL$149,Planned_capex_starting_position!$R$8:$R$149,"Not found",0)</f>
        <v>2060</v>
      </c>
    </row>
    <row r="42" spans="1:16" ht="37.5">
      <c r="A42" s="791" t="str">
        <f t="shared" si="4"/>
        <v>TRA</v>
      </c>
      <c r="B42" s="791" t="str">
        <f>VLOOKUP(C42,CHOOSE({1,2},Planned_capex_starting_position!$BL$8:$BL$413,Planned_capex_starting_position!$AF$8:$AF$413),2,0)</f>
        <v>TRA A25</v>
      </c>
      <c r="C42" s="791" t="s">
        <v>6938</v>
      </c>
      <c r="D42" s="837" t="str">
        <f>IF($A42="TRA",VLOOKUP($C42,Planned_capex_starting_position!$BL$8:$BU$147,9,FALSE),"Not Transport")</f>
        <v>Arterial</v>
      </c>
      <c r="E42" s="791" t="str">
        <f>IF(VLOOKUP(C42,CHOOSE({1,2},Planned_capex_starting_position!$BL$8:$BL$413,Planned_capex_starting_position!$E$8:$E$413),2,0)=0,"",VLOOKUP(C42,CHOOSE({1,2},Planned_capex_starting_position!$BL$8:$BL$413,Planned_capex_starting_position!$E$8:$E$413),2,0))</f>
        <v>23d TRA A25</v>
      </c>
      <c r="F42" s="811" t="str">
        <f>VLOOKUP(A42,Lists!H:I,2,FALSE)</f>
        <v>Transport</v>
      </c>
      <c r="G42" s="812" t="str">
        <f>VLOOKUP(B42,FA_Codes!D:G,4,FALSE)</f>
        <v>Drury West 2 IPA</v>
      </c>
      <c r="H42" s="813" t="str">
        <f>VLOOKUP(C42,CHOOSE({1,2},Planned_capex_starting_position!$BL$8:$BL$413,Planned_capex_starting_position!$F$8:$F$413),2,0)</f>
        <v>Waihoehoe Rd West upgrades- between Kath Henry Lane and Fitzgerald Rd</v>
      </c>
      <c r="I42" s="813" t="str">
        <f>VLOOKUP(C42,CHOOSE({1,2},Planned_capex_starting_position!$BL$8:$BL$413,Planned_capex_starting_position!$G$8:$G$413),2,0)</f>
        <v>Final 4-lane - following interim option, upgrade Road corridor to provide four lanes with additional turning lanes at intersections where required (as indicated in SGA Design</v>
      </c>
      <c r="J42" s="814">
        <f>SUMIFS(Planned_capex_starting_position!$AC$8:$AC$413,Planned_capex_starting_position!$AC$8:$AC$413,"&gt;0",Planned_capex_starting_position!$BL$8:$BL$413,C42)</f>
        <v>280871.97153316921</v>
      </c>
      <c r="K42" s="814">
        <f>SUMIF(Planned_capex_starting_position!$BL$8:$BL$413,C42,Planned_capex_starting_position!$AV$8:$AV$413)+SUMIF(Planned_capex_starting_position!$BL$8:$BL$413,C42,Planned_capex_starting_position!$BJ$8:$BJ$413)</f>
        <v>128806.0715949852</v>
      </c>
      <c r="L42" s="814">
        <f t="shared" si="5"/>
        <v>152065.89993818401</v>
      </c>
      <c r="M42" s="815">
        <f t="shared" si="6"/>
        <v>0.45859353958276328</v>
      </c>
      <c r="N42" s="822">
        <f t="shared" si="7"/>
        <v>0.54140646041723672</v>
      </c>
      <c r="O42" s="818" t="s">
        <v>6978</v>
      </c>
      <c r="P42" s="836">
        <f>_xlfn.XLOOKUP($C42,Planned_capex_starting_position!$BL$8:$BL$149,Planned_capex_starting_position!$R$8:$R$149,"Not found",0)</f>
        <v>2060</v>
      </c>
    </row>
    <row r="43" spans="1:16" ht="25">
      <c r="A43" s="791" t="str">
        <f t="shared" si="4"/>
        <v>TRA</v>
      </c>
      <c r="B43" s="791" t="str">
        <f>VLOOKUP(C43,CHOOSE({1,2},Planned_capex_starting_position!$BL$8:$BL$413,Planned_capex_starting_position!$AF$8:$AF$413),2,0)</f>
        <v>TRA A25</v>
      </c>
      <c r="C43" s="791" t="s">
        <v>6939</v>
      </c>
      <c r="D43" s="837" t="str">
        <f>IF($A43="TRA",VLOOKUP($C43,Planned_capex_starting_position!$BL$8:$BU$147,9,FALSE),"Not Transport")</f>
        <v>Arterial</v>
      </c>
      <c r="E43" s="791" t="str">
        <f>IF(VLOOKUP(C43,CHOOSE({1,2},Planned_capex_starting_position!$BL$8:$BL$413,Planned_capex_starting_position!$E$8:$E$413),2,0)=0,"",VLOOKUP(C43,CHOOSE({1,2},Planned_capex_starting_position!$BL$8:$BL$413,Planned_capex_starting_position!$E$8:$E$413),2,0))</f>
        <v>36a TRA A25</v>
      </c>
      <c r="F43" s="811" t="str">
        <f>VLOOKUP(A43,Lists!H:I,2,FALSE)</f>
        <v>Transport</v>
      </c>
      <c r="G43" s="812" t="str">
        <f>VLOOKUP(B43,FA_Codes!D:G,4,FALSE)</f>
        <v>Drury West 2 IPA</v>
      </c>
      <c r="H43" s="813" t="str">
        <f>VLOOKUP(C43,CHOOSE({1,2},Planned_capex_starting_position!$BL$8:$BL$413,Planned_capex_starting_position!$F$8:$F$413),2,0)</f>
        <v>Bremner-Norrie Road east of SH1 up to GSR (overlap with project 12)</v>
      </c>
      <c r="I43" s="813" t="str">
        <f>VLOOKUP(C43,CHOOSE({1,2},Planned_capex_starting_position!$BL$8:$BL$413,Planned_capex_starting_position!$G$8:$G$413),2,0)</f>
        <v>2-lane urban- upgrade existing road layout with active modes on both sides (Under construction)</v>
      </c>
      <c r="J43" s="814">
        <f>SUMIFS(Planned_capex_starting_position!$AC$8:$AC$413,Planned_capex_starting_position!$AC$8:$AC$413,"&gt;0",Planned_capex_starting_position!$BL$8:$BL$413,C43)</f>
        <v>676561.22081865778</v>
      </c>
      <c r="K43" s="814">
        <f>SUMIF(Planned_capex_starting_position!$BL$8:$BL$413,C43,Planned_capex_starting_position!$AV$8:$AV$413)+SUMIF(Planned_capex_starting_position!$BL$8:$BL$413,C43,Planned_capex_starting_position!$BJ$8:$BJ$413)</f>
        <v>310266.60499966377</v>
      </c>
      <c r="L43" s="814">
        <f t="shared" si="5"/>
        <v>366294.615818994</v>
      </c>
      <c r="M43" s="815">
        <f t="shared" si="6"/>
        <v>0.45859353958276328</v>
      </c>
      <c r="N43" s="822">
        <f t="shared" si="7"/>
        <v>0.54140646041723672</v>
      </c>
      <c r="O43" s="818" t="s">
        <v>6978</v>
      </c>
      <c r="P43" s="836">
        <f>_xlfn.XLOOKUP($C43,Planned_capex_starting_position!$BL$8:$BL$149,Planned_capex_starting_position!$R$8:$R$149,"Not found",0)</f>
        <v>2060</v>
      </c>
    </row>
    <row r="44" spans="1:16">
      <c r="A44" s="791" t="str">
        <f t="shared" si="4"/>
        <v>TRA</v>
      </c>
      <c r="B44" s="791" t="str">
        <f>VLOOKUP(C44,CHOOSE({1,2},Planned_capex_starting_position!$BL$8:$BL$413,Planned_capex_starting_position!$AF$8:$AF$413),2,0)</f>
        <v>TRA A25</v>
      </c>
      <c r="C44" s="791" t="s">
        <v>6940</v>
      </c>
      <c r="D44" s="837" t="str">
        <f>IF($A44="TRA",VLOOKUP($C44,Planned_capex_starting_position!$BL$8:$BU$147,9,FALSE),"Not Transport")</f>
        <v>Arterial</v>
      </c>
      <c r="E44" s="791" t="str">
        <f>IF(VLOOKUP(C44,CHOOSE({1,2},Planned_capex_starting_position!$BL$8:$BL$413,Planned_capex_starting_position!$E$8:$E$413),2,0)=0,"",VLOOKUP(C44,CHOOSE({1,2},Planned_capex_starting_position!$BL$8:$BL$413,Planned_capex_starting_position!$E$8:$E$413),2,0))</f>
        <v>40a TRA A25</v>
      </c>
      <c r="F44" s="811" t="str">
        <f>VLOOKUP(A44,Lists!H:I,2,FALSE)</f>
        <v>Transport</v>
      </c>
      <c r="G44" s="812" t="str">
        <f>VLOOKUP(B44,FA_Codes!D:G,4,FALSE)</f>
        <v>Drury West 2 IPA</v>
      </c>
      <c r="H44" s="813" t="str">
        <f>VLOOKUP(C44,CHOOSE({1,2},Planned_capex_starting_position!$BL$8:$BL$413,Planned_capex_starting_position!$F$8:$F$413),2,0)</f>
        <v>New intersection on Jesmond/Bremner Rd</v>
      </c>
      <c r="I44" s="813" t="str">
        <f>VLOOKUP(C44,CHOOSE({1,2},Planned_capex_starting_position!$BL$8:$BL$413,Planned_capex_starting_position!$G$8:$G$413),2,0)</f>
        <v xml:space="preserve"> 2-lane signalised intersection (new intersection with active mode crossings)</v>
      </c>
      <c r="J44" s="814">
        <f>SUMIFS(Planned_capex_starting_position!$AC$8:$AC$413,Planned_capex_starting_position!$AC$8:$AC$413,"&gt;0",Planned_capex_starting_position!$BL$8:$BL$413,C44)</f>
        <v>1244030.0710177082</v>
      </c>
      <c r="K44" s="814">
        <f>SUMIF(Planned_capex_starting_position!$BL$8:$BL$413,C44,Planned_capex_starting_position!$AV$8:$AV$413)+SUMIF(Planned_capex_starting_position!$BL$8:$BL$413,C44,Planned_capex_starting_position!$BJ$8:$BJ$413)</f>
        <v>570504.15361540718</v>
      </c>
      <c r="L44" s="814">
        <f t="shared" si="5"/>
        <v>673525.91740230098</v>
      </c>
      <c r="M44" s="815">
        <f t="shared" si="6"/>
        <v>0.45859353958276328</v>
      </c>
      <c r="N44" s="822">
        <f t="shared" si="7"/>
        <v>0.54140646041723672</v>
      </c>
      <c r="O44" s="818" t="s">
        <v>6978</v>
      </c>
      <c r="P44" s="836">
        <f>_xlfn.XLOOKUP($C44,Planned_capex_starting_position!$BL$8:$BL$149,Planned_capex_starting_position!$R$8:$R$149,"Not found",0)</f>
        <v>2060</v>
      </c>
    </row>
    <row r="45" spans="1:16" ht="25">
      <c r="A45" s="791" t="str">
        <f t="shared" si="4"/>
        <v>TRA</v>
      </c>
      <c r="B45" s="791" t="str">
        <f>VLOOKUP(C45,CHOOSE({1,2},Planned_capex_starting_position!$BL$8:$BL$413,Planned_capex_starting_position!$AF$8:$AF$413),2,0)</f>
        <v>TRA A25</v>
      </c>
      <c r="C45" s="791" t="s">
        <v>6941</v>
      </c>
      <c r="D45" s="837" t="str">
        <f>IF($A45="TRA",VLOOKUP($C45,Planned_capex_starting_position!$BL$8:$BU$147,9,FALSE),"Not Transport")</f>
        <v>Arterial</v>
      </c>
      <c r="E45" s="791" t="str">
        <f>IF(VLOOKUP(C45,CHOOSE({1,2},Planned_capex_starting_position!$BL$8:$BL$413,Planned_capex_starting_position!$E$8:$E$413),2,0)=0,"",VLOOKUP(C45,CHOOSE({1,2},Planned_capex_starting_position!$BL$8:$BL$413,Planned_capex_starting_position!$E$8:$E$413),2,0))</f>
        <v>40b TRA A25</v>
      </c>
      <c r="F45" s="811" t="str">
        <f>VLOOKUP(A45,Lists!H:I,2,FALSE)</f>
        <v>Transport</v>
      </c>
      <c r="G45" s="812" t="str">
        <f>VLOOKUP(B45,FA_Codes!D:G,4,FALSE)</f>
        <v>Drury West 2 IPA</v>
      </c>
      <c r="H45" s="813" t="str">
        <f>VLOOKUP(C45,CHOOSE({1,2},Planned_capex_starting_position!$BL$8:$BL$413,Planned_capex_starting_position!$F$8:$F$413),2,0)</f>
        <v>Upgrade intersection on Jesmond/Bremner Rd</v>
      </c>
      <c r="I45" s="813" t="str">
        <f>VLOOKUP(C45,CHOOSE({1,2},Planned_capex_starting_position!$BL$8:$BL$413,Planned_capex_starting_position!$G$8:$G$413),2,0)</f>
        <v xml:space="preserve"> Multi-lane signalised intersection (upgrade intersection with active mode crossings)</v>
      </c>
      <c r="J45" s="814">
        <f>SUMIFS(Planned_capex_starting_position!$AC$8:$AC$413,Planned_capex_starting_position!$AC$8:$AC$413,"&gt;0",Planned_capex_starting_position!$BL$8:$BL$413,C45)</f>
        <v>1699188.3448564408</v>
      </c>
      <c r="K45" s="814">
        <f>SUMIF(Planned_capex_starting_position!$BL$8:$BL$413,C45,Planned_capex_starting_position!$AV$8:$AV$413)+SUMIF(Planned_capex_starting_position!$BL$8:$BL$413,C45,Planned_capex_starting_position!$BJ$8:$BJ$413)</f>
        <v>779236.79748549196</v>
      </c>
      <c r="L45" s="814">
        <f t="shared" si="5"/>
        <v>919951.54737094883</v>
      </c>
      <c r="M45" s="815">
        <f t="shared" si="6"/>
        <v>0.45859353958276311</v>
      </c>
      <c r="N45" s="822">
        <f t="shared" si="7"/>
        <v>0.54140646041723683</v>
      </c>
      <c r="O45" s="818" t="s">
        <v>6978</v>
      </c>
      <c r="P45" s="836">
        <f>_xlfn.XLOOKUP($C45,Planned_capex_starting_position!$BL$8:$BL$149,Planned_capex_starting_position!$R$8:$R$149,"Not found",0)</f>
        <v>2060</v>
      </c>
    </row>
    <row r="46" spans="1:16">
      <c r="A46" s="791" t="str">
        <f t="shared" si="4"/>
        <v>TRA</v>
      </c>
      <c r="B46" s="791" t="str">
        <f>VLOOKUP(C46,CHOOSE({1,2},Planned_capex_starting_position!$BL$8:$BL$413,Planned_capex_starting_position!$AF$8:$AF$413),2,0)</f>
        <v>TRA A25</v>
      </c>
      <c r="C46" s="791" t="s">
        <v>6942</v>
      </c>
      <c r="D46" s="837" t="str">
        <f>IF($A46="TRA",VLOOKUP($C46,Planned_capex_starting_position!$BL$8:$BU$147,9,FALSE),"Not Transport")</f>
        <v>Arterial</v>
      </c>
      <c r="E46" s="791" t="str">
        <f>IF(VLOOKUP(C46,CHOOSE({1,2},Planned_capex_starting_position!$BL$8:$BL$413,Planned_capex_starting_position!$E$8:$E$413),2,0)=0,"",VLOOKUP(C46,CHOOSE({1,2},Planned_capex_starting_position!$BL$8:$BL$413,Planned_capex_starting_position!$E$8:$E$413),2,0))</f>
        <v>41a TRA A25</v>
      </c>
      <c r="F46" s="811" t="str">
        <f>VLOOKUP(A46,Lists!H:I,2,FALSE)</f>
        <v>Transport</v>
      </c>
      <c r="G46" s="812" t="str">
        <f>VLOOKUP(B46,FA_Codes!D:G,4,FALSE)</f>
        <v>Drury West 2 IPA</v>
      </c>
      <c r="H46" s="813" t="str">
        <f>VLOOKUP(C46,CHOOSE({1,2},Planned_capex_starting_position!$BL$8:$BL$413,Planned_capex_starting_position!$F$8:$F$413),2,0)</f>
        <v>Jesmond Rd upgrades from SH22 to Waipupuke development boundary</v>
      </c>
      <c r="I46" s="813" t="str">
        <f>VLOOKUP(C46,CHOOSE({1,2},Planned_capex_starting_position!$BL$8:$BL$413,Planned_capex_starting_position!$G$8:$G$413),2,0)</f>
        <v>2-lane urban- upgrade existing road with active modes on both sides (TDM)</v>
      </c>
      <c r="J46" s="814">
        <f>SUMIFS(Planned_capex_starting_position!$AC$8:$AC$413,Planned_capex_starting_position!$AC$8:$AC$413,"&gt;0",Planned_capex_starting_position!$BL$8:$BL$413,C46)</f>
        <v>443986.17015513929</v>
      </c>
      <c r="K46" s="814">
        <f>SUMIF(Planned_capex_starting_position!$BL$8:$BL$413,C46,Planned_capex_starting_position!$AV$8:$AV$413)+SUMIF(Planned_capex_starting_position!$BL$8:$BL$413,C46,Planned_capex_starting_position!$BJ$8:$BJ$413)</f>
        <v>203609.18929724046</v>
      </c>
      <c r="L46" s="814">
        <f t="shared" si="5"/>
        <v>240376.98085789883</v>
      </c>
      <c r="M46" s="815">
        <f t="shared" si="6"/>
        <v>0.45859353958276355</v>
      </c>
      <c r="N46" s="822">
        <f t="shared" si="7"/>
        <v>0.54140646041723639</v>
      </c>
      <c r="O46" s="818" t="s">
        <v>6978</v>
      </c>
      <c r="P46" s="836">
        <f>_xlfn.XLOOKUP($C46,Planned_capex_starting_position!$BL$8:$BL$149,Planned_capex_starting_position!$R$8:$R$149,"Not found",0)</f>
        <v>2060</v>
      </c>
    </row>
    <row r="47" spans="1:16" ht="25">
      <c r="A47" s="791" t="str">
        <f t="shared" si="4"/>
        <v>TRA</v>
      </c>
      <c r="B47" s="791" t="str">
        <f>VLOOKUP(C47,CHOOSE({1,2},Planned_capex_starting_position!$BL$8:$BL$413,Planned_capex_starting_position!$AF$8:$AF$413),2,0)</f>
        <v>TRA A25</v>
      </c>
      <c r="C47" s="791" t="s">
        <v>6943</v>
      </c>
      <c r="D47" s="837" t="str">
        <f>IF($A47="TRA",VLOOKUP($C47,Planned_capex_starting_position!$BL$8:$BU$147,9,FALSE),"Not Transport")</f>
        <v>Arterial</v>
      </c>
      <c r="E47" s="791" t="str">
        <f>IF(VLOOKUP(C47,CHOOSE({1,2},Planned_capex_starting_position!$BL$8:$BL$413,Planned_capex_starting_position!$E$8:$E$413),2,0)=0,"",VLOOKUP(C47,CHOOSE({1,2},Planned_capex_starting_position!$BL$8:$BL$413,Planned_capex_starting_position!$E$8:$E$413),2,0))</f>
        <v>42b TRA A25</v>
      </c>
      <c r="F47" s="811" t="str">
        <f>VLOOKUP(A47,Lists!H:I,2,FALSE)</f>
        <v>Transport</v>
      </c>
      <c r="G47" s="812" t="str">
        <f>VLOOKUP(B47,FA_Codes!D:G,4,FALSE)</f>
        <v>Drury West 2 IPA</v>
      </c>
      <c r="H47" s="813" t="str">
        <f>VLOOKUP(C47,CHOOSE({1,2},Planned_capex_starting_position!$BL$8:$BL$413,Planned_capex_starting_position!$F$8:$F$413),2,0)</f>
        <v xml:space="preserve">Jesmond Rd upgrades from project 41 to New Bremner Rd </v>
      </c>
      <c r="I47" s="813" t="str">
        <f>VLOOKUP(C47,CHOOSE({1,2},Planned_capex_starting_position!$BL$8:$BL$413,Planned_capex_starting_position!$G$8:$G$413),2,0)</f>
        <v xml:space="preserve"> 2-lane urban- upgrade existing road with active mode facility on both sides (TDM)</v>
      </c>
      <c r="J47" s="814">
        <f>SUMIFS(Planned_capex_starting_position!$AC$8:$AC$413,Planned_capex_starting_position!$AC$8:$AC$413,"&gt;0",Planned_capex_starting_position!$BL$8:$BL$413,C47)</f>
        <v>752480.69506503432</v>
      </c>
      <c r="K47" s="814">
        <f>SUMIF(Planned_capex_starting_position!$BL$8:$BL$413,C47,Planned_capex_starting_position!$AV$8:$AV$413)+SUMIF(Planned_capex_starting_position!$BL$8:$BL$413,C47,Planned_capex_starting_position!$BJ$8:$BJ$413)</f>
        <v>345082.78541757213</v>
      </c>
      <c r="L47" s="814">
        <f t="shared" si="5"/>
        <v>407397.90964746219</v>
      </c>
      <c r="M47" s="815">
        <f t="shared" si="6"/>
        <v>0.45859353958276339</v>
      </c>
      <c r="N47" s="822">
        <f t="shared" si="7"/>
        <v>0.54140646041723661</v>
      </c>
      <c r="O47" s="818" t="s">
        <v>6978</v>
      </c>
      <c r="P47" s="836">
        <f>_xlfn.XLOOKUP($C47,Planned_capex_starting_position!$BL$8:$BL$149,Planned_capex_starting_position!$R$8:$R$149,"Not found",0)</f>
        <v>2060</v>
      </c>
    </row>
    <row r="48" spans="1:16">
      <c r="A48" s="791" t="str">
        <f t="shared" si="4"/>
        <v>TRA</v>
      </c>
      <c r="B48" s="791" t="str">
        <f>VLOOKUP(C48,CHOOSE({1,2},Planned_capex_starting_position!$BL$8:$BL$413,Planned_capex_starting_position!$AF$8:$AF$413),2,0)</f>
        <v>TRA A25</v>
      </c>
      <c r="C48" s="791" t="s">
        <v>6944</v>
      </c>
      <c r="D48" s="837" t="str">
        <f>IF($A48="TRA",VLOOKUP($C48,Planned_capex_starting_position!$BL$8:$BU$147,9,FALSE),"Not Transport")</f>
        <v>Arterial</v>
      </c>
      <c r="E48" s="791" t="str">
        <f>IF(VLOOKUP(C48,CHOOSE({1,2},Planned_capex_starting_position!$BL$8:$BL$413,Planned_capex_starting_position!$E$8:$E$413),2,0)=0,"",VLOOKUP(C48,CHOOSE({1,2},Planned_capex_starting_position!$BL$8:$BL$413,Planned_capex_starting_position!$E$8:$E$413),2,0))</f>
        <v>67 TRA A25</v>
      </c>
      <c r="F48" s="811" t="str">
        <f>VLOOKUP(A48,Lists!H:I,2,FALSE)</f>
        <v>Transport</v>
      </c>
      <c r="G48" s="812" t="str">
        <f>VLOOKUP(B48,FA_Codes!D:G,4,FALSE)</f>
        <v>Drury West 2 IPA</v>
      </c>
      <c r="H48" s="813" t="str">
        <f>VLOOKUP(C48,CHOOSE({1,2},Planned_capex_starting_position!$BL$8:$BL$413,Planned_capex_starting_position!$F$8:$F$413),2,0)</f>
        <v>Active Mode Corridor Drury Central to GSR</v>
      </c>
      <c r="I48" s="813">
        <f>VLOOKUP(C48,CHOOSE({1,2},Planned_capex_starting_position!$BL$8:$BL$413,Planned_capex_starting_position!$G$8:$G$413),2,0)</f>
        <v>0</v>
      </c>
      <c r="J48" s="814">
        <f>SUMIFS(Planned_capex_starting_position!$AC$8:$AC$413,Planned_capex_starting_position!$AC$8:$AC$413,"&gt;0",Planned_capex_starting_position!$BL$8:$BL$413,C48)</f>
        <v>1389333.6930960128</v>
      </c>
      <c r="K48" s="814">
        <f>SUMIF(Planned_capex_starting_position!$BL$8:$BL$413,C48,Planned_capex_starting_position!$AV$8:$AV$413)+SUMIF(Planned_capex_starting_position!$BL$8:$BL$413,C48,Planned_capex_starting_position!$BJ$8:$BJ$413)</f>
        <v>637139.45597849297</v>
      </c>
      <c r="L48" s="814">
        <f t="shared" si="5"/>
        <v>752194.23711751984</v>
      </c>
      <c r="M48" s="815">
        <f t="shared" si="6"/>
        <v>0.45859353958276322</v>
      </c>
      <c r="N48" s="822">
        <f t="shared" si="7"/>
        <v>0.54140646041723683</v>
      </c>
      <c r="O48" s="818" t="s">
        <v>6978</v>
      </c>
      <c r="P48" s="836">
        <f>_xlfn.XLOOKUP($C48,Planned_capex_starting_position!$BL$8:$BL$149,Planned_capex_starting_position!$R$8:$R$149,"Not found",0)</f>
        <v>2060</v>
      </c>
    </row>
    <row r="49" spans="1:16" ht="25">
      <c r="A49" s="791" t="str">
        <f t="shared" si="4"/>
        <v>TRA</v>
      </c>
      <c r="B49" s="791" t="str">
        <f>VLOOKUP(C49,CHOOSE({1,2},Planned_capex_starting_position!$BL$8:$BL$413,Planned_capex_starting_position!$AF$8:$AF$413),2,0)</f>
        <v>TRA A25</v>
      </c>
      <c r="C49" s="791" t="s">
        <v>6945</v>
      </c>
      <c r="D49" s="837" t="str">
        <f>IF($A49="TRA",VLOOKUP($C49,Planned_capex_starting_position!$BL$8:$BU$147,9,FALSE),"Not Transport")</f>
        <v>Arterial</v>
      </c>
      <c r="E49" s="791" t="str">
        <f>IF(VLOOKUP(C49,CHOOSE({1,2},Planned_capex_starting_position!$BL$8:$BL$413,Planned_capex_starting_position!$E$8:$E$413),2,0)=0,"",VLOOKUP(C49,CHOOSE({1,2},Planned_capex_starting_position!$BL$8:$BL$413,Planned_capex_starting_position!$E$8:$E$413),2,0))</f>
        <v>70 TRA A25</v>
      </c>
      <c r="F49" s="811" t="str">
        <f>VLOOKUP(A49,Lists!H:I,2,FALSE)</f>
        <v>Transport</v>
      </c>
      <c r="G49" s="812" t="str">
        <f>VLOOKUP(B49,FA_Codes!D:G,4,FALSE)</f>
        <v>Drury West 2 IPA</v>
      </c>
      <c r="H49" s="813" t="str">
        <f>VLOOKUP(C49,CHOOSE({1,2},Planned_capex_starting_position!$BL$8:$BL$413,Planned_capex_starting_position!$F$8:$F$413),2,0)</f>
        <v>walk/cycle bridges on GSR Road bridge over the rail corridor</v>
      </c>
      <c r="I49" s="813" t="str">
        <f>VLOOKUP(C49,CHOOSE({1,2},Planned_capex_starting_position!$BL$8:$BL$413,Planned_capex_starting_position!$G$8:$G$413),2,0)</f>
        <v>New cycle bridge 5m wide, 80m long, approach lengths 270m total for both sides. No property required</v>
      </c>
      <c r="J49" s="814">
        <f>SUMIFS(Planned_capex_starting_position!$AC$8:$AC$413,Planned_capex_starting_position!$AC$8:$AC$413,"&gt;0",Planned_capex_starting_position!$BL$8:$BL$413,C49)</f>
        <v>3861004.5243787444</v>
      </c>
      <c r="K49" s="814">
        <f>SUMIF(Planned_capex_starting_position!$BL$8:$BL$413,C49,Planned_capex_starting_position!$AV$8:$AV$413)+SUMIF(Planned_capex_starting_position!$BL$8:$BL$413,C49,Planned_capex_starting_position!$BJ$8:$BJ$413)</f>
        <v>1770631.7311799123</v>
      </c>
      <c r="L49" s="814">
        <f t="shared" si="5"/>
        <v>2090372.7931988321</v>
      </c>
      <c r="M49" s="815">
        <f t="shared" si="6"/>
        <v>0.45859353958276339</v>
      </c>
      <c r="N49" s="822">
        <f t="shared" si="7"/>
        <v>0.54140646041723661</v>
      </c>
      <c r="O49" s="818" t="s">
        <v>6978</v>
      </c>
      <c r="P49" s="836">
        <f>_xlfn.XLOOKUP($C49,Planned_capex_starting_position!$BL$8:$BL$149,Planned_capex_starting_position!$R$8:$R$149,"Not found",0)</f>
        <v>2060</v>
      </c>
    </row>
    <row r="50" spans="1:16">
      <c r="A50" s="791" t="str">
        <f t="shared" si="4"/>
        <v>TRA</v>
      </c>
      <c r="B50" s="791" t="str">
        <f>VLOOKUP(C50,CHOOSE({1,2},Planned_capex_starting_position!$BL$8:$BL$413,Planned_capex_starting_position!$AF$8:$AF$413),2,0)</f>
        <v>TRA A25</v>
      </c>
      <c r="C50" s="791" t="s">
        <v>6936</v>
      </c>
      <c r="D50" s="837" t="str">
        <f>IF($A50="TRA",VLOOKUP($C50,Planned_capex_starting_position!$BL$8:$BU$147,9,FALSE),"Not Transport")</f>
        <v>Arterial</v>
      </c>
      <c r="E50" s="791" t="str">
        <f>IF(VLOOKUP(C50,CHOOSE({1,2},Planned_capex_starting_position!$BL$8:$BL$413,Planned_capex_starting_position!$E$8:$E$413),2,0)=0,"",VLOOKUP(C50,CHOOSE({1,2},Planned_capex_starting_position!$BL$8:$BL$413,Planned_capex_starting_position!$E$8:$E$413),2,0))</f>
        <v>9b TRA A25</v>
      </c>
      <c r="F50" s="811" t="str">
        <f>VLOOKUP(A50,Lists!H:I,2,FALSE)</f>
        <v>Transport</v>
      </c>
      <c r="G50" s="812" t="str">
        <f>VLOOKUP(B50,FA_Codes!D:G,4,FALSE)</f>
        <v>Drury West 2 IPA</v>
      </c>
      <c r="H50" s="813" t="str">
        <f>VLOOKUP(C50,CHOOSE({1,2},Planned_capex_starting_position!$BL$8:$BL$413,Planned_capex_starting_position!$F$8:$F$413),2,0)</f>
        <v>Upgrade in Norrie Rd/GSR/Waihoehoe intersection</v>
      </c>
      <c r="I50" s="813" t="str">
        <f>VLOOKUP(C50,CHOOSE({1,2},Planned_capex_starting_position!$BL$8:$BL$413,Planned_capex_starting_position!$G$8:$G$413),2,0)</f>
        <v>multi-lane signalised intersection with active mode crossings, SGA design</v>
      </c>
      <c r="J50" s="814">
        <f>SUMIFS(Planned_capex_starting_position!$AC$8:$AC$413,Planned_capex_starting_position!$AC$8:$AC$413,"&gt;0",Planned_capex_starting_position!$BL$8:$BL$413,C50)</f>
        <v>955170.03727390873</v>
      </c>
      <c r="K50" s="814">
        <f>SUMIF(Planned_capex_starting_position!$BL$8:$BL$413,C50,Planned_capex_starting_position!$AV$8:$AV$413)+SUMIF(Planned_capex_starting_position!$BL$8:$BL$413,C50,Planned_capex_starting_position!$BJ$8:$BJ$413)</f>
        <v>438034.8082968418</v>
      </c>
      <c r="L50" s="814">
        <f t="shared" si="5"/>
        <v>517135.22897706693</v>
      </c>
      <c r="M50" s="815">
        <f t="shared" si="6"/>
        <v>0.45859353958276333</v>
      </c>
      <c r="N50" s="822">
        <f t="shared" si="7"/>
        <v>0.54140646041723661</v>
      </c>
      <c r="O50" s="818" t="s">
        <v>6978</v>
      </c>
      <c r="P50" s="836">
        <f>_xlfn.XLOOKUP($C50,Planned_capex_starting_position!$BL$8:$BL$149,Planned_capex_starting_position!$R$8:$R$149,"Not found",0)</f>
        <v>2060</v>
      </c>
    </row>
    <row r="51" spans="1:16" ht="25">
      <c r="A51" s="791" t="str">
        <f t="shared" si="4"/>
        <v>TRA</v>
      </c>
      <c r="B51" s="791" t="str">
        <f>VLOOKUP(C51,CHOOSE({1,2},Planned_capex_starting_position!$BL$8:$BL$413,Planned_capex_starting_position!$AF$8:$AF$413),2,0)</f>
        <v>TRA A26</v>
      </c>
      <c r="C51" s="791" t="s">
        <v>6950</v>
      </c>
      <c r="D51" s="837" t="str">
        <f>IF($A51="TRA",VLOOKUP($C51,Planned_capex_starting_position!$BL$8:$BU$147,9,FALSE),"Not Transport")</f>
        <v>Arterial</v>
      </c>
      <c r="E51" s="791" t="str">
        <f>IF(VLOOKUP(C51,CHOOSE({1,2},Planned_capex_starting_position!$BL$8:$BL$413,Planned_capex_starting_position!$E$8:$E$413),2,0)=0,"",VLOOKUP(C51,CHOOSE({1,2},Planned_capex_starting_position!$BL$8:$BL$413,Planned_capex_starting_position!$E$8:$E$413),2,0))</f>
        <v>10b TRA A26</v>
      </c>
      <c r="F51" s="811" t="str">
        <f>VLOOKUP(A51,Lists!H:I,2,FALSE)</f>
        <v>Transport</v>
      </c>
      <c r="G51" s="812" t="str">
        <f>VLOOKUP(B51,FA_Codes!D:G,4,FALSE)</f>
        <v>Opaheke IPA</v>
      </c>
      <c r="H51" s="813" t="str">
        <f>VLOOKUP(C51,CHOOSE({1,2},Planned_capex_starting_position!$BL$8:$BL$413,Planned_capex_starting_position!$F$8:$F$413),2,0)</f>
        <v>New intersection on Waihoehoe Rd/Fitzgerald Rd( including approach cross-sections)</v>
      </c>
      <c r="I51" s="813" t="str">
        <f>VLOOKUP(C51,CHOOSE({1,2},Planned_capex_starting_position!$BL$8:$BL$413,Planned_capex_starting_position!$G$8:$G$413),2,0)</f>
        <v>multi-lane roundabout with active mode crossings, SGA design</v>
      </c>
      <c r="J51" s="814">
        <f>SUMIFS(Planned_capex_starting_position!$AC$8:$AC$413,Planned_capex_starting_position!$AC$8:$AC$413,"&gt;0",Planned_capex_starting_position!$BL$8:$BL$413,C51)</f>
        <v>2939840.9367733849</v>
      </c>
      <c r="K51" s="814">
        <f>SUMIF(Planned_capex_starting_position!$BL$8:$BL$413,C51,Planned_capex_starting_position!$AV$8:$AV$413)+SUMIF(Planned_capex_starting_position!$BL$8:$BL$413,C51,Planned_capex_starting_position!$BJ$8:$BJ$413)</f>
        <v>1090188.6670964661</v>
      </c>
      <c r="L51" s="814">
        <f t="shared" si="5"/>
        <v>1849652.2696769189</v>
      </c>
      <c r="M51" s="815">
        <f t="shared" si="6"/>
        <v>0.37083253500544827</v>
      </c>
      <c r="N51" s="822">
        <f t="shared" si="7"/>
        <v>0.62916746499455178</v>
      </c>
      <c r="O51" s="818" t="s">
        <v>6978</v>
      </c>
      <c r="P51" s="836">
        <f>_xlfn.XLOOKUP($C51,Planned_capex_starting_position!$BL$8:$BL$149,Planned_capex_starting_position!$R$8:$R$149,"Not found",0)</f>
        <v>2060</v>
      </c>
    </row>
    <row r="52" spans="1:16">
      <c r="A52" s="791" t="str">
        <f t="shared" si="4"/>
        <v>TRA</v>
      </c>
      <c r="B52" s="791" t="str">
        <f>VLOOKUP(C52,CHOOSE({1,2},Planned_capex_starting_position!$BL$8:$BL$413,Planned_capex_starting_position!$AF$8:$AF$413),2,0)</f>
        <v>TRA A26</v>
      </c>
      <c r="C52" s="791" t="s">
        <v>6951</v>
      </c>
      <c r="D52" s="837" t="str">
        <f>IF($A52="TRA",VLOOKUP($C52,Planned_capex_starting_position!$BL$8:$BU$147,9,FALSE),"Not Transport")</f>
        <v>Arterial</v>
      </c>
      <c r="E52" s="791" t="str">
        <f>IF(VLOOKUP(C52,CHOOSE({1,2},Planned_capex_starting_position!$BL$8:$BL$413,Planned_capex_starting_position!$E$8:$E$413),2,0)=0,"",VLOOKUP(C52,CHOOSE({1,2},Planned_capex_starting_position!$BL$8:$BL$413,Planned_capex_starting_position!$E$8:$E$413),2,0))</f>
        <v>11 TRA A26</v>
      </c>
      <c r="F52" s="811" t="str">
        <f>VLOOKUP(A52,Lists!H:I,2,FALSE)</f>
        <v>Transport</v>
      </c>
      <c r="G52" s="812" t="str">
        <f>VLOOKUP(B52,FA_Codes!D:G,4,FALSE)</f>
        <v>Opaheke IPA</v>
      </c>
      <c r="H52" s="813" t="str">
        <f>VLOOKUP(C52,CHOOSE({1,2},Planned_capex_starting_position!$BL$8:$BL$413,Planned_capex_starting_position!$F$8:$F$413),2,0)</f>
        <v>Intersection upgrade Waihoehoe Rd/Fielding Rd/Appleby Rd</v>
      </c>
      <c r="I52" s="813" t="str">
        <f>VLOOKUP(C52,CHOOSE({1,2},Planned_capex_starting_position!$BL$8:$BL$413,Planned_capex_starting_position!$G$8:$G$413),2,0)</f>
        <v>Roundabout as per SGA design</v>
      </c>
      <c r="J52" s="814">
        <f>SUMIFS(Planned_capex_starting_position!$AC$8:$AC$413,Planned_capex_starting_position!$AC$8:$AC$413,"&gt;0",Planned_capex_starting_position!$BL$8:$BL$413,C52)</f>
        <v>89829.513475709828</v>
      </c>
      <c r="K52" s="814">
        <f>SUMIF(Planned_capex_starting_position!$BL$8:$BL$413,C52,Planned_capex_starting_position!$AV$8:$AV$413)+SUMIF(Planned_capex_starting_position!$BL$8:$BL$413,C52,Planned_capex_starting_position!$BJ$8:$BJ$413)</f>
        <v>33311.706200503555</v>
      </c>
      <c r="L52" s="814">
        <f t="shared" si="5"/>
        <v>56517.807275206273</v>
      </c>
      <c r="M52" s="815">
        <f t="shared" si="6"/>
        <v>0.37083253500544833</v>
      </c>
      <c r="N52" s="822">
        <f t="shared" si="7"/>
        <v>0.62916746499455167</v>
      </c>
      <c r="O52" s="818" t="s">
        <v>6978</v>
      </c>
      <c r="P52" s="836">
        <f>_xlfn.XLOOKUP($C52,Planned_capex_starting_position!$BL$8:$BL$149,Planned_capex_starting_position!$R$8:$R$149,"Not found",0)</f>
        <v>2060</v>
      </c>
    </row>
    <row r="53" spans="1:16" ht="25">
      <c r="A53" s="791" t="str">
        <f t="shared" si="4"/>
        <v>TRA</v>
      </c>
      <c r="B53" s="791" t="str">
        <f>VLOOKUP(C53,CHOOSE({1,2},Planned_capex_starting_position!$BL$8:$BL$413,Planned_capex_starting_position!$AF$8:$AF$413),2,0)</f>
        <v>TRA A26</v>
      </c>
      <c r="C53" s="791" t="s">
        <v>6946</v>
      </c>
      <c r="D53" s="837" t="str">
        <f>IF($A53="TRA",VLOOKUP($C53,Planned_capex_starting_position!$BL$8:$BU$147,9,FALSE),"Not Transport")</f>
        <v>Arterial</v>
      </c>
      <c r="E53" s="791" t="str">
        <f>IF(VLOOKUP(C53,CHOOSE({1,2},Planned_capex_starting_position!$BL$8:$BL$413,Planned_capex_starting_position!$E$8:$E$413),2,0)=0,"",VLOOKUP(C53,CHOOSE({1,2},Planned_capex_starting_position!$BL$8:$BL$413,Planned_capex_starting_position!$E$8:$E$413),2,0))</f>
        <v>1b TRA A26</v>
      </c>
      <c r="F53" s="811" t="str">
        <f>VLOOKUP(A53,Lists!H:I,2,FALSE)</f>
        <v>Transport</v>
      </c>
      <c r="G53" s="812" t="str">
        <f>VLOOKUP(B53,FA_Codes!D:G,4,FALSE)</f>
        <v>Opaheke IPA</v>
      </c>
      <c r="H53" s="813" t="str">
        <f>VLOOKUP(C53,CHOOSE({1,2},Planned_capex_starting_position!$BL$8:$BL$413,Planned_capex_starting_position!$F$8:$F$413),2,0)</f>
        <v>GSR improvements - Waihoehoe Rd to Drury Interchange</v>
      </c>
      <c r="I53" s="813" t="str">
        <f>VLOOKUP(C53,CHOOSE({1,2},Planned_capex_starting_position!$BL$8:$BL$413,Planned_capex_starting_position!$G$8:$G$413),2,0)</f>
        <v>4-lane urban- existing road layout with active modes on both sides + intersection improvements (TDM)</v>
      </c>
      <c r="J53" s="814">
        <f>SUMIFS(Planned_capex_starting_position!$AC$8:$AC$413,Planned_capex_starting_position!$AC$8:$AC$413,"&gt;0",Planned_capex_starting_position!$BL$8:$BL$413,C53)</f>
        <v>4654853.0091581093</v>
      </c>
      <c r="K53" s="814">
        <f>SUMIF(Planned_capex_starting_position!$BL$8:$BL$413,C53,Planned_capex_starting_position!$AV$8:$AV$413)+SUMIF(Planned_capex_starting_position!$BL$8:$BL$413,C53,Planned_capex_starting_position!$BJ$8:$BJ$413)</f>
        <v>1726170.9414638411</v>
      </c>
      <c r="L53" s="814">
        <f t="shared" si="5"/>
        <v>2928682.0676942682</v>
      </c>
      <c r="M53" s="815">
        <f t="shared" si="6"/>
        <v>0.37083253500544833</v>
      </c>
      <c r="N53" s="822">
        <f t="shared" si="7"/>
        <v>0.62916746499455167</v>
      </c>
      <c r="O53" s="818" t="s">
        <v>6978</v>
      </c>
      <c r="P53" s="836">
        <f>_xlfn.XLOOKUP($C53,Planned_capex_starting_position!$BL$8:$BL$149,Planned_capex_starting_position!$R$8:$R$149,"Not found",0)</f>
        <v>2060</v>
      </c>
    </row>
    <row r="54" spans="1:16" ht="37.5">
      <c r="A54" s="791" t="str">
        <f t="shared" si="4"/>
        <v>TRA</v>
      </c>
      <c r="B54" s="791" t="str">
        <f>VLOOKUP(C54,CHOOSE({1,2},Planned_capex_starting_position!$BL$8:$BL$413,Planned_capex_starting_position!$AF$8:$AF$413),2,0)</f>
        <v>TRA A26</v>
      </c>
      <c r="C54" s="791" t="s">
        <v>6952</v>
      </c>
      <c r="D54" s="837" t="str">
        <f>IF($A54="TRA",VLOOKUP($C54,Planned_capex_starting_position!$BL$8:$BU$147,9,FALSE),"Not Transport")</f>
        <v>Arterial</v>
      </c>
      <c r="E54" s="791" t="str">
        <f>IF(VLOOKUP(C54,CHOOSE({1,2},Planned_capex_starting_position!$BL$8:$BL$413,Planned_capex_starting_position!$E$8:$E$413),2,0)=0,"",VLOOKUP(C54,CHOOSE({1,2},Planned_capex_starting_position!$BL$8:$BL$413,Planned_capex_starting_position!$E$8:$E$413),2,0))</f>
        <v>23b TRA A26</v>
      </c>
      <c r="F54" s="811" t="str">
        <f>VLOOKUP(A54,Lists!H:I,2,FALSE)</f>
        <v>Transport</v>
      </c>
      <c r="G54" s="812" t="str">
        <f>VLOOKUP(B54,FA_Codes!D:G,4,FALSE)</f>
        <v>Opaheke IPA</v>
      </c>
      <c r="H54" s="813" t="str">
        <f>VLOOKUP(C54,CHOOSE({1,2},Planned_capex_starting_position!$BL$8:$BL$413,Planned_capex_starting_position!$F$8:$F$413),2,0)</f>
        <v>Waihoehoe Rd West upgrades- between GSR &amp; Kath Henry Lane</v>
      </c>
      <c r="I54" s="813" t="str">
        <f>VLOOKUP(C54,CHOOSE({1,2},Planned_capex_starting_position!$BL$8:$BL$413,Planned_capex_starting_position!$G$8:$G$413),2,0)</f>
        <v>Final 4-lane - following interim option, upgrade Road corridor to provide four lanes with additional turning lanes at intersections where required (as indicated in SGA Design</v>
      </c>
      <c r="J54" s="814">
        <f>SUMIFS(Planned_capex_starting_position!$AC$8:$AC$413,Planned_capex_starting_position!$AC$8:$AC$413,"&gt;0",Planned_capex_starting_position!$BL$8:$BL$413,C54)</f>
        <v>10450632.15673401</v>
      </c>
      <c r="K54" s="814">
        <f>SUMIF(Planned_capex_starting_position!$BL$8:$BL$413,C54,Planned_capex_starting_position!$AV$8:$AV$413)+SUMIF(Planned_capex_starting_position!$BL$8:$BL$413,C54,Planned_capex_starting_position!$BJ$8:$BJ$413)</f>
        <v>3875434.4150911286</v>
      </c>
      <c r="L54" s="814">
        <f t="shared" si="5"/>
        <v>6575197.7416428812</v>
      </c>
      <c r="M54" s="815">
        <f t="shared" si="6"/>
        <v>0.37083253500544833</v>
      </c>
      <c r="N54" s="822">
        <f t="shared" si="7"/>
        <v>0.62916746499455167</v>
      </c>
      <c r="O54" s="818" t="s">
        <v>6978</v>
      </c>
      <c r="P54" s="836">
        <f>_xlfn.XLOOKUP($C54,Planned_capex_starting_position!$BL$8:$BL$149,Planned_capex_starting_position!$R$8:$R$149,"Not found",0)</f>
        <v>2060</v>
      </c>
    </row>
    <row r="55" spans="1:16" ht="37.5">
      <c r="A55" s="791" t="str">
        <f t="shared" si="4"/>
        <v>TRA</v>
      </c>
      <c r="B55" s="791" t="str">
        <f>VLOOKUP(C55,CHOOSE({1,2},Planned_capex_starting_position!$BL$8:$BL$413,Planned_capex_starting_position!$AF$8:$AF$413),2,0)</f>
        <v>TRA A26</v>
      </c>
      <c r="C55" s="791" t="s">
        <v>6953</v>
      </c>
      <c r="D55" s="837" t="str">
        <f>IF($A55="TRA",VLOOKUP($C55,Planned_capex_starting_position!$BL$8:$BU$147,9,FALSE),"Not Transport")</f>
        <v>Arterial</v>
      </c>
      <c r="E55" s="791" t="str">
        <f>IF(VLOOKUP(C55,CHOOSE({1,2},Planned_capex_starting_position!$BL$8:$BL$413,Planned_capex_starting_position!$E$8:$E$413),2,0)=0,"",VLOOKUP(C55,CHOOSE({1,2},Planned_capex_starting_position!$BL$8:$BL$413,Planned_capex_starting_position!$E$8:$E$413),2,0))</f>
        <v>23d TRA A26</v>
      </c>
      <c r="F55" s="811" t="str">
        <f>VLOOKUP(A55,Lists!H:I,2,FALSE)</f>
        <v>Transport</v>
      </c>
      <c r="G55" s="812" t="str">
        <f>VLOOKUP(B55,FA_Codes!D:G,4,FALSE)</f>
        <v>Opaheke IPA</v>
      </c>
      <c r="H55" s="813" t="str">
        <f>VLOOKUP(C55,CHOOSE({1,2},Planned_capex_starting_position!$BL$8:$BL$413,Planned_capex_starting_position!$F$8:$F$413),2,0)</f>
        <v>Waihoehoe Rd West upgrades- between Kath Henry Lane and Fitzgerald Rd</v>
      </c>
      <c r="I55" s="813" t="str">
        <f>VLOOKUP(C55,CHOOSE({1,2},Planned_capex_starting_position!$BL$8:$BL$413,Planned_capex_starting_position!$G$8:$G$413),2,0)</f>
        <v>Final 4-lane - following interim option, upgrade Road corridor to provide four lanes with additional turning lanes at intersections where required (as indicated in SGA Design</v>
      </c>
      <c r="J55" s="814">
        <f>SUMIFS(Planned_capex_starting_position!$AC$8:$AC$413,Planned_capex_starting_position!$AC$8:$AC$413,"&gt;0",Planned_capex_starting_position!$BL$8:$BL$413,C55)</f>
        <v>1966103.8007321844</v>
      </c>
      <c r="K55" s="814">
        <f>SUMIF(Planned_capex_starting_position!$BL$8:$BL$413,C55,Planned_capex_starting_position!$AV$8:$AV$413)+SUMIF(Planned_capex_starting_position!$BL$8:$BL$413,C55,Planned_capex_starting_position!$BJ$8:$BJ$413)</f>
        <v>729095.25650936249</v>
      </c>
      <c r="L55" s="814">
        <f t="shared" si="5"/>
        <v>1237008.5442228219</v>
      </c>
      <c r="M55" s="815">
        <f t="shared" si="6"/>
        <v>0.37083253500544816</v>
      </c>
      <c r="N55" s="822">
        <f t="shared" si="7"/>
        <v>0.62916746499455178</v>
      </c>
      <c r="O55" s="818" t="s">
        <v>6978</v>
      </c>
      <c r="P55" s="836">
        <f>_xlfn.XLOOKUP($C55,Planned_capex_starting_position!$BL$8:$BL$149,Planned_capex_starting_position!$R$8:$R$149,"Not found",0)</f>
        <v>2060</v>
      </c>
    </row>
    <row r="56" spans="1:16" ht="25">
      <c r="A56" s="791" t="str">
        <f t="shared" si="4"/>
        <v>TRA</v>
      </c>
      <c r="B56" s="791" t="str">
        <f>VLOOKUP(C56,CHOOSE({1,2},Planned_capex_starting_position!$BL$8:$BL$413,Planned_capex_starting_position!$AF$8:$AF$413),2,0)</f>
        <v>TRA A26</v>
      </c>
      <c r="C56" s="791" t="s">
        <v>6954</v>
      </c>
      <c r="D56" s="837" t="str">
        <f>IF($A56="TRA",VLOOKUP($C56,Planned_capex_starting_position!$BL$8:$BU$147,9,FALSE),"Not Transport")</f>
        <v>Arterial</v>
      </c>
      <c r="E56" s="791" t="str">
        <f>IF(VLOOKUP(C56,CHOOSE({1,2},Planned_capex_starting_position!$BL$8:$BL$413,Planned_capex_starting_position!$E$8:$E$413),2,0)=0,"",VLOOKUP(C56,CHOOSE({1,2},Planned_capex_starting_position!$BL$8:$BL$413,Planned_capex_starting_position!$E$8:$E$413),2,0))</f>
        <v>24 TRA A26</v>
      </c>
      <c r="F56" s="811" t="str">
        <f>VLOOKUP(A56,Lists!H:I,2,FALSE)</f>
        <v>Transport</v>
      </c>
      <c r="G56" s="812" t="str">
        <f>VLOOKUP(B56,FA_Codes!D:G,4,FALSE)</f>
        <v>Opaheke IPA</v>
      </c>
      <c r="H56" s="813" t="str">
        <f>VLOOKUP(C56,CHOOSE({1,2},Planned_capex_starting_position!$BL$8:$BL$413,Planned_capex_starting_position!$F$8:$F$413),2,0)</f>
        <v>Upgrades on Waihoehoe Rd east- from project 4 to Drury Hills + Drury Hills Intersection</v>
      </c>
      <c r="I56" s="813" t="str">
        <f>VLOOKUP(C56,CHOOSE({1,2},Planned_capex_starting_position!$BL$8:$BL$413,Planned_capex_starting_position!$G$8:$G$413),2,0)</f>
        <v xml:space="preserve">2-lane urban - upgrade existing road layout with active modes on both sides, 20m cross-section </v>
      </c>
      <c r="J56" s="814">
        <f>SUMIFS(Planned_capex_starting_position!$AC$8:$AC$413,Planned_capex_starting_position!$AC$8:$AC$413,"&gt;0",Planned_capex_starting_position!$BL$8:$BL$413,C56)</f>
        <v>11704.242068550027</v>
      </c>
      <c r="K56" s="814">
        <f>SUMIF(Planned_capex_starting_position!$BL$8:$BL$413,C56,Planned_capex_starting_position!$AV$8:$AV$413)+SUMIF(Planned_capex_starting_position!$BL$8:$BL$413,C56,Planned_capex_starting_position!$BJ$8:$BJ$413)</f>
        <v>4340.3137565978186</v>
      </c>
      <c r="L56" s="814">
        <f t="shared" si="5"/>
        <v>7363.9283119522088</v>
      </c>
      <c r="M56" s="815">
        <f t="shared" si="6"/>
        <v>0.37083253500544827</v>
      </c>
      <c r="N56" s="822">
        <f t="shared" si="7"/>
        <v>0.62916746499455178</v>
      </c>
      <c r="O56" s="818" t="s">
        <v>6978</v>
      </c>
      <c r="P56" s="836">
        <f>_xlfn.XLOOKUP($C56,Planned_capex_starting_position!$BL$8:$BL$149,Planned_capex_starting_position!$R$8:$R$149,"Not found",0)</f>
        <v>2060</v>
      </c>
    </row>
    <row r="57" spans="1:16" ht="25">
      <c r="A57" s="791" t="str">
        <f t="shared" si="4"/>
        <v>TRA</v>
      </c>
      <c r="B57" s="791" t="str">
        <f>VLOOKUP(C57,CHOOSE({1,2},Planned_capex_starting_position!$BL$8:$BL$413,Planned_capex_starting_position!$AF$8:$AF$413),2,0)</f>
        <v>TRA A26</v>
      </c>
      <c r="C57" s="791" t="s">
        <v>6947</v>
      </c>
      <c r="D57" s="837" t="str">
        <f>IF($A57="TRA",VLOOKUP($C57,Planned_capex_starting_position!$BL$8:$BU$147,9,FALSE),"Not Transport")</f>
        <v>Arterial</v>
      </c>
      <c r="E57" s="791" t="str">
        <f>IF(VLOOKUP(C57,CHOOSE({1,2},Planned_capex_starting_position!$BL$8:$BL$413,Planned_capex_starting_position!$E$8:$E$413),2,0)=0,"",VLOOKUP(C57,CHOOSE({1,2},Planned_capex_starting_position!$BL$8:$BL$413,Planned_capex_starting_position!$E$8:$E$413),2,0))</f>
        <v>2a TRA A26</v>
      </c>
      <c r="F57" s="811" t="str">
        <f>VLOOKUP(A57,Lists!H:I,2,FALSE)</f>
        <v>Transport</v>
      </c>
      <c r="G57" s="812" t="str">
        <f>VLOOKUP(B57,FA_Codes!D:G,4,FALSE)</f>
        <v>Opaheke IPA</v>
      </c>
      <c r="H57" s="813" t="str">
        <f>VLOOKUP(C57,CHOOSE({1,2},Planned_capex_starting_position!$BL$8:$BL$413,Planned_capex_starting_position!$F$8:$F$413),2,0)</f>
        <v>GSR improvements - From Drury School to Waihoehoe Rd</v>
      </c>
      <c r="I57" s="813" t="str">
        <f>VLOOKUP(C57,CHOOSE({1,2},Planned_capex_starting_position!$BL$8:$BL$413,Planned_capex_starting_position!$G$8:$G$413),2,0)</f>
        <v>2-lane urban- existing road layout with active modes on both sides + intersection improvements (TDM)</v>
      </c>
      <c r="J57" s="814">
        <f>SUMIFS(Planned_capex_starting_position!$AC$8:$AC$413,Planned_capex_starting_position!$AC$8:$AC$413,"&gt;0",Planned_capex_starting_position!$BL$8:$BL$413,C57)</f>
        <v>2832383.4429963934</v>
      </c>
      <c r="K57" s="814">
        <f>SUMIF(Planned_capex_starting_position!$BL$8:$BL$413,C57,Planned_capex_starting_position!$AV$8:$AV$413)+SUMIF(Planned_capex_starting_position!$BL$8:$BL$413,C57,Planned_capex_starting_position!$BJ$8:$BJ$413)</f>
        <v>1050339.9322738121</v>
      </c>
      <c r="L57" s="814">
        <f t="shared" si="5"/>
        <v>1782043.5107225813</v>
      </c>
      <c r="M57" s="815">
        <f t="shared" si="6"/>
        <v>0.37083253500544827</v>
      </c>
      <c r="N57" s="822">
        <f t="shared" si="7"/>
        <v>0.62916746499455178</v>
      </c>
      <c r="O57" s="818" t="s">
        <v>6978</v>
      </c>
      <c r="P57" s="836">
        <f>_xlfn.XLOOKUP($C57,Planned_capex_starting_position!$BL$8:$BL$149,Planned_capex_starting_position!$R$8:$R$149,"Not found",0)</f>
        <v>2060</v>
      </c>
    </row>
    <row r="58" spans="1:16" ht="25">
      <c r="A58" s="791" t="str">
        <f t="shared" si="4"/>
        <v>TRA</v>
      </c>
      <c r="B58" s="791" t="str">
        <f>VLOOKUP(C58,CHOOSE({1,2},Planned_capex_starting_position!$BL$8:$BL$413,Planned_capex_starting_position!$AF$8:$AF$413),2,0)</f>
        <v>TRA A26</v>
      </c>
      <c r="C58" s="791" t="s">
        <v>6955</v>
      </c>
      <c r="D58" s="837" t="str">
        <f>IF($A58="TRA",VLOOKUP($C58,Planned_capex_starting_position!$BL$8:$BU$147,9,FALSE),"Not Transport")</f>
        <v>Arterial</v>
      </c>
      <c r="E58" s="791" t="str">
        <f>IF(VLOOKUP(C58,CHOOSE({1,2},Planned_capex_starting_position!$BL$8:$BL$413,Planned_capex_starting_position!$E$8:$E$413),2,0)=0,"",VLOOKUP(C58,CHOOSE({1,2},Planned_capex_starting_position!$BL$8:$BL$413,Planned_capex_starting_position!$E$8:$E$413),2,0))</f>
        <v>36a TRA A26</v>
      </c>
      <c r="F58" s="811" t="str">
        <f>VLOOKUP(A58,Lists!H:I,2,FALSE)</f>
        <v>Transport</v>
      </c>
      <c r="G58" s="812" t="str">
        <f>VLOOKUP(B58,FA_Codes!D:G,4,FALSE)</f>
        <v>Opaheke IPA</v>
      </c>
      <c r="H58" s="813" t="str">
        <f>VLOOKUP(C58,CHOOSE({1,2},Planned_capex_starting_position!$BL$8:$BL$413,Planned_capex_starting_position!$F$8:$F$413),2,0)</f>
        <v>Bremner-Norrie Road east of SH1 up to GSR (overlap with project 12)</v>
      </c>
      <c r="I58" s="813" t="str">
        <f>VLOOKUP(C58,CHOOSE({1,2},Planned_capex_starting_position!$BL$8:$BL$413,Planned_capex_starting_position!$G$8:$G$413),2,0)</f>
        <v>2-lane urban- upgrade existing road layout with active modes on both sides (Under construction)</v>
      </c>
      <c r="J58" s="814">
        <f>SUMIFS(Planned_capex_starting_position!$AC$8:$AC$413,Planned_capex_starting_position!$AC$8:$AC$413,"&gt;0",Planned_capex_starting_position!$BL$8:$BL$413,C58)</f>
        <v>676561.22081865778</v>
      </c>
      <c r="K58" s="814">
        <f>SUMIF(Planned_capex_starting_position!$BL$8:$BL$413,C58,Planned_capex_starting_position!$AV$8:$AV$413)+SUMIF(Planned_capex_starting_position!$BL$8:$BL$413,C58,Planned_capex_starting_position!$BJ$8:$BJ$413)</f>
        <v>250890.91260256371</v>
      </c>
      <c r="L58" s="814">
        <f t="shared" si="5"/>
        <v>425670.30821609404</v>
      </c>
      <c r="M58" s="815">
        <f t="shared" si="6"/>
        <v>0.37083253500544822</v>
      </c>
      <c r="N58" s="822">
        <f t="shared" si="7"/>
        <v>0.62916746499455178</v>
      </c>
      <c r="O58" s="818" t="s">
        <v>6978</v>
      </c>
      <c r="P58" s="836">
        <f>_xlfn.XLOOKUP($C58,Planned_capex_starting_position!$BL$8:$BL$149,Planned_capex_starting_position!$R$8:$R$149,"Not found",0)</f>
        <v>2060</v>
      </c>
    </row>
    <row r="59" spans="1:16" ht="25">
      <c r="A59" s="791" t="str">
        <f t="shared" si="4"/>
        <v>TRA</v>
      </c>
      <c r="B59" s="791" t="str">
        <f>VLOOKUP(C59,CHOOSE({1,2},Planned_capex_starting_position!$BL$8:$BL$413,Planned_capex_starting_position!$AF$8:$AF$413),2,0)</f>
        <v>TRA A26</v>
      </c>
      <c r="C59" s="791" t="s">
        <v>6948</v>
      </c>
      <c r="D59" s="837" t="str">
        <f>IF($A59="TRA",VLOOKUP($C59,Planned_capex_starting_position!$BL$8:$BU$147,9,FALSE),"Not Transport")</f>
        <v>Arterial</v>
      </c>
      <c r="E59" s="791" t="str">
        <f>IF(VLOOKUP(C59,CHOOSE({1,2},Planned_capex_starting_position!$BL$8:$BL$413,Planned_capex_starting_position!$E$8:$E$413),2,0)=0,"",VLOOKUP(C59,CHOOSE({1,2},Planned_capex_starting_position!$BL$8:$BL$413,Planned_capex_starting_position!$E$8:$E$413),2,0))</f>
        <v>4b TRA A26</v>
      </c>
      <c r="F59" s="811" t="str">
        <f>VLOOKUP(A59,Lists!H:I,2,FALSE)</f>
        <v>Transport</v>
      </c>
      <c r="G59" s="812" t="str">
        <f>VLOOKUP(B59,FA_Codes!D:G,4,FALSE)</f>
        <v>Opaheke IPA</v>
      </c>
      <c r="H59" s="813" t="str">
        <f>VLOOKUP(C59,CHOOSE({1,2},Planned_capex_starting_position!$BL$8:$BL$413,Planned_capex_starting_position!$F$8:$F$413),2,0)</f>
        <v>Waihoehoe Rd East upgrades- from Fitzgerald Rd to before Cossey Rd (development boundary)</v>
      </c>
      <c r="I59" s="813" t="str">
        <f>VLOOKUP(C59,CHOOSE({1,2},Planned_capex_starting_position!$BL$8:$BL$413,Planned_capex_starting_position!$G$8:$G$413),2,0)</f>
        <v>Expand to 24m cross section</v>
      </c>
      <c r="J59" s="814">
        <f>SUMIFS(Planned_capex_starting_position!$AC$8:$AC$413,Planned_capex_starting_position!$AC$8:$AC$413,"&gt;0",Planned_capex_starting_position!$BL$8:$BL$413,C59)</f>
        <v>741614.60886188061</v>
      </c>
      <c r="K59" s="814">
        <f>SUMIF(Planned_capex_starting_position!$BL$8:$BL$413,C59,Planned_capex_starting_position!$AV$8:$AV$413)+SUMIF(Planned_capex_starting_position!$BL$8:$BL$413,C59,Planned_capex_starting_position!$BJ$8:$BJ$413)</f>
        <v>275014.82540132513</v>
      </c>
      <c r="L59" s="814">
        <f t="shared" si="5"/>
        <v>466599.78346055548</v>
      </c>
      <c r="M59" s="815">
        <f t="shared" si="6"/>
        <v>0.37083253500544822</v>
      </c>
      <c r="N59" s="822">
        <f t="shared" si="7"/>
        <v>0.62916746499455178</v>
      </c>
      <c r="O59" s="818" t="s">
        <v>6978</v>
      </c>
      <c r="P59" s="836">
        <f>_xlfn.XLOOKUP($C59,Planned_capex_starting_position!$BL$8:$BL$149,Planned_capex_starting_position!$R$8:$R$149,"Not found",0)</f>
        <v>2060</v>
      </c>
    </row>
    <row r="60" spans="1:16">
      <c r="A60" s="791" t="str">
        <f t="shared" si="4"/>
        <v>TRA</v>
      </c>
      <c r="B60" s="791" t="str">
        <f>VLOOKUP(C60,CHOOSE({1,2},Planned_capex_starting_position!$BL$8:$BL$413,Planned_capex_starting_position!$AF$8:$AF$413),2,0)</f>
        <v>TRA A26</v>
      </c>
      <c r="C60" s="791" t="s">
        <v>6949</v>
      </c>
      <c r="D60" s="837" t="str">
        <f>IF($A60="TRA",VLOOKUP($C60,Planned_capex_starting_position!$BL$8:$BU$147,9,FALSE),"Not Transport")</f>
        <v>Arterial</v>
      </c>
      <c r="E60" s="791" t="str">
        <f>IF(VLOOKUP(C60,CHOOSE({1,2},Planned_capex_starting_position!$BL$8:$BL$413,Planned_capex_starting_position!$E$8:$E$413),2,0)=0,"",VLOOKUP(C60,CHOOSE({1,2},Planned_capex_starting_position!$BL$8:$BL$413,Planned_capex_starting_position!$E$8:$E$413),2,0))</f>
        <v>9b TRA A26</v>
      </c>
      <c r="F60" s="811" t="str">
        <f>VLOOKUP(A60,Lists!H:I,2,FALSE)</f>
        <v>Transport</v>
      </c>
      <c r="G60" s="812" t="str">
        <f>VLOOKUP(B60,FA_Codes!D:G,4,FALSE)</f>
        <v>Opaheke IPA</v>
      </c>
      <c r="H60" s="813" t="str">
        <f>VLOOKUP(C60,CHOOSE({1,2},Planned_capex_starting_position!$BL$8:$BL$413,Planned_capex_starting_position!$F$8:$F$413),2,0)</f>
        <v>Upgrade in Norrie Rd/GSR/Waihoehoe intersection</v>
      </c>
      <c r="I60" s="813" t="str">
        <f>VLOOKUP(C60,CHOOSE({1,2},Planned_capex_starting_position!$BL$8:$BL$413,Planned_capex_starting_position!$G$8:$G$413),2,0)</f>
        <v>multi-lane signalised intersection with active mode crossings, SGA design</v>
      </c>
      <c r="J60" s="814">
        <f>SUMIFS(Planned_capex_starting_position!$AC$8:$AC$413,Planned_capex_starting_position!$AC$8:$AC$413,"&gt;0",Planned_capex_starting_position!$BL$8:$BL$413,C60)</f>
        <v>2547120.0993970898</v>
      </c>
      <c r="K60" s="814">
        <f>SUMIF(Planned_capex_starting_position!$BL$8:$BL$413,C60,Planned_capex_starting_position!$AV$8:$AV$413)+SUMIF(Planned_capex_starting_position!$BL$8:$BL$413,C60,Planned_capex_starting_position!$BJ$8:$BJ$413)</f>
        <v>944555.00342275202</v>
      </c>
      <c r="L60" s="814">
        <f t="shared" si="5"/>
        <v>1602565.0959743378</v>
      </c>
      <c r="M60" s="815">
        <f t="shared" si="6"/>
        <v>0.37083253500544822</v>
      </c>
      <c r="N60" s="822">
        <f t="shared" si="7"/>
        <v>0.62916746499455178</v>
      </c>
      <c r="O60" s="818" t="s">
        <v>6978</v>
      </c>
      <c r="P60" s="836">
        <f>_xlfn.XLOOKUP($C60,Planned_capex_starting_position!$BL$8:$BL$149,Planned_capex_starting_position!$R$8:$R$149,"Not found",0)</f>
        <v>2060</v>
      </c>
    </row>
    <row r="61" spans="1:16" ht="25">
      <c r="A61" s="791" t="str">
        <f t="shared" si="4"/>
        <v>TRA</v>
      </c>
      <c r="B61" s="791" t="str">
        <f>VLOOKUP(C61,CHOOSE({1,2},Planned_capex_starting_position!$BL$8:$BL$413,Planned_capex_starting_position!$AF$8:$AF$413),2,0)</f>
        <v>TRA A28</v>
      </c>
      <c r="C61" s="791" t="s">
        <v>6957</v>
      </c>
      <c r="D61" s="837" t="str">
        <f>IF($A61="TRA",VLOOKUP($C61,Planned_capex_starting_position!$BL$8:$BU$147,9,FALSE),"Not Transport")</f>
        <v>Arterial</v>
      </c>
      <c r="E61" s="791" t="str">
        <f>IF(VLOOKUP(C61,CHOOSE({1,2},Planned_capex_starting_position!$BL$8:$BL$413,Planned_capex_starting_position!$E$8:$E$413),2,0)=0,"",VLOOKUP(C61,CHOOSE({1,2},Planned_capex_starting_position!$BL$8:$BL$413,Planned_capex_starting_position!$E$8:$E$413),2,0))</f>
        <v>1b TRA A29</v>
      </c>
      <c r="F61" s="811" t="str">
        <f>VLOOKUP(A61,Lists!H:I,2,FALSE)</f>
        <v>Transport</v>
      </c>
      <c r="G61" s="812" t="str">
        <f>VLOOKUP(B61,FA_Codes!D:G,4,FALSE)</f>
        <v>Southern Growth Area 2</v>
      </c>
      <c r="H61" s="813" t="str">
        <f>VLOOKUP(C61,CHOOSE({1,2},Planned_capex_starting_position!$BL$8:$BL$413,Planned_capex_starting_position!$F$8:$F$413),2,0)</f>
        <v>GSR improvements - Waihoehoe Rd to Drury Interchange</v>
      </c>
      <c r="I61" s="813" t="str">
        <f>VLOOKUP(C61,CHOOSE({1,2},Planned_capex_starting_position!$BL$8:$BL$413,Planned_capex_starting_position!$G$8:$G$413),2,0)</f>
        <v>4-lane urban- existing road layout with active modes on both sides + intersection improvements (TDM)</v>
      </c>
      <c r="J61" s="814">
        <f>SUMIFS(Planned_capex_starting_position!$AC$8:$AC$413,Planned_capex_starting_position!$AC$8:$AC$413,"&gt;0",Planned_capex_starting_position!$BL$8:$BL$413,C61)</f>
        <v>664979.00130830135</v>
      </c>
      <c r="K61" s="814">
        <f>SUMIF(Planned_capex_starting_position!$BL$8:$BL$413,C61,Planned_capex_starting_position!$AV$8:$AV$413)+SUMIF(Planned_capex_starting_position!$BL$8:$BL$413,C61,Planned_capex_starting_position!$BJ$8:$BJ$413)</f>
        <v>198916.6158519538</v>
      </c>
      <c r="L61" s="814">
        <f t="shared" si="5"/>
        <v>466062.38545634755</v>
      </c>
      <c r="M61" s="815">
        <f t="shared" si="6"/>
        <v>0.29913217629518946</v>
      </c>
      <c r="N61" s="822">
        <f t="shared" si="7"/>
        <v>0.70086782370481049</v>
      </c>
      <c r="O61" s="818" t="s">
        <v>6978</v>
      </c>
      <c r="P61" s="836">
        <f>_xlfn.XLOOKUP($C61,Planned_capex_starting_position!$BL$8:$BL$149,Planned_capex_starting_position!$R$8:$R$149,"Not found",0)</f>
        <v>2060</v>
      </c>
    </row>
    <row r="62" spans="1:16" ht="37.5">
      <c r="A62" s="791" t="str">
        <f t="shared" si="4"/>
        <v>TRA</v>
      </c>
      <c r="B62" s="791" t="str">
        <f>VLOOKUP(C62,CHOOSE({1,2},Planned_capex_starting_position!$BL$8:$BL$413,Planned_capex_starting_position!$AF$8:$AF$413),2,0)</f>
        <v>TRA A28</v>
      </c>
      <c r="C62" s="791" t="s">
        <v>6960</v>
      </c>
      <c r="D62" s="837" t="str">
        <f>IF($A62="TRA",VLOOKUP($C62,Planned_capex_starting_position!$BL$8:$BU$147,9,FALSE),"Not Transport")</f>
        <v>Arterial</v>
      </c>
      <c r="E62" s="791" t="str">
        <f>IF(VLOOKUP(C62,CHOOSE({1,2},Planned_capex_starting_position!$BL$8:$BL$413,Planned_capex_starting_position!$E$8:$E$413),2,0)=0,"",VLOOKUP(C62,CHOOSE({1,2},Planned_capex_starting_position!$BL$8:$BL$413,Planned_capex_starting_position!$E$8:$E$413),2,0))</f>
        <v>23b TRA A29</v>
      </c>
      <c r="F62" s="811" t="str">
        <f>VLOOKUP(A62,Lists!H:I,2,FALSE)</f>
        <v>Transport</v>
      </c>
      <c r="G62" s="812" t="str">
        <f>VLOOKUP(B62,FA_Codes!D:G,4,FALSE)</f>
        <v>Southern Growth Area 2</v>
      </c>
      <c r="H62" s="813" t="str">
        <f>VLOOKUP(C62,CHOOSE({1,2},Planned_capex_starting_position!$BL$8:$BL$413,Planned_capex_starting_position!$F$8:$F$413),2,0)</f>
        <v>Waihoehoe Rd West upgrades- between GSR &amp; Kath Henry Lane</v>
      </c>
      <c r="I62" s="813" t="str">
        <f>VLOOKUP(C62,CHOOSE({1,2},Planned_capex_starting_position!$BL$8:$BL$413,Planned_capex_starting_position!$G$8:$G$413),2,0)</f>
        <v>Final 4-lane - following interim option, upgrade Road corridor to provide four lanes with additional turning lanes at intersections where required (as indicated in SGA Design</v>
      </c>
      <c r="J62" s="814">
        <f>SUMIFS(Planned_capex_starting_position!$AC$8:$AC$413,Planned_capex_starting_position!$AC$8:$AC$413,"&gt;0",Planned_capex_starting_position!$BL$8:$BL$413,C62)</f>
        <v>2985894.9019240034</v>
      </c>
      <c r="K62" s="814">
        <f>SUMIF(Planned_capex_starting_position!$BL$8:$BL$413,C62,Planned_capex_starting_position!$AV$8:$AV$413)+SUMIF(Planned_capex_starting_position!$BL$8:$BL$413,C62,Planned_capex_starting_position!$BJ$8:$BJ$413)</f>
        <v>893177.24020123808</v>
      </c>
      <c r="L62" s="814">
        <f t="shared" si="5"/>
        <v>2092717.6617227653</v>
      </c>
      <c r="M62" s="815">
        <f t="shared" si="6"/>
        <v>0.29913217629518934</v>
      </c>
      <c r="N62" s="822">
        <f t="shared" si="7"/>
        <v>0.70086782370481071</v>
      </c>
      <c r="O62" s="818" t="s">
        <v>6978</v>
      </c>
      <c r="P62" s="836">
        <f>_xlfn.XLOOKUP($C62,Planned_capex_starting_position!$BL$8:$BL$149,Planned_capex_starting_position!$R$8:$R$149,"Not found",0)</f>
        <v>2060</v>
      </c>
    </row>
    <row r="63" spans="1:16" ht="37.5">
      <c r="A63" s="791" t="str">
        <f t="shared" si="4"/>
        <v>TRA</v>
      </c>
      <c r="B63" s="791" t="str">
        <f>VLOOKUP(C63,CHOOSE({1,2},Planned_capex_starting_position!$BL$8:$BL$413,Planned_capex_starting_position!$AF$8:$AF$413),2,0)</f>
        <v>TRA A28</v>
      </c>
      <c r="C63" s="791" t="s">
        <v>6961</v>
      </c>
      <c r="D63" s="837" t="str">
        <f>IF($A63="TRA",VLOOKUP($C63,Planned_capex_starting_position!$BL$8:$BU$147,9,FALSE),"Not Transport")</f>
        <v>Arterial</v>
      </c>
      <c r="E63" s="791" t="str">
        <f>IF(VLOOKUP(C63,CHOOSE({1,2},Planned_capex_starting_position!$BL$8:$BL$413,Planned_capex_starting_position!$E$8:$E$413),2,0)=0,"",VLOOKUP(C63,CHOOSE({1,2},Planned_capex_starting_position!$BL$8:$BL$413,Planned_capex_starting_position!$E$8:$E$413),2,0))</f>
        <v>23d TRA A29</v>
      </c>
      <c r="F63" s="811" t="str">
        <f>VLOOKUP(A63,Lists!H:I,2,FALSE)</f>
        <v>Transport</v>
      </c>
      <c r="G63" s="812" t="str">
        <f>VLOOKUP(B63,FA_Codes!D:G,4,FALSE)</f>
        <v>Southern Growth Area 2</v>
      </c>
      <c r="H63" s="813" t="str">
        <f>VLOOKUP(C63,CHOOSE({1,2},Planned_capex_starting_position!$BL$8:$BL$413,Planned_capex_starting_position!$F$8:$F$413),2,0)</f>
        <v>Waihoehoe Rd West upgrades- between Kath Henry Lane and Fitzgerald Rd</v>
      </c>
      <c r="I63" s="813" t="str">
        <f>VLOOKUP(C63,CHOOSE({1,2},Planned_capex_starting_position!$BL$8:$BL$413,Planned_capex_starting_position!$G$8:$G$413),2,0)</f>
        <v>Final 4-lane - following interim option, upgrade Road corridor to provide four lanes with additional turning lanes at intersections where required (as indicated in SGA Design</v>
      </c>
      <c r="J63" s="814">
        <f>SUMIFS(Planned_capex_starting_position!$AC$8:$AC$413,Planned_capex_starting_position!$AC$8:$AC$413,"&gt;0",Planned_capex_starting_position!$BL$8:$BL$413,C63)</f>
        <v>561743.94306633843</v>
      </c>
      <c r="K63" s="814">
        <f>SUMIF(Planned_capex_starting_position!$BL$8:$BL$413,C63,Planned_capex_starting_position!$AV$8:$AV$413)+SUMIF(Planned_capex_starting_position!$BL$8:$BL$413,C63,Planned_capex_starting_position!$BJ$8:$BJ$413)</f>
        <v>168035.68821007479</v>
      </c>
      <c r="L63" s="814">
        <f t="shared" si="5"/>
        <v>393708.25485626364</v>
      </c>
      <c r="M63" s="815">
        <f t="shared" si="6"/>
        <v>0.2991321762951894</v>
      </c>
      <c r="N63" s="822">
        <f t="shared" si="7"/>
        <v>0.7008678237048106</v>
      </c>
      <c r="O63" s="818" t="s">
        <v>6978</v>
      </c>
      <c r="P63" s="836">
        <f>_xlfn.XLOOKUP($C63,Planned_capex_starting_position!$BL$8:$BL$149,Planned_capex_starting_position!$R$8:$R$149,"Not found",0)</f>
        <v>2060</v>
      </c>
    </row>
    <row r="64" spans="1:16" ht="25">
      <c r="A64" s="791" t="str">
        <f t="shared" si="4"/>
        <v>TRA</v>
      </c>
      <c r="B64" s="791" t="str">
        <f>VLOOKUP(C64,CHOOSE({1,2},Planned_capex_starting_position!$BL$8:$BL$413,Planned_capex_starting_position!$AF$8:$AF$413),2,0)</f>
        <v>TRA A28</v>
      </c>
      <c r="C64" s="791" t="s">
        <v>6958</v>
      </c>
      <c r="D64" s="837" t="str">
        <f>IF($A64="TRA",VLOOKUP($C64,Planned_capex_starting_position!$BL$8:$BU$147,9,FALSE),"Not Transport")</f>
        <v>Arterial</v>
      </c>
      <c r="E64" s="791" t="str">
        <f>IF(VLOOKUP(C64,CHOOSE({1,2},Planned_capex_starting_position!$BL$8:$BL$413,Planned_capex_starting_position!$E$8:$E$413),2,0)=0,"",VLOOKUP(C64,CHOOSE({1,2},Planned_capex_starting_position!$BL$8:$BL$413,Planned_capex_starting_position!$E$8:$E$413),2,0))</f>
        <v>2a TRA A29</v>
      </c>
      <c r="F64" s="811" t="str">
        <f>VLOOKUP(A64,Lists!H:I,2,FALSE)</f>
        <v>Transport</v>
      </c>
      <c r="G64" s="812" t="str">
        <f>VLOOKUP(B64,FA_Codes!D:G,4,FALSE)</f>
        <v>Southern Growth Area 2</v>
      </c>
      <c r="H64" s="813" t="str">
        <f>VLOOKUP(C64,CHOOSE({1,2},Planned_capex_starting_position!$BL$8:$BL$413,Planned_capex_starting_position!$F$8:$F$413),2,0)</f>
        <v>GSR improvements - From Drury School to Waihoehoe Rd</v>
      </c>
      <c r="I64" s="813" t="str">
        <f>VLOOKUP(C64,CHOOSE({1,2},Planned_capex_starting_position!$BL$8:$BL$413,Planned_capex_starting_position!$G$8:$G$413),2,0)</f>
        <v>2-lane urban- existing road layout with active modes on both sides + intersection improvements (TDM)</v>
      </c>
      <c r="J64" s="814">
        <f>SUMIFS(Planned_capex_starting_position!$AC$8:$AC$413,Planned_capex_starting_position!$AC$8:$AC$413,"&gt;0",Planned_capex_starting_position!$BL$8:$BL$413,C64)</f>
        <v>404626.20614234195</v>
      </c>
      <c r="K64" s="814">
        <f>SUMIF(Planned_capex_starting_position!$BL$8:$BL$413,C64,Planned_capex_starting_position!$AV$8:$AV$413)+SUMIF(Planned_capex_starting_position!$BL$8:$BL$413,C64,Planned_capex_starting_position!$BJ$8:$BJ$413)</f>
        <v>121036.7176294247</v>
      </c>
      <c r="L64" s="814">
        <f t="shared" si="5"/>
        <v>283589.48851291725</v>
      </c>
      <c r="M64" s="815">
        <f t="shared" si="6"/>
        <v>0.29913217629518946</v>
      </c>
      <c r="N64" s="822">
        <f t="shared" si="7"/>
        <v>0.70086782370481049</v>
      </c>
      <c r="O64" s="818" t="s">
        <v>6978</v>
      </c>
      <c r="P64" s="836">
        <f>_xlfn.XLOOKUP($C64,Planned_capex_starting_position!$BL$8:$BL$149,Planned_capex_starting_position!$R$8:$R$149,"Not found",0)</f>
        <v>2060</v>
      </c>
    </row>
    <row r="65" spans="1:16">
      <c r="A65" s="791" t="str">
        <f t="shared" si="4"/>
        <v>TRA</v>
      </c>
      <c r="B65" s="791" t="str">
        <f>VLOOKUP(C65,CHOOSE({1,2},Planned_capex_starting_position!$BL$8:$BL$413,Planned_capex_starting_position!$AF$8:$AF$413),2,0)</f>
        <v>TRA A28</v>
      </c>
      <c r="C65" s="791" t="s">
        <v>6962</v>
      </c>
      <c r="D65" s="837" t="str">
        <f>IF($A65="TRA",VLOOKUP($C65,Planned_capex_starting_position!$BL$8:$BU$147,9,FALSE),"Not Transport")</f>
        <v>Arterial</v>
      </c>
      <c r="E65" s="791" t="str">
        <f>IF(VLOOKUP(C65,CHOOSE({1,2},Planned_capex_starting_position!$BL$8:$BL$413,Planned_capex_starting_position!$E$8:$E$413),2,0)=0,"",VLOOKUP(C65,CHOOSE({1,2},Planned_capex_starting_position!$BL$8:$BL$413,Planned_capex_starting_position!$E$8:$E$413),2,0))</f>
        <v>67 TRA A29</v>
      </c>
      <c r="F65" s="811" t="str">
        <f>VLOOKUP(A65,Lists!H:I,2,FALSE)</f>
        <v>Transport</v>
      </c>
      <c r="G65" s="812" t="str">
        <f>VLOOKUP(B65,FA_Codes!D:G,4,FALSE)</f>
        <v>Southern Growth Area 2</v>
      </c>
      <c r="H65" s="813" t="str">
        <f>VLOOKUP(C65,CHOOSE({1,2},Planned_capex_starting_position!$BL$8:$BL$413,Planned_capex_starting_position!$F$8:$F$413),2,0)</f>
        <v>Active Mode Corridor Drury Central to GSR</v>
      </c>
      <c r="I65" s="813">
        <f>VLOOKUP(C65,CHOOSE({1,2},Planned_capex_starting_position!$BL$8:$BL$413,Planned_capex_starting_position!$G$8:$G$413),2,0)</f>
        <v>0</v>
      </c>
      <c r="J65" s="814">
        <f>SUMIFS(Planned_capex_starting_position!$AC$8:$AC$413,Planned_capex_starting_position!$AC$8:$AC$413,"&gt;0",Planned_capex_starting_position!$BL$8:$BL$413,C65)</f>
        <v>6252001.6189320572</v>
      </c>
      <c r="K65" s="814">
        <f>SUMIF(Planned_capex_starting_position!$BL$8:$BL$413,C65,Planned_capex_starting_position!$AV$8:$AV$413)+SUMIF(Planned_capex_starting_position!$BL$8:$BL$413,C65,Planned_capex_starting_position!$BJ$8:$BJ$413)</f>
        <v>1870174.8504721937</v>
      </c>
      <c r="L65" s="814">
        <f t="shared" si="5"/>
        <v>4381826.768459864</v>
      </c>
      <c r="M65" s="815">
        <f t="shared" si="6"/>
        <v>0.2991321762951894</v>
      </c>
      <c r="N65" s="822">
        <f t="shared" si="7"/>
        <v>0.7008678237048106</v>
      </c>
      <c r="O65" s="818" t="s">
        <v>6978</v>
      </c>
      <c r="P65" s="836">
        <f>_xlfn.XLOOKUP($C65,Planned_capex_starting_position!$BL$8:$BL$149,Planned_capex_starting_position!$R$8:$R$149,"Not found",0)</f>
        <v>2060</v>
      </c>
    </row>
    <row r="66" spans="1:16">
      <c r="A66" s="791" t="str">
        <f t="shared" si="4"/>
        <v>TRA</v>
      </c>
      <c r="B66" s="791" t="str">
        <f>VLOOKUP(C66,CHOOSE({1,2},Planned_capex_starting_position!$BL$8:$BL$413,Planned_capex_starting_position!$AF$8:$AF$413),2,0)</f>
        <v>TRA A28</v>
      </c>
      <c r="C66" s="791" t="s">
        <v>6959</v>
      </c>
      <c r="D66" s="837" t="str">
        <f>IF($A66="TRA",VLOOKUP($C66,Planned_capex_starting_position!$BL$8:$BU$147,9,FALSE),"Not Transport")</f>
        <v>Arterial</v>
      </c>
      <c r="E66" s="791" t="str">
        <f>IF(VLOOKUP(C66,CHOOSE({1,2},Planned_capex_starting_position!$BL$8:$BL$413,Planned_capex_starting_position!$E$8:$E$413),2,0)=0,"",VLOOKUP(C66,CHOOSE({1,2},Planned_capex_starting_position!$BL$8:$BL$413,Planned_capex_starting_position!$E$8:$E$413),2,0))</f>
        <v>9b TRA A29</v>
      </c>
      <c r="F66" s="811" t="str">
        <f>VLOOKUP(A66,Lists!H:I,2,FALSE)</f>
        <v>Transport</v>
      </c>
      <c r="G66" s="812" t="str">
        <f>VLOOKUP(B66,FA_Codes!D:G,4,FALSE)</f>
        <v>Southern Growth Area 2</v>
      </c>
      <c r="H66" s="813" t="str">
        <f>VLOOKUP(C66,CHOOSE({1,2},Planned_capex_starting_position!$BL$8:$BL$413,Planned_capex_starting_position!$F$8:$F$413),2,0)</f>
        <v>Upgrade in Norrie Rd/GSR/Waihoehoe intersection</v>
      </c>
      <c r="I66" s="813" t="str">
        <f>VLOOKUP(C66,CHOOSE({1,2},Planned_capex_starting_position!$BL$8:$BL$413,Planned_capex_starting_position!$G$8:$G$413),2,0)</f>
        <v>multi-lane signalised intersection with active mode crossings, SGA design</v>
      </c>
      <c r="J66" s="814">
        <f>SUMIFS(Planned_capex_starting_position!$AC$8:$AC$413,Planned_capex_starting_position!$AC$8:$AC$413,"&gt;0",Planned_capex_starting_position!$BL$8:$BL$413,C66)</f>
        <v>318390.01242463622</v>
      </c>
      <c r="K66" s="814">
        <f>SUMIF(Planned_capex_starting_position!$BL$8:$BL$413,C66,Planned_capex_starting_position!$AV$8:$AV$413)+SUMIF(Planned_capex_starting_position!$BL$8:$BL$413,C66,Planned_capex_starting_position!$BJ$8:$BJ$413)</f>
        <v>95240.697327233807</v>
      </c>
      <c r="L66" s="814">
        <f t="shared" si="5"/>
        <v>223149.31509740243</v>
      </c>
      <c r="M66" s="815">
        <f t="shared" si="6"/>
        <v>0.29913217629518934</v>
      </c>
      <c r="N66" s="822">
        <f t="shared" si="7"/>
        <v>0.70086782370481071</v>
      </c>
      <c r="O66" s="818" t="s">
        <v>6978</v>
      </c>
      <c r="P66" s="836">
        <f>_xlfn.XLOOKUP($C66,Planned_capex_starting_position!$BL$8:$BL$149,Planned_capex_starting_position!$R$8:$R$149,"Not found",0)</f>
        <v>2060</v>
      </c>
    </row>
    <row r="67" spans="1:16" ht="25">
      <c r="A67" s="791" t="str">
        <f t="shared" si="4"/>
        <v>TRA</v>
      </c>
      <c r="B67" s="791" t="str">
        <f>VLOOKUP(C67,CHOOSE({1,2},Planned_capex_starting_position!$BL$8:$BL$413,Planned_capex_starting_position!$AF$8:$AF$413),2,0)</f>
        <v>TRA A29</v>
      </c>
      <c r="C67" s="791" t="s">
        <v>6966</v>
      </c>
      <c r="D67" s="837" t="str">
        <f>IF($A67="TRA",VLOOKUP($C67,Planned_capex_starting_position!$BL$8:$BU$147,9,FALSE),"Not Transport")</f>
        <v>Arterial</v>
      </c>
      <c r="E67" s="791" t="str">
        <f>IF(VLOOKUP(C67,CHOOSE({1,2},Planned_capex_starting_position!$BL$8:$BL$413,Planned_capex_starting_position!$E$8:$E$413),2,0)=0,"",VLOOKUP(C67,CHOOSE({1,2},Planned_capex_starting_position!$BL$8:$BL$413,Planned_capex_starting_position!$E$8:$E$413),2,0))</f>
        <v>10b TRA A28</v>
      </c>
      <c r="F67" s="811" t="str">
        <f>VLOOKUP(A67,Lists!H:I,2,FALSE)</f>
        <v>Transport</v>
      </c>
      <c r="G67" s="812" t="str">
        <f>VLOOKUP(B67,FA_Codes!D:G,4,FALSE)</f>
        <v>Southern Growth Area 1</v>
      </c>
      <c r="H67" s="813" t="str">
        <f>VLOOKUP(C67,CHOOSE({1,2},Planned_capex_starting_position!$BL$8:$BL$413,Planned_capex_starting_position!$F$8:$F$413),2,0)</f>
        <v>New intersection on Waihoehoe Rd/Fitzgerald Rd( including approach cross-sections)</v>
      </c>
      <c r="I67" s="813" t="str">
        <f>VLOOKUP(C67,CHOOSE({1,2},Planned_capex_starting_position!$BL$8:$BL$413,Planned_capex_starting_position!$G$8:$G$413),2,0)</f>
        <v>multi-lane roundabout with active mode crossings, SGA design</v>
      </c>
      <c r="J67" s="814">
        <f>SUMIFS(Planned_capex_starting_position!$AC$8:$AC$413,Planned_capex_starting_position!$AC$8:$AC$413,"&gt;0",Planned_capex_starting_position!$BL$8:$BL$413,C67)</f>
        <v>267258.26697939867</v>
      </c>
      <c r="K67" s="814">
        <f>SUMIF(Planned_capex_starting_position!$BL$8:$BL$413,C67,Planned_capex_starting_position!$AV$8:$AV$413)+SUMIF(Planned_capex_starting_position!$BL$8:$BL$413,C67,Planned_capex_starting_position!$BJ$8:$BJ$413)</f>
        <v>47601.826703246574</v>
      </c>
      <c r="L67" s="814">
        <f t="shared" si="5"/>
        <v>219656.44027615211</v>
      </c>
      <c r="M67" s="815">
        <f t="shared" si="6"/>
        <v>0.17811170910165303</v>
      </c>
      <c r="N67" s="822">
        <f t="shared" si="7"/>
        <v>0.82188829089834692</v>
      </c>
      <c r="O67" s="818" t="s">
        <v>6978</v>
      </c>
      <c r="P67" s="836">
        <f>_xlfn.XLOOKUP($C67,Planned_capex_starting_position!$BL$8:$BL$149,Planned_capex_starting_position!$R$8:$R$149,"Not found",0)</f>
        <v>2060</v>
      </c>
    </row>
    <row r="68" spans="1:16">
      <c r="A68" s="791" t="str">
        <f t="shared" si="4"/>
        <v>TRA</v>
      </c>
      <c r="B68" s="791" t="str">
        <f>VLOOKUP(C68,CHOOSE({1,2},Planned_capex_starting_position!$BL$8:$BL$413,Planned_capex_starting_position!$AF$8:$AF$413),2,0)</f>
        <v>TRA A29</v>
      </c>
      <c r="C68" s="791" t="s">
        <v>6967</v>
      </c>
      <c r="D68" s="837" t="str">
        <f>IF($A68="TRA",VLOOKUP($C68,Planned_capex_starting_position!$BL$8:$BU$147,9,FALSE),"Not Transport")</f>
        <v>Arterial</v>
      </c>
      <c r="E68" s="791" t="str">
        <f>IF(VLOOKUP(C68,CHOOSE({1,2},Planned_capex_starting_position!$BL$8:$BL$413,Planned_capex_starting_position!$E$8:$E$413),2,0)=0,"",VLOOKUP(C68,CHOOSE({1,2},Planned_capex_starting_position!$BL$8:$BL$413,Planned_capex_starting_position!$E$8:$E$413),2,0))</f>
        <v>11 TRA A28</v>
      </c>
      <c r="F68" s="811" t="str">
        <f>VLOOKUP(A68,Lists!H:I,2,FALSE)</f>
        <v>Transport</v>
      </c>
      <c r="G68" s="812" t="str">
        <f>VLOOKUP(B68,FA_Codes!D:G,4,FALSE)</f>
        <v>Southern Growth Area 1</v>
      </c>
      <c r="H68" s="813" t="str">
        <f>VLOOKUP(C68,CHOOSE({1,2},Planned_capex_starting_position!$BL$8:$BL$413,Planned_capex_starting_position!$F$8:$F$413),2,0)</f>
        <v>Intersection upgrade Waihoehoe Rd/Fielding Rd/Appleby Rd</v>
      </c>
      <c r="I68" s="813" t="str">
        <f>VLOOKUP(C68,CHOOSE({1,2},Planned_capex_starting_position!$BL$8:$BL$413,Planned_capex_starting_position!$G$8:$G$413),2,0)</f>
        <v>Roundabout as per SGA design</v>
      </c>
      <c r="J68" s="814">
        <f>SUMIFS(Planned_capex_starting_position!$AC$8:$AC$413,Planned_capex_starting_position!$AC$8:$AC$413,"&gt;0",Planned_capex_starting_position!$BL$8:$BL$413,C68)</f>
        <v>29943.171158569945</v>
      </c>
      <c r="K68" s="814">
        <f>SUMIF(Planned_capex_starting_position!$BL$8:$BL$413,C68,Planned_capex_starting_position!$AV$8:$AV$413)+SUMIF(Planned_capex_starting_position!$BL$8:$BL$413,C68,Planned_capex_starting_position!$BJ$8:$BJ$413)</f>
        <v>5333.2293909762175</v>
      </c>
      <c r="L68" s="814">
        <f t="shared" si="5"/>
        <v>24609.941767593729</v>
      </c>
      <c r="M68" s="815">
        <f t="shared" si="6"/>
        <v>0.17811170910165305</v>
      </c>
      <c r="N68" s="822">
        <f t="shared" si="7"/>
        <v>0.82188829089834692</v>
      </c>
      <c r="O68" s="818" t="s">
        <v>6978</v>
      </c>
      <c r="P68" s="836">
        <f>_xlfn.XLOOKUP($C68,Planned_capex_starting_position!$BL$8:$BL$149,Planned_capex_starting_position!$R$8:$R$149,"Not found",0)</f>
        <v>2060</v>
      </c>
    </row>
    <row r="69" spans="1:16" ht="25">
      <c r="A69" s="791" t="str">
        <f t="shared" ref="A69:A76" si="8">TRIM(LEFT(B69, 3))</f>
        <v>TRA</v>
      </c>
      <c r="B69" s="791" t="str">
        <f>VLOOKUP(C69,CHOOSE({1,2},Planned_capex_starting_position!$BL$8:$BL$413,Planned_capex_starting_position!$AF$8:$AF$413),2,0)</f>
        <v>TRA A29</v>
      </c>
      <c r="C69" s="791" t="s">
        <v>7003</v>
      </c>
      <c r="D69" s="837" t="str">
        <f>IF($A69="TRA",VLOOKUP($C69,Planned_capex_starting_position!$BL$8:$BU$147,9,FALSE),"Not Transport")</f>
        <v>Arterial</v>
      </c>
      <c r="E69" s="791" t="str">
        <f>IF(VLOOKUP(C69,CHOOSE({1,2},Planned_capex_starting_position!$BL$8:$BL$413,Planned_capex_starting_position!$E$8:$E$413),2,0)=0,"",VLOOKUP(C69,CHOOSE({1,2},Planned_capex_starting_position!$BL$8:$BL$413,Planned_capex_starting_position!$E$8:$E$413),2,0))</f>
        <v>13a TRA A28</v>
      </c>
      <c r="F69" s="811" t="str">
        <f>VLOOKUP(A69,Lists!H:I,2,FALSE)</f>
        <v>Transport</v>
      </c>
      <c r="G69" s="812" t="str">
        <f>VLOOKUP(B69,FA_Codes!D:G,4,FALSE)</f>
        <v>Southern Growth Area 1</v>
      </c>
      <c r="H69" s="813" t="str">
        <f>VLOOKUP(C69,CHOOSE({1,2},Planned_capex_starting_position!$BL$8:$BL$413,Planned_capex_starting_position!$F$8:$F$413),2,0)</f>
        <v>N-S Opaheke Arterial across development (up to Waihoehoe Stream)</v>
      </c>
      <c r="I69" s="813" t="str">
        <f>VLOOKUP(C69,CHOOSE({1,2},Planned_capex_starting_position!$BL$8:$BL$413,Planned_capex_starting_position!$G$8:$G$413),2,0)</f>
        <v>2-lane urban- new 2-lane arterial with active modes on both sides + intersection improvements (TDM)</v>
      </c>
      <c r="J69" s="814">
        <f>SUMIFS(Planned_capex_starting_position!$AC$8:$AC$413,Planned_capex_starting_position!$AC$8:$AC$413,"&gt;0",Planned_capex_starting_position!$BL$8:$BL$413,C69)</f>
        <v>35572.441484143623</v>
      </c>
      <c r="K69" s="814">
        <f>SUMIF(Planned_capex_starting_position!$BL$8:$BL$413,C69,Planned_capex_starting_position!$AV$8:$AV$413)+SUMIF(Planned_capex_starting_position!$BL$8:$BL$413,C69,Planned_capex_starting_position!$BJ$8:$BJ$413)</f>
        <v>6335.8683496593649</v>
      </c>
      <c r="L69" s="814">
        <f t="shared" ref="L69:L76" si="9">J69-K69</f>
        <v>29236.573134484257</v>
      </c>
      <c r="M69" s="815">
        <f t="shared" ref="M69:M76" si="10">IFERROR(K69/J69,0)</f>
        <v>0.17811170910165305</v>
      </c>
      <c r="N69" s="822">
        <f t="shared" ref="N69:N76" si="11">1-M69</f>
        <v>0.82188829089834692</v>
      </c>
      <c r="O69" s="818" t="s">
        <v>6978</v>
      </c>
      <c r="P69" s="836">
        <f>_xlfn.XLOOKUP($C69,Planned_capex_starting_position!$BL$8:$BL$149,Planned_capex_starting_position!$R$8:$R$149,"Not found",0)</f>
        <v>2060</v>
      </c>
    </row>
    <row r="70" spans="1:16" ht="25">
      <c r="A70" s="791" t="str">
        <f t="shared" si="8"/>
        <v>TRA</v>
      </c>
      <c r="B70" s="791" t="str">
        <f>VLOOKUP(C70,CHOOSE({1,2},Planned_capex_starting_position!$BL$8:$BL$413,Planned_capex_starting_position!$AF$8:$AF$413),2,0)</f>
        <v>TRA A29</v>
      </c>
      <c r="C70" s="791" t="s">
        <v>6963</v>
      </c>
      <c r="D70" s="837" t="str">
        <f>IF($A70="TRA",VLOOKUP($C70,Planned_capex_starting_position!$BL$8:$BU$147,9,FALSE),"Not Transport")</f>
        <v>Arterial</v>
      </c>
      <c r="E70" s="791" t="str">
        <f>IF(VLOOKUP(C70,CHOOSE({1,2},Planned_capex_starting_position!$BL$8:$BL$413,Planned_capex_starting_position!$E$8:$E$413),2,0)=0,"",VLOOKUP(C70,CHOOSE({1,2},Planned_capex_starting_position!$BL$8:$BL$413,Planned_capex_starting_position!$E$8:$E$413),2,0))</f>
        <v>1b TRA A28</v>
      </c>
      <c r="F70" s="811" t="str">
        <f>VLOOKUP(A70,Lists!H:I,2,FALSE)</f>
        <v>Transport</v>
      </c>
      <c r="G70" s="812" t="str">
        <f>VLOOKUP(B70,FA_Codes!D:G,4,FALSE)</f>
        <v>Southern Growth Area 1</v>
      </c>
      <c r="H70" s="813" t="str">
        <f>VLOOKUP(C70,CHOOSE({1,2},Planned_capex_starting_position!$BL$8:$BL$413,Planned_capex_starting_position!$F$8:$F$413),2,0)</f>
        <v>GSR improvements - Waihoehoe Rd to Drury Interchange</v>
      </c>
      <c r="I70" s="813" t="str">
        <f>VLOOKUP(C70,CHOOSE({1,2},Planned_capex_starting_position!$BL$8:$BL$413,Planned_capex_starting_position!$G$8:$G$413),2,0)</f>
        <v>4-lane urban- existing road layout with active modes on both sides + intersection improvements (TDM)</v>
      </c>
      <c r="J70" s="814">
        <f>SUMIFS(Planned_capex_starting_position!$AC$8:$AC$413,Planned_capex_starting_position!$AC$8:$AC$413,"&gt;0",Planned_capex_starting_position!$BL$8:$BL$413,C70)</f>
        <v>1329958.0026166027</v>
      </c>
      <c r="K70" s="814">
        <f>SUMIF(Planned_capex_starting_position!$BL$8:$BL$413,C70,Planned_capex_starting_position!$AV$8:$AV$413)+SUMIF(Planned_capex_starting_position!$BL$8:$BL$413,C70,Planned_capex_starting_position!$BJ$8:$BJ$413)</f>
        <v>236881.09287946386</v>
      </c>
      <c r="L70" s="814">
        <f t="shared" si="9"/>
        <v>1093076.9097371388</v>
      </c>
      <c r="M70" s="815">
        <f t="shared" si="10"/>
        <v>0.17811170910165305</v>
      </c>
      <c r="N70" s="822">
        <f t="shared" si="11"/>
        <v>0.82188829089834692</v>
      </c>
      <c r="O70" s="818" t="s">
        <v>6978</v>
      </c>
      <c r="P70" s="836">
        <f>_xlfn.XLOOKUP($C70,Planned_capex_starting_position!$BL$8:$BL$149,Planned_capex_starting_position!$R$8:$R$149,"Not found",0)</f>
        <v>2060</v>
      </c>
    </row>
    <row r="71" spans="1:16" ht="37.5">
      <c r="A71" s="791" t="str">
        <f t="shared" si="8"/>
        <v>TRA</v>
      </c>
      <c r="B71" s="791" t="str">
        <f>VLOOKUP(C71,CHOOSE({1,2},Planned_capex_starting_position!$BL$8:$BL$413,Planned_capex_starting_position!$AF$8:$AF$413),2,0)</f>
        <v>TRA A29</v>
      </c>
      <c r="C71" s="791" t="s">
        <v>6968</v>
      </c>
      <c r="D71" s="837" t="str">
        <f>IF($A71="TRA",VLOOKUP($C71,Planned_capex_starting_position!$BL$8:$BU$147,9,FALSE),"Not Transport")</f>
        <v>Arterial</v>
      </c>
      <c r="E71" s="791" t="str">
        <f>IF(VLOOKUP(C71,CHOOSE({1,2},Planned_capex_starting_position!$BL$8:$BL$413,Planned_capex_starting_position!$E$8:$E$413),2,0)=0,"",VLOOKUP(C71,CHOOSE({1,2},Planned_capex_starting_position!$BL$8:$BL$413,Planned_capex_starting_position!$E$8:$E$413),2,0))</f>
        <v>23b TRA A28</v>
      </c>
      <c r="F71" s="811" t="str">
        <f>VLOOKUP(A71,Lists!H:I,2,FALSE)</f>
        <v>Transport</v>
      </c>
      <c r="G71" s="812" t="str">
        <f>VLOOKUP(B71,FA_Codes!D:G,4,FALSE)</f>
        <v>Southern Growth Area 1</v>
      </c>
      <c r="H71" s="813" t="str">
        <f>VLOOKUP(C71,CHOOSE({1,2},Planned_capex_starting_position!$BL$8:$BL$413,Planned_capex_starting_position!$F$8:$F$413),2,0)</f>
        <v>Waihoehoe Rd West upgrades- between GSR &amp; Kath Henry Lane</v>
      </c>
      <c r="I71" s="813" t="str">
        <f>VLOOKUP(C71,CHOOSE({1,2},Planned_capex_starting_position!$BL$8:$BL$413,Planned_capex_starting_position!$G$8:$G$413),2,0)</f>
        <v>Final 4-lane - following interim option, upgrade Road corridor to provide four lanes with additional turning lanes at intersections where required (as indicated in SGA Design</v>
      </c>
      <c r="J71" s="814">
        <f>SUMIFS(Planned_capex_starting_position!$AC$8:$AC$413,Planned_capex_starting_position!$AC$8:$AC$413,"&gt;0",Planned_capex_starting_position!$BL$8:$BL$413,C71)</f>
        <v>2985894.9019240034</v>
      </c>
      <c r="K71" s="814">
        <f>SUMIF(Planned_capex_starting_position!$BL$8:$BL$413,C71,Planned_capex_starting_position!$AV$8:$AV$413)+SUMIF(Planned_capex_starting_position!$BL$8:$BL$413,C71,Planned_capex_starting_position!$BJ$8:$BJ$413)</f>
        <v>531822.84417959698</v>
      </c>
      <c r="L71" s="814">
        <f t="shared" si="9"/>
        <v>2454072.0577444062</v>
      </c>
      <c r="M71" s="815">
        <f t="shared" si="10"/>
        <v>0.17811170910165305</v>
      </c>
      <c r="N71" s="822">
        <f t="shared" si="11"/>
        <v>0.82188829089834692</v>
      </c>
      <c r="O71" s="818" t="s">
        <v>6978</v>
      </c>
      <c r="P71" s="836">
        <f>_xlfn.XLOOKUP($C71,Planned_capex_starting_position!$BL$8:$BL$149,Planned_capex_starting_position!$R$8:$R$149,"Not found",0)</f>
        <v>2060</v>
      </c>
    </row>
    <row r="72" spans="1:16" ht="37.5">
      <c r="A72" s="791" t="str">
        <f t="shared" si="8"/>
        <v>TRA</v>
      </c>
      <c r="B72" s="791" t="str">
        <f>VLOOKUP(C72,CHOOSE({1,2},Planned_capex_starting_position!$BL$8:$BL$413,Planned_capex_starting_position!$AF$8:$AF$413),2,0)</f>
        <v>TRA A29</v>
      </c>
      <c r="C72" s="791" t="s">
        <v>6969</v>
      </c>
      <c r="D72" s="837" t="str">
        <f>IF($A72="TRA",VLOOKUP($C72,Planned_capex_starting_position!$BL$8:$BU$147,9,FALSE),"Not Transport")</f>
        <v>Arterial</v>
      </c>
      <c r="E72" s="791" t="str">
        <f>IF(VLOOKUP(C72,CHOOSE({1,2},Planned_capex_starting_position!$BL$8:$BL$413,Planned_capex_starting_position!$E$8:$E$413),2,0)=0,"",VLOOKUP(C72,CHOOSE({1,2},Planned_capex_starting_position!$BL$8:$BL$413,Planned_capex_starting_position!$E$8:$E$413),2,0))</f>
        <v>23d TRA A28</v>
      </c>
      <c r="F72" s="811" t="str">
        <f>VLOOKUP(A72,Lists!H:I,2,FALSE)</f>
        <v>Transport</v>
      </c>
      <c r="G72" s="812" t="str">
        <f>VLOOKUP(B72,FA_Codes!D:G,4,FALSE)</f>
        <v>Southern Growth Area 1</v>
      </c>
      <c r="H72" s="813" t="str">
        <f>VLOOKUP(C72,CHOOSE({1,2},Planned_capex_starting_position!$BL$8:$BL$413,Planned_capex_starting_position!$F$8:$F$413),2,0)</f>
        <v>Waihoehoe Rd West upgrades- between Kath Henry Lane and Fitzgerald Rd</v>
      </c>
      <c r="I72" s="813" t="str">
        <f>VLOOKUP(C72,CHOOSE({1,2},Planned_capex_starting_position!$BL$8:$BL$413,Planned_capex_starting_position!$G$8:$G$413),2,0)</f>
        <v>Final 4-lane - following interim option, upgrade Road corridor to provide four lanes with additional turning lanes at intersections where required (as indicated in SGA Design</v>
      </c>
      <c r="J72" s="814">
        <f>SUMIFS(Planned_capex_starting_position!$AC$8:$AC$413,Planned_capex_starting_position!$AC$8:$AC$413,"&gt;0",Planned_capex_starting_position!$BL$8:$BL$413,C72)</f>
        <v>561743.94306633843</v>
      </c>
      <c r="K72" s="814">
        <f>SUMIF(Planned_capex_starting_position!$BL$8:$BL$413,C72,Planned_capex_starting_position!$AV$8:$AV$413)+SUMIF(Planned_capex_starting_position!$BL$8:$BL$413,C72,Planned_capex_starting_position!$BJ$8:$BJ$413)</f>
        <v>100053.17377704725</v>
      </c>
      <c r="L72" s="814">
        <f t="shared" si="9"/>
        <v>461690.76928929117</v>
      </c>
      <c r="M72" s="815">
        <f t="shared" si="10"/>
        <v>0.17811170910165311</v>
      </c>
      <c r="N72" s="822">
        <f t="shared" si="11"/>
        <v>0.82188829089834692</v>
      </c>
      <c r="O72" s="818" t="s">
        <v>6978</v>
      </c>
      <c r="P72" s="836">
        <f>_xlfn.XLOOKUP($C72,Planned_capex_starting_position!$BL$8:$BL$149,Planned_capex_starting_position!$R$8:$R$149,"Not found",0)</f>
        <v>2060</v>
      </c>
    </row>
    <row r="73" spans="1:16" ht="25">
      <c r="A73" s="791" t="str">
        <f t="shared" si="8"/>
        <v>TRA</v>
      </c>
      <c r="B73" s="791" t="str">
        <f>VLOOKUP(C73,CHOOSE({1,2},Planned_capex_starting_position!$BL$8:$BL$413,Planned_capex_starting_position!$AF$8:$AF$413),2,0)</f>
        <v>TRA A29</v>
      </c>
      <c r="C73" s="791" t="s">
        <v>6970</v>
      </c>
      <c r="D73" s="837" t="str">
        <f>IF($A73="TRA",VLOOKUP($C73,Planned_capex_starting_position!$BL$8:$BU$147,9,FALSE),"Not Transport")</f>
        <v>Arterial</v>
      </c>
      <c r="E73" s="791" t="str">
        <f>IF(VLOOKUP(C73,CHOOSE({1,2},Planned_capex_starting_position!$BL$8:$BL$413,Planned_capex_starting_position!$E$8:$E$413),2,0)=0,"",VLOOKUP(C73,CHOOSE({1,2},Planned_capex_starting_position!$BL$8:$BL$413,Planned_capex_starting_position!$E$8:$E$413),2,0))</f>
        <v>24 TRA A28</v>
      </c>
      <c r="F73" s="811" t="str">
        <f>VLOOKUP(A73,Lists!H:I,2,FALSE)</f>
        <v>Transport</v>
      </c>
      <c r="G73" s="812" t="str">
        <f>VLOOKUP(B73,FA_Codes!D:G,4,FALSE)</f>
        <v>Southern Growth Area 1</v>
      </c>
      <c r="H73" s="813" t="str">
        <f>VLOOKUP(C73,CHOOSE({1,2},Planned_capex_starting_position!$BL$8:$BL$413,Planned_capex_starting_position!$F$8:$F$413),2,0)</f>
        <v>Upgrades on Waihoehoe Rd east- from project 4 to Drury Hills + Drury Hills Intersection</v>
      </c>
      <c r="I73" s="813" t="str">
        <f>VLOOKUP(C73,CHOOSE({1,2},Planned_capex_starting_position!$BL$8:$BL$413,Planned_capex_starting_position!$G$8:$G$413),2,0)</f>
        <v xml:space="preserve">2-lane urban - upgrade existing road layout with active modes on both sides, 20m cross-section </v>
      </c>
      <c r="J73" s="814">
        <f>SUMIFS(Planned_capex_starting_position!$AC$8:$AC$413,Planned_capex_starting_position!$AC$8:$AC$413,"&gt;0",Planned_capex_starting_position!$BL$8:$BL$413,C73)</f>
        <v>3901.4140228500096</v>
      </c>
      <c r="K73" s="814">
        <f>SUMIF(Planned_capex_starting_position!$BL$8:$BL$413,C73,Planned_capex_starting_position!$AV$8:$AV$413)+SUMIF(Planned_capex_starting_position!$BL$8:$BL$413,C73,Planned_capex_starting_position!$BJ$8:$BJ$413)</f>
        <v>694.88751952297082</v>
      </c>
      <c r="L73" s="814">
        <f t="shared" si="9"/>
        <v>3206.5265033270389</v>
      </c>
      <c r="M73" s="815">
        <f t="shared" si="10"/>
        <v>0.17811170910165303</v>
      </c>
      <c r="N73" s="822">
        <f t="shared" si="11"/>
        <v>0.82188829089834692</v>
      </c>
      <c r="O73" s="818" t="s">
        <v>6978</v>
      </c>
      <c r="P73" s="836">
        <f>_xlfn.XLOOKUP($C73,Planned_capex_starting_position!$BL$8:$BL$149,Planned_capex_starting_position!$R$8:$R$149,"Not found",0)</f>
        <v>2060</v>
      </c>
    </row>
    <row r="74" spans="1:16" ht="25">
      <c r="A74" s="791" t="str">
        <f t="shared" si="8"/>
        <v>TRA</v>
      </c>
      <c r="B74" s="791" t="str">
        <f>VLOOKUP(C74,CHOOSE({1,2},Planned_capex_starting_position!$BL$8:$BL$413,Planned_capex_starting_position!$AF$8:$AF$413),2,0)</f>
        <v>TRA A29</v>
      </c>
      <c r="C74" s="791" t="s">
        <v>6964</v>
      </c>
      <c r="D74" s="837" t="str">
        <f>IF($A74="TRA",VLOOKUP($C74,Planned_capex_starting_position!$BL$8:$BU$147,9,FALSE),"Not Transport")</f>
        <v>Arterial</v>
      </c>
      <c r="E74" s="791" t="str">
        <f>IF(VLOOKUP(C74,CHOOSE({1,2},Planned_capex_starting_position!$BL$8:$BL$413,Planned_capex_starting_position!$E$8:$E$413),2,0)=0,"",VLOOKUP(C74,CHOOSE({1,2},Planned_capex_starting_position!$BL$8:$BL$413,Planned_capex_starting_position!$E$8:$E$413),2,0))</f>
        <v>2a TRA A28</v>
      </c>
      <c r="F74" s="811" t="str">
        <f>VLOOKUP(A74,Lists!H:I,2,FALSE)</f>
        <v>Transport</v>
      </c>
      <c r="G74" s="812" t="str">
        <f>VLOOKUP(B74,FA_Codes!D:G,4,FALSE)</f>
        <v>Southern Growth Area 1</v>
      </c>
      <c r="H74" s="813" t="str">
        <f>VLOOKUP(C74,CHOOSE({1,2},Planned_capex_starting_position!$BL$8:$BL$413,Planned_capex_starting_position!$F$8:$F$413),2,0)</f>
        <v>GSR improvements - From Drury School to Waihoehoe Rd</v>
      </c>
      <c r="I74" s="813" t="str">
        <f>VLOOKUP(C74,CHOOSE({1,2},Planned_capex_starting_position!$BL$8:$BL$413,Planned_capex_starting_position!$G$8:$G$413),2,0)</f>
        <v>2-lane urban- existing road layout with active modes on both sides + intersection improvements (TDM)</v>
      </c>
      <c r="J74" s="814">
        <f>SUMIFS(Planned_capex_starting_position!$AC$8:$AC$413,Planned_capex_starting_position!$AC$8:$AC$413,"&gt;0",Planned_capex_starting_position!$BL$8:$BL$413,C74)</f>
        <v>809252.4122846839</v>
      </c>
      <c r="K74" s="814">
        <f>SUMIF(Planned_capex_starting_position!$BL$8:$BL$413,C74,Planned_capex_starting_position!$AV$8:$AV$413)+SUMIF(Planned_capex_starting_position!$BL$8:$BL$413,C74,Planned_capex_starting_position!$BJ$8:$BJ$413)</f>
        <v>144137.33024666068</v>
      </c>
      <c r="L74" s="814">
        <f t="shared" si="9"/>
        <v>665115.08203802328</v>
      </c>
      <c r="M74" s="815">
        <f t="shared" si="10"/>
        <v>0.17811170910165314</v>
      </c>
      <c r="N74" s="822">
        <f t="shared" si="11"/>
        <v>0.82188829089834692</v>
      </c>
      <c r="O74" s="818" t="s">
        <v>6978</v>
      </c>
      <c r="P74" s="836">
        <f>_xlfn.XLOOKUP($C74,Planned_capex_starting_position!$BL$8:$BL$149,Planned_capex_starting_position!$R$8:$R$149,"Not found",0)</f>
        <v>2060</v>
      </c>
    </row>
    <row r="75" spans="1:16" ht="25">
      <c r="A75" s="791" t="str">
        <f t="shared" si="8"/>
        <v>TRA</v>
      </c>
      <c r="B75" s="791" t="str">
        <f>VLOOKUP(C75,CHOOSE({1,2},Planned_capex_starting_position!$BL$8:$BL$413,Planned_capex_starting_position!$AF$8:$AF$413),2,0)</f>
        <v>TRA A29</v>
      </c>
      <c r="C75" s="791" t="s">
        <v>6965</v>
      </c>
      <c r="D75" s="837" t="str">
        <f>IF($A75="TRA",VLOOKUP($C75,Planned_capex_starting_position!$BL$8:$BU$147,9,FALSE),"Not Transport")</f>
        <v>Arterial</v>
      </c>
      <c r="E75" s="791" t="str">
        <f>IF(VLOOKUP(C75,CHOOSE({1,2},Planned_capex_starting_position!$BL$8:$BL$413,Planned_capex_starting_position!$E$8:$E$413),2,0)=0,"",VLOOKUP(C75,CHOOSE({1,2},Planned_capex_starting_position!$BL$8:$BL$413,Planned_capex_starting_position!$E$8:$E$413),2,0))</f>
        <v>4b TRA A28</v>
      </c>
      <c r="F75" s="811" t="str">
        <f>VLOOKUP(A75,Lists!H:I,2,FALSE)</f>
        <v>Transport</v>
      </c>
      <c r="G75" s="812" t="str">
        <f>VLOOKUP(B75,FA_Codes!D:G,4,FALSE)</f>
        <v>Southern Growth Area 1</v>
      </c>
      <c r="H75" s="813" t="str">
        <f>VLOOKUP(C75,CHOOSE({1,2},Planned_capex_starting_position!$BL$8:$BL$413,Planned_capex_starting_position!$F$8:$F$413),2,0)</f>
        <v>Waihoehoe Rd East upgrades- from Fitzgerald Rd to before Cossey Rd (development boundary)</v>
      </c>
      <c r="I75" s="813" t="str">
        <f>VLOOKUP(C75,CHOOSE({1,2},Planned_capex_starting_position!$BL$8:$BL$413,Planned_capex_starting_position!$G$8:$G$413),2,0)</f>
        <v>Expand to 24m cross section</v>
      </c>
      <c r="J75" s="814">
        <f>SUMIFS(Planned_capex_starting_position!$AC$8:$AC$413,Planned_capex_starting_position!$AC$8:$AC$413,"&gt;0",Planned_capex_starting_position!$BL$8:$BL$413,C75)</f>
        <v>247204.86962062691</v>
      </c>
      <c r="K75" s="814">
        <f>SUMIF(Planned_capex_starting_position!$BL$8:$BL$413,C75,Planned_capex_starting_position!$AV$8:$AV$413)+SUMIF(Planned_capex_starting_position!$BL$8:$BL$413,C75,Planned_capex_starting_position!$BJ$8:$BJ$413)</f>
        <v>44030.081826381167</v>
      </c>
      <c r="L75" s="814">
        <f t="shared" si="9"/>
        <v>203174.78779424576</v>
      </c>
      <c r="M75" s="815">
        <f t="shared" si="10"/>
        <v>0.17811170910165305</v>
      </c>
      <c r="N75" s="822">
        <f t="shared" si="11"/>
        <v>0.82188829089834692</v>
      </c>
      <c r="O75" s="818" t="s">
        <v>6978</v>
      </c>
      <c r="P75" s="836">
        <f>_xlfn.XLOOKUP($C75,Planned_capex_starting_position!$BL$8:$BL$149,Planned_capex_starting_position!$R$8:$R$149,"Not found",0)</f>
        <v>2060</v>
      </c>
    </row>
    <row r="76" spans="1:16" ht="25">
      <c r="A76" s="791" t="str">
        <f t="shared" si="8"/>
        <v>TRA</v>
      </c>
      <c r="B76" s="791" t="str">
        <f>VLOOKUP(C76,CHOOSE({1,2},Planned_capex_starting_position!$BL$8:$BL$413,Planned_capex_starting_position!$AF$8:$AF$413),2,0)</f>
        <v>TRA A27</v>
      </c>
      <c r="C76" s="791" t="s">
        <v>6956</v>
      </c>
      <c r="D76" s="837" t="str">
        <f>IF($A76="TRA",VLOOKUP($C76,Planned_capex_starting_position!$BL$8:$BU$147,9,FALSE),"Not Transport")</f>
        <v>Arterial</v>
      </c>
      <c r="E76" s="791" t="str">
        <f>IF(VLOOKUP(C76,CHOOSE({1,2},Planned_capex_starting_position!$BL$8:$BL$413,Planned_capex_starting_position!$E$8:$E$413),2,0)=0,"",VLOOKUP(C76,CHOOSE({1,2},Planned_capex_starting_position!$BL$8:$BL$413,Planned_capex_starting_position!$E$8:$E$413),2,0))</f>
        <v>70 TRA A27</v>
      </c>
      <c r="F76" s="811" t="str">
        <f>VLOOKUP(A76,Lists!H:I,2,FALSE)</f>
        <v>Transport</v>
      </c>
      <c r="G76" s="812" t="str">
        <f>VLOOKUP(B76,FA_Codes!D:G,4,FALSE)</f>
        <v>Southern Growth Area 3</v>
      </c>
      <c r="H76" s="813" t="str">
        <f>VLOOKUP(C76,CHOOSE({1,2},Planned_capex_starting_position!$BL$8:$BL$413,Planned_capex_starting_position!$F$8:$F$413),2,0)</f>
        <v>walk/cycle bridges on GSR Road bridge over the rail corridor</v>
      </c>
      <c r="I76" s="813" t="str">
        <f>VLOOKUP(C76,CHOOSE({1,2},Planned_capex_starting_position!$BL$8:$BL$413,Planned_capex_starting_position!$G$8:$G$413),2,0)</f>
        <v>New cycle bridge 5m wide, 80m long, approach lengths 270m total for both sides. No property required</v>
      </c>
      <c r="J76" s="814">
        <f>SUMIFS(Planned_capex_starting_position!$AC$8:$AC$413,Planned_capex_starting_position!$AC$8:$AC$413,"&gt;0",Planned_capex_starting_position!$BL$8:$BL$413,C76)</f>
        <v>175500.20565357927</v>
      </c>
      <c r="K76" s="814">
        <f>SUMIF(Planned_capex_starting_position!$BL$8:$BL$413,C76,Planned_capex_starting_position!$AV$8:$AV$413)+SUMIF(Planned_capex_starting_position!$BL$8:$BL$413,C76,Planned_capex_starting_position!$BJ$8:$BJ$413)</f>
        <v>71738.314325117768</v>
      </c>
      <c r="L76" s="814">
        <f t="shared" si="9"/>
        <v>103761.8913284615</v>
      </c>
      <c r="M76" s="815">
        <f t="shared" si="10"/>
        <v>0.40876484479295933</v>
      </c>
      <c r="N76" s="822">
        <f t="shared" si="11"/>
        <v>0.59123515520704073</v>
      </c>
      <c r="O76" s="818" t="s">
        <v>6978</v>
      </c>
      <c r="P76" s="836">
        <f>_xlfn.XLOOKUP($C76,Planned_capex_starting_position!$BL$8:$BL$149,Planned_capex_starting_position!$R$8:$R$149,"Not found",0)</f>
        <v>2060</v>
      </c>
    </row>
    <row r="77" spans="1:16" ht="25.5" thickBot="1">
      <c r="A77" s="791" t="str">
        <f t="shared" ref="A77" si="12">TRIM(LEFT(B77, 3))</f>
        <v>OSL</v>
      </c>
      <c r="B77" s="791" t="str">
        <f>VLOOKUP(C77,CHOOSE({1,2},Planned_capex_starting_position!$BL$8:$BL$413,Planned_capex_starting_position!$AF$8:$AF$413),2,0)</f>
        <v>OSL A28</v>
      </c>
      <c r="C77" s="791" t="s">
        <v>6989</v>
      </c>
      <c r="D77" s="837" t="str">
        <f>IF($A77="TRA",VLOOKUP($C77,Planned_capex_starting_position!$BL$8:$BU$147,9,FALSE),"Not Transport")</f>
        <v>Not Transport</v>
      </c>
      <c r="E77" s="791" t="str">
        <f>IF(VLOOKUP(C77,CHOOSE({1,2},Planned_capex_starting_position!$BL$8:$BL$413,Planned_capex_starting_position!$E$8:$E$413),2,0)=0,"",VLOOKUP(C77,CHOOSE({1,2},Planned_capex_starting_position!$BL$8:$BL$413,Planned_capex_starting_position!$E$8:$E$413),2,0))</f>
        <v/>
      </c>
      <c r="F77" s="906" t="str">
        <f>VLOOKUP(A77,Lists!H:I,2,FALSE)</f>
        <v>Reserve acquistion</v>
      </c>
      <c r="G77" s="907" t="str">
        <f>VLOOKUP(B77,FA_Codes!D:G,4,FALSE)</f>
        <v>Drury IPA</v>
      </c>
      <c r="H77" s="908" t="str">
        <f>VLOOKUP(C77,CHOOSE({1,2},Planned_capex_starting_position!$BL$8:$BL$413,Planned_capex_starting_position!$F$8:$F$413),2,0)</f>
        <v>Acquisition of neighbourhood, suburb, and civic parks for Drury</v>
      </c>
      <c r="I77" s="908" t="str">
        <f>VLOOKUP(C77,CHOOSE({1,2},Planned_capex_starting_position!$BL$8:$BL$413,Planned_capex_starting_position!$G$8:$G$413),2,0)</f>
        <v>Acquisition of land for civic space to support new growth in accordance with the Open Space Provision Policy</v>
      </c>
      <c r="J77" s="909">
        <f>SUMIFS(Planned_capex_starting_position!$AC$8:$AC$413,Planned_capex_starting_position!$AC$8:$AC$413,"&gt;0",Planned_capex_starting_position!$BL$8:$BL$413,C77)</f>
        <v>126593599.99999999</v>
      </c>
      <c r="K77" s="909">
        <f>SUMIF(Planned_capex_starting_position!$BL$8:$BL$413,C77,Planned_capex_starting_position!$AV$8:$AV$413)+SUMIF(Planned_capex_starting_position!$BL$8:$BL$413,C77,Planned_capex_starting_position!$BJ$8:$BJ$413)</f>
        <v>122351276.05532247</v>
      </c>
      <c r="L77" s="909">
        <f t="shared" ref="L77" si="13">J77-K77</f>
        <v>4242323.9446775168</v>
      </c>
      <c r="M77" s="910">
        <f t="shared" ref="M77" si="14">IFERROR(K77/J77,0)</f>
        <v>0.96648863809325658</v>
      </c>
      <c r="N77" s="911">
        <f t="shared" ref="N77" si="15">1-M77</f>
        <v>3.351136190674342E-2</v>
      </c>
      <c r="O77" s="912" t="s">
        <v>6978</v>
      </c>
      <c r="P77" s="913">
        <f>_xlfn.XLOOKUP($C77,Planned_capex_starting_position!$BL$8:$BL$149,Planned_capex_starting_position!$R$8:$R$149,"Not found",0)</f>
        <v>2060</v>
      </c>
    </row>
    <row r="78" spans="1:16" ht="13.5" thickBot="1">
      <c r="J78" s="819">
        <f>SUBTOTAL(9,J5:J77)</f>
        <v>372945737.23118109</v>
      </c>
      <c r="K78" s="820">
        <f>SUBTOTAL(9,K5:K77)</f>
        <v>233865237.38905618</v>
      </c>
      <c r="L78" s="821">
        <f>SUBTOTAL(9,L5:L77)</f>
        <v>139080499.84212464</v>
      </c>
    </row>
    <row r="79" spans="1:16">
      <c r="J79" s="810">
        <f>+J78-Planned_capex_starting_position!AC155</f>
        <v>0</v>
      </c>
      <c r="K79" s="810">
        <f>+K78-Planned_capex_starting_position!BN153</f>
        <v>0</v>
      </c>
      <c r="L79" s="810">
        <f>+L78+K78-J78</f>
        <v>0</v>
      </c>
    </row>
    <row r="81" spans="9:12">
      <c r="I81" s="762" t="s">
        <v>2800</v>
      </c>
      <c r="J81" s="816">
        <f t="shared" ref="J81:L88" si="16">SUMIF($B$5:$B$77,$I81,J$5:J$77)</f>
        <v>128037756.8519688</v>
      </c>
      <c r="K81" s="816">
        <f t="shared" si="16"/>
        <v>63565190.654609896</v>
      </c>
      <c r="L81" s="816">
        <f t="shared" si="16"/>
        <v>64472566.197358876</v>
      </c>
    </row>
    <row r="82" spans="9:12">
      <c r="I82" s="762" t="s">
        <v>2801</v>
      </c>
      <c r="J82" s="816">
        <f t="shared" si="16"/>
        <v>55688442.93103461</v>
      </c>
      <c r="K82" s="816">
        <f t="shared" si="16"/>
        <v>25207890.983608302</v>
      </c>
      <c r="L82" s="816">
        <f t="shared" si="16"/>
        <v>30480551.947426312</v>
      </c>
    </row>
    <row r="83" spans="9:12">
      <c r="I83" s="762" t="s">
        <v>2802</v>
      </c>
      <c r="J83" s="816">
        <f t="shared" si="16"/>
        <v>15920471.839930106</v>
      </c>
      <c r="K83" s="816">
        <f t="shared" si="16"/>
        <v>7840368.9108172068</v>
      </c>
      <c r="L83" s="816">
        <f t="shared" si="16"/>
        <v>8080102.9291128982</v>
      </c>
    </row>
    <row r="84" spans="9:12">
      <c r="I84" s="762" t="s">
        <v>2803</v>
      </c>
      <c r="J84" s="816">
        <f t="shared" si="16"/>
        <v>26910643.031015974</v>
      </c>
      <c r="K84" s="816">
        <f t="shared" si="16"/>
        <v>9979341.9738183524</v>
      </c>
      <c r="L84" s="816">
        <f t="shared" si="16"/>
        <v>16931301.057197619</v>
      </c>
    </row>
    <row r="85" spans="9:12">
      <c r="I85" s="762" t="s">
        <v>2804</v>
      </c>
      <c r="J85" s="816">
        <f t="shared" si="16"/>
        <v>175500.20565357927</v>
      </c>
      <c r="K85" s="816">
        <f t="shared" si="16"/>
        <v>71738.314325117768</v>
      </c>
      <c r="L85" s="816">
        <f t="shared" si="16"/>
        <v>103761.8913284615</v>
      </c>
    </row>
    <row r="86" spans="9:12">
      <c r="I86" s="762" t="s">
        <v>2805</v>
      </c>
      <c r="J86" s="816">
        <f t="shared" si="16"/>
        <v>11187635.68379768</v>
      </c>
      <c r="K86" s="816">
        <f t="shared" si="16"/>
        <v>3346581.8096921192</v>
      </c>
      <c r="L86" s="816">
        <f t="shared" si="16"/>
        <v>7841053.8741055606</v>
      </c>
    </row>
    <row r="87" spans="9:12">
      <c r="I87" s="762" t="s">
        <v>2806</v>
      </c>
      <c r="J87" s="816">
        <f t="shared" si="16"/>
        <v>6270729.423157217</v>
      </c>
      <c r="K87" s="816">
        <f t="shared" si="16"/>
        <v>1116890.334872555</v>
      </c>
      <c r="L87" s="816">
        <f t="shared" si="16"/>
        <v>5153839.0882846629</v>
      </c>
    </row>
    <row r="88" spans="9:12">
      <c r="I88" s="762" t="s">
        <v>2778</v>
      </c>
      <c r="J88" s="816">
        <f t="shared" si="16"/>
        <v>2160957.2646230268</v>
      </c>
      <c r="K88" s="816">
        <f t="shared" si="16"/>
        <v>385958.35199024831</v>
      </c>
      <c r="L88" s="816">
        <f t="shared" si="16"/>
        <v>1774998.9126327783</v>
      </c>
    </row>
    <row r="89" spans="9:12" ht="13.5" thickBot="1">
      <c r="J89" s="817">
        <f>SUM(J81:J88)</f>
        <v>246352137.23118097</v>
      </c>
      <c r="K89" s="817">
        <f t="shared" ref="K89:L89" si="17">SUM(K81:K88)</f>
        <v>111513961.3337338</v>
      </c>
      <c r="L89" s="817">
        <f t="shared" si="17"/>
        <v>134838175.89744717</v>
      </c>
    </row>
    <row r="91" spans="9:12">
      <c r="I91" s="762" t="s">
        <v>2682</v>
      </c>
      <c r="J91" s="816">
        <f t="shared" ref="J91:L92" si="18">SUMIF($B$5:$B$77,$I91,J$5:J$77)</f>
        <v>126593599.99999999</v>
      </c>
      <c r="K91" s="816">
        <f t="shared" si="18"/>
        <v>122351276.05532247</v>
      </c>
      <c r="L91" s="816">
        <f t="shared" si="18"/>
        <v>4242323.9446775168</v>
      </c>
    </row>
    <row r="92" spans="9:12">
      <c r="I92" s="762" t="s">
        <v>2741</v>
      </c>
      <c r="J92" s="816">
        <f t="shared" si="18"/>
        <v>0</v>
      </c>
      <c r="K92" s="816">
        <f t="shared" si="18"/>
        <v>0</v>
      </c>
      <c r="L92" s="816">
        <f t="shared" si="18"/>
        <v>0</v>
      </c>
    </row>
    <row r="93" spans="9:12" ht="13.5" thickBot="1">
      <c r="J93" s="817">
        <f>SUM(J91:J92)</f>
        <v>126593599.99999999</v>
      </c>
      <c r="K93" s="817">
        <f t="shared" ref="K93:L93" si="19">SUM(K91:K92)</f>
        <v>122351276.05532247</v>
      </c>
      <c r="L93" s="817">
        <f t="shared" si="19"/>
        <v>4242323.9446775168</v>
      </c>
    </row>
    <row r="95" spans="9:12" ht="13">
      <c r="J95" s="839">
        <f>+J93+J89</f>
        <v>372945737.23118097</v>
      </c>
      <c r="K95" s="839">
        <f t="shared" ref="K95:L95" si="20">+K93+K89</f>
        <v>233865237.38905627</v>
      </c>
      <c r="L95" s="839">
        <f t="shared" si="20"/>
        <v>139080499.8421247</v>
      </c>
    </row>
    <row r="96" spans="9:12">
      <c r="J96" s="810">
        <f>+J95-J78</f>
        <v>0</v>
      </c>
      <c r="K96" s="810">
        <f t="shared" ref="K96:L96" si="21">+K95-K78</f>
        <v>0</v>
      </c>
      <c r="L96" s="810">
        <f t="shared" si="21"/>
        <v>0</v>
      </c>
    </row>
  </sheetData>
  <autoFilter ref="A4:M79" xr:uid="{3FC2FCC1-F467-4FA9-89D7-56F76F3B7A8F}"/>
  <sortState xmlns:xlrd2="http://schemas.microsoft.com/office/spreadsheetml/2017/richdata2" ref="A5:Q76">
    <sortCondition ref="Q5:Q76"/>
    <sortCondition ref="G5:G76"/>
    <sortCondition ref="E5:E76"/>
    <sortCondition ref="H5:H76"/>
  </sortState>
  <mergeCells count="1">
    <mergeCell ref="A3:E3"/>
  </mergeCells>
  <pageMargins left="0.70866141732283472" right="0.51181102362204722" top="0.55118110236220474" bottom="0.74803149606299213" header="0.31496062992125984" footer="0.31496062992125984"/>
  <pageSetup paperSize="9" scale="42" fitToHeight="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24</vt:i4>
      </vt:variant>
    </vt:vector>
  </HeadingPairs>
  <TitlesOfParts>
    <vt:vector size="51" baseType="lpstr">
      <vt:lpstr>Cover sheet </vt:lpstr>
      <vt:lpstr>Overview</vt:lpstr>
      <vt:lpstr>Lists</vt:lpstr>
      <vt:lpstr>FA_Codes</vt:lpstr>
      <vt:lpstr>Planned_capex_starting_position</vt:lpstr>
      <vt:lpstr>O_CWP_TOT</vt:lpstr>
      <vt:lpstr>O_CWP_NOW</vt:lpstr>
      <vt:lpstr>O_CWP_FUT</vt:lpstr>
      <vt:lpstr>Sch_8_Planned</vt:lpstr>
      <vt:lpstr>Sch_8_consolidated_list</vt:lpstr>
      <vt:lpstr>Planned_capex_list</vt:lpstr>
      <vt:lpstr>gregdata</vt:lpstr>
      <vt:lpstr>DC_income</vt:lpstr>
      <vt:lpstr>Historic_capex_list</vt:lpstr>
      <vt:lpstr>Schedule8_Hist</vt:lpstr>
      <vt:lpstr>Schedule8_CI_trans</vt:lpstr>
      <vt:lpstr>Schedule8_Planned</vt:lpstr>
      <vt:lpstr>Revenue</vt:lpstr>
      <vt:lpstr>Funding_Area_Names</vt:lpstr>
      <vt:lpstr>Rev_for_allocation(Calc)</vt:lpstr>
      <vt:lpstr>Rev_for_allocation(Hard)</vt:lpstr>
      <vt:lpstr>Aggregation_of_rev_to_allocate</vt:lpstr>
      <vt:lpstr>Rev_and_int_data</vt:lpstr>
      <vt:lpstr>DC_Proj_desc</vt:lpstr>
      <vt:lpstr>Remaining budget</vt:lpstr>
      <vt:lpstr>Funding area mapping</vt:lpstr>
      <vt:lpstr>Interest_data</vt:lpstr>
      <vt:lpstr>DC_Proj_desc!Print_Area</vt:lpstr>
      <vt:lpstr>FA_Codes!Print_Area</vt:lpstr>
      <vt:lpstr>'Funding area mapping'!Print_Area</vt:lpstr>
      <vt:lpstr>Historic_capex_list!Print_Area</vt:lpstr>
      <vt:lpstr>O_CWP_FUT!Print_Area</vt:lpstr>
      <vt:lpstr>O_CWP_NOW!Print_Area</vt:lpstr>
      <vt:lpstr>O_CWP_TOT!Print_Area</vt:lpstr>
      <vt:lpstr>Planned_capex_list!Print_Area</vt:lpstr>
      <vt:lpstr>Planned_capex_starting_position!Print_Area</vt:lpstr>
      <vt:lpstr>'Remaining budget'!Print_Area</vt:lpstr>
      <vt:lpstr>Sch_8_Planned!Print_Area</vt:lpstr>
      <vt:lpstr>DC_Proj_desc!Print_Titles</vt:lpstr>
      <vt:lpstr>FA_Codes!Print_Titles</vt:lpstr>
      <vt:lpstr>'Funding area mapping'!Print_Titles</vt:lpstr>
      <vt:lpstr>Funding_Area_Names!Print_Titles</vt:lpstr>
      <vt:lpstr>Historic_capex_list!Print_Titles</vt:lpstr>
      <vt:lpstr>O_CWP_FUT!Print_Titles</vt:lpstr>
      <vt:lpstr>O_CWP_NOW!Print_Titles</vt:lpstr>
      <vt:lpstr>O_CWP_TOT!Print_Titles</vt:lpstr>
      <vt:lpstr>Planned_capex_list!Print_Titles</vt:lpstr>
      <vt:lpstr>Planned_capex_starting_position!Print_Titles</vt:lpstr>
      <vt:lpstr>'Remaining budget'!Print_Titles</vt:lpstr>
      <vt:lpstr>'Rev_for_allocation(Calc)'!Print_Titles</vt:lpstr>
      <vt:lpstr>Sch_8_Planned!Print_Titles</vt:lpstr>
    </vt:vector>
  </TitlesOfParts>
  <Company>Rodney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AucklandCouncil1@aklcouncil.onmicrosoft.com</dc:creator>
  <cp:lastModifiedBy>Auckland Council</cp:lastModifiedBy>
  <cp:lastPrinted>2023-07-12T21:59:46Z</cp:lastPrinted>
  <dcterms:created xsi:type="dcterms:W3CDTF">2012-01-25T21:44:11Z</dcterms:created>
  <dcterms:modified xsi:type="dcterms:W3CDTF">2025-09-22T02:22:54Z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